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8800" windowHeight="12435" tabRatio="922" firstSheet="33" activeTab="55"/>
  </bookViews>
  <sheets>
    <sheet name="Ienemumi" sheetId="56" r:id="rId1"/>
    <sheet name="Izdevumi" sheetId="55" r:id="rId2"/>
    <sheet name="05.2.1." sheetId="53" r:id="rId3"/>
    <sheet name="05.2.2." sheetId="54" r:id="rId4"/>
    <sheet name="01.1.1" sheetId="14" r:id="rId5"/>
    <sheet name="01.2.3." sheetId="22" r:id="rId6"/>
    <sheet name="04.1.2." sheetId="50" r:id="rId7"/>
    <sheet name="04.1.10." sheetId="8" r:id="rId8"/>
    <sheet name="04.1.18.KR" sheetId="5" r:id="rId9"/>
    <sheet name="06.1.1" sheetId="15" r:id="rId10"/>
    <sheet name="06.1.6" sheetId="16" r:id="rId11"/>
    <sheet name="06.3.1." sheetId="3" r:id="rId12"/>
    <sheet name="08.1.4." sheetId="9" r:id="rId13"/>
    <sheet name="08.1.4. (2)" sheetId="25" r:id="rId14"/>
    <sheet name="08.4.2." sheetId="17" r:id="rId15"/>
    <sheet name="08.5.1." sheetId="10" r:id="rId16"/>
    <sheet name="08.5.3." sheetId="11" r:id="rId17"/>
    <sheet name="08.7.3." sheetId="51" r:id="rId18"/>
    <sheet name="09.1.6." sheetId="6" r:id="rId19"/>
    <sheet name="09.1.7" sheetId="7" r:id="rId20"/>
    <sheet name="09.2.1." sheetId="27" r:id="rId21"/>
    <sheet name="09.3.1." sheetId="43" r:id="rId22"/>
    <sheet name="09.5.1." sheetId="28" r:id="rId23"/>
    <sheet name="09.6.1." sheetId="18" r:id="rId24"/>
    <sheet name="09.8.1." sheetId="44" r:id="rId25"/>
    <sheet name="09.9.1." sheetId="2" r:id="rId26"/>
    <sheet name="09.9.1. (2)" sheetId="29" r:id="rId27"/>
    <sheet name="09.11.1." sheetId="30" r:id="rId28"/>
    <sheet name="09.13.1." sheetId="31" r:id="rId29"/>
    <sheet name="09.14.1." sheetId="32" r:id="rId30"/>
    <sheet name="09.15.1." sheetId="33" r:id="rId31"/>
    <sheet name="09.15.1. (2)" sheetId="45" r:id="rId32"/>
    <sheet name="09.16.1." sheetId="19" r:id="rId33"/>
    <sheet name="09.16.1. (2)" sheetId="34" r:id="rId34"/>
    <sheet name="09.17.1." sheetId="1" r:id="rId35"/>
    <sheet name="09.17.1. (2)" sheetId="35" r:id="rId36"/>
    <sheet name="09.18.1." sheetId="36" r:id="rId37"/>
    <sheet name="09.19.1." sheetId="37" r:id="rId38"/>
    <sheet name="09.20.1." sheetId="23" r:id="rId39"/>
    <sheet name="09.21.1." sheetId="38" r:id="rId40"/>
    <sheet name="09.22.1." sheetId="39" r:id="rId41"/>
    <sheet name="09.22.1. (2)" sheetId="46" r:id="rId42"/>
    <sheet name="09.23.1." sheetId="47" r:id="rId43"/>
    <sheet name="09.25.1." sheetId="40" r:id="rId44"/>
    <sheet name="09.26.1." sheetId="41" r:id="rId45"/>
    <sheet name="09.26.1. (2)" sheetId="48" r:id="rId46"/>
    <sheet name="09.28.1." sheetId="49" r:id="rId47"/>
    <sheet name="09.31.1." sheetId="42" r:id="rId48"/>
    <sheet name="4.piel." sheetId="4" r:id="rId49"/>
    <sheet name="9.piel." sheetId="12" r:id="rId50"/>
    <sheet name="9.piel. (2)" sheetId="24" r:id="rId51"/>
    <sheet name="9.piel. (3)" sheetId="26" r:id="rId52"/>
    <sheet name="9.piel. (4)" sheetId="52" r:id="rId53"/>
    <sheet name="21.piel." sheetId="13" r:id="rId54"/>
    <sheet name="22.piel." sheetId="20" r:id="rId55"/>
    <sheet name="24.piel." sheetId="21" r:id="rId56"/>
  </sheets>
  <definedNames>
    <definedName name="_xlnm._FilterDatabase" localSheetId="4" hidden="1">'01.1.1'!$A$22:$P$300</definedName>
    <definedName name="_xlnm._FilterDatabase" localSheetId="5" hidden="1">'01.2.3.'!$A$22:$P$300</definedName>
    <definedName name="_xlnm._FilterDatabase" localSheetId="7" hidden="1">'04.1.10.'!$A$22:$P$300</definedName>
    <definedName name="_xlnm._FilterDatabase" localSheetId="8" hidden="1">'04.1.18.KR'!$A$22:$P$300</definedName>
    <definedName name="_xlnm._FilterDatabase" localSheetId="6" hidden="1">'04.1.2.'!$A$19:$P$297</definedName>
    <definedName name="_xlnm._FilterDatabase" localSheetId="2" hidden="1">'05.2.1.'!$A$22:$P$300</definedName>
    <definedName name="_xlnm._FilterDatabase" localSheetId="3" hidden="1">'05.2.2.'!$A$22:$P$300</definedName>
    <definedName name="_xlnm._FilterDatabase" localSheetId="9" hidden="1">'06.1.1'!$A$22:$P$300</definedName>
    <definedName name="_xlnm._FilterDatabase" localSheetId="10" hidden="1">'06.1.6'!$A$22:$P$300</definedName>
    <definedName name="_xlnm._FilterDatabase" localSheetId="11" hidden="1">'06.3.1.'!$C$22:$O$302</definedName>
    <definedName name="_xlnm._FilterDatabase" localSheetId="12" hidden="1">'08.1.4.'!$A$22:$P$300</definedName>
    <definedName name="_xlnm._FilterDatabase" localSheetId="13" hidden="1">'08.1.4. (2)'!$A$22:$P$300</definedName>
    <definedName name="_xlnm._FilterDatabase" localSheetId="14" hidden="1">'08.4.2.'!$A$22:$P$300</definedName>
    <definedName name="_xlnm._FilterDatabase" localSheetId="15" hidden="1">'08.5.1.'!$A$22:$P$301</definedName>
    <definedName name="_xlnm._FilterDatabase" localSheetId="16" hidden="1">'08.5.3.'!$A$22:$P$301</definedName>
    <definedName name="_xlnm._FilterDatabase" localSheetId="17" hidden="1">'08.7.3.'!$A$19:$P$298</definedName>
    <definedName name="_xlnm._FilterDatabase" localSheetId="18" hidden="1">'09.1.6.'!$A$22:$P$300</definedName>
    <definedName name="_xlnm._FilterDatabase" localSheetId="19" hidden="1">'09.1.7'!$A$22:$P$300</definedName>
    <definedName name="_xlnm._FilterDatabase" localSheetId="27" hidden="1">'09.11.1.'!$A$22:$P$301</definedName>
    <definedName name="_xlnm._FilterDatabase" localSheetId="28" hidden="1">'09.13.1.'!$A$22:$P$300</definedName>
    <definedName name="_xlnm._FilterDatabase" localSheetId="29" hidden="1">'09.14.1.'!$A$22:$P$300</definedName>
    <definedName name="_xlnm._FilterDatabase" localSheetId="30" hidden="1">'09.15.1.'!$A$22:$P$300</definedName>
    <definedName name="_xlnm._FilterDatabase" localSheetId="31" hidden="1">'09.15.1. (2)'!$A$22:$P$300</definedName>
    <definedName name="_xlnm._FilterDatabase" localSheetId="32" hidden="1">'09.16.1.'!$A$22:$P$300</definedName>
    <definedName name="_xlnm._FilterDatabase" localSheetId="33" hidden="1">'09.16.1. (2)'!$A$22:$P$300</definedName>
    <definedName name="_xlnm._FilterDatabase" localSheetId="34" hidden="1">'09.17.1.'!$A$22:$P$300</definedName>
    <definedName name="_xlnm._FilterDatabase" localSheetId="35" hidden="1">'09.17.1. (2)'!$A$22:$P$300</definedName>
    <definedName name="_xlnm._FilterDatabase" localSheetId="36" hidden="1">'09.18.1.'!$A$22:$P$300</definedName>
    <definedName name="_xlnm._FilterDatabase" localSheetId="37" hidden="1">'09.19.1.'!$A$22:$P$305</definedName>
    <definedName name="_xlnm._FilterDatabase" localSheetId="20" hidden="1">'09.2.1.'!$A$22:$P$301</definedName>
    <definedName name="_xlnm._FilterDatabase" localSheetId="38" hidden="1">'09.20.1.'!$A$22:$P$300</definedName>
    <definedName name="_xlnm._FilterDatabase" localSheetId="39" hidden="1">'09.21.1.'!$A$22:$P$300</definedName>
    <definedName name="_xlnm._FilterDatabase" localSheetId="40" hidden="1">'09.22.1.'!$A$22:$P$300</definedName>
    <definedName name="_xlnm._FilterDatabase" localSheetId="41" hidden="1">'09.22.1. (2)'!$A$22:$P$300</definedName>
    <definedName name="_xlnm._FilterDatabase" localSheetId="42" hidden="1">'09.23.1.'!$A$22:$P$301</definedName>
    <definedName name="_xlnm._FilterDatabase" localSheetId="43" hidden="1">'09.25.1.'!$A$22:$P$300</definedName>
    <definedName name="_xlnm._FilterDatabase" localSheetId="44" hidden="1">'09.26.1.'!$A$22:$P$300</definedName>
    <definedName name="_xlnm._FilterDatabase" localSheetId="45" hidden="1">'09.26.1. (2)'!$A$22:$P$300</definedName>
    <definedName name="_xlnm._FilterDatabase" localSheetId="46" hidden="1">'09.28.1.'!$A$22:$P$303</definedName>
    <definedName name="_xlnm._FilterDatabase" localSheetId="21" hidden="1">'09.3.1.'!$A$22:$P$301</definedName>
    <definedName name="_xlnm._FilterDatabase" localSheetId="47" hidden="1">'09.31.1.'!$A$22:$P$301</definedName>
    <definedName name="_xlnm._FilterDatabase" localSheetId="22" hidden="1">'09.5.1.'!$A$22:$P$301</definedName>
    <definedName name="_xlnm._FilterDatabase" localSheetId="23" hidden="1">'09.6.1.'!$A$22:$P$300</definedName>
    <definedName name="_xlnm._FilterDatabase" localSheetId="24" hidden="1">'09.8.1.'!$A$22:$P$300</definedName>
    <definedName name="_xlnm._FilterDatabase" localSheetId="25" hidden="1">'09.9.1.'!$A$22:$P$300</definedName>
    <definedName name="_xlnm._FilterDatabase" localSheetId="26" hidden="1">'09.9.1. (2)'!$A$22:$P$300</definedName>
    <definedName name="_xlnm._FilterDatabase" localSheetId="49" hidden="1">'9.piel.'!$A$13:$H$260</definedName>
    <definedName name="_xlnm._FilterDatabase" localSheetId="50" hidden="1">'9.piel. (2)'!$A$13:$H$261</definedName>
    <definedName name="_xlnm._FilterDatabase" localSheetId="51" hidden="1">'9.piel. (3)'!$A$13:$H$261</definedName>
    <definedName name="_xlnm._FilterDatabase" localSheetId="52" hidden="1">'9.piel. (4)'!$A$13:$H$261</definedName>
    <definedName name="_xlnm._FilterDatabase" localSheetId="0" hidden="1">Ienemumi!$A$10:$AG$154</definedName>
    <definedName name="_xlnm._FilterDatabase" localSheetId="1" hidden="1">Izdevumi!$A$11:$BU$282</definedName>
    <definedName name="_xlnm.Print_Titles" localSheetId="4">'01.1.1'!$22:$22</definedName>
    <definedName name="_xlnm.Print_Titles" localSheetId="5">'01.2.3.'!$22:$22</definedName>
    <definedName name="_xlnm.Print_Titles" localSheetId="7">'04.1.10.'!$22:$22</definedName>
    <definedName name="_xlnm.Print_Titles" localSheetId="8">'04.1.18.KR'!$22:$22</definedName>
    <definedName name="_xlnm.Print_Titles" localSheetId="6">'04.1.2.'!$19:$19</definedName>
    <definedName name="_xlnm.Print_Titles" localSheetId="2">'05.2.1.'!$22:$22</definedName>
    <definedName name="_xlnm.Print_Titles" localSheetId="3">'05.2.2.'!$22:$22</definedName>
    <definedName name="_xlnm.Print_Titles" localSheetId="9">'06.1.1'!$22:$22</definedName>
    <definedName name="_xlnm.Print_Titles" localSheetId="10">'06.1.6'!$22:$22</definedName>
    <definedName name="_xlnm.Print_Titles" localSheetId="12">'08.1.4.'!$22:$22</definedName>
    <definedName name="_xlnm.Print_Titles" localSheetId="13">'08.1.4. (2)'!$22:$22</definedName>
    <definedName name="_xlnm.Print_Titles" localSheetId="14">'08.4.2.'!$22:$22</definedName>
    <definedName name="_xlnm.Print_Titles" localSheetId="15">'08.5.1.'!$22:$22</definedName>
    <definedName name="_xlnm.Print_Titles" localSheetId="16">'08.5.3.'!$22:$22</definedName>
    <definedName name="_xlnm.Print_Titles" localSheetId="17">'08.7.3.'!$19:$19</definedName>
    <definedName name="_xlnm.Print_Titles" localSheetId="18">'09.1.6.'!$22:$22</definedName>
    <definedName name="_xlnm.Print_Titles" localSheetId="19">'09.1.7'!$22:$22</definedName>
    <definedName name="_xlnm.Print_Titles" localSheetId="27">'09.11.1.'!$22:$22</definedName>
    <definedName name="_xlnm.Print_Titles" localSheetId="28">'09.13.1.'!$22:$22</definedName>
    <definedName name="_xlnm.Print_Titles" localSheetId="32">'09.16.1.'!$22:$22</definedName>
    <definedName name="_xlnm.Print_Titles" localSheetId="33">'09.16.1. (2)'!$22:$22</definedName>
    <definedName name="_xlnm.Print_Titles" localSheetId="34">'09.17.1.'!$22:$22</definedName>
    <definedName name="_xlnm.Print_Titles" localSheetId="35">'09.17.1. (2)'!$22:$22</definedName>
    <definedName name="_xlnm.Print_Titles" localSheetId="37">'09.19.1.'!$22:$22</definedName>
    <definedName name="_xlnm.Print_Titles" localSheetId="20">'09.2.1.'!$22:$22</definedName>
    <definedName name="_xlnm.Print_Titles" localSheetId="42">'09.23.1.'!$22:$22</definedName>
    <definedName name="_xlnm.Print_Titles" localSheetId="44">'09.26.1.'!$22:$22</definedName>
    <definedName name="_xlnm.Print_Titles" localSheetId="45">'09.26.1. (2)'!$22:$22</definedName>
    <definedName name="_xlnm.Print_Titles" localSheetId="46">'09.28.1.'!$22:$22</definedName>
    <definedName name="_xlnm.Print_Titles" localSheetId="21">'09.3.1.'!$22:$22</definedName>
    <definedName name="_xlnm.Print_Titles" localSheetId="47">'09.31.1.'!$22:$22</definedName>
    <definedName name="_xlnm.Print_Titles" localSheetId="22">'09.5.1.'!$22:$22</definedName>
    <definedName name="_xlnm.Print_Titles" localSheetId="23">'09.6.1.'!$22:$22</definedName>
    <definedName name="_xlnm.Print_Titles" localSheetId="24">'09.8.1.'!$22:$22</definedName>
    <definedName name="_xlnm.Print_Titles" localSheetId="25">'09.9.1.'!$22:$22</definedName>
    <definedName name="_xlnm.Print_Titles" localSheetId="26">'09.9.1. (2)'!$22:$22</definedName>
    <definedName name="_xlnm.Print_Titles" localSheetId="0">Ienemumi!$9:$10</definedName>
    <definedName name="_xlnm.Print_Titles" localSheetId="1">Izdevumi!$8:$11</definedName>
    <definedName name="Z_C32C0FCD_AE7D_41A3_975E_D7367DDEA994_.wvu.PrintArea" localSheetId="0" hidden="1">Ienemumi!$A$3:$AG$154</definedName>
    <definedName name="Z_C32C0FCD_AE7D_41A3_975E_D7367DDEA994_.wvu.PrintArea" localSheetId="1" hidden="1">Izdevumi!$B$6:$BU$279</definedName>
    <definedName name="Z_C32C0FCD_AE7D_41A3_975E_D7367DDEA994_.wvu.PrintTitles" localSheetId="0" hidden="1">Ienemumi!$9:$10</definedName>
    <definedName name="Z_C32C0FCD_AE7D_41A3_975E_D7367DDEA994_.wvu.PrintTitles" localSheetId="1" hidden="1">Izdevumi!$8:$11</definedName>
    <definedName name="Z_C32C0FCD_AE7D_41A3_975E_D7367DDEA994_.wvu.Rows" localSheetId="0" hidden="1">Ienemumi!#REF!,Ienemumi!#REF!,Ienemumi!$142:$152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G150" i="56" l="1"/>
  <c r="V150" i="56"/>
  <c r="U150" i="56"/>
  <c r="U148" i="56" s="1"/>
  <c r="U147" i="56" s="1"/>
  <c r="I150" i="56"/>
  <c r="G150" i="56" s="1"/>
  <c r="F150" i="56" s="1"/>
  <c r="AH150" i="56" s="1"/>
  <c r="AG149" i="56"/>
  <c r="V149" i="56"/>
  <c r="U149" i="56"/>
  <c r="I149" i="56"/>
  <c r="AG148" i="56"/>
  <c r="AG147" i="56" s="1"/>
  <c r="AF148" i="56"/>
  <c r="AE148" i="56"/>
  <c r="AD148" i="56"/>
  <c r="AD147" i="56" s="1"/>
  <c r="AC148" i="56"/>
  <c r="AC147" i="56" s="1"/>
  <c r="AB148" i="56"/>
  <c r="AA148" i="56"/>
  <c r="Z148" i="56"/>
  <c r="Z147" i="56" s="1"/>
  <c r="Y148" i="56"/>
  <c r="Y147" i="56" s="1"/>
  <c r="X148" i="56"/>
  <c r="W148" i="56"/>
  <c r="V148" i="56"/>
  <c r="V147" i="56" s="1"/>
  <c r="T148" i="56"/>
  <c r="S148" i="56"/>
  <c r="R148" i="56"/>
  <c r="R147" i="56" s="1"/>
  <c r="Q148" i="56"/>
  <c r="Q147" i="56" s="1"/>
  <c r="P148" i="56"/>
  <c r="O148" i="56"/>
  <c r="N148" i="56"/>
  <c r="N147" i="56" s="1"/>
  <c r="M148" i="56"/>
  <c r="M147" i="56" s="1"/>
  <c r="L148" i="56"/>
  <c r="K148" i="56"/>
  <c r="J148" i="56"/>
  <c r="J147" i="56" s="1"/>
  <c r="H148" i="56"/>
  <c r="E148" i="56"/>
  <c r="E147" i="56" s="1"/>
  <c r="AF147" i="56"/>
  <c r="AE147" i="56"/>
  <c r="AB147" i="56"/>
  <c r="AA147" i="56"/>
  <c r="X147" i="56"/>
  <c r="W147" i="56"/>
  <c r="T147" i="56"/>
  <c r="S147" i="56"/>
  <c r="P147" i="56"/>
  <c r="O147" i="56"/>
  <c r="L147" i="56"/>
  <c r="K147" i="56"/>
  <c r="H147" i="56"/>
  <c r="AG144" i="56"/>
  <c r="V144" i="56"/>
  <c r="U144" i="56" s="1"/>
  <c r="G144" i="56"/>
  <c r="F144" i="56"/>
  <c r="AG143" i="56"/>
  <c r="V143" i="56"/>
  <c r="U143" i="56"/>
  <c r="G143" i="56"/>
  <c r="F143" i="56" s="1"/>
  <c r="AG142" i="56"/>
  <c r="AG140" i="56" s="1"/>
  <c r="AF142" i="56"/>
  <c r="AE142" i="56"/>
  <c r="AD142" i="56"/>
  <c r="AC142" i="56"/>
  <c r="AC140" i="56" s="1"/>
  <c r="AB142" i="56"/>
  <c r="AA142" i="56"/>
  <c r="Z142" i="56"/>
  <c r="Y142" i="56"/>
  <c r="Y140" i="56" s="1"/>
  <c r="X142" i="56"/>
  <c r="W142" i="56"/>
  <c r="V142" i="56"/>
  <c r="T142" i="56"/>
  <c r="S142" i="56"/>
  <c r="R142" i="56"/>
  <c r="Q142" i="56"/>
  <c r="Q140" i="56" s="1"/>
  <c r="P142" i="56"/>
  <c r="O142" i="56"/>
  <c r="N142" i="56"/>
  <c r="M142" i="56"/>
  <c r="M140" i="56" s="1"/>
  <c r="L142" i="56"/>
  <c r="K142" i="56"/>
  <c r="J142" i="56"/>
  <c r="I142" i="56"/>
  <c r="H142" i="56"/>
  <c r="E142" i="56"/>
  <c r="AF140" i="56"/>
  <c r="AE140" i="56"/>
  <c r="AB140" i="56"/>
  <c r="AA140" i="56"/>
  <c r="X140" i="56"/>
  <c r="W140" i="56"/>
  <c r="T140" i="56"/>
  <c r="S140" i="56"/>
  <c r="P140" i="56"/>
  <c r="O140" i="56"/>
  <c r="L140" i="56"/>
  <c r="K140" i="56"/>
  <c r="H140" i="56"/>
  <c r="AG137" i="56"/>
  <c r="V137" i="56"/>
  <c r="U137" i="56" s="1"/>
  <c r="G137" i="56"/>
  <c r="F137" i="56"/>
  <c r="AG136" i="56"/>
  <c r="V136" i="56"/>
  <c r="U136" i="56"/>
  <c r="G136" i="56"/>
  <c r="F136" i="56" s="1"/>
  <c r="AH136" i="56" s="1"/>
  <c r="AG135" i="56"/>
  <c r="V135" i="56"/>
  <c r="U135" i="56" s="1"/>
  <c r="H135" i="56"/>
  <c r="G135" i="56"/>
  <c r="F135" i="56" s="1"/>
  <c r="E135" i="56"/>
  <c r="AG134" i="56"/>
  <c r="V134" i="56"/>
  <c r="U134" i="56" s="1"/>
  <c r="G134" i="56"/>
  <c r="F134" i="56"/>
  <c r="AH134" i="56" s="1"/>
  <c r="V133" i="56"/>
  <c r="U133" i="56"/>
  <c r="G133" i="56"/>
  <c r="F133" i="56" s="1"/>
  <c r="AH133" i="56" s="1"/>
  <c r="E133" i="56"/>
  <c r="AG133" i="56" s="1"/>
  <c r="AG132" i="56"/>
  <c r="V132" i="56"/>
  <c r="U132" i="56"/>
  <c r="G132" i="56"/>
  <c r="F132" i="56" s="1"/>
  <c r="AH132" i="56" s="1"/>
  <c r="V131" i="56"/>
  <c r="U131" i="56" s="1"/>
  <c r="G131" i="56"/>
  <c r="E131" i="56"/>
  <c r="AG130" i="56"/>
  <c r="V130" i="56"/>
  <c r="U130" i="56"/>
  <c r="G130" i="56"/>
  <c r="F130" i="56" s="1"/>
  <c r="AH130" i="56" s="1"/>
  <c r="AG129" i="56"/>
  <c r="V129" i="56"/>
  <c r="U129" i="56" s="1"/>
  <c r="G129" i="56"/>
  <c r="F129" i="56"/>
  <c r="AH129" i="56" s="1"/>
  <c r="AG128" i="56"/>
  <c r="V128" i="56"/>
  <c r="U128" i="56"/>
  <c r="G128" i="56"/>
  <c r="F128" i="56" s="1"/>
  <c r="AH128" i="56" s="1"/>
  <c r="AG127" i="56"/>
  <c r="V127" i="56"/>
  <c r="U127" i="56" s="1"/>
  <c r="H127" i="56"/>
  <c r="G127" i="56"/>
  <c r="F127" i="56" s="1"/>
  <c r="AH127" i="56" s="1"/>
  <c r="AG126" i="56"/>
  <c r="V126" i="56"/>
  <c r="U126" i="56" s="1"/>
  <c r="G126" i="56"/>
  <c r="F126" i="56"/>
  <c r="AH126" i="56" s="1"/>
  <c r="AG125" i="56"/>
  <c r="V125" i="56"/>
  <c r="U125" i="56"/>
  <c r="G125" i="56"/>
  <c r="F125" i="56" s="1"/>
  <c r="AH125" i="56" s="1"/>
  <c r="V124" i="56"/>
  <c r="U124" i="56" s="1"/>
  <c r="G124" i="56"/>
  <c r="E124" i="56"/>
  <c r="AG123" i="56"/>
  <c r="V123" i="56"/>
  <c r="U123" i="56"/>
  <c r="G123" i="56"/>
  <c r="F123" i="56" s="1"/>
  <c r="AH123" i="56" s="1"/>
  <c r="AG122" i="56"/>
  <c r="V122" i="56"/>
  <c r="U122" i="56" s="1"/>
  <c r="G122" i="56"/>
  <c r="F122" i="56"/>
  <c r="AH122" i="56" s="1"/>
  <c r="AG121" i="56"/>
  <c r="V121" i="56"/>
  <c r="U121" i="56"/>
  <c r="G121" i="56"/>
  <c r="F121" i="56" s="1"/>
  <c r="AH121" i="56" s="1"/>
  <c r="AG120" i="56"/>
  <c r="V120" i="56"/>
  <c r="U120" i="56" s="1"/>
  <c r="I120" i="56"/>
  <c r="H120" i="56"/>
  <c r="G120" i="56" s="1"/>
  <c r="F120" i="56" s="1"/>
  <c r="AH120" i="56" s="1"/>
  <c r="AG119" i="56"/>
  <c r="V119" i="56"/>
  <c r="U119" i="56" s="1"/>
  <c r="G119" i="56"/>
  <c r="F119" i="56"/>
  <c r="AH119" i="56" s="1"/>
  <c r="V118" i="56"/>
  <c r="U118" i="56"/>
  <c r="G118" i="56"/>
  <c r="F118" i="56" s="1"/>
  <c r="AH118" i="56" s="1"/>
  <c r="E118" i="56"/>
  <c r="AG118" i="56" s="1"/>
  <c r="AG117" i="56"/>
  <c r="V117" i="56"/>
  <c r="U117" i="56"/>
  <c r="G117" i="56"/>
  <c r="F117" i="56" s="1"/>
  <c r="AH117" i="56" s="1"/>
  <c r="E117" i="56"/>
  <c r="AG116" i="56"/>
  <c r="V116" i="56"/>
  <c r="U116" i="56" s="1"/>
  <c r="U115" i="56" s="1"/>
  <c r="I116" i="56"/>
  <c r="I115" i="56" s="1"/>
  <c r="H116" i="56"/>
  <c r="E116" i="56"/>
  <c r="AF115" i="56"/>
  <c r="AE115" i="56"/>
  <c r="AD115" i="56"/>
  <c r="AC115" i="56"/>
  <c r="AB115" i="56"/>
  <c r="AA115" i="56"/>
  <c r="Z115" i="56"/>
  <c r="Y115" i="56"/>
  <c r="X115" i="56"/>
  <c r="W115" i="56"/>
  <c r="V115" i="56"/>
  <c r="T115" i="56"/>
  <c r="S115" i="56"/>
  <c r="R115" i="56"/>
  <c r="Q115" i="56"/>
  <c r="P115" i="56"/>
  <c r="O115" i="56"/>
  <c r="N115" i="56"/>
  <c r="M115" i="56"/>
  <c r="L115" i="56"/>
  <c r="K115" i="56"/>
  <c r="J115" i="56"/>
  <c r="U113" i="56"/>
  <c r="G113" i="56"/>
  <c r="F113" i="56" s="1"/>
  <c r="AH113" i="56" s="1"/>
  <c r="U112" i="56"/>
  <c r="G112" i="56"/>
  <c r="F112" i="56" s="1"/>
  <c r="AH112" i="56" s="1"/>
  <c r="AG111" i="56"/>
  <c r="V111" i="56"/>
  <c r="U111" i="56" s="1"/>
  <c r="G111" i="56"/>
  <c r="F111" i="56"/>
  <c r="AG110" i="56"/>
  <c r="V110" i="56"/>
  <c r="U110" i="56"/>
  <c r="G110" i="56"/>
  <c r="F110" i="56" s="1"/>
  <c r="AH110" i="56" s="1"/>
  <c r="AG109" i="56"/>
  <c r="V109" i="56"/>
  <c r="U109" i="56" s="1"/>
  <c r="G109" i="56"/>
  <c r="F109" i="56"/>
  <c r="AH109" i="56" s="1"/>
  <c r="AG108" i="56"/>
  <c r="V108" i="56"/>
  <c r="U108" i="56"/>
  <c r="G108" i="56"/>
  <c r="F108" i="56" s="1"/>
  <c r="AH108" i="56" s="1"/>
  <c r="AG107" i="56"/>
  <c r="V107" i="56"/>
  <c r="U107" i="56" s="1"/>
  <c r="G107" i="56"/>
  <c r="F107" i="56"/>
  <c r="AH107" i="56" s="1"/>
  <c r="AG106" i="56"/>
  <c r="V106" i="56"/>
  <c r="U106" i="56"/>
  <c r="G106" i="56"/>
  <c r="AG105" i="56"/>
  <c r="AG104" i="56" s="1"/>
  <c r="AG101" i="56" s="1"/>
  <c r="V105" i="56"/>
  <c r="G105" i="56"/>
  <c r="F105" i="56"/>
  <c r="AF104" i="56"/>
  <c r="AE104" i="56"/>
  <c r="AD104" i="56"/>
  <c r="AC104" i="56"/>
  <c r="AB104" i="56"/>
  <c r="AA104" i="56"/>
  <c r="Z104" i="56"/>
  <c r="Y104" i="56"/>
  <c r="X104" i="56"/>
  <c r="W104" i="56"/>
  <c r="T104" i="56"/>
  <c r="S104" i="56"/>
  <c r="R104" i="56"/>
  <c r="R101" i="56" s="1"/>
  <c r="R100" i="56" s="1"/>
  <c r="Q104" i="56"/>
  <c r="P104" i="56"/>
  <c r="O104" i="56"/>
  <c r="N104" i="56"/>
  <c r="N101" i="56" s="1"/>
  <c r="N100" i="56" s="1"/>
  <c r="M104" i="56"/>
  <c r="L104" i="56"/>
  <c r="K104" i="56"/>
  <c r="J104" i="56"/>
  <c r="I104" i="56"/>
  <c r="H104" i="56"/>
  <c r="E104" i="56"/>
  <c r="AH102" i="56"/>
  <c r="AG102" i="56"/>
  <c r="AF102" i="56"/>
  <c r="AF101" i="56" s="1"/>
  <c r="AF100" i="56" s="1"/>
  <c r="AE102" i="56"/>
  <c r="AD102" i="56"/>
  <c r="AC102" i="56"/>
  <c r="AC101" i="56" s="1"/>
  <c r="AB102" i="56"/>
  <c r="AB101" i="56" s="1"/>
  <c r="AB100" i="56" s="1"/>
  <c r="AA102" i="56"/>
  <c r="Z102" i="56"/>
  <c r="Y102" i="56"/>
  <c r="Y101" i="56" s="1"/>
  <c r="X102" i="56"/>
  <c r="X101" i="56" s="1"/>
  <c r="W102" i="56"/>
  <c r="V102" i="56"/>
  <c r="U102" i="56"/>
  <c r="T102" i="56"/>
  <c r="T101" i="56" s="1"/>
  <c r="T100" i="56" s="1"/>
  <c r="S102" i="56"/>
  <c r="R102" i="56"/>
  <c r="Q102" i="56"/>
  <c r="Q101" i="56" s="1"/>
  <c r="P102" i="56"/>
  <c r="P101" i="56" s="1"/>
  <c r="P100" i="56" s="1"/>
  <c r="O102" i="56"/>
  <c r="N102" i="56"/>
  <c r="M102" i="56"/>
  <c r="M101" i="56" s="1"/>
  <c r="L102" i="56"/>
  <c r="L101" i="56" s="1"/>
  <c r="L100" i="56" s="1"/>
  <c r="K102" i="56"/>
  <c r="J102" i="56"/>
  <c r="I102" i="56"/>
  <c r="I101" i="56" s="1"/>
  <c r="H102" i="56"/>
  <c r="H101" i="56" s="1"/>
  <c r="G102" i="56"/>
  <c r="F102" i="56"/>
  <c r="E102" i="56"/>
  <c r="E101" i="56" s="1"/>
  <c r="AE101" i="56"/>
  <c r="AE100" i="56" s="1"/>
  <c r="AD101" i="56"/>
  <c r="AD100" i="56" s="1"/>
  <c r="AA101" i="56"/>
  <c r="AA100" i="56" s="1"/>
  <c r="Z101" i="56"/>
  <c r="Z100" i="56" s="1"/>
  <c r="W101" i="56"/>
  <c r="W100" i="56" s="1"/>
  <c r="S101" i="56"/>
  <c r="S100" i="56" s="1"/>
  <c r="O101" i="56"/>
  <c r="O100" i="56" s="1"/>
  <c r="K101" i="56"/>
  <c r="K100" i="56" s="1"/>
  <c r="J101" i="56"/>
  <c r="J100" i="56" s="1"/>
  <c r="AG100" i="56"/>
  <c r="AC100" i="56"/>
  <c r="Y100" i="56"/>
  <c r="X100" i="56"/>
  <c r="Q100" i="56"/>
  <c r="M100" i="56"/>
  <c r="I100" i="56"/>
  <c r="H100" i="56"/>
  <c r="E100" i="56"/>
  <c r="AG94" i="56"/>
  <c r="AB94" i="56"/>
  <c r="AB91" i="56" s="1"/>
  <c r="Z94" i="56"/>
  <c r="V94" i="56" s="1"/>
  <c r="Y94" i="56"/>
  <c r="X94" i="56"/>
  <c r="U94" i="56"/>
  <c r="R94" i="56"/>
  <c r="Q94" i="56"/>
  <c r="M94" i="56"/>
  <c r="L94" i="56"/>
  <c r="J94" i="56"/>
  <c r="I94" i="56"/>
  <c r="E94" i="56"/>
  <c r="AG93" i="56"/>
  <c r="AG92" i="56" s="1"/>
  <c r="V93" i="56"/>
  <c r="U93" i="56" s="1"/>
  <c r="U92" i="56" s="1"/>
  <c r="G93" i="56"/>
  <c r="F93" i="56"/>
  <c r="AF92" i="56"/>
  <c r="AE92" i="56"/>
  <c r="AE91" i="56" s="1"/>
  <c r="AD92" i="56"/>
  <c r="AD91" i="56" s="1"/>
  <c r="AC92" i="56"/>
  <c r="AB92" i="56"/>
  <c r="AA92" i="56"/>
  <c r="AA91" i="56" s="1"/>
  <c r="Z92" i="56"/>
  <c r="Y92" i="56"/>
  <c r="X92" i="56"/>
  <c r="W92" i="56"/>
  <c r="W91" i="56" s="1"/>
  <c r="T92" i="56"/>
  <c r="S92" i="56"/>
  <c r="S91" i="56" s="1"/>
  <c r="R92" i="56"/>
  <c r="R91" i="56" s="1"/>
  <c r="Q92" i="56"/>
  <c r="P92" i="56"/>
  <c r="O92" i="56"/>
  <c r="O91" i="56" s="1"/>
  <c r="N92" i="56"/>
  <c r="N91" i="56" s="1"/>
  <c r="M92" i="56"/>
  <c r="L92" i="56"/>
  <c r="K92" i="56"/>
  <c r="K91" i="56" s="1"/>
  <c r="J92" i="56"/>
  <c r="J91" i="56" s="1"/>
  <c r="I92" i="56"/>
  <c r="H92" i="56"/>
  <c r="G92" i="56"/>
  <c r="F92" i="56"/>
  <c r="E92" i="56"/>
  <c r="AF91" i="56"/>
  <c r="AC91" i="56"/>
  <c r="Y91" i="56"/>
  <c r="X91" i="56"/>
  <c r="U91" i="56"/>
  <c r="T91" i="56"/>
  <c r="Q91" i="56"/>
  <c r="P91" i="56"/>
  <c r="M91" i="56"/>
  <c r="I91" i="56"/>
  <c r="H91" i="56"/>
  <c r="E91" i="56"/>
  <c r="AG91" i="56" s="1"/>
  <c r="AG90" i="56"/>
  <c r="V90" i="56"/>
  <c r="U90" i="56"/>
  <c r="R90" i="56"/>
  <c r="Q90" i="56"/>
  <c r="L90" i="56"/>
  <c r="J90" i="56"/>
  <c r="J87" i="56" s="1"/>
  <c r="I90" i="56"/>
  <c r="AG89" i="56"/>
  <c r="V89" i="56"/>
  <c r="U89" i="56"/>
  <c r="Q89" i="56"/>
  <c r="Q87" i="56" s="1"/>
  <c r="G89" i="56"/>
  <c r="F89" i="56" s="1"/>
  <c r="AH89" i="56" s="1"/>
  <c r="AG88" i="56"/>
  <c r="V88" i="56"/>
  <c r="U88" i="56" s="1"/>
  <c r="G88" i="56"/>
  <c r="F88" i="56"/>
  <c r="AH88" i="56" s="1"/>
  <c r="AF87" i="56"/>
  <c r="AE87" i="56"/>
  <c r="AD87" i="56"/>
  <c r="AD77" i="56" s="1"/>
  <c r="AC87" i="56"/>
  <c r="AB87" i="56"/>
  <c r="AA87" i="56"/>
  <c r="Z87" i="56"/>
  <c r="Z77" i="56" s="1"/>
  <c r="Y87" i="56"/>
  <c r="X87" i="56"/>
  <c r="W87" i="56"/>
  <c r="V87" i="56"/>
  <c r="T87" i="56"/>
  <c r="S87" i="56"/>
  <c r="R87" i="56"/>
  <c r="P87" i="56"/>
  <c r="O87" i="56"/>
  <c r="N87" i="56"/>
  <c r="M87" i="56"/>
  <c r="L87" i="56"/>
  <c r="K87" i="56"/>
  <c r="H87" i="56"/>
  <c r="E87" i="56"/>
  <c r="AG86" i="56"/>
  <c r="AG84" i="56" s="1"/>
  <c r="V86" i="56"/>
  <c r="U86" i="56" s="1"/>
  <c r="G86" i="56"/>
  <c r="F86" i="56"/>
  <c r="AG85" i="56"/>
  <c r="V85" i="56"/>
  <c r="V84" i="56" s="1"/>
  <c r="U85" i="56"/>
  <c r="R85" i="56"/>
  <c r="R84" i="56" s="1"/>
  <c r="R77" i="56" s="1"/>
  <c r="L85" i="56"/>
  <c r="J85" i="56"/>
  <c r="J84" i="56" s="1"/>
  <c r="J77" i="56" s="1"/>
  <c r="J70" i="56" s="1"/>
  <c r="AF84" i="56"/>
  <c r="AE84" i="56"/>
  <c r="AD84" i="56"/>
  <c r="AC84" i="56"/>
  <c r="AB84" i="56"/>
  <c r="AA84" i="56"/>
  <c r="Z84" i="56"/>
  <c r="Y84" i="56"/>
  <c r="X84" i="56"/>
  <c r="W84" i="56"/>
  <c r="T84" i="56"/>
  <c r="S84" i="56"/>
  <c r="Q84" i="56"/>
  <c r="P84" i="56"/>
  <c r="O84" i="56"/>
  <c r="N84" i="56"/>
  <c r="M84" i="56"/>
  <c r="L84" i="56"/>
  <c r="K84" i="56"/>
  <c r="I84" i="56"/>
  <c r="H84" i="56"/>
  <c r="E84" i="56"/>
  <c r="AG83" i="56"/>
  <c r="AG82" i="56" s="1"/>
  <c r="V83" i="56"/>
  <c r="U83" i="56"/>
  <c r="G83" i="56"/>
  <c r="G82" i="56" s="1"/>
  <c r="F83" i="56"/>
  <c r="AF82" i="56"/>
  <c r="AE82" i="56"/>
  <c r="AD82" i="56"/>
  <c r="AC82" i="56"/>
  <c r="AB82" i="56"/>
  <c r="AA82" i="56"/>
  <c r="Z82" i="56"/>
  <c r="Y82" i="56"/>
  <c r="X82" i="56"/>
  <c r="W82" i="56"/>
  <c r="V82" i="56"/>
  <c r="U82" i="56"/>
  <c r="T82" i="56"/>
  <c r="S82" i="56"/>
  <c r="R82" i="56"/>
  <c r="Q82" i="56"/>
  <c r="P82" i="56"/>
  <c r="O82" i="56"/>
  <c r="N82" i="56"/>
  <c r="M82" i="56"/>
  <c r="L82" i="56"/>
  <c r="K82" i="56"/>
  <c r="J82" i="56"/>
  <c r="I82" i="56"/>
  <c r="H82" i="56"/>
  <c r="E82" i="56"/>
  <c r="AG81" i="56"/>
  <c r="V81" i="56"/>
  <c r="U81" i="56"/>
  <c r="G81" i="56"/>
  <c r="F81" i="56"/>
  <c r="AH81" i="56" s="1"/>
  <c r="AG80" i="56"/>
  <c r="V80" i="56"/>
  <c r="V78" i="56" s="1"/>
  <c r="U80" i="56"/>
  <c r="U78" i="56" s="1"/>
  <c r="G80" i="56"/>
  <c r="F80" i="56"/>
  <c r="AG79" i="56"/>
  <c r="V79" i="56"/>
  <c r="U79" i="56"/>
  <c r="G79" i="56"/>
  <c r="F79" i="56"/>
  <c r="AF78" i="56"/>
  <c r="AE78" i="56"/>
  <c r="AD78" i="56"/>
  <c r="AC78" i="56"/>
  <c r="AB78" i="56"/>
  <c r="AA78" i="56"/>
  <c r="Z78" i="56"/>
  <c r="Y78" i="56"/>
  <c r="X78" i="56"/>
  <c r="W78" i="56"/>
  <c r="T78" i="56"/>
  <c r="S78" i="56"/>
  <c r="S77" i="56" s="1"/>
  <c r="R78" i="56"/>
  <c r="Q78" i="56"/>
  <c r="P78" i="56"/>
  <c r="O78" i="56"/>
  <c r="O77" i="56" s="1"/>
  <c r="N78" i="56"/>
  <c r="M78" i="56"/>
  <c r="L78" i="56"/>
  <c r="K78" i="56"/>
  <c r="K77" i="56" s="1"/>
  <c r="K70" i="56" s="1"/>
  <c r="J78" i="56"/>
  <c r="I78" i="56"/>
  <c r="H78" i="56"/>
  <c r="G78" i="56"/>
  <c r="E78" i="56"/>
  <c r="AC77" i="56"/>
  <c r="Y77" i="56"/>
  <c r="Q77" i="56"/>
  <c r="N77" i="56"/>
  <c r="M77" i="56"/>
  <c r="E77" i="56"/>
  <c r="AG76" i="56"/>
  <c r="V76" i="56"/>
  <c r="U76" i="56"/>
  <c r="G76" i="56"/>
  <c r="F76" i="56" s="1"/>
  <c r="AG75" i="56"/>
  <c r="V75" i="56"/>
  <c r="U75" i="56" s="1"/>
  <c r="G75" i="56"/>
  <c r="AG74" i="56"/>
  <c r="V74" i="56"/>
  <c r="V72" i="56" s="1"/>
  <c r="V71" i="56" s="1"/>
  <c r="G74" i="56"/>
  <c r="F74" i="56" s="1"/>
  <c r="AG73" i="56"/>
  <c r="AG72" i="56" s="1"/>
  <c r="AG71" i="56" s="1"/>
  <c r="V73" i="56"/>
  <c r="U73" i="56" s="1"/>
  <c r="G73" i="56"/>
  <c r="F73" i="56"/>
  <c r="AF72" i="56"/>
  <c r="AF71" i="56" s="1"/>
  <c r="AE72" i="56"/>
  <c r="AE71" i="56" s="1"/>
  <c r="AD72" i="56"/>
  <c r="AC72" i="56"/>
  <c r="AB72" i="56"/>
  <c r="AB71" i="56" s="1"/>
  <c r="AA72" i="56"/>
  <c r="AA71" i="56" s="1"/>
  <c r="Z72" i="56"/>
  <c r="Y72" i="56"/>
  <c r="X72" i="56"/>
  <c r="X71" i="56" s="1"/>
  <c r="W72" i="56"/>
  <c r="W71" i="56" s="1"/>
  <c r="T72" i="56"/>
  <c r="T71" i="56" s="1"/>
  <c r="S72" i="56"/>
  <c r="S71" i="56" s="1"/>
  <c r="R72" i="56"/>
  <c r="Q72" i="56"/>
  <c r="P72" i="56"/>
  <c r="P71" i="56" s="1"/>
  <c r="O72" i="56"/>
  <c r="O71" i="56" s="1"/>
  <c r="O70" i="56" s="1"/>
  <c r="N72" i="56"/>
  <c r="M72" i="56"/>
  <c r="L72" i="56"/>
  <c r="L71" i="56" s="1"/>
  <c r="K72" i="56"/>
  <c r="K71" i="56" s="1"/>
  <c r="J72" i="56"/>
  <c r="I72" i="56"/>
  <c r="H72" i="56"/>
  <c r="H71" i="56" s="1"/>
  <c r="E72" i="56"/>
  <c r="AD71" i="56"/>
  <c r="AC71" i="56"/>
  <c r="Z71" i="56"/>
  <c r="Y71" i="56"/>
  <c r="R71" i="56"/>
  <c r="R70" i="56" s="1"/>
  <c r="Q71" i="56"/>
  <c r="N71" i="56"/>
  <c r="M71" i="56"/>
  <c r="J71" i="56"/>
  <c r="I71" i="56"/>
  <c r="E71" i="56"/>
  <c r="S70" i="56"/>
  <c r="AG69" i="56"/>
  <c r="AA69" i="56"/>
  <c r="Z69" i="56"/>
  <c r="Y69" i="56"/>
  <c r="V69" i="56" s="1"/>
  <c r="W69" i="56"/>
  <c r="L69" i="56"/>
  <c r="L66" i="56" s="1"/>
  <c r="K69" i="56"/>
  <c r="J69" i="56"/>
  <c r="AG68" i="56"/>
  <c r="AG67" i="56" s="1"/>
  <c r="AG66" i="56" s="1"/>
  <c r="V68" i="56"/>
  <c r="U68" i="56"/>
  <c r="U67" i="56" s="1"/>
  <c r="G68" i="56"/>
  <c r="F68" i="56"/>
  <c r="AF67" i="56"/>
  <c r="AE67" i="56"/>
  <c r="AE66" i="56" s="1"/>
  <c r="AD67" i="56"/>
  <c r="AC67" i="56"/>
  <c r="AB67" i="56"/>
  <c r="AA67" i="56"/>
  <c r="AA66" i="56" s="1"/>
  <c r="Z67" i="56"/>
  <c r="Y67" i="56"/>
  <c r="X67" i="56"/>
  <c r="W67" i="56"/>
  <c r="W66" i="56" s="1"/>
  <c r="V67" i="56"/>
  <c r="T67" i="56"/>
  <c r="S67" i="56"/>
  <c r="S66" i="56" s="1"/>
  <c r="R67" i="56"/>
  <c r="Q67" i="56"/>
  <c r="P67" i="56"/>
  <c r="O67" i="56"/>
  <c r="O66" i="56" s="1"/>
  <c r="N67" i="56"/>
  <c r="M67" i="56"/>
  <c r="L67" i="56"/>
  <c r="K67" i="56"/>
  <c r="K66" i="56" s="1"/>
  <c r="J67" i="56"/>
  <c r="I67" i="56"/>
  <c r="H67" i="56"/>
  <c r="G67" i="56"/>
  <c r="E67" i="56"/>
  <c r="AF66" i="56"/>
  <c r="AD66" i="56"/>
  <c r="AC66" i="56"/>
  <c r="AB66" i="56"/>
  <c r="Z66" i="56"/>
  <c r="Y66" i="56"/>
  <c r="X66" i="56"/>
  <c r="T66" i="56"/>
  <c r="R66" i="56"/>
  <c r="Q66" i="56"/>
  <c r="P66" i="56"/>
  <c r="N66" i="56"/>
  <c r="M66" i="56"/>
  <c r="J66" i="56"/>
  <c r="I66" i="56"/>
  <c r="H66" i="56"/>
  <c r="E66" i="56"/>
  <c r="V65" i="56"/>
  <c r="U65" i="56"/>
  <c r="J65" i="56"/>
  <c r="G65" i="56" s="1"/>
  <c r="I65" i="56"/>
  <c r="F65" i="56"/>
  <c r="AH65" i="56" s="1"/>
  <c r="E65" i="56"/>
  <c r="AG64" i="56"/>
  <c r="V64" i="56"/>
  <c r="U64" i="56"/>
  <c r="O64" i="56"/>
  <c r="H64" i="56"/>
  <c r="G64" i="56"/>
  <c r="F64" i="56"/>
  <c r="AH64" i="56" s="1"/>
  <c r="E64" i="56"/>
  <c r="AG63" i="56"/>
  <c r="V63" i="56"/>
  <c r="U63" i="56" s="1"/>
  <c r="R63" i="56"/>
  <c r="L63" i="56"/>
  <c r="L62" i="56" s="1"/>
  <c r="I63" i="56"/>
  <c r="H63" i="56"/>
  <c r="AF62" i="56"/>
  <c r="AE62" i="56"/>
  <c r="AE61" i="56" s="1"/>
  <c r="AD62" i="56"/>
  <c r="AD61" i="56" s="1"/>
  <c r="AC62" i="56"/>
  <c r="AB62" i="56"/>
  <c r="AA62" i="56"/>
  <c r="AA61" i="56" s="1"/>
  <c r="Z62" i="56"/>
  <c r="Z61" i="56" s="1"/>
  <c r="Y62" i="56"/>
  <c r="X62" i="56"/>
  <c r="W62" i="56"/>
  <c r="W61" i="56" s="1"/>
  <c r="V62" i="56"/>
  <c r="V61" i="56" s="1"/>
  <c r="T62" i="56"/>
  <c r="S62" i="56"/>
  <c r="S61" i="56" s="1"/>
  <c r="R62" i="56"/>
  <c r="R61" i="56" s="1"/>
  <c r="Q62" i="56"/>
  <c r="P62" i="56"/>
  <c r="O62" i="56"/>
  <c r="O61" i="56" s="1"/>
  <c r="N62" i="56"/>
  <c r="N61" i="56" s="1"/>
  <c r="M62" i="56"/>
  <c r="K62" i="56"/>
  <c r="K61" i="56" s="1"/>
  <c r="J62" i="56"/>
  <c r="J61" i="56" s="1"/>
  <c r="H62" i="56"/>
  <c r="AF61" i="56"/>
  <c r="AC61" i="56"/>
  <c r="AB61" i="56"/>
  <c r="Y61" i="56"/>
  <c r="X61" i="56"/>
  <c r="T61" i="56"/>
  <c r="Q61" i="56"/>
  <c r="P61" i="56"/>
  <c r="M61" i="56"/>
  <c r="L61" i="56"/>
  <c r="H61" i="56"/>
  <c r="AG60" i="56"/>
  <c r="V60" i="56"/>
  <c r="U60" i="56"/>
  <c r="G60" i="56"/>
  <c r="F60" i="56" s="1"/>
  <c r="AH60" i="56" s="1"/>
  <c r="AG59" i="56"/>
  <c r="V59" i="56"/>
  <c r="G59" i="56"/>
  <c r="F59" i="56"/>
  <c r="AG58" i="56"/>
  <c r="V58" i="56"/>
  <c r="U58" i="56"/>
  <c r="G58" i="56"/>
  <c r="AG57" i="56"/>
  <c r="AG54" i="56" s="1"/>
  <c r="AF57" i="56"/>
  <c r="AF54" i="56" s="1"/>
  <c r="AE57" i="56"/>
  <c r="AD57" i="56"/>
  <c r="AC57" i="56"/>
  <c r="AC54" i="56" s="1"/>
  <c r="AB57" i="56"/>
  <c r="AB54" i="56" s="1"/>
  <c r="AA57" i="56"/>
  <c r="Z57" i="56"/>
  <c r="Y57" i="56"/>
  <c r="Y54" i="56" s="1"/>
  <c r="X57" i="56"/>
  <c r="X54" i="56" s="1"/>
  <c r="W57" i="56"/>
  <c r="T57" i="56"/>
  <c r="T54" i="56" s="1"/>
  <c r="S57" i="56"/>
  <c r="R57" i="56"/>
  <c r="Q57" i="56"/>
  <c r="P57" i="56"/>
  <c r="P54" i="56" s="1"/>
  <c r="O57" i="56"/>
  <c r="N57" i="56"/>
  <c r="M57" i="56"/>
  <c r="L57" i="56"/>
  <c r="L54" i="56" s="1"/>
  <c r="K57" i="56"/>
  <c r="J57" i="56"/>
  <c r="I57" i="56"/>
  <c r="H57" i="56"/>
  <c r="H54" i="56" s="1"/>
  <c r="E57" i="56"/>
  <c r="E54" i="56" s="1"/>
  <c r="AG56" i="56"/>
  <c r="V56" i="56"/>
  <c r="U56" i="56"/>
  <c r="U55" i="56" s="1"/>
  <c r="G56" i="56"/>
  <c r="AG55" i="56"/>
  <c r="AF55" i="56"/>
  <c r="AE55" i="56"/>
  <c r="AD55" i="56"/>
  <c r="AC55" i="56"/>
  <c r="AB55" i="56"/>
  <c r="AA55" i="56"/>
  <c r="Z55" i="56"/>
  <c r="Y55" i="56"/>
  <c r="X55" i="56"/>
  <c r="W55" i="56"/>
  <c r="V55" i="56"/>
  <c r="T55" i="56"/>
  <c r="S55" i="56"/>
  <c r="R55" i="56"/>
  <c r="Q55" i="56"/>
  <c r="P55" i="56"/>
  <c r="O55" i="56"/>
  <c r="N55" i="56"/>
  <c r="M55" i="56"/>
  <c r="L55" i="56"/>
  <c r="K55" i="56"/>
  <c r="J55" i="56"/>
  <c r="I55" i="56"/>
  <c r="H55" i="56"/>
  <c r="E55" i="56"/>
  <c r="AE54" i="56"/>
  <c r="AD54" i="56"/>
  <c r="AA54" i="56"/>
  <c r="Z54" i="56"/>
  <c r="W54" i="56"/>
  <c r="S54" i="56"/>
  <c r="R54" i="56"/>
  <c r="O54" i="56"/>
  <c r="N54" i="56"/>
  <c r="K54" i="56"/>
  <c r="J54" i="56"/>
  <c r="AG53" i="56"/>
  <c r="AG51" i="56" s="1"/>
  <c r="AG50" i="56" s="1"/>
  <c r="V53" i="56"/>
  <c r="U53" i="56" s="1"/>
  <c r="H53" i="56"/>
  <c r="H51" i="56" s="1"/>
  <c r="G53" i="56"/>
  <c r="G51" i="56" s="1"/>
  <c r="G50" i="56" s="1"/>
  <c r="F53" i="56"/>
  <c r="AG52" i="56"/>
  <c r="V52" i="56"/>
  <c r="U52" i="56"/>
  <c r="U51" i="56" s="1"/>
  <c r="U50" i="56" s="1"/>
  <c r="G52" i="56"/>
  <c r="F52" i="56"/>
  <c r="AF51" i="56"/>
  <c r="AE51" i="56"/>
  <c r="AD51" i="56"/>
  <c r="AD50" i="56" s="1"/>
  <c r="AC51" i="56"/>
  <c r="AC50" i="56" s="1"/>
  <c r="AB51" i="56"/>
  <c r="AA51" i="56"/>
  <c r="Z51" i="56"/>
  <c r="Z50" i="56" s="1"/>
  <c r="Y51" i="56"/>
  <c r="Y50" i="56" s="1"/>
  <c r="X51" i="56"/>
  <c r="W51" i="56"/>
  <c r="T51" i="56"/>
  <c r="S51" i="56"/>
  <c r="R51" i="56"/>
  <c r="R50" i="56" s="1"/>
  <c r="Q51" i="56"/>
  <c r="Q50" i="56" s="1"/>
  <c r="P51" i="56"/>
  <c r="O51" i="56"/>
  <c r="N51" i="56"/>
  <c r="N50" i="56" s="1"/>
  <c r="M51" i="56"/>
  <c r="M50" i="56" s="1"/>
  <c r="L51" i="56"/>
  <c r="K51" i="56"/>
  <c r="J51" i="56"/>
  <c r="J50" i="56" s="1"/>
  <c r="I51" i="56"/>
  <c r="I50" i="56" s="1"/>
  <c r="E51" i="56"/>
  <c r="E50" i="56" s="1"/>
  <c r="AF50" i="56"/>
  <c r="AE50" i="56"/>
  <c r="AB50" i="56"/>
  <c r="AA50" i="56"/>
  <c r="X50" i="56"/>
  <c r="W50" i="56"/>
  <c r="T50" i="56"/>
  <c r="S50" i="56"/>
  <c r="P50" i="56"/>
  <c r="O50" i="56"/>
  <c r="L50" i="56"/>
  <c r="K50" i="56"/>
  <c r="H50" i="56"/>
  <c r="AG49" i="56"/>
  <c r="V49" i="56"/>
  <c r="U49" i="56"/>
  <c r="G49" i="56"/>
  <c r="E49" i="56"/>
  <c r="AG48" i="56"/>
  <c r="AG47" i="56" s="1"/>
  <c r="AF48" i="56"/>
  <c r="AF47" i="56" s="1"/>
  <c r="AE48" i="56"/>
  <c r="AD48" i="56"/>
  <c r="AC48" i="56"/>
  <c r="AC47" i="56" s="1"/>
  <c r="AB48" i="56"/>
  <c r="AB47" i="56" s="1"/>
  <c r="AA48" i="56"/>
  <c r="Z48" i="56"/>
  <c r="Y48" i="56"/>
  <c r="Y47" i="56" s="1"/>
  <c r="X48" i="56"/>
  <c r="X47" i="56" s="1"/>
  <c r="W48" i="56"/>
  <c r="V48" i="56"/>
  <c r="U48" i="56"/>
  <c r="U47" i="56" s="1"/>
  <c r="T48" i="56"/>
  <c r="T47" i="56" s="1"/>
  <c r="S48" i="56"/>
  <c r="R48" i="56"/>
  <c r="Q48" i="56"/>
  <c r="Q47" i="56" s="1"/>
  <c r="P48" i="56"/>
  <c r="P47" i="56" s="1"/>
  <c r="O48" i="56"/>
  <c r="N48" i="56"/>
  <c r="M48" i="56"/>
  <c r="M47" i="56" s="1"/>
  <c r="L48" i="56"/>
  <c r="L47" i="56" s="1"/>
  <c r="K48" i="56"/>
  <c r="J48" i="56"/>
  <c r="I48" i="56"/>
  <c r="I47" i="56" s="1"/>
  <c r="H48" i="56"/>
  <c r="H47" i="56" s="1"/>
  <c r="E48" i="56"/>
  <c r="E47" i="56" s="1"/>
  <c r="AE47" i="56"/>
  <c r="AD47" i="56"/>
  <c r="AA47" i="56"/>
  <c r="Z47" i="56"/>
  <c r="W47" i="56"/>
  <c r="S47" i="56"/>
  <c r="R47" i="56"/>
  <c r="O47" i="56"/>
  <c r="N47" i="56"/>
  <c r="K47" i="56"/>
  <c r="J47" i="56"/>
  <c r="AG46" i="56"/>
  <c r="AG45" i="56" s="1"/>
  <c r="V46" i="56"/>
  <c r="U46" i="56" s="1"/>
  <c r="U45" i="56" s="1"/>
  <c r="G46" i="56"/>
  <c r="F46" i="56"/>
  <c r="AF45" i="56"/>
  <c r="AE45" i="56"/>
  <c r="AE44" i="56" s="1"/>
  <c r="AD45" i="56"/>
  <c r="AD44" i="56" s="1"/>
  <c r="AC45" i="56"/>
  <c r="AB45" i="56"/>
  <c r="AA45" i="56"/>
  <c r="AA44" i="56" s="1"/>
  <c r="Z45" i="56"/>
  <c r="Z44" i="56" s="1"/>
  <c r="Y45" i="56"/>
  <c r="X45" i="56"/>
  <c r="W45" i="56"/>
  <c r="W44" i="56" s="1"/>
  <c r="V45" i="56"/>
  <c r="V44" i="56" s="1"/>
  <c r="T45" i="56"/>
  <c r="S45" i="56"/>
  <c r="S44" i="56" s="1"/>
  <c r="R45" i="56"/>
  <c r="R44" i="56" s="1"/>
  <c r="Q45" i="56"/>
  <c r="P45" i="56"/>
  <c r="O45" i="56"/>
  <c r="O44" i="56" s="1"/>
  <c r="N45" i="56"/>
  <c r="N44" i="56" s="1"/>
  <c r="M45" i="56"/>
  <c r="L45" i="56"/>
  <c r="K45" i="56"/>
  <c r="K44" i="56" s="1"/>
  <c r="J45" i="56"/>
  <c r="J44" i="56" s="1"/>
  <c r="I45" i="56"/>
  <c r="H45" i="56"/>
  <c r="G45" i="56"/>
  <c r="G44" i="56" s="1"/>
  <c r="E45" i="56"/>
  <c r="AG44" i="56"/>
  <c r="AF44" i="56"/>
  <c r="AC44" i="56"/>
  <c r="AB44" i="56"/>
  <c r="Y44" i="56"/>
  <c r="X44" i="56"/>
  <c r="U44" i="56"/>
  <c r="T44" i="56"/>
  <c r="Q44" i="56"/>
  <c r="P44" i="56"/>
  <c r="M44" i="56"/>
  <c r="L44" i="56"/>
  <c r="I44" i="56"/>
  <c r="H44" i="56"/>
  <c r="E44" i="56"/>
  <c r="AG43" i="56"/>
  <c r="V43" i="56"/>
  <c r="U43" i="56"/>
  <c r="G43" i="56"/>
  <c r="F43" i="56" s="1"/>
  <c r="AH43" i="56" s="1"/>
  <c r="AG42" i="56"/>
  <c r="V42" i="56"/>
  <c r="U42" i="56" s="1"/>
  <c r="G42" i="56"/>
  <c r="F42" i="56"/>
  <c r="AH42" i="56" s="1"/>
  <c r="AG41" i="56"/>
  <c r="V41" i="56"/>
  <c r="U41" i="56"/>
  <c r="G41" i="56"/>
  <c r="F41" i="56" s="1"/>
  <c r="AH41" i="56" s="1"/>
  <c r="AG40" i="56"/>
  <c r="V40" i="56"/>
  <c r="G40" i="56"/>
  <c r="F40" i="56"/>
  <c r="AF39" i="56"/>
  <c r="AE39" i="56"/>
  <c r="AE35" i="56" s="1"/>
  <c r="AD39" i="56"/>
  <c r="AC39" i="56"/>
  <c r="AB39" i="56"/>
  <c r="AA39" i="56"/>
  <c r="Z39" i="56"/>
  <c r="Y39" i="56"/>
  <c r="X39" i="56"/>
  <c r="W39" i="56"/>
  <c r="W35" i="56" s="1"/>
  <c r="T39" i="56"/>
  <c r="S39" i="56"/>
  <c r="R39" i="56"/>
  <c r="R35" i="56" s="1"/>
  <c r="Q39" i="56"/>
  <c r="P39" i="56"/>
  <c r="O39" i="56"/>
  <c r="O35" i="56" s="1"/>
  <c r="N39" i="56"/>
  <c r="M39" i="56"/>
  <c r="L39" i="56"/>
  <c r="K39" i="56"/>
  <c r="K35" i="56" s="1"/>
  <c r="J39" i="56"/>
  <c r="J35" i="56" s="1"/>
  <c r="I39" i="56"/>
  <c r="H39" i="56"/>
  <c r="G39" i="56"/>
  <c r="F39" i="56"/>
  <c r="E39" i="56"/>
  <c r="AG38" i="56"/>
  <c r="V38" i="56"/>
  <c r="G38" i="56"/>
  <c r="F38" i="56"/>
  <c r="AG37" i="56"/>
  <c r="V37" i="56"/>
  <c r="U37" i="56"/>
  <c r="G37" i="56"/>
  <c r="AG36" i="56"/>
  <c r="AF36" i="56"/>
  <c r="AF35" i="56" s="1"/>
  <c r="AE36" i="56"/>
  <c r="AD36" i="56"/>
  <c r="AC36" i="56"/>
  <c r="AC35" i="56" s="1"/>
  <c r="AB36" i="56"/>
  <c r="AB35" i="56" s="1"/>
  <c r="AA36" i="56"/>
  <c r="Z36" i="56"/>
  <c r="Y36" i="56"/>
  <c r="Y35" i="56" s="1"/>
  <c r="X36" i="56"/>
  <c r="X35" i="56" s="1"/>
  <c r="W36" i="56"/>
  <c r="T36" i="56"/>
  <c r="T35" i="56" s="1"/>
  <c r="S36" i="56"/>
  <c r="R36" i="56"/>
  <c r="Q36" i="56"/>
  <c r="Q35" i="56" s="1"/>
  <c r="P36" i="56"/>
  <c r="P35" i="56" s="1"/>
  <c r="O36" i="56"/>
  <c r="N36" i="56"/>
  <c r="M36" i="56"/>
  <c r="M35" i="56" s="1"/>
  <c r="L36" i="56"/>
  <c r="L35" i="56" s="1"/>
  <c r="K36" i="56"/>
  <c r="J36" i="56"/>
  <c r="I36" i="56"/>
  <c r="I35" i="56" s="1"/>
  <c r="H36" i="56"/>
  <c r="H35" i="56" s="1"/>
  <c r="E36" i="56"/>
  <c r="E35" i="56" s="1"/>
  <c r="AD35" i="56"/>
  <c r="AA35" i="56"/>
  <c r="Z35" i="56"/>
  <c r="S35" i="56"/>
  <c r="N35" i="56"/>
  <c r="V34" i="56"/>
  <c r="G34" i="56"/>
  <c r="E34" i="56"/>
  <c r="E33" i="56" s="1"/>
  <c r="E32" i="56" s="1"/>
  <c r="AF33" i="56"/>
  <c r="AF32" i="56" s="1"/>
  <c r="AE33" i="56"/>
  <c r="AE32" i="56" s="1"/>
  <c r="AD33" i="56"/>
  <c r="AC33" i="56"/>
  <c r="AB33" i="56"/>
  <c r="AB32" i="56" s="1"/>
  <c r="AB29" i="56" s="1"/>
  <c r="AA33" i="56"/>
  <c r="AA32" i="56" s="1"/>
  <c r="Z33" i="56"/>
  <c r="Y33" i="56"/>
  <c r="X33" i="56"/>
  <c r="X32" i="56" s="1"/>
  <c r="W33" i="56"/>
  <c r="W32" i="56" s="1"/>
  <c r="T33" i="56"/>
  <c r="T32" i="56" s="1"/>
  <c r="T29" i="56" s="1"/>
  <c r="S33" i="56"/>
  <c r="S32" i="56" s="1"/>
  <c r="S29" i="56" s="1"/>
  <c r="R33" i="56"/>
  <c r="Q33" i="56"/>
  <c r="P33" i="56"/>
  <c r="P32" i="56" s="1"/>
  <c r="O33" i="56"/>
  <c r="O32" i="56" s="1"/>
  <c r="O29" i="56" s="1"/>
  <c r="N33" i="56"/>
  <c r="M33" i="56"/>
  <c r="L33" i="56"/>
  <c r="L32" i="56" s="1"/>
  <c r="L29" i="56" s="1"/>
  <c r="K33" i="56"/>
  <c r="K32" i="56" s="1"/>
  <c r="J33" i="56"/>
  <c r="I33" i="56"/>
  <c r="H33" i="56"/>
  <c r="H32" i="56" s="1"/>
  <c r="G33" i="56"/>
  <c r="G32" i="56" s="1"/>
  <c r="G29" i="56" s="1"/>
  <c r="AD32" i="56"/>
  <c r="AC32" i="56"/>
  <c r="Z32" i="56"/>
  <c r="Y32" i="56"/>
  <c r="R32" i="56"/>
  <c r="Q32" i="56"/>
  <c r="N32" i="56"/>
  <c r="M32" i="56"/>
  <c r="J32" i="56"/>
  <c r="I32" i="56"/>
  <c r="AG31" i="56"/>
  <c r="V31" i="56"/>
  <c r="U31" i="56"/>
  <c r="U30" i="56" s="1"/>
  <c r="G31" i="56"/>
  <c r="F31" i="56"/>
  <c r="AG30" i="56"/>
  <c r="AF30" i="56"/>
  <c r="AE30" i="56"/>
  <c r="AD30" i="56"/>
  <c r="AC30" i="56"/>
  <c r="AC29" i="56" s="1"/>
  <c r="AB30" i="56"/>
  <c r="AA30" i="56"/>
  <c r="Z30" i="56"/>
  <c r="Y30" i="56"/>
  <c r="Y29" i="56" s="1"/>
  <c r="X30" i="56"/>
  <c r="W30" i="56"/>
  <c r="V30" i="56"/>
  <c r="T30" i="56"/>
  <c r="S30" i="56"/>
  <c r="R30" i="56"/>
  <c r="Q30" i="56"/>
  <c r="Q29" i="56" s="1"/>
  <c r="P30" i="56"/>
  <c r="O30" i="56"/>
  <c r="N30" i="56"/>
  <c r="M30" i="56"/>
  <c r="M29" i="56" s="1"/>
  <c r="L30" i="56"/>
  <c r="K30" i="56"/>
  <c r="J30" i="56"/>
  <c r="I30" i="56"/>
  <c r="I29" i="56" s="1"/>
  <c r="H30" i="56"/>
  <c r="G30" i="56"/>
  <c r="F30" i="56"/>
  <c r="E30" i="56"/>
  <c r="AF29" i="56"/>
  <c r="AE29" i="56"/>
  <c r="AA29" i="56"/>
  <c r="X29" i="56"/>
  <c r="W29" i="56"/>
  <c r="P29" i="56"/>
  <c r="K29" i="56"/>
  <c r="H29" i="56"/>
  <c r="AG28" i="56"/>
  <c r="AG26" i="56" s="1"/>
  <c r="V28" i="56"/>
  <c r="U28" i="56"/>
  <c r="G28" i="56"/>
  <c r="G26" i="56" s="1"/>
  <c r="F28" i="56"/>
  <c r="AH28" i="56" s="1"/>
  <c r="AG27" i="56"/>
  <c r="V27" i="56"/>
  <c r="U27" i="56" s="1"/>
  <c r="U26" i="56" s="1"/>
  <c r="G27" i="56"/>
  <c r="F27" i="56"/>
  <c r="AF26" i="56"/>
  <c r="AE26" i="56"/>
  <c r="AD26" i="56"/>
  <c r="AC26" i="56"/>
  <c r="AB26" i="56"/>
  <c r="AA26" i="56"/>
  <c r="Z26" i="56"/>
  <c r="Y26" i="56"/>
  <c r="X26" i="56"/>
  <c r="W26" i="56"/>
  <c r="V26" i="56"/>
  <c r="T26" i="56"/>
  <c r="S26" i="56"/>
  <c r="R26" i="56"/>
  <c r="Q26" i="56"/>
  <c r="P26" i="56"/>
  <c r="O26" i="56"/>
  <c r="N26" i="56"/>
  <c r="M26" i="56"/>
  <c r="L26" i="56"/>
  <c r="K26" i="56"/>
  <c r="J26" i="56"/>
  <c r="I26" i="56"/>
  <c r="H26" i="56"/>
  <c r="E26" i="56"/>
  <c r="AG25" i="56"/>
  <c r="V25" i="56"/>
  <c r="V23" i="56" s="1"/>
  <c r="G25" i="56"/>
  <c r="F25" i="56"/>
  <c r="AG24" i="56"/>
  <c r="AG23" i="56" s="1"/>
  <c r="V24" i="56"/>
  <c r="U24" i="56"/>
  <c r="G24" i="56"/>
  <c r="G23" i="56" s="1"/>
  <c r="AF23" i="56"/>
  <c r="AE23" i="56"/>
  <c r="AD23" i="56"/>
  <c r="AC23" i="56"/>
  <c r="AB23" i="56"/>
  <c r="AA23" i="56"/>
  <c r="Z23" i="56"/>
  <c r="Y23" i="56"/>
  <c r="X23" i="56"/>
  <c r="W23" i="56"/>
  <c r="T23" i="56"/>
  <c r="T19" i="56" s="1"/>
  <c r="T18" i="56" s="1"/>
  <c r="S23" i="56"/>
  <c r="R23" i="56"/>
  <c r="Q23" i="56"/>
  <c r="P23" i="56"/>
  <c r="P19" i="56" s="1"/>
  <c r="P18" i="56" s="1"/>
  <c r="O23" i="56"/>
  <c r="N23" i="56"/>
  <c r="M23" i="56"/>
  <c r="L23" i="56"/>
  <c r="K23" i="56"/>
  <c r="J23" i="56"/>
  <c r="I23" i="56"/>
  <c r="H23" i="56"/>
  <c r="E23" i="56"/>
  <c r="AG22" i="56"/>
  <c r="V22" i="56"/>
  <c r="U22" i="56"/>
  <c r="G22" i="56"/>
  <c r="AG21" i="56"/>
  <c r="V21" i="56"/>
  <c r="U21" i="56"/>
  <c r="U20" i="56" s="1"/>
  <c r="G21" i="56"/>
  <c r="F21" i="56"/>
  <c r="AG20" i="56"/>
  <c r="AG19" i="56" s="1"/>
  <c r="AG18" i="56" s="1"/>
  <c r="AF20" i="56"/>
  <c r="AE20" i="56"/>
  <c r="AD20" i="56"/>
  <c r="AD19" i="56" s="1"/>
  <c r="AC20" i="56"/>
  <c r="AC19" i="56" s="1"/>
  <c r="AC18" i="56" s="1"/>
  <c r="AB20" i="56"/>
  <c r="AA20" i="56"/>
  <c r="Z20" i="56"/>
  <c r="Z19" i="56" s="1"/>
  <c r="Y20" i="56"/>
  <c r="Y19" i="56" s="1"/>
  <c r="Y18" i="56" s="1"/>
  <c r="X20" i="56"/>
  <c r="W20" i="56"/>
  <c r="V20" i="56"/>
  <c r="T20" i="56"/>
  <c r="S20" i="56"/>
  <c r="R20" i="56"/>
  <c r="R19" i="56" s="1"/>
  <c r="Q20" i="56"/>
  <c r="P20" i="56"/>
  <c r="O20" i="56"/>
  <c r="N20" i="56"/>
  <c r="N19" i="56" s="1"/>
  <c r="M20" i="56"/>
  <c r="M19" i="56" s="1"/>
  <c r="M18" i="56" s="1"/>
  <c r="L20" i="56"/>
  <c r="K20" i="56"/>
  <c r="J20" i="56"/>
  <c r="J19" i="56" s="1"/>
  <c r="I20" i="56"/>
  <c r="I19" i="56" s="1"/>
  <c r="I18" i="56" s="1"/>
  <c r="H20" i="56"/>
  <c r="E20" i="56"/>
  <c r="E19" i="56" s="1"/>
  <c r="AF19" i="56"/>
  <c r="AF18" i="56" s="1"/>
  <c r="AE19" i="56"/>
  <c r="AB19" i="56"/>
  <c r="AB18" i="56" s="1"/>
  <c r="AA19" i="56"/>
  <c r="X19" i="56"/>
  <c r="X18" i="56" s="1"/>
  <c r="W19" i="56"/>
  <c r="W18" i="56" s="1"/>
  <c r="S19" i="56"/>
  <c r="S18" i="56" s="1"/>
  <c r="Q19" i="56"/>
  <c r="Q18" i="56" s="1"/>
  <c r="O19" i="56"/>
  <c r="L19" i="56"/>
  <c r="L18" i="56" s="1"/>
  <c r="K19" i="56"/>
  <c r="H19" i="56"/>
  <c r="H18" i="56" s="1"/>
  <c r="AE18" i="56"/>
  <c r="AD18" i="56"/>
  <c r="AA18" i="56"/>
  <c r="Z18" i="56"/>
  <c r="R18" i="56"/>
  <c r="O18" i="56"/>
  <c r="N18" i="56"/>
  <c r="K18" i="56"/>
  <c r="J18" i="56"/>
  <c r="E18" i="56"/>
  <c r="AG17" i="56"/>
  <c r="V17" i="56"/>
  <c r="U17" i="56"/>
  <c r="G17" i="56"/>
  <c r="AG16" i="56"/>
  <c r="AG15" i="56" s="1"/>
  <c r="V16" i="56"/>
  <c r="U16" i="56" s="1"/>
  <c r="G16" i="56"/>
  <c r="F16" i="56"/>
  <c r="AF15" i="56"/>
  <c r="AE15" i="56"/>
  <c r="AE14" i="56" s="1"/>
  <c r="AD15" i="56"/>
  <c r="AD14" i="56" s="1"/>
  <c r="AD13" i="56" s="1"/>
  <c r="AC15" i="56"/>
  <c r="AB15" i="56"/>
  <c r="AA15" i="56"/>
  <c r="AA14" i="56" s="1"/>
  <c r="Z15" i="56"/>
  <c r="Z14" i="56" s="1"/>
  <c r="Y15" i="56"/>
  <c r="X15" i="56"/>
  <c r="W15" i="56"/>
  <c r="W14" i="56" s="1"/>
  <c r="V15" i="56"/>
  <c r="V14" i="56" s="1"/>
  <c r="V13" i="56" s="1"/>
  <c r="T15" i="56"/>
  <c r="S15" i="56"/>
  <c r="S14" i="56" s="1"/>
  <c r="R15" i="56"/>
  <c r="R14" i="56" s="1"/>
  <c r="Q15" i="56"/>
  <c r="P15" i="56"/>
  <c r="O15" i="56"/>
  <c r="O14" i="56" s="1"/>
  <c r="N15" i="56"/>
  <c r="N14" i="56" s="1"/>
  <c r="N13" i="56" s="1"/>
  <c r="M15" i="56"/>
  <c r="L15" i="56"/>
  <c r="K15" i="56"/>
  <c r="K14" i="56" s="1"/>
  <c r="J15" i="56"/>
  <c r="J14" i="56" s="1"/>
  <c r="I15" i="56"/>
  <c r="H15" i="56"/>
  <c r="E15" i="56"/>
  <c r="AG14" i="56"/>
  <c r="AG13" i="56" s="1"/>
  <c r="AF14" i="56"/>
  <c r="AF13" i="56" s="1"/>
  <c r="AC14" i="56"/>
  <c r="AC13" i="56" s="1"/>
  <c r="AB14" i="56"/>
  <c r="AB13" i="56" s="1"/>
  <c r="Y14" i="56"/>
  <c r="Y13" i="56" s="1"/>
  <c r="X14" i="56"/>
  <c r="X13" i="56" s="1"/>
  <c r="T14" i="56"/>
  <c r="T13" i="56" s="1"/>
  <c r="Q14" i="56"/>
  <c r="Q13" i="56" s="1"/>
  <c r="P14" i="56"/>
  <c r="P13" i="56" s="1"/>
  <c r="M14" i="56"/>
  <c r="M13" i="56" s="1"/>
  <c r="L14" i="56"/>
  <c r="L13" i="56" s="1"/>
  <c r="I14" i="56"/>
  <c r="I13" i="56" s="1"/>
  <c r="H14" i="56"/>
  <c r="H13" i="56" s="1"/>
  <c r="E14" i="56"/>
  <c r="E13" i="56" s="1"/>
  <c r="AE13" i="56"/>
  <c r="AA13" i="56"/>
  <c r="Z13" i="56"/>
  <c r="W13" i="56"/>
  <c r="S13" i="56"/>
  <c r="R13" i="56"/>
  <c r="O13" i="56"/>
  <c r="O98" i="56" s="1"/>
  <c r="O11" i="56" s="1"/>
  <c r="O154" i="56" s="1"/>
  <c r="K13" i="56"/>
  <c r="J13" i="56"/>
  <c r="BT282" i="55"/>
  <c r="BR280" i="55"/>
  <c r="BN280" i="55"/>
  <c r="BF280" i="55"/>
  <c r="AT280" i="55"/>
  <c r="AP280" i="55"/>
  <c r="AL280" i="55"/>
  <c r="AH280" i="55"/>
  <c r="R280" i="55"/>
  <c r="BP277" i="55"/>
  <c r="BM277" i="55"/>
  <c r="BM276" i="55" s="1"/>
  <c r="BM280" i="55" s="1"/>
  <c r="BL277" i="55"/>
  <c r="BK277" i="55"/>
  <c r="BJ277" i="55"/>
  <c r="BJ276" i="55" s="1"/>
  <c r="BJ280" i="55" s="1"/>
  <c r="BI277" i="55"/>
  <c r="BF277" i="55"/>
  <c r="BF276" i="55" s="1"/>
  <c r="BB277" i="55"/>
  <c r="AY277" i="55"/>
  <c r="AV277" i="55"/>
  <c r="AU277" i="55"/>
  <c r="AS277" i="55"/>
  <c r="AO277" i="55"/>
  <c r="AG277" i="55"/>
  <c r="AE277" i="55" s="1"/>
  <c r="AF277" i="55"/>
  <c r="Z277" i="55"/>
  <c r="Z276" i="55" s="1"/>
  <c r="X277" i="55"/>
  <c r="V277" i="55"/>
  <c r="V276" i="55" s="1"/>
  <c r="Q277" i="55"/>
  <c r="P277" i="55"/>
  <c r="O277" i="55"/>
  <c r="N277" i="55"/>
  <c r="N276" i="55" s="1"/>
  <c r="M277" i="55"/>
  <c r="K277" i="55"/>
  <c r="J277" i="55" s="1"/>
  <c r="J276" i="55" s="1"/>
  <c r="H277" i="55"/>
  <c r="F277" i="55"/>
  <c r="F276" i="55" s="1"/>
  <c r="BS276" i="55"/>
  <c r="BS280" i="55" s="1"/>
  <c r="BR276" i="55"/>
  <c r="BQ276" i="55"/>
  <c r="BQ280" i="55" s="1"/>
  <c r="BP276" i="55"/>
  <c r="BP280" i="55" s="1"/>
  <c r="BO276" i="55"/>
  <c r="BO280" i="55" s="1"/>
  <c r="BN276" i="55"/>
  <c r="BL276" i="55"/>
  <c r="BK276" i="55"/>
  <c r="BK280" i="55" s="1"/>
  <c r="BE276" i="55"/>
  <c r="BE280" i="55" s="1"/>
  <c r="BD276" i="55"/>
  <c r="BD280" i="55" s="1"/>
  <c r="BC276" i="55"/>
  <c r="BC280" i="55" s="1"/>
  <c r="AY276" i="55"/>
  <c r="AY280" i="55" s="1"/>
  <c r="AX276" i="55"/>
  <c r="AW276" i="55"/>
  <c r="AW280" i="55" s="1"/>
  <c r="AV276" i="55"/>
  <c r="AV280" i="55" s="1"/>
  <c r="AU276" i="55"/>
  <c r="AU280" i="55" s="1"/>
  <c r="AT276" i="55"/>
  <c r="AR276" i="55"/>
  <c r="AR280" i="55" s="1"/>
  <c r="AQ276" i="55"/>
  <c r="AQ280" i="55" s="1"/>
  <c r="AP276" i="55"/>
  <c r="AO276" i="55"/>
  <c r="AL276" i="55"/>
  <c r="AK276" i="55"/>
  <c r="AK280" i="55" s="1"/>
  <c r="AJ276" i="55"/>
  <c r="AJ280" i="55" s="1"/>
  <c r="AI276" i="55"/>
  <c r="AH276" i="55"/>
  <c r="AG276" i="55"/>
  <c r="AF276" i="55"/>
  <c r="AC276" i="55"/>
  <c r="AC280" i="55" s="1"/>
  <c r="AB276" i="55"/>
  <c r="AB280" i="55" s="1"/>
  <c r="AA276" i="55"/>
  <c r="AA280" i="55" s="1"/>
  <c r="Y276" i="55"/>
  <c r="X276" i="55"/>
  <c r="X280" i="55" s="1"/>
  <c r="W276" i="55"/>
  <c r="W280" i="55" s="1"/>
  <c r="U276" i="55"/>
  <c r="U280" i="55" s="1"/>
  <c r="T276" i="55"/>
  <c r="S276" i="55"/>
  <c r="R276" i="55"/>
  <c r="Q276" i="55"/>
  <c r="P276" i="55"/>
  <c r="O276" i="55"/>
  <c r="M276" i="55"/>
  <c r="L276" i="55"/>
  <c r="L280" i="55" s="1"/>
  <c r="K276" i="55"/>
  <c r="H276" i="55"/>
  <c r="BH274" i="55"/>
  <c r="BG274" i="55"/>
  <c r="BA274" i="55"/>
  <c r="AZ274" i="55" s="1"/>
  <c r="AN274" i="55"/>
  <c r="AM274" i="55" s="1"/>
  <c r="AE274" i="55"/>
  <c r="AD274" i="55" s="1"/>
  <c r="J274" i="55"/>
  <c r="I274" i="55"/>
  <c r="F274" i="55"/>
  <c r="BH273" i="55"/>
  <c r="BG273" i="55"/>
  <c r="BA273" i="55"/>
  <c r="AZ273" i="55" s="1"/>
  <c r="AN273" i="55"/>
  <c r="AM273" i="55" s="1"/>
  <c r="AE273" i="55"/>
  <c r="AD273" i="55" s="1"/>
  <c r="J273" i="55"/>
  <c r="I273" i="55"/>
  <c r="F273" i="55"/>
  <c r="BH272" i="55"/>
  <c r="BG272" i="55"/>
  <c r="BA272" i="55"/>
  <c r="AZ272" i="55" s="1"/>
  <c r="AN272" i="55"/>
  <c r="AM272" i="55" s="1"/>
  <c r="AE272" i="55"/>
  <c r="AD272" i="55" s="1"/>
  <c r="J272" i="55"/>
  <c r="I272" i="55"/>
  <c r="F272" i="55"/>
  <c r="BH271" i="55"/>
  <c r="BG271" i="55"/>
  <c r="BA271" i="55"/>
  <c r="AZ271" i="55" s="1"/>
  <c r="AN271" i="55"/>
  <c r="AM271" i="55" s="1"/>
  <c r="AE271" i="55"/>
  <c r="AD271" i="55" s="1"/>
  <c r="J271" i="55"/>
  <c r="I271" i="55"/>
  <c r="F271" i="55"/>
  <c r="BH270" i="55"/>
  <c r="BG270" i="55"/>
  <c r="BA270" i="55"/>
  <c r="AZ270" i="55" s="1"/>
  <c r="AN270" i="55"/>
  <c r="AM270" i="55" s="1"/>
  <c r="AE270" i="55"/>
  <c r="AD270" i="55" s="1"/>
  <c r="J270" i="55"/>
  <c r="I270" i="55"/>
  <c r="F270" i="55"/>
  <c r="BH269" i="55"/>
  <c r="BG269" i="55"/>
  <c r="BA269" i="55"/>
  <c r="AZ269" i="55" s="1"/>
  <c r="AN269" i="55"/>
  <c r="AM269" i="55" s="1"/>
  <c r="AE269" i="55"/>
  <c r="AD269" i="55" s="1"/>
  <c r="J269" i="55"/>
  <c r="I269" i="55"/>
  <c r="F269" i="55"/>
  <c r="BH268" i="55"/>
  <c r="BG268" i="55"/>
  <c r="BA268" i="55"/>
  <c r="AZ268" i="55" s="1"/>
  <c r="AN268" i="55"/>
  <c r="AM268" i="55" s="1"/>
  <c r="AE268" i="55"/>
  <c r="AD268" i="55" s="1"/>
  <c r="J268" i="55"/>
  <c r="I268" i="55"/>
  <c r="F268" i="55"/>
  <c r="BH267" i="55"/>
  <c r="BG267" i="55"/>
  <c r="BA267" i="55"/>
  <c r="AZ267" i="55" s="1"/>
  <c r="AN267" i="55"/>
  <c r="AM267" i="55" s="1"/>
  <c r="AE267" i="55"/>
  <c r="AD267" i="55" s="1"/>
  <c r="J267" i="55"/>
  <c r="I267" i="55"/>
  <c r="F267" i="55"/>
  <c r="BH266" i="55"/>
  <c r="BG266" i="55"/>
  <c r="BA266" i="55"/>
  <c r="AZ266" i="55" s="1"/>
  <c r="AN266" i="55"/>
  <c r="AM266" i="55" s="1"/>
  <c r="AE266" i="55"/>
  <c r="AD266" i="55" s="1"/>
  <c r="J266" i="55"/>
  <c r="I266" i="55"/>
  <c r="F266" i="55"/>
  <c r="BH265" i="55"/>
  <c r="BG265" i="55"/>
  <c r="BA265" i="55"/>
  <c r="AZ265" i="55" s="1"/>
  <c r="AN265" i="55"/>
  <c r="AM265" i="55" s="1"/>
  <c r="AE265" i="55"/>
  <c r="AD265" i="55" s="1"/>
  <c r="J265" i="55"/>
  <c r="I265" i="55"/>
  <c r="F265" i="55"/>
  <c r="BH264" i="55"/>
  <c r="BG264" i="55"/>
  <c r="BA264" i="55"/>
  <c r="AZ264" i="55" s="1"/>
  <c r="AN264" i="55"/>
  <c r="AM264" i="55" s="1"/>
  <c r="AE264" i="55"/>
  <c r="AD264" i="55" s="1"/>
  <c r="J264" i="55"/>
  <c r="I264" i="55"/>
  <c r="F264" i="55"/>
  <c r="BH263" i="55"/>
  <c r="BG263" i="55"/>
  <c r="BA263" i="55"/>
  <c r="AZ263" i="55" s="1"/>
  <c r="AN263" i="55"/>
  <c r="AM263" i="55" s="1"/>
  <c r="AE263" i="55"/>
  <c r="AD263" i="55" s="1"/>
  <c r="J263" i="55"/>
  <c r="I263" i="55"/>
  <c r="F263" i="55"/>
  <c r="BH262" i="55"/>
  <c r="BG262" i="55"/>
  <c r="BA262" i="55"/>
  <c r="AZ262" i="55" s="1"/>
  <c r="AN262" i="55"/>
  <c r="AM262" i="55" s="1"/>
  <c r="AE262" i="55"/>
  <c r="AD262" i="55" s="1"/>
  <c r="J262" i="55"/>
  <c r="I262" i="55"/>
  <c r="F262" i="55"/>
  <c r="BH261" i="55"/>
  <c r="BG261" i="55"/>
  <c r="BA261" i="55"/>
  <c r="AZ261" i="55" s="1"/>
  <c r="AN261" i="55"/>
  <c r="AM261" i="55" s="1"/>
  <c r="AE261" i="55"/>
  <c r="AD261" i="55" s="1"/>
  <c r="J261" i="55"/>
  <c r="I261" i="55"/>
  <c r="F261" i="55"/>
  <c r="BH260" i="55"/>
  <c r="BG260" i="55"/>
  <c r="BA260" i="55"/>
  <c r="AZ260" i="55" s="1"/>
  <c r="AN260" i="55"/>
  <c r="AM260" i="55" s="1"/>
  <c r="AE260" i="55"/>
  <c r="AD260" i="55" s="1"/>
  <c r="J260" i="55"/>
  <c r="I260" i="55"/>
  <c r="F260" i="55"/>
  <c r="BH259" i="55"/>
  <c r="BG259" i="55"/>
  <c r="BA259" i="55"/>
  <c r="AZ259" i="55" s="1"/>
  <c r="AN259" i="55"/>
  <c r="AM259" i="55" s="1"/>
  <c r="AE259" i="55"/>
  <c r="AD259" i="55" s="1"/>
  <c r="J259" i="55"/>
  <c r="I259" i="55"/>
  <c r="F259" i="55"/>
  <c r="BH258" i="55"/>
  <c r="BG258" i="55"/>
  <c r="BA258" i="55"/>
  <c r="AZ258" i="55" s="1"/>
  <c r="AN258" i="55"/>
  <c r="AM258" i="55" s="1"/>
  <c r="AE258" i="55"/>
  <c r="AD258" i="55" s="1"/>
  <c r="J258" i="55"/>
  <c r="I258" i="55"/>
  <c r="F258" i="55"/>
  <c r="BH257" i="55"/>
  <c r="BG257" i="55"/>
  <c r="BA257" i="55"/>
  <c r="AZ257" i="55" s="1"/>
  <c r="AN257" i="55"/>
  <c r="AM257" i="55" s="1"/>
  <c r="AE257" i="55"/>
  <c r="AD257" i="55" s="1"/>
  <c r="J257" i="55"/>
  <c r="I257" i="55"/>
  <c r="F257" i="55"/>
  <c r="BH256" i="55"/>
  <c r="BG256" i="55"/>
  <c r="BA256" i="55"/>
  <c r="AZ256" i="55" s="1"/>
  <c r="AN256" i="55"/>
  <c r="AM256" i="55" s="1"/>
  <c r="AE256" i="55"/>
  <c r="AD256" i="55" s="1"/>
  <c r="J256" i="55"/>
  <c r="I256" i="55"/>
  <c r="F256" i="55"/>
  <c r="BH255" i="55"/>
  <c r="BG255" i="55"/>
  <c r="BA255" i="55"/>
  <c r="AZ255" i="55" s="1"/>
  <c r="AN255" i="55"/>
  <c r="AM255" i="55" s="1"/>
  <c r="AE255" i="55"/>
  <c r="AD255" i="55" s="1"/>
  <c r="J255" i="55"/>
  <c r="I255" i="55"/>
  <c r="F255" i="55"/>
  <c r="BH254" i="55"/>
  <c r="BG254" i="55"/>
  <c r="BA254" i="55"/>
  <c r="AZ254" i="55" s="1"/>
  <c r="AN254" i="55"/>
  <c r="AM254" i="55" s="1"/>
  <c r="AE254" i="55"/>
  <c r="AD254" i="55" s="1"/>
  <c r="J254" i="55"/>
  <c r="I254" i="55"/>
  <c r="F254" i="55"/>
  <c r="BH253" i="55"/>
  <c r="BG253" i="55"/>
  <c r="BA253" i="55"/>
  <c r="AZ253" i="55" s="1"/>
  <c r="AN253" i="55"/>
  <c r="AM253" i="55" s="1"/>
  <c r="AE253" i="55"/>
  <c r="AD253" i="55" s="1"/>
  <c r="J253" i="55"/>
  <c r="I253" i="55"/>
  <c r="F253" i="55"/>
  <c r="BH252" i="55"/>
  <c r="BG252" i="55"/>
  <c r="BA252" i="55"/>
  <c r="AZ252" i="55" s="1"/>
  <c r="AN252" i="55"/>
  <c r="AM252" i="55" s="1"/>
  <c r="AE252" i="55"/>
  <c r="AD252" i="55" s="1"/>
  <c r="J252" i="55"/>
  <c r="I252" i="55"/>
  <c r="F252" i="55"/>
  <c r="BH251" i="55"/>
  <c r="BG251" i="55"/>
  <c r="BA251" i="55"/>
  <c r="AZ251" i="55" s="1"/>
  <c r="AN251" i="55"/>
  <c r="AM251" i="55" s="1"/>
  <c r="AE251" i="55"/>
  <c r="AD251" i="55" s="1"/>
  <c r="J251" i="55"/>
  <c r="I251" i="55"/>
  <c r="F251" i="55"/>
  <c r="BH250" i="55"/>
  <c r="BG250" i="55"/>
  <c r="BA250" i="55"/>
  <c r="AZ250" i="55" s="1"/>
  <c r="AN250" i="55"/>
  <c r="AM250" i="55" s="1"/>
  <c r="AE250" i="55"/>
  <c r="AD250" i="55" s="1"/>
  <c r="J250" i="55"/>
  <c r="I250" i="55"/>
  <c r="F250" i="55"/>
  <c r="BH249" i="55"/>
  <c r="BG249" i="55"/>
  <c r="BA249" i="55"/>
  <c r="AZ249" i="55" s="1"/>
  <c r="AN249" i="55"/>
  <c r="AM249" i="55" s="1"/>
  <c r="AE249" i="55"/>
  <c r="AD249" i="55" s="1"/>
  <c r="J249" i="55"/>
  <c r="I249" i="55"/>
  <c r="F249" i="55"/>
  <c r="BH248" i="55"/>
  <c r="BG248" i="55"/>
  <c r="BA248" i="55"/>
  <c r="AZ248" i="55" s="1"/>
  <c r="AN248" i="55"/>
  <c r="AM248" i="55" s="1"/>
  <c r="AE248" i="55"/>
  <c r="AD248" i="55" s="1"/>
  <c r="J248" i="55"/>
  <c r="I248" i="55"/>
  <c r="F248" i="55"/>
  <c r="BH247" i="55"/>
  <c r="BG247" i="55"/>
  <c r="BA247" i="55"/>
  <c r="AZ247" i="55" s="1"/>
  <c r="AN247" i="55"/>
  <c r="AM247" i="55" s="1"/>
  <c r="AE247" i="55"/>
  <c r="AD247" i="55" s="1"/>
  <c r="J247" i="55"/>
  <c r="I247" i="55"/>
  <c r="F247" i="55"/>
  <c r="BH246" i="55"/>
  <c r="BG246" i="55"/>
  <c r="BA246" i="55"/>
  <c r="AZ246" i="55" s="1"/>
  <c r="AN246" i="55"/>
  <c r="AM246" i="55" s="1"/>
  <c r="AE246" i="55"/>
  <c r="AD246" i="55" s="1"/>
  <c r="J246" i="55"/>
  <c r="I246" i="55" s="1"/>
  <c r="F246" i="55"/>
  <c r="BH245" i="55"/>
  <c r="BG245" i="55" s="1"/>
  <c r="BA245" i="55"/>
  <c r="AZ245" i="55" s="1"/>
  <c r="AN245" i="55"/>
  <c r="AM245" i="55" s="1"/>
  <c r="AE245" i="55"/>
  <c r="AD245" i="55" s="1"/>
  <c r="J245" i="55"/>
  <c r="I245" i="55" s="1"/>
  <c r="F245" i="55"/>
  <c r="BH244" i="55"/>
  <c r="BG244" i="55" s="1"/>
  <c r="BA244" i="55"/>
  <c r="AZ244" i="55" s="1"/>
  <c r="AN244" i="55"/>
  <c r="AM244" i="55" s="1"/>
  <c r="AE244" i="55"/>
  <c r="AD244" i="55" s="1"/>
  <c r="J244" i="55"/>
  <c r="I244" i="55" s="1"/>
  <c r="F244" i="55"/>
  <c r="BH243" i="55"/>
  <c r="BG243" i="55" s="1"/>
  <c r="BA243" i="55"/>
  <c r="AZ243" i="55" s="1"/>
  <c r="AN243" i="55"/>
  <c r="AM243" i="55" s="1"/>
  <c r="AE243" i="55"/>
  <c r="AD243" i="55" s="1"/>
  <c r="J243" i="55"/>
  <c r="I243" i="55" s="1"/>
  <c r="F243" i="55"/>
  <c r="BH242" i="55"/>
  <c r="BG242" i="55" s="1"/>
  <c r="BA242" i="55"/>
  <c r="AZ242" i="55" s="1"/>
  <c r="AN242" i="55"/>
  <c r="AM242" i="55" s="1"/>
  <c r="AE242" i="55"/>
  <c r="AD242" i="55" s="1"/>
  <c r="J242" i="55"/>
  <c r="I242" i="55" s="1"/>
  <c r="F242" i="55"/>
  <c r="BH241" i="55"/>
  <c r="BG241" i="55" s="1"/>
  <c r="BA241" i="55"/>
  <c r="AZ241" i="55" s="1"/>
  <c r="AN241" i="55"/>
  <c r="AM241" i="55" s="1"/>
  <c r="AE241" i="55"/>
  <c r="AD241" i="55" s="1"/>
  <c r="J241" i="55"/>
  <c r="I241" i="55" s="1"/>
  <c r="F241" i="55"/>
  <c r="BH240" i="55"/>
  <c r="BG240" i="55" s="1"/>
  <c r="BA240" i="55"/>
  <c r="AZ240" i="55" s="1"/>
  <c r="AN240" i="55"/>
  <c r="AM240" i="55" s="1"/>
  <c r="AE240" i="55"/>
  <c r="AD240" i="55" s="1"/>
  <c r="J240" i="55"/>
  <c r="I240" i="55" s="1"/>
  <c r="F240" i="55"/>
  <c r="BH239" i="55"/>
  <c r="BG239" i="55" s="1"/>
  <c r="BA239" i="55"/>
  <c r="AZ239" i="55" s="1"/>
  <c r="AN239" i="55"/>
  <c r="AM239" i="55" s="1"/>
  <c r="AE239" i="55"/>
  <c r="AD239" i="55" s="1"/>
  <c r="J239" i="55"/>
  <c r="I239" i="55" s="1"/>
  <c r="F239" i="55"/>
  <c r="BH238" i="55"/>
  <c r="BA238" i="55"/>
  <c r="AZ238" i="55" s="1"/>
  <c r="AN238" i="55"/>
  <c r="AE238" i="55"/>
  <c r="AD238" i="55" s="1"/>
  <c r="AD237" i="55" s="1"/>
  <c r="J238" i="55"/>
  <c r="F238" i="55"/>
  <c r="BS237" i="55"/>
  <c r="BR237" i="55"/>
  <c r="BQ237" i="55"/>
  <c r="BP237" i="55"/>
  <c r="BO237" i="55"/>
  <c r="BN237" i="55"/>
  <c r="BM237" i="55"/>
  <c r="BL237" i="55"/>
  <c r="BK237" i="55"/>
  <c r="BJ237" i="55"/>
  <c r="BI237" i="55"/>
  <c r="BF237" i="55"/>
  <c r="BE237" i="55"/>
  <c r="BD237" i="55"/>
  <c r="BC237" i="55"/>
  <c r="BB237" i="55"/>
  <c r="BA237" i="55"/>
  <c r="AY237" i="55"/>
  <c r="AX237" i="55"/>
  <c r="AW237" i="55"/>
  <c r="AV237" i="55"/>
  <c r="AU237" i="55"/>
  <c r="AT237" i="55"/>
  <c r="AS237" i="55"/>
  <c r="AR237" i="55"/>
  <c r="AQ237" i="55"/>
  <c r="AP237" i="55"/>
  <c r="AO237" i="55"/>
  <c r="AL237" i="55"/>
  <c r="AK237" i="55"/>
  <c r="AJ237" i="55"/>
  <c r="AI237" i="55"/>
  <c r="AH237" i="55"/>
  <c r="AG237" i="55"/>
  <c r="AF237" i="55"/>
  <c r="AE237" i="55"/>
  <c r="AC237" i="55"/>
  <c r="AB237" i="55"/>
  <c r="AA237" i="55"/>
  <c r="Z237" i="55"/>
  <c r="Y237" i="55"/>
  <c r="X237" i="55"/>
  <c r="W237" i="55"/>
  <c r="V237" i="55"/>
  <c r="U237" i="55"/>
  <c r="T237" i="55"/>
  <c r="S237" i="55"/>
  <c r="R237" i="55"/>
  <c r="Q237" i="55"/>
  <c r="P237" i="55"/>
  <c r="O237" i="55"/>
  <c r="N237" i="55"/>
  <c r="M237" i="55"/>
  <c r="L237" i="55"/>
  <c r="K237" i="55"/>
  <c r="H237" i="55"/>
  <c r="F237" i="55"/>
  <c r="BH235" i="55"/>
  <c r="BG235" i="55" s="1"/>
  <c r="J235" i="55"/>
  <c r="I235" i="55" s="1"/>
  <c r="G235" i="55" s="1"/>
  <c r="F235" i="55"/>
  <c r="BH234" i="55"/>
  <c r="BG234" i="55" s="1"/>
  <c r="J234" i="55"/>
  <c r="I234" i="55" s="1"/>
  <c r="G234" i="55" s="1"/>
  <c r="F234" i="55"/>
  <c r="BH233" i="55"/>
  <c r="BG233" i="55" s="1"/>
  <c r="J233" i="55"/>
  <c r="I233" i="55" s="1"/>
  <c r="G233" i="55" s="1"/>
  <c r="F233" i="55"/>
  <c r="BH232" i="55"/>
  <c r="BG232" i="55" s="1"/>
  <c r="J232" i="55"/>
  <c r="I232" i="55" s="1"/>
  <c r="G232" i="55" s="1"/>
  <c r="F232" i="55"/>
  <c r="BH231" i="55"/>
  <c r="BG231" i="55" s="1"/>
  <c r="G231" i="55" s="1"/>
  <c r="J231" i="55"/>
  <c r="I231" i="55" s="1"/>
  <c r="F231" i="55"/>
  <c r="BH230" i="55"/>
  <c r="BG230" i="55" s="1"/>
  <c r="BA230" i="55"/>
  <c r="AZ230" i="55"/>
  <c r="AN230" i="55"/>
  <c r="AM230" i="55" s="1"/>
  <c r="AE230" i="55"/>
  <c r="AD230" i="55"/>
  <c r="J230" i="55"/>
  <c r="I230" i="55" s="1"/>
  <c r="F230" i="55"/>
  <c r="BH229" i="55"/>
  <c r="BG229" i="55" s="1"/>
  <c r="BA229" i="55"/>
  <c r="AZ229" i="55"/>
  <c r="AN229" i="55"/>
  <c r="AM229" i="55" s="1"/>
  <c r="AE229" i="55"/>
  <c r="AD229" i="55"/>
  <c r="J229" i="55"/>
  <c r="I229" i="55" s="1"/>
  <c r="F229" i="55"/>
  <c r="BH228" i="55"/>
  <c r="BG228" i="55" s="1"/>
  <c r="BA228" i="55"/>
  <c r="AZ228" i="55"/>
  <c r="AN228" i="55"/>
  <c r="AM228" i="55" s="1"/>
  <c r="AE228" i="55"/>
  <c r="AD228" i="55"/>
  <c r="J228" i="55"/>
  <c r="I228" i="55" s="1"/>
  <c r="F228" i="55"/>
  <c r="BH227" i="55"/>
  <c r="BG227" i="55" s="1"/>
  <c r="BA227" i="55"/>
  <c r="AZ227" i="55"/>
  <c r="AN227" i="55"/>
  <c r="AM227" i="55" s="1"/>
  <c r="AE227" i="55"/>
  <c r="AD227" i="55"/>
  <c r="J227" i="55"/>
  <c r="I227" i="55" s="1"/>
  <c r="F227" i="55"/>
  <c r="BH226" i="55"/>
  <c r="BG226" i="55" s="1"/>
  <c r="BA226" i="55"/>
  <c r="AZ226" i="55"/>
  <c r="AN226" i="55"/>
  <c r="AM226" i="55" s="1"/>
  <c r="AE226" i="55"/>
  <c r="AD226" i="55"/>
  <c r="J226" i="55"/>
  <c r="I226" i="55" s="1"/>
  <c r="F226" i="55"/>
  <c r="BH225" i="55"/>
  <c r="BG225" i="55" s="1"/>
  <c r="BA225" i="55"/>
  <c r="AZ225" i="55"/>
  <c r="AN225" i="55"/>
  <c r="AM225" i="55" s="1"/>
  <c r="AI225" i="55"/>
  <c r="AE225" i="55"/>
  <c r="AD225" i="55" s="1"/>
  <c r="K225" i="55"/>
  <c r="J225" i="55"/>
  <c r="I225" i="55"/>
  <c r="F225" i="55"/>
  <c r="BH224" i="55"/>
  <c r="BG224" i="55"/>
  <c r="BA224" i="55"/>
  <c r="AZ224" i="55" s="1"/>
  <c r="AN224" i="55"/>
  <c r="AM224" i="55"/>
  <c r="AE224" i="55"/>
  <c r="AD224" i="55" s="1"/>
  <c r="J224" i="55"/>
  <c r="I224" i="55"/>
  <c r="G224" i="55" s="1"/>
  <c r="F224" i="55"/>
  <c r="BH223" i="55"/>
  <c r="BG223" i="55"/>
  <c r="BA223" i="55"/>
  <c r="AZ223" i="55" s="1"/>
  <c r="AN223" i="55"/>
  <c r="AM223" i="55"/>
  <c r="AE223" i="55"/>
  <c r="AD223" i="55" s="1"/>
  <c r="J223" i="55"/>
  <c r="I223" i="55"/>
  <c r="F223" i="55"/>
  <c r="BH222" i="55"/>
  <c r="BG222" i="55"/>
  <c r="BA222" i="55"/>
  <c r="AZ222" i="55" s="1"/>
  <c r="AO222" i="55"/>
  <c r="AN222" i="55"/>
  <c r="AM222" i="55" s="1"/>
  <c r="AI222" i="55"/>
  <c r="AE222" i="55"/>
  <c r="AD222" i="55"/>
  <c r="T222" i="55"/>
  <c r="T280" i="55" s="1"/>
  <c r="K222" i="55"/>
  <c r="J222" i="55"/>
  <c r="I222" i="55"/>
  <c r="G222" i="55" s="1"/>
  <c r="F222" i="55"/>
  <c r="BH221" i="55"/>
  <c r="BG221" i="55"/>
  <c r="BA221" i="55"/>
  <c r="AZ221" i="55" s="1"/>
  <c r="AN221" i="55"/>
  <c r="AM221" i="55"/>
  <c r="AE221" i="55"/>
  <c r="AD221" i="55" s="1"/>
  <c r="J221" i="55"/>
  <c r="I221" i="55"/>
  <c r="F221" i="55"/>
  <c r="BH220" i="55"/>
  <c r="BG220" i="55"/>
  <c r="BA220" i="55"/>
  <c r="AZ220" i="55" s="1"/>
  <c r="AN220" i="55"/>
  <c r="AM220" i="55"/>
  <c r="AI220" i="55"/>
  <c r="AE220" i="55" s="1"/>
  <c r="AD220" i="55" s="1"/>
  <c r="J220" i="55"/>
  <c r="I220" i="55" s="1"/>
  <c r="F220" i="55"/>
  <c r="BH219" i="55"/>
  <c r="BG219" i="55" s="1"/>
  <c r="BA219" i="55"/>
  <c r="AZ219" i="55"/>
  <c r="AN219" i="55"/>
  <c r="AM219" i="55" s="1"/>
  <c r="AE219" i="55"/>
  <c r="AD219" i="55"/>
  <c r="J219" i="55"/>
  <c r="I219" i="55" s="1"/>
  <c r="F219" i="55"/>
  <c r="BH218" i="55"/>
  <c r="BG218" i="55" s="1"/>
  <c r="BA218" i="55"/>
  <c r="AZ218" i="55"/>
  <c r="AN218" i="55"/>
  <c r="AM218" i="55" s="1"/>
  <c r="AE218" i="55"/>
  <c r="AD218" i="55"/>
  <c r="K218" i="55"/>
  <c r="J218" i="55" s="1"/>
  <c r="I218" i="55" s="1"/>
  <c r="F218" i="55"/>
  <c r="BH217" i="55"/>
  <c r="BG217" i="55" s="1"/>
  <c r="BA217" i="55"/>
  <c r="AZ217" i="55"/>
  <c r="AN217" i="55"/>
  <c r="AM217" i="55" s="1"/>
  <c r="AE217" i="55"/>
  <c r="AD217" i="55"/>
  <c r="J217" i="55"/>
  <c r="I217" i="55" s="1"/>
  <c r="F217" i="55"/>
  <c r="BH216" i="55"/>
  <c r="BG216" i="55" s="1"/>
  <c r="BA216" i="55"/>
  <c r="AZ216" i="55"/>
  <c r="AN216" i="55"/>
  <c r="AM216" i="55" s="1"/>
  <c r="AI216" i="55"/>
  <c r="AE216" i="55"/>
  <c r="AD216" i="55" s="1"/>
  <c r="K216" i="55"/>
  <c r="J216" i="55"/>
  <c r="I216" i="55"/>
  <c r="F216" i="55"/>
  <c r="BH215" i="55"/>
  <c r="BG215" i="55"/>
  <c r="BA215" i="55"/>
  <c r="AZ215" i="55" s="1"/>
  <c r="AN215" i="55"/>
  <c r="AM215" i="55"/>
  <c r="AE215" i="55"/>
  <c r="AD215" i="55" s="1"/>
  <c r="J215" i="55"/>
  <c r="I215" i="55"/>
  <c r="F215" i="55"/>
  <c r="BH214" i="55"/>
  <c r="BG214" i="55"/>
  <c r="BA214" i="55"/>
  <c r="AZ214" i="55" s="1"/>
  <c r="AN214" i="55"/>
  <c r="AM214" i="55"/>
  <c r="AE214" i="55"/>
  <c r="AD214" i="55" s="1"/>
  <c r="J214" i="55"/>
  <c r="I214" i="55"/>
  <c r="F214" i="55"/>
  <c r="BH213" i="55"/>
  <c r="BG213" i="55"/>
  <c r="BA213" i="55"/>
  <c r="AZ213" i="55" s="1"/>
  <c r="AN213" i="55"/>
  <c r="AM213" i="55"/>
  <c r="AE213" i="55"/>
  <c r="AD213" i="55" s="1"/>
  <c r="J213" i="55"/>
  <c r="I213" i="55"/>
  <c r="G213" i="55" s="1"/>
  <c r="F213" i="55"/>
  <c r="BH212" i="55"/>
  <c r="BG212" i="55"/>
  <c r="BA212" i="55"/>
  <c r="AZ212" i="55" s="1"/>
  <c r="AN212" i="55"/>
  <c r="AM212" i="55"/>
  <c r="AE212" i="55"/>
  <c r="AD212" i="55" s="1"/>
  <c r="J212" i="55"/>
  <c r="I212" i="55"/>
  <c r="F212" i="55"/>
  <c r="BH211" i="55"/>
  <c r="BG211" i="55"/>
  <c r="BA211" i="55"/>
  <c r="AZ211" i="55" s="1"/>
  <c r="AN211" i="55"/>
  <c r="AM211" i="55"/>
  <c r="AE211" i="55"/>
  <c r="AD211" i="55" s="1"/>
  <c r="K211" i="55"/>
  <c r="J211" i="55"/>
  <c r="I211" i="55" s="1"/>
  <c r="F211" i="55"/>
  <c r="BH210" i="55"/>
  <c r="BG210" i="55" s="1"/>
  <c r="BA210" i="55"/>
  <c r="AZ210" i="55"/>
  <c r="AN210" i="55"/>
  <c r="AM210" i="55" s="1"/>
  <c r="AE210" i="55"/>
  <c r="AD210" i="55"/>
  <c r="J210" i="55"/>
  <c r="I210" i="55" s="1"/>
  <c r="F210" i="55"/>
  <c r="BH209" i="55"/>
  <c r="BG209" i="55" s="1"/>
  <c r="BA209" i="55"/>
  <c r="AZ209" i="55"/>
  <c r="AN209" i="55"/>
  <c r="AM209" i="55" s="1"/>
  <c r="AE209" i="55"/>
  <c r="AD209" i="55"/>
  <c r="J209" i="55"/>
  <c r="I209" i="55" s="1"/>
  <c r="F209" i="55"/>
  <c r="BH208" i="55"/>
  <c r="BG208" i="55" s="1"/>
  <c r="BA208" i="55"/>
  <c r="AZ208" i="55"/>
  <c r="AN208" i="55"/>
  <c r="AM208" i="55" s="1"/>
  <c r="AE208" i="55"/>
  <c r="AD208" i="55"/>
  <c r="J208" i="55"/>
  <c r="I208" i="55" s="1"/>
  <c r="F208" i="55"/>
  <c r="BH207" i="55"/>
  <c r="BG207" i="55" s="1"/>
  <c r="BA207" i="55"/>
  <c r="AZ207" i="55"/>
  <c r="AN207" i="55"/>
  <c r="AM207" i="55" s="1"/>
  <c r="AI207" i="55"/>
  <c r="AE207" i="55"/>
  <c r="AD207" i="55"/>
  <c r="J207" i="55"/>
  <c r="I207" i="55" s="1"/>
  <c r="F207" i="55"/>
  <c r="BH206" i="55"/>
  <c r="BG206" i="55" s="1"/>
  <c r="BA206" i="55"/>
  <c r="AZ206" i="55"/>
  <c r="AN206" i="55"/>
  <c r="AM206" i="55" s="1"/>
  <c r="AE206" i="55"/>
  <c r="AD206" i="55"/>
  <c r="J206" i="55"/>
  <c r="I206" i="55" s="1"/>
  <c r="F206" i="55"/>
  <c r="BH205" i="55"/>
  <c r="BG205" i="55" s="1"/>
  <c r="BA205" i="55"/>
  <c r="AZ205" i="55"/>
  <c r="AN205" i="55"/>
  <c r="AM205" i="55" s="1"/>
  <c r="AE205" i="55"/>
  <c r="AD205" i="55"/>
  <c r="J205" i="55"/>
  <c r="I205" i="55" s="1"/>
  <c r="F205" i="55"/>
  <c r="BH204" i="55"/>
  <c r="BG204" i="55" s="1"/>
  <c r="BA204" i="55"/>
  <c r="AZ204" i="55"/>
  <c r="AN204" i="55"/>
  <c r="AM204" i="55" s="1"/>
  <c r="AE204" i="55"/>
  <c r="AD204" i="55"/>
  <c r="J204" i="55"/>
  <c r="I204" i="55" s="1"/>
  <c r="F204" i="55"/>
  <c r="BH203" i="55"/>
  <c r="BG203" i="55" s="1"/>
  <c r="BA203" i="55"/>
  <c r="AZ203" i="55"/>
  <c r="AN203" i="55"/>
  <c r="AM203" i="55" s="1"/>
  <c r="AE203" i="55"/>
  <c r="AD203" i="55"/>
  <c r="J203" i="55"/>
  <c r="I203" i="55" s="1"/>
  <c r="F203" i="55"/>
  <c r="BH202" i="55"/>
  <c r="BG202" i="55" s="1"/>
  <c r="BA202" i="55"/>
  <c r="AZ202" i="55"/>
  <c r="AN202" i="55"/>
  <c r="AM202" i="55" s="1"/>
  <c r="AE202" i="55"/>
  <c r="AD202" i="55"/>
  <c r="J202" i="55"/>
  <c r="I202" i="55" s="1"/>
  <c r="F202" i="55"/>
  <c r="BH201" i="55"/>
  <c r="BG201" i="55" s="1"/>
  <c r="BA201" i="55"/>
  <c r="AZ201" i="55"/>
  <c r="AN201" i="55"/>
  <c r="AM201" i="55" s="1"/>
  <c r="AE201" i="55"/>
  <c r="AD201" i="55"/>
  <c r="J201" i="55"/>
  <c r="I201" i="55" s="1"/>
  <c r="F201" i="55"/>
  <c r="BH200" i="55"/>
  <c r="BG200" i="55" s="1"/>
  <c r="BA200" i="55"/>
  <c r="AZ200" i="55"/>
  <c r="AN200" i="55"/>
  <c r="AM200" i="55" s="1"/>
  <c r="AE200" i="55"/>
  <c r="AD200" i="55"/>
  <c r="J200" i="55"/>
  <c r="I200" i="55" s="1"/>
  <c r="F200" i="55"/>
  <c r="BH199" i="55"/>
  <c r="BG199" i="55" s="1"/>
  <c r="BA199" i="55"/>
  <c r="AZ199" i="55"/>
  <c r="AN199" i="55"/>
  <c r="AM199" i="55" s="1"/>
  <c r="AE199" i="55"/>
  <c r="AD199" i="55"/>
  <c r="J199" i="55"/>
  <c r="I199" i="55" s="1"/>
  <c r="F199" i="55"/>
  <c r="BH198" i="55"/>
  <c r="BG198" i="55" s="1"/>
  <c r="BA198" i="55"/>
  <c r="AZ198" i="55"/>
  <c r="AN198" i="55"/>
  <c r="AM198" i="55" s="1"/>
  <c r="AE198" i="55"/>
  <c r="AD198" i="55"/>
  <c r="K198" i="55"/>
  <c r="J198" i="55" s="1"/>
  <c r="I198" i="55" s="1"/>
  <c r="F198" i="55"/>
  <c r="BH197" i="55"/>
  <c r="BG197" i="55"/>
  <c r="BA197" i="55"/>
  <c r="AZ197" i="55" s="1"/>
  <c r="AN197" i="55"/>
  <c r="AM197" i="55"/>
  <c r="AE197" i="55"/>
  <c r="AD197" i="55" s="1"/>
  <c r="J197" i="55"/>
  <c r="I197" i="55"/>
  <c r="F197" i="55"/>
  <c r="BH196" i="55"/>
  <c r="BG196" i="55"/>
  <c r="BA196" i="55"/>
  <c r="AZ196" i="55" s="1"/>
  <c r="AN196" i="55"/>
  <c r="AM196" i="55"/>
  <c r="AE196" i="55"/>
  <c r="AD196" i="55" s="1"/>
  <c r="J196" i="55"/>
  <c r="I196" i="55"/>
  <c r="F196" i="55"/>
  <c r="BH195" i="55"/>
  <c r="BG195" i="55"/>
  <c r="BA195" i="55"/>
  <c r="AZ195" i="55" s="1"/>
  <c r="AN195" i="55"/>
  <c r="AM195" i="55"/>
  <c r="AE195" i="55"/>
  <c r="AD195" i="55" s="1"/>
  <c r="G195" i="55" s="1"/>
  <c r="J195" i="55"/>
  <c r="I195" i="55"/>
  <c r="F195" i="55"/>
  <c r="BH194" i="55"/>
  <c r="BG194" i="55"/>
  <c r="BA194" i="55"/>
  <c r="AZ194" i="55" s="1"/>
  <c r="AN194" i="55"/>
  <c r="AM194" i="55"/>
  <c r="AE194" i="55"/>
  <c r="AD194" i="55" s="1"/>
  <c r="K194" i="55"/>
  <c r="J194" i="55"/>
  <c r="I194" i="55"/>
  <c r="G194" i="55" s="1"/>
  <c r="F194" i="55"/>
  <c r="BH193" i="55"/>
  <c r="BG193" i="55"/>
  <c r="BA193" i="55"/>
  <c r="AZ193" i="55" s="1"/>
  <c r="AN193" i="55"/>
  <c r="AM193" i="55"/>
  <c r="AE193" i="55"/>
  <c r="AD193" i="55" s="1"/>
  <c r="J193" i="55"/>
  <c r="I193" i="55"/>
  <c r="F193" i="55"/>
  <c r="BH192" i="55"/>
  <c r="BG192" i="55"/>
  <c r="BA192" i="55"/>
  <c r="AZ192" i="55" s="1"/>
  <c r="AN192" i="55"/>
  <c r="AM192" i="55"/>
  <c r="AE192" i="55"/>
  <c r="AD192" i="55" s="1"/>
  <c r="J192" i="55"/>
  <c r="I192" i="55"/>
  <c r="F192" i="55"/>
  <c r="BH191" i="55"/>
  <c r="BG191" i="55"/>
  <c r="BA191" i="55"/>
  <c r="AZ191" i="55" s="1"/>
  <c r="AN191" i="55"/>
  <c r="AM191" i="55"/>
  <c r="AE191" i="55"/>
  <c r="AD191" i="55" s="1"/>
  <c r="J191" i="55"/>
  <c r="I191" i="55"/>
  <c r="G191" i="55" s="1"/>
  <c r="F191" i="55"/>
  <c r="BH190" i="55"/>
  <c r="BG190" i="55"/>
  <c r="BA190" i="55"/>
  <c r="AZ190" i="55" s="1"/>
  <c r="AN190" i="55"/>
  <c r="AM190" i="55"/>
  <c r="AG190" i="55"/>
  <c r="AE190" i="55" s="1"/>
  <c r="AD190" i="55" s="1"/>
  <c r="J190" i="55"/>
  <c r="I190" i="55" s="1"/>
  <c r="G190" i="55" s="1"/>
  <c r="F190" i="55"/>
  <c r="BH189" i="55"/>
  <c r="BG189" i="55" s="1"/>
  <c r="BA189" i="55"/>
  <c r="AZ189" i="55"/>
  <c r="AN189" i="55"/>
  <c r="AM189" i="55" s="1"/>
  <c r="AE189" i="55"/>
  <c r="AD189" i="55"/>
  <c r="J189" i="55"/>
  <c r="I189" i="55" s="1"/>
  <c r="F189" i="55"/>
  <c r="BH188" i="55"/>
  <c r="BG188" i="55" s="1"/>
  <c r="BA188" i="55"/>
  <c r="AZ188" i="55"/>
  <c r="AN188" i="55"/>
  <c r="AM188" i="55" s="1"/>
  <c r="AE188" i="55"/>
  <c r="AD188" i="55"/>
  <c r="J188" i="55"/>
  <c r="I188" i="55" s="1"/>
  <c r="F188" i="55"/>
  <c r="J187" i="55"/>
  <c r="I187" i="55" s="1"/>
  <c r="G187" i="55" s="1"/>
  <c r="F187" i="55"/>
  <c r="BH186" i="55"/>
  <c r="BG186" i="55" s="1"/>
  <c r="BA186" i="55"/>
  <c r="AZ186" i="55"/>
  <c r="AN186" i="55"/>
  <c r="AM186" i="55" s="1"/>
  <c r="AE186" i="55"/>
  <c r="AD186" i="55"/>
  <c r="J186" i="55"/>
  <c r="I186" i="55" s="1"/>
  <c r="F186" i="55"/>
  <c r="BH185" i="55"/>
  <c r="BG185" i="55" s="1"/>
  <c r="BA185" i="55"/>
  <c r="AZ185" i="55"/>
  <c r="AN185" i="55"/>
  <c r="AM185" i="55" s="1"/>
  <c r="AI185" i="55"/>
  <c r="AE185" i="55"/>
  <c r="AD185" i="55"/>
  <c r="J185" i="55"/>
  <c r="I185" i="55" s="1"/>
  <c r="F185" i="55"/>
  <c r="BH184" i="55"/>
  <c r="BG184" i="55" s="1"/>
  <c r="BA184" i="55"/>
  <c r="AZ184" i="55"/>
  <c r="AN184" i="55"/>
  <c r="AM184" i="55" s="1"/>
  <c r="AE184" i="55"/>
  <c r="AD184" i="55"/>
  <c r="J184" i="55"/>
  <c r="I184" i="55" s="1"/>
  <c r="F184" i="55"/>
  <c r="BH183" i="55"/>
  <c r="BG183" i="55" s="1"/>
  <c r="BA183" i="55"/>
  <c r="AZ183" i="55"/>
  <c r="AN183" i="55"/>
  <c r="AM183" i="55" s="1"/>
  <c r="AE183" i="55"/>
  <c r="AD183" i="55"/>
  <c r="K183" i="55"/>
  <c r="J183" i="55" s="1"/>
  <c r="I183" i="55" s="1"/>
  <c r="F183" i="55"/>
  <c r="BH182" i="55"/>
  <c r="BG182" i="55"/>
  <c r="BA182" i="55"/>
  <c r="AZ182" i="55" s="1"/>
  <c r="AN182" i="55"/>
  <c r="AM182" i="55"/>
  <c r="AE182" i="55"/>
  <c r="AD182" i="55" s="1"/>
  <c r="J182" i="55"/>
  <c r="I182" i="55"/>
  <c r="F182" i="55"/>
  <c r="BH181" i="55"/>
  <c r="BG181" i="55"/>
  <c r="BB181" i="55"/>
  <c r="BA181" i="55" s="1"/>
  <c r="AZ181" i="55" s="1"/>
  <c r="AN181" i="55"/>
  <c r="AM181" i="55"/>
  <c r="AI181" i="55"/>
  <c r="AG181" i="55"/>
  <c r="AE181" i="55"/>
  <c r="AD181" i="55"/>
  <c r="K181" i="55"/>
  <c r="J181" i="55" s="1"/>
  <c r="I181" i="55" s="1"/>
  <c r="F181" i="55"/>
  <c r="BH180" i="55"/>
  <c r="BG180" i="55"/>
  <c r="BA180" i="55"/>
  <c r="AZ180" i="55" s="1"/>
  <c r="AN180" i="55"/>
  <c r="AM180" i="55"/>
  <c r="AE180" i="55"/>
  <c r="AD180" i="55" s="1"/>
  <c r="J180" i="55"/>
  <c r="I180" i="55"/>
  <c r="F180" i="55"/>
  <c r="BH179" i="55"/>
  <c r="BG179" i="55"/>
  <c r="BA179" i="55"/>
  <c r="AZ179" i="55" s="1"/>
  <c r="AN179" i="55"/>
  <c r="AM179" i="55"/>
  <c r="AE179" i="55"/>
  <c r="AD179" i="55" s="1"/>
  <c r="K179" i="55"/>
  <c r="J179" i="55"/>
  <c r="I179" i="55"/>
  <c r="F179" i="55"/>
  <c r="BH178" i="55"/>
  <c r="BG178" i="55"/>
  <c r="BA178" i="55"/>
  <c r="AZ178" i="55" s="1"/>
  <c r="AN178" i="55"/>
  <c r="AM178" i="55"/>
  <c r="AE178" i="55"/>
  <c r="AD178" i="55" s="1"/>
  <c r="J178" i="55"/>
  <c r="I178" i="55"/>
  <c r="G178" i="55" s="1"/>
  <c r="F178" i="55"/>
  <c r="BH177" i="55"/>
  <c r="BG177" i="55"/>
  <c r="BA177" i="55"/>
  <c r="AZ177" i="55" s="1"/>
  <c r="AN177" i="55"/>
  <c r="AM177" i="55"/>
  <c r="AE177" i="55"/>
  <c r="AD177" i="55" s="1"/>
  <c r="Z177" i="55"/>
  <c r="K177" i="55"/>
  <c r="J177" i="55" s="1"/>
  <c r="I177" i="55" s="1"/>
  <c r="G177" i="55" s="1"/>
  <c r="F177" i="55"/>
  <c r="BH176" i="55"/>
  <c r="BG176" i="55" s="1"/>
  <c r="BA176" i="55"/>
  <c r="AZ176" i="55"/>
  <c r="AN176" i="55"/>
  <c r="AM176" i="55" s="1"/>
  <c r="AE176" i="55"/>
  <c r="AD176" i="55"/>
  <c r="J176" i="55"/>
  <c r="I176" i="55" s="1"/>
  <c r="G176" i="55" s="1"/>
  <c r="F176" i="55"/>
  <c r="BH175" i="55"/>
  <c r="BG175" i="55" s="1"/>
  <c r="BA175" i="55"/>
  <c r="AZ175" i="55"/>
  <c r="AN175" i="55"/>
  <c r="AM175" i="55" s="1"/>
  <c r="AI175" i="55"/>
  <c r="AE175" i="55"/>
  <c r="AD175" i="55" s="1"/>
  <c r="G175" i="55" s="1"/>
  <c r="J175" i="55"/>
  <c r="I175" i="55"/>
  <c r="F175" i="55"/>
  <c r="BH174" i="55"/>
  <c r="BG174" i="55"/>
  <c r="BA174" i="55"/>
  <c r="AZ174" i="55" s="1"/>
  <c r="AN174" i="55"/>
  <c r="AM174" i="55"/>
  <c r="AE174" i="55"/>
  <c r="AD174" i="55" s="1"/>
  <c r="G174" i="55" s="1"/>
  <c r="J174" i="55"/>
  <c r="I174" i="55"/>
  <c r="F174" i="55"/>
  <c r="BH173" i="55"/>
  <c r="BG173" i="55"/>
  <c r="BA173" i="55"/>
  <c r="AZ173" i="55" s="1"/>
  <c r="AN173" i="55"/>
  <c r="AM173" i="55"/>
  <c r="AE173" i="55"/>
  <c r="AD173" i="55" s="1"/>
  <c r="G173" i="55" s="1"/>
  <c r="J173" i="55"/>
  <c r="I173" i="55"/>
  <c r="F173" i="55"/>
  <c r="BH172" i="55"/>
  <c r="BG172" i="55"/>
  <c r="BA172" i="55"/>
  <c r="AZ172" i="55" s="1"/>
  <c r="AN172" i="55"/>
  <c r="AM172" i="55"/>
  <c r="AE172" i="55"/>
  <c r="AD172" i="55" s="1"/>
  <c r="J172" i="55"/>
  <c r="I172" i="55" s="1"/>
  <c r="G172" i="55" s="1"/>
  <c r="F172" i="55"/>
  <c r="BH171" i="55"/>
  <c r="BG171" i="55" s="1"/>
  <c r="BA171" i="55"/>
  <c r="AZ171" i="55" s="1"/>
  <c r="AN171" i="55"/>
  <c r="AM171" i="55" s="1"/>
  <c r="AE171" i="55"/>
  <c r="AD171" i="55" s="1"/>
  <c r="J171" i="55"/>
  <c r="I171" i="55" s="1"/>
  <c r="F171" i="55"/>
  <c r="BH170" i="55"/>
  <c r="BG170" i="55" s="1"/>
  <c r="BA170" i="55"/>
  <c r="AZ170" i="55" s="1"/>
  <c r="AN170" i="55"/>
  <c r="AM170" i="55" s="1"/>
  <c r="AE170" i="55"/>
  <c r="AD170" i="55" s="1"/>
  <c r="J170" i="55"/>
  <c r="I170" i="55" s="1"/>
  <c r="G170" i="55" s="1"/>
  <c r="F170" i="55"/>
  <c r="BH169" i="55"/>
  <c r="BG169" i="55" s="1"/>
  <c r="BA169" i="55"/>
  <c r="AZ169" i="55" s="1"/>
  <c r="AN169" i="55"/>
  <c r="AM169" i="55" s="1"/>
  <c r="AE169" i="55"/>
  <c r="AD169" i="55" s="1"/>
  <c r="J169" i="55"/>
  <c r="I169" i="55" s="1"/>
  <c r="F169" i="55"/>
  <c r="BH168" i="55"/>
  <c r="BG168" i="55" s="1"/>
  <c r="BA168" i="55"/>
  <c r="AZ168" i="55" s="1"/>
  <c r="AN168" i="55"/>
  <c r="AM168" i="55" s="1"/>
  <c r="AE168" i="55"/>
  <c r="AD168" i="55" s="1"/>
  <c r="J168" i="55"/>
  <c r="I168" i="55" s="1"/>
  <c r="G168" i="55" s="1"/>
  <c r="F168" i="55"/>
  <c r="BH167" i="55"/>
  <c r="BG167" i="55" s="1"/>
  <c r="BA167" i="55"/>
  <c r="AZ167" i="55" s="1"/>
  <c r="AN167" i="55"/>
  <c r="AM167" i="55" s="1"/>
  <c r="AE167" i="55"/>
  <c r="AD167" i="55" s="1"/>
  <c r="Z167" i="55"/>
  <c r="J167" i="55" s="1"/>
  <c r="I167" i="55" s="1"/>
  <c r="K167" i="55"/>
  <c r="G167" i="55"/>
  <c r="F167" i="55"/>
  <c r="BH166" i="55"/>
  <c r="BG166" i="55" s="1"/>
  <c r="BA166" i="55"/>
  <c r="AZ166" i="55" s="1"/>
  <c r="AN166" i="55"/>
  <c r="AM166" i="55" s="1"/>
  <c r="AE166" i="55"/>
  <c r="AD166" i="55" s="1"/>
  <c r="J166" i="55"/>
  <c r="I166" i="55" s="1"/>
  <c r="G166" i="55" s="1"/>
  <c r="F166" i="55"/>
  <c r="BH165" i="55"/>
  <c r="BG165" i="55" s="1"/>
  <c r="BA165" i="55"/>
  <c r="AZ165" i="55" s="1"/>
  <c r="AN165" i="55"/>
  <c r="AM165" i="55" s="1"/>
  <c r="AE165" i="55"/>
  <c r="AD165" i="55" s="1"/>
  <c r="G165" i="55" s="1"/>
  <c r="J165" i="55"/>
  <c r="I165" i="55" s="1"/>
  <c r="F165" i="55"/>
  <c r="BH164" i="55"/>
  <c r="BG164" i="55" s="1"/>
  <c r="BA164" i="55"/>
  <c r="AZ164" i="55" s="1"/>
  <c r="AN164" i="55"/>
  <c r="AM164" i="55" s="1"/>
  <c r="AE164" i="55"/>
  <c r="AD164" i="55" s="1"/>
  <c r="J164" i="55"/>
  <c r="I164" i="55" s="1"/>
  <c r="G164" i="55" s="1"/>
  <c r="F164" i="55"/>
  <c r="BH163" i="55"/>
  <c r="BG163" i="55" s="1"/>
  <c r="BA163" i="55"/>
  <c r="AZ163" i="55" s="1"/>
  <c r="AN163" i="55"/>
  <c r="AM163" i="55" s="1"/>
  <c r="AE163" i="55"/>
  <c r="AD163" i="55" s="1"/>
  <c r="J163" i="55"/>
  <c r="I163" i="55" s="1"/>
  <c r="G163" i="55"/>
  <c r="F163" i="55"/>
  <c r="BH162" i="55"/>
  <c r="BG162" i="55" s="1"/>
  <c r="BA162" i="55"/>
  <c r="AZ162" i="55" s="1"/>
  <c r="AN162" i="55"/>
  <c r="AM162" i="55" s="1"/>
  <c r="AI162" i="55"/>
  <c r="J162" i="55"/>
  <c r="I162" i="55"/>
  <c r="F162" i="55"/>
  <c r="BH161" i="55"/>
  <c r="BG161" i="55"/>
  <c r="BA161" i="55"/>
  <c r="AZ161" i="55"/>
  <c r="AN161" i="55"/>
  <c r="AM161" i="55"/>
  <c r="AE161" i="55"/>
  <c r="AD161" i="55"/>
  <c r="J161" i="55"/>
  <c r="I161" i="55"/>
  <c r="G161" i="55" s="1"/>
  <c r="F161" i="55"/>
  <c r="BH160" i="55"/>
  <c r="BG160" i="55"/>
  <c r="BA160" i="55"/>
  <c r="AZ160" i="55"/>
  <c r="AN160" i="55"/>
  <c r="AM160" i="55"/>
  <c r="AE160" i="55"/>
  <c r="AD160" i="55"/>
  <c r="J160" i="55"/>
  <c r="I160" i="55"/>
  <c r="G160" i="55" s="1"/>
  <c r="F160" i="55"/>
  <c r="BH159" i="55"/>
  <c r="BG159" i="55"/>
  <c r="BA159" i="55"/>
  <c r="AZ159" i="55"/>
  <c r="AN159" i="55"/>
  <c r="AM159" i="55"/>
  <c r="AI159" i="55"/>
  <c r="AE159" i="55"/>
  <c r="AD159" i="55" s="1"/>
  <c r="J159" i="55"/>
  <c r="I159" i="55" s="1"/>
  <c r="F159" i="55"/>
  <c r="BH158" i="55"/>
  <c r="BG158" i="55" s="1"/>
  <c r="BA158" i="55"/>
  <c r="AZ158" i="55" s="1"/>
  <c r="AN158" i="55"/>
  <c r="AM158" i="55" s="1"/>
  <c r="AE158" i="55"/>
  <c r="AD158" i="55" s="1"/>
  <c r="J158" i="55"/>
  <c r="I158" i="55" s="1"/>
  <c r="F158" i="55"/>
  <c r="BH157" i="55"/>
  <c r="BG157" i="55" s="1"/>
  <c r="BA157" i="55"/>
  <c r="AZ157" i="55" s="1"/>
  <c r="AN157" i="55"/>
  <c r="AM157" i="55" s="1"/>
  <c r="AE157" i="55"/>
  <c r="AD157" i="55" s="1"/>
  <c r="J157" i="55"/>
  <c r="I157" i="55" s="1"/>
  <c r="F157" i="55"/>
  <c r="BH156" i="55"/>
  <c r="BG156" i="55" s="1"/>
  <c r="BA156" i="55"/>
  <c r="AZ156" i="55" s="1"/>
  <c r="AN156" i="55"/>
  <c r="AM156" i="55" s="1"/>
  <c r="AE156" i="55"/>
  <c r="AD156" i="55" s="1"/>
  <c r="J156" i="55"/>
  <c r="I156" i="55" s="1"/>
  <c r="F156" i="55"/>
  <c r="BH155" i="55"/>
  <c r="BG155" i="55" s="1"/>
  <c r="BA155" i="55"/>
  <c r="AZ155" i="55" s="1"/>
  <c r="AN155" i="55"/>
  <c r="AM155" i="55" s="1"/>
  <c r="AE155" i="55"/>
  <c r="AD155" i="55" s="1"/>
  <c r="J155" i="55"/>
  <c r="I155" i="55" s="1"/>
  <c r="F155" i="55"/>
  <c r="BH154" i="55"/>
  <c r="BG154" i="55" s="1"/>
  <c r="BA154" i="55"/>
  <c r="AZ154" i="55" s="1"/>
  <c r="AN154" i="55"/>
  <c r="AM154" i="55" s="1"/>
  <c r="AE154" i="55"/>
  <c r="AD154" i="55" s="1"/>
  <c r="J154" i="55"/>
  <c r="I154" i="55" s="1"/>
  <c r="G154" i="55" s="1"/>
  <c r="F154" i="55"/>
  <c r="BH153" i="55"/>
  <c r="BG153" i="55" s="1"/>
  <c r="BA153" i="55"/>
  <c r="AZ153" i="55" s="1"/>
  <c r="AN153" i="55"/>
  <c r="AM153" i="55" s="1"/>
  <c r="AE153" i="55"/>
  <c r="AD153" i="55" s="1"/>
  <c r="J153" i="55"/>
  <c r="I153" i="55" s="1"/>
  <c r="F153" i="55"/>
  <c r="BH152" i="55"/>
  <c r="BG152" i="55" s="1"/>
  <c r="BA152" i="55"/>
  <c r="AZ152" i="55" s="1"/>
  <c r="AN152" i="55"/>
  <c r="AM152" i="55" s="1"/>
  <c r="AE152" i="55"/>
  <c r="AD152" i="55" s="1"/>
  <c r="J152" i="55"/>
  <c r="I152" i="55" s="1"/>
  <c r="G152" i="55" s="1"/>
  <c r="F152" i="55"/>
  <c r="BH151" i="55"/>
  <c r="BG151" i="55" s="1"/>
  <c r="BA151" i="55"/>
  <c r="AZ151" i="55" s="1"/>
  <c r="AN151" i="55"/>
  <c r="AM151" i="55" s="1"/>
  <c r="AE151" i="55"/>
  <c r="AD151" i="55" s="1"/>
  <c r="Z151" i="55"/>
  <c r="F151" i="55"/>
  <c r="BH150" i="55"/>
  <c r="BG150" i="55"/>
  <c r="BA150" i="55"/>
  <c r="AZ150" i="55"/>
  <c r="AN150" i="55"/>
  <c r="AM150" i="55"/>
  <c r="AE150" i="55"/>
  <c r="AD150" i="55"/>
  <c r="J150" i="55"/>
  <c r="I150" i="55"/>
  <c r="F150" i="55"/>
  <c r="BH149" i="55"/>
  <c r="BG149" i="55"/>
  <c r="BA149" i="55"/>
  <c r="AZ149" i="55"/>
  <c r="AN149" i="55"/>
  <c r="AM149" i="55"/>
  <c r="AE149" i="55"/>
  <c r="AD149" i="55"/>
  <c r="J149" i="55"/>
  <c r="I149" i="55"/>
  <c r="G149" i="55" s="1"/>
  <c r="F149" i="55"/>
  <c r="BH148" i="55"/>
  <c r="BG148" i="55"/>
  <c r="BA148" i="55"/>
  <c r="AZ148" i="55"/>
  <c r="AN148" i="55"/>
  <c r="AM148" i="55"/>
  <c r="AE148" i="55"/>
  <c r="AD148" i="55"/>
  <c r="J148" i="55"/>
  <c r="I148" i="55"/>
  <c r="G148" i="55" s="1"/>
  <c r="F148" i="55"/>
  <c r="BH147" i="55"/>
  <c r="BG147" i="55"/>
  <c r="BA147" i="55"/>
  <c r="AZ147" i="55"/>
  <c r="AN147" i="55"/>
  <c r="AM147" i="55"/>
  <c r="AE147" i="55"/>
  <c r="AD147" i="55"/>
  <c r="J147" i="55"/>
  <c r="I147" i="55"/>
  <c r="F147" i="55"/>
  <c r="BH146" i="55"/>
  <c r="BG146" i="55"/>
  <c r="BG145" i="55" s="1"/>
  <c r="BA146" i="55"/>
  <c r="AZ146" i="55"/>
  <c r="AN146" i="55"/>
  <c r="AM146" i="55"/>
  <c r="AM145" i="55" s="1"/>
  <c r="AE146" i="55"/>
  <c r="AD146" i="55"/>
  <c r="J146" i="55"/>
  <c r="I146" i="55"/>
  <c r="G146" i="55" s="1"/>
  <c r="F146" i="55"/>
  <c r="BS145" i="55"/>
  <c r="BR145" i="55"/>
  <c r="BQ145" i="55"/>
  <c r="BP145" i="55"/>
  <c r="BO145" i="55"/>
  <c r="BN145" i="55"/>
  <c r="BM145" i="55"/>
  <c r="BL145" i="55"/>
  <c r="BK145" i="55"/>
  <c r="BJ145" i="55"/>
  <c r="BI145" i="55"/>
  <c r="BH145" i="55"/>
  <c r="BF145" i="55"/>
  <c r="BE145" i="55"/>
  <c r="BD145" i="55"/>
  <c r="BC145" i="55"/>
  <c r="BB145" i="55"/>
  <c r="AZ145" i="55"/>
  <c r="AY145" i="55"/>
  <c r="AX145" i="55"/>
  <c r="AW145" i="55"/>
  <c r="AV145" i="55"/>
  <c r="AU145" i="55"/>
  <c r="AT145" i="55"/>
  <c r="AS145" i="55"/>
  <c r="AR145" i="55"/>
  <c r="AQ145" i="55"/>
  <c r="AP145" i="55"/>
  <c r="AO145" i="55"/>
  <c r="AN145" i="55"/>
  <c r="AL145" i="55"/>
  <c r="AK145" i="55"/>
  <c r="AJ145" i="55"/>
  <c r="AH145" i="55"/>
  <c r="AG145" i="55"/>
  <c r="AF145" i="55"/>
  <c r="AC145" i="55"/>
  <c r="AB145" i="55"/>
  <c r="AA145" i="55"/>
  <c r="Y145" i="55"/>
  <c r="X145" i="55"/>
  <c r="W145" i="55"/>
  <c r="V145" i="55"/>
  <c r="U145" i="55"/>
  <c r="T145" i="55"/>
  <c r="S145" i="55"/>
  <c r="R145" i="55"/>
  <c r="Q145" i="55"/>
  <c r="P145" i="55"/>
  <c r="O145" i="55"/>
  <c r="N145" i="55"/>
  <c r="M145" i="55"/>
  <c r="L145" i="55"/>
  <c r="K145" i="55"/>
  <c r="H145" i="55"/>
  <c r="BH143" i="55"/>
  <c r="BG143" i="55"/>
  <c r="J143" i="55"/>
  <c r="I143" i="55"/>
  <c r="G143" i="55" s="1"/>
  <c r="F143" i="55"/>
  <c r="BH142" i="55"/>
  <c r="BG142" i="55"/>
  <c r="J142" i="55"/>
  <c r="I142" i="55"/>
  <c r="G142" i="55" s="1"/>
  <c r="F142" i="55"/>
  <c r="BH141" i="55"/>
  <c r="BG141" i="55"/>
  <c r="J141" i="55"/>
  <c r="I141" i="55"/>
  <c r="F141" i="55"/>
  <c r="BH140" i="55"/>
  <c r="BG140" i="55"/>
  <c r="J140" i="55"/>
  <c r="I140" i="55"/>
  <c r="G140" i="55" s="1"/>
  <c r="F140" i="55"/>
  <c r="BH139" i="55"/>
  <c r="BG139" i="55"/>
  <c r="BA139" i="55"/>
  <c r="AZ139" i="55"/>
  <c r="AN139" i="55"/>
  <c r="AM139" i="55"/>
  <c r="AE139" i="55"/>
  <c r="AD139" i="55"/>
  <c r="J139" i="55"/>
  <c r="I139" i="55"/>
  <c r="G139" i="55" s="1"/>
  <c r="F139" i="55"/>
  <c r="BH138" i="55"/>
  <c r="BG138" i="55"/>
  <c r="BA138" i="55"/>
  <c r="AZ138" i="55"/>
  <c r="AN138" i="55"/>
  <c r="AM138" i="55"/>
  <c r="AE138" i="55"/>
  <c r="AD138" i="55"/>
  <c r="J138" i="55"/>
  <c r="I138" i="55"/>
  <c r="G138" i="55" s="1"/>
  <c r="F138" i="55"/>
  <c r="BH137" i="55"/>
  <c r="BG137" i="55"/>
  <c r="BA137" i="55"/>
  <c r="AZ137" i="55"/>
  <c r="AN137" i="55"/>
  <c r="AM137" i="55"/>
  <c r="AE137" i="55"/>
  <c r="AD137" i="55"/>
  <c r="J137" i="55"/>
  <c r="I137" i="55"/>
  <c r="G137" i="55" s="1"/>
  <c r="F137" i="55"/>
  <c r="BH136" i="55"/>
  <c r="BG136" i="55"/>
  <c r="J136" i="55"/>
  <c r="I136" i="55"/>
  <c r="F136" i="55"/>
  <c r="BH135" i="55"/>
  <c r="BG135" i="55"/>
  <c r="BA135" i="55"/>
  <c r="AZ135" i="55"/>
  <c r="AN135" i="55"/>
  <c r="AM135" i="55"/>
  <c r="AE135" i="55"/>
  <c r="AD135" i="55"/>
  <c r="J135" i="55"/>
  <c r="I135" i="55"/>
  <c r="F135" i="55"/>
  <c r="BH134" i="55"/>
  <c r="BG134" i="55"/>
  <c r="BA134" i="55"/>
  <c r="AZ134" i="55"/>
  <c r="AN134" i="55"/>
  <c r="AM134" i="55"/>
  <c r="AE134" i="55"/>
  <c r="AD134" i="55"/>
  <c r="J134" i="55"/>
  <c r="I134" i="55"/>
  <c r="G134" i="55" s="1"/>
  <c r="F134" i="55"/>
  <c r="BH133" i="55"/>
  <c r="BG133" i="55"/>
  <c r="BA133" i="55"/>
  <c r="AZ133" i="55"/>
  <c r="AN133" i="55"/>
  <c r="AM133" i="55"/>
  <c r="AE133" i="55"/>
  <c r="AD133" i="55"/>
  <c r="K133" i="55"/>
  <c r="J133" i="55"/>
  <c r="I133" i="55" s="1"/>
  <c r="G133" i="55"/>
  <c r="F133" i="55"/>
  <c r="BH132" i="55"/>
  <c r="BG132" i="55" s="1"/>
  <c r="BA132" i="55"/>
  <c r="AZ132" i="55" s="1"/>
  <c r="AN132" i="55"/>
  <c r="AM132" i="55" s="1"/>
  <c r="G132" i="55" s="1"/>
  <c r="AE132" i="55"/>
  <c r="AD132" i="55" s="1"/>
  <c r="J132" i="55"/>
  <c r="I132" i="55" s="1"/>
  <c r="F132" i="55"/>
  <c r="BH131" i="55"/>
  <c r="BG131" i="55" s="1"/>
  <c r="BA131" i="55"/>
  <c r="AZ131" i="55" s="1"/>
  <c r="AO131" i="55"/>
  <c r="AO280" i="55" s="1"/>
  <c r="AE131" i="55"/>
  <c r="AD131" i="55"/>
  <c r="J131" i="55"/>
  <c r="I131" i="55"/>
  <c r="F131" i="55"/>
  <c r="BH130" i="55"/>
  <c r="BG130" i="55"/>
  <c r="BA130" i="55"/>
  <c r="AZ130" i="55"/>
  <c r="AN130" i="55"/>
  <c r="AM130" i="55"/>
  <c r="AE130" i="55"/>
  <c r="AD130" i="55"/>
  <c r="J130" i="55"/>
  <c r="I130" i="55"/>
  <c r="G130" i="55" s="1"/>
  <c r="F130" i="55"/>
  <c r="BH129" i="55"/>
  <c r="BG129" i="55"/>
  <c r="BA129" i="55"/>
  <c r="AZ129" i="55"/>
  <c r="AN129" i="55"/>
  <c r="AM129" i="55"/>
  <c r="AE129" i="55"/>
  <c r="AD129" i="55"/>
  <c r="J129" i="55"/>
  <c r="I129" i="55"/>
  <c r="F129" i="55"/>
  <c r="BH128" i="55"/>
  <c r="BG128" i="55"/>
  <c r="BA128" i="55"/>
  <c r="AZ128" i="55"/>
  <c r="AN128" i="55"/>
  <c r="AM128" i="55"/>
  <c r="AE128" i="55"/>
  <c r="AD128" i="55"/>
  <c r="J128" i="55"/>
  <c r="I128" i="55"/>
  <c r="F128" i="55"/>
  <c r="BH127" i="55"/>
  <c r="BG127" i="55"/>
  <c r="BA127" i="55"/>
  <c r="AZ127" i="55"/>
  <c r="AN127" i="55"/>
  <c r="AM127" i="55"/>
  <c r="AE127" i="55"/>
  <c r="AD127" i="55"/>
  <c r="Q127" i="55"/>
  <c r="J127" i="55"/>
  <c r="I127" i="55" s="1"/>
  <c r="G127" i="55" s="1"/>
  <c r="F127" i="55"/>
  <c r="BH126" i="55"/>
  <c r="BG126" i="55" s="1"/>
  <c r="BA126" i="55"/>
  <c r="AZ126" i="55" s="1"/>
  <c r="AN126" i="55"/>
  <c r="AM126" i="55" s="1"/>
  <c r="AE126" i="55"/>
  <c r="AD126" i="55" s="1"/>
  <c r="M126" i="55"/>
  <c r="J126" i="55" s="1"/>
  <c r="I126" i="55"/>
  <c r="G126" i="55" s="1"/>
  <c r="F126" i="55"/>
  <c r="BH125" i="55"/>
  <c r="BG125" i="55"/>
  <c r="BA125" i="55"/>
  <c r="AZ125" i="55"/>
  <c r="AN125" i="55"/>
  <c r="AM125" i="55"/>
  <c r="AE125" i="55"/>
  <c r="AD125" i="55"/>
  <c r="K125" i="55"/>
  <c r="J125" i="55"/>
  <c r="I125" i="55" s="1"/>
  <c r="G125" i="55"/>
  <c r="F125" i="55"/>
  <c r="BH124" i="55"/>
  <c r="BG124" i="55" s="1"/>
  <c r="BA124" i="55"/>
  <c r="AZ124" i="55" s="1"/>
  <c r="AN124" i="55"/>
  <c r="AM124" i="55" s="1"/>
  <c r="AE124" i="55"/>
  <c r="AD124" i="55" s="1"/>
  <c r="K124" i="55"/>
  <c r="J124" i="55" s="1"/>
  <c r="I124" i="55"/>
  <c r="F124" i="55"/>
  <c r="BH123" i="55"/>
  <c r="BG123" i="55"/>
  <c r="BA123" i="55"/>
  <c r="AZ123" i="55"/>
  <c r="AN123" i="55"/>
  <c r="AM123" i="55"/>
  <c r="AE123" i="55"/>
  <c r="AD123" i="55"/>
  <c r="J123" i="55"/>
  <c r="I123" i="55"/>
  <c r="F123" i="55"/>
  <c r="BH122" i="55"/>
  <c r="BG122" i="55"/>
  <c r="BA122" i="55"/>
  <c r="AZ122" i="55"/>
  <c r="AN122" i="55"/>
  <c r="AM122" i="55"/>
  <c r="AE122" i="55"/>
  <c r="AD122" i="55"/>
  <c r="J122" i="55"/>
  <c r="I122" i="55"/>
  <c r="F122" i="55"/>
  <c r="BH121" i="55"/>
  <c r="BG121" i="55"/>
  <c r="BA121" i="55"/>
  <c r="AZ121" i="55"/>
  <c r="AN121" i="55"/>
  <c r="AM121" i="55"/>
  <c r="AE121" i="55"/>
  <c r="AD121" i="55"/>
  <c r="J121" i="55"/>
  <c r="I121" i="55"/>
  <c r="G121" i="55" s="1"/>
  <c r="F121" i="55"/>
  <c r="BH120" i="55"/>
  <c r="BG120" i="55"/>
  <c r="BA120" i="55"/>
  <c r="AZ120" i="55"/>
  <c r="AN120" i="55"/>
  <c r="AM120" i="55"/>
  <c r="AE120" i="55"/>
  <c r="AD120" i="55"/>
  <c r="J120" i="55"/>
  <c r="I120" i="55"/>
  <c r="G120" i="55" s="1"/>
  <c r="F120" i="55"/>
  <c r="BH119" i="55"/>
  <c r="BG119" i="55"/>
  <c r="BA119" i="55"/>
  <c r="AZ119" i="55"/>
  <c r="AN119" i="55"/>
  <c r="AM119" i="55"/>
  <c r="AE119" i="55"/>
  <c r="AD119" i="55"/>
  <c r="J119" i="55"/>
  <c r="I119" i="55"/>
  <c r="F119" i="55"/>
  <c r="BH118" i="55"/>
  <c r="BG118" i="55"/>
  <c r="BA118" i="55"/>
  <c r="AZ118" i="55"/>
  <c r="AN118" i="55"/>
  <c r="AM118" i="55"/>
  <c r="AE118" i="55"/>
  <c r="AD118" i="55"/>
  <c r="J118" i="55"/>
  <c r="I118" i="55"/>
  <c r="F118" i="55"/>
  <c r="BH117" i="55"/>
  <c r="BG117" i="55"/>
  <c r="BA117" i="55"/>
  <c r="AZ117" i="55"/>
  <c r="AN117" i="55"/>
  <c r="AM117" i="55"/>
  <c r="AE117" i="55"/>
  <c r="AD117" i="55"/>
  <c r="J117" i="55"/>
  <c r="I117" i="55"/>
  <c r="G117" i="55" s="1"/>
  <c r="F117" i="55"/>
  <c r="BH116" i="55"/>
  <c r="BG116" i="55"/>
  <c r="BA116" i="55"/>
  <c r="AZ116" i="55"/>
  <c r="AN116" i="55"/>
  <c r="AM116" i="55"/>
  <c r="AE116" i="55"/>
  <c r="AD116" i="55"/>
  <c r="J116" i="55"/>
  <c r="I116" i="55"/>
  <c r="G116" i="55" s="1"/>
  <c r="F116" i="55"/>
  <c r="BH115" i="55"/>
  <c r="BG115" i="55"/>
  <c r="BA115" i="55"/>
  <c r="AZ115" i="55"/>
  <c r="AN115" i="55"/>
  <c r="AM115" i="55"/>
  <c r="AE115" i="55"/>
  <c r="AD115" i="55"/>
  <c r="J115" i="55"/>
  <c r="I115" i="55"/>
  <c r="G115" i="55"/>
  <c r="F115" i="55"/>
  <c r="BH114" i="55"/>
  <c r="BG114" i="55"/>
  <c r="BA114" i="55"/>
  <c r="AZ114" i="55" s="1"/>
  <c r="AN114" i="55"/>
  <c r="AM114" i="55"/>
  <c r="AE114" i="55"/>
  <c r="AD114" i="55" s="1"/>
  <c r="Q114" i="55"/>
  <c r="O114" i="55"/>
  <c r="M114" i="55"/>
  <c r="J114" i="55" s="1"/>
  <c r="I114" i="55" s="1"/>
  <c r="F114" i="55"/>
  <c r="BH113" i="55"/>
  <c r="BG113" i="55" s="1"/>
  <c r="BA113" i="55"/>
  <c r="AZ113" i="55" s="1"/>
  <c r="AN113" i="55"/>
  <c r="AM113" i="55" s="1"/>
  <c r="AE113" i="55"/>
  <c r="AD113" i="55" s="1"/>
  <c r="J113" i="55"/>
  <c r="I113" i="55" s="1"/>
  <c r="G113" i="55" s="1"/>
  <c r="F113" i="55"/>
  <c r="F105" i="55" s="1"/>
  <c r="BH112" i="55"/>
  <c r="BG112" i="55" s="1"/>
  <c r="BA112" i="55"/>
  <c r="AZ112" i="55" s="1"/>
  <c r="AN112" i="55"/>
  <c r="AM112" i="55" s="1"/>
  <c r="AE112" i="55"/>
  <c r="AD112" i="55" s="1"/>
  <c r="G112" i="55" s="1"/>
  <c r="J112" i="55"/>
  <c r="I112" i="55" s="1"/>
  <c r="F112" i="55"/>
  <c r="BH111" i="55"/>
  <c r="BG111" i="55" s="1"/>
  <c r="BA111" i="55"/>
  <c r="AZ111" i="55"/>
  <c r="AN111" i="55"/>
  <c r="AM111" i="55" s="1"/>
  <c r="AE111" i="55"/>
  <c r="AD111" i="55"/>
  <c r="J111" i="55"/>
  <c r="I111" i="55" s="1"/>
  <c r="G111" i="55" s="1"/>
  <c r="F111" i="55"/>
  <c r="BH110" i="55"/>
  <c r="BG110" i="55" s="1"/>
  <c r="BA110" i="55"/>
  <c r="AZ110" i="55" s="1"/>
  <c r="AN110" i="55"/>
  <c r="AM110" i="55" s="1"/>
  <c r="AE110" i="55"/>
  <c r="AD110" i="55"/>
  <c r="J110" i="55"/>
  <c r="I110" i="55" s="1"/>
  <c r="G110" i="55" s="1"/>
  <c r="F110" i="55"/>
  <c r="BH109" i="55"/>
  <c r="BG109" i="55" s="1"/>
  <c r="BA109" i="55"/>
  <c r="AZ109" i="55" s="1"/>
  <c r="AN109" i="55"/>
  <c r="AM109" i="55" s="1"/>
  <c r="AE109" i="55"/>
  <c r="AD109" i="55" s="1"/>
  <c r="J109" i="55"/>
  <c r="I109" i="55"/>
  <c r="F109" i="55"/>
  <c r="BH108" i="55"/>
  <c r="BG108" i="55"/>
  <c r="BA108" i="55"/>
  <c r="AZ108" i="55" s="1"/>
  <c r="AN108" i="55"/>
  <c r="AM108" i="55"/>
  <c r="AE108" i="55"/>
  <c r="AD108" i="55" s="1"/>
  <c r="J108" i="55"/>
  <c r="I108" i="55"/>
  <c r="F108" i="55"/>
  <c r="BH107" i="55"/>
  <c r="BG107" i="55"/>
  <c r="BA107" i="55"/>
  <c r="AZ107" i="55" s="1"/>
  <c r="AN107" i="55"/>
  <c r="AM107" i="55"/>
  <c r="AE107" i="55"/>
  <c r="AD107" i="55" s="1"/>
  <c r="AD105" i="55" s="1"/>
  <c r="Z107" i="55"/>
  <c r="O107" i="55"/>
  <c r="J107" i="55"/>
  <c r="I107" i="55" s="1"/>
  <c r="F107" i="55"/>
  <c r="BH106" i="55"/>
  <c r="BH105" i="55" s="1"/>
  <c r="BA106" i="55"/>
  <c r="AZ106" i="55"/>
  <c r="AN106" i="55"/>
  <c r="AE106" i="55"/>
  <c r="AD106" i="55"/>
  <c r="J106" i="55"/>
  <c r="I106" i="55" s="1"/>
  <c r="F106" i="55"/>
  <c r="BS105" i="55"/>
  <c r="BR105" i="55"/>
  <c r="BQ105" i="55"/>
  <c r="BP105" i="55"/>
  <c r="BO105" i="55"/>
  <c r="BN105" i="55"/>
  <c r="BM105" i="55"/>
  <c r="BL105" i="55"/>
  <c r="BK105" i="55"/>
  <c r="BJ105" i="55"/>
  <c r="BI105" i="55"/>
  <c r="BF105" i="55"/>
  <c r="BE105" i="55"/>
  <c r="BD105" i="55"/>
  <c r="BC105" i="55"/>
  <c r="BB105" i="55"/>
  <c r="AY105" i="55"/>
  <c r="AX105" i="55"/>
  <c r="AW105" i="55"/>
  <c r="AV105" i="55"/>
  <c r="AU105" i="55"/>
  <c r="AT105" i="55"/>
  <c r="AS105" i="55"/>
  <c r="AR105" i="55"/>
  <c r="AQ105" i="55"/>
  <c r="AP105" i="55"/>
  <c r="AO105" i="55"/>
  <c r="AL105" i="55"/>
  <c r="AK105" i="55"/>
  <c r="AJ105" i="55"/>
  <c r="AI105" i="55"/>
  <c r="AH105" i="55"/>
  <c r="AG105" i="55"/>
  <c r="AF105" i="55"/>
  <c r="AE105" i="55"/>
  <c r="AC105" i="55"/>
  <c r="AB105" i="55"/>
  <c r="AA105" i="55"/>
  <c r="Z105" i="55"/>
  <c r="Y105" i="55"/>
  <c r="X105" i="55"/>
  <c r="W105" i="55"/>
  <c r="V105" i="55"/>
  <c r="U105" i="55"/>
  <c r="T105" i="55"/>
  <c r="S105" i="55"/>
  <c r="R105" i="55"/>
  <c r="Q105" i="55"/>
  <c r="P105" i="55"/>
  <c r="O105" i="55"/>
  <c r="N105" i="55"/>
  <c r="L105" i="55"/>
  <c r="K105" i="55"/>
  <c r="H105" i="55"/>
  <c r="BH103" i="55"/>
  <c r="BG103" i="55"/>
  <c r="BA103" i="55"/>
  <c r="AZ103" i="55" s="1"/>
  <c r="AN103" i="55"/>
  <c r="AM103" i="55"/>
  <c r="AE103" i="55"/>
  <c r="AD103" i="55" s="1"/>
  <c r="G103" i="55" s="1"/>
  <c r="J103" i="55"/>
  <c r="I103" i="55"/>
  <c r="F103" i="55"/>
  <c r="BH102" i="55"/>
  <c r="BG102" i="55"/>
  <c r="BA102" i="55"/>
  <c r="AZ102" i="55" s="1"/>
  <c r="AN102" i="55"/>
  <c r="AM102" i="55"/>
  <c r="AE102" i="55"/>
  <c r="AD102" i="55" s="1"/>
  <c r="G102" i="55" s="1"/>
  <c r="J102" i="55"/>
  <c r="I102" i="55"/>
  <c r="F102" i="55"/>
  <c r="BH101" i="55"/>
  <c r="BG101" i="55"/>
  <c r="BA101" i="55"/>
  <c r="AZ101" i="55" s="1"/>
  <c r="AN101" i="55"/>
  <c r="AM101" i="55"/>
  <c r="AE101" i="55"/>
  <c r="AD101" i="55" s="1"/>
  <c r="G101" i="55" s="1"/>
  <c r="J101" i="55"/>
  <c r="I101" i="55"/>
  <c r="F101" i="55"/>
  <c r="BH100" i="55"/>
  <c r="BG100" i="55"/>
  <c r="BA100" i="55"/>
  <c r="AZ100" i="55" s="1"/>
  <c r="AN100" i="55"/>
  <c r="AM100" i="55"/>
  <c r="AE100" i="55"/>
  <c r="AD100" i="55" s="1"/>
  <c r="J100" i="55"/>
  <c r="I100" i="55"/>
  <c r="F100" i="55"/>
  <c r="BH99" i="55"/>
  <c r="BG99" i="55"/>
  <c r="BA99" i="55"/>
  <c r="AZ99" i="55" s="1"/>
  <c r="AN99" i="55"/>
  <c r="AM99" i="55"/>
  <c r="AE99" i="55"/>
  <c r="AD99" i="55" s="1"/>
  <c r="G99" i="55" s="1"/>
  <c r="J99" i="55"/>
  <c r="I99" i="55"/>
  <c r="F99" i="55"/>
  <c r="BH98" i="55"/>
  <c r="BG98" i="55"/>
  <c r="BA98" i="55"/>
  <c r="AZ98" i="55" s="1"/>
  <c r="AN98" i="55"/>
  <c r="AM98" i="55"/>
  <c r="AE98" i="55"/>
  <c r="AD98" i="55" s="1"/>
  <c r="G98" i="55" s="1"/>
  <c r="J98" i="55"/>
  <c r="I98" i="55"/>
  <c r="F98" i="55"/>
  <c r="BH97" i="55"/>
  <c r="BG97" i="55"/>
  <c r="BA97" i="55"/>
  <c r="AZ97" i="55" s="1"/>
  <c r="AN97" i="55"/>
  <c r="AM97" i="55"/>
  <c r="AE97" i="55"/>
  <c r="AD97" i="55" s="1"/>
  <c r="G97" i="55" s="1"/>
  <c r="J97" i="55"/>
  <c r="I97" i="55"/>
  <c r="F97" i="55"/>
  <c r="BH96" i="55"/>
  <c r="BG96" i="55"/>
  <c r="BG95" i="55" s="1"/>
  <c r="BA96" i="55"/>
  <c r="AZ96" i="55" s="1"/>
  <c r="AZ95" i="55" s="1"/>
  <c r="AN96" i="55"/>
  <c r="AM96" i="55"/>
  <c r="AE96" i="55"/>
  <c r="AD96" i="55" s="1"/>
  <c r="J96" i="55"/>
  <c r="I96" i="55"/>
  <c r="F96" i="55"/>
  <c r="F95" i="55" s="1"/>
  <c r="BS95" i="55"/>
  <c r="BR95" i="55"/>
  <c r="BQ95" i="55"/>
  <c r="BP95" i="55"/>
  <c r="BO95" i="55"/>
  <c r="BN95" i="55"/>
  <c r="BM95" i="55"/>
  <c r="BL95" i="55"/>
  <c r="BK95" i="55"/>
  <c r="BJ95" i="55"/>
  <c r="BI95" i="55"/>
  <c r="BH95" i="55"/>
  <c r="BF95" i="55"/>
  <c r="BE95" i="55"/>
  <c r="BD95" i="55"/>
  <c r="BC95" i="55"/>
  <c r="BB95" i="55"/>
  <c r="BA95" i="55"/>
  <c r="AY95" i="55"/>
  <c r="AX95" i="55"/>
  <c r="AW95" i="55"/>
  <c r="AV95" i="55"/>
  <c r="AU95" i="55"/>
  <c r="AT95" i="55"/>
  <c r="AS95" i="55"/>
  <c r="AR95" i="55"/>
  <c r="AQ95" i="55"/>
  <c r="AP95" i="55"/>
  <c r="AO95" i="55"/>
  <c r="AN95" i="55"/>
  <c r="AM95" i="55"/>
  <c r="AL95" i="55"/>
  <c r="AK95" i="55"/>
  <c r="AJ95" i="55"/>
  <c r="AI95" i="55"/>
  <c r="AH95" i="55"/>
  <c r="AG95" i="55"/>
  <c r="AF95" i="55"/>
  <c r="AC95" i="55"/>
  <c r="AB95" i="55"/>
  <c r="AA95" i="55"/>
  <c r="Z95" i="55"/>
  <c r="Y95" i="55"/>
  <c r="X95" i="55"/>
  <c r="W95" i="55"/>
  <c r="V95" i="55"/>
  <c r="U95" i="55"/>
  <c r="T95" i="55"/>
  <c r="S95" i="55"/>
  <c r="R95" i="55"/>
  <c r="Q95" i="55"/>
  <c r="P95" i="55"/>
  <c r="O95" i="55"/>
  <c r="N95" i="55"/>
  <c r="M95" i="55"/>
  <c r="L95" i="55"/>
  <c r="K95" i="55"/>
  <c r="J95" i="55"/>
  <c r="I95" i="55"/>
  <c r="H95" i="55"/>
  <c r="BH93" i="55"/>
  <c r="BG93" i="55" s="1"/>
  <c r="G93" i="55" s="1"/>
  <c r="J93" i="55"/>
  <c r="I93" i="55"/>
  <c r="F93" i="55"/>
  <c r="BH92" i="55"/>
  <c r="BG92" i="55"/>
  <c r="J92" i="55"/>
  <c r="I92" i="55" s="1"/>
  <c r="G92" i="55" s="1"/>
  <c r="F92" i="55"/>
  <c r="BH91" i="55"/>
  <c r="BG91" i="55" s="1"/>
  <c r="G91" i="55" s="1"/>
  <c r="J91" i="55"/>
  <c r="I91" i="55"/>
  <c r="F91" i="55"/>
  <c r="BH90" i="55"/>
  <c r="BG90" i="55"/>
  <c r="BA90" i="55"/>
  <c r="AZ90" i="55" s="1"/>
  <c r="AN90" i="55"/>
  <c r="AM90" i="55"/>
  <c r="AE90" i="55"/>
  <c r="AD90" i="55" s="1"/>
  <c r="G90" i="55" s="1"/>
  <c r="J90" i="55"/>
  <c r="I90" i="55"/>
  <c r="F90" i="55"/>
  <c r="BH89" i="55"/>
  <c r="BG89" i="55"/>
  <c r="BA89" i="55"/>
  <c r="AZ89" i="55" s="1"/>
  <c r="AN89" i="55"/>
  <c r="AM89" i="55"/>
  <c r="AE89" i="55"/>
  <c r="AD89" i="55" s="1"/>
  <c r="G89" i="55" s="1"/>
  <c r="J89" i="55"/>
  <c r="I89" i="55"/>
  <c r="F89" i="55"/>
  <c r="BH88" i="55"/>
  <c r="BG88" i="55"/>
  <c r="BA88" i="55"/>
  <c r="AZ88" i="55" s="1"/>
  <c r="AN88" i="55"/>
  <c r="AM88" i="55"/>
  <c r="AE88" i="55"/>
  <c r="AD88" i="55" s="1"/>
  <c r="G88" i="55" s="1"/>
  <c r="J88" i="55"/>
  <c r="I88" i="55"/>
  <c r="F88" i="55"/>
  <c r="BH87" i="55"/>
  <c r="BG87" i="55"/>
  <c r="BA87" i="55"/>
  <c r="AZ87" i="55" s="1"/>
  <c r="AN87" i="55"/>
  <c r="AM87" i="55"/>
  <c r="AE87" i="55"/>
  <c r="AD87" i="55" s="1"/>
  <c r="Z87" i="55"/>
  <c r="Z280" i="55" s="1"/>
  <c r="P87" i="55"/>
  <c r="J87" i="55"/>
  <c r="I87" i="55" s="1"/>
  <c r="F87" i="55"/>
  <c r="BH86" i="55"/>
  <c r="BG86" i="55" s="1"/>
  <c r="BA86" i="55"/>
  <c r="AZ86" i="55" s="1"/>
  <c r="AN86" i="55"/>
  <c r="AM86" i="55" s="1"/>
  <c r="AE86" i="55"/>
  <c r="AD86" i="55" s="1"/>
  <c r="K86" i="55"/>
  <c r="J86" i="55" s="1"/>
  <c r="I86" i="55" s="1"/>
  <c r="G86" i="55" s="1"/>
  <c r="F86" i="55"/>
  <c r="BH85" i="55"/>
  <c r="BG85" i="55" s="1"/>
  <c r="BA85" i="55"/>
  <c r="AZ85" i="55"/>
  <c r="AN85" i="55"/>
  <c r="AM85" i="55" s="1"/>
  <c r="AE85" i="55"/>
  <c r="AD85" i="55"/>
  <c r="J85" i="55"/>
  <c r="I85" i="55" s="1"/>
  <c r="G85" i="55" s="1"/>
  <c r="F85" i="55"/>
  <c r="BH84" i="55"/>
  <c r="BG84" i="55" s="1"/>
  <c r="BA84" i="55"/>
  <c r="AZ84" i="55"/>
  <c r="AN84" i="55"/>
  <c r="AM84" i="55" s="1"/>
  <c r="AE84" i="55"/>
  <c r="AD84" i="55"/>
  <c r="J84" i="55"/>
  <c r="I84" i="55" s="1"/>
  <c r="G84" i="55" s="1"/>
  <c r="F84" i="55"/>
  <c r="BH83" i="55"/>
  <c r="BG83" i="55" s="1"/>
  <c r="BA83" i="55"/>
  <c r="AZ83" i="55"/>
  <c r="AN83" i="55"/>
  <c r="AM83" i="55" s="1"/>
  <c r="AE83" i="55"/>
  <c r="AD83" i="55"/>
  <c r="J83" i="55"/>
  <c r="I83" i="55" s="1"/>
  <c r="G83" i="55" s="1"/>
  <c r="F83" i="55"/>
  <c r="F81" i="55" s="1"/>
  <c r="BH82" i="55"/>
  <c r="BG82" i="55" s="1"/>
  <c r="BA82" i="55"/>
  <c r="AZ82" i="55"/>
  <c r="AZ81" i="55" s="1"/>
  <c r="AN82" i="55"/>
  <c r="AM82" i="55" s="1"/>
  <c r="AM81" i="55" s="1"/>
  <c r="AE82" i="55"/>
  <c r="AD82" i="55"/>
  <c r="Q82" i="55"/>
  <c r="J82" i="55" s="1"/>
  <c r="F82" i="55"/>
  <c r="BS81" i="55"/>
  <c r="BR81" i="55"/>
  <c r="BQ81" i="55"/>
  <c r="BP81" i="55"/>
  <c r="BO81" i="55"/>
  <c r="BN81" i="55"/>
  <c r="BM81" i="55"/>
  <c r="BL81" i="55"/>
  <c r="BK81" i="55"/>
  <c r="BJ81" i="55"/>
  <c r="BI81" i="55"/>
  <c r="BF81" i="55"/>
  <c r="BE81" i="55"/>
  <c r="BD81" i="55"/>
  <c r="BC81" i="55"/>
  <c r="BB81" i="55"/>
  <c r="BA81" i="55"/>
  <c r="AY81" i="55"/>
  <c r="AX81" i="55"/>
  <c r="AW81" i="55"/>
  <c r="AV81" i="55"/>
  <c r="AU81" i="55"/>
  <c r="AT81" i="55"/>
  <c r="AS81" i="55"/>
  <c r="AR81" i="55"/>
  <c r="AQ81" i="55"/>
  <c r="AP81" i="55"/>
  <c r="AO81" i="55"/>
  <c r="AL81" i="55"/>
  <c r="AK81" i="55"/>
  <c r="AJ81" i="55"/>
  <c r="AI81" i="55"/>
  <c r="AH81" i="55"/>
  <c r="AG81" i="55"/>
  <c r="AF81" i="55"/>
  <c r="AC81" i="55"/>
  <c r="AB81" i="55"/>
  <c r="AA81" i="55"/>
  <c r="Z81" i="55"/>
  <c r="Y81" i="55"/>
  <c r="X81" i="55"/>
  <c r="W81" i="55"/>
  <c r="V81" i="55"/>
  <c r="U81" i="55"/>
  <c r="T81" i="55"/>
  <c r="S81" i="55"/>
  <c r="R81" i="55"/>
  <c r="Q81" i="55"/>
  <c r="P81" i="55"/>
  <c r="O81" i="55"/>
  <c r="N81" i="55"/>
  <c r="M81" i="55"/>
  <c r="L81" i="55"/>
  <c r="H81" i="55"/>
  <c r="BH79" i="55"/>
  <c r="BG79" i="55" s="1"/>
  <c r="J79" i="55"/>
  <c r="I79" i="55" s="1"/>
  <c r="F79" i="55"/>
  <c r="BH78" i="55"/>
  <c r="BG78" i="55" s="1"/>
  <c r="BA78" i="55"/>
  <c r="AZ78" i="55" s="1"/>
  <c r="AN78" i="55"/>
  <c r="AM78" i="55" s="1"/>
  <c r="AE78" i="55"/>
  <c r="AD78" i="55" s="1"/>
  <c r="J78" i="55"/>
  <c r="I78" i="55" s="1"/>
  <c r="F78" i="55"/>
  <c r="BH77" i="55"/>
  <c r="BG77" i="55" s="1"/>
  <c r="BA77" i="55"/>
  <c r="AZ77" i="55" s="1"/>
  <c r="AN77" i="55"/>
  <c r="AM77" i="55" s="1"/>
  <c r="AE77" i="55"/>
  <c r="AD77" i="55" s="1"/>
  <c r="J77" i="55"/>
  <c r="I77" i="55" s="1"/>
  <c r="F77" i="55"/>
  <c r="BH76" i="55"/>
  <c r="BG76" i="55" s="1"/>
  <c r="BA76" i="55"/>
  <c r="AZ76" i="55" s="1"/>
  <c r="AN76" i="55"/>
  <c r="AM76" i="55" s="1"/>
  <c r="AE76" i="55"/>
  <c r="AD76" i="55" s="1"/>
  <c r="J76" i="55"/>
  <c r="I76" i="55" s="1"/>
  <c r="F76" i="55"/>
  <c r="BH75" i="55"/>
  <c r="BG75" i="55" s="1"/>
  <c r="BA75" i="55"/>
  <c r="AZ75" i="55" s="1"/>
  <c r="AN75" i="55"/>
  <c r="AM75" i="55" s="1"/>
  <c r="AE75" i="55"/>
  <c r="AD75" i="55" s="1"/>
  <c r="J75" i="55"/>
  <c r="I75" i="55" s="1"/>
  <c r="F75" i="55"/>
  <c r="BH74" i="55"/>
  <c r="BG74" i="55" s="1"/>
  <c r="BA74" i="55"/>
  <c r="AZ74" i="55" s="1"/>
  <c r="AN74" i="55"/>
  <c r="AM74" i="55" s="1"/>
  <c r="AE74" i="55"/>
  <c r="AD74" i="55" s="1"/>
  <c r="J74" i="55"/>
  <c r="I74" i="55" s="1"/>
  <c r="F74" i="55"/>
  <c r="BH73" i="55"/>
  <c r="BG73" i="55" s="1"/>
  <c r="BA73" i="55"/>
  <c r="BA68" i="55" s="1"/>
  <c r="AN73" i="55"/>
  <c r="AM73" i="55" s="1"/>
  <c r="AF73" i="55"/>
  <c r="AF280" i="55" s="1"/>
  <c r="K73" i="55"/>
  <c r="J73" i="55"/>
  <c r="I73" i="55" s="1"/>
  <c r="F73" i="55"/>
  <c r="BH72" i="55"/>
  <c r="BG72" i="55" s="1"/>
  <c r="BA72" i="55"/>
  <c r="AZ72" i="55" s="1"/>
  <c r="AN72" i="55"/>
  <c r="AM72" i="55" s="1"/>
  <c r="AE72" i="55"/>
  <c r="AD72" i="55" s="1"/>
  <c r="O72" i="55"/>
  <c r="J72" i="55" s="1"/>
  <c r="F72" i="55"/>
  <c r="BH71" i="55"/>
  <c r="BG71" i="55" s="1"/>
  <c r="BA71" i="55"/>
  <c r="AZ71" i="55"/>
  <c r="AN71" i="55"/>
  <c r="AM71" i="55" s="1"/>
  <c r="AE71" i="55"/>
  <c r="AD71" i="55"/>
  <c r="J71" i="55"/>
  <c r="I71" i="55" s="1"/>
  <c r="F71" i="55"/>
  <c r="BH70" i="55"/>
  <c r="BG70" i="55" s="1"/>
  <c r="BA70" i="55"/>
  <c r="AZ70" i="55"/>
  <c r="AN70" i="55"/>
  <c r="AM70" i="55" s="1"/>
  <c r="AE70" i="55"/>
  <c r="AD70" i="55"/>
  <c r="J70" i="55"/>
  <c r="I70" i="55" s="1"/>
  <c r="F70" i="55"/>
  <c r="BH69" i="55"/>
  <c r="BG69" i="55" s="1"/>
  <c r="BG68" i="55" s="1"/>
  <c r="BA69" i="55"/>
  <c r="AZ69" i="55"/>
  <c r="AN69" i="55"/>
  <c r="AM69" i="55" s="1"/>
  <c r="AE69" i="55"/>
  <c r="AD69" i="55"/>
  <c r="J69" i="55"/>
  <c r="I69" i="55" s="1"/>
  <c r="F69" i="55"/>
  <c r="F68" i="55" s="1"/>
  <c r="BS68" i="55"/>
  <c r="BR68" i="55"/>
  <c r="BQ68" i="55"/>
  <c r="BP68" i="55"/>
  <c r="BO68" i="55"/>
  <c r="BN68" i="55"/>
  <c r="BM68" i="55"/>
  <c r="BL68" i="55"/>
  <c r="BK68" i="55"/>
  <c r="BJ68" i="55"/>
  <c r="BI68" i="55"/>
  <c r="BH68" i="55"/>
  <c r="BF68" i="55"/>
  <c r="BE68" i="55"/>
  <c r="BD68" i="55"/>
  <c r="BC68" i="55"/>
  <c r="BB68" i="55"/>
  <c r="AY68" i="55"/>
  <c r="AX68" i="55"/>
  <c r="AW68" i="55"/>
  <c r="AV68" i="55"/>
  <c r="AU68" i="55"/>
  <c r="AT68" i="55"/>
  <c r="AS68" i="55"/>
  <c r="AR68" i="55"/>
  <c r="AQ68" i="55"/>
  <c r="AP68" i="55"/>
  <c r="AO68" i="55"/>
  <c r="AN68" i="55"/>
  <c r="AL68" i="55"/>
  <c r="AK68" i="55"/>
  <c r="AJ68" i="55"/>
  <c r="AI68" i="55"/>
  <c r="AH68" i="55"/>
  <c r="AG68" i="55"/>
  <c r="AF68" i="55"/>
  <c r="AC68" i="55"/>
  <c r="AB68" i="55"/>
  <c r="AA68" i="55"/>
  <c r="Z68" i="55"/>
  <c r="Y68" i="55"/>
  <c r="X68" i="55"/>
  <c r="W68" i="55"/>
  <c r="V68" i="55"/>
  <c r="U68" i="55"/>
  <c r="T68" i="55"/>
  <c r="S68" i="55"/>
  <c r="R68" i="55"/>
  <c r="Q68" i="55"/>
  <c r="P68" i="55"/>
  <c r="N68" i="55"/>
  <c r="M68" i="55"/>
  <c r="L68" i="55"/>
  <c r="K68" i="55"/>
  <c r="H68" i="55"/>
  <c r="BH66" i="55"/>
  <c r="BG66" i="55"/>
  <c r="J66" i="55"/>
  <c r="I66" i="55" s="1"/>
  <c r="G66" i="55" s="1"/>
  <c r="F66" i="55"/>
  <c r="BH65" i="55"/>
  <c r="BG65" i="55" s="1"/>
  <c r="AX65" i="55"/>
  <c r="J65" i="55"/>
  <c r="I65" i="55" s="1"/>
  <c r="F65" i="55"/>
  <c r="BH64" i="55"/>
  <c r="BG64" i="55" s="1"/>
  <c r="G64" i="55" s="1"/>
  <c r="J64" i="55"/>
  <c r="I64" i="55"/>
  <c r="F64" i="55"/>
  <c r="BH63" i="55"/>
  <c r="BG63" i="55"/>
  <c r="AX63" i="55"/>
  <c r="AX280" i="55" s="1"/>
  <c r="J63" i="55"/>
  <c r="I63" i="55" s="1"/>
  <c r="G63" i="55" s="1"/>
  <c r="F63" i="55"/>
  <c r="J62" i="55"/>
  <c r="I62" i="55" s="1"/>
  <c r="G62" i="55" s="1"/>
  <c r="F62" i="55"/>
  <c r="BH61" i="55"/>
  <c r="BG61" i="55" s="1"/>
  <c r="J61" i="55"/>
  <c r="I61" i="55"/>
  <c r="G61" i="55" s="1"/>
  <c r="F61" i="55"/>
  <c r="BH60" i="55"/>
  <c r="BG60" i="55"/>
  <c r="J60" i="55"/>
  <c r="I60" i="55" s="1"/>
  <c r="G60" i="55" s="1"/>
  <c r="F60" i="55"/>
  <c r="BH59" i="55"/>
  <c r="BG59" i="55" s="1"/>
  <c r="Q59" i="55"/>
  <c r="O59" i="55"/>
  <c r="O35" i="55" s="1"/>
  <c r="F59" i="55"/>
  <c r="J58" i="55"/>
  <c r="I58" i="55" s="1"/>
  <c r="G58" i="55" s="1"/>
  <c r="F58" i="55"/>
  <c r="BH57" i="55"/>
  <c r="BG57" i="55" s="1"/>
  <c r="BA57" i="55"/>
  <c r="AZ57" i="55"/>
  <c r="AN57" i="55"/>
  <c r="AM57" i="55" s="1"/>
  <c r="AE57" i="55"/>
  <c r="AD57" i="55"/>
  <c r="J57" i="55"/>
  <c r="I57" i="55" s="1"/>
  <c r="F57" i="55"/>
  <c r="BH56" i="55"/>
  <c r="BG56" i="55" s="1"/>
  <c r="BA56" i="55"/>
  <c r="AZ56" i="55"/>
  <c r="AN56" i="55"/>
  <c r="AM56" i="55" s="1"/>
  <c r="AE56" i="55"/>
  <c r="AD56" i="55"/>
  <c r="J56" i="55"/>
  <c r="I56" i="55" s="1"/>
  <c r="F56" i="55"/>
  <c r="BH55" i="55"/>
  <c r="BG55" i="55" s="1"/>
  <c r="BA55" i="55"/>
  <c r="AZ55" i="55"/>
  <c r="AN55" i="55"/>
  <c r="AM55" i="55" s="1"/>
  <c r="AE55" i="55"/>
  <c r="AD55" i="55"/>
  <c r="J55" i="55"/>
  <c r="I55" i="55" s="1"/>
  <c r="F55" i="55"/>
  <c r="BH54" i="55"/>
  <c r="BG54" i="55" s="1"/>
  <c r="BA54" i="55"/>
  <c r="AZ54" i="55"/>
  <c r="AN54" i="55"/>
  <c r="AM54" i="55" s="1"/>
  <c r="AE54" i="55"/>
  <c r="AD54" i="55"/>
  <c r="J54" i="55"/>
  <c r="I54" i="55" s="1"/>
  <c r="F54" i="55"/>
  <c r="BH53" i="55"/>
  <c r="BG53" i="55" s="1"/>
  <c r="BA53" i="55"/>
  <c r="AZ53" i="55"/>
  <c r="AN53" i="55"/>
  <c r="AM53" i="55" s="1"/>
  <c r="AE53" i="55"/>
  <c r="AD53" i="55"/>
  <c r="J53" i="55"/>
  <c r="I53" i="55" s="1"/>
  <c r="F53" i="55"/>
  <c r="BH52" i="55"/>
  <c r="BG52" i="55" s="1"/>
  <c r="BA52" i="55"/>
  <c r="AZ52" i="55"/>
  <c r="AN52" i="55"/>
  <c r="AM52" i="55" s="1"/>
  <c r="AE52" i="55"/>
  <c r="AD52" i="55"/>
  <c r="J52" i="55"/>
  <c r="I52" i="55" s="1"/>
  <c r="F52" i="55"/>
  <c r="BH51" i="55"/>
  <c r="BG51" i="55" s="1"/>
  <c r="BA51" i="55"/>
  <c r="AZ51" i="55"/>
  <c r="AN51" i="55"/>
  <c r="AM51" i="55" s="1"/>
  <c r="AE51" i="55"/>
  <c r="AD51" i="55"/>
  <c r="J51" i="55"/>
  <c r="I51" i="55" s="1"/>
  <c r="F51" i="55"/>
  <c r="BH50" i="55"/>
  <c r="BG50" i="55" s="1"/>
  <c r="BA50" i="55"/>
  <c r="AZ50" i="55"/>
  <c r="AN50" i="55"/>
  <c r="AM50" i="55" s="1"/>
  <c r="AE50" i="55"/>
  <c r="AD50" i="55"/>
  <c r="J50" i="55"/>
  <c r="I50" i="55" s="1"/>
  <c r="F50" i="55"/>
  <c r="BL49" i="55"/>
  <c r="BL280" i="55" s="1"/>
  <c r="BA49" i="55"/>
  <c r="AZ49" i="55" s="1"/>
  <c r="AN49" i="55"/>
  <c r="AM49" i="55"/>
  <c r="AE49" i="55"/>
  <c r="AD49" i="55" s="1"/>
  <c r="J49" i="55"/>
  <c r="I49" i="55"/>
  <c r="F49" i="55"/>
  <c r="BI48" i="55"/>
  <c r="BH48" i="55"/>
  <c r="BG48" i="55"/>
  <c r="BA48" i="55"/>
  <c r="AZ48" i="55" s="1"/>
  <c r="AN48" i="55"/>
  <c r="AM48" i="55"/>
  <c r="AE48" i="55"/>
  <c r="AD48" i="55" s="1"/>
  <c r="J48" i="55"/>
  <c r="I48" i="55"/>
  <c r="G48" i="55" s="1"/>
  <c r="F48" i="55"/>
  <c r="BH47" i="55"/>
  <c r="BG47" i="55"/>
  <c r="BA47" i="55"/>
  <c r="AZ47" i="55"/>
  <c r="AN47" i="55"/>
  <c r="AM47" i="55"/>
  <c r="AE47" i="55"/>
  <c r="AD47" i="55"/>
  <c r="O47" i="55"/>
  <c r="J47" i="55"/>
  <c r="I47" i="55" s="1"/>
  <c r="G47" i="55" s="1"/>
  <c r="F47" i="55"/>
  <c r="BH46" i="55"/>
  <c r="BG46" i="55" s="1"/>
  <c r="BA46" i="55"/>
  <c r="AZ46" i="55" s="1"/>
  <c r="AS46" i="55"/>
  <c r="AN46" i="55" s="1"/>
  <c r="AE46" i="55"/>
  <c r="AD46" i="55"/>
  <c r="Y46" i="55"/>
  <c r="J46" i="55"/>
  <c r="I46" i="55" s="1"/>
  <c r="F46" i="55"/>
  <c r="BH45" i="55"/>
  <c r="BG45" i="55" s="1"/>
  <c r="BA45" i="55"/>
  <c r="AZ45" i="55" s="1"/>
  <c r="AN45" i="55"/>
  <c r="AM45" i="55" s="1"/>
  <c r="AE45" i="55"/>
  <c r="AD45" i="55" s="1"/>
  <c r="J45" i="55"/>
  <c r="I45" i="55" s="1"/>
  <c r="F45" i="55"/>
  <c r="BH44" i="55"/>
  <c r="BG44" i="55" s="1"/>
  <c r="BA44" i="55"/>
  <c r="AZ44" i="55" s="1"/>
  <c r="AN44" i="55"/>
  <c r="AM44" i="55" s="1"/>
  <c r="AE44" i="55"/>
  <c r="AD44" i="55" s="1"/>
  <c r="J44" i="55"/>
  <c r="I44" i="55" s="1"/>
  <c r="F44" i="55"/>
  <c r="BH43" i="55"/>
  <c r="BG43" i="55" s="1"/>
  <c r="BA43" i="55"/>
  <c r="AZ43" i="55" s="1"/>
  <c r="AN43" i="55"/>
  <c r="AM43" i="55" s="1"/>
  <c r="AE43" i="55"/>
  <c r="AD43" i="55" s="1"/>
  <c r="J43" i="55"/>
  <c r="I43" i="55" s="1"/>
  <c r="F43" i="55"/>
  <c r="BH42" i="55"/>
  <c r="BG42" i="55" s="1"/>
  <c r="BA42" i="55"/>
  <c r="AZ42" i="55" s="1"/>
  <c r="AN42" i="55"/>
  <c r="AM42" i="55" s="1"/>
  <c r="AE42" i="55"/>
  <c r="AD42" i="55" s="1"/>
  <c r="J42" i="55"/>
  <c r="I42" i="55" s="1"/>
  <c r="F42" i="55"/>
  <c r="BH41" i="55"/>
  <c r="BG41" i="55" s="1"/>
  <c r="BA41" i="55"/>
  <c r="AZ41" i="55" s="1"/>
  <c r="AN41" i="55"/>
  <c r="AM41" i="55" s="1"/>
  <c r="AE41" i="55"/>
  <c r="AD41" i="55" s="1"/>
  <c r="J41" i="55"/>
  <c r="I41" i="55" s="1"/>
  <c r="F41" i="55"/>
  <c r="BH40" i="55"/>
  <c r="BG40" i="55" s="1"/>
  <c r="BA40" i="55"/>
  <c r="AZ40" i="55" s="1"/>
  <c r="AN40" i="55"/>
  <c r="AM40" i="55" s="1"/>
  <c r="AE40" i="55"/>
  <c r="AD40" i="55" s="1"/>
  <c r="J40" i="55"/>
  <c r="I40" i="55" s="1"/>
  <c r="F40" i="55"/>
  <c r="BH39" i="55"/>
  <c r="BG39" i="55" s="1"/>
  <c r="BA39" i="55"/>
  <c r="AZ39" i="55" s="1"/>
  <c r="AN39" i="55"/>
  <c r="AM39" i="55" s="1"/>
  <c r="AE39" i="55"/>
  <c r="AD39" i="55" s="1"/>
  <c r="J39" i="55"/>
  <c r="I39" i="55" s="1"/>
  <c r="F39" i="55"/>
  <c r="BH38" i="55"/>
  <c r="BG38" i="55" s="1"/>
  <c r="BA38" i="55"/>
  <c r="AZ38" i="55" s="1"/>
  <c r="AN38" i="55"/>
  <c r="AM38" i="55" s="1"/>
  <c r="AE38" i="55"/>
  <c r="AD38" i="55" s="1"/>
  <c r="J38" i="55"/>
  <c r="I38" i="55" s="1"/>
  <c r="F38" i="55"/>
  <c r="BH37" i="55"/>
  <c r="BG37" i="55" s="1"/>
  <c r="BA37" i="55"/>
  <c r="AZ37" i="55" s="1"/>
  <c r="AN37" i="55"/>
  <c r="AM37" i="55" s="1"/>
  <c r="AE37" i="55"/>
  <c r="AD37" i="55" s="1"/>
  <c r="J37" i="55"/>
  <c r="I37" i="55" s="1"/>
  <c r="F37" i="55"/>
  <c r="BH36" i="55"/>
  <c r="BG36" i="55" s="1"/>
  <c r="BA36" i="55"/>
  <c r="AZ36" i="55" s="1"/>
  <c r="AZ35" i="55" s="1"/>
  <c r="AN36" i="55"/>
  <c r="AM36" i="55" s="1"/>
  <c r="AE36" i="55"/>
  <c r="AE35" i="55" s="1"/>
  <c r="Q36" i="55"/>
  <c r="J36" i="55" s="1"/>
  <c r="F36" i="55"/>
  <c r="BS35" i="55"/>
  <c r="BR35" i="55"/>
  <c r="BQ35" i="55"/>
  <c r="BP35" i="55"/>
  <c r="BO35" i="55"/>
  <c r="BN35" i="55"/>
  <c r="BM35" i="55"/>
  <c r="BL35" i="55"/>
  <c r="BK35" i="55"/>
  <c r="BJ35" i="55"/>
  <c r="BI35" i="55"/>
  <c r="BF35" i="55"/>
  <c r="BE35" i="55"/>
  <c r="BD35" i="55"/>
  <c r="BC35" i="55"/>
  <c r="BB35" i="55"/>
  <c r="AY35" i="55"/>
  <c r="AX35" i="55"/>
  <c r="AW35" i="55"/>
  <c r="AV35" i="55"/>
  <c r="AU35" i="55"/>
  <c r="AT35" i="55"/>
  <c r="AR35" i="55"/>
  <c r="AQ35" i="55"/>
  <c r="AP35" i="55"/>
  <c r="AO35" i="55"/>
  <c r="AL35" i="55"/>
  <c r="AK35" i="55"/>
  <c r="AJ35" i="55"/>
  <c r="AI35" i="55"/>
  <c r="AH35" i="55"/>
  <c r="AG35" i="55"/>
  <c r="AF35" i="55"/>
  <c r="AC35" i="55"/>
  <c r="AB35" i="55"/>
  <c r="AA35" i="55"/>
  <c r="Z35" i="55"/>
  <c r="Y35" i="55"/>
  <c r="X35" i="55"/>
  <c r="W35" i="55"/>
  <c r="V35" i="55"/>
  <c r="U35" i="55"/>
  <c r="T35" i="55"/>
  <c r="S35" i="55"/>
  <c r="R35" i="55"/>
  <c r="P35" i="55"/>
  <c r="N35" i="55"/>
  <c r="M35" i="55"/>
  <c r="L35" i="55"/>
  <c r="K35" i="55"/>
  <c r="H35" i="55"/>
  <c r="F35" i="55"/>
  <c r="BH33" i="55"/>
  <c r="BG33" i="55"/>
  <c r="BA33" i="55"/>
  <c r="AZ33" i="55"/>
  <c r="AN33" i="55"/>
  <c r="AM33" i="55"/>
  <c r="AE33" i="55"/>
  <c r="AD33" i="55"/>
  <c r="J33" i="55"/>
  <c r="I33" i="55"/>
  <c r="G33" i="55" s="1"/>
  <c r="F33" i="55"/>
  <c r="BH32" i="55"/>
  <c r="BG32" i="55"/>
  <c r="BA32" i="55"/>
  <c r="AZ32" i="55"/>
  <c r="AN32" i="55"/>
  <c r="AM32" i="55"/>
  <c r="AE32" i="55"/>
  <c r="AD32" i="55"/>
  <c r="J32" i="55"/>
  <c r="I32" i="55"/>
  <c r="G32" i="55" s="1"/>
  <c r="F32" i="55"/>
  <c r="BH31" i="55"/>
  <c r="BG31" i="55"/>
  <c r="BA31" i="55"/>
  <c r="AZ31" i="55"/>
  <c r="AN31" i="55"/>
  <c r="AM31" i="55"/>
  <c r="AE31" i="55"/>
  <c r="AD31" i="55"/>
  <c r="J31" i="55"/>
  <c r="I31" i="55"/>
  <c r="G31" i="55" s="1"/>
  <c r="F31" i="55"/>
  <c r="BH30" i="55"/>
  <c r="BG30" i="55"/>
  <c r="BA30" i="55"/>
  <c r="AZ30" i="55"/>
  <c r="AN30" i="55"/>
  <c r="AM30" i="55"/>
  <c r="AE30" i="55"/>
  <c r="AD30" i="55"/>
  <c r="J30" i="55"/>
  <c r="I30" i="55"/>
  <c r="G30" i="55" s="1"/>
  <c r="F30" i="55"/>
  <c r="BH29" i="55"/>
  <c r="BG29" i="55"/>
  <c r="BA29" i="55"/>
  <c r="AZ29" i="55"/>
  <c r="AN29" i="55"/>
  <c r="AM29" i="55"/>
  <c r="AE29" i="55"/>
  <c r="AD29" i="55"/>
  <c r="J29" i="55"/>
  <c r="I29" i="55"/>
  <c r="G29" i="55" s="1"/>
  <c r="F29" i="55"/>
  <c r="BH28" i="55"/>
  <c r="BG28" i="55"/>
  <c r="BG27" i="55" s="1"/>
  <c r="BA28" i="55"/>
  <c r="AZ28" i="55"/>
  <c r="AN28" i="55"/>
  <c r="AM28" i="55"/>
  <c r="AM27" i="55" s="1"/>
  <c r="AE28" i="55"/>
  <c r="AD28" i="55"/>
  <c r="AD27" i="55" s="1"/>
  <c r="J28" i="55"/>
  <c r="I28" i="55"/>
  <c r="G28" i="55" s="1"/>
  <c r="F28" i="55"/>
  <c r="F27" i="55" s="1"/>
  <c r="BS27" i="55"/>
  <c r="BR27" i="55"/>
  <c r="BQ27" i="55"/>
  <c r="BP27" i="55"/>
  <c r="BO27" i="55"/>
  <c r="BN27" i="55"/>
  <c r="BM27" i="55"/>
  <c r="BL27" i="55"/>
  <c r="BK27" i="55"/>
  <c r="BJ27" i="55"/>
  <c r="BI27" i="55"/>
  <c r="BH27" i="55"/>
  <c r="BF27" i="55"/>
  <c r="BE27" i="55"/>
  <c r="BD27" i="55"/>
  <c r="BC27" i="55"/>
  <c r="BB27" i="55"/>
  <c r="BA27" i="55"/>
  <c r="AZ27" i="55"/>
  <c r="AY27" i="55"/>
  <c r="AX27" i="55"/>
  <c r="AW27" i="55"/>
  <c r="AV27" i="55"/>
  <c r="AU27" i="55"/>
  <c r="AT27" i="55"/>
  <c r="AS27" i="55"/>
  <c r="AR27" i="55"/>
  <c r="AQ27" i="55"/>
  <c r="AP27" i="55"/>
  <c r="AO27" i="55"/>
  <c r="AN27" i="55"/>
  <c r="AL27" i="55"/>
  <c r="AK27" i="55"/>
  <c r="AJ27" i="55"/>
  <c r="AI27" i="55"/>
  <c r="AH27" i="55"/>
  <c r="AG27" i="55"/>
  <c r="AF27" i="55"/>
  <c r="AE27" i="55"/>
  <c r="AC27" i="55"/>
  <c r="AB27" i="55"/>
  <c r="AA27" i="55"/>
  <c r="Z27" i="55"/>
  <c r="Y27" i="55"/>
  <c r="X27" i="55"/>
  <c r="W27" i="55"/>
  <c r="V27" i="55"/>
  <c r="U27" i="55"/>
  <c r="T27" i="55"/>
  <c r="S27" i="55"/>
  <c r="R27" i="55"/>
  <c r="Q27" i="55"/>
  <c r="P27" i="55"/>
  <c r="O27" i="55"/>
  <c r="N27" i="55"/>
  <c r="M27" i="55"/>
  <c r="L27" i="55"/>
  <c r="K27" i="55"/>
  <c r="J27" i="55"/>
  <c r="H27" i="55"/>
  <c r="BH25" i="55"/>
  <c r="BG25" i="55"/>
  <c r="AG25" i="55"/>
  <c r="AG280" i="55" s="1"/>
  <c r="AE25" i="55"/>
  <c r="AD25" i="55" s="1"/>
  <c r="J25" i="55"/>
  <c r="I25" i="55" s="1"/>
  <c r="F25" i="55"/>
  <c r="BH24" i="55"/>
  <c r="BG24" i="55" s="1"/>
  <c r="AE24" i="55"/>
  <c r="AD24" i="55" s="1"/>
  <c r="Q24" i="55"/>
  <c r="Q280" i="55" s="1"/>
  <c r="F24" i="55"/>
  <c r="BH23" i="55"/>
  <c r="BG23" i="55"/>
  <c r="AE23" i="55"/>
  <c r="AD23" i="55"/>
  <c r="Y23" i="55"/>
  <c r="Y280" i="55" s="1"/>
  <c r="V23" i="55"/>
  <c r="V280" i="55" s="1"/>
  <c r="S23" i="55"/>
  <c r="S280" i="55" s="1"/>
  <c r="P23" i="55"/>
  <c r="P280" i="55" s="1"/>
  <c r="O23" i="55"/>
  <c r="N23" i="55"/>
  <c r="N280" i="55" s="1"/>
  <c r="M23" i="55"/>
  <c r="M280" i="55" s="1"/>
  <c r="J23" i="55"/>
  <c r="I23" i="55" s="1"/>
  <c r="G23" i="55" s="1"/>
  <c r="F23" i="55"/>
  <c r="BH22" i="55"/>
  <c r="BG22" i="55" s="1"/>
  <c r="AE22" i="55"/>
  <c r="AD22" i="55" s="1"/>
  <c r="J22" i="55"/>
  <c r="I22" i="55" s="1"/>
  <c r="G22" i="55" s="1"/>
  <c r="F22" i="55"/>
  <c r="BH21" i="55"/>
  <c r="BG21" i="55" s="1"/>
  <c r="AE21" i="55"/>
  <c r="AD21" i="55" s="1"/>
  <c r="J21" i="55"/>
  <c r="H21" i="55"/>
  <c r="H280" i="55" s="1"/>
  <c r="F21" i="55"/>
  <c r="BH20" i="55"/>
  <c r="BG20" i="55"/>
  <c r="BA20" i="55"/>
  <c r="AZ20" i="55"/>
  <c r="AN20" i="55"/>
  <c r="AM20" i="55"/>
  <c r="AE20" i="55"/>
  <c r="AD20" i="55"/>
  <c r="J20" i="55"/>
  <c r="I20" i="55"/>
  <c r="G20" i="55" s="1"/>
  <c r="F20" i="55"/>
  <c r="BH19" i="55"/>
  <c r="BG19" i="55"/>
  <c r="BA19" i="55"/>
  <c r="AZ19" i="55"/>
  <c r="AN19" i="55"/>
  <c r="AM19" i="55"/>
  <c r="AE19" i="55"/>
  <c r="AD19" i="55"/>
  <c r="J19" i="55"/>
  <c r="I19" i="55"/>
  <c r="G19" i="55" s="1"/>
  <c r="F19" i="55"/>
  <c r="BH18" i="55"/>
  <c r="BG18" i="55"/>
  <c r="BA18" i="55"/>
  <c r="AZ18" i="55"/>
  <c r="AN18" i="55"/>
  <c r="AM18" i="55"/>
  <c r="AE18" i="55"/>
  <c r="AD18" i="55"/>
  <c r="J18" i="55"/>
  <c r="I18" i="55"/>
  <c r="G18" i="55" s="1"/>
  <c r="F18" i="55"/>
  <c r="BH17" i="55"/>
  <c r="BG17" i="55"/>
  <c r="BA17" i="55"/>
  <c r="AZ17" i="55"/>
  <c r="AN17" i="55"/>
  <c r="AM17" i="55"/>
  <c r="AE17" i="55"/>
  <c r="AD17" i="55"/>
  <c r="J17" i="55"/>
  <c r="I17" i="55"/>
  <c r="G17" i="55" s="1"/>
  <c r="F17" i="55"/>
  <c r="BH16" i="55"/>
  <c r="BG16" i="55"/>
  <c r="BA16" i="55"/>
  <c r="AZ16" i="55"/>
  <c r="AN16" i="55"/>
  <c r="AM16" i="55"/>
  <c r="AE16" i="55"/>
  <c r="AD16" i="55"/>
  <c r="J16" i="55"/>
  <c r="I16" i="55"/>
  <c r="G16" i="55" s="1"/>
  <c r="F16" i="55"/>
  <c r="BH15" i="55"/>
  <c r="BG15" i="55"/>
  <c r="BA15" i="55"/>
  <c r="AZ15" i="55"/>
  <c r="AN15" i="55"/>
  <c r="AM15" i="55"/>
  <c r="AE15" i="55"/>
  <c r="AD15" i="55"/>
  <c r="J15" i="55"/>
  <c r="I15" i="55"/>
  <c r="G15" i="55" s="1"/>
  <c r="F15" i="55"/>
  <c r="BH14" i="55"/>
  <c r="BG14" i="55"/>
  <c r="BA14" i="55"/>
  <c r="AZ14" i="55"/>
  <c r="AN14" i="55"/>
  <c r="AM14" i="55"/>
  <c r="AE14" i="55"/>
  <c r="AD14" i="55"/>
  <c r="AD13" i="55" s="1"/>
  <c r="J14" i="55"/>
  <c r="I14" i="55"/>
  <c r="F14" i="55"/>
  <c r="F280" i="55" s="1"/>
  <c r="BS13" i="55"/>
  <c r="BR13" i="55"/>
  <c r="BQ13" i="55"/>
  <c r="BP13" i="55"/>
  <c r="BO13" i="55"/>
  <c r="BN13" i="55"/>
  <c r="BM13" i="55"/>
  <c r="BL13" i="55"/>
  <c r="BK13" i="55"/>
  <c r="BJ13" i="55"/>
  <c r="BI13" i="55"/>
  <c r="BH13" i="55"/>
  <c r="BF13" i="55"/>
  <c r="BE13" i="55"/>
  <c r="BD13" i="55"/>
  <c r="BC13" i="55"/>
  <c r="BB13" i="55"/>
  <c r="BA13" i="55"/>
  <c r="AZ13" i="55"/>
  <c r="AY13" i="55"/>
  <c r="AX13" i="55"/>
  <c r="AW13" i="55"/>
  <c r="AV13" i="55"/>
  <c r="AU13" i="55"/>
  <c r="AT13" i="55"/>
  <c r="AS13" i="55"/>
  <c r="AR13" i="55"/>
  <c r="AQ13" i="55"/>
  <c r="AP13" i="55"/>
  <c r="AO13" i="55"/>
  <c r="AN13" i="55"/>
  <c r="AL13" i="55"/>
  <c r="AK13" i="55"/>
  <c r="AJ13" i="55"/>
  <c r="AI13" i="55"/>
  <c r="AH13" i="55"/>
  <c r="AG13" i="55"/>
  <c r="AF13" i="55"/>
  <c r="AE13" i="55"/>
  <c r="AC13" i="55"/>
  <c r="AB13" i="55"/>
  <c r="AA13" i="55"/>
  <c r="Z13" i="55"/>
  <c r="Y13" i="55"/>
  <c r="X13" i="55"/>
  <c r="W13" i="55"/>
  <c r="V13" i="55"/>
  <c r="U13" i="55"/>
  <c r="T13" i="55"/>
  <c r="S13" i="55"/>
  <c r="R13" i="55"/>
  <c r="P13" i="55"/>
  <c r="O13" i="55"/>
  <c r="N13" i="55"/>
  <c r="M13" i="55"/>
  <c r="L13" i="55"/>
  <c r="K13" i="55"/>
  <c r="H13" i="55"/>
  <c r="G50" i="55" l="1"/>
  <c r="G52" i="55"/>
  <c r="G53" i="55"/>
  <c r="G55" i="55"/>
  <c r="G57" i="55"/>
  <c r="G69" i="55"/>
  <c r="G70" i="55"/>
  <c r="G71" i="55"/>
  <c r="I72" i="55"/>
  <c r="G72" i="55" s="1"/>
  <c r="J68" i="55"/>
  <c r="I82" i="55"/>
  <c r="J81" i="55"/>
  <c r="G51" i="55"/>
  <c r="G54" i="55"/>
  <c r="G56" i="55"/>
  <c r="G27" i="55"/>
  <c r="G37" i="55"/>
  <c r="G39" i="55"/>
  <c r="G41" i="55"/>
  <c r="G43" i="55"/>
  <c r="G45" i="55"/>
  <c r="G65" i="55"/>
  <c r="G74" i="55"/>
  <c r="G76" i="55"/>
  <c r="G78" i="55"/>
  <c r="AD81" i="55"/>
  <c r="AD95" i="55"/>
  <c r="G96" i="55"/>
  <c r="G100" i="55"/>
  <c r="I105" i="55"/>
  <c r="G107" i="55"/>
  <c r="G108" i="55"/>
  <c r="BG81" i="55"/>
  <c r="G87" i="55"/>
  <c r="G109" i="55"/>
  <c r="G114" i="55"/>
  <c r="G25" i="55"/>
  <c r="I36" i="55"/>
  <c r="G38" i="55"/>
  <c r="G40" i="55"/>
  <c r="G42" i="55"/>
  <c r="G44" i="55"/>
  <c r="G46" i="55"/>
  <c r="AM46" i="55"/>
  <c r="AM35" i="55" s="1"/>
  <c r="AN35" i="55"/>
  <c r="AM68" i="55"/>
  <c r="AZ68" i="55"/>
  <c r="G75" i="55"/>
  <c r="G77" i="55"/>
  <c r="G79" i="55"/>
  <c r="AZ105" i="55"/>
  <c r="BH49" i="55"/>
  <c r="BG49" i="55" s="1"/>
  <c r="G49" i="55" s="1"/>
  <c r="K81" i="55"/>
  <c r="AE81" i="55"/>
  <c r="AE95" i="55"/>
  <c r="M105" i="55"/>
  <c r="M279" i="55" s="1"/>
  <c r="BA105" i="55"/>
  <c r="G118" i="55"/>
  <c r="G122" i="55"/>
  <c r="G128" i="55"/>
  <c r="G135" i="55"/>
  <c r="G150" i="55"/>
  <c r="G169" i="55"/>
  <c r="G171" i="55"/>
  <c r="L279" i="55"/>
  <c r="L281" i="55"/>
  <c r="L278" i="55"/>
  <c r="P278" i="55"/>
  <c r="P281" i="55"/>
  <c r="P279" i="55"/>
  <c r="X278" i="55"/>
  <c r="X281" i="55"/>
  <c r="X279" i="55"/>
  <c r="AF278" i="55"/>
  <c r="AF281" i="55"/>
  <c r="AF279" i="55"/>
  <c r="BL278" i="55"/>
  <c r="BL281" i="55"/>
  <c r="BL279" i="55"/>
  <c r="F13" i="55"/>
  <c r="N281" i="55"/>
  <c r="N279" i="55"/>
  <c r="N278" i="55"/>
  <c r="R281" i="55"/>
  <c r="R279" i="55"/>
  <c r="R278" i="55"/>
  <c r="V281" i="55"/>
  <c r="V279" i="55"/>
  <c r="V278" i="55"/>
  <c r="AH281" i="55"/>
  <c r="AH279" i="55"/>
  <c r="AH278" i="55"/>
  <c r="AL281" i="55"/>
  <c r="AL279" i="55"/>
  <c r="AL282" i="55" s="1"/>
  <c r="AL278" i="55"/>
  <c r="AP281" i="55"/>
  <c r="AP279" i="55"/>
  <c r="AP278" i="55"/>
  <c r="AT281" i="55"/>
  <c r="AT279" i="55"/>
  <c r="AT278" i="55"/>
  <c r="AX281" i="55"/>
  <c r="AX279" i="55"/>
  <c r="AX278" i="55"/>
  <c r="BB278" i="55"/>
  <c r="BF281" i="55"/>
  <c r="BF279" i="55"/>
  <c r="BF278" i="55"/>
  <c r="BJ281" i="55"/>
  <c r="BJ279" i="55"/>
  <c r="BJ278" i="55"/>
  <c r="BN281" i="55"/>
  <c r="BN279" i="55"/>
  <c r="BN278" i="55"/>
  <c r="BR281" i="55"/>
  <c r="BR279" i="55"/>
  <c r="BR278" i="55"/>
  <c r="K281" i="55"/>
  <c r="K279" i="55"/>
  <c r="K278" i="55"/>
  <c r="O279" i="55"/>
  <c r="O278" i="55"/>
  <c r="S281" i="55"/>
  <c r="S279" i="55"/>
  <c r="S278" i="55"/>
  <c r="W281" i="55"/>
  <c r="W279" i="55"/>
  <c r="W278" i="55"/>
  <c r="AA281" i="55"/>
  <c r="AA279" i="55"/>
  <c r="AA278" i="55"/>
  <c r="AI278" i="55"/>
  <c r="AM13" i="55"/>
  <c r="AQ281" i="55"/>
  <c r="AQ279" i="55"/>
  <c r="AQ278" i="55"/>
  <c r="AU281" i="55"/>
  <c r="AU279" i="55"/>
  <c r="AU278" i="55"/>
  <c r="AY281" i="55"/>
  <c r="AY279" i="55"/>
  <c r="AY278" i="55"/>
  <c r="BC281" i="55"/>
  <c r="BC279" i="55"/>
  <c r="BC278" i="55"/>
  <c r="BG13" i="55"/>
  <c r="BK281" i="55"/>
  <c r="BK279" i="55"/>
  <c r="BK278" i="55"/>
  <c r="BO281" i="55"/>
  <c r="BO279" i="55"/>
  <c r="BO278" i="55"/>
  <c r="BS281" i="55"/>
  <c r="BS279" i="55"/>
  <c r="BS278" i="55"/>
  <c r="I21" i="55"/>
  <c r="G21" i="55" s="1"/>
  <c r="O280" i="55"/>
  <c r="J24" i="55"/>
  <c r="I24" i="55" s="1"/>
  <c r="G24" i="55" s="1"/>
  <c r="Q35" i="55"/>
  <c r="AS35" i="55"/>
  <c r="BA35" i="55"/>
  <c r="BA278" i="55" s="1"/>
  <c r="AD36" i="55"/>
  <c r="AD35" i="55" s="1"/>
  <c r="J59" i="55"/>
  <c r="I59" i="55" s="1"/>
  <c r="G59" i="55" s="1"/>
  <c r="O68" i="55"/>
  <c r="O281" i="55" s="1"/>
  <c r="AE73" i="55"/>
  <c r="AZ73" i="55"/>
  <c r="AN81" i="55"/>
  <c r="BH81" i="55"/>
  <c r="J105" i="55"/>
  <c r="AM106" i="55"/>
  <c r="BG106" i="55"/>
  <c r="BG105" i="55" s="1"/>
  <c r="G156" i="55"/>
  <c r="G158" i="55"/>
  <c r="AE162" i="55"/>
  <c r="AI145" i="55"/>
  <c r="AI281" i="55" s="1"/>
  <c r="G188" i="55"/>
  <c r="G189" i="55"/>
  <c r="G196" i="55"/>
  <c r="G198" i="55"/>
  <c r="G199" i="55"/>
  <c r="G200" i="55"/>
  <c r="G201" i="55"/>
  <c r="G202" i="55"/>
  <c r="G203" i="55"/>
  <c r="G204" i="55"/>
  <c r="G205" i="55"/>
  <c r="G206" i="55"/>
  <c r="G207" i="55"/>
  <c r="G214" i="55"/>
  <c r="G217" i="55"/>
  <c r="G218" i="55"/>
  <c r="G219" i="55"/>
  <c r="G220" i="55"/>
  <c r="G221" i="55"/>
  <c r="G225" i="55"/>
  <c r="H278" i="55"/>
  <c r="F278" i="55" s="1"/>
  <c r="H281" i="55"/>
  <c r="H279" i="55"/>
  <c r="T281" i="55"/>
  <c r="T279" i="55"/>
  <c r="T278" i="55"/>
  <c r="AB279" i="55"/>
  <c r="AB281" i="55"/>
  <c r="AB278" i="55"/>
  <c r="AJ281" i="55"/>
  <c r="AJ279" i="55"/>
  <c r="AJ278" i="55"/>
  <c r="AR279" i="55"/>
  <c r="AR281" i="55"/>
  <c r="AR278" i="55"/>
  <c r="AV278" i="55"/>
  <c r="AV281" i="55"/>
  <c r="AV279" i="55"/>
  <c r="BD278" i="55"/>
  <c r="BD279" i="55"/>
  <c r="BD281" i="55"/>
  <c r="BP281" i="55"/>
  <c r="BP279" i="55"/>
  <c r="BP278" i="55"/>
  <c r="G124" i="55"/>
  <c r="G141" i="55"/>
  <c r="G181" i="55"/>
  <c r="G183" i="55"/>
  <c r="G184" i="55"/>
  <c r="G185" i="55"/>
  <c r="G192" i="55"/>
  <c r="G197" i="55"/>
  <c r="G208" i="55"/>
  <c r="G209" i="55"/>
  <c r="G210" i="55"/>
  <c r="G211" i="55"/>
  <c r="G215" i="55"/>
  <c r="I13" i="55"/>
  <c r="M278" i="55"/>
  <c r="M281" i="55"/>
  <c r="Q13" i="55"/>
  <c r="U278" i="55"/>
  <c r="U281" i="55"/>
  <c r="U279" i="55"/>
  <c r="Y278" i="55"/>
  <c r="Y281" i="55"/>
  <c r="Y279" i="55"/>
  <c r="AC278" i="55"/>
  <c r="AC281" i="55"/>
  <c r="AC279" i="55"/>
  <c r="AG278" i="55"/>
  <c r="AG281" i="55"/>
  <c r="AG279" i="55"/>
  <c r="AK278" i="55"/>
  <c r="AK281" i="55"/>
  <c r="AK279" i="55"/>
  <c r="AO278" i="55"/>
  <c r="AO281" i="55"/>
  <c r="AO279" i="55"/>
  <c r="AS278" i="55"/>
  <c r="AS281" i="55"/>
  <c r="AW278" i="55"/>
  <c r="AW281" i="55"/>
  <c r="AW279" i="55"/>
  <c r="BE278" i="55"/>
  <c r="BE281" i="55"/>
  <c r="BE279" i="55"/>
  <c r="BI278" i="55"/>
  <c r="BM278" i="55"/>
  <c r="BM281" i="55"/>
  <c r="BM279" i="55"/>
  <c r="BQ278" i="55"/>
  <c r="BQ281" i="55"/>
  <c r="BQ279" i="55"/>
  <c r="G14" i="55"/>
  <c r="I27" i="55"/>
  <c r="K280" i="55"/>
  <c r="G119" i="55"/>
  <c r="G123" i="55"/>
  <c r="G129" i="55"/>
  <c r="G136" i="55"/>
  <c r="F145" i="55"/>
  <c r="G147" i="55"/>
  <c r="Z145" i="55"/>
  <c r="Z281" i="55" s="1"/>
  <c r="J151" i="55"/>
  <c r="J280" i="55" s="1"/>
  <c r="G153" i="55"/>
  <c r="G155" i="55"/>
  <c r="G157" i="55"/>
  <c r="G159" i="55"/>
  <c r="G179" i="55"/>
  <c r="G180" i="55"/>
  <c r="G182" i="55"/>
  <c r="G186" i="55"/>
  <c r="G193" i="55"/>
  <c r="G212" i="55"/>
  <c r="G216" i="55"/>
  <c r="G223" i="55"/>
  <c r="G226" i="55"/>
  <c r="G227" i="55"/>
  <c r="G228" i="55"/>
  <c r="G229" i="55"/>
  <c r="G230" i="55"/>
  <c r="AI280" i="55"/>
  <c r="AM238" i="55"/>
  <c r="AM237" i="55" s="1"/>
  <c r="AN237" i="55"/>
  <c r="G239" i="55"/>
  <c r="G241" i="55"/>
  <c r="G243" i="55"/>
  <c r="G245" i="55"/>
  <c r="AZ237" i="55"/>
  <c r="G247" i="55"/>
  <c r="G248" i="55"/>
  <c r="G249" i="55"/>
  <c r="G250" i="55"/>
  <c r="G251" i="55"/>
  <c r="G252" i="55"/>
  <c r="G253" i="55"/>
  <c r="G254" i="55"/>
  <c r="G255" i="55"/>
  <c r="G256" i="55"/>
  <c r="G257" i="55"/>
  <c r="G258" i="55"/>
  <c r="G259" i="55"/>
  <c r="G260" i="55"/>
  <c r="G261" i="55"/>
  <c r="G262" i="55"/>
  <c r="G263" i="55"/>
  <c r="G264" i="55"/>
  <c r="G265" i="55"/>
  <c r="G266" i="55"/>
  <c r="G267" i="55"/>
  <c r="G268" i="55"/>
  <c r="G269" i="55"/>
  <c r="G270" i="55"/>
  <c r="G271" i="55"/>
  <c r="G272" i="55"/>
  <c r="G273" i="55"/>
  <c r="G274" i="55"/>
  <c r="AD277" i="55"/>
  <c r="AD276" i="55" s="1"/>
  <c r="AE276" i="55"/>
  <c r="AN131" i="55"/>
  <c r="AM131" i="55" s="1"/>
  <c r="G131" i="55" s="1"/>
  <c r="BA145" i="55"/>
  <c r="I238" i="55"/>
  <c r="J237" i="55"/>
  <c r="BG238" i="55"/>
  <c r="BG237" i="55" s="1"/>
  <c r="BH237" i="55"/>
  <c r="G240" i="55"/>
  <c r="G242" i="55"/>
  <c r="G244" i="55"/>
  <c r="G246" i="55"/>
  <c r="I277" i="55"/>
  <c r="BH277" i="55"/>
  <c r="BI276" i="55"/>
  <c r="BI279" i="55" s="1"/>
  <c r="AN277" i="55"/>
  <c r="AS276" i="55"/>
  <c r="AS279" i="55" s="1"/>
  <c r="BA277" i="55"/>
  <c r="BB276" i="55"/>
  <c r="BB280" i="55" s="1"/>
  <c r="AH16" i="56"/>
  <c r="AH15" i="56" s="1"/>
  <c r="AH14" i="56" s="1"/>
  <c r="AH13" i="56" s="1"/>
  <c r="F15" i="56"/>
  <c r="F14" i="56" s="1"/>
  <c r="F13" i="56" s="1"/>
  <c r="F17" i="56"/>
  <c r="AH17" i="56" s="1"/>
  <c r="G15" i="56"/>
  <c r="G14" i="56" s="1"/>
  <c r="G13" i="56" s="1"/>
  <c r="U36" i="56"/>
  <c r="U35" i="56" s="1"/>
  <c r="AH53" i="56"/>
  <c r="F51" i="56"/>
  <c r="F50" i="56" s="1"/>
  <c r="F67" i="56"/>
  <c r="AH68" i="56"/>
  <c r="AH67" i="56" s="1"/>
  <c r="R98" i="56"/>
  <c r="R11" i="56" s="1"/>
  <c r="R154" i="56" s="1"/>
  <c r="G20" i="56"/>
  <c r="G19" i="56" s="1"/>
  <c r="G18" i="56" s="1"/>
  <c r="F22" i="56"/>
  <c r="AH46" i="56"/>
  <c r="AH45" i="56" s="1"/>
  <c r="AH44" i="56" s="1"/>
  <c r="F45" i="56"/>
  <c r="F44" i="56" s="1"/>
  <c r="AB70" i="56"/>
  <c r="AB98" i="56" s="1"/>
  <c r="F75" i="56"/>
  <c r="AH75" i="56" s="1"/>
  <c r="G72" i="56"/>
  <c r="G71" i="56" s="1"/>
  <c r="K98" i="56"/>
  <c r="K11" i="56" s="1"/>
  <c r="K154" i="56" s="1"/>
  <c r="S98" i="56"/>
  <c r="S11" i="56" s="1"/>
  <c r="S154" i="56" s="1"/>
  <c r="E98" i="56"/>
  <c r="E11" i="56" s="1"/>
  <c r="E154" i="56" s="1"/>
  <c r="E29" i="56"/>
  <c r="AG29" i="56"/>
  <c r="AG34" i="56"/>
  <c r="AG33" i="56" s="1"/>
  <c r="AG32" i="56" s="1"/>
  <c r="U38" i="56"/>
  <c r="V36" i="56"/>
  <c r="E70" i="56"/>
  <c r="V77" i="56"/>
  <c r="P98" i="56"/>
  <c r="P11" i="56" s="1"/>
  <c r="P154" i="56" s="1"/>
  <c r="U15" i="56"/>
  <c r="U14" i="56" s="1"/>
  <c r="U13" i="56" s="1"/>
  <c r="F24" i="56"/>
  <c r="U25" i="56"/>
  <c r="U23" i="56" s="1"/>
  <c r="U19" i="56" s="1"/>
  <c r="U18" i="56" s="1"/>
  <c r="F26" i="56"/>
  <c r="F34" i="56"/>
  <c r="AG35" i="56"/>
  <c r="G48" i="56"/>
  <c r="G47" i="56" s="1"/>
  <c r="F49" i="56"/>
  <c r="U62" i="56"/>
  <c r="U61" i="56" s="1"/>
  <c r="F82" i="56"/>
  <c r="AH83" i="56"/>
  <c r="AH82" i="56" s="1"/>
  <c r="AH27" i="56"/>
  <c r="AH26" i="56" s="1"/>
  <c r="U40" i="56"/>
  <c r="U39" i="56" s="1"/>
  <c r="V39" i="56"/>
  <c r="U59" i="56"/>
  <c r="U57" i="56" s="1"/>
  <c r="U54" i="56" s="1"/>
  <c r="V57" i="56"/>
  <c r="V54" i="56" s="1"/>
  <c r="AH76" i="56"/>
  <c r="V19" i="56"/>
  <c r="V18" i="56" s="1"/>
  <c r="J29" i="56"/>
  <c r="J98" i="56" s="1"/>
  <c r="N29" i="56"/>
  <c r="N98" i="56" s="1"/>
  <c r="R29" i="56"/>
  <c r="V29" i="56"/>
  <c r="Z29" i="56"/>
  <c r="AD29" i="56"/>
  <c r="AD98" i="56" s="1"/>
  <c r="F37" i="56"/>
  <c r="G36" i="56"/>
  <c r="G35" i="56" s="1"/>
  <c r="AG39" i="56"/>
  <c r="V51" i="56"/>
  <c r="V50" i="56" s="1"/>
  <c r="V47" i="56" s="1"/>
  <c r="I54" i="56"/>
  <c r="M54" i="56"/>
  <c r="M98" i="56" s="1"/>
  <c r="Q54" i="56"/>
  <c r="Q98" i="56" s="1"/>
  <c r="F58" i="56"/>
  <c r="G57" i="56"/>
  <c r="I62" i="56"/>
  <c r="I61" i="56" s="1"/>
  <c r="G63" i="56"/>
  <c r="AC70" i="56"/>
  <c r="AC98" i="56" s="1"/>
  <c r="U74" i="56"/>
  <c r="X77" i="56"/>
  <c r="X70" i="56" s="1"/>
  <c r="X98" i="56" s="1"/>
  <c r="AB77" i="56"/>
  <c r="AF77" i="56"/>
  <c r="AF70" i="56" s="1"/>
  <c r="AF98" i="56" s="1"/>
  <c r="U105" i="56"/>
  <c r="U104" i="56" s="1"/>
  <c r="U101" i="56" s="1"/>
  <c r="U100" i="56" s="1"/>
  <c r="V104" i="56"/>
  <c r="V101" i="56" s="1"/>
  <c r="V100" i="56" s="1"/>
  <c r="AH21" i="56"/>
  <c r="AH31" i="56"/>
  <c r="AH30" i="56" s="1"/>
  <c r="U34" i="56"/>
  <c r="U33" i="56" s="1"/>
  <c r="U32" i="56" s="1"/>
  <c r="U29" i="56" s="1"/>
  <c r="V33" i="56"/>
  <c r="V32" i="56" s="1"/>
  <c r="AH38" i="56"/>
  <c r="AH40" i="56"/>
  <c r="AH39" i="56" s="1"/>
  <c r="AH52" i="56"/>
  <c r="AH51" i="56" s="1"/>
  <c r="AH50" i="56" s="1"/>
  <c r="F56" i="56"/>
  <c r="G55" i="56"/>
  <c r="AH59" i="56"/>
  <c r="AG65" i="56"/>
  <c r="AG62" i="56" s="1"/>
  <c r="AG61" i="56" s="1"/>
  <c r="E62" i="56"/>
  <c r="E61" i="56" s="1"/>
  <c r="U69" i="56"/>
  <c r="U66" i="56" s="1"/>
  <c r="V66" i="56"/>
  <c r="M70" i="56"/>
  <c r="U72" i="56"/>
  <c r="U71" i="56" s="1"/>
  <c r="F78" i="56"/>
  <c r="AH79" i="56"/>
  <c r="AG78" i="56"/>
  <c r="AG77" i="56" s="1"/>
  <c r="AG70" i="56" s="1"/>
  <c r="AG87" i="56"/>
  <c r="L91" i="56"/>
  <c r="G94" i="56"/>
  <c r="F94" i="56" s="1"/>
  <c r="AH94" i="56" s="1"/>
  <c r="E140" i="56"/>
  <c r="K153" i="56"/>
  <c r="O153" i="56"/>
  <c r="S153" i="56"/>
  <c r="G149" i="56"/>
  <c r="I148" i="56"/>
  <c r="I147" i="56" s="1"/>
  <c r="N70" i="56"/>
  <c r="AD70" i="56"/>
  <c r="F72" i="56"/>
  <c r="F71" i="56" s="1"/>
  <c r="AH73" i="56"/>
  <c r="H77" i="56"/>
  <c r="H70" i="56" s="1"/>
  <c r="H98" i="56" s="1"/>
  <c r="L77" i="56"/>
  <c r="P77" i="56"/>
  <c r="P70" i="56" s="1"/>
  <c r="T77" i="56"/>
  <c r="T70" i="56" s="1"/>
  <c r="T98" i="56" s="1"/>
  <c r="AG124" i="56"/>
  <c r="F124" i="56"/>
  <c r="AH124" i="56" s="1"/>
  <c r="AG131" i="56"/>
  <c r="F131" i="56"/>
  <c r="AH131" i="56" s="1"/>
  <c r="G69" i="56"/>
  <c r="F69" i="56" s="1"/>
  <c r="Q70" i="56"/>
  <c r="Y70" i="56"/>
  <c r="Y98" i="56" s="1"/>
  <c r="AH74" i="56"/>
  <c r="W77" i="56"/>
  <c r="W70" i="56" s="1"/>
  <c r="W98" i="56" s="1"/>
  <c r="AA77" i="56"/>
  <c r="AA70" i="56" s="1"/>
  <c r="AA98" i="56" s="1"/>
  <c r="AE77" i="56"/>
  <c r="AE70" i="56" s="1"/>
  <c r="AE98" i="56" s="1"/>
  <c r="AH80" i="56"/>
  <c r="G85" i="56"/>
  <c r="U84" i="56"/>
  <c r="AH86" i="56"/>
  <c r="U87" i="56"/>
  <c r="G90" i="56"/>
  <c r="I87" i="56"/>
  <c r="I77" i="56" s="1"/>
  <c r="I70" i="56" s="1"/>
  <c r="V92" i="56"/>
  <c r="V91" i="56" s="1"/>
  <c r="V70" i="56" s="1"/>
  <c r="Z91" i="56"/>
  <c r="Z70" i="56" s="1"/>
  <c r="AH93" i="56"/>
  <c r="AH92" i="56" s="1"/>
  <c r="U142" i="56"/>
  <c r="AH111" i="56"/>
  <c r="E115" i="56"/>
  <c r="AG115" i="56"/>
  <c r="AH135" i="56"/>
  <c r="AH137" i="56"/>
  <c r="I140" i="56"/>
  <c r="AH105" i="56"/>
  <c r="F106" i="56"/>
  <c r="G104" i="56"/>
  <c r="G101" i="56" s="1"/>
  <c r="G100" i="56" s="1"/>
  <c r="G116" i="56"/>
  <c r="H115" i="56"/>
  <c r="J140" i="56"/>
  <c r="N140" i="56"/>
  <c r="R140" i="56"/>
  <c r="V140" i="56"/>
  <c r="Z140" i="56"/>
  <c r="AD140" i="56"/>
  <c r="AH143" i="56"/>
  <c r="F142" i="56"/>
  <c r="AH144" i="56"/>
  <c r="R153" i="56"/>
  <c r="G142" i="56"/>
  <c r="W11" i="56" l="1"/>
  <c r="W154" i="56" s="1"/>
  <c r="W153" i="56"/>
  <c r="H11" i="56"/>
  <c r="H154" i="56" s="1"/>
  <c r="H153" i="56"/>
  <c r="Q153" i="56"/>
  <c r="Q11" i="56"/>
  <c r="Q154" i="56" s="1"/>
  <c r="Z98" i="56"/>
  <c r="J11" i="56"/>
  <c r="J154" i="56" s="1"/>
  <c r="J153" i="56"/>
  <c r="AB11" i="56"/>
  <c r="AB154" i="56" s="1"/>
  <c r="AB153" i="56"/>
  <c r="AF11" i="56"/>
  <c r="AF154" i="56" s="1"/>
  <c r="AF153" i="56"/>
  <c r="T11" i="56"/>
  <c r="T154" i="56" s="1"/>
  <c r="T153" i="56"/>
  <c r="X11" i="56"/>
  <c r="X154" i="56" s="1"/>
  <c r="X153" i="56"/>
  <c r="I98" i="56"/>
  <c r="M11" i="56"/>
  <c r="M154" i="56" s="1"/>
  <c r="M153" i="56"/>
  <c r="AA11" i="56"/>
  <c r="AA154" i="56" s="1"/>
  <c r="AA153" i="56"/>
  <c r="AC11" i="56"/>
  <c r="AC154" i="56" s="1"/>
  <c r="AC153" i="56"/>
  <c r="AD11" i="56"/>
  <c r="AD154" i="56" s="1"/>
  <c r="AD153" i="56"/>
  <c r="N11" i="56"/>
  <c r="N154" i="56" s="1"/>
  <c r="N153" i="56"/>
  <c r="AE11" i="56"/>
  <c r="AE154" i="56" s="1"/>
  <c r="AE153" i="56"/>
  <c r="Y11" i="56"/>
  <c r="Y154" i="56" s="1"/>
  <c r="Y153" i="56"/>
  <c r="AG98" i="56"/>
  <c r="AH69" i="56"/>
  <c r="F23" i="56"/>
  <c r="AH24" i="56"/>
  <c r="AH23" i="56" s="1"/>
  <c r="G13" i="55"/>
  <c r="Q278" i="55"/>
  <c r="Q281" i="55"/>
  <c r="Q279" i="55"/>
  <c r="AE68" i="55"/>
  <c r="AD73" i="55"/>
  <c r="BB279" i="55"/>
  <c r="AN105" i="55"/>
  <c r="G54" i="56"/>
  <c r="F36" i="56"/>
  <c r="F35" i="56" s="1"/>
  <c r="AH37" i="56"/>
  <c r="AH36" i="56" s="1"/>
  <c r="AH35" i="56" s="1"/>
  <c r="AH25" i="56"/>
  <c r="F33" i="56"/>
  <c r="F32" i="56" s="1"/>
  <c r="F29" i="56" s="1"/>
  <c r="AH34" i="56"/>
  <c r="AH33" i="56" s="1"/>
  <c r="AH32" i="56" s="1"/>
  <c r="V35" i="56"/>
  <c r="V98" i="56" s="1"/>
  <c r="F20" i="56"/>
  <c r="F19" i="56" s="1"/>
  <c r="F18" i="56" s="1"/>
  <c r="AH22" i="56"/>
  <c r="AH20" i="56" s="1"/>
  <c r="AH19" i="56" s="1"/>
  <c r="AH18" i="56" s="1"/>
  <c r="AH66" i="56"/>
  <c r="BG277" i="55"/>
  <c r="BG276" i="55" s="1"/>
  <c r="BH276" i="55"/>
  <c r="AS280" i="55"/>
  <c r="AI279" i="55"/>
  <c r="BG280" i="55"/>
  <c r="BB281" i="55"/>
  <c r="Z278" i="55"/>
  <c r="F281" i="55"/>
  <c r="AZ278" i="55"/>
  <c r="BI280" i="55"/>
  <c r="BG35" i="55"/>
  <c r="G95" i="55"/>
  <c r="U70" i="56"/>
  <c r="U98" i="56" s="1"/>
  <c r="AH29" i="56"/>
  <c r="F91" i="56"/>
  <c r="AH91" i="56" s="1"/>
  <c r="I151" i="55"/>
  <c r="J145" i="55"/>
  <c r="U77" i="56"/>
  <c r="P153" i="56"/>
  <c r="E153" i="56"/>
  <c r="F55" i="56"/>
  <c r="AH56" i="56"/>
  <c r="AH55" i="56" s="1"/>
  <c r="F57" i="56"/>
  <c r="F54" i="56" s="1"/>
  <c r="AH58" i="56"/>
  <c r="AH57" i="56" s="1"/>
  <c r="AH54" i="56" s="1"/>
  <c r="G66" i="56"/>
  <c r="F48" i="56"/>
  <c r="F47" i="56" s="1"/>
  <c r="AH49" i="56"/>
  <c r="AH48" i="56" s="1"/>
  <c r="AH47" i="56" s="1"/>
  <c r="F66" i="56"/>
  <c r="AM277" i="55"/>
  <c r="AM276" i="55" s="1"/>
  <c r="AN276" i="55"/>
  <c r="I276" i="55"/>
  <c r="G238" i="55"/>
  <c r="G237" i="55" s="1"/>
  <c r="I237" i="55"/>
  <c r="H282" i="55"/>
  <c r="F279" i="55"/>
  <c r="AD162" i="55"/>
  <c r="AE145" i="55"/>
  <c r="BH280" i="55"/>
  <c r="BG281" i="55"/>
  <c r="BG279" i="55"/>
  <c r="BG278" i="55"/>
  <c r="I280" i="55"/>
  <c r="Z279" i="55"/>
  <c r="BH35" i="55"/>
  <c r="J35" i="55"/>
  <c r="G82" i="55"/>
  <c r="G81" i="55" s="1"/>
  <c r="I81" i="55"/>
  <c r="AH78" i="56"/>
  <c r="BA276" i="55"/>
  <c r="BA280" i="55" s="1"/>
  <c r="AZ277" i="55"/>
  <c r="AZ276" i="55" s="1"/>
  <c r="AZ281" i="55" s="1"/>
  <c r="BI281" i="55"/>
  <c r="AH106" i="56"/>
  <c r="AH104" i="56" s="1"/>
  <c r="AH101" i="56" s="1"/>
  <c r="AH100" i="56" s="1"/>
  <c r="F104" i="56"/>
  <c r="F101" i="56" s="1"/>
  <c r="F100" i="56" s="1"/>
  <c r="AH72" i="56"/>
  <c r="AH71" i="56" s="1"/>
  <c r="G91" i="56"/>
  <c r="AH142" i="56"/>
  <c r="F116" i="56"/>
  <c r="G115" i="56"/>
  <c r="U140" i="56"/>
  <c r="F90" i="56"/>
  <c r="G87" i="56"/>
  <c r="F85" i="56"/>
  <c r="G84" i="56"/>
  <c r="G77" i="56" s="1"/>
  <c r="G70" i="56" s="1"/>
  <c r="L70" i="56"/>
  <c r="L98" i="56" s="1"/>
  <c r="F149" i="56"/>
  <c r="G148" i="56"/>
  <c r="G147" i="56" s="1"/>
  <c r="G140" i="56" s="1"/>
  <c r="G62" i="56"/>
  <c r="G61" i="56" s="1"/>
  <c r="F63" i="56"/>
  <c r="AE280" i="55"/>
  <c r="AC282" i="55"/>
  <c r="AM105" i="55"/>
  <c r="AM278" i="55" s="1"/>
  <c r="AN280" i="55"/>
  <c r="AY282" i="55"/>
  <c r="AM279" i="55"/>
  <c r="AX282" i="55"/>
  <c r="AM280" i="55"/>
  <c r="G36" i="55"/>
  <c r="G35" i="55" s="1"/>
  <c r="I35" i="55"/>
  <c r="G106" i="55"/>
  <c r="G105" i="55" s="1"/>
  <c r="J13" i="55"/>
  <c r="I68" i="55"/>
  <c r="G98" i="56" l="1"/>
  <c r="V11" i="56"/>
  <c r="V154" i="56" s="1"/>
  <c r="V153" i="56"/>
  <c r="U11" i="56"/>
  <c r="U154" i="56" s="1"/>
  <c r="U153" i="56"/>
  <c r="AH63" i="56"/>
  <c r="AH62" i="56" s="1"/>
  <c r="AH61" i="56" s="1"/>
  <c r="F62" i="56"/>
  <c r="F61" i="56" s="1"/>
  <c r="AM281" i="55"/>
  <c r="BH281" i="55"/>
  <c r="BH278" i="55"/>
  <c r="BH279" i="55"/>
  <c r="BA281" i="55"/>
  <c r="G277" i="55"/>
  <c r="G276" i="55" s="1"/>
  <c r="AN279" i="55"/>
  <c r="AN281" i="55"/>
  <c r="I11" i="56"/>
  <c r="I154" i="56" s="1"/>
  <c r="I153" i="56"/>
  <c r="AN278" i="55"/>
  <c r="F84" i="56"/>
  <c r="AH85" i="56"/>
  <c r="AH84" i="56" s="1"/>
  <c r="AH77" i="56" s="1"/>
  <c r="AH70" i="56" s="1"/>
  <c r="AZ279" i="55"/>
  <c r="G162" i="55"/>
  <c r="AD145" i="55"/>
  <c r="AG153" i="56"/>
  <c r="AG11" i="56"/>
  <c r="AG154" i="56" s="1"/>
  <c r="Z11" i="56"/>
  <c r="Z154" i="56" s="1"/>
  <c r="Z153" i="56"/>
  <c r="L11" i="56"/>
  <c r="L154" i="56" s="1"/>
  <c r="L153" i="56"/>
  <c r="AH116" i="56"/>
  <c r="AH115" i="56" s="1"/>
  <c r="F115" i="56"/>
  <c r="J281" i="55"/>
  <c r="J279" i="55"/>
  <c r="J278" i="55"/>
  <c r="F148" i="56"/>
  <c r="F147" i="56" s="1"/>
  <c r="F140" i="56" s="1"/>
  <c r="AH149" i="56"/>
  <c r="AH148" i="56" s="1"/>
  <c r="AH147" i="56" s="1"/>
  <c r="AH140" i="56" s="1"/>
  <c r="AD68" i="55"/>
  <c r="G73" i="55"/>
  <c r="G68" i="55" s="1"/>
  <c r="AD280" i="55"/>
  <c r="G281" i="55"/>
  <c r="AH90" i="56"/>
  <c r="AH87" i="56" s="1"/>
  <c r="F87" i="56"/>
  <c r="G151" i="55"/>
  <c r="G145" i="55" s="1"/>
  <c r="I145" i="55"/>
  <c r="I278" i="55" s="1"/>
  <c r="BA279" i="55"/>
  <c r="AE278" i="55"/>
  <c r="AE281" i="55"/>
  <c r="AE279" i="55"/>
  <c r="AZ280" i="55"/>
  <c r="AH98" i="56" l="1"/>
  <c r="I279" i="55"/>
  <c r="I281" i="55"/>
  <c r="G280" i="55"/>
  <c r="AD281" i="55"/>
  <c r="AD279" i="55"/>
  <c r="AD278" i="55"/>
  <c r="G278" i="55" s="1"/>
  <c r="F77" i="56"/>
  <c r="F70" i="56" s="1"/>
  <c r="F98" i="56" s="1"/>
  <c r="G11" i="56"/>
  <c r="G154" i="56" s="1"/>
  <c r="G153" i="56"/>
  <c r="F11" i="56" l="1"/>
  <c r="F154" i="56" s="1"/>
  <c r="F153" i="56"/>
  <c r="G279" i="55"/>
  <c r="G282" i="55" s="1"/>
  <c r="AH11" i="56"/>
  <c r="AH154" i="56" s="1"/>
  <c r="G285" i="55" s="1"/>
  <c r="AH153" i="56"/>
  <c r="M24" i="54" l="1"/>
  <c r="D25" i="54"/>
  <c r="E25" i="54"/>
  <c r="G25" i="54"/>
  <c r="G24" i="54" s="1"/>
  <c r="I24" i="54" s="1"/>
  <c r="H25" i="54"/>
  <c r="H24" i="54" s="1"/>
  <c r="J25" i="54"/>
  <c r="K25" i="54"/>
  <c r="L25" i="54"/>
  <c r="M25" i="54"/>
  <c r="N25" i="54"/>
  <c r="N24" i="54" s="1"/>
  <c r="O25" i="54"/>
  <c r="F26" i="54"/>
  <c r="I26" i="54"/>
  <c r="L26" i="54"/>
  <c r="O26" i="54"/>
  <c r="C26" i="54" s="1"/>
  <c r="F27" i="54"/>
  <c r="C27" i="54" s="1"/>
  <c r="I27" i="54"/>
  <c r="L27" i="54"/>
  <c r="O27" i="54"/>
  <c r="I28" i="54"/>
  <c r="F29" i="54"/>
  <c r="C29" i="54" s="1"/>
  <c r="C31" i="54"/>
  <c r="J31" i="54"/>
  <c r="J30" i="54" s="1"/>
  <c r="K31" i="54"/>
  <c r="L31" i="54"/>
  <c r="C32" i="54"/>
  <c r="L32" i="54"/>
  <c r="L33" i="54"/>
  <c r="C33" i="54" s="1"/>
  <c r="C34" i="54"/>
  <c r="L34" i="54"/>
  <c r="J35" i="54"/>
  <c r="L35" i="54" s="1"/>
  <c r="C35" i="54" s="1"/>
  <c r="K35" i="54"/>
  <c r="L36" i="54"/>
  <c r="C36" i="54" s="1"/>
  <c r="C37" i="54"/>
  <c r="J37" i="54"/>
  <c r="K37" i="54"/>
  <c r="L37" i="54"/>
  <c r="C38" i="54"/>
  <c r="L38" i="54"/>
  <c r="L39" i="54"/>
  <c r="C39" i="54" s="1"/>
  <c r="C40" i="54"/>
  <c r="J40" i="54"/>
  <c r="K40" i="54"/>
  <c r="L40" i="54"/>
  <c r="C41" i="54"/>
  <c r="L41" i="54"/>
  <c r="L42" i="54"/>
  <c r="C42" i="54" s="1"/>
  <c r="C43" i="54"/>
  <c r="L43" i="54"/>
  <c r="L44" i="54"/>
  <c r="C44" i="54" s="1"/>
  <c r="C45" i="54"/>
  <c r="F45" i="54"/>
  <c r="D46" i="54"/>
  <c r="E46" i="54"/>
  <c r="E24" i="54" s="1"/>
  <c r="G46" i="54"/>
  <c r="H46" i="54"/>
  <c r="I46" i="54"/>
  <c r="J46" i="54"/>
  <c r="K46" i="54"/>
  <c r="L46" i="54"/>
  <c r="C47" i="54"/>
  <c r="F47" i="54"/>
  <c r="I47" i="54"/>
  <c r="L47" i="54"/>
  <c r="C48" i="54"/>
  <c r="M48" i="54"/>
  <c r="N48" i="54"/>
  <c r="O48" i="54"/>
  <c r="C49" i="54"/>
  <c r="O49" i="54"/>
  <c r="O50" i="54"/>
  <c r="C50" i="54" s="1"/>
  <c r="H56" i="54"/>
  <c r="K57" i="54"/>
  <c r="K56" i="54" s="1"/>
  <c r="D58" i="54"/>
  <c r="D57" i="54" s="1"/>
  <c r="E58" i="54"/>
  <c r="E57" i="54" s="1"/>
  <c r="F58" i="54"/>
  <c r="G58" i="54"/>
  <c r="H58" i="54"/>
  <c r="H57" i="54" s="1"/>
  <c r="I58" i="54"/>
  <c r="J58" i="54"/>
  <c r="K58" i="54"/>
  <c r="M58" i="54"/>
  <c r="M57" i="54" s="1"/>
  <c r="N58" i="54"/>
  <c r="N57" i="54" s="1"/>
  <c r="F59" i="54"/>
  <c r="C59" i="54" s="1"/>
  <c r="I59" i="54"/>
  <c r="L59" i="54"/>
  <c r="O59" i="54"/>
  <c r="F60" i="54"/>
  <c r="C60" i="54" s="1"/>
  <c r="I60" i="54"/>
  <c r="L60" i="54"/>
  <c r="O60" i="54"/>
  <c r="D61" i="54"/>
  <c r="E61" i="54"/>
  <c r="F61" i="54"/>
  <c r="G61" i="54"/>
  <c r="H61" i="54"/>
  <c r="J61" i="54"/>
  <c r="K61" i="54"/>
  <c r="M61" i="54"/>
  <c r="N61" i="54"/>
  <c r="O61" i="54"/>
  <c r="F62" i="54"/>
  <c r="C62" i="54" s="1"/>
  <c r="I62" i="54"/>
  <c r="L62" i="54"/>
  <c r="O62" i="54"/>
  <c r="F63" i="54"/>
  <c r="I63" i="54"/>
  <c r="L63" i="54"/>
  <c r="O63" i="54"/>
  <c r="F64" i="54"/>
  <c r="C64" i="54" s="1"/>
  <c r="I64" i="54"/>
  <c r="L64" i="54"/>
  <c r="O64" i="54"/>
  <c r="F65" i="54"/>
  <c r="I65" i="54"/>
  <c r="L65" i="54"/>
  <c r="O65" i="54"/>
  <c r="C65" i="54" s="1"/>
  <c r="F66" i="54"/>
  <c r="I66" i="54"/>
  <c r="L66" i="54"/>
  <c r="O66" i="54"/>
  <c r="F67" i="54"/>
  <c r="C67" i="54" s="1"/>
  <c r="I67" i="54"/>
  <c r="L67" i="54"/>
  <c r="O67" i="54"/>
  <c r="F68" i="54"/>
  <c r="C68" i="54" s="1"/>
  <c r="I68" i="54"/>
  <c r="L68" i="54"/>
  <c r="O68" i="54"/>
  <c r="F69" i="54"/>
  <c r="I69" i="54"/>
  <c r="L69" i="54"/>
  <c r="O69" i="54"/>
  <c r="C69" i="54" s="1"/>
  <c r="J70" i="54"/>
  <c r="L70" i="54" s="1"/>
  <c r="N70" i="54"/>
  <c r="F71" i="54"/>
  <c r="C71" i="54" s="1"/>
  <c r="I71" i="54"/>
  <c r="L71" i="54"/>
  <c r="O71" i="54"/>
  <c r="D72" i="54"/>
  <c r="E72" i="54"/>
  <c r="E70" i="54" s="1"/>
  <c r="G72" i="54"/>
  <c r="G70" i="54" s="1"/>
  <c r="H72" i="54"/>
  <c r="H70" i="54" s="1"/>
  <c r="J72" i="54"/>
  <c r="K72" i="54"/>
  <c r="K70" i="54" s="1"/>
  <c r="L72" i="54"/>
  <c r="M72" i="54"/>
  <c r="M70" i="54" s="1"/>
  <c r="O70" i="54" s="1"/>
  <c r="N72" i="54"/>
  <c r="O72" i="54"/>
  <c r="F73" i="54"/>
  <c r="I73" i="54"/>
  <c r="L73" i="54"/>
  <c r="O73" i="54"/>
  <c r="C73" i="54" s="1"/>
  <c r="F74" i="54"/>
  <c r="C74" i="54" s="1"/>
  <c r="I74" i="54"/>
  <c r="L74" i="54"/>
  <c r="O74" i="54"/>
  <c r="F75" i="54"/>
  <c r="I75" i="54"/>
  <c r="L75" i="54"/>
  <c r="O75" i="54"/>
  <c r="F76" i="54"/>
  <c r="C76" i="54" s="1"/>
  <c r="I76" i="54"/>
  <c r="L76" i="54"/>
  <c r="O76" i="54"/>
  <c r="F77" i="54"/>
  <c r="I77" i="54"/>
  <c r="L77" i="54"/>
  <c r="O77" i="54"/>
  <c r="C77" i="54" s="1"/>
  <c r="E79" i="54"/>
  <c r="I79" i="54"/>
  <c r="D80" i="54"/>
  <c r="E80" i="54"/>
  <c r="G80" i="54"/>
  <c r="G79" i="54" s="1"/>
  <c r="H80" i="54"/>
  <c r="H79" i="54" s="1"/>
  <c r="J80" i="54"/>
  <c r="J79" i="54" s="1"/>
  <c r="K80" i="54"/>
  <c r="K79" i="54" s="1"/>
  <c r="L80" i="54"/>
  <c r="M80" i="54"/>
  <c r="N80" i="54"/>
  <c r="N79" i="54" s="1"/>
  <c r="O80" i="54"/>
  <c r="F81" i="54"/>
  <c r="I81" i="54"/>
  <c r="L81" i="54"/>
  <c r="O81" i="54"/>
  <c r="C81" i="54" s="1"/>
  <c r="F82" i="54"/>
  <c r="I82" i="54"/>
  <c r="L82" i="54"/>
  <c r="O82" i="54"/>
  <c r="D83" i="54"/>
  <c r="E83" i="54"/>
  <c r="G83" i="54"/>
  <c r="H83" i="54"/>
  <c r="I83" i="54"/>
  <c r="J83" i="54"/>
  <c r="K83" i="54"/>
  <c r="L83" i="54"/>
  <c r="M83" i="54"/>
  <c r="O83" i="54" s="1"/>
  <c r="N83" i="54"/>
  <c r="F84" i="54"/>
  <c r="C84" i="54" s="1"/>
  <c r="I84" i="54"/>
  <c r="L84" i="54"/>
  <c r="O84" i="54"/>
  <c r="F85" i="54"/>
  <c r="I85" i="54"/>
  <c r="L85" i="54"/>
  <c r="O85" i="54"/>
  <c r="C85" i="54" s="1"/>
  <c r="D87" i="54"/>
  <c r="D86" i="54" s="1"/>
  <c r="E87" i="54"/>
  <c r="E86" i="54" s="1"/>
  <c r="F86" i="54" s="1"/>
  <c r="G87" i="54"/>
  <c r="H87" i="54"/>
  <c r="I87" i="54"/>
  <c r="J87" i="54"/>
  <c r="K87" i="54"/>
  <c r="L87" i="54"/>
  <c r="M87" i="54"/>
  <c r="N87" i="54"/>
  <c r="F88" i="54"/>
  <c r="C88" i="54" s="1"/>
  <c r="I88" i="54"/>
  <c r="L88" i="54"/>
  <c r="O88" i="54"/>
  <c r="F89" i="54"/>
  <c r="I89" i="54"/>
  <c r="L89" i="54"/>
  <c r="O89" i="54"/>
  <c r="C89" i="54" s="1"/>
  <c r="F90" i="54"/>
  <c r="I90" i="54"/>
  <c r="L90" i="54"/>
  <c r="O90" i="54"/>
  <c r="F91" i="54"/>
  <c r="I91" i="54"/>
  <c r="L91" i="54"/>
  <c r="O91" i="54"/>
  <c r="D92" i="54"/>
  <c r="F92" i="54" s="1"/>
  <c r="E92" i="54"/>
  <c r="G92" i="54"/>
  <c r="I92" i="54" s="1"/>
  <c r="H92" i="54"/>
  <c r="J92" i="54"/>
  <c r="K92" i="54"/>
  <c r="L92" i="54"/>
  <c r="M92" i="54"/>
  <c r="N92" i="54"/>
  <c r="O92" i="54"/>
  <c r="F93" i="54"/>
  <c r="I93" i="54"/>
  <c r="L93" i="54"/>
  <c r="O93" i="54"/>
  <c r="C93" i="54" s="1"/>
  <c r="F94" i="54"/>
  <c r="I94" i="54"/>
  <c r="L94" i="54"/>
  <c r="O94" i="54"/>
  <c r="F95" i="54"/>
  <c r="C95" i="54" s="1"/>
  <c r="I95" i="54"/>
  <c r="L95" i="54"/>
  <c r="O95" i="54"/>
  <c r="F96" i="54"/>
  <c r="C96" i="54" s="1"/>
  <c r="I96" i="54"/>
  <c r="L96" i="54"/>
  <c r="O96" i="54"/>
  <c r="F97" i="54"/>
  <c r="I97" i="54"/>
  <c r="L97" i="54"/>
  <c r="O97" i="54"/>
  <c r="C97" i="54" s="1"/>
  <c r="D98" i="54"/>
  <c r="E98" i="54"/>
  <c r="F98" i="54"/>
  <c r="G98" i="54"/>
  <c r="H98" i="54"/>
  <c r="I98" i="54"/>
  <c r="J98" i="54"/>
  <c r="K98" i="54"/>
  <c r="M98" i="54"/>
  <c r="N98" i="54"/>
  <c r="N86" i="54" s="1"/>
  <c r="F99" i="54"/>
  <c r="C99" i="54" s="1"/>
  <c r="I99" i="54"/>
  <c r="L99" i="54"/>
  <c r="O99" i="54"/>
  <c r="F100" i="54"/>
  <c r="C100" i="54" s="1"/>
  <c r="I100" i="54"/>
  <c r="L100" i="54"/>
  <c r="O100" i="54"/>
  <c r="F101" i="54"/>
  <c r="I101" i="54"/>
  <c r="L101" i="54"/>
  <c r="O101" i="54"/>
  <c r="C101" i="54" s="1"/>
  <c r="F102" i="54"/>
  <c r="I102" i="54"/>
  <c r="L102" i="54"/>
  <c r="O102" i="54"/>
  <c r="F103" i="54"/>
  <c r="C103" i="54" s="1"/>
  <c r="I103" i="54"/>
  <c r="L103" i="54"/>
  <c r="O103" i="54"/>
  <c r="F104" i="54"/>
  <c r="C104" i="54" s="1"/>
  <c r="I104" i="54"/>
  <c r="L104" i="54"/>
  <c r="O104" i="54"/>
  <c r="F105" i="54"/>
  <c r="I105" i="54"/>
  <c r="L105" i="54"/>
  <c r="O105" i="54"/>
  <c r="C105" i="54" s="1"/>
  <c r="D106" i="54"/>
  <c r="E106" i="54"/>
  <c r="F106" i="54"/>
  <c r="C106" i="54" s="1"/>
  <c r="G106" i="54"/>
  <c r="I106" i="54" s="1"/>
  <c r="H106" i="54"/>
  <c r="J106" i="54"/>
  <c r="L106" i="54" s="1"/>
  <c r="K106" i="54"/>
  <c r="M106" i="54"/>
  <c r="N106" i="54"/>
  <c r="O106" i="54" s="1"/>
  <c r="F107" i="54"/>
  <c r="I107" i="54"/>
  <c r="L107" i="54"/>
  <c r="O107" i="54"/>
  <c r="F108" i="54"/>
  <c r="C108" i="54" s="1"/>
  <c r="I108" i="54"/>
  <c r="L108" i="54"/>
  <c r="O108" i="54"/>
  <c r="F109" i="54"/>
  <c r="I109" i="54"/>
  <c r="L109" i="54"/>
  <c r="O109" i="54"/>
  <c r="C109" i="54" s="1"/>
  <c r="F110" i="54"/>
  <c r="C110" i="54" s="1"/>
  <c r="I110" i="54"/>
  <c r="L110" i="54"/>
  <c r="O110" i="54"/>
  <c r="F111" i="54"/>
  <c r="C111" i="54" s="1"/>
  <c r="I111" i="54"/>
  <c r="L111" i="54"/>
  <c r="O111" i="54"/>
  <c r="F112" i="54"/>
  <c r="C112" i="54" s="1"/>
  <c r="I112" i="54"/>
  <c r="L112" i="54"/>
  <c r="O112" i="54"/>
  <c r="F113" i="54"/>
  <c r="I113" i="54"/>
  <c r="L113" i="54"/>
  <c r="O113" i="54"/>
  <c r="C113" i="54" s="1"/>
  <c r="F114" i="54"/>
  <c r="I114" i="54"/>
  <c r="L114" i="54"/>
  <c r="O114" i="54"/>
  <c r="D115" i="54"/>
  <c r="F115" i="54" s="1"/>
  <c r="E115" i="54"/>
  <c r="G115" i="54"/>
  <c r="H115" i="54"/>
  <c r="I115" i="54"/>
  <c r="J115" i="54"/>
  <c r="K115" i="54"/>
  <c r="L115" i="54"/>
  <c r="M115" i="54"/>
  <c r="O115" i="54" s="1"/>
  <c r="N115" i="54"/>
  <c r="F116" i="54"/>
  <c r="C116" i="54" s="1"/>
  <c r="I116" i="54"/>
  <c r="L116" i="54"/>
  <c r="O116" i="54"/>
  <c r="F117" i="54"/>
  <c r="I117" i="54"/>
  <c r="L117" i="54"/>
  <c r="O117" i="54"/>
  <c r="C117" i="54" s="1"/>
  <c r="F118" i="54"/>
  <c r="I118" i="54"/>
  <c r="L118" i="54"/>
  <c r="C118" i="54" s="1"/>
  <c r="O118" i="54"/>
  <c r="D119" i="54"/>
  <c r="E119" i="54"/>
  <c r="F119" i="54" s="1"/>
  <c r="G119" i="54"/>
  <c r="H119" i="54"/>
  <c r="I119" i="54"/>
  <c r="J119" i="54"/>
  <c r="L119" i="54" s="1"/>
  <c r="K119" i="54"/>
  <c r="M119" i="54"/>
  <c r="O119" i="54" s="1"/>
  <c r="N119" i="54"/>
  <c r="F120" i="54"/>
  <c r="C120" i="54" s="1"/>
  <c r="I120" i="54"/>
  <c r="L120" i="54"/>
  <c r="O120" i="54"/>
  <c r="F121" i="54"/>
  <c r="I121" i="54"/>
  <c r="L121" i="54"/>
  <c r="O121" i="54"/>
  <c r="C121" i="54" s="1"/>
  <c r="F122" i="54"/>
  <c r="I122" i="54"/>
  <c r="L122" i="54"/>
  <c r="C122" i="54" s="1"/>
  <c r="O122" i="54"/>
  <c r="F123" i="54"/>
  <c r="I123" i="54"/>
  <c r="C123" i="54" s="1"/>
  <c r="L123" i="54"/>
  <c r="O123" i="54"/>
  <c r="F124" i="54"/>
  <c r="C124" i="54" s="1"/>
  <c r="I124" i="54"/>
  <c r="L124" i="54"/>
  <c r="O124" i="54"/>
  <c r="D125" i="54"/>
  <c r="F125" i="54" s="1"/>
  <c r="C125" i="54" s="1"/>
  <c r="E125" i="54"/>
  <c r="G125" i="54"/>
  <c r="I125" i="54" s="1"/>
  <c r="H125" i="54"/>
  <c r="J125" i="54"/>
  <c r="K125" i="54"/>
  <c r="L125" i="54" s="1"/>
  <c r="M125" i="54"/>
  <c r="N125" i="54"/>
  <c r="O125" i="54"/>
  <c r="F126" i="54"/>
  <c r="C126" i="54" s="1"/>
  <c r="I126" i="54"/>
  <c r="L126" i="54"/>
  <c r="O126" i="54"/>
  <c r="F127" i="54"/>
  <c r="I127" i="54"/>
  <c r="C127" i="54" s="1"/>
  <c r="L127" i="54"/>
  <c r="O127" i="54"/>
  <c r="F128" i="54"/>
  <c r="C128" i="54" s="1"/>
  <c r="I128" i="54"/>
  <c r="L128" i="54"/>
  <c r="O128" i="54"/>
  <c r="F129" i="54"/>
  <c r="I129" i="54"/>
  <c r="L129" i="54"/>
  <c r="O129" i="54"/>
  <c r="C129" i="54" s="1"/>
  <c r="F130" i="54"/>
  <c r="C130" i="54" s="1"/>
  <c r="I130" i="54"/>
  <c r="L130" i="54"/>
  <c r="O130" i="54"/>
  <c r="D131" i="54"/>
  <c r="F131" i="54" s="1"/>
  <c r="E131" i="54"/>
  <c r="G131" i="54"/>
  <c r="H131" i="54"/>
  <c r="I131" i="54"/>
  <c r="J131" i="54"/>
  <c r="K131" i="54"/>
  <c r="L131" i="54"/>
  <c r="M131" i="54"/>
  <c r="O131" i="54" s="1"/>
  <c r="N131" i="54"/>
  <c r="F132" i="54"/>
  <c r="C132" i="54" s="1"/>
  <c r="I132" i="54"/>
  <c r="L132" i="54"/>
  <c r="O132" i="54"/>
  <c r="G133" i="54"/>
  <c r="D134" i="54"/>
  <c r="E134" i="54"/>
  <c r="F134" i="54"/>
  <c r="G134" i="54"/>
  <c r="I134" i="54" s="1"/>
  <c r="H134" i="54"/>
  <c r="J134" i="54"/>
  <c r="K134" i="54"/>
  <c r="M134" i="54"/>
  <c r="N134" i="54"/>
  <c r="F135" i="54"/>
  <c r="C135" i="54" s="1"/>
  <c r="I135" i="54"/>
  <c r="L135" i="54"/>
  <c r="O135" i="54"/>
  <c r="F136" i="54"/>
  <c r="C136" i="54" s="1"/>
  <c r="I136" i="54"/>
  <c r="L136" i="54"/>
  <c r="O136" i="54"/>
  <c r="F137" i="54"/>
  <c r="I137" i="54"/>
  <c r="L137" i="54"/>
  <c r="O137" i="54"/>
  <c r="C137" i="54" s="1"/>
  <c r="F138" i="54"/>
  <c r="C138" i="54" s="1"/>
  <c r="I138" i="54"/>
  <c r="L138" i="54"/>
  <c r="O138" i="54"/>
  <c r="D139" i="54"/>
  <c r="F139" i="54" s="1"/>
  <c r="E139" i="54"/>
  <c r="G139" i="54"/>
  <c r="H139" i="54"/>
  <c r="I139" i="54"/>
  <c r="J139" i="54"/>
  <c r="K139" i="54"/>
  <c r="L139" i="54"/>
  <c r="M139" i="54"/>
  <c r="O139" i="54" s="1"/>
  <c r="N139" i="54"/>
  <c r="F140" i="54"/>
  <c r="C140" i="54" s="1"/>
  <c r="I140" i="54"/>
  <c r="L140" i="54"/>
  <c r="O140" i="54"/>
  <c r="F141" i="54"/>
  <c r="I141" i="54"/>
  <c r="L141" i="54"/>
  <c r="O141" i="54"/>
  <c r="C141" i="54" s="1"/>
  <c r="F142" i="54"/>
  <c r="C142" i="54" s="1"/>
  <c r="I142" i="54"/>
  <c r="L142" i="54"/>
  <c r="O142" i="54"/>
  <c r="F143" i="54"/>
  <c r="C143" i="54" s="1"/>
  <c r="I143" i="54"/>
  <c r="L143" i="54"/>
  <c r="O143" i="54"/>
  <c r="D144" i="54"/>
  <c r="F144" i="54" s="1"/>
  <c r="E144" i="54"/>
  <c r="G144" i="54"/>
  <c r="H144" i="54"/>
  <c r="I144" i="54" s="1"/>
  <c r="C144" i="54" s="1"/>
  <c r="J144" i="54"/>
  <c r="K144" i="54"/>
  <c r="K133" i="54" s="1"/>
  <c r="L144" i="54"/>
  <c r="M144" i="54"/>
  <c r="O144" i="54" s="1"/>
  <c r="N144" i="54"/>
  <c r="F145" i="54"/>
  <c r="I145" i="54"/>
  <c r="L145" i="54"/>
  <c r="O145" i="54"/>
  <c r="C145" i="54" s="1"/>
  <c r="F146" i="54"/>
  <c r="I146" i="54"/>
  <c r="L146" i="54"/>
  <c r="C146" i="54" s="1"/>
  <c r="O146" i="54"/>
  <c r="D147" i="54"/>
  <c r="E147" i="54"/>
  <c r="F147" i="54" s="1"/>
  <c r="G147" i="54"/>
  <c r="H147" i="54"/>
  <c r="I147" i="54"/>
  <c r="J147" i="54"/>
  <c r="L147" i="54" s="1"/>
  <c r="K147" i="54"/>
  <c r="M147" i="54"/>
  <c r="O147" i="54" s="1"/>
  <c r="N147" i="54"/>
  <c r="F148" i="54"/>
  <c r="C148" i="54" s="1"/>
  <c r="I148" i="54"/>
  <c r="L148" i="54"/>
  <c r="O148" i="54"/>
  <c r="F149" i="54"/>
  <c r="I149" i="54"/>
  <c r="L149" i="54"/>
  <c r="O149" i="54"/>
  <c r="C149" i="54" s="1"/>
  <c r="F150" i="54"/>
  <c r="I150" i="54"/>
  <c r="L150" i="54"/>
  <c r="C150" i="54" s="1"/>
  <c r="O150" i="54"/>
  <c r="F151" i="54"/>
  <c r="I151" i="54"/>
  <c r="L151" i="54"/>
  <c r="O151" i="54"/>
  <c r="F152" i="54"/>
  <c r="C152" i="54" s="1"/>
  <c r="I152" i="54"/>
  <c r="L152" i="54"/>
  <c r="O152" i="54"/>
  <c r="F153" i="54"/>
  <c r="I153" i="54"/>
  <c r="L153" i="54"/>
  <c r="O153" i="54"/>
  <c r="C153" i="54" s="1"/>
  <c r="D154" i="54"/>
  <c r="E154" i="54"/>
  <c r="F154" i="54"/>
  <c r="G154" i="54"/>
  <c r="I154" i="54" s="1"/>
  <c r="H154" i="54"/>
  <c r="J154" i="54"/>
  <c r="L154" i="54" s="1"/>
  <c r="K154" i="54"/>
  <c r="M154" i="54"/>
  <c r="N154" i="54"/>
  <c r="O154" i="54" s="1"/>
  <c r="F155" i="54"/>
  <c r="C155" i="54" s="1"/>
  <c r="I155" i="54"/>
  <c r="L155" i="54"/>
  <c r="O155" i="54"/>
  <c r="F156" i="54"/>
  <c r="C156" i="54" s="1"/>
  <c r="I156" i="54"/>
  <c r="L156" i="54"/>
  <c r="O156" i="54"/>
  <c r="F157" i="54"/>
  <c r="I157" i="54"/>
  <c r="L157" i="54"/>
  <c r="O157" i="54"/>
  <c r="C157" i="54" s="1"/>
  <c r="F158" i="54"/>
  <c r="I158" i="54"/>
  <c r="L158" i="54"/>
  <c r="C158" i="54" s="1"/>
  <c r="O158" i="54"/>
  <c r="F159" i="54"/>
  <c r="C159" i="54" s="1"/>
  <c r="I159" i="54"/>
  <c r="L159" i="54"/>
  <c r="O159" i="54"/>
  <c r="F160" i="54"/>
  <c r="C160" i="54" s="1"/>
  <c r="I160" i="54"/>
  <c r="L160" i="54"/>
  <c r="O160" i="54"/>
  <c r="F161" i="54"/>
  <c r="I161" i="54"/>
  <c r="L161" i="54"/>
  <c r="O161" i="54"/>
  <c r="C161" i="54" s="1"/>
  <c r="F162" i="54"/>
  <c r="I162" i="54"/>
  <c r="L162" i="54"/>
  <c r="C162" i="54" s="1"/>
  <c r="O162" i="54"/>
  <c r="D163" i="54"/>
  <c r="E163" i="54"/>
  <c r="F163" i="54" s="1"/>
  <c r="G163" i="54"/>
  <c r="H163" i="54"/>
  <c r="I163" i="54"/>
  <c r="J163" i="54"/>
  <c r="L163" i="54" s="1"/>
  <c r="K163" i="54"/>
  <c r="M163" i="54"/>
  <c r="O163" i="54" s="1"/>
  <c r="N163" i="54"/>
  <c r="F164" i="54"/>
  <c r="C164" i="54" s="1"/>
  <c r="I164" i="54"/>
  <c r="L164" i="54"/>
  <c r="O164" i="54"/>
  <c r="F165" i="54"/>
  <c r="I165" i="54"/>
  <c r="L165" i="54"/>
  <c r="O165" i="54"/>
  <c r="C165" i="54" s="1"/>
  <c r="F166" i="54"/>
  <c r="I166" i="54"/>
  <c r="L166" i="54"/>
  <c r="C166" i="54" s="1"/>
  <c r="O166" i="54"/>
  <c r="F167" i="54"/>
  <c r="C167" i="54" s="1"/>
  <c r="I167" i="54"/>
  <c r="L167" i="54"/>
  <c r="O167" i="54"/>
  <c r="D168" i="54"/>
  <c r="F168" i="54" s="1"/>
  <c r="E168" i="54"/>
  <c r="H168" i="54"/>
  <c r="M168" i="54"/>
  <c r="O168" i="54" s="1"/>
  <c r="D169" i="54"/>
  <c r="F169" i="54" s="1"/>
  <c r="E169" i="54"/>
  <c r="G169" i="54"/>
  <c r="H169" i="54"/>
  <c r="J169" i="54"/>
  <c r="J168" i="54" s="1"/>
  <c r="K169" i="54"/>
  <c r="M169" i="54"/>
  <c r="N169" i="54"/>
  <c r="N168" i="54" s="1"/>
  <c r="O169" i="54"/>
  <c r="F170" i="54"/>
  <c r="I170" i="54"/>
  <c r="L170" i="54"/>
  <c r="C170" i="54" s="1"/>
  <c r="O170" i="54"/>
  <c r="F171" i="54"/>
  <c r="I171" i="54"/>
  <c r="L171" i="54"/>
  <c r="O171" i="54"/>
  <c r="F172" i="54"/>
  <c r="C172" i="54" s="1"/>
  <c r="I172" i="54"/>
  <c r="L172" i="54"/>
  <c r="O172" i="54"/>
  <c r="F173" i="54"/>
  <c r="I173" i="54"/>
  <c r="L173" i="54"/>
  <c r="O173" i="54"/>
  <c r="C173" i="54" s="1"/>
  <c r="F174" i="54"/>
  <c r="I174" i="54"/>
  <c r="L174" i="54"/>
  <c r="C174" i="54" s="1"/>
  <c r="O174" i="54"/>
  <c r="F175" i="54"/>
  <c r="C175" i="54" s="1"/>
  <c r="I175" i="54"/>
  <c r="L175" i="54"/>
  <c r="O175" i="54"/>
  <c r="D176" i="54"/>
  <c r="H176" i="54"/>
  <c r="D177" i="54"/>
  <c r="F177" i="54" s="1"/>
  <c r="G177" i="54"/>
  <c r="H177" i="54"/>
  <c r="K177" i="54"/>
  <c r="K176" i="54" s="1"/>
  <c r="D178" i="54"/>
  <c r="E178" i="54"/>
  <c r="E177" i="54" s="1"/>
  <c r="F178" i="54"/>
  <c r="G178" i="54"/>
  <c r="I178" i="54" s="1"/>
  <c r="H178" i="54"/>
  <c r="J178" i="54"/>
  <c r="K178" i="54"/>
  <c r="M178" i="54"/>
  <c r="M177" i="54" s="1"/>
  <c r="N178" i="54"/>
  <c r="F179" i="54"/>
  <c r="I179" i="54"/>
  <c r="L179" i="54"/>
  <c r="O179" i="54"/>
  <c r="F180" i="54"/>
  <c r="C180" i="54" s="1"/>
  <c r="I180" i="54"/>
  <c r="L180" i="54"/>
  <c r="O180" i="54"/>
  <c r="F181" i="54"/>
  <c r="I181" i="54"/>
  <c r="L181" i="54"/>
  <c r="O181" i="54"/>
  <c r="C181" i="54" s="1"/>
  <c r="D182" i="54"/>
  <c r="E182" i="54"/>
  <c r="F182" i="54"/>
  <c r="G182" i="54"/>
  <c r="I182" i="54" s="1"/>
  <c r="H182" i="54"/>
  <c r="J182" i="54"/>
  <c r="L182" i="54" s="1"/>
  <c r="K182" i="54"/>
  <c r="M182" i="54"/>
  <c r="N182" i="54"/>
  <c r="O182" i="54" s="1"/>
  <c r="F183" i="54"/>
  <c r="C183" i="54" s="1"/>
  <c r="I183" i="54"/>
  <c r="L183" i="54"/>
  <c r="O183" i="54"/>
  <c r="F184" i="54"/>
  <c r="C184" i="54" s="1"/>
  <c r="I184" i="54"/>
  <c r="L184" i="54"/>
  <c r="O184" i="54"/>
  <c r="F185" i="54"/>
  <c r="I185" i="54"/>
  <c r="L185" i="54"/>
  <c r="O185" i="54"/>
  <c r="C185" i="54" s="1"/>
  <c r="F186" i="54"/>
  <c r="I186" i="54"/>
  <c r="L186" i="54"/>
  <c r="C186" i="54" s="1"/>
  <c r="O186" i="54"/>
  <c r="D187" i="54"/>
  <c r="E187" i="54"/>
  <c r="F187" i="54" s="1"/>
  <c r="G187" i="54"/>
  <c r="H187" i="54"/>
  <c r="I187" i="54"/>
  <c r="J187" i="54"/>
  <c r="L187" i="54" s="1"/>
  <c r="K187" i="54"/>
  <c r="M187" i="54"/>
  <c r="O187" i="54" s="1"/>
  <c r="N187" i="54"/>
  <c r="F188" i="54"/>
  <c r="C188" i="54" s="1"/>
  <c r="I188" i="54"/>
  <c r="L188" i="54"/>
  <c r="O188" i="54"/>
  <c r="F189" i="54"/>
  <c r="I189" i="54"/>
  <c r="L189" i="54"/>
  <c r="O189" i="54"/>
  <c r="C189" i="54" s="1"/>
  <c r="J190" i="54"/>
  <c r="L190" i="54" s="1"/>
  <c r="D191" i="54"/>
  <c r="E191" i="54"/>
  <c r="G191" i="54"/>
  <c r="H191" i="54"/>
  <c r="I191" i="54"/>
  <c r="J191" i="54"/>
  <c r="L191" i="54" s="1"/>
  <c r="K191" i="54"/>
  <c r="M191" i="54"/>
  <c r="N191" i="54"/>
  <c r="F192" i="54"/>
  <c r="C192" i="54" s="1"/>
  <c r="I192" i="54"/>
  <c r="L192" i="54"/>
  <c r="O192" i="54"/>
  <c r="F193" i="54"/>
  <c r="I193" i="54"/>
  <c r="L193" i="54"/>
  <c r="O193" i="54"/>
  <c r="C193" i="54" s="1"/>
  <c r="G194" i="54"/>
  <c r="G190" i="54" s="1"/>
  <c r="J194" i="54"/>
  <c r="L194" i="54" s="1"/>
  <c r="K194" i="54"/>
  <c r="K190" i="54" s="1"/>
  <c r="N194" i="54"/>
  <c r="N190" i="54" s="1"/>
  <c r="D195" i="54"/>
  <c r="D194" i="54" s="1"/>
  <c r="E195" i="54"/>
  <c r="G195" i="54"/>
  <c r="H195" i="54"/>
  <c r="H194" i="54" s="1"/>
  <c r="I195" i="54"/>
  <c r="J195" i="54"/>
  <c r="L195" i="54" s="1"/>
  <c r="K195" i="54"/>
  <c r="M195" i="54"/>
  <c r="N195" i="54"/>
  <c r="F196" i="54"/>
  <c r="C196" i="54" s="1"/>
  <c r="I196" i="54"/>
  <c r="L196" i="54"/>
  <c r="O196" i="54"/>
  <c r="E199" i="54"/>
  <c r="J199" i="54"/>
  <c r="M199" i="54"/>
  <c r="N199" i="54"/>
  <c r="F200" i="54"/>
  <c r="C200" i="54" s="1"/>
  <c r="I200" i="54"/>
  <c r="L200" i="54"/>
  <c r="O200" i="54"/>
  <c r="D201" i="54"/>
  <c r="D199" i="54" s="1"/>
  <c r="E201" i="54"/>
  <c r="G201" i="54"/>
  <c r="H201" i="54"/>
  <c r="H199" i="54" s="1"/>
  <c r="J201" i="54"/>
  <c r="K201" i="54"/>
  <c r="M201" i="54"/>
  <c r="N201" i="54"/>
  <c r="O201" i="54"/>
  <c r="F202" i="54"/>
  <c r="I202" i="54"/>
  <c r="L202" i="54"/>
  <c r="C202" i="54" s="1"/>
  <c r="O202" i="54"/>
  <c r="F203" i="54"/>
  <c r="C203" i="54" s="1"/>
  <c r="I203" i="54"/>
  <c r="L203" i="54"/>
  <c r="O203" i="54"/>
  <c r="F204" i="54"/>
  <c r="C204" i="54" s="1"/>
  <c r="I204" i="54"/>
  <c r="L204" i="54"/>
  <c r="O204" i="54"/>
  <c r="F205" i="54"/>
  <c r="I205" i="54"/>
  <c r="L205" i="54"/>
  <c r="O205" i="54"/>
  <c r="C205" i="54" s="1"/>
  <c r="F206" i="54"/>
  <c r="I206" i="54"/>
  <c r="L206" i="54"/>
  <c r="C206" i="54" s="1"/>
  <c r="O206" i="54"/>
  <c r="D208" i="54"/>
  <c r="E208" i="54"/>
  <c r="G208" i="54"/>
  <c r="H208" i="54"/>
  <c r="J208" i="54"/>
  <c r="K208" i="54"/>
  <c r="L208" i="54"/>
  <c r="M208" i="54"/>
  <c r="O208" i="54" s="1"/>
  <c r="N208" i="54"/>
  <c r="F209" i="54"/>
  <c r="I209" i="54"/>
  <c r="L209" i="54"/>
  <c r="O209" i="54"/>
  <c r="C209" i="54" s="1"/>
  <c r="F210" i="54"/>
  <c r="I210" i="54"/>
  <c r="L210" i="54"/>
  <c r="C210" i="54" s="1"/>
  <c r="O210" i="54"/>
  <c r="F211" i="54"/>
  <c r="I211" i="54"/>
  <c r="L211" i="54"/>
  <c r="O211" i="54"/>
  <c r="F212" i="54"/>
  <c r="C212" i="54" s="1"/>
  <c r="I212" i="54"/>
  <c r="L212" i="54"/>
  <c r="O212" i="54"/>
  <c r="F213" i="54"/>
  <c r="I213" i="54"/>
  <c r="L213" i="54"/>
  <c r="O213" i="54"/>
  <c r="C213" i="54" s="1"/>
  <c r="F214" i="54"/>
  <c r="I214" i="54"/>
  <c r="L214" i="54"/>
  <c r="C214" i="54" s="1"/>
  <c r="O214" i="54"/>
  <c r="F215" i="54"/>
  <c r="I215" i="54"/>
  <c r="L215" i="54"/>
  <c r="O215" i="54"/>
  <c r="F216" i="54"/>
  <c r="C216" i="54" s="1"/>
  <c r="I216" i="54"/>
  <c r="L216" i="54"/>
  <c r="O216" i="54"/>
  <c r="F217" i="54"/>
  <c r="C217" i="54" s="1"/>
  <c r="I217" i="54"/>
  <c r="L217" i="54"/>
  <c r="O217" i="54"/>
  <c r="F218" i="54"/>
  <c r="I218" i="54"/>
  <c r="L218" i="54"/>
  <c r="O218" i="54"/>
  <c r="C218" i="54" s="1"/>
  <c r="D219" i="54"/>
  <c r="E219" i="54"/>
  <c r="E207" i="54" s="1"/>
  <c r="F219" i="54"/>
  <c r="G219" i="54"/>
  <c r="H219" i="54"/>
  <c r="I219" i="54"/>
  <c r="J219" i="54"/>
  <c r="K219" i="54"/>
  <c r="M219" i="54"/>
  <c r="N219" i="54"/>
  <c r="F220" i="54"/>
  <c r="I220" i="54"/>
  <c r="L220" i="54"/>
  <c r="O220" i="54"/>
  <c r="F221" i="54"/>
  <c r="C221" i="54" s="1"/>
  <c r="I221" i="54"/>
  <c r="L221" i="54"/>
  <c r="O221" i="54"/>
  <c r="F222" i="54"/>
  <c r="I222" i="54"/>
  <c r="L222" i="54"/>
  <c r="O222" i="54"/>
  <c r="C222" i="54" s="1"/>
  <c r="F223" i="54"/>
  <c r="I223" i="54"/>
  <c r="L223" i="54"/>
  <c r="O223" i="54"/>
  <c r="F224" i="54"/>
  <c r="I224" i="54"/>
  <c r="L224" i="54"/>
  <c r="O224" i="54"/>
  <c r="F225" i="54"/>
  <c r="C225" i="54" s="1"/>
  <c r="I225" i="54"/>
  <c r="L225" i="54"/>
  <c r="O225" i="54"/>
  <c r="F226" i="54"/>
  <c r="I226" i="54"/>
  <c r="L226" i="54"/>
  <c r="O226" i="54"/>
  <c r="C226" i="54" s="1"/>
  <c r="F227" i="54"/>
  <c r="I227" i="54"/>
  <c r="L227" i="54"/>
  <c r="O227" i="54"/>
  <c r="F228" i="54"/>
  <c r="C228" i="54" s="1"/>
  <c r="I228" i="54"/>
  <c r="L228" i="54"/>
  <c r="O228" i="54"/>
  <c r="F229" i="54"/>
  <c r="I229" i="54"/>
  <c r="L229" i="54"/>
  <c r="O229" i="54"/>
  <c r="C229" i="54" s="1"/>
  <c r="D230" i="54"/>
  <c r="E230" i="54"/>
  <c r="F230" i="54"/>
  <c r="G230" i="54"/>
  <c r="H230" i="54"/>
  <c r="I230" i="54"/>
  <c r="J230" i="54"/>
  <c r="L230" i="54" s="1"/>
  <c r="K230" i="54"/>
  <c r="M230" i="54"/>
  <c r="O230" i="54" s="1"/>
  <c r="N230" i="54"/>
  <c r="F231" i="54"/>
  <c r="C231" i="54" s="1"/>
  <c r="I231" i="54"/>
  <c r="L231" i="54"/>
  <c r="O231" i="54"/>
  <c r="F232" i="54"/>
  <c r="C232" i="54" s="1"/>
  <c r="I232" i="54"/>
  <c r="L232" i="54"/>
  <c r="O232" i="54"/>
  <c r="F235" i="54"/>
  <c r="I235" i="54"/>
  <c r="L235" i="54"/>
  <c r="O235" i="54"/>
  <c r="D236" i="54"/>
  <c r="E236" i="54"/>
  <c r="G236" i="54"/>
  <c r="H236" i="54"/>
  <c r="H234" i="54" s="1"/>
  <c r="J236" i="54"/>
  <c r="K236" i="54"/>
  <c r="K234" i="54" s="1"/>
  <c r="K233" i="54" s="1"/>
  <c r="L236" i="54"/>
  <c r="M236" i="54"/>
  <c r="N236" i="54"/>
  <c r="O236" i="54"/>
  <c r="F237" i="54"/>
  <c r="I237" i="54"/>
  <c r="L237" i="54"/>
  <c r="O237" i="54"/>
  <c r="C237" i="54" s="1"/>
  <c r="D238" i="54"/>
  <c r="E238" i="54"/>
  <c r="E234" i="54" s="1"/>
  <c r="F238" i="54"/>
  <c r="G238" i="54"/>
  <c r="H238" i="54"/>
  <c r="I238" i="54"/>
  <c r="J238" i="54"/>
  <c r="K238" i="54"/>
  <c r="M238" i="54"/>
  <c r="O238" i="54" s="1"/>
  <c r="N238" i="54"/>
  <c r="N234" i="54" s="1"/>
  <c r="F239" i="54"/>
  <c r="C239" i="54" s="1"/>
  <c r="I239" i="54"/>
  <c r="L239" i="54"/>
  <c r="O239" i="54"/>
  <c r="F240" i="54"/>
  <c r="C240" i="54" s="1"/>
  <c r="I240" i="54"/>
  <c r="L240" i="54"/>
  <c r="O240" i="54"/>
  <c r="D241" i="54"/>
  <c r="E241" i="54"/>
  <c r="F241" i="54"/>
  <c r="G241" i="54"/>
  <c r="I241" i="54" s="1"/>
  <c r="C241" i="54" s="1"/>
  <c r="H241" i="54"/>
  <c r="J241" i="54"/>
  <c r="L241" i="54" s="1"/>
  <c r="K241" i="54"/>
  <c r="M241" i="54"/>
  <c r="N241" i="54"/>
  <c r="O241" i="54"/>
  <c r="F242" i="54"/>
  <c r="C242" i="54" s="1"/>
  <c r="I242" i="54"/>
  <c r="L242" i="54"/>
  <c r="O242" i="54"/>
  <c r="F243" i="54"/>
  <c r="I243" i="54"/>
  <c r="L243" i="54"/>
  <c r="O243" i="54"/>
  <c r="F244" i="54"/>
  <c r="C244" i="54" s="1"/>
  <c r="I244" i="54"/>
  <c r="L244" i="54"/>
  <c r="O244" i="54"/>
  <c r="F245" i="54"/>
  <c r="I245" i="54"/>
  <c r="L245" i="54"/>
  <c r="O245" i="54"/>
  <c r="C245" i="54" s="1"/>
  <c r="F246" i="54"/>
  <c r="C246" i="54" s="1"/>
  <c r="I246" i="54"/>
  <c r="L246" i="54"/>
  <c r="O246" i="54"/>
  <c r="F247" i="54"/>
  <c r="C247" i="54" s="1"/>
  <c r="I247" i="54"/>
  <c r="L247" i="54"/>
  <c r="O247" i="54"/>
  <c r="F248" i="54"/>
  <c r="C248" i="54" s="1"/>
  <c r="I248" i="54"/>
  <c r="L248" i="54"/>
  <c r="O248" i="54"/>
  <c r="D249" i="54"/>
  <c r="E249" i="54"/>
  <c r="F249" i="54"/>
  <c r="G249" i="54"/>
  <c r="I249" i="54" s="1"/>
  <c r="C249" i="54" s="1"/>
  <c r="H249" i="54"/>
  <c r="J249" i="54"/>
  <c r="L249" i="54" s="1"/>
  <c r="K249" i="54"/>
  <c r="M249" i="54"/>
  <c r="N249" i="54"/>
  <c r="O249" i="54"/>
  <c r="F250" i="54"/>
  <c r="C250" i="54" s="1"/>
  <c r="I250" i="54"/>
  <c r="L250" i="54"/>
  <c r="O250" i="54"/>
  <c r="F251" i="54"/>
  <c r="I251" i="54"/>
  <c r="L251" i="54"/>
  <c r="O251" i="54"/>
  <c r="F252" i="54"/>
  <c r="C252" i="54" s="1"/>
  <c r="I252" i="54"/>
  <c r="L252" i="54"/>
  <c r="O252" i="54"/>
  <c r="F253" i="54"/>
  <c r="I253" i="54"/>
  <c r="L253" i="54"/>
  <c r="O253" i="54"/>
  <c r="C253" i="54" s="1"/>
  <c r="J254" i="54"/>
  <c r="N254" i="54"/>
  <c r="D255" i="54"/>
  <c r="E255" i="54"/>
  <c r="E254" i="54" s="1"/>
  <c r="G255" i="54"/>
  <c r="G254" i="54" s="1"/>
  <c r="H255" i="54"/>
  <c r="H254" i="54" s="1"/>
  <c r="I255" i="54"/>
  <c r="J255" i="54"/>
  <c r="K255" i="54"/>
  <c r="K254" i="54" s="1"/>
  <c r="L255" i="54"/>
  <c r="M255" i="54"/>
  <c r="N255" i="54"/>
  <c r="F256" i="54"/>
  <c r="C256" i="54" s="1"/>
  <c r="I256" i="54"/>
  <c r="L256" i="54"/>
  <c r="O256" i="54"/>
  <c r="F257" i="54"/>
  <c r="I257" i="54"/>
  <c r="L257" i="54"/>
  <c r="O257" i="54"/>
  <c r="C257" i="54" s="1"/>
  <c r="F258" i="54"/>
  <c r="I258" i="54"/>
  <c r="L258" i="54"/>
  <c r="O258" i="54"/>
  <c r="F259" i="54"/>
  <c r="I259" i="54"/>
  <c r="L259" i="54"/>
  <c r="O259" i="54"/>
  <c r="F260" i="54"/>
  <c r="C260" i="54" s="1"/>
  <c r="I260" i="54"/>
  <c r="L260" i="54"/>
  <c r="O260" i="54"/>
  <c r="G261" i="54"/>
  <c r="K261" i="54"/>
  <c r="D262" i="54"/>
  <c r="D261" i="54" s="1"/>
  <c r="F261" i="54" s="1"/>
  <c r="E262" i="54"/>
  <c r="E261" i="54" s="1"/>
  <c r="F262" i="54"/>
  <c r="G262" i="54"/>
  <c r="H262" i="54"/>
  <c r="H261" i="54" s="1"/>
  <c r="I262" i="54"/>
  <c r="J262" i="54"/>
  <c r="K262" i="54"/>
  <c r="M262" i="54"/>
  <c r="O262" i="54" s="1"/>
  <c r="N262" i="54"/>
  <c r="F263" i="54"/>
  <c r="C263" i="54" s="1"/>
  <c r="I263" i="54"/>
  <c r="L263" i="54"/>
  <c r="O263" i="54"/>
  <c r="F264" i="54"/>
  <c r="C264" i="54" s="1"/>
  <c r="I264" i="54"/>
  <c r="L264" i="54"/>
  <c r="O264" i="54"/>
  <c r="F265" i="54"/>
  <c r="I265" i="54"/>
  <c r="L265" i="54"/>
  <c r="O265" i="54"/>
  <c r="C265" i="54" s="1"/>
  <c r="D266" i="54"/>
  <c r="E266" i="54"/>
  <c r="F266" i="54"/>
  <c r="G266" i="54"/>
  <c r="H266" i="54"/>
  <c r="I266" i="54"/>
  <c r="J266" i="54"/>
  <c r="L266" i="54" s="1"/>
  <c r="K266" i="54"/>
  <c r="M266" i="54"/>
  <c r="N266" i="54"/>
  <c r="F267" i="54"/>
  <c r="I267" i="54"/>
  <c r="L267" i="54"/>
  <c r="O267" i="54"/>
  <c r="F268" i="54"/>
  <c r="C268" i="54" s="1"/>
  <c r="I268" i="54"/>
  <c r="L268" i="54"/>
  <c r="O268" i="54"/>
  <c r="F269" i="54"/>
  <c r="I269" i="54"/>
  <c r="L269" i="54"/>
  <c r="O269" i="54"/>
  <c r="C269" i="54" s="1"/>
  <c r="F270" i="54"/>
  <c r="C270" i="54" s="1"/>
  <c r="I270" i="54"/>
  <c r="L270" i="54"/>
  <c r="O270" i="54"/>
  <c r="D272" i="54"/>
  <c r="H272" i="54"/>
  <c r="H271" i="54" s="1"/>
  <c r="F273" i="54"/>
  <c r="I273" i="54"/>
  <c r="L273" i="54"/>
  <c r="O273" i="54"/>
  <c r="C273" i="54" s="1"/>
  <c r="D274" i="54"/>
  <c r="E274" i="54"/>
  <c r="E272" i="54" s="1"/>
  <c r="E271" i="54" s="1"/>
  <c r="F274" i="54"/>
  <c r="G274" i="54"/>
  <c r="G272" i="54" s="1"/>
  <c r="H274" i="54"/>
  <c r="I274" i="54"/>
  <c r="J274" i="54"/>
  <c r="K274" i="54"/>
  <c r="K272" i="54" s="1"/>
  <c r="K271" i="54" s="1"/>
  <c r="M274" i="54"/>
  <c r="M272" i="54" s="1"/>
  <c r="N274" i="54"/>
  <c r="N272" i="54" s="1"/>
  <c r="N271" i="54" s="1"/>
  <c r="F275" i="54"/>
  <c r="I275" i="54"/>
  <c r="L275" i="54"/>
  <c r="O275" i="54"/>
  <c r="F276" i="54"/>
  <c r="C276" i="54" s="1"/>
  <c r="I276" i="54"/>
  <c r="L276" i="54"/>
  <c r="O276" i="54"/>
  <c r="F277" i="54"/>
  <c r="I277" i="54"/>
  <c r="L277" i="54"/>
  <c r="O277" i="54"/>
  <c r="C277" i="54" s="1"/>
  <c r="D278" i="54"/>
  <c r="E278" i="54"/>
  <c r="F278" i="54"/>
  <c r="G278" i="54"/>
  <c r="H278" i="54"/>
  <c r="I278" i="54"/>
  <c r="J278" i="54"/>
  <c r="L278" i="54" s="1"/>
  <c r="K278" i="54"/>
  <c r="M278" i="54"/>
  <c r="N278" i="54"/>
  <c r="F279" i="54"/>
  <c r="C279" i="54" s="1"/>
  <c r="I279" i="54"/>
  <c r="L279" i="54"/>
  <c r="O279" i="54"/>
  <c r="O278" i="54" s="1"/>
  <c r="F280" i="54"/>
  <c r="C280" i="54" s="1"/>
  <c r="I280" i="54"/>
  <c r="L280" i="54"/>
  <c r="O280" i="54"/>
  <c r="F281" i="54"/>
  <c r="I281" i="54"/>
  <c r="L281" i="54"/>
  <c r="O281" i="54"/>
  <c r="C281" i="54" s="1"/>
  <c r="D282" i="54"/>
  <c r="E282" i="54"/>
  <c r="F282" i="54"/>
  <c r="G282" i="54"/>
  <c r="H282" i="54"/>
  <c r="I282" i="54"/>
  <c r="J282" i="54"/>
  <c r="L282" i="54" s="1"/>
  <c r="K282" i="54"/>
  <c r="M282" i="54"/>
  <c r="N282" i="54"/>
  <c r="F283" i="54"/>
  <c r="I283" i="54"/>
  <c r="L283" i="54"/>
  <c r="O283" i="54"/>
  <c r="D284" i="54"/>
  <c r="E284" i="54"/>
  <c r="G284" i="54"/>
  <c r="H284" i="54"/>
  <c r="J284" i="54"/>
  <c r="K284" i="54"/>
  <c r="L284" i="54"/>
  <c r="M284" i="54"/>
  <c r="N284" i="54"/>
  <c r="O284" i="54"/>
  <c r="F285" i="54"/>
  <c r="I285" i="54"/>
  <c r="L285" i="54"/>
  <c r="O285" i="54"/>
  <c r="C285" i="54" s="1"/>
  <c r="F286" i="54"/>
  <c r="I286" i="54"/>
  <c r="L286" i="54"/>
  <c r="O286" i="54"/>
  <c r="G289" i="54"/>
  <c r="K289" i="54"/>
  <c r="E290" i="54"/>
  <c r="E289" i="54" s="1"/>
  <c r="G290" i="54"/>
  <c r="J290" i="54"/>
  <c r="K290" i="54"/>
  <c r="M290" i="54"/>
  <c r="N290" i="54"/>
  <c r="N289" i="54" s="1"/>
  <c r="D291" i="54"/>
  <c r="E291" i="54"/>
  <c r="G291" i="54"/>
  <c r="H291" i="54"/>
  <c r="I291" i="54"/>
  <c r="J291" i="54"/>
  <c r="K291" i="54"/>
  <c r="L291" i="54"/>
  <c r="M291" i="54"/>
  <c r="O291" i="54" s="1"/>
  <c r="N291" i="54"/>
  <c r="F292" i="54"/>
  <c r="C292" i="54" s="1"/>
  <c r="I292" i="54"/>
  <c r="L292" i="54"/>
  <c r="O292" i="54"/>
  <c r="F293" i="54"/>
  <c r="I293" i="54"/>
  <c r="L293" i="54"/>
  <c r="O293" i="54"/>
  <c r="C293" i="54" s="1"/>
  <c r="F294" i="54"/>
  <c r="I294" i="54"/>
  <c r="L294" i="54"/>
  <c r="O294" i="54"/>
  <c r="F295" i="54"/>
  <c r="I295" i="54"/>
  <c r="L295" i="54"/>
  <c r="O295" i="54"/>
  <c r="F296" i="54"/>
  <c r="C296" i="54" s="1"/>
  <c r="I296" i="54"/>
  <c r="L296" i="54"/>
  <c r="O296" i="54"/>
  <c r="F297" i="54"/>
  <c r="I297" i="54"/>
  <c r="L297" i="54"/>
  <c r="O297" i="54"/>
  <c r="C297" i="54" s="1"/>
  <c r="F298" i="54"/>
  <c r="C298" i="54" s="1"/>
  <c r="I298" i="54"/>
  <c r="L298" i="54"/>
  <c r="O298" i="54"/>
  <c r="F299" i="54"/>
  <c r="I299" i="54"/>
  <c r="L299" i="54"/>
  <c r="O299" i="54"/>
  <c r="H24" i="53"/>
  <c r="D25" i="53"/>
  <c r="E25" i="53"/>
  <c r="F25" i="53"/>
  <c r="G25" i="53"/>
  <c r="H25" i="53"/>
  <c r="J25" i="53"/>
  <c r="L25" i="53" s="1"/>
  <c r="K25" i="53"/>
  <c r="M25" i="53"/>
  <c r="M24" i="53" s="1"/>
  <c r="N25" i="53"/>
  <c r="N24" i="53" s="1"/>
  <c r="O25" i="53"/>
  <c r="F26" i="53"/>
  <c r="I26" i="53"/>
  <c r="L26" i="53"/>
  <c r="O26" i="53"/>
  <c r="F27" i="53"/>
  <c r="I27" i="53"/>
  <c r="L27" i="53"/>
  <c r="O27" i="53"/>
  <c r="I28" i="53"/>
  <c r="F29" i="53"/>
  <c r="C29" i="53" s="1"/>
  <c r="J31" i="53"/>
  <c r="K31" i="53"/>
  <c r="K30" i="53" s="1"/>
  <c r="L31" i="53"/>
  <c r="C31" i="53" s="1"/>
  <c r="C32" i="53"/>
  <c r="L32" i="53"/>
  <c r="L33" i="53"/>
  <c r="C33" i="53" s="1"/>
  <c r="C34" i="53"/>
  <c r="L34" i="53"/>
  <c r="J35" i="53"/>
  <c r="L35" i="53" s="1"/>
  <c r="C35" i="53" s="1"/>
  <c r="K35" i="53"/>
  <c r="L36" i="53"/>
  <c r="C36" i="53" s="1"/>
  <c r="J37" i="53"/>
  <c r="K37" i="53"/>
  <c r="L37" i="53"/>
  <c r="C37" i="53" s="1"/>
  <c r="C38" i="53"/>
  <c r="L38" i="53"/>
  <c r="L39" i="53"/>
  <c r="C39" i="53" s="1"/>
  <c r="J40" i="53"/>
  <c r="K40" i="53"/>
  <c r="L40" i="53"/>
  <c r="C40" i="53" s="1"/>
  <c r="C41" i="53"/>
  <c r="L41" i="53"/>
  <c r="L42" i="53"/>
  <c r="C42" i="53" s="1"/>
  <c r="C43" i="53"/>
  <c r="L43" i="53"/>
  <c r="L44" i="53"/>
  <c r="C44" i="53" s="1"/>
  <c r="C45" i="53"/>
  <c r="F45" i="53"/>
  <c r="D46" i="53"/>
  <c r="E46" i="53"/>
  <c r="G46" i="53"/>
  <c r="H46" i="53"/>
  <c r="I46" i="53"/>
  <c r="J46" i="53"/>
  <c r="K46" i="53"/>
  <c r="L46" i="53"/>
  <c r="C47" i="53"/>
  <c r="F47" i="53"/>
  <c r="I47" i="53"/>
  <c r="L47" i="53"/>
  <c r="C48" i="53"/>
  <c r="M48" i="53"/>
  <c r="N48" i="53"/>
  <c r="O48" i="53"/>
  <c r="O49" i="53"/>
  <c r="C49" i="53" s="1"/>
  <c r="O50" i="53"/>
  <c r="C50" i="53" s="1"/>
  <c r="D58" i="53"/>
  <c r="E58" i="53"/>
  <c r="E57" i="53" s="1"/>
  <c r="E56" i="53" s="1"/>
  <c r="F58" i="53"/>
  <c r="G58" i="53"/>
  <c r="H58" i="53"/>
  <c r="J58" i="53"/>
  <c r="K58" i="53"/>
  <c r="K57" i="53" s="1"/>
  <c r="K56" i="53" s="1"/>
  <c r="M58" i="53"/>
  <c r="M57" i="53" s="1"/>
  <c r="O57" i="53" s="1"/>
  <c r="N58" i="53"/>
  <c r="N57" i="53" s="1"/>
  <c r="N56" i="53" s="1"/>
  <c r="O58" i="53"/>
  <c r="F59" i="53"/>
  <c r="C59" i="53" s="1"/>
  <c r="I59" i="53"/>
  <c r="L59" i="53"/>
  <c r="O59" i="53"/>
  <c r="F60" i="53"/>
  <c r="I60" i="53"/>
  <c r="L60" i="53"/>
  <c r="O60" i="53"/>
  <c r="D61" i="53"/>
  <c r="F61" i="53" s="1"/>
  <c r="C61" i="53" s="1"/>
  <c r="E61" i="53"/>
  <c r="G61" i="53"/>
  <c r="I61" i="53" s="1"/>
  <c r="H61" i="53"/>
  <c r="H57" i="53" s="1"/>
  <c r="H56" i="53" s="1"/>
  <c r="J61" i="53"/>
  <c r="K61" i="53"/>
  <c r="L61" i="53"/>
  <c r="M61" i="53"/>
  <c r="N61" i="53"/>
  <c r="O61" i="53"/>
  <c r="F62" i="53"/>
  <c r="I62" i="53"/>
  <c r="L62" i="53"/>
  <c r="O62" i="53"/>
  <c r="C62" i="53" s="1"/>
  <c r="F63" i="53"/>
  <c r="I63" i="53"/>
  <c r="L63" i="53"/>
  <c r="O63" i="53"/>
  <c r="F64" i="53"/>
  <c r="I64" i="53"/>
  <c r="L64" i="53"/>
  <c r="O64" i="53"/>
  <c r="F65" i="53"/>
  <c r="C65" i="53" s="1"/>
  <c r="I65" i="53"/>
  <c r="L65" i="53"/>
  <c r="O65" i="53"/>
  <c r="F66" i="53"/>
  <c r="I66" i="53"/>
  <c r="L66" i="53"/>
  <c r="O66" i="53"/>
  <c r="C66" i="53" s="1"/>
  <c r="F67" i="53"/>
  <c r="C67" i="53" s="1"/>
  <c r="I67" i="53"/>
  <c r="L67" i="53"/>
  <c r="O67" i="53"/>
  <c r="F68" i="53"/>
  <c r="I68" i="53"/>
  <c r="L68" i="53"/>
  <c r="O68" i="53"/>
  <c r="F69" i="53"/>
  <c r="C69" i="53" s="1"/>
  <c r="I69" i="53"/>
  <c r="L69" i="53"/>
  <c r="O69" i="53"/>
  <c r="G70" i="53"/>
  <c r="J70" i="53"/>
  <c r="K70" i="53"/>
  <c r="N70" i="53"/>
  <c r="F71" i="53"/>
  <c r="I71" i="53"/>
  <c r="L71" i="53"/>
  <c r="O71" i="53"/>
  <c r="D72" i="53"/>
  <c r="D70" i="53" s="1"/>
  <c r="E72" i="53"/>
  <c r="E70" i="53" s="1"/>
  <c r="G72" i="53"/>
  <c r="H72" i="53"/>
  <c r="H70" i="53" s="1"/>
  <c r="I72" i="53"/>
  <c r="J72" i="53"/>
  <c r="K72" i="53"/>
  <c r="L72" i="53"/>
  <c r="M72" i="53"/>
  <c r="N72" i="53"/>
  <c r="F73" i="53"/>
  <c r="C73" i="53" s="1"/>
  <c r="I73" i="53"/>
  <c r="L73" i="53"/>
  <c r="O73" i="53"/>
  <c r="F74" i="53"/>
  <c r="I74" i="53"/>
  <c r="L74" i="53"/>
  <c r="O74" i="53"/>
  <c r="C74" i="53" s="1"/>
  <c r="F75" i="53"/>
  <c r="C75" i="53" s="1"/>
  <c r="I75" i="53"/>
  <c r="L75" i="53"/>
  <c r="O75" i="53"/>
  <c r="F76" i="53"/>
  <c r="C76" i="53" s="1"/>
  <c r="I76" i="53"/>
  <c r="L76" i="53"/>
  <c r="O76" i="53"/>
  <c r="F77" i="53"/>
  <c r="C77" i="53" s="1"/>
  <c r="I77" i="53"/>
  <c r="L77" i="53"/>
  <c r="O77" i="53"/>
  <c r="D80" i="53"/>
  <c r="E80" i="53"/>
  <c r="E79" i="53" s="1"/>
  <c r="G80" i="53"/>
  <c r="G79" i="53" s="1"/>
  <c r="I79" i="53" s="1"/>
  <c r="H80" i="53"/>
  <c r="H79" i="53" s="1"/>
  <c r="I80" i="53"/>
  <c r="J80" i="53"/>
  <c r="K80" i="53"/>
  <c r="K79" i="53" s="1"/>
  <c r="L80" i="53"/>
  <c r="M80" i="53"/>
  <c r="N80" i="53"/>
  <c r="F81" i="53"/>
  <c r="C81" i="53" s="1"/>
  <c r="I81" i="53"/>
  <c r="L81" i="53"/>
  <c r="O81" i="53"/>
  <c r="F82" i="53"/>
  <c r="I82" i="53"/>
  <c r="L82" i="53"/>
  <c r="O82" i="53"/>
  <c r="C82" i="53" s="1"/>
  <c r="D83" i="53"/>
  <c r="E83" i="53"/>
  <c r="F83" i="53"/>
  <c r="G83" i="53"/>
  <c r="H83" i="53"/>
  <c r="I83" i="53"/>
  <c r="J83" i="53"/>
  <c r="L83" i="53" s="1"/>
  <c r="K83" i="53"/>
  <c r="M83" i="53"/>
  <c r="N83" i="53"/>
  <c r="N79" i="53" s="1"/>
  <c r="F84" i="53"/>
  <c r="C84" i="53" s="1"/>
  <c r="I84" i="53"/>
  <c r="L84" i="53"/>
  <c r="O84" i="53"/>
  <c r="F85" i="53"/>
  <c r="C85" i="53" s="1"/>
  <c r="I85" i="53"/>
  <c r="L85" i="53"/>
  <c r="O85" i="53"/>
  <c r="D87" i="53"/>
  <c r="D86" i="53" s="1"/>
  <c r="E87" i="53"/>
  <c r="F87" i="53"/>
  <c r="G87" i="53"/>
  <c r="H87" i="53"/>
  <c r="I87" i="53"/>
  <c r="J87" i="53"/>
  <c r="K87" i="53"/>
  <c r="M87" i="53"/>
  <c r="O87" i="53" s="1"/>
  <c r="N87" i="53"/>
  <c r="F88" i="53"/>
  <c r="I88" i="53"/>
  <c r="L88" i="53"/>
  <c r="O88" i="53"/>
  <c r="F89" i="53"/>
  <c r="C89" i="53" s="1"/>
  <c r="I89" i="53"/>
  <c r="L89" i="53"/>
  <c r="O89" i="53"/>
  <c r="F90" i="53"/>
  <c r="I90" i="53"/>
  <c r="L90" i="53"/>
  <c r="O90" i="53"/>
  <c r="C90" i="53" s="1"/>
  <c r="F91" i="53"/>
  <c r="C91" i="53" s="1"/>
  <c r="I91" i="53"/>
  <c r="L91" i="53"/>
  <c r="O91" i="53"/>
  <c r="D92" i="53"/>
  <c r="E92" i="53"/>
  <c r="G92" i="53"/>
  <c r="H92" i="53"/>
  <c r="I92" i="53"/>
  <c r="J92" i="53"/>
  <c r="K92" i="53"/>
  <c r="L92" i="53"/>
  <c r="M92" i="53"/>
  <c r="O92" i="53" s="1"/>
  <c r="N92" i="53"/>
  <c r="F93" i="53"/>
  <c r="C93" i="53" s="1"/>
  <c r="I93" i="53"/>
  <c r="L93" i="53"/>
  <c r="O93" i="53"/>
  <c r="F94" i="53"/>
  <c r="I94" i="53"/>
  <c r="L94" i="53"/>
  <c r="O94" i="53"/>
  <c r="C94" i="53" s="1"/>
  <c r="F95" i="53"/>
  <c r="I95" i="53"/>
  <c r="L95" i="53"/>
  <c r="O95" i="53"/>
  <c r="F96" i="53"/>
  <c r="I96" i="53"/>
  <c r="L96" i="53"/>
  <c r="O96" i="53"/>
  <c r="F97" i="53"/>
  <c r="C97" i="53" s="1"/>
  <c r="I97" i="53"/>
  <c r="L97" i="53"/>
  <c r="O97" i="53"/>
  <c r="D98" i="53"/>
  <c r="E98" i="53"/>
  <c r="F98" i="53"/>
  <c r="G98" i="53"/>
  <c r="I98" i="53" s="1"/>
  <c r="C98" i="53" s="1"/>
  <c r="H98" i="53"/>
  <c r="J98" i="53"/>
  <c r="L98" i="53" s="1"/>
  <c r="K98" i="53"/>
  <c r="K86" i="53" s="1"/>
  <c r="M98" i="53"/>
  <c r="N98" i="53"/>
  <c r="O98" i="53"/>
  <c r="F99" i="53"/>
  <c r="I99" i="53"/>
  <c r="L99" i="53"/>
  <c r="O99" i="53"/>
  <c r="F100" i="53"/>
  <c r="C100" i="53" s="1"/>
  <c r="I100" i="53"/>
  <c r="L100" i="53"/>
  <c r="O100" i="53"/>
  <c r="F101" i="53"/>
  <c r="C101" i="53" s="1"/>
  <c r="I101" i="53"/>
  <c r="L101" i="53"/>
  <c r="O101" i="53"/>
  <c r="F102" i="53"/>
  <c r="I102" i="53"/>
  <c r="L102" i="53"/>
  <c r="O102" i="53"/>
  <c r="C102" i="53" s="1"/>
  <c r="F103" i="53"/>
  <c r="I103" i="53"/>
  <c r="L103" i="53"/>
  <c r="O103" i="53"/>
  <c r="F104" i="53"/>
  <c r="I104" i="53"/>
  <c r="L104" i="53"/>
  <c r="O104" i="53"/>
  <c r="F105" i="53"/>
  <c r="C105" i="53" s="1"/>
  <c r="I105" i="53"/>
  <c r="L105" i="53"/>
  <c r="O105" i="53"/>
  <c r="D106" i="53"/>
  <c r="E106" i="53"/>
  <c r="F106" i="53"/>
  <c r="G106" i="53"/>
  <c r="I106" i="53" s="1"/>
  <c r="C106" i="53" s="1"/>
  <c r="H106" i="53"/>
  <c r="J106" i="53"/>
  <c r="L106" i="53" s="1"/>
  <c r="K106" i="53"/>
  <c r="M106" i="53"/>
  <c r="N106" i="53"/>
  <c r="O106" i="53"/>
  <c r="F107" i="53"/>
  <c r="I107" i="53"/>
  <c r="L107" i="53"/>
  <c r="O107" i="53"/>
  <c r="F108" i="53"/>
  <c r="C108" i="53" s="1"/>
  <c r="I108" i="53"/>
  <c r="L108" i="53"/>
  <c r="O108" i="53"/>
  <c r="F109" i="53"/>
  <c r="C109" i="53" s="1"/>
  <c r="I109" i="53"/>
  <c r="L109" i="53"/>
  <c r="O109" i="53"/>
  <c r="F110" i="53"/>
  <c r="I110" i="53"/>
  <c r="L110" i="53"/>
  <c r="O110" i="53"/>
  <c r="C110" i="53" s="1"/>
  <c r="F111" i="53"/>
  <c r="I111" i="53"/>
  <c r="L111" i="53"/>
  <c r="O111" i="53"/>
  <c r="F112" i="53"/>
  <c r="I112" i="53"/>
  <c r="L112" i="53"/>
  <c r="O112" i="53"/>
  <c r="F113" i="53"/>
  <c r="C113" i="53" s="1"/>
  <c r="I113" i="53"/>
  <c r="L113" i="53"/>
  <c r="O113" i="53"/>
  <c r="F114" i="53"/>
  <c r="I114" i="53"/>
  <c r="L114" i="53"/>
  <c r="O114" i="53"/>
  <c r="C114" i="53" s="1"/>
  <c r="D115" i="53"/>
  <c r="E115" i="53"/>
  <c r="F115" i="53"/>
  <c r="G115" i="53"/>
  <c r="H115" i="53"/>
  <c r="I115" i="53"/>
  <c r="J115" i="53"/>
  <c r="L115" i="53" s="1"/>
  <c r="K115" i="53"/>
  <c r="M115" i="53"/>
  <c r="N115" i="53"/>
  <c r="F116" i="53"/>
  <c r="C116" i="53" s="1"/>
  <c r="I116" i="53"/>
  <c r="L116" i="53"/>
  <c r="O116" i="53"/>
  <c r="F117" i="53"/>
  <c r="C117" i="53" s="1"/>
  <c r="I117" i="53"/>
  <c r="L117" i="53"/>
  <c r="O117" i="53"/>
  <c r="F118" i="53"/>
  <c r="I118" i="53"/>
  <c r="L118" i="53"/>
  <c r="O118" i="53"/>
  <c r="C118" i="53" s="1"/>
  <c r="D119" i="53"/>
  <c r="E119" i="53"/>
  <c r="F119" i="53"/>
  <c r="G119" i="53"/>
  <c r="H119" i="53"/>
  <c r="I119" i="53"/>
  <c r="J119" i="53"/>
  <c r="L119" i="53" s="1"/>
  <c r="K119" i="53"/>
  <c r="M119" i="53"/>
  <c r="N119" i="53"/>
  <c r="F120" i="53"/>
  <c r="C120" i="53" s="1"/>
  <c r="I120" i="53"/>
  <c r="L120" i="53"/>
  <c r="O120" i="53"/>
  <c r="F121" i="53"/>
  <c r="C121" i="53" s="1"/>
  <c r="I121" i="53"/>
  <c r="L121" i="53"/>
  <c r="O121" i="53"/>
  <c r="F122" i="53"/>
  <c r="I122" i="53"/>
  <c r="L122" i="53"/>
  <c r="O122" i="53"/>
  <c r="C122" i="53" s="1"/>
  <c r="F123" i="53"/>
  <c r="I123" i="53"/>
  <c r="L123" i="53"/>
  <c r="O123" i="53"/>
  <c r="F124" i="53"/>
  <c r="C124" i="53" s="1"/>
  <c r="I124" i="53"/>
  <c r="L124" i="53"/>
  <c r="O124" i="53"/>
  <c r="D125" i="53"/>
  <c r="F125" i="53" s="1"/>
  <c r="E125" i="53"/>
  <c r="G125" i="53"/>
  <c r="H125" i="53"/>
  <c r="J125" i="53"/>
  <c r="K125" i="53"/>
  <c r="L125" i="53"/>
  <c r="M125" i="53"/>
  <c r="N125" i="53"/>
  <c r="O125" i="53"/>
  <c r="F126" i="53"/>
  <c r="I126" i="53"/>
  <c r="L126" i="53"/>
  <c r="O126" i="53"/>
  <c r="C126" i="53" s="1"/>
  <c r="F127" i="53"/>
  <c r="C127" i="53" s="1"/>
  <c r="I127" i="53"/>
  <c r="L127" i="53"/>
  <c r="O127" i="53"/>
  <c r="F128" i="53"/>
  <c r="C128" i="53" s="1"/>
  <c r="I128" i="53"/>
  <c r="L128" i="53"/>
  <c r="O128" i="53"/>
  <c r="F129" i="53"/>
  <c r="C129" i="53" s="1"/>
  <c r="I129" i="53"/>
  <c r="L129" i="53"/>
  <c r="O129" i="53"/>
  <c r="F130" i="53"/>
  <c r="I130" i="53"/>
  <c r="L130" i="53"/>
  <c r="O130" i="53"/>
  <c r="C130" i="53" s="1"/>
  <c r="D131" i="53"/>
  <c r="E131" i="53"/>
  <c r="F131" i="53"/>
  <c r="G131" i="53"/>
  <c r="H131" i="53"/>
  <c r="I131" i="53"/>
  <c r="J131" i="53"/>
  <c r="L131" i="53" s="1"/>
  <c r="K131" i="53"/>
  <c r="M131" i="53"/>
  <c r="O131" i="53" s="1"/>
  <c r="N131" i="53"/>
  <c r="F132" i="53"/>
  <c r="I132" i="53"/>
  <c r="L132" i="53"/>
  <c r="O132" i="53"/>
  <c r="D133" i="53"/>
  <c r="H133" i="53"/>
  <c r="D134" i="53"/>
  <c r="E134" i="53"/>
  <c r="E133" i="53" s="1"/>
  <c r="F134" i="53"/>
  <c r="G134" i="53"/>
  <c r="H134" i="53"/>
  <c r="J134" i="53"/>
  <c r="L134" i="53" s="1"/>
  <c r="K134" i="53"/>
  <c r="M134" i="53"/>
  <c r="N134" i="53"/>
  <c r="O134" i="53"/>
  <c r="F135" i="53"/>
  <c r="I135" i="53"/>
  <c r="L135" i="53"/>
  <c r="O135" i="53"/>
  <c r="F136" i="53"/>
  <c r="C136" i="53" s="1"/>
  <c r="I136" i="53"/>
  <c r="L136" i="53"/>
  <c r="O136" i="53"/>
  <c r="F137" i="53"/>
  <c r="C137" i="53" s="1"/>
  <c r="I137" i="53"/>
  <c r="L137" i="53"/>
  <c r="O137" i="53"/>
  <c r="F138" i="53"/>
  <c r="I138" i="53"/>
  <c r="L138" i="53"/>
  <c r="O138" i="53"/>
  <c r="C138" i="53" s="1"/>
  <c r="D139" i="53"/>
  <c r="E139" i="53"/>
  <c r="F139" i="53"/>
  <c r="G139" i="53"/>
  <c r="H139" i="53"/>
  <c r="I139" i="53"/>
  <c r="J139" i="53"/>
  <c r="L139" i="53" s="1"/>
  <c r="K139" i="53"/>
  <c r="M139" i="53"/>
  <c r="N139" i="53"/>
  <c r="F140" i="53"/>
  <c r="C140" i="53" s="1"/>
  <c r="I140" i="53"/>
  <c r="L140" i="53"/>
  <c r="O140" i="53"/>
  <c r="F141" i="53"/>
  <c r="C141" i="53" s="1"/>
  <c r="I141" i="53"/>
  <c r="L141" i="53"/>
  <c r="O141" i="53"/>
  <c r="F142" i="53"/>
  <c r="I142" i="53"/>
  <c r="L142" i="53"/>
  <c r="O142" i="53"/>
  <c r="C142" i="53" s="1"/>
  <c r="F143" i="53"/>
  <c r="C143" i="53" s="1"/>
  <c r="I143" i="53"/>
  <c r="L143" i="53"/>
  <c r="O143" i="53"/>
  <c r="D144" i="53"/>
  <c r="F144" i="53" s="1"/>
  <c r="E144" i="53"/>
  <c r="G144" i="53"/>
  <c r="H144" i="53"/>
  <c r="I144" i="53"/>
  <c r="J144" i="53"/>
  <c r="K144" i="53"/>
  <c r="L144" i="53"/>
  <c r="M144" i="53"/>
  <c r="O144" i="53" s="1"/>
  <c r="N144" i="53"/>
  <c r="F145" i="53"/>
  <c r="C145" i="53" s="1"/>
  <c r="I145" i="53"/>
  <c r="L145" i="53"/>
  <c r="O145" i="53"/>
  <c r="F146" i="53"/>
  <c r="I146" i="53"/>
  <c r="L146" i="53"/>
  <c r="O146" i="53"/>
  <c r="C146" i="53" s="1"/>
  <c r="D147" i="53"/>
  <c r="E147" i="53"/>
  <c r="F147" i="53"/>
  <c r="G147" i="53"/>
  <c r="H147" i="53"/>
  <c r="I147" i="53"/>
  <c r="J147" i="53"/>
  <c r="L147" i="53" s="1"/>
  <c r="K147" i="53"/>
  <c r="M147" i="53"/>
  <c r="O147" i="53" s="1"/>
  <c r="N147" i="53"/>
  <c r="F148" i="53"/>
  <c r="I148" i="53"/>
  <c r="L148" i="53"/>
  <c r="O148" i="53"/>
  <c r="F149" i="53"/>
  <c r="C149" i="53" s="1"/>
  <c r="I149" i="53"/>
  <c r="L149" i="53"/>
  <c r="O149" i="53"/>
  <c r="F150" i="53"/>
  <c r="I150" i="53"/>
  <c r="L150" i="53"/>
  <c r="O150" i="53"/>
  <c r="C150" i="53" s="1"/>
  <c r="F151" i="53"/>
  <c r="I151" i="53"/>
  <c r="L151" i="53"/>
  <c r="O151" i="53"/>
  <c r="F152" i="53"/>
  <c r="I152" i="53"/>
  <c r="L152" i="53"/>
  <c r="O152" i="53"/>
  <c r="F153" i="53"/>
  <c r="C153" i="53" s="1"/>
  <c r="I153" i="53"/>
  <c r="L153" i="53"/>
  <c r="O153" i="53"/>
  <c r="D154" i="53"/>
  <c r="E154" i="53"/>
  <c r="F154" i="53"/>
  <c r="G154" i="53"/>
  <c r="I154" i="53" s="1"/>
  <c r="C154" i="53" s="1"/>
  <c r="H154" i="53"/>
  <c r="J154" i="53"/>
  <c r="L154" i="53" s="1"/>
  <c r="K154" i="53"/>
  <c r="M154" i="53"/>
  <c r="N154" i="53"/>
  <c r="O154" i="53"/>
  <c r="F155" i="53"/>
  <c r="I155" i="53"/>
  <c r="L155" i="53"/>
  <c r="O155" i="53"/>
  <c r="F156" i="53"/>
  <c r="I156" i="53"/>
  <c r="L156" i="53"/>
  <c r="O156" i="53"/>
  <c r="F157" i="53"/>
  <c r="C157" i="53" s="1"/>
  <c r="I157" i="53"/>
  <c r="L157" i="53"/>
  <c r="O157" i="53"/>
  <c r="F158" i="53"/>
  <c r="I158" i="53"/>
  <c r="L158" i="53"/>
  <c r="O158" i="53"/>
  <c r="C158" i="53" s="1"/>
  <c r="F159" i="53"/>
  <c r="C159" i="53" s="1"/>
  <c r="I159" i="53"/>
  <c r="L159" i="53"/>
  <c r="O159" i="53"/>
  <c r="F160" i="53"/>
  <c r="I160" i="53"/>
  <c r="L160" i="53"/>
  <c r="O160" i="53"/>
  <c r="F161" i="53"/>
  <c r="C161" i="53" s="1"/>
  <c r="I161" i="53"/>
  <c r="L161" i="53"/>
  <c r="O161" i="53"/>
  <c r="F162" i="53"/>
  <c r="I162" i="53"/>
  <c r="L162" i="53"/>
  <c r="O162" i="53"/>
  <c r="C162" i="53" s="1"/>
  <c r="D163" i="53"/>
  <c r="E163" i="53"/>
  <c r="F163" i="53"/>
  <c r="G163" i="53"/>
  <c r="H163" i="53"/>
  <c r="I163" i="53"/>
  <c r="J163" i="53"/>
  <c r="L163" i="53" s="1"/>
  <c r="K163" i="53"/>
  <c r="M163" i="53"/>
  <c r="O163" i="53" s="1"/>
  <c r="N163" i="53"/>
  <c r="F164" i="53"/>
  <c r="I164" i="53"/>
  <c r="L164" i="53"/>
  <c r="O164" i="53"/>
  <c r="F165" i="53"/>
  <c r="C165" i="53" s="1"/>
  <c r="I165" i="53"/>
  <c r="L165" i="53"/>
  <c r="O165" i="53"/>
  <c r="F166" i="53"/>
  <c r="I166" i="53"/>
  <c r="L166" i="53"/>
  <c r="O166" i="53"/>
  <c r="C166" i="53" s="1"/>
  <c r="F167" i="53"/>
  <c r="C167" i="53" s="1"/>
  <c r="I167" i="53"/>
  <c r="L167" i="53"/>
  <c r="O167" i="53"/>
  <c r="E168" i="53"/>
  <c r="M168" i="53"/>
  <c r="O168" i="53" s="1"/>
  <c r="D169" i="53"/>
  <c r="E169" i="53"/>
  <c r="G169" i="53"/>
  <c r="I169" i="53" s="1"/>
  <c r="H169" i="53"/>
  <c r="H168" i="53" s="1"/>
  <c r="J169" i="53"/>
  <c r="J168" i="53" s="1"/>
  <c r="K169" i="53"/>
  <c r="K168" i="53" s="1"/>
  <c r="L169" i="53"/>
  <c r="M169" i="53"/>
  <c r="N169" i="53"/>
  <c r="N168" i="53" s="1"/>
  <c r="O169" i="53"/>
  <c r="F170" i="53"/>
  <c r="I170" i="53"/>
  <c r="L170" i="53"/>
  <c r="O170" i="53"/>
  <c r="C170" i="53" s="1"/>
  <c r="F171" i="53"/>
  <c r="I171" i="53"/>
  <c r="L171" i="53"/>
  <c r="O171" i="53"/>
  <c r="F172" i="53"/>
  <c r="C172" i="53" s="1"/>
  <c r="I172" i="53"/>
  <c r="L172" i="53"/>
  <c r="O172" i="53"/>
  <c r="F173" i="53"/>
  <c r="C173" i="53" s="1"/>
  <c r="I173" i="53"/>
  <c r="L173" i="53"/>
  <c r="O173" i="53"/>
  <c r="F174" i="53"/>
  <c r="I174" i="53"/>
  <c r="L174" i="53"/>
  <c r="O174" i="53"/>
  <c r="C174" i="53" s="1"/>
  <c r="F175" i="53"/>
  <c r="I175" i="53"/>
  <c r="L175" i="53"/>
  <c r="O175" i="53"/>
  <c r="D177" i="53"/>
  <c r="H177" i="53"/>
  <c r="H176" i="53" s="1"/>
  <c r="D178" i="53"/>
  <c r="E178" i="53"/>
  <c r="E177" i="53" s="1"/>
  <c r="E176" i="53" s="1"/>
  <c r="F178" i="53"/>
  <c r="G178" i="53"/>
  <c r="H178" i="53"/>
  <c r="J178" i="53"/>
  <c r="K178" i="53"/>
  <c r="K177" i="53" s="1"/>
  <c r="K176" i="53" s="1"/>
  <c r="M178" i="53"/>
  <c r="M177" i="53" s="1"/>
  <c r="O177" i="53" s="1"/>
  <c r="N178" i="53"/>
  <c r="N177" i="53" s="1"/>
  <c r="O178" i="53"/>
  <c r="F179" i="53"/>
  <c r="I179" i="53"/>
  <c r="L179" i="53"/>
  <c r="O179" i="53"/>
  <c r="F180" i="53"/>
  <c r="I180" i="53"/>
  <c r="L180" i="53"/>
  <c r="O180" i="53"/>
  <c r="F181" i="53"/>
  <c r="C181" i="53" s="1"/>
  <c r="I181" i="53"/>
  <c r="L181" i="53"/>
  <c r="O181" i="53"/>
  <c r="D182" i="53"/>
  <c r="E182" i="53"/>
  <c r="F182" i="53"/>
  <c r="G182" i="53"/>
  <c r="I182" i="53" s="1"/>
  <c r="C182" i="53" s="1"/>
  <c r="H182" i="53"/>
  <c r="J182" i="53"/>
  <c r="L182" i="53" s="1"/>
  <c r="K182" i="53"/>
  <c r="M182" i="53"/>
  <c r="N182" i="53"/>
  <c r="O182" i="53"/>
  <c r="F183" i="53"/>
  <c r="I183" i="53"/>
  <c r="L183" i="53"/>
  <c r="O183" i="53"/>
  <c r="F184" i="53"/>
  <c r="I184" i="53"/>
  <c r="L184" i="53"/>
  <c r="O184" i="53"/>
  <c r="F185" i="53"/>
  <c r="C185" i="53" s="1"/>
  <c r="I185" i="53"/>
  <c r="L185" i="53"/>
  <c r="O185" i="53"/>
  <c r="F186" i="53"/>
  <c r="I186" i="53"/>
  <c r="L186" i="53"/>
  <c r="O186" i="53"/>
  <c r="C186" i="53" s="1"/>
  <c r="D187" i="53"/>
  <c r="E187" i="53"/>
  <c r="F187" i="53"/>
  <c r="G187" i="53"/>
  <c r="H187" i="53"/>
  <c r="I187" i="53"/>
  <c r="J187" i="53"/>
  <c r="L187" i="53" s="1"/>
  <c r="K187" i="53"/>
  <c r="M187" i="53"/>
  <c r="N187" i="53"/>
  <c r="F188" i="53"/>
  <c r="C188" i="53" s="1"/>
  <c r="I188" i="53"/>
  <c r="L188" i="53"/>
  <c r="O188" i="53"/>
  <c r="F189" i="53"/>
  <c r="C189" i="53" s="1"/>
  <c r="I189" i="53"/>
  <c r="L189" i="53"/>
  <c r="O189" i="53"/>
  <c r="D191" i="53"/>
  <c r="E191" i="53"/>
  <c r="F191" i="53"/>
  <c r="G191" i="53"/>
  <c r="H191" i="53"/>
  <c r="I191" i="53"/>
  <c r="J191" i="53"/>
  <c r="K191" i="53"/>
  <c r="M191" i="53"/>
  <c r="O191" i="53" s="1"/>
  <c r="N191" i="53"/>
  <c r="F192" i="53"/>
  <c r="I192" i="53"/>
  <c r="L192" i="53"/>
  <c r="O192" i="53"/>
  <c r="F193" i="53"/>
  <c r="C193" i="53" s="1"/>
  <c r="I193" i="53"/>
  <c r="L193" i="53"/>
  <c r="O193" i="53"/>
  <c r="G194" i="53"/>
  <c r="I194" i="53" s="1"/>
  <c r="K194" i="53"/>
  <c r="K190" i="53" s="1"/>
  <c r="D195" i="53"/>
  <c r="D194" i="53" s="1"/>
  <c r="E195" i="53"/>
  <c r="E194" i="53" s="1"/>
  <c r="F195" i="53"/>
  <c r="G195" i="53"/>
  <c r="H195" i="53"/>
  <c r="H194" i="53" s="1"/>
  <c r="I195" i="53"/>
  <c r="J195" i="53"/>
  <c r="K195" i="53"/>
  <c r="M195" i="53"/>
  <c r="N195" i="53"/>
  <c r="N194" i="53" s="1"/>
  <c r="F196" i="53"/>
  <c r="C196" i="53" s="1"/>
  <c r="I196" i="53"/>
  <c r="L196" i="53"/>
  <c r="O196" i="53"/>
  <c r="E199" i="53"/>
  <c r="E198" i="53" s="1"/>
  <c r="J199" i="53"/>
  <c r="M199" i="53"/>
  <c r="N199" i="53"/>
  <c r="N198" i="53" s="1"/>
  <c r="F200" i="53"/>
  <c r="C200" i="53" s="1"/>
  <c r="I200" i="53"/>
  <c r="L200" i="53"/>
  <c r="O200" i="53"/>
  <c r="D201" i="53"/>
  <c r="E201" i="53"/>
  <c r="G201" i="53"/>
  <c r="G199" i="53" s="1"/>
  <c r="H201" i="53"/>
  <c r="H199" i="53" s="1"/>
  <c r="H198" i="53" s="1"/>
  <c r="J201" i="53"/>
  <c r="K201" i="53"/>
  <c r="K199" i="53" s="1"/>
  <c r="L201" i="53"/>
  <c r="M201" i="53"/>
  <c r="N201" i="53"/>
  <c r="O201" i="53"/>
  <c r="F202" i="53"/>
  <c r="I202" i="53"/>
  <c r="L202" i="53"/>
  <c r="O202" i="53"/>
  <c r="C202" i="53" s="1"/>
  <c r="F203" i="53"/>
  <c r="C203" i="53" s="1"/>
  <c r="I203" i="53"/>
  <c r="L203" i="53"/>
  <c r="O203" i="53"/>
  <c r="F204" i="53"/>
  <c r="C204" i="53" s="1"/>
  <c r="I204" i="53"/>
  <c r="L204" i="53"/>
  <c r="O204" i="53"/>
  <c r="F205" i="53"/>
  <c r="C205" i="53" s="1"/>
  <c r="I205" i="53"/>
  <c r="L205" i="53"/>
  <c r="O205" i="53"/>
  <c r="F206" i="53"/>
  <c r="I206" i="53"/>
  <c r="L206" i="53"/>
  <c r="O206" i="53"/>
  <c r="C206" i="53" s="1"/>
  <c r="N207" i="53"/>
  <c r="D208" i="53"/>
  <c r="F208" i="53" s="1"/>
  <c r="E208" i="53"/>
  <c r="E207" i="53" s="1"/>
  <c r="G208" i="53"/>
  <c r="H208" i="53"/>
  <c r="H207" i="53" s="1"/>
  <c r="I208" i="53"/>
  <c r="J208" i="53"/>
  <c r="K208" i="53"/>
  <c r="L208" i="53"/>
  <c r="M208" i="53"/>
  <c r="N208" i="53"/>
  <c r="F209" i="53"/>
  <c r="C209" i="53" s="1"/>
  <c r="I209" i="53"/>
  <c r="L209" i="53"/>
  <c r="O209" i="53"/>
  <c r="F210" i="53"/>
  <c r="I210" i="53"/>
  <c r="L210" i="53"/>
  <c r="O210" i="53"/>
  <c r="C210" i="53" s="1"/>
  <c r="F211" i="53"/>
  <c r="I211" i="53"/>
  <c r="C211" i="53" s="1"/>
  <c r="L211" i="53"/>
  <c r="O211" i="53"/>
  <c r="F212" i="53"/>
  <c r="I212" i="53"/>
  <c r="L212" i="53"/>
  <c r="O212" i="53"/>
  <c r="F213" i="53"/>
  <c r="C213" i="53" s="1"/>
  <c r="I213" i="53"/>
  <c r="L213" i="53"/>
  <c r="O213" i="53"/>
  <c r="F214" i="53"/>
  <c r="I214" i="53"/>
  <c r="L214" i="53"/>
  <c r="O214" i="53"/>
  <c r="C214" i="53" s="1"/>
  <c r="F215" i="53"/>
  <c r="I215" i="53"/>
  <c r="C215" i="53" s="1"/>
  <c r="L215" i="53"/>
  <c r="O215" i="53"/>
  <c r="F216" i="53"/>
  <c r="C216" i="53" s="1"/>
  <c r="I216" i="53"/>
  <c r="L216" i="53"/>
  <c r="O216" i="53"/>
  <c r="F217" i="53"/>
  <c r="C217" i="53" s="1"/>
  <c r="I217" i="53"/>
  <c r="L217" i="53"/>
  <c r="O217" i="53"/>
  <c r="F218" i="53"/>
  <c r="I218" i="53"/>
  <c r="L218" i="53"/>
  <c r="O218" i="53"/>
  <c r="C218" i="53" s="1"/>
  <c r="D219" i="53"/>
  <c r="E219" i="53"/>
  <c r="F219" i="53"/>
  <c r="G219" i="53"/>
  <c r="H219" i="53"/>
  <c r="I219" i="53"/>
  <c r="J219" i="53"/>
  <c r="L219" i="53" s="1"/>
  <c r="K219" i="53"/>
  <c r="M219" i="53"/>
  <c r="O219" i="53" s="1"/>
  <c r="N219" i="53"/>
  <c r="F220" i="53"/>
  <c r="I220" i="53"/>
  <c r="L220" i="53"/>
  <c r="O220" i="53"/>
  <c r="F221" i="53"/>
  <c r="C221" i="53" s="1"/>
  <c r="I221" i="53"/>
  <c r="L221" i="53"/>
  <c r="O221" i="53"/>
  <c r="F222" i="53"/>
  <c r="I222" i="53"/>
  <c r="L222" i="53"/>
  <c r="O222" i="53"/>
  <c r="C222" i="53" s="1"/>
  <c r="F223" i="53"/>
  <c r="C223" i="53" s="1"/>
  <c r="I223" i="53"/>
  <c r="L223" i="53"/>
  <c r="O223" i="53"/>
  <c r="F224" i="53"/>
  <c r="C224" i="53" s="1"/>
  <c r="I224" i="53"/>
  <c r="L224" i="53"/>
  <c r="O224" i="53"/>
  <c r="F225" i="53"/>
  <c r="C225" i="53" s="1"/>
  <c r="I225" i="53"/>
  <c r="L225" i="53"/>
  <c r="O225" i="53"/>
  <c r="F226" i="53"/>
  <c r="I226" i="53"/>
  <c r="L226" i="53"/>
  <c r="O226" i="53"/>
  <c r="C226" i="53" s="1"/>
  <c r="F227" i="53"/>
  <c r="I227" i="53"/>
  <c r="L227" i="53"/>
  <c r="O227" i="53"/>
  <c r="F228" i="53"/>
  <c r="C228" i="53" s="1"/>
  <c r="I228" i="53"/>
  <c r="L228" i="53"/>
  <c r="O228" i="53"/>
  <c r="F229" i="53"/>
  <c r="C229" i="53" s="1"/>
  <c r="I229" i="53"/>
  <c r="L229" i="53"/>
  <c r="O229" i="53"/>
  <c r="D230" i="53"/>
  <c r="E230" i="53"/>
  <c r="F230" i="53"/>
  <c r="G230" i="53"/>
  <c r="I230" i="53" s="1"/>
  <c r="H230" i="53"/>
  <c r="J230" i="53"/>
  <c r="K230" i="53"/>
  <c r="M230" i="53"/>
  <c r="N230" i="53"/>
  <c r="O230" i="53"/>
  <c r="F231" i="53"/>
  <c r="C231" i="53" s="1"/>
  <c r="I231" i="53"/>
  <c r="L231" i="53"/>
  <c r="O231" i="53"/>
  <c r="F232" i="53"/>
  <c r="C232" i="53" s="1"/>
  <c r="I232" i="53"/>
  <c r="L232" i="53"/>
  <c r="O232" i="53"/>
  <c r="F235" i="53"/>
  <c r="I235" i="53"/>
  <c r="C235" i="53" s="1"/>
  <c r="L235" i="53"/>
  <c r="O235" i="53"/>
  <c r="D236" i="53"/>
  <c r="E236" i="53"/>
  <c r="F236" i="53"/>
  <c r="G236" i="53"/>
  <c r="I236" i="53" s="1"/>
  <c r="H236" i="53"/>
  <c r="J236" i="53"/>
  <c r="K236" i="53"/>
  <c r="K234" i="53" s="1"/>
  <c r="M236" i="53"/>
  <c r="N236" i="53"/>
  <c r="O236" i="53"/>
  <c r="F237" i="53"/>
  <c r="I237" i="53"/>
  <c r="C237" i="53" s="1"/>
  <c r="L237" i="53"/>
  <c r="O237" i="53"/>
  <c r="D238" i="53"/>
  <c r="F238" i="53" s="1"/>
  <c r="E238" i="53"/>
  <c r="G238" i="53"/>
  <c r="H238" i="53"/>
  <c r="I238" i="53"/>
  <c r="J238" i="53"/>
  <c r="K238" i="53"/>
  <c r="L238" i="53"/>
  <c r="M238" i="53"/>
  <c r="O238" i="53" s="1"/>
  <c r="N238" i="53"/>
  <c r="F239" i="53"/>
  <c r="C239" i="53" s="1"/>
  <c r="I239" i="53"/>
  <c r="L239" i="53"/>
  <c r="O239" i="53"/>
  <c r="F240" i="53"/>
  <c r="I240" i="53"/>
  <c r="L240" i="53"/>
  <c r="O240" i="53"/>
  <c r="C240" i="53" s="1"/>
  <c r="D241" i="53"/>
  <c r="E241" i="53"/>
  <c r="F241" i="53"/>
  <c r="G241" i="53"/>
  <c r="H241" i="53"/>
  <c r="I241" i="53"/>
  <c r="J241" i="53"/>
  <c r="L241" i="53" s="1"/>
  <c r="K241" i="53"/>
  <c r="M241" i="53"/>
  <c r="O241" i="53" s="1"/>
  <c r="N241" i="53"/>
  <c r="F242" i="53"/>
  <c r="C242" i="53" s="1"/>
  <c r="I242" i="53"/>
  <c r="L242" i="53"/>
  <c r="O242" i="53"/>
  <c r="F243" i="53"/>
  <c r="C243" i="53" s="1"/>
  <c r="I243" i="53"/>
  <c r="L243" i="53"/>
  <c r="O243" i="53"/>
  <c r="F244" i="53"/>
  <c r="I244" i="53"/>
  <c r="L244" i="53"/>
  <c r="O244" i="53"/>
  <c r="C244" i="53" s="1"/>
  <c r="F245" i="53"/>
  <c r="I245" i="53"/>
  <c r="C245" i="53" s="1"/>
  <c r="L245" i="53"/>
  <c r="O245" i="53"/>
  <c r="F246" i="53"/>
  <c r="C246" i="53" s="1"/>
  <c r="I246" i="53"/>
  <c r="L246" i="53"/>
  <c r="O246" i="53"/>
  <c r="F247" i="53"/>
  <c r="C247" i="53" s="1"/>
  <c r="I247" i="53"/>
  <c r="L247" i="53"/>
  <c r="O247" i="53"/>
  <c r="F248" i="53"/>
  <c r="I248" i="53"/>
  <c r="L248" i="53"/>
  <c r="O248" i="53"/>
  <c r="C248" i="53" s="1"/>
  <c r="D249" i="53"/>
  <c r="E249" i="53"/>
  <c r="F249" i="53"/>
  <c r="C249" i="53" s="1"/>
  <c r="G249" i="53"/>
  <c r="I249" i="53" s="1"/>
  <c r="H249" i="53"/>
  <c r="J249" i="53"/>
  <c r="L249" i="53" s="1"/>
  <c r="K249" i="53"/>
  <c r="M249" i="53"/>
  <c r="N249" i="53"/>
  <c r="O249" i="53" s="1"/>
  <c r="F250" i="53"/>
  <c r="C250" i="53" s="1"/>
  <c r="I250" i="53"/>
  <c r="L250" i="53"/>
  <c r="O250" i="53"/>
  <c r="F251" i="53"/>
  <c r="C251" i="53" s="1"/>
  <c r="I251" i="53"/>
  <c r="L251" i="53"/>
  <c r="O251" i="53"/>
  <c r="F252" i="53"/>
  <c r="I252" i="53"/>
  <c r="L252" i="53"/>
  <c r="O252" i="53"/>
  <c r="C252" i="53" s="1"/>
  <c r="F253" i="53"/>
  <c r="I253" i="53"/>
  <c r="C253" i="53" s="1"/>
  <c r="L253" i="53"/>
  <c r="O253" i="53"/>
  <c r="E254" i="53"/>
  <c r="J254" i="53"/>
  <c r="M254" i="53"/>
  <c r="O254" i="53" s="1"/>
  <c r="N254" i="53"/>
  <c r="D255" i="53"/>
  <c r="F255" i="53" s="1"/>
  <c r="E255" i="53"/>
  <c r="G255" i="53"/>
  <c r="I255" i="53" s="1"/>
  <c r="H255" i="53"/>
  <c r="H254" i="53" s="1"/>
  <c r="J255" i="53"/>
  <c r="K255" i="53"/>
  <c r="K254" i="53" s="1"/>
  <c r="L254" i="53" s="1"/>
  <c r="L255" i="53"/>
  <c r="M255" i="53"/>
  <c r="N255" i="53"/>
  <c r="O255" i="53"/>
  <c r="F256" i="53"/>
  <c r="I256" i="53"/>
  <c r="L256" i="53"/>
  <c r="O256" i="53"/>
  <c r="C256" i="53" s="1"/>
  <c r="F257" i="53"/>
  <c r="I257" i="53"/>
  <c r="C257" i="53" s="1"/>
  <c r="L257" i="53"/>
  <c r="O257" i="53"/>
  <c r="F258" i="53"/>
  <c r="C258" i="53" s="1"/>
  <c r="I258" i="53"/>
  <c r="L258" i="53"/>
  <c r="O258" i="53"/>
  <c r="F259" i="53"/>
  <c r="C259" i="53" s="1"/>
  <c r="I259" i="53"/>
  <c r="L259" i="53"/>
  <c r="O259" i="53"/>
  <c r="F260" i="53"/>
  <c r="I260" i="53"/>
  <c r="L260" i="53"/>
  <c r="O260" i="53"/>
  <c r="C260" i="53" s="1"/>
  <c r="G261" i="53"/>
  <c r="J261" i="53"/>
  <c r="L261" i="53" s="1"/>
  <c r="K261" i="53"/>
  <c r="N261" i="53"/>
  <c r="D262" i="53"/>
  <c r="F262" i="53" s="1"/>
  <c r="E262" i="53"/>
  <c r="E261" i="53" s="1"/>
  <c r="G262" i="53"/>
  <c r="H262" i="53"/>
  <c r="H261" i="53" s="1"/>
  <c r="I261" i="53" s="1"/>
  <c r="I262" i="53"/>
  <c r="J262" i="53"/>
  <c r="K262" i="53"/>
  <c r="L262" i="53"/>
  <c r="M262" i="53"/>
  <c r="O262" i="53" s="1"/>
  <c r="N262" i="53"/>
  <c r="F263" i="53"/>
  <c r="C263" i="53" s="1"/>
  <c r="I263" i="53"/>
  <c r="L263" i="53"/>
  <c r="O263" i="53"/>
  <c r="F264" i="53"/>
  <c r="I264" i="53"/>
  <c r="L264" i="53"/>
  <c r="O264" i="53"/>
  <c r="C264" i="53" s="1"/>
  <c r="F265" i="53"/>
  <c r="I265" i="53"/>
  <c r="C265" i="53" s="1"/>
  <c r="L265" i="53"/>
  <c r="O265" i="53"/>
  <c r="D266" i="53"/>
  <c r="F266" i="53" s="1"/>
  <c r="E266" i="53"/>
  <c r="G266" i="53"/>
  <c r="H266" i="53"/>
  <c r="I266" i="53"/>
  <c r="J266" i="53"/>
  <c r="K266" i="53"/>
  <c r="L266" i="53"/>
  <c r="M266" i="53"/>
  <c r="O266" i="53" s="1"/>
  <c r="N266" i="53"/>
  <c r="F267" i="53"/>
  <c r="C267" i="53" s="1"/>
  <c r="I267" i="53"/>
  <c r="L267" i="53"/>
  <c r="O267" i="53"/>
  <c r="F268" i="53"/>
  <c r="I268" i="53"/>
  <c r="L268" i="53"/>
  <c r="O268" i="53"/>
  <c r="C268" i="53" s="1"/>
  <c r="F269" i="53"/>
  <c r="I269" i="53"/>
  <c r="C269" i="53" s="1"/>
  <c r="L269" i="53"/>
  <c r="O269" i="53"/>
  <c r="F270" i="53"/>
  <c r="C270" i="53" s="1"/>
  <c r="I270" i="53"/>
  <c r="L270" i="53"/>
  <c r="O270" i="53"/>
  <c r="G272" i="53"/>
  <c r="K272" i="53"/>
  <c r="K271" i="53" s="1"/>
  <c r="F273" i="53"/>
  <c r="I273" i="53"/>
  <c r="C273" i="53" s="1"/>
  <c r="L273" i="53"/>
  <c r="O273" i="53"/>
  <c r="D274" i="53"/>
  <c r="D272" i="53" s="1"/>
  <c r="E274" i="53"/>
  <c r="E272" i="53" s="1"/>
  <c r="E271" i="53" s="1"/>
  <c r="G274" i="53"/>
  <c r="H274" i="53"/>
  <c r="H272" i="53" s="1"/>
  <c r="H271" i="53" s="1"/>
  <c r="I274" i="53"/>
  <c r="J274" i="53"/>
  <c r="J272" i="53" s="1"/>
  <c r="K274" i="53"/>
  <c r="L274" i="53"/>
  <c r="M274" i="53"/>
  <c r="M272" i="53" s="1"/>
  <c r="N274" i="53"/>
  <c r="N272" i="53" s="1"/>
  <c r="N271" i="53" s="1"/>
  <c r="F275" i="53"/>
  <c r="C275" i="53" s="1"/>
  <c r="I275" i="53"/>
  <c r="L275" i="53"/>
  <c r="O275" i="53"/>
  <c r="F276" i="53"/>
  <c r="I276" i="53"/>
  <c r="L276" i="53"/>
  <c r="O276" i="53"/>
  <c r="C276" i="53" s="1"/>
  <c r="F277" i="53"/>
  <c r="I277" i="53"/>
  <c r="C277" i="53" s="1"/>
  <c r="L277" i="53"/>
  <c r="O277" i="53"/>
  <c r="D278" i="53"/>
  <c r="F278" i="53" s="1"/>
  <c r="E278" i="53"/>
  <c r="G278" i="53"/>
  <c r="H278" i="53"/>
  <c r="I278" i="53"/>
  <c r="J278" i="53"/>
  <c r="K278" i="53"/>
  <c r="L278" i="53"/>
  <c r="M278" i="53"/>
  <c r="N278" i="53"/>
  <c r="F279" i="53"/>
  <c r="C279" i="53" s="1"/>
  <c r="I279" i="53"/>
  <c r="L279" i="53"/>
  <c r="O279" i="53"/>
  <c r="O278" i="53" s="1"/>
  <c r="F280" i="53"/>
  <c r="I280" i="53"/>
  <c r="L280" i="53"/>
  <c r="O280" i="53"/>
  <c r="C280" i="53" s="1"/>
  <c r="F281" i="53"/>
  <c r="I281" i="53"/>
  <c r="C281" i="53" s="1"/>
  <c r="L281" i="53"/>
  <c r="O281" i="53"/>
  <c r="D282" i="53"/>
  <c r="F282" i="53" s="1"/>
  <c r="E282" i="53"/>
  <c r="G282" i="53"/>
  <c r="H282" i="53"/>
  <c r="I282" i="53"/>
  <c r="J282" i="53"/>
  <c r="K282" i="53"/>
  <c r="L282" i="53"/>
  <c r="M282" i="53"/>
  <c r="O282" i="53" s="1"/>
  <c r="N282" i="53"/>
  <c r="F283" i="53"/>
  <c r="C283" i="53" s="1"/>
  <c r="I283" i="53"/>
  <c r="L283" i="53"/>
  <c r="O283" i="53"/>
  <c r="D284" i="53"/>
  <c r="E284" i="53"/>
  <c r="F284" i="53"/>
  <c r="G284" i="53"/>
  <c r="I284" i="53" s="1"/>
  <c r="C284" i="53" s="1"/>
  <c r="H284" i="53"/>
  <c r="J284" i="53"/>
  <c r="L284" i="53" s="1"/>
  <c r="K284" i="53"/>
  <c r="K290" i="53" s="1"/>
  <c r="M284" i="53"/>
  <c r="N284" i="53"/>
  <c r="O284" i="53"/>
  <c r="F285" i="53"/>
  <c r="I285" i="53"/>
  <c r="C285" i="53" s="1"/>
  <c r="L285" i="53"/>
  <c r="O285" i="53"/>
  <c r="F286" i="53"/>
  <c r="C286" i="53" s="1"/>
  <c r="I286" i="53"/>
  <c r="L286" i="53"/>
  <c r="O286" i="53"/>
  <c r="J289" i="53"/>
  <c r="N289" i="53"/>
  <c r="D290" i="53"/>
  <c r="F290" i="53" s="1"/>
  <c r="E290" i="53"/>
  <c r="E289" i="53" s="1"/>
  <c r="H290" i="53"/>
  <c r="H289" i="53" s="1"/>
  <c r="J290" i="53"/>
  <c r="M290" i="53"/>
  <c r="O290" i="53" s="1"/>
  <c r="N290" i="53"/>
  <c r="D291" i="53"/>
  <c r="F291" i="53" s="1"/>
  <c r="E291" i="53"/>
  <c r="G291" i="53"/>
  <c r="I291" i="53" s="1"/>
  <c r="H291" i="53"/>
  <c r="J291" i="53"/>
  <c r="K291" i="53"/>
  <c r="L291" i="53"/>
  <c r="M291" i="53"/>
  <c r="N291" i="53"/>
  <c r="O291" i="53"/>
  <c r="F292" i="53"/>
  <c r="I292" i="53"/>
  <c r="L292" i="53"/>
  <c r="O292" i="53"/>
  <c r="C292" i="53" s="1"/>
  <c r="C291" i="53" s="1"/>
  <c r="F293" i="53"/>
  <c r="I293" i="53"/>
  <c r="C293" i="53" s="1"/>
  <c r="L293" i="53"/>
  <c r="O293" i="53"/>
  <c r="F294" i="53"/>
  <c r="C294" i="53" s="1"/>
  <c r="I294" i="53"/>
  <c r="L294" i="53"/>
  <c r="O294" i="53"/>
  <c r="F295" i="53"/>
  <c r="C295" i="53" s="1"/>
  <c r="I295" i="53"/>
  <c r="L295" i="53"/>
  <c r="O295" i="53"/>
  <c r="F296" i="53"/>
  <c r="I296" i="53"/>
  <c r="L296" i="53"/>
  <c r="O296" i="53"/>
  <c r="C296" i="53" s="1"/>
  <c r="F297" i="53"/>
  <c r="I297" i="53"/>
  <c r="C297" i="53" s="1"/>
  <c r="L297" i="53"/>
  <c r="O297" i="53"/>
  <c r="F298" i="53"/>
  <c r="C298" i="53" s="1"/>
  <c r="I298" i="53"/>
  <c r="L298" i="53"/>
  <c r="O298" i="53"/>
  <c r="F299" i="53"/>
  <c r="C299" i="53" s="1"/>
  <c r="I299" i="53"/>
  <c r="L299" i="53"/>
  <c r="O299" i="53"/>
  <c r="L272" i="53" l="1"/>
  <c r="J271" i="53"/>
  <c r="L271" i="53" s="1"/>
  <c r="K289" i="53"/>
  <c r="L289" i="53" s="1"/>
  <c r="L290" i="53"/>
  <c r="C282" i="53"/>
  <c r="M271" i="53"/>
  <c r="O272" i="53"/>
  <c r="D271" i="53"/>
  <c r="F272" i="53"/>
  <c r="C266" i="53"/>
  <c r="C255" i="53"/>
  <c r="C241" i="53"/>
  <c r="C238" i="53"/>
  <c r="K233" i="53"/>
  <c r="K198" i="53"/>
  <c r="K197" i="53" s="1"/>
  <c r="C278" i="53"/>
  <c r="I272" i="53"/>
  <c r="C262" i="53"/>
  <c r="M56" i="53"/>
  <c r="M289" i="53"/>
  <c r="O289" i="53" s="1"/>
  <c r="G271" i="53"/>
  <c r="I271" i="53" s="1"/>
  <c r="M261" i="53"/>
  <c r="O261" i="53" s="1"/>
  <c r="D254" i="53"/>
  <c r="F254" i="53" s="1"/>
  <c r="N234" i="53"/>
  <c r="N233" i="53" s="1"/>
  <c r="N287" i="53" s="1"/>
  <c r="J234" i="53"/>
  <c r="L230" i="53"/>
  <c r="C230" i="53" s="1"/>
  <c r="C220" i="53"/>
  <c r="C219" i="53"/>
  <c r="C212" i="53"/>
  <c r="I199" i="53"/>
  <c r="O199" i="53"/>
  <c r="O195" i="53"/>
  <c r="F194" i="53"/>
  <c r="C192" i="53"/>
  <c r="L191" i="53"/>
  <c r="C191" i="53"/>
  <c r="O187" i="53"/>
  <c r="C180" i="53"/>
  <c r="C179" i="53"/>
  <c r="C160" i="53"/>
  <c r="C152" i="53"/>
  <c r="C151" i="53"/>
  <c r="N133" i="53"/>
  <c r="F133" i="53"/>
  <c r="C132" i="53"/>
  <c r="C131" i="53"/>
  <c r="I125" i="53"/>
  <c r="O115" i="53"/>
  <c r="C115" i="53" s="1"/>
  <c r="F92" i="53"/>
  <c r="C92" i="53" s="1"/>
  <c r="O80" i="53"/>
  <c r="M79" i="53"/>
  <c r="F80" i="53"/>
  <c r="C80" i="53" s="1"/>
  <c r="C68" i="53"/>
  <c r="C60" i="53"/>
  <c r="C278" i="54"/>
  <c r="O199" i="54"/>
  <c r="C168" i="54"/>
  <c r="G234" i="53"/>
  <c r="I178" i="53"/>
  <c r="G177" i="53"/>
  <c r="H86" i="53"/>
  <c r="C83" i="53"/>
  <c r="G290" i="53"/>
  <c r="D289" i="53"/>
  <c r="F289" i="53" s="1"/>
  <c r="O274" i="53"/>
  <c r="D261" i="53"/>
  <c r="F261" i="53" s="1"/>
  <c r="C261" i="53" s="1"/>
  <c r="G254" i="53"/>
  <c r="I254" i="53" s="1"/>
  <c r="M234" i="53"/>
  <c r="E234" i="53"/>
  <c r="E233" i="53" s="1"/>
  <c r="K207" i="53"/>
  <c r="G207" i="53"/>
  <c r="I207" i="53" s="1"/>
  <c r="J207" i="53"/>
  <c r="L207" i="53" s="1"/>
  <c r="L199" i="53"/>
  <c r="N190" i="53"/>
  <c r="E190" i="53"/>
  <c r="G190" i="53"/>
  <c r="C184" i="53"/>
  <c r="C183" i="53"/>
  <c r="L178" i="53"/>
  <c r="C175" i="53"/>
  <c r="L168" i="53"/>
  <c r="F169" i="53"/>
  <c r="C169" i="53" s="1"/>
  <c r="D168" i="53"/>
  <c r="F168" i="53" s="1"/>
  <c r="C168" i="53" s="1"/>
  <c r="C164" i="53"/>
  <c r="C163" i="53"/>
  <c r="C156" i="53"/>
  <c r="C155" i="53"/>
  <c r="C148" i="53"/>
  <c r="C147" i="53"/>
  <c r="O139" i="53"/>
  <c r="C139" i="53" s="1"/>
  <c r="M133" i="53"/>
  <c r="O133" i="53" s="1"/>
  <c r="I134" i="53"/>
  <c r="C134" i="53" s="1"/>
  <c r="G133" i="53"/>
  <c r="I133" i="53" s="1"/>
  <c r="C123" i="53"/>
  <c r="O119" i="53"/>
  <c r="C119" i="53" s="1"/>
  <c r="C112" i="53"/>
  <c r="C111" i="53"/>
  <c r="C104" i="53"/>
  <c r="C103" i="53"/>
  <c r="C96" i="53"/>
  <c r="C95" i="53"/>
  <c r="C88" i="53"/>
  <c r="L87" i="53"/>
  <c r="C87" i="53" s="1"/>
  <c r="J86" i="53"/>
  <c r="L86" i="53" s="1"/>
  <c r="O83" i="53"/>
  <c r="H78" i="53"/>
  <c r="H55" i="53" s="1"/>
  <c r="C64" i="53"/>
  <c r="C63" i="53"/>
  <c r="L58" i="53"/>
  <c r="E24" i="53"/>
  <c r="L238" i="54"/>
  <c r="C238" i="54" s="1"/>
  <c r="J234" i="54"/>
  <c r="F208" i="54"/>
  <c r="C208" i="54" s="1"/>
  <c r="D207" i="54"/>
  <c r="F207" i="54" s="1"/>
  <c r="O208" i="53"/>
  <c r="C208" i="53" s="1"/>
  <c r="M207" i="53"/>
  <c r="O207" i="53" s="1"/>
  <c r="M176" i="53"/>
  <c r="O176" i="53" s="1"/>
  <c r="I70" i="53"/>
  <c r="I58" i="53"/>
  <c r="C58" i="53" s="1"/>
  <c r="G57" i="53"/>
  <c r="C230" i="54"/>
  <c r="F274" i="53"/>
  <c r="C274" i="53" s="1"/>
  <c r="L236" i="53"/>
  <c r="C236" i="53" s="1"/>
  <c r="H234" i="53"/>
  <c r="H233" i="53" s="1"/>
  <c r="H287" i="53" s="1"/>
  <c r="D234" i="53"/>
  <c r="C227" i="53"/>
  <c r="D199" i="53"/>
  <c r="F201" i="53"/>
  <c r="G198" i="53"/>
  <c r="L195" i="53"/>
  <c r="J194" i="53"/>
  <c r="L194" i="53" s="1"/>
  <c r="C195" i="53"/>
  <c r="H190" i="53"/>
  <c r="D190" i="53"/>
  <c r="C187" i="53"/>
  <c r="N176" i="53"/>
  <c r="F177" i="53"/>
  <c r="D176" i="53"/>
  <c r="F176" i="53" s="1"/>
  <c r="C171" i="53"/>
  <c r="C144" i="53"/>
  <c r="C135" i="53"/>
  <c r="K133" i="53"/>
  <c r="K78" i="53" s="1"/>
  <c r="K55" i="53" s="1"/>
  <c r="K54" i="53" s="1"/>
  <c r="C125" i="53"/>
  <c r="C107" i="53"/>
  <c r="C99" i="53"/>
  <c r="N86" i="53"/>
  <c r="N78" i="53" s="1"/>
  <c r="N55" i="53" s="1"/>
  <c r="E86" i="53"/>
  <c r="F86" i="53" s="1"/>
  <c r="G86" i="53"/>
  <c r="I86" i="53" s="1"/>
  <c r="J79" i="53"/>
  <c r="G78" i="53"/>
  <c r="I78" i="53" s="1"/>
  <c r="M70" i="53"/>
  <c r="O70" i="53" s="1"/>
  <c r="O72" i="53"/>
  <c r="F70" i="53"/>
  <c r="C71" i="53"/>
  <c r="L70" i="53"/>
  <c r="D57" i="53"/>
  <c r="L262" i="54"/>
  <c r="J261" i="54"/>
  <c r="L261" i="54" s="1"/>
  <c r="C262" i="54"/>
  <c r="F46" i="53"/>
  <c r="C46" i="53" s="1"/>
  <c r="C299" i="54"/>
  <c r="F291" i="54"/>
  <c r="L290" i="54"/>
  <c r="J289" i="54"/>
  <c r="L289" i="54" s="1"/>
  <c r="F284" i="54"/>
  <c r="C284" i="54" s="1"/>
  <c r="D290" i="54"/>
  <c r="C283" i="54"/>
  <c r="O272" i="54"/>
  <c r="F272" i="54"/>
  <c r="D271" i="54"/>
  <c r="F271" i="54" s="1"/>
  <c r="C267" i="54"/>
  <c r="N261" i="54"/>
  <c r="N233" i="54" s="1"/>
  <c r="N287" i="54" s="1"/>
  <c r="I261" i="54"/>
  <c r="C261" i="54" s="1"/>
  <c r="O255" i="54"/>
  <c r="M254" i="54"/>
  <c r="O254" i="54" s="1"/>
  <c r="F255" i="54"/>
  <c r="C251" i="54"/>
  <c r="C243" i="54"/>
  <c r="E233" i="54"/>
  <c r="D234" i="54"/>
  <c r="F236" i="54"/>
  <c r="C235" i="54"/>
  <c r="L201" i="54"/>
  <c r="K199" i="54"/>
  <c r="M176" i="54"/>
  <c r="O177" i="54"/>
  <c r="D207" i="53"/>
  <c r="F207" i="53" s="1"/>
  <c r="C207" i="53" s="1"/>
  <c r="M198" i="53"/>
  <c r="M194" i="53"/>
  <c r="O194" i="53" s="1"/>
  <c r="M190" i="53"/>
  <c r="O190" i="53" s="1"/>
  <c r="J177" i="53"/>
  <c r="G168" i="53"/>
  <c r="I168" i="53" s="1"/>
  <c r="J133" i="53"/>
  <c r="L133" i="53" s="1"/>
  <c r="M86" i="53"/>
  <c r="D79" i="53"/>
  <c r="J57" i="53"/>
  <c r="C26" i="53"/>
  <c r="O24" i="53"/>
  <c r="I25" i="53"/>
  <c r="C25" i="53" s="1"/>
  <c r="C290" i="53" s="1"/>
  <c r="C289" i="53" s="1"/>
  <c r="G24" i="53"/>
  <c r="I24" i="53" s="1"/>
  <c r="C295" i="54"/>
  <c r="C294" i="54"/>
  <c r="C286" i="54"/>
  <c r="H290" i="54"/>
  <c r="I272" i="54"/>
  <c r="G271" i="54"/>
  <c r="M271" i="54"/>
  <c r="C259" i="54"/>
  <c r="C258" i="54"/>
  <c r="H233" i="54"/>
  <c r="O195" i="54"/>
  <c r="M194" i="54"/>
  <c r="O194" i="54" s="1"/>
  <c r="I169" i="54"/>
  <c r="C169" i="54" s="1"/>
  <c r="G168" i="54"/>
  <c r="I168" i="54" s="1"/>
  <c r="I201" i="53"/>
  <c r="F72" i="53"/>
  <c r="C72" i="53" s="1"/>
  <c r="J30" i="53"/>
  <c r="C27" i="53"/>
  <c r="K24" i="53"/>
  <c r="C291" i="54"/>
  <c r="O290" i="54"/>
  <c r="I284" i="54"/>
  <c r="O282" i="54"/>
  <c r="C282" i="54" s="1"/>
  <c r="C275" i="54"/>
  <c r="J272" i="54"/>
  <c r="L274" i="54"/>
  <c r="C274" i="54"/>
  <c r="O266" i="54"/>
  <c r="C266" i="54" s="1"/>
  <c r="I254" i="54"/>
  <c r="L254" i="54"/>
  <c r="G234" i="54"/>
  <c r="D70" i="54"/>
  <c r="F70" i="54" s="1"/>
  <c r="F72" i="54"/>
  <c r="M234" i="54"/>
  <c r="C227" i="54"/>
  <c r="C220" i="54"/>
  <c r="J207" i="54"/>
  <c r="L219" i="54"/>
  <c r="C219" i="54" s="1"/>
  <c r="C215" i="54"/>
  <c r="I208" i="54"/>
  <c r="H207" i="54"/>
  <c r="H198" i="54" s="1"/>
  <c r="H197" i="54" s="1"/>
  <c r="M207" i="54"/>
  <c r="M198" i="54" s="1"/>
  <c r="F199" i="54"/>
  <c r="D198" i="54"/>
  <c r="L199" i="54"/>
  <c r="F191" i="54"/>
  <c r="C171" i="54"/>
  <c r="L169" i="54"/>
  <c r="K168" i="54"/>
  <c r="L168" i="54" s="1"/>
  <c r="C163" i="54"/>
  <c r="G78" i="54"/>
  <c r="J24" i="53"/>
  <c r="L24" i="53" s="1"/>
  <c r="M289" i="54"/>
  <c r="O289" i="54" s="1"/>
  <c r="M261" i="54"/>
  <c r="O261" i="54" s="1"/>
  <c r="D254" i="54"/>
  <c r="F254" i="54" s="1"/>
  <c r="C254" i="54" s="1"/>
  <c r="N207" i="54"/>
  <c r="N198" i="54" s="1"/>
  <c r="C211" i="54"/>
  <c r="G207" i="54"/>
  <c r="F195" i="54"/>
  <c r="C195" i="54" s="1"/>
  <c r="E194" i="54"/>
  <c r="F194" i="54" s="1"/>
  <c r="C194" i="54" s="1"/>
  <c r="D190" i="54"/>
  <c r="C187" i="54"/>
  <c r="C179" i="54"/>
  <c r="L178" i="54"/>
  <c r="C178" i="54" s="1"/>
  <c r="J177" i="54"/>
  <c r="E176" i="54"/>
  <c r="F176" i="54" s="1"/>
  <c r="C151" i="54"/>
  <c r="L134" i="54"/>
  <c r="J133" i="54"/>
  <c r="L133" i="54" s="1"/>
  <c r="E133" i="54"/>
  <c r="L98" i="54"/>
  <c r="J86" i="54"/>
  <c r="L86" i="54" s="1"/>
  <c r="I61" i="54"/>
  <c r="G57" i="54"/>
  <c r="L58" i="54"/>
  <c r="C58" i="54" s="1"/>
  <c r="J57" i="54"/>
  <c r="J24" i="54"/>
  <c r="F25" i="54"/>
  <c r="O274" i="54"/>
  <c r="I236" i="54"/>
  <c r="C224" i="54"/>
  <c r="C223" i="54"/>
  <c r="O219" i="54"/>
  <c r="K207" i="54"/>
  <c r="G199" i="54"/>
  <c r="I201" i="54"/>
  <c r="E198" i="54"/>
  <c r="E197" i="54" s="1"/>
  <c r="I190" i="54"/>
  <c r="O191" i="54"/>
  <c r="M190" i="54"/>
  <c r="O190" i="54" s="1"/>
  <c r="H190" i="54"/>
  <c r="C182" i="54"/>
  <c r="O178" i="54"/>
  <c r="N177" i="54"/>
  <c r="N176" i="54" s="1"/>
  <c r="I177" i="54"/>
  <c r="G176" i="54"/>
  <c r="I176" i="54" s="1"/>
  <c r="C154" i="54"/>
  <c r="C147" i="54"/>
  <c r="F201" i="54"/>
  <c r="C201" i="54" s="1"/>
  <c r="I194" i="54"/>
  <c r="N133" i="54"/>
  <c r="N78" i="54" s="1"/>
  <c r="O134" i="54"/>
  <c r="H133" i="54"/>
  <c r="I133" i="54" s="1"/>
  <c r="D133" i="54"/>
  <c r="F133" i="54" s="1"/>
  <c r="C107" i="54"/>
  <c r="O87" i="54"/>
  <c r="M86" i="54"/>
  <c r="O86" i="54" s="1"/>
  <c r="E78" i="54"/>
  <c r="C75" i="54"/>
  <c r="C63" i="54"/>
  <c r="N56" i="54"/>
  <c r="E56" i="54"/>
  <c r="O24" i="54"/>
  <c r="M133" i="54"/>
  <c r="O133" i="54" s="1"/>
  <c r="C102" i="54"/>
  <c r="O98" i="54"/>
  <c r="C98" i="54" s="1"/>
  <c r="C92" i="54"/>
  <c r="C91" i="54"/>
  <c r="C90" i="54"/>
  <c r="H86" i="54"/>
  <c r="L79" i="54"/>
  <c r="F80" i="54"/>
  <c r="C80" i="54" s="1"/>
  <c r="D79" i="54"/>
  <c r="I70" i="54"/>
  <c r="L61" i="54"/>
  <c r="M56" i="54"/>
  <c r="F57" i="54"/>
  <c r="F46" i="54"/>
  <c r="C46" i="54" s="1"/>
  <c r="C139" i="54"/>
  <c r="C134" i="54"/>
  <c r="C131" i="54"/>
  <c r="C119" i="54"/>
  <c r="C115" i="54"/>
  <c r="C114" i="54"/>
  <c r="C94" i="54"/>
  <c r="K86" i="54"/>
  <c r="K78" i="54" s="1"/>
  <c r="K55" i="54" s="1"/>
  <c r="G86" i="54"/>
  <c r="I86" i="54" s="1"/>
  <c r="C86" i="54" s="1"/>
  <c r="F83" i="54"/>
  <c r="C83" i="54" s="1"/>
  <c r="C82" i="54"/>
  <c r="M79" i="54"/>
  <c r="J78" i="54"/>
  <c r="C66" i="54"/>
  <c r="O57" i="54"/>
  <c r="K30" i="54"/>
  <c r="K24" i="54"/>
  <c r="F87" i="54"/>
  <c r="C87" i="54" s="1"/>
  <c r="I80" i="54"/>
  <c r="I72" i="54"/>
  <c r="O58" i="54"/>
  <c r="I25" i="54"/>
  <c r="G144" i="52"/>
  <c r="F144" i="52"/>
  <c r="E144" i="52"/>
  <c r="C176" i="54" l="1"/>
  <c r="O198" i="54"/>
  <c r="N54" i="53"/>
  <c r="K53" i="53"/>
  <c r="K288" i="53"/>
  <c r="L78" i="54"/>
  <c r="L24" i="54"/>
  <c r="O234" i="54"/>
  <c r="M233" i="54"/>
  <c r="O233" i="54" s="1"/>
  <c r="D78" i="53"/>
  <c r="F79" i="53"/>
  <c r="M233" i="53"/>
  <c r="O233" i="53" s="1"/>
  <c r="O234" i="53"/>
  <c r="C194" i="53"/>
  <c r="L234" i="53"/>
  <c r="J233" i="53"/>
  <c r="O56" i="53"/>
  <c r="O79" i="54"/>
  <c r="M78" i="54"/>
  <c r="O78" i="54" s="1"/>
  <c r="I57" i="54"/>
  <c r="G56" i="54"/>
  <c r="N197" i="54"/>
  <c r="F198" i="54"/>
  <c r="L207" i="54"/>
  <c r="J198" i="54"/>
  <c r="C72" i="54"/>
  <c r="O86" i="53"/>
  <c r="C86" i="53" s="1"/>
  <c r="D56" i="54"/>
  <c r="O176" i="54"/>
  <c r="C236" i="54"/>
  <c r="C70" i="53"/>
  <c r="L79" i="53"/>
  <c r="J78" i="53"/>
  <c r="L78" i="53" s="1"/>
  <c r="F190" i="53"/>
  <c r="E197" i="53"/>
  <c r="O79" i="53"/>
  <c r="M78" i="53"/>
  <c r="O78" i="53" s="1"/>
  <c r="J190" i="53"/>
  <c r="L190" i="53" s="1"/>
  <c r="H197" i="53"/>
  <c r="H54" i="53" s="1"/>
  <c r="M287" i="53"/>
  <c r="O287" i="53" s="1"/>
  <c r="O271" i="53"/>
  <c r="D198" i="53"/>
  <c r="F199" i="53"/>
  <c r="C199" i="53" s="1"/>
  <c r="C178" i="53"/>
  <c r="C133" i="53"/>
  <c r="H78" i="54"/>
  <c r="H55" i="54" s="1"/>
  <c r="H54" i="54" s="1"/>
  <c r="C61" i="54"/>
  <c r="L30" i="54"/>
  <c r="C30" i="54" s="1"/>
  <c r="E190" i="54"/>
  <c r="E287" i="54" s="1"/>
  <c r="C70" i="54"/>
  <c r="J271" i="54"/>
  <c r="L272" i="54"/>
  <c r="C272" i="54" s="1"/>
  <c r="O271" i="54"/>
  <c r="M287" i="54"/>
  <c r="O287" i="54" s="1"/>
  <c r="K198" i="54"/>
  <c r="D233" i="54"/>
  <c r="F233" i="54" s="1"/>
  <c r="F234" i="54"/>
  <c r="C255" i="54"/>
  <c r="F57" i="53"/>
  <c r="D56" i="53"/>
  <c r="I198" i="53"/>
  <c r="F234" i="53"/>
  <c r="C234" i="53" s="1"/>
  <c r="D233" i="53"/>
  <c r="F233" i="53" s="1"/>
  <c r="E78" i="53"/>
  <c r="E55" i="53" s="1"/>
  <c r="E54" i="53" s="1"/>
  <c r="L234" i="54"/>
  <c r="J233" i="54"/>
  <c r="L233" i="54" s="1"/>
  <c r="J198" i="53"/>
  <c r="G289" i="53"/>
  <c r="I289" i="53" s="1"/>
  <c r="I290" i="53"/>
  <c r="C254" i="53"/>
  <c r="K287" i="53"/>
  <c r="N197" i="53"/>
  <c r="C272" i="53"/>
  <c r="O56" i="54"/>
  <c r="M55" i="54"/>
  <c r="I234" i="54"/>
  <c r="G233" i="54"/>
  <c r="I233" i="54" s="1"/>
  <c r="J176" i="53"/>
  <c r="L176" i="53" s="1"/>
  <c r="L177" i="53"/>
  <c r="D78" i="54"/>
  <c r="F78" i="54" s="1"/>
  <c r="F79" i="54"/>
  <c r="C79" i="54" s="1"/>
  <c r="N55" i="54"/>
  <c r="N54" i="54" s="1"/>
  <c r="C133" i="54"/>
  <c r="G198" i="54"/>
  <c r="I199" i="54"/>
  <c r="C199" i="54" s="1"/>
  <c r="C25" i="54"/>
  <c r="C290" i="54" s="1"/>
  <c r="C289" i="54" s="1"/>
  <c r="J56" i="54"/>
  <c r="L57" i="54"/>
  <c r="C57" i="54" s="1"/>
  <c r="L177" i="54"/>
  <c r="C177" i="54" s="1"/>
  <c r="J176" i="54"/>
  <c r="L176" i="54" s="1"/>
  <c r="F190" i="54"/>
  <c r="C190" i="54" s="1"/>
  <c r="I207" i="54"/>
  <c r="C207" i="54" s="1"/>
  <c r="C191" i="54"/>
  <c r="O207" i="54"/>
  <c r="L30" i="53"/>
  <c r="C30" i="53" s="1"/>
  <c r="I271" i="54"/>
  <c r="H289" i="54"/>
  <c r="I289" i="54" s="1"/>
  <c r="I290" i="54"/>
  <c r="J56" i="53"/>
  <c r="L57" i="53"/>
  <c r="M197" i="53"/>
  <c r="O197" i="53" s="1"/>
  <c r="O198" i="53"/>
  <c r="D289" i="54"/>
  <c r="F289" i="54" s="1"/>
  <c r="F290" i="54"/>
  <c r="C201" i="53"/>
  <c r="I57" i="53"/>
  <c r="G56" i="53"/>
  <c r="I190" i="53"/>
  <c r="I177" i="53"/>
  <c r="C177" i="53" s="1"/>
  <c r="G176" i="53"/>
  <c r="I176" i="53" s="1"/>
  <c r="C176" i="53" s="1"/>
  <c r="I234" i="53"/>
  <c r="G233" i="53"/>
  <c r="I233" i="53" s="1"/>
  <c r="F271" i="53"/>
  <c r="C271" i="53" s="1"/>
  <c r="G269" i="52"/>
  <c r="G268" i="52"/>
  <c r="F268" i="52"/>
  <c r="E268" i="52"/>
  <c r="E261" i="52"/>
  <c r="G261" i="52" s="1"/>
  <c r="G260" i="52" s="1"/>
  <c r="F260" i="52"/>
  <c r="G259" i="52"/>
  <c r="G258" i="52"/>
  <c r="G257" i="52"/>
  <c r="G256" i="52"/>
  <c r="G255" i="52"/>
  <c r="G254" i="52"/>
  <c r="G253" i="52"/>
  <c r="E252" i="52"/>
  <c r="G252" i="52" s="1"/>
  <c r="G251" i="52"/>
  <c r="G250" i="52"/>
  <c r="G249" i="52"/>
  <c r="G248" i="52"/>
  <c r="G247" i="52"/>
  <c r="G246" i="52"/>
  <c r="G245" i="52"/>
  <c r="G244" i="52"/>
  <c r="G243" i="52"/>
  <c r="G242" i="52"/>
  <c r="G241" i="52"/>
  <c r="G240" i="52"/>
  <c r="G239" i="52"/>
  <c r="G238" i="52"/>
  <c r="G237" i="52"/>
  <c r="G236" i="52"/>
  <c r="G235" i="52"/>
  <c r="G234" i="52"/>
  <c r="G233" i="52"/>
  <c r="G232" i="52"/>
  <c r="G231" i="52"/>
  <c r="G230" i="52"/>
  <c r="G229" i="52"/>
  <c r="G228" i="52"/>
  <c r="G227" i="52"/>
  <c r="G226" i="52"/>
  <c r="G225" i="52"/>
  <c r="G224" i="52"/>
  <c r="G223" i="52"/>
  <c r="G222" i="52"/>
  <c r="G221" i="52"/>
  <c r="G220" i="52"/>
  <c r="G219" i="52"/>
  <c r="G218" i="52"/>
  <c r="G217" i="52"/>
  <c r="G216" i="52"/>
  <c r="G215" i="52"/>
  <c r="G214" i="52"/>
  <c r="G213" i="52"/>
  <c r="G212" i="52"/>
  <c r="G211" i="52"/>
  <c r="G210" i="52"/>
  <c r="G209" i="52"/>
  <c r="G208" i="52"/>
  <c r="G207" i="52"/>
  <c r="G206" i="52"/>
  <c r="G205" i="52"/>
  <c r="G204" i="52"/>
  <c r="G203" i="52"/>
  <c r="G202" i="52"/>
  <c r="G201" i="52"/>
  <c r="G200" i="52"/>
  <c r="G199" i="52"/>
  <c r="G198" i="52"/>
  <c r="G197" i="52"/>
  <c r="G196" i="52"/>
  <c r="G195" i="52"/>
  <c r="G194" i="52"/>
  <c r="E194" i="52"/>
  <c r="G193" i="52"/>
  <c r="G192" i="52"/>
  <c r="E192" i="52"/>
  <c r="E191" i="52"/>
  <c r="G191" i="52" s="1"/>
  <c r="G190" i="52"/>
  <c r="G189" i="52"/>
  <c r="E189" i="52"/>
  <c r="G188" i="52"/>
  <c r="G187" i="52"/>
  <c r="G186" i="52"/>
  <c r="G185" i="52"/>
  <c r="G184" i="52"/>
  <c r="G183" i="52"/>
  <c r="G182" i="52" s="1"/>
  <c r="F182" i="52"/>
  <c r="E182" i="52"/>
  <c r="G181" i="52"/>
  <c r="G180" i="52" s="1"/>
  <c r="F180" i="52"/>
  <c r="E180" i="52"/>
  <c r="G179" i="52"/>
  <c r="G176" i="52" s="1"/>
  <c r="G178" i="52"/>
  <c r="G177" i="52"/>
  <c r="F176" i="52"/>
  <c r="E176" i="52"/>
  <c r="G175" i="52"/>
  <c r="G174" i="52"/>
  <c r="G173" i="52"/>
  <c r="F173" i="52"/>
  <c r="E173" i="52"/>
  <c r="G172" i="52"/>
  <c r="G171" i="52"/>
  <c r="F171" i="52"/>
  <c r="E171" i="52"/>
  <c r="G170" i="52"/>
  <c r="G169" i="52"/>
  <c r="G168" i="52" s="1"/>
  <c r="F168" i="52"/>
  <c r="E168" i="52"/>
  <c r="G167" i="52"/>
  <c r="G164" i="52" s="1"/>
  <c r="G166" i="52"/>
  <c r="G165" i="52"/>
  <c r="F164" i="52"/>
  <c r="E164" i="52"/>
  <c r="G163" i="52"/>
  <c r="G162" i="52"/>
  <c r="G161" i="52"/>
  <c r="G160" i="52"/>
  <c r="G159" i="52"/>
  <c r="G158" i="52"/>
  <c r="G157" i="52"/>
  <c r="G156" i="52"/>
  <c r="G155" i="52"/>
  <c r="G154" i="52"/>
  <c r="G153" i="52"/>
  <c r="G152" i="52"/>
  <c r="G151" i="52"/>
  <c r="G150" i="52"/>
  <c r="G149" i="52"/>
  <c r="E149" i="52"/>
  <c r="G148" i="52"/>
  <c r="G147" i="52"/>
  <c r="G146" i="52"/>
  <c r="G145" i="52"/>
  <c r="G143" i="52"/>
  <c r="G142" i="52"/>
  <c r="G141" i="52"/>
  <c r="G140" i="52"/>
  <c r="G139" i="52" s="1"/>
  <c r="F139" i="52"/>
  <c r="E139" i="52"/>
  <c r="G138" i="52"/>
  <c r="G137" i="52"/>
  <c r="G136" i="52"/>
  <c r="G135" i="52"/>
  <c r="G134" i="52"/>
  <c r="G132" i="52" s="1"/>
  <c r="G133" i="52"/>
  <c r="F132" i="52"/>
  <c r="E132" i="52"/>
  <c r="E131" i="52"/>
  <c r="G131" i="52" s="1"/>
  <c r="G129" i="52" s="1"/>
  <c r="G130" i="52"/>
  <c r="F129" i="52"/>
  <c r="E129" i="52"/>
  <c r="E128" i="52"/>
  <c r="G128" i="52" s="1"/>
  <c r="G127" i="52"/>
  <c r="E127" i="52"/>
  <c r="E126" i="52"/>
  <c r="G126" i="52" s="1"/>
  <c r="G125" i="52"/>
  <c r="E125" i="52"/>
  <c r="F124" i="52"/>
  <c r="G123" i="52"/>
  <c r="G122" i="52"/>
  <c r="G121" i="52"/>
  <c r="G120" i="52"/>
  <c r="G119" i="52" s="1"/>
  <c r="F119" i="52"/>
  <c r="E119" i="52"/>
  <c r="G118" i="52"/>
  <c r="G117" i="52"/>
  <c r="G116" i="52"/>
  <c r="G115" i="52"/>
  <c r="G114" i="52" s="1"/>
  <c r="F114" i="52"/>
  <c r="E114" i="52"/>
  <c r="G113" i="52"/>
  <c r="G112" i="52" s="1"/>
  <c r="F112" i="52"/>
  <c r="E112" i="52"/>
  <c r="G111" i="52"/>
  <c r="G110" i="52"/>
  <c r="E109" i="52"/>
  <c r="G109" i="52" s="1"/>
  <c r="G108" i="52"/>
  <c r="G107" i="52"/>
  <c r="F106" i="52"/>
  <c r="E106" i="52"/>
  <c r="G105" i="52"/>
  <c r="G104" i="52"/>
  <c r="G103" i="52"/>
  <c r="G102" i="52"/>
  <c r="G101" i="52"/>
  <c r="G100" i="52"/>
  <c r="G99" i="52"/>
  <c r="G98" i="52"/>
  <c r="G97" i="52"/>
  <c r="G96" i="52"/>
  <c r="G95" i="52"/>
  <c r="G94" i="52"/>
  <c r="G93" i="52"/>
  <c r="G92" i="52"/>
  <c r="G91" i="52" s="1"/>
  <c r="F91" i="52"/>
  <c r="E91" i="52"/>
  <c r="G90" i="52"/>
  <c r="G89" i="52"/>
  <c r="G88" i="52"/>
  <c r="G87" i="52"/>
  <c r="G86" i="52"/>
  <c r="G85" i="52"/>
  <c r="G84" i="52"/>
  <c r="G83" i="52"/>
  <c r="G82" i="52"/>
  <c r="G81" i="52" s="1"/>
  <c r="F81" i="52"/>
  <c r="E81" i="52"/>
  <c r="G80" i="52"/>
  <c r="G79" i="52"/>
  <c r="G78" i="52"/>
  <c r="G77" i="52"/>
  <c r="G76" i="52"/>
  <c r="G75" i="52"/>
  <c r="G74" i="52"/>
  <c r="G73" i="52"/>
  <c r="G72" i="52"/>
  <c r="G71" i="52"/>
  <c r="G70" i="52"/>
  <c r="G69" i="52"/>
  <c r="G68" i="52"/>
  <c r="G67" i="52"/>
  <c r="G66" i="52"/>
  <c r="G65" i="52" s="1"/>
  <c r="F65" i="52"/>
  <c r="E65" i="52"/>
  <c r="G64" i="52"/>
  <c r="G63" i="52"/>
  <c r="G62" i="52"/>
  <c r="G61" i="52"/>
  <c r="G60" i="52"/>
  <c r="G59" i="52"/>
  <c r="G58" i="52"/>
  <c r="G57" i="52"/>
  <c r="G56" i="52"/>
  <c r="G55" i="52"/>
  <c r="G54" i="52"/>
  <c r="G53" i="52" s="1"/>
  <c r="F53" i="52"/>
  <c r="E53" i="52"/>
  <c r="G52" i="52"/>
  <c r="G51" i="52"/>
  <c r="G50" i="52"/>
  <c r="G49" i="52"/>
  <c r="G48" i="52"/>
  <c r="G47" i="52"/>
  <c r="G46" i="52"/>
  <c r="G45" i="52" s="1"/>
  <c r="F45" i="52"/>
  <c r="E45" i="52"/>
  <c r="G44" i="52"/>
  <c r="G43" i="52"/>
  <c r="G42" i="52"/>
  <c r="G41" i="52"/>
  <c r="G40" i="52"/>
  <c r="G38" i="52" s="1"/>
  <c r="G39" i="52"/>
  <c r="F38" i="52"/>
  <c r="E38" i="52"/>
  <c r="G37" i="52"/>
  <c r="G36" i="52"/>
  <c r="G35" i="52" s="1"/>
  <c r="F35" i="52"/>
  <c r="F14" i="52" s="1"/>
  <c r="F13" i="52" s="1"/>
  <c r="E35" i="52"/>
  <c r="G34" i="52"/>
  <c r="G33" i="52"/>
  <c r="G32" i="52"/>
  <c r="G31" i="52"/>
  <c r="G30" i="52"/>
  <c r="G29" i="52"/>
  <c r="G28" i="52"/>
  <c r="G27" i="52" s="1"/>
  <c r="F27" i="52"/>
  <c r="E27" i="52"/>
  <c r="G23" i="52"/>
  <c r="G22" i="52"/>
  <c r="G21" i="52"/>
  <c r="G20" i="52"/>
  <c r="G19" i="52"/>
  <c r="E19" i="52"/>
  <c r="G18" i="52"/>
  <c r="E18" i="52"/>
  <c r="G17" i="52"/>
  <c r="G15" i="52" s="1"/>
  <c r="G16" i="52"/>
  <c r="F15" i="52"/>
  <c r="E15" i="52"/>
  <c r="O296" i="51"/>
  <c r="L296" i="51"/>
  <c r="C296" i="51" s="1"/>
  <c r="I296" i="51"/>
  <c r="F296" i="51"/>
  <c r="O295" i="51"/>
  <c r="L295" i="51"/>
  <c r="I295" i="51"/>
  <c r="F295" i="51"/>
  <c r="C295" i="51"/>
  <c r="O294" i="51"/>
  <c r="L294" i="51"/>
  <c r="I294" i="51"/>
  <c r="F294" i="51"/>
  <c r="C294" i="51" s="1"/>
  <c r="O293" i="51"/>
  <c r="L293" i="51"/>
  <c r="I293" i="51"/>
  <c r="F293" i="51"/>
  <c r="C293" i="51" s="1"/>
  <c r="O292" i="51"/>
  <c r="L292" i="51"/>
  <c r="C292" i="51" s="1"/>
  <c r="I292" i="51"/>
  <c r="F292" i="51"/>
  <c r="O291" i="51"/>
  <c r="L291" i="51"/>
  <c r="I291" i="51"/>
  <c r="F291" i="51"/>
  <c r="C291" i="51"/>
  <c r="O290" i="51"/>
  <c r="L290" i="51"/>
  <c r="I290" i="51"/>
  <c r="F290" i="51"/>
  <c r="C290" i="51" s="1"/>
  <c r="O289" i="51"/>
  <c r="L289" i="51"/>
  <c r="I289" i="51"/>
  <c r="F289" i="51"/>
  <c r="C289" i="51" s="1"/>
  <c r="N288" i="51"/>
  <c r="M288" i="51"/>
  <c r="O288" i="51" s="1"/>
  <c r="K288" i="51"/>
  <c r="J288" i="51"/>
  <c r="L288" i="51" s="1"/>
  <c r="H288" i="51"/>
  <c r="G288" i="51"/>
  <c r="I288" i="51" s="1"/>
  <c r="F288" i="51"/>
  <c r="E288" i="51"/>
  <c r="D288" i="51"/>
  <c r="O283" i="51"/>
  <c r="L283" i="51"/>
  <c r="I283" i="51"/>
  <c r="F283" i="51"/>
  <c r="C283" i="51"/>
  <c r="O282" i="51"/>
  <c r="L282" i="51"/>
  <c r="I282" i="51"/>
  <c r="F282" i="51"/>
  <c r="C282" i="51" s="1"/>
  <c r="N281" i="51"/>
  <c r="M281" i="51"/>
  <c r="O281" i="51" s="1"/>
  <c r="K281" i="51"/>
  <c r="J281" i="51"/>
  <c r="I281" i="51"/>
  <c r="H281" i="51"/>
  <c r="G281" i="51"/>
  <c r="E281" i="51"/>
  <c r="D281" i="51"/>
  <c r="O280" i="51"/>
  <c r="L280" i="51"/>
  <c r="I280" i="51"/>
  <c r="F280" i="51"/>
  <c r="C280" i="51" s="1"/>
  <c r="O279" i="51"/>
  <c r="N279" i="51"/>
  <c r="M279" i="51"/>
  <c r="K279" i="51"/>
  <c r="J279" i="51"/>
  <c r="L279" i="51" s="1"/>
  <c r="H279" i="51"/>
  <c r="G279" i="51"/>
  <c r="I279" i="51" s="1"/>
  <c r="C279" i="51" s="1"/>
  <c r="F279" i="51"/>
  <c r="E279" i="51"/>
  <c r="D279" i="51"/>
  <c r="O278" i="51"/>
  <c r="L278" i="51"/>
  <c r="I278" i="51"/>
  <c r="F278" i="51"/>
  <c r="C278" i="51" s="1"/>
  <c r="O277" i="51"/>
  <c r="L277" i="51"/>
  <c r="I277" i="51"/>
  <c r="F277" i="51"/>
  <c r="C277" i="51" s="1"/>
  <c r="O276" i="51"/>
  <c r="L276" i="51"/>
  <c r="I276" i="51"/>
  <c r="F276" i="51"/>
  <c r="C276" i="51" s="1"/>
  <c r="O275" i="51"/>
  <c r="N275" i="51"/>
  <c r="M275" i="51"/>
  <c r="K275" i="51"/>
  <c r="J275" i="51"/>
  <c r="L275" i="51" s="1"/>
  <c r="H275" i="51"/>
  <c r="G275" i="51"/>
  <c r="I275" i="51" s="1"/>
  <c r="F275" i="51"/>
  <c r="E275" i="51"/>
  <c r="D275" i="51"/>
  <c r="O274" i="51"/>
  <c r="L274" i="51"/>
  <c r="I274" i="51"/>
  <c r="F274" i="51"/>
  <c r="C274" i="51"/>
  <c r="O273" i="51"/>
  <c r="L273" i="51"/>
  <c r="I273" i="51"/>
  <c r="F273" i="51"/>
  <c r="C273" i="51" s="1"/>
  <c r="O272" i="51"/>
  <c r="L272" i="51"/>
  <c r="I272" i="51"/>
  <c r="F272" i="51"/>
  <c r="C272" i="51" s="1"/>
  <c r="N271" i="51"/>
  <c r="O271" i="51" s="1"/>
  <c r="M271" i="51"/>
  <c r="K271" i="51"/>
  <c r="J271" i="51"/>
  <c r="L271" i="51" s="1"/>
  <c r="H271" i="51"/>
  <c r="G271" i="51"/>
  <c r="I271" i="51" s="1"/>
  <c r="F271" i="51"/>
  <c r="C271" i="51" s="1"/>
  <c r="E271" i="51"/>
  <c r="D271" i="51"/>
  <c r="O270" i="51"/>
  <c r="L270" i="51"/>
  <c r="I270" i="51"/>
  <c r="F270" i="51"/>
  <c r="C270" i="51"/>
  <c r="N269" i="51"/>
  <c r="M269" i="51"/>
  <c r="O269" i="51" s="1"/>
  <c r="K269" i="51"/>
  <c r="J269" i="51"/>
  <c r="L269" i="51" s="1"/>
  <c r="H269" i="51"/>
  <c r="G269" i="51"/>
  <c r="I269" i="51" s="1"/>
  <c r="E269" i="51"/>
  <c r="D269" i="51"/>
  <c r="F269" i="51" s="1"/>
  <c r="C269" i="51" s="1"/>
  <c r="N268" i="51"/>
  <c r="M268" i="51"/>
  <c r="O268" i="51" s="1"/>
  <c r="K268" i="51"/>
  <c r="J268" i="51"/>
  <c r="L268" i="51" s="1"/>
  <c r="I268" i="51"/>
  <c r="H268" i="51"/>
  <c r="G268" i="51"/>
  <c r="E268" i="51"/>
  <c r="D268" i="51"/>
  <c r="F268" i="51" s="1"/>
  <c r="C268" i="51" s="1"/>
  <c r="O267" i="51"/>
  <c r="L267" i="51"/>
  <c r="I267" i="51"/>
  <c r="F267" i="51"/>
  <c r="C267" i="51" s="1"/>
  <c r="O266" i="51"/>
  <c r="L266" i="51"/>
  <c r="I266" i="51"/>
  <c r="F266" i="51"/>
  <c r="C266" i="51"/>
  <c r="O265" i="51"/>
  <c r="L265" i="51"/>
  <c r="I265" i="51"/>
  <c r="F265" i="51"/>
  <c r="C265" i="51" s="1"/>
  <c r="O264" i="51"/>
  <c r="L264" i="51"/>
  <c r="I264" i="51"/>
  <c r="C264" i="51" s="1"/>
  <c r="F264" i="51"/>
  <c r="N263" i="51"/>
  <c r="M263" i="51"/>
  <c r="O263" i="51" s="1"/>
  <c r="K263" i="51"/>
  <c r="J263" i="51"/>
  <c r="L263" i="51" s="1"/>
  <c r="H263" i="51"/>
  <c r="G263" i="51"/>
  <c r="I263" i="51" s="1"/>
  <c r="E263" i="51"/>
  <c r="D263" i="51"/>
  <c r="F263" i="51" s="1"/>
  <c r="O262" i="51"/>
  <c r="L262" i="51"/>
  <c r="I262" i="51"/>
  <c r="F262" i="51"/>
  <c r="C262" i="51"/>
  <c r="O261" i="51"/>
  <c r="L261" i="51"/>
  <c r="I261" i="51"/>
  <c r="F261" i="51"/>
  <c r="C261" i="51" s="1"/>
  <c r="O260" i="51"/>
  <c r="L260" i="51"/>
  <c r="I260" i="51"/>
  <c r="F260" i="51"/>
  <c r="C260" i="51" s="1"/>
  <c r="N259" i="51"/>
  <c r="M259" i="51"/>
  <c r="O259" i="51" s="1"/>
  <c r="K259" i="51"/>
  <c r="J259" i="51"/>
  <c r="L259" i="51" s="1"/>
  <c r="H259" i="51"/>
  <c r="G259" i="51"/>
  <c r="I259" i="51" s="1"/>
  <c r="F259" i="51"/>
  <c r="E259" i="51"/>
  <c r="D259" i="51"/>
  <c r="N258" i="51"/>
  <c r="O258" i="51" s="1"/>
  <c r="M258" i="51"/>
  <c r="K258" i="51"/>
  <c r="J258" i="51"/>
  <c r="L258" i="51" s="1"/>
  <c r="H258" i="51"/>
  <c r="G258" i="51"/>
  <c r="I258" i="51" s="1"/>
  <c r="E258" i="51"/>
  <c r="D258" i="51"/>
  <c r="F258" i="51" s="1"/>
  <c r="O257" i="51"/>
  <c r="L257" i="51"/>
  <c r="I257" i="51"/>
  <c r="F257" i="51"/>
  <c r="C257" i="51" s="1"/>
  <c r="O256" i="51"/>
  <c r="L256" i="51"/>
  <c r="I256" i="51"/>
  <c r="F256" i="51"/>
  <c r="C256" i="51" s="1"/>
  <c r="O255" i="51"/>
  <c r="L255" i="51"/>
  <c r="I255" i="51"/>
  <c r="F255" i="51"/>
  <c r="C255" i="51"/>
  <c r="O254" i="51"/>
  <c r="L254" i="51"/>
  <c r="I254" i="51"/>
  <c r="F254" i="51"/>
  <c r="C254" i="51" s="1"/>
  <c r="O253" i="51"/>
  <c r="L253" i="51"/>
  <c r="I253" i="51"/>
  <c r="F253" i="51"/>
  <c r="C253" i="51" s="1"/>
  <c r="N252" i="51"/>
  <c r="M252" i="51"/>
  <c r="O252" i="51" s="1"/>
  <c r="K252" i="51"/>
  <c r="J252" i="51"/>
  <c r="L252" i="51" s="1"/>
  <c r="H252" i="51"/>
  <c r="I252" i="51" s="1"/>
  <c r="G252" i="51"/>
  <c r="E252" i="51"/>
  <c r="D252" i="51"/>
  <c r="F252" i="51" s="1"/>
  <c r="C252" i="51" s="1"/>
  <c r="N251" i="51"/>
  <c r="M251" i="51"/>
  <c r="O251" i="51" s="1"/>
  <c r="K251" i="51"/>
  <c r="J251" i="51"/>
  <c r="L251" i="51" s="1"/>
  <c r="H251" i="51"/>
  <c r="G251" i="51"/>
  <c r="I251" i="51" s="1"/>
  <c r="E251" i="51"/>
  <c r="D251" i="51"/>
  <c r="F251" i="51" s="1"/>
  <c r="C251" i="51" s="1"/>
  <c r="O250" i="51"/>
  <c r="L250" i="51"/>
  <c r="I250" i="51"/>
  <c r="F250" i="51"/>
  <c r="C250" i="51" s="1"/>
  <c r="O249" i="51"/>
  <c r="L249" i="51"/>
  <c r="I249" i="51"/>
  <c r="F249" i="51"/>
  <c r="C249" i="51"/>
  <c r="O248" i="51"/>
  <c r="L248" i="51"/>
  <c r="I248" i="51"/>
  <c r="F248" i="51"/>
  <c r="C248" i="51" s="1"/>
  <c r="O247" i="51"/>
  <c r="L247" i="51"/>
  <c r="I247" i="51"/>
  <c r="C247" i="51" s="1"/>
  <c r="F247" i="51"/>
  <c r="N246" i="51"/>
  <c r="O246" i="51" s="1"/>
  <c r="M246" i="51"/>
  <c r="K246" i="51"/>
  <c r="J246" i="51"/>
  <c r="L246" i="51" s="1"/>
  <c r="H246" i="51"/>
  <c r="G246" i="51"/>
  <c r="I246" i="51" s="1"/>
  <c r="F246" i="51"/>
  <c r="C246" i="51" s="1"/>
  <c r="E246" i="51"/>
  <c r="D246" i="51"/>
  <c r="O245" i="51"/>
  <c r="L245" i="51"/>
  <c r="I245" i="51"/>
  <c r="F245" i="51"/>
  <c r="C245" i="51"/>
  <c r="O244" i="51"/>
  <c r="L244" i="51"/>
  <c r="I244" i="51"/>
  <c r="F244" i="51"/>
  <c r="C244" i="51" s="1"/>
  <c r="O243" i="51"/>
  <c r="L243" i="51"/>
  <c r="I243" i="51"/>
  <c r="C243" i="51" s="1"/>
  <c r="F243" i="51"/>
  <c r="O242" i="51"/>
  <c r="L242" i="51"/>
  <c r="I242" i="51"/>
  <c r="F242" i="51"/>
  <c r="C242" i="51" s="1"/>
  <c r="O241" i="51"/>
  <c r="L241" i="51"/>
  <c r="I241" i="51"/>
  <c r="F241" i="51"/>
  <c r="C241" i="51"/>
  <c r="O240" i="51"/>
  <c r="L240" i="51"/>
  <c r="I240" i="51"/>
  <c r="F240" i="51"/>
  <c r="C240" i="51" s="1"/>
  <c r="O239" i="51"/>
  <c r="L239" i="51"/>
  <c r="I239" i="51"/>
  <c r="C239" i="51" s="1"/>
  <c r="F239" i="51"/>
  <c r="N238" i="51"/>
  <c r="O238" i="51" s="1"/>
  <c r="M238" i="51"/>
  <c r="K238" i="51"/>
  <c r="J238" i="51"/>
  <c r="L238" i="51" s="1"/>
  <c r="H238" i="51"/>
  <c r="G238" i="51"/>
  <c r="I238" i="51" s="1"/>
  <c r="F238" i="51"/>
  <c r="E238" i="51"/>
  <c r="D238" i="51"/>
  <c r="O237" i="51"/>
  <c r="L237" i="51"/>
  <c r="I237" i="51"/>
  <c r="F237" i="51"/>
  <c r="C237" i="51"/>
  <c r="O236" i="51"/>
  <c r="L236" i="51"/>
  <c r="I236" i="51"/>
  <c r="F236" i="51"/>
  <c r="C236" i="51" s="1"/>
  <c r="N235" i="51"/>
  <c r="M235" i="51"/>
  <c r="O235" i="51" s="1"/>
  <c r="K235" i="51"/>
  <c r="J235" i="51"/>
  <c r="L235" i="51" s="1"/>
  <c r="H235" i="51"/>
  <c r="G235" i="51"/>
  <c r="I235" i="51" s="1"/>
  <c r="E235" i="51"/>
  <c r="F235" i="51" s="1"/>
  <c r="D235" i="51"/>
  <c r="O234" i="51"/>
  <c r="L234" i="51"/>
  <c r="I234" i="51"/>
  <c r="F234" i="51"/>
  <c r="C234" i="51" s="1"/>
  <c r="N233" i="51"/>
  <c r="M233" i="51"/>
  <c r="O233" i="51" s="1"/>
  <c r="K233" i="51"/>
  <c r="L233" i="51" s="1"/>
  <c r="J233" i="51"/>
  <c r="H233" i="51"/>
  <c r="G233" i="51"/>
  <c r="I233" i="51" s="1"/>
  <c r="E233" i="51"/>
  <c r="D233" i="51"/>
  <c r="F233" i="51" s="1"/>
  <c r="O232" i="51"/>
  <c r="L232" i="51"/>
  <c r="I232" i="51"/>
  <c r="F232" i="51"/>
  <c r="C232" i="51" s="1"/>
  <c r="N231" i="51"/>
  <c r="M231" i="51"/>
  <c r="O231" i="51" s="1"/>
  <c r="K231" i="51"/>
  <c r="J231" i="51"/>
  <c r="L231" i="51" s="1"/>
  <c r="H231" i="51"/>
  <c r="G231" i="51"/>
  <c r="I231" i="51" s="1"/>
  <c r="F231" i="51"/>
  <c r="E231" i="51"/>
  <c r="D231" i="51"/>
  <c r="N230" i="51"/>
  <c r="O230" i="51" s="1"/>
  <c r="M230" i="51"/>
  <c r="K230" i="51"/>
  <c r="J230" i="51"/>
  <c r="L230" i="51" s="1"/>
  <c r="H230" i="51"/>
  <c r="G230" i="51"/>
  <c r="I230" i="51" s="1"/>
  <c r="E230" i="51"/>
  <c r="D230" i="51"/>
  <c r="F230" i="51" s="1"/>
  <c r="O229" i="51"/>
  <c r="L229" i="51"/>
  <c r="I229" i="51"/>
  <c r="F229" i="51"/>
  <c r="C229" i="51" s="1"/>
  <c r="O228" i="51"/>
  <c r="L228" i="51"/>
  <c r="I228" i="51"/>
  <c r="F228" i="51"/>
  <c r="C228" i="51" s="1"/>
  <c r="N227" i="51"/>
  <c r="M227" i="51"/>
  <c r="O227" i="51" s="1"/>
  <c r="K227" i="51"/>
  <c r="J227" i="51"/>
  <c r="L227" i="51" s="1"/>
  <c r="H227" i="51"/>
  <c r="G227" i="51"/>
  <c r="I227" i="51" s="1"/>
  <c r="F227" i="51"/>
  <c r="E227" i="51"/>
  <c r="D227" i="51"/>
  <c r="O226" i="51"/>
  <c r="L226" i="51"/>
  <c r="I226" i="51"/>
  <c r="F226" i="51"/>
  <c r="C226" i="51"/>
  <c r="O225" i="51"/>
  <c r="L225" i="51"/>
  <c r="I225" i="51"/>
  <c r="F225" i="51"/>
  <c r="C225" i="51" s="1"/>
  <c r="O224" i="51"/>
  <c r="L224" i="51"/>
  <c r="I224" i="51"/>
  <c r="F224" i="51"/>
  <c r="C224" i="51" s="1"/>
  <c r="O223" i="51"/>
  <c r="L223" i="51"/>
  <c r="I223" i="51"/>
  <c r="F223" i="51"/>
  <c r="C223" i="51"/>
  <c r="O222" i="51"/>
  <c r="L222" i="51"/>
  <c r="I222" i="51"/>
  <c r="F222" i="51"/>
  <c r="C222" i="51" s="1"/>
  <c r="O221" i="51"/>
  <c r="L221" i="51"/>
  <c r="I221" i="51"/>
  <c r="F221" i="51"/>
  <c r="C221" i="51" s="1"/>
  <c r="O220" i="51"/>
  <c r="L220" i="51"/>
  <c r="I220" i="51"/>
  <c r="F220" i="51"/>
  <c r="C220" i="51" s="1"/>
  <c r="O219" i="51"/>
  <c r="L219" i="51"/>
  <c r="I219" i="51"/>
  <c r="F219" i="51"/>
  <c r="C219" i="51"/>
  <c r="O218" i="51"/>
  <c r="L218" i="51"/>
  <c r="I218" i="51"/>
  <c r="F218" i="51"/>
  <c r="C218" i="51" s="1"/>
  <c r="O217" i="51"/>
  <c r="L217" i="51"/>
  <c r="I217" i="51"/>
  <c r="F217" i="51"/>
  <c r="C217" i="51"/>
  <c r="N216" i="51"/>
  <c r="M216" i="51"/>
  <c r="O216" i="51" s="1"/>
  <c r="K216" i="51"/>
  <c r="J216" i="51"/>
  <c r="L216" i="51" s="1"/>
  <c r="H216" i="51"/>
  <c r="G216" i="51"/>
  <c r="I216" i="51" s="1"/>
  <c r="E216" i="51"/>
  <c r="D216" i="51"/>
  <c r="F216" i="51" s="1"/>
  <c r="C216" i="51" s="1"/>
  <c r="O215" i="51"/>
  <c r="L215" i="51"/>
  <c r="I215" i="51"/>
  <c r="C215" i="51" s="1"/>
  <c r="F215" i="51"/>
  <c r="O214" i="51"/>
  <c r="L214" i="51"/>
  <c r="I214" i="51"/>
  <c r="F214" i="51"/>
  <c r="C214" i="51" s="1"/>
  <c r="O213" i="51"/>
  <c r="L213" i="51"/>
  <c r="I213" i="51"/>
  <c r="F213" i="51"/>
  <c r="C213" i="51"/>
  <c r="O212" i="51"/>
  <c r="L212" i="51"/>
  <c r="I212" i="51"/>
  <c r="F212" i="51"/>
  <c r="C212" i="51" s="1"/>
  <c r="O211" i="51"/>
  <c r="L211" i="51"/>
  <c r="I211" i="51"/>
  <c r="C211" i="51" s="1"/>
  <c r="F211" i="51"/>
  <c r="O210" i="51"/>
  <c r="L210" i="51"/>
  <c r="I210" i="51"/>
  <c r="F210" i="51"/>
  <c r="C210" i="51" s="1"/>
  <c r="O209" i="51"/>
  <c r="L209" i="51"/>
  <c r="I209" i="51"/>
  <c r="F209" i="51"/>
  <c r="C209" i="51"/>
  <c r="O208" i="51"/>
  <c r="L208" i="51"/>
  <c r="I208" i="51"/>
  <c r="F208" i="51"/>
  <c r="C208" i="51" s="1"/>
  <c r="O207" i="51"/>
  <c r="L207" i="51"/>
  <c r="I207" i="51"/>
  <c r="C207" i="51" s="1"/>
  <c r="F207" i="51"/>
  <c r="O206" i="51"/>
  <c r="L206" i="51"/>
  <c r="I206" i="51"/>
  <c r="F206" i="51"/>
  <c r="C206" i="51" s="1"/>
  <c r="N205" i="51"/>
  <c r="M205" i="51"/>
  <c r="O205" i="51" s="1"/>
  <c r="K205" i="51"/>
  <c r="J205" i="51"/>
  <c r="L205" i="51" s="1"/>
  <c r="H205" i="51"/>
  <c r="G205" i="51"/>
  <c r="I205" i="51" s="1"/>
  <c r="E205" i="51"/>
  <c r="D205" i="51"/>
  <c r="F205" i="51" s="1"/>
  <c r="N204" i="51"/>
  <c r="M204" i="51"/>
  <c r="O204" i="51" s="1"/>
  <c r="K204" i="51"/>
  <c r="J204" i="51"/>
  <c r="L204" i="51" s="1"/>
  <c r="I204" i="51"/>
  <c r="H204" i="51"/>
  <c r="G204" i="51"/>
  <c r="E204" i="51"/>
  <c r="F204" i="51" s="1"/>
  <c r="D204" i="51"/>
  <c r="O203" i="51"/>
  <c r="L203" i="51"/>
  <c r="C203" i="51" s="1"/>
  <c r="I203" i="51"/>
  <c r="F203" i="51"/>
  <c r="O202" i="51"/>
  <c r="L202" i="51"/>
  <c r="I202" i="51"/>
  <c r="F202" i="51"/>
  <c r="C202" i="51"/>
  <c r="O201" i="51"/>
  <c r="L201" i="51"/>
  <c r="I201" i="51"/>
  <c r="F201" i="51"/>
  <c r="C201" i="51" s="1"/>
  <c r="O200" i="51"/>
  <c r="L200" i="51"/>
  <c r="I200" i="51"/>
  <c r="C200" i="51" s="1"/>
  <c r="F200" i="51"/>
  <c r="O199" i="51"/>
  <c r="L199" i="51"/>
  <c r="I199" i="51"/>
  <c r="F199" i="51"/>
  <c r="C199" i="51"/>
  <c r="N198" i="51"/>
  <c r="M198" i="51"/>
  <c r="O198" i="51" s="1"/>
  <c r="K198" i="51"/>
  <c r="L198" i="51" s="1"/>
  <c r="J198" i="51"/>
  <c r="H198" i="51"/>
  <c r="G198" i="51"/>
  <c r="I198" i="51" s="1"/>
  <c r="E198" i="51"/>
  <c r="D198" i="51"/>
  <c r="F198" i="51" s="1"/>
  <c r="O197" i="51"/>
  <c r="L197" i="51"/>
  <c r="I197" i="51"/>
  <c r="F197" i="51"/>
  <c r="C197" i="51" s="1"/>
  <c r="N196" i="51"/>
  <c r="M196" i="51"/>
  <c r="O196" i="51" s="1"/>
  <c r="K196" i="51"/>
  <c r="J196" i="51"/>
  <c r="L196" i="51" s="1"/>
  <c r="H196" i="51"/>
  <c r="G196" i="51"/>
  <c r="I196" i="51" s="1"/>
  <c r="E196" i="51"/>
  <c r="F196" i="51" s="1"/>
  <c r="C196" i="51" s="1"/>
  <c r="D196" i="51"/>
  <c r="N195" i="51"/>
  <c r="O195" i="51" s="1"/>
  <c r="M195" i="51"/>
  <c r="K195" i="51"/>
  <c r="J195" i="51"/>
  <c r="L195" i="51" s="1"/>
  <c r="H195" i="51"/>
  <c r="G195" i="51"/>
  <c r="I195" i="51" s="1"/>
  <c r="C195" i="51" s="1"/>
  <c r="F195" i="51"/>
  <c r="E195" i="51"/>
  <c r="D195" i="51"/>
  <c r="N194" i="51"/>
  <c r="M194" i="51"/>
  <c r="O194" i="51" s="1"/>
  <c r="K194" i="51"/>
  <c r="J194" i="51"/>
  <c r="L194" i="51" s="1"/>
  <c r="H194" i="51"/>
  <c r="G194" i="51"/>
  <c r="I194" i="51" s="1"/>
  <c r="E194" i="51"/>
  <c r="D194" i="51"/>
  <c r="F194" i="51" s="1"/>
  <c r="O193" i="51"/>
  <c r="L193" i="51"/>
  <c r="I193" i="51"/>
  <c r="F193" i="51"/>
  <c r="C193" i="51" s="1"/>
  <c r="N192" i="51"/>
  <c r="M192" i="51"/>
  <c r="M191" i="51" s="1"/>
  <c r="K192" i="51"/>
  <c r="J192" i="51"/>
  <c r="L192" i="51" s="1"/>
  <c r="H192" i="51"/>
  <c r="G192" i="51"/>
  <c r="I192" i="51" s="1"/>
  <c r="F192" i="51"/>
  <c r="E192" i="51"/>
  <c r="E191" i="51" s="1"/>
  <c r="E187" i="51" s="1"/>
  <c r="F187" i="51" s="1"/>
  <c r="D192" i="51"/>
  <c r="N191" i="51"/>
  <c r="K191" i="51"/>
  <c r="J191" i="51"/>
  <c r="L191" i="51" s="1"/>
  <c r="H191" i="51"/>
  <c r="G191" i="51"/>
  <c r="I191" i="51" s="1"/>
  <c r="D191" i="51"/>
  <c r="O190" i="51"/>
  <c r="L190" i="51"/>
  <c r="I190" i="51"/>
  <c r="F190" i="51"/>
  <c r="C190" i="51" s="1"/>
  <c r="O189" i="51"/>
  <c r="L189" i="51"/>
  <c r="I189" i="51"/>
  <c r="F189" i="51"/>
  <c r="C189" i="51" s="1"/>
  <c r="N188" i="51"/>
  <c r="M188" i="51"/>
  <c r="O188" i="51" s="1"/>
  <c r="K188" i="51"/>
  <c r="J188" i="51"/>
  <c r="L188" i="51" s="1"/>
  <c r="H188" i="51"/>
  <c r="G188" i="51"/>
  <c r="I188" i="51" s="1"/>
  <c r="F188" i="51"/>
  <c r="C188" i="51" s="1"/>
  <c r="E188" i="51"/>
  <c r="D188" i="51"/>
  <c r="N187" i="51"/>
  <c r="K187" i="51"/>
  <c r="J187" i="51"/>
  <c r="L187" i="51" s="1"/>
  <c r="H187" i="51"/>
  <c r="G187" i="51"/>
  <c r="I187" i="51" s="1"/>
  <c r="D187" i="51"/>
  <c r="O186" i="51"/>
  <c r="L186" i="51"/>
  <c r="I186" i="51"/>
  <c r="F186" i="51"/>
  <c r="C186" i="51" s="1"/>
  <c r="O185" i="51"/>
  <c r="L185" i="51"/>
  <c r="I185" i="51"/>
  <c r="F185" i="51"/>
  <c r="C185" i="51" s="1"/>
  <c r="N184" i="51"/>
  <c r="M184" i="51"/>
  <c r="O184" i="51" s="1"/>
  <c r="K184" i="51"/>
  <c r="J184" i="51"/>
  <c r="L184" i="51" s="1"/>
  <c r="I184" i="51"/>
  <c r="H184" i="51"/>
  <c r="G184" i="51"/>
  <c r="E184" i="51"/>
  <c r="F184" i="51" s="1"/>
  <c r="C184" i="51" s="1"/>
  <c r="D184" i="51"/>
  <c r="O183" i="51"/>
  <c r="L183" i="51"/>
  <c r="I183" i="51"/>
  <c r="F183" i="51"/>
  <c r="C183" i="51"/>
  <c r="O182" i="51"/>
  <c r="L182" i="51"/>
  <c r="I182" i="51"/>
  <c r="F182" i="51"/>
  <c r="C182" i="51" s="1"/>
  <c r="O181" i="51"/>
  <c r="L181" i="51"/>
  <c r="I181" i="51"/>
  <c r="F181" i="51"/>
  <c r="C181" i="51" s="1"/>
  <c r="O180" i="51"/>
  <c r="L180" i="51"/>
  <c r="I180" i="51"/>
  <c r="C180" i="51" s="1"/>
  <c r="F180" i="51"/>
  <c r="O179" i="51"/>
  <c r="N179" i="51"/>
  <c r="M179" i="51"/>
  <c r="K179" i="51"/>
  <c r="J179" i="51"/>
  <c r="L179" i="51" s="1"/>
  <c r="H179" i="51"/>
  <c r="G179" i="51"/>
  <c r="I179" i="51" s="1"/>
  <c r="F179" i="51"/>
  <c r="E179" i="51"/>
  <c r="D179" i="51"/>
  <c r="O178" i="51"/>
  <c r="L178" i="51"/>
  <c r="I178" i="51"/>
  <c r="F178" i="51"/>
  <c r="C178" i="51" s="1"/>
  <c r="O177" i="51"/>
  <c r="L177" i="51"/>
  <c r="I177" i="51"/>
  <c r="F177" i="51"/>
  <c r="C177" i="51" s="1"/>
  <c r="O176" i="51"/>
  <c r="L176" i="51"/>
  <c r="I176" i="51"/>
  <c r="F176" i="51"/>
  <c r="N175" i="51"/>
  <c r="O175" i="51" s="1"/>
  <c r="M175" i="51"/>
  <c r="L175" i="51"/>
  <c r="K175" i="51"/>
  <c r="J175" i="51"/>
  <c r="H175" i="51"/>
  <c r="I175" i="51" s="1"/>
  <c r="G175" i="51"/>
  <c r="E175" i="51"/>
  <c r="D175" i="51"/>
  <c r="F175" i="51" s="1"/>
  <c r="N174" i="51"/>
  <c r="M174" i="51"/>
  <c r="O174" i="51" s="1"/>
  <c r="K174" i="51"/>
  <c r="J174" i="51"/>
  <c r="L174" i="51" s="1"/>
  <c r="G174" i="51"/>
  <c r="E174" i="51"/>
  <c r="E173" i="51" s="1"/>
  <c r="N173" i="51"/>
  <c r="K173" i="51"/>
  <c r="J173" i="51"/>
  <c r="L173" i="51" s="1"/>
  <c r="G173" i="51"/>
  <c r="O172" i="51"/>
  <c r="L172" i="51"/>
  <c r="I172" i="51"/>
  <c r="F172" i="51"/>
  <c r="C172" i="51"/>
  <c r="O171" i="51"/>
  <c r="L171" i="51"/>
  <c r="I171" i="51"/>
  <c r="F171" i="51"/>
  <c r="C171" i="51" s="1"/>
  <c r="O170" i="51"/>
  <c r="L170" i="51"/>
  <c r="I170" i="51"/>
  <c r="C170" i="51" s="1"/>
  <c r="F170" i="51"/>
  <c r="O169" i="51"/>
  <c r="L169" i="51"/>
  <c r="I169" i="51"/>
  <c r="F169" i="51"/>
  <c r="C169" i="51" s="1"/>
  <c r="O168" i="51"/>
  <c r="L168" i="51"/>
  <c r="I168" i="51"/>
  <c r="F168" i="51"/>
  <c r="C168" i="51"/>
  <c r="O167" i="51"/>
  <c r="L167" i="51"/>
  <c r="I167" i="51"/>
  <c r="F167" i="51"/>
  <c r="C167" i="51" s="1"/>
  <c r="N166" i="51"/>
  <c r="M166" i="51"/>
  <c r="O166" i="51" s="1"/>
  <c r="K166" i="51"/>
  <c r="J166" i="51"/>
  <c r="L166" i="51" s="1"/>
  <c r="I166" i="51"/>
  <c r="H166" i="51"/>
  <c r="G166" i="51"/>
  <c r="E166" i="51"/>
  <c r="F166" i="51" s="1"/>
  <c r="D166" i="51"/>
  <c r="N165" i="51"/>
  <c r="K165" i="51"/>
  <c r="J165" i="51"/>
  <c r="L165" i="51" s="1"/>
  <c r="H165" i="51"/>
  <c r="G165" i="51"/>
  <c r="I165" i="51" s="1"/>
  <c r="D165" i="51"/>
  <c r="O164" i="51"/>
  <c r="L164" i="51"/>
  <c r="I164" i="51"/>
  <c r="F164" i="51"/>
  <c r="C164" i="51"/>
  <c r="O163" i="51"/>
  <c r="L163" i="51"/>
  <c r="I163" i="51"/>
  <c r="F163" i="51"/>
  <c r="C163" i="51" s="1"/>
  <c r="O162" i="51"/>
  <c r="L162" i="51"/>
  <c r="I162" i="51"/>
  <c r="C162" i="51" s="1"/>
  <c r="F162" i="51"/>
  <c r="O161" i="51"/>
  <c r="L161" i="51"/>
  <c r="I161" i="51"/>
  <c r="F161" i="51"/>
  <c r="C161" i="51" s="1"/>
  <c r="O160" i="51"/>
  <c r="N160" i="51"/>
  <c r="M160" i="51"/>
  <c r="K160" i="51"/>
  <c r="L160" i="51" s="1"/>
  <c r="J160" i="51"/>
  <c r="H160" i="51"/>
  <c r="G160" i="51"/>
  <c r="I160" i="51" s="1"/>
  <c r="E160" i="51"/>
  <c r="D160" i="51"/>
  <c r="F160" i="51" s="1"/>
  <c r="O159" i="51"/>
  <c r="L159" i="51"/>
  <c r="I159" i="51"/>
  <c r="F159" i="51"/>
  <c r="C159" i="51" s="1"/>
  <c r="O158" i="51"/>
  <c r="L158" i="51"/>
  <c r="I158" i="51"/>
  <c r="C158" i="51" s="1"/>
  <c r="F158" i="51"/>
  <c r="O157" i="51"/>
  <c r="L157" i="51"/>
  <c r="I157" i="51"/>
  <c r="F157" i="51"/>
  <c r="C157" i="51" s="1"/>
  <c r="O156" i="51"/>
  <c r="L156" i="51"/>
  <c r="I156" i="51"/>
  <c r="F156" i="51"/>
  <c r="C156" i="51"/>
  <c r="O155" i="51"/>
  <c r="L155" i="51"/>
  <c r="I155" i="51"/>
  <c r="F155" i="51"/>
  <c r="C155" i="51" s="1"/>
  <c r="O154" i="51"/>
  <c r="L154" i="51"/>
  <c r="I154" i="51"/>
  <c r="C154" i="51" s="1"/>
  <c r="F154" i="51"/>
  <c r="O153" i="51"/>
  <c r="L153" i="51"/>
  <c r="I153" i="51"/>
  <c r="F153" i="51"/>
  <c r="C153" i="51" s="1"/>
  <c r="O152" i="51"/>
  <c r="L152" i="51"/>
  <c r="I152" i="51"/>
  <c r="F152" i="51"/>
  <c r="C152" i="51"/>
  <c r="N151" i="51"/>
  <c r="M151" i="51"/>
  <c r="O151" i="51" s="1"/>
  <c r="L151" i="51"/>
  <c r="K151" i="51"/>
  <c r="J151" i="51"/>
  <c r="H151" i="51"/>
  <c r="I151" i="51" s="1"/>
  <c r="G151" i="51"/>
  <c r="E151" i="51"/>
  <c r="D151" i="51"/>
  <c r="F151" i="51" s="1"/>
  <c r="O150" i="51"/>
  <c r="L150" i="51"/>
  <c r="I150" i="51"/>
  <c r="C150" i="51" s="1"/>
  <c r="F150" i="51"/>
  <c r="O149" i="51"/>
  <c r="L149" i="51"/>
  <c r="I149" i="51"/>
  <c r="F149" i="51"/>
  <c r="C149" i="51" s="1"/>
  <c r="O148" i="51"/>
  <c r="L148" i="51"/>
  <c r="I148" i="51"/>
  <c r="F148" i="51"/>
  <c r="C148" i="51"/>
  <c r="O147" i="51"/>
  <c r="L147" i="51"/>
  <c r="I147" i="51"/>
  <c r="F147" i="51"/>
  <c r="C147" i="51" s="1"/>
  <c r="O146" i="51"/>
  <c r="L146" i="51"/>
  <c r="I146" i="51"/>
  <c r="C146" i="51" s="1"/>
  <c r="F146" i="51"/>
  <c r="O145" i="51"/>
  <c r="L145" i="51"/>
  <c r="I145" i="51"/>
  <c r="F145" i="51"/>
  <c r="C145" i="51" s="1"/>
  <c r="O144" i="51"/>
  <c r="N144" i="51"/>
  <c r="M144" i="51"/>
  <c r="K144" i="51"/>
  <c r="L144" i="51" s="1"/>
  <c r="J144" i="51"/>
  <c r="H144" i="51"/>
  <c r="G144" i="51"/>
  <c r="I144" i="51" s="1"/>
  <c r="E144" i="51"/>
  <c r="D144" i="51"/>
  <c r="F144" i="51" s="1"/>
  <c r="C144" i="51" s="1"/>
  <c r="O143" i="51"/>
  <c r="L143" i="51"/>
  <c r="I143" i="51"/>
  <c r="F143" i="51"/>
  <c r="C143" i="51" s="1"/>
  <c r="O142" i="51"/>
  <c r="L142" i="51"/>
  <c r="I142" i="51"/>
  <c r="C142" i="51" s="1"/>
  <c r="F142" i="51"/>
  <c r="N141" i="51"/>
  <c r="O141" i="51" s="1"/>
  <c r="M141" i="51"/>
  <c r="K141" i="51"/>
  <c r="J141" i="51"/>
  <c r="L141" i="51" s="1"/>
  <c r="H141" i="51"/>
  <c r="G141" i="51"/>
  <c r="I141" i="51" s="1"/>
  <c r="F141" i="51"/>
  <c r="E141" i="51"/>
  <c r="D141" i="51"/>
  <c r="O140" i="51"/>
  <c r="L140" i="51"/>
  <c r="I140" i="51"/>
  <c r="F140" i="51"/>
  <c r="C140" i="51"/>
  <c r="O139" i="51"/>
  <c r="L139" i="51"/>
  <c r="I139" i="51"/>
  <c r="F139" i="51"/>
  <c r="C139" i="51" s="1"/>
  <c r="O138" i="51"/>
  <c r="L138" i="51"/>
  <c r="I138" i="51"/>
  <c r="C138" i="51" s="1"/>
  <c r="F138" i="51"/>
  <c r="O137" i="51"/>
  <c r="L137" i="51"/>
  <c r="I137" i="51"/>
  <c r="F137" i="51"/>
  <c r="C137" i="51" s="1"/>
  <c r="O136" i="51"/>
  <c r="N136" i="51"/>
  <c r="M136" i="51"/>
  <c r="K136" i="51"/>
  <c r="K130" i="51" s="1"/>
  <c r="J136" i="51"/>
  <c r="H136" i="51"/>
  <c r="G136" i="51"/>
  <c r="I136" i="51" s="1"/>
  <c r="E136" i="51"/>
  <c r="D136" i="51"/>
  <c r="F136" i="51" s="1"/>
  <c r="O135" i="51"/>
  <c r="L135" i="51"/>
  <c r="I135" i="51"/>
  <c r="F135" i="51"/>
  <c r="C135" i="51" s="1"/>
  <c r="O134" i="51"/>
  <c r="L134" i="51"/>
  <c r="I134" i="51"/>
  <c r="C134" i="51" s="1"/>
  <c r="F134" i="51"/>
  <c r="O133" i="51"/>
  <c r="L133" i="51"/>
  <c r="I133" i="51"/>
  <c r="F133" i="51"/>
  <c r="C133" i="51" s="1"/>
  <c r="O132" i="51"/>
  <c r="L132" i="51"/>
  <c r="I132" i="51"/>
  <c r="F132" i="51"/>
  <c r="C132" i="51"/>
  <c r="N131" i="51"/>
  <c r="M131" i="51"/>
  <c r="O131" i="51" s="1"/>
  <c r="L131" i="51"/>
  <c r="K131" i="51"/>
  <c r="J131" i="51"/>
  <c r="H131" i="51"/>
  <c r="I131" i="51" s="1"/>
  <c r="G131" i="51"/>
  <c r="E131" i="51"/>
  <c r="D131" i="51"/>
  <c r="F131" i="51" s="1"/>
  <c r="C131" i="51" s="1"/>
  <c r="M130" i="51"/>
  <c r="E130" i="51"/>
  <c r="O129" i="51"/>
  <c r="L129" i="51"/>
  <c r="C129" i="51" s="1"/>
  <c r="I129" i="51"/>
  <c r="F129" i="51"/>
  <c r="O128" i="51"/>
  <c r="N128" i="51"/>
  <c r="M128" i="51"/>
  <c r="K128" i="51"/>
  <c r="L128" i="51" s="1"/>
  <c r="J128" i="51"/>
  <c r="H128" i="51"/>
  <c r="G128" i="51"/>
  <c r="I128" i="51" s="1"/>
  <c r="E128" i="51"/>
  <c r="D128" i="51"/>
  <c r="F128" i="51" s="1"/>
  <c r="C128" i="51" s="1"/>
  <c r="O127" i="51"/>
  <c r="L127" i="51"/>
  <c r="I127" i="51"/>
  <c r="F127" i="51"/>
  <c r="C127" i="51" s="1"/>
  <c r="O126" i="51"/>
  <c r="L126" i="51"/>
  <c r="I126" i="51"/>
  <c r="C126" i="51" s="1"/>
  <c r="F126" i="51"/>
  <c r="O125" i="51"/>
  <c r="L125" i="51"/>
  <c r="C125" i="51" s="1"/>
  <c r="I125" i="51"/>
  <c r="F125" i="51"/>
  <c r="O124" i="51"/>
  <c r="L124" i="51"/>
  <c r="I124" i="51"/>
  <c r="F124" i="51"/>
  <c r="C124" i="51"/>
  <c r="O123" i="51"/>
  <c r="L123" i="51"/>
  <c r="I123" i="51"/>
  <c r="F123" i="51"/>
  <c r="C123" i="51" s="1"/>
  <c r="N122" i="51"/>
  <c r="M122" i="51"/>
  <c r="O122" i="51" s="1"/>
  <c r="K122" i="51"/>
  <c r="J122" i="51"/>
  <c r="L122" i="51" s="1"/>
  <c r="I122" i="51"/>
  <c r="H122" i="51"/>
  <c r="G122" i="51"/>
  <c r="E122" i="51"/>
  <c r="F122" i="51" s="1"/>
  <c r="C122" i="51" s="1"/>
  <c r="D122" i="51"/>
  <c r="O121" i="51"/>
  <c r="L121" i="51"/>
  <c r="C121" i="51" s="1"/>
  <c r="I121" i="51"/>
  <c r="F121" i="51"/>
  <c r="O120" i="51"/>
  <c r="L120" i="51"/>
  <c r="I120" i="51"/>
  <c r="F120" i="51"/>
  <c r="C120" i="51"/>
  <c r="O119" i="51"/>
  <c r="L119" i="51"/>
  <c r="I119" i="51"/>
  <c r="F119" i="51"/>
  <c r="C119" i="51" s="1"/>
  <c r="O118" i="51"/>
  <c r="L118" i="51"/>
  <c r="I118" i="51"/>
  <c r="C118" i="51" s="1"/>
  <c r="F118" i="51"/>
  <c r="O117" i="51"/>
  <c r="L117" i="51"/>
  <c r="C117" i="51" s="1"/>
  <c r="I117" i="51"/>
  <c r="F117" i="51"/>
  <c r="O116" i="51"/>
  <c r="N116" i="51"/>
  <c r="M116" i="51"/>
  <c r="K116" i="51"/>
  <c r="L116" i="51" s="1"/>
  <c r="J116" i="51"/>
  <c r="H116" i="51"/>
  <c r="G116" i="51"/>
  <c r="I116" i="51" s="1"/>
  <c r="E116" i="51"/>
  <c r="D116" i="51"/>
  <c r="F116" i="51" s="1"/>
  <c r="C116" i="51"/>
  <c r="O115" i="51"/>
  <c r="L115" i="51"/>
  <c r="I115" i="51"/>
  <c r="F115" i="51"/>
  <c r="C115" i="51" s="1"/>
  <c r="O114" i="51"/>
  <c r="L114" i="51"/>
  <c r="I114" i="51"/>
  <c r="C114" i="51" s="1"/>
  <c r="F114" i="51"/>
  <c r="O113" i="51"/>
  <c r="L113" i="51"/>
  <c r="C113" i="51" s="1"/>
  <c r="I113" i="51"/>
  <c r="F113" i="51"/>
  <c r="O112" i="51"/>
  <c r="N112" i="51"/>
  <c r="M112" i="51"/>
  <c r="K112" i="51"/>
  <c r="L112" i="51" s="1"/>
  <c r="J112" i="51"/>
  <c r="H112" i="51"/>
  <c r="G112" i="51"/>
  <c r="I112" i="51" s="1"/>
  <c r="C112" i="51" s="1"/>
  <c r="E112" i="51"/>
  <c r="D112" i="51"/>
  <c r="F112" i="51" s="1"/>
  <c r="O111" i="51"/>
  <c r="L111" i="51"/>
  <c r="I111" i="51"/>
  <c r="F111" i="51"/>
  <c r="C111" i="51" s="1"/>
  <c r="O110" i="51"/>
  <c r="L110" i="51"/>
  <c r="I110" i="51"/>
  <c r="C110" i="51" s="1"/>
  <c r="F110" i="51"/>
  <c r="O109" i="51"/>
  <c r="L109" i="51"/>
  <c r="C109" i="51" s="1"/>
  <c r="I109" i="51"/>
  <c r="F109" i="51"/>
  <c r="O108" i="51"/>
  <c r="L108" i="51"/>
  <c r="I108" i="51"/>
  <c r="F108" i="51"/>
  <c r="C108" i="51"/>
  <c r="O107" i="51"/>
  <c r="L107" i="51"/>
  <c r="I107" i="51"/>
  <c r="F107" i="51"/>
  <c r="C107" i="51" s="1"/>
  <c r="O106" i="51"/>
  <c r="L106" i="51"/>
  <c r="I106" i="51"/>
  <c r="C106" i="51" s="1"/>
  <c r="F106" i="51"/>
  <c r="O105" i="51"/>
  <c r="L105" i="51"/>
  <c r="C105" i="51" s="1"/>
  <c r="I105" i="51"/>
  <c r="F105" i="51"/>
  <c r="O104" i="51"/>
  <c r="L104" i="51"/>
  <c r="I104" i="51"/>
  <c r="F104" i="51"/>
  <c r="C104" i="51"/>
  <c r="N103" i="51"/>
  <c r="M103" i="51"/>
  <c r="O103" i="51" s="1"/>
  <c r="L103" i="51"/>
  <c r="K103" i="51"/>
  <c r="J103" i="51"/>
  <c r="H103" i="51"/>
  <c r="I103" i="51" s="1"/>
  <c r="G103" i="51"/>
  <c r="E103" i="51"/>
  <c r="D103" i="51"/>
  <c r="F103" i="51" s="1"/>
  <c r="O102" i="51"/>
  <c r="L102" i="51"/>
  <c r="I102" i="51"/>
  <c r="C102" i="51" s="1"/>
  <c r="F102" i="51"/>
  <c r="O101" i="51"/>
  <c r="L101" i="51"/>
  <c r="C101" i="51" s="1"/>
  <c r="I101" i="51"/>
  <c r="F101" i="51"/>
  <c r="O100" i="51"/>
  <c r="L100" i="51"/>
  <c r="I100" i="51"/>
  <c r="F100" i="51"/>
  <c r="C100" i="51"/>
  <c r="O99" i="51"/>
  <c r="L99" i="51"/>
  <c r="I99" i="51"/>
  <c r="F99" i="51"/>
  <c r="C99" i="51" s="1"/>
  <c r="O98" i="51"/>
  <c r="L98" i="51"/>
  <c r="I98" i="51"/>
  <c r="C98" i="51" s="1"/>
  <c r="F98" i="51"/>
  <c r="O97" i="51"/>
  <c r="L97" i="51"/>
  <c r="C97" i="51" s="1"/>
  <c r="I97" i="51"/>
  <c r="F97" i="51"/>
  <c r="O96" i="51"/>
  <c r="L96" i="51"/>
  <c r="I96" i="51"/>
  <c r="F96" i="51"/>
  <c r="C96" i="51"/>
  <c r="N95" i="51"/>
  <c r="M95" i="51"/>
  <c r="O95" i="51" s="1"/>
  <c r="L95" i="51"/>
  <c r="K95" i="51"/>
  <c r="J95" i="51"/>
  <c r="H95" i="51"/>
  <c r="I95" i="51" s="1"/>
  <c r="G95" i="51"/>
  <c r="E95" i="51"/>
  <c r="D95" i="51"/>
  <c r="F95" i="51" s="1"/>
  <c r="C95" i="51" s="1"/>
  <c r="O94" i="51"/>
  <c r="L94" i="51"/>
  <c r="I94" i="51"/>
  <c r="C94" i="51" s="1"/>
  <c r="F94" i="51"/>
  <c r="O93" i="51"/>
  <c r="L93" i="51"/>
  <c r="C93" i="51" s="1"/>
  <c r="I93" i="51"/>
  <c r="F93" i="51"/>
  <c r="O92" i="51"/>
  <c r="L92" i="51"/>
  <c r="I92" i="51"/>
  <c r="F92" i="51"/>
  <c r="C92" i="51"/>
  <c r="O91" i="51"/>
  <c r="L91" i="51"/>
  <c r="I91" i="51"/>
  <c r="F91" i="51"/>
  <c r="C91" i="51" s="1"/>
  <c r="O90" i="51"/>
  <c r="L90" i="51"/>
  <c r="I90" i="51"/>
  <c r="F90" i="51"/>
  <c r="C90" i="51"/>
  <c r="O89" i="51"/>
  <c r="N89" i="51"/>
  <c r="M89" i="51"/>
  <c r="L89" i="51"/>
  <c r="K89" i="51"/>
  <c r="J89" i="51"/>
  <c r="H89" i="51"/>
  <c r="G89" i="51"/>
  <c r="I89" i="51" s="1"/>
  <c r="F89" i="51"/>
  <c r="E89" i="51"/>
  <c r="D89" i="51"/>
  <c r="C89" i="51"/>
  <c r="O88" i="51"/>
  <c r="L88" i="51"/>
  <c r="I88" i="51"/>
  <c r="F88" i="51"/>
  <c r="C88" i="51" s="1"/>
  <c r="O87" i="51"/>
  <c r="L87" i="51"/>
  <c r="I87" i="51"/>
  <c r="F87" i="51"/>
  <c r="O86" i="51"/>
  <c r="L86" i="51"/>
  <c r="I86" i="51"/>
  <c r="C86" i="51" s="1"/>
  <c r="F86" i="51"/>
  <c r="O85" i="51"/>
  <c r="L85" i="51"/>
  <c r="C85" i="51" s="1"/>
  <c r="I85" i="51"/>
  <c r="F85" i="51"/>
  <c r="O84" i="51"/>
  <c r="N84" i="51"/>
  <c r="M84" i="51"/>
  <c r="K84" i="51"/>
  <c r="K83" i="51" s="1"/>
  <c r="J84" i="51"/>
  <c r="H84" i="51"/>
  <c r="G84" i="51"/>
  <c r="G83" i="51" s="1"/>
  <c r="E84" i="51"/>
  <c r="E83" i="51" s="1"/>
  <c r="D84" i="51"/>
  <c r="N83" i="51"/>
  <c r="M83" i="51"/>
  <c r="J83" i="51"/>
  <c r="L83" i="51" s="1"/>
  <c r="I83" i="51"/>
  <c r="H83" i="51"/>
  <c r="D83" i="51"/>
  <c r="F83" i="51" s="1"/>
  <c r="O82" i="51"/>
  <c r="L82" i="51"/>
  <c r="I82" i="51"/>
  <c r="F82" i="51"/>
  <c r="C82" i="51"/>
  <c r="O81" i="51"/>
  <c r="L81" i="51"/>
  <c r="I81" i="51"/>
  <c r="F81" i="51"/>
  <c r="C81" i="51" s="1"/>
  <c r="N80" i="51"/>
  <c r="M80" i="51"/>
  <c r="O80" i="51" s="1"/>
  <c r="K80" i="51"/>
  <c r="L80" i="51" s="1"/>
  <c r="J80" i="51"/>
  <c r="I80" i="51"/>
  <c r="H80" i="51"/>
  <c r="G80" i="51"/>
  <c r="E80" i="51"/>
  <c r="E76" i="51" s="1"/>
  <c r="D80" i="51"/>
  <c r="O79" i="51"/>
  <c r="L79" i="51"/>
  <c r="I79" i="51"/>
  <c r="F79" i="51"/>
  <c r="O78" i="51"/>
  <c r="L78" i="51"/>
  <c r="I78" i="51"/>
  <c r="C78" i="51" s="1"/>
  <c r="F78" i="51"/>
  <c r="O77" i="51"/>
  <c r="N77" i="51"/>
  <c r="N76" i="51" s="1"/>
  <c r="M77" i="51"/>
  <c r="K77" i="51"/>
  <c r="K76" i="51" s="1"/>
  <c r="K75" i="51" s="1"/>
  <c r="K52" i="51" s="1"/>
  <c r="K51" i="51" s="1"/>
  <c r="K50" i="51" s="1"/>
  <c r="J77" i="51"/>
  <c r="J76" i="51" s="1"/>
  <c r="L76" i="51" s="1"/>
  <c r="H77" i="51"/>
  <c r="G77" i="51"/>
  <c r="I77" i="51" s="1"/>
  <c r="F77" i="51"/>
  <c r="E77" i="51"/>
  <c r="D77" i="51"/>
  <c r="M76" i="51"/>
  <c r="H76" i="51"/>
  <c r="D76" i="51"/>
  <c r="O74" i="51"/>
  <c r="L74" i="51"/>
  <c r="I74" i="51"/>
  <c r="C74" i="51" s="1"/>
  <c r="F74" i="51"/>
  <c r="O73" i="51"/>
  <c r="L73" i="51"/>
  <c r="C73" i="51" s="1"/>
  <c r="I73" i="51"/>
  <c r="F73" i="51"/>
  <c r="O72" i="51"/>
  <c r="L72" i="51"/>
  <c r="I72" i="51"/>
  <c r="F72" i="51"/>
  <c r="C72" i="51"/>
  <c r="O71" i="51"/>
  <c r="L71" i="51"/>
  <c r="I71" i="51"/>
  <c r="F71" i="51"/>
  <c r="C71" i="51" s="1"/>
  <c r="O70" i="51"/>
  <c r="L70" i="51"/>
  <c r="I70" i="51"/>
  <c r="C70" i="51" s="1"/>
  <c r="F70" i="51"/>
  <c r="N69" i="51"/>
  <c r="O69" i="51" s="1"/>
  <c r="M69" i="51"/>
  <c r="K69" i="51"/>
  <c r="K67" i="51" s="1"/>
  <c r="J69" i="51"/>
  <c r="J67" i="51" s="1"/>
  <c r="H69" i="51"/>
  <c r="G69" i="51"/>
  <c r="E69" i="51"/>
  <c r="D69" i="51"/>
  <c r="F69" i="51" s="1"/>
  <c r="O68" i="51"/>
  <c r="L68" i="51"/>
  <c r="I68" i="51"/>
  <c r="C68" i="51" s="1"/>
  <c r="F68" i="51"/>
  <c r="N67" i="51"/>
  <c r="M67" i="51"/>
  <c r="O67" i="51" s="1"/>
  <c r="H67" i="51"/>
  <c r="E67" i="51"/>
  <c r="O66" i="51"/>
  <c r="L66" i="51"/>
  <c r="I66" i="51"/>
  <c r="F66" i="51"/>
  <c r="C66" i="51"/>
  <c r="O65" i="51"/>
  <c r="L65" i="51"/>
  <c r="I65" i="51"/>
  <c r="F65" i="51"/>
  <c r="C65" i="51" s="1"/>
  <c r="O64" i="51"/>
  <c r="L64" i="51"/>
  <c r="I64" i="51"/>
  <c r="C64" i="51" s="1"/>
  <c r="F64" i="51"/>
  <c r="O63" i="51"/>
  <c r="L63" i="51"/>
  <c r="I63" i="51"/>
  <c r="F63" i="51"/>
  <c r="O62" i="51"/>
  <c r="L62" i="51"/>
  <c r="C62" i="51" s="1"/>
  <c r="I62" i="51"/>
  <c r="F62" i="51"/>
  <c r="O61" i="51"/>
  <c r="L61" i="51"/>
  <c r="I61" i="51"/>
  <c r="F61" i="51"/>
  <c r="C61" i="51"/>
  <c r="O60" i="51"/>
  <c r="L60" i="51"/>
  <c r="I60" i="51"/>
  <c r="F60" i="51"/>
  <c r="C60" i="51" s="1"/>
  <c r="O59" i="51"/>
  <c r="L59" i="51"/>
  <c r="I59" i="51"/>
  <c r="F59" i="51"/>
  <c r="N58" i="51"/>
  <c r="M58" i="51"/>
  <c r="O58" i="51" s="1"/>
  <c r="K58" i="51"/>
  <c r="J58" i="51"/>
  <c r="L58" i="51" s="1"/>
  <c r="I58" i="51"/>
  <c r="H58" i="51"/>
  <c r="G58" i="51"/>
  <c r="E58" i="51"/>
  <c r="F58" i="51" s="1"/>
  <c r="D58" i="51"/>
  <c r="O57" i="51"/>
  <c r="L57" i="51"/>
  <c r="C57" i="51" s="1"/>
  <c r="I57" i="51"/>
  <c r="F57" i="51"/>
  <c r="O56" i="51"/>
  <c r="L56" i="51"/>
  <c r="I56" i="51"/>
  <c r="F56" i="51"/>
  <c r="C56" i="51"/>
  <c r="N55" i="51"/>
  <c r="M55" i="51"/>
  <c r="O55" i="51" s="1"/>
  <c r="L55" i="51"/>
  <c r="K55" i="51"/>
  <c r="J55" i="51"/>
  <c r="H55" i="51"/>
  <c r="I55" i="51" s="1"/>
  <c r="G55" i="51"/>
  <c r="E55" i="51"/>
  <c r="D55" i="51"/>
  <c r="F55" i="51" s="1"/>
  <c r="N54" i="51"/>
  <c r="M54" i="51"/>
  <c r="O54" i="51" s="1"/>
  <c r="K54" i="51"/>
  <c r="J54" i="51"/>
  <c r="L54" i="51" s="1"/>
  <c r="G54" i="51"/>
  <c r="E54" i="51"/>
  <c r="E53" i="51" s="1"/>
  <c r="N53" i="51"/>
  <c r="K53" i="51"/>
  <c r="O47" i="51"/>
  <c r="C47" i="51"/>
  <c r="O46" i="51"/>
  <c r="C46" i="51"/>
  <c r="N45" i="51"/>
  <c r="M45" i="51"/>
  <c r="L44" i="51"/>
  <c r="I44" i="51"/>
  <c r="C44" i="51" s="1"/>
  <c r="F44" i="51"/>
  <c r="K43" i="51"/>
  <c r="L43" i="51" s="1"/>
  <c r="J43" i="51"/>
  <c r="H43" i="51"/>
  <c r="H21" i="51" s="1"/>
  <c r="G43" i="51"/>
  <c r="I43" i="51" s="1"/>
  <c r="E43" i="51"/>
  <c r="D43" i="51"/>
  <c r="D21" i="51" s="1"/>
  <c r="F42" i="51"/>
  <c r="C42" i="51"/>
  <c r="L41" i="51"/>
  <c r="C41" i="51"/>
  <c r="L40" i="51"/>
  <c r="C40" i="51"/>
  <c r="L39" i="51"/>
  <c r="C39" i="51"/>
  <c r="L38" i="51"/>
  <c r="C38" i="51"/>
  <c r="K37" i="51"/>
  <c r="L37" i="51" s="1"/>
  <c r="C37" i="51" s="1"/>
  <c r="J37" i="51"/>
  <c r="L36" i="51"/>
  <c r="C36" i="51"/>
  <c r="L35" i="51"/>
  <c r="C35" i="51"/>
  <c r="K34" i="51"/>
  <c r="L34" i="51" s="1"/>
  <c r="C34" i="51" s="1"/>
  <c r="J34" i="51"/>
  <c r="L33" i="51"/>
  <c r="C33" i="51"/>
  <c r="K32" i="51"/>
  <c r="J32" i="51"/>
  <c r="L32" i="51" s="1"/>
  <c r="C32" i="51" s="1"/>
  <c r="L31" i="51"/>
  <c r="C31" i="51"/>
  <c r="L30" i="51"/>
  <c r="C30" i="51"/>
  <c r="L29" i="51"/>
  <c r="C29" i="51"/>
  <c r="K28" i="51"/>
  <c r="L28" i="51" s="1"/>
  <c r="C28" i="51" s="1"/>
  <c r="J28" i="51"/>
  <c r="K27" i="51"/>
  <c r="F26" i="51"/>
  <c r="C26" i="51"/>
  <c r="I25" i="51"/>
  <c r="F25" i="51"/>
  <c r="C25" i="51"/>
  <c r="O24" i="51"/>
  <c r="L24" i="51"/>
  <c r="I24" i="51"/>
  <c r="F24" i="51"/>
  <c r="C24" i="51"/>
  <c r="O23" i="51"/>
  <c r="L23" i="51"/>
  <c r="I23" i="51"/>
  <c r="F23" i="51"/>
  <c r="C23" i="51" s="1"/>
  <c r="N22" i="51"/>
  <c r="N287" i="51" s="1"/>
  <c r="N286" i="51" s="1"/>
  <c r="M22" i="51"/>
  <c r="M287" i="51" s="1"/>
  <c r="K22" i="51"/>
  <c r="K287" i="51" s="1"/>
  <c r="K286" i="51" s="1"/>
  <c r="J22" i="51"/>
  <c r="J287" i="51" s="1"/>
  <c r="I22" i="51"/>
  <c r="H22" i="51"/>
  <c r="H287" i="51" s="1"/>
  <c r="H286" i="51" s="1"/>
  <c r="G22" i="51"/>
  <c r="G287" i="51" s="1"/>
  <c r="E22" i="51"/>
  <c r="E287" i="51" s="1"/>
  <c r="E286" i="51" s="1"/>
  <c r="D22" i="51"/>
  <c r="D287" i="51" s="1"/>
  <c r="N21" i="51"/>
  <c r="K21" i="51"/>
  <c r="G21" i="51"/>
  <c r="I21" i="51" s="1"/>
  <c r="O296" i="50"/>
  <c r="L296" i="50"/>
  <c r="I296" i="50"/>
  <c r="F296" i="50"/>
  <c r="C296" i="50"/>
  <c r="O295" i="50"/>
  <c r="L295" i="50"/>
  <c r="I295" i="50"/>
  <c r="F295" i="50"/>
  <c r="C295" i="50" s="1"/>
  <c r="O294" i="50"/>
  <c r="L294" i="50"/>
  <c r="I294" i="50"/>
  <c r="C294" i="50" s="1"/>
  <c r="F294" i="50"/>
  <c r="O293" i="50"/>
  <c r="L293" i="50"/>
  <c r="C293" i="50" s="1"/>
  <c r="I293" i="50"/>
  <c r="F293" i="50"/>
  <c r="O292" i="50"/>
  <c r="L292" i="50"/>
  <c r="I292" i="50"/>
  <c r="F292" i="50"/>
  <c r="C292" i="50"/>
  <c r="O291" i="50"/>
  <c r="L291" i="50"/>
  <c r="I291" i="50"/>
  <c r="F291" i="50"/>
  <c r="O290" i="50"/>
  <c r="L290" i="50"/>
  <c r="I290" i="50"/>
  <c r="C290" i="50" s="1"/>
  <c r="F290" i="50"/>
  <c r="O289" i="50"/>
  <c r="L289" i="50"/>
  <c r="C289" i="50" s="1"/>
  <c r="I289" i="50"/>
  <c r="F289" i="50"/>
  <c r="O288" i="50"/>
  <c r="N288" i="50"/>
  <c r="M288" i="50"/>
  <c r="K288" i="50"/>
  <c r="L288" i="50" s="1"/>
  <c r="J288" i="50"/>
  <c r="H288" i="50"/>
  <c r="G288" i="50"/>
  <c r="I288" i="50" s="1"/>
  <c r="E288" i="50"/>
  <c r="D288" i="50"/>
  <c r="F288" i="50" s="1"/>
  <c r="O283" i="50"/>
  <c r="L283" i="50"/>
  <c r="I283" i="50"/>
  <c r="F283" i="50"/>
  <c r="C283" i="50" s="1"/>
  <c r="O282" i="50"/>
  <c r="L282" i="50"/>
  <c r="I282" i="50"/>
  <c r="C282" i="50" s="1"/>
  <c r="F282" i="50"/>
  <c r="O281" i="50"/>
  <c r="N281" i="50"/>
  <c r="M281" i="50"/>
  <c r="K281" i="50"/>
  <c r="J281" i="50"/>
  <c r="H281" i="50"/>
  <c r="G281" i="50"/>
  <c r="I281" i="50" s="1"/>
  <c r="F281" i="50"/>
  <c r="E281" i="50"/>
  <c r="D281" i="50"/>
  <c r="O280" i="50"/>
  <c r="L280" i="50"/>
  <c r="I280" i="50"/>
  <c r="F280" i="50"/>
  <c r="C280" i="50"/>
  <c r="N279" i="50"/>
  <c r="M279" i="50"/>
  <c r="O279" i="50" s="1"/>
  <c r="L279" i="50"/>
  <c r="K279" i="50"/>
  <c r="J279" i="50"/>
  <c r="H279" i="50"/>
  <c r="I279" i="50" s="1"/>
  <c r="G279" i="50"/>
  <c r="E279" i="50"/>
  <c r="D279" i="50"/>
  <c r="O278" i="50"/>
  <c r="L278" i="50"/>
  <c r="I278" i="50"/>
  <c r="C278" i="50" s="1"/>
  <c r="F278" i="50"/>
  <c r="O277" i="50"/>
  <c r="L277" i="50"/>
  <c r="C277" i="50" s="1"/>
  <c r="I277" i="50"/>
  <c r="F277" i="50"/>
  <c r="O276" i="50"/>
  <c r="O275" i="50" s="1"/>
  <c r="L276" i="50"/>
  <c r="I276" i="50"/>
  <c r="F276" i="50"/>
  <c r="C276" i="50"/>
  <c r="N275" i="50"/>
  <c r="M275" i="50"/>
  <c r="L275" i="50"/>
  <c r="K275" i="50"/>
  <c r="J275" i="50"/>
  <c r="H275" i="50"/>
  <c r="I275" i="50" s="1"/>
  <c r="G275" i="50"/>
  <c r="E275" i="50"/>
  <c r="D275" i="50"/>
  <c r="O274" i="50"/>
  <c r="L274" i="50"/>
  <c r="I274" i="50"/>
  <c r="C274" i="50" s="1"/>
  <c r="F274" i="50"/>
  <c r="O273" i="50"/>
  <c r="L273" i="50"/>
  <c r="C273" i="50" s="1"/>
  <c r="I273" i="50"/>
  <c r="F273" i="50"/>
  <c r="O272" i="50"/>
  <c r="L272" i="50"/>
  <c r="I272" i="50"/>
  <c r="F272" i="50"/>
  <c r="C272" i="50"/>
  <c r="N271" i="50"/>
  <c r="M271" i="50"/>
  <c r="L271" i="50"/>
  <c r="K271" i="50"/>
  <c r="J271" i="50"/>
  <c r="H271" i="50"/>
  <c r="H269" i="50" s="1"/>
  <c r="G271" i="50"/>
  <c r="E271" i="50"/>
  <c r="E269" i="50" s="1"/>
  <c r="E268" i="50" s="1"/>
  <c r="D271" i="50"/>
  <c r="O270" i="50"/>
  <c r="L270" i="50"/>
  <c r="I270" i="50"/>
  <c r="C270" i="50" s="1"/>
  <c r="F270" i="50"/>
  <c r="N269" i="50"/>
  <c r="N268" i="50" s="1"/>
  <c r="K269" i="50"/>
  <c r="K268" i="50" s="1"/>
  <c r="J269" i="50"/>
  <c r="G269" i="50"/>
  <c r="I269" i="50" s="1"/>
  <c r="H268" i="50"/>
  <c r="O267" i="50"/>
  <c r="L267" i="50"/>
  <c r="I267" i="50"/>
  <c r="F267" i="50"/>
  <c r="C267" i="50" s="1"/>
  <c r="O266" i="50"/>
  <c r="L266" i="50"/>
  <c r="I266" i="50"/>
  <c r="C266" i="50" s="1"/>
  <c r="F266" i="50"/>
  <c r="O265" i="50"/>
  <c r="L265" i="50"/>
  <c r="I265" i="50"/>
  <c r="F265" i="50"/>
  <c r="C265" i="50"/>
  <c r="O264" i="50"/>
  <c r="L264" i="50"/>
  <c r="I264" i="50"/>
  <c r="F264" i="50"/>
  <c r="C264" i="50" s="1"/>
  <c r="N263" i="50"/>
  <c r="M263" i="50"/>
  <c r="O263" i="50" s="1"/>
  <c r="L263" i="50"/>
  <c r="K263" i="50"/>
  <c r="J263" i="50"/>
  <c r="H263" i="50"/>
  <c r="I263" i="50" s="1"/>
  <c r="G263" i="50"/>
  <c r="E263" i="50"/>
  <c r="D263" i="50"/>
  <c r="F263" i="50" s="1"/>
  <c r="O262" i="50"/>
  <c r="L262" i="50"/>
  <c r="I262" i="50"/>
  <c r="F262" i="50"/>
  <c r="C262" i="50"/>
  <c r="O261" i="50"/>
  <c r="L261" i="50"/>
  <c r="I261" i="50"/>
  <c r="F261" i="50"/>
  <c r="C261" i="50" s="1"/>
  <c r="O260" i="50"/>
  <c r="L260" i="50"/>
  <c r="I260" i="50"/>
  <c r="C260" i="50" s="1"/>
  <c r="F260" i="50"/>
  <c r="N259" i="50"/>
  <c r="M259" i="50"/>
  <c r="O259" i="50" s="1"/>
  <c r="K259" i="50"/>
  <c r="J259" i="50"/>
  <c r="J258" i="50" s="1"/>
  <c r="L258" i="50" s="1"/>
  <c r="I259" i="50"/>
  <c r="H259" i="50"/>
  <c r="G259" i="50"/>
  <c r="E259" i="50"/>
  <c r="E258" i="50" s="1"/>
  <c r="D259" i="50"/>
  <c r="N258" i="50"/>
  <c r="M258" i="50"/>
  <c r="O258" i="50" s="1"/>
  <c r="K258" i="50"/>
  <c r="G258" i="50"/>
  <c r="O257" i="50"/>
  <c r="L257" i="50"/>
  <c r="I257" i="50"/>
  <c r="F257" i="50"/>
  <c r="C257" i="50"/>
  <c r="O256" i="50"/>
  <c r="L256" i="50"/>
  <c r="I256" i="50"/>
  <c r="F256" i="50"/>
  <c r="C256" i="50" s="1"/>
  <c r="O255" i="50"/>
  <c r="L255" i="50"/>
  <c r="I255" i="50"/>
  <c r="F255" i="50"/>
  <c r="O254" i="50"/>
  <c r="L254" i="50"/>
  <c r="I254" i="50"/>
  <c r="C254" i="50" s="1"/>
  <c r="F254" i="50"/>
  <c r="O253" i="50"/>
  <c r="L253" i="50"/>
  <c r="C253" i="50" s="1"/>
  <c r="I253" i="50"/>
  <c r="F253" i="50"/>
  <c r="O252" i="50"/>
  <c r="N252" i="50"/>
  <c r="M252" i="50"/>
  <c r="M251" i="50" s="1"/>
  <c r="O251" i="50" s="1"/>
  <c r="K252" i="50"/>
  <c r="K251" i="50" s="1"/>
  <c r="J252" i="50"/>
  <c r="H252" i="50"/>
  <c r="H251" i="50" s="1"/>
  <c r="I251" i="50" s="1"/>
  <c r="G252" i="50"/>
  <c r="G251" i="50" s="1"/>
  <c r="E252" i="50"/>
  <c r="D252" i="50"/>
  <c r="F252" i="50" s="1"/>
  <c r="N251" i="50"/>
  <c r="J251" i="50"/>
  <c r="L251" i="50" s="1"/>
  <c r="E251" i="50"/>
  <c r="D251" i="50"/>
  <c r="F251" i="50" s="1"/>
  <c r="O250" i="50"/>
  <c r="L250" i="50"/>
  <c r="I250" i="50"/>
  <c r="C250" i="50" s="1"/>
  <c r="F250" i="50"/>
  <c r="O249" i="50"/>
  <c r="L249" i="50"/>
  <c r="C249" i="50" s="1"/>
  <c r="I249" i="50"/>
  <c r="F249" i="50"/>
  <c r="O248" i="50"/>
  <c r="L248" i="50"/>
  <c r="I248" i="50"/>
  <c r="F248" i="50"/>
  <c r="C248" i="50"/>
  <c r="O247" i="50"/>
  <c r="L247" i="50"/>
  <c r="I247" i="50"/>
  <c r="F247" i="50"/>
  <c r="C247" i="50" s="1"/>
  <c r="O246" i="50"/>
  <c r="N246" i="50"/>
  <c r="M246" i="50"/>
  <c r="K246" i="50"/>
  <c r="J246" i="50"/>
  <c r="L246" i="50" s="1"/>
  <c r="H246" i="50"/>
  <c r="G246" i="50"/>
  <c r="I246" i="50" s="1"/>
  <c r="F246" i="50"/>
  <c r="C246" i="50" s="1"/>
  <c r="E246" i="50"/>
  <c r="D246" i="50"/>
  <c r="O245" i="50"/>
  <c r="L245" i="50"/>
  <c r="I245" i="50"/>
  <c r="F245" i="50"/>
  <c r="C245" i="50"/>
  <c r="O244" i="50"/>
  <c r="L244" i="50"/>
  <c r="I244" i="50"/>
  <c r="F244" i="50"/>
  <c r="C244" i="50" s="1"/>
  <c r="O243" i="50"/>
  <c r="L243" i="50"/>
  <c r="I243" i="50"/>
  <c r="F243" i="50"/>
  <c r="O242" i="50"/>
  <c r="L242" i="50"/>
  <c r="I242" i="50"/>
  <c r="C242" i="50" s="1"/>
  <c r="F242" i="50"/>
  <c r="O241" i="50"/>
  <c r="L241" i="50"/>
  <c r="C241" i="50" s="1"/>
  <c r="I241" i="50"/>
  <c r="F241" i="50"/>
  <c r="O240" i="50"/>
  <c r="L240" i="50"/>
  <c r="I240" i="50"/>
  <c r="F240" i="50"/>
  <c r="C240" i="50"/>
  <c r="O239" i="50"/>
  <c r="L239" i="50"/>
  <c r="I239" i="50"/>
  <c r="F239" i="50"/>
  <c r="C239" i="50" s="1"/>
  <c r="N238" i="50"/>
  <c r="M238" i="50"/>
  <c r="O238" i="50" s="1"/>
  <c r="K238" i="50"/>
  <c r="J238" i="50"/>
  <c r="H238" i="50"/>
  <c r="G238" i="50"/>
  <c r="I238" i="50" s="1"/>
  <c r="E238" i="50"/>
  <c r="F238" i="50" s="1"/>
  <c r="D238" i="50"/>
  <c r="O237" i="50"/>
  <c r="L237" i="50"/>
  <c r="I237" i="50"/>
  <c r="F237" i="50"/>
  <c r="C237" i="50" s="1"/>
  <c r="O236" i="50"/>
  <c r="L236" i="50"/>
  <c r="I236" i="50"/>
  <c r="C236" i="50" s="1"/>
  <c r="F236" i="50"/>
  <c r="N235" i="50"/>
  <c r="M235" i="50"/>
  <c r="O235" i="50" s="1"/>
  <c r="K235" i="50"/>
  <c r="J235" i="50"/>
  <c r="L235" i="50" s="1"/>
  <c r="I235" i="50"/>
  <c r="H235" i="50"/>
  <c r="G235" i="50"/>
  <c r="E235" i="50"/>
  <c r="F235" i="50" s="1"/>
  <c r="C235" i="50" s="1"/>
  <c r="D235" i="50"/>
  <c r="O234" i="50"/>
  <c r="L234" i="50"/>
  <c r="I234" i="50"/>
  <c r="C234" i="50" s="1"/>
  <c r="F234" i="50"/>
  <c r="N233" i="50"/>
  <c r="O233" i="50" s="1"/>
  <c r="M233" i="50"/>
  <c r="K233" i="50"/>
  <c r="J233" i="50"/>
  <c r="L233" i="50" s="1"/>
  <c r="H233" i="50"/>
  <c r="G233" i="50"/>
  <c r="F233" i="50"/>
  <c r="E233" i="50"/>
  <c r="D233" i="50"/>
  <c r="O232" i="50"/>
  <c r="L232" i="50"/>
  <c r="I232" i="50"/>
  <c r="F232" i="50"/>
  <c r="C232" i="50"/>
  <c r="N231" i="50"/>
  <c r="N230" i="50" s="1"/>
  <c r="H231" i="50"/>
  <c r="E231" i="50"/>
  <c r="D231" i="50"/>
  <c r="O229" i="50"/>
  <c r="L229" i="50"/>
  <c r="C229" i="50" s="1"/>
  <c r="I229" i="50"/>
  <c r="F229" i="50"/>
  <c r="O228" i="50"/>
  <c r="L228" i="50"/>
  <c r="I228" i="50"/>
  <c r="F228" i="50"/>
  <c r="C228" i="50"/>
  <c r="N227" i="50"/>
  <c r="M227" i="50"/>
  <c r="O227" i="50" s="1"/>
  <c r="L227" i="50"/>
  <c r="K227" i="50"/>
  <c r="J227" i="50"/>
  <c r="H227" i="50"/>
  <c r="I227" i="50" s="1"/>
  <c r="G227" i="50"/>
  <c r="E227" i="50"/>
  <c r="D227" i="50"/>
  <c r="F227" i="50" s="1"/>
  <c r="O226" i="50"/>
  <c r="L226" i="50"/>
  <c r="I226" i="50"/>
  <c r="F226" i="50"/>
  <c r="C226" i="50"/>
  <c r="O225" i="50"/>
  <c r="L225" i="50"/>
  <c r="I225" i="50"/>
  <c r="F225" i="50"/>
  <c r="C225" i="50" s="1"/>
  <c r="O224" i="50"/>
  <c r="L224" i="50"/>
  <c r="I224" i="50"/>
  <c r="C224" i="50" s="1"/>
  <c r="F224" i="50"/>
  <c r="O223" i="50"/>
  <c r="L223" i="50"/>
  <c r="I223" i="50"/>
  <c r="F223" i="50"/>
  <c r="O222" i="50"/>
  <c r="L222" i="50"/>
  <c r="C222" i="50" s="1"/>
  <c r="I222" i="50"/>
  <c r="F222" i="50"/>
  <c r="O221" i="50"/>
  <c r="L221" i="50"/>
  <c r="I221" i="50"/>
  <c r="F221" i="50"/>
  <c r="C221" i="50"/>
  <c r="O220" i="50"/>
  <c r="L220" i="50"/>
  <c r="I220" i="50"/>
  <c r="F220" i="50"/>
  <c r="C220" i="50" s="1"/>
  <c r="O219" i="50"/>
  <c r="L219" i="50"/>
  <c r="I219" i="50"/>
  <c r="C219" i="50" s="1"/>
  <c r="F219" i="50"/>
  <c r="O218" i="50"/>
  <c r="L218" i="50"/>
  <c r="C218" i="50" s="1"/>
  <c r="I218" i="50"/>
  <c r="F218" i="50"/>
  <c r="O217" i="50"/>
  <c r="L217" i="50"/>
  <c r="I217" i="50"/>
  <c r="F217" i="50"/>
  <c r="C217" i="50"/>
  <c r="N216" i="50"/>
  <c r="M216" i="50"/>
  <c r="O216" i="50" s="1"/>
  <c r="L216" i="50"/>
  <c r="K216" i="50"/>
  <c r="J216" i="50"/>
  <c r="H216" i="50"/>
  <c r="I216" i="50" s="1"/>
  <c r="G216" i="50"/>
  <c r="E216" i="50"/>
  <c r="D216" i="50"/>
  <c r="F216" i="50" s="1"/>
  <c r="O215" i="50"/>
  <c r="L215" i="50"/>
  <c r="I215" i="50"/>
  <c r="C215" i="50" s="1"/>
  <c r="F215" i="50"/>
  <c r="O214" i="50"/>
  <c r="L214" i="50"/>
  <c r="C214" i="50" s="1"/>
  <c r="I214" i="50"/>
  <c r="F214" i="50"/>
  <c r="O213" i="50"/>
  <c r="L213" i="50"/>
  <c r="I213" i="50"/>
  <c r="F213" i="50"/>
  <c r="C213" i="50"/>
  <c r="O212" i="50"/>
  <c r="L212" i="50"/>
  <c r="I212" i="50"/>
  <c r="F212" i="50"/>
  <c r="C212" i="50" s="1"/>
  <c r="O211" i="50"/>
  <c r="L211" i="50"/>
  <c r="I211" i="50"/>
  <c r="C211" i="50" s="1"/>
  <c r="F211" i="50"/>
  <c r="O210" i="50"/>
  <c r="L210" i="50"/>
  <c r="C210" i="50" s="1"/>
  <c r="I210" i="50"/>
  <c r="F210" i="50"/>
  <c r="O209" i="50"/>
  <c r="L209" i="50"/>
  <c r="I209" i="50"/>
  <c r="F209" i="50"/>
  <c r="C209" i="50"/>
  <c r="O208" i="50"/>
  <c r="L208" i="50"/>
  <c r="I208" i="50"/>
  <c r="F208" i="50"/>
  <c r="C208" i="50" s="1"/>
  <c r="O207" i="50"/>
  <c r="L207" i="50"/>
  <c r="I207" i="50"/>
  <c r="C207" i="50" s="1"/>
  <c r="F207" i="50"/>
  <c r="O206" i="50"/>
  <c r="L206" i="50"/>
  <c r="C206" i="50" s="1"/>
  <c r="I206" i="50"/>
  <c r="F206" i="50"/>
  <c r="O205" i="50"/>
  <c r="N205" i="50"/>
  <c r="M205" i="50"/>
  <c r="K205" i="50"/>
  <c r="L205" i="50" s="1"/>
  <c r="J205" i="50"/>
  <c r="H205" i="50"/>
  <c r="G205" i="50"/>
  <c r="I205" i="50" s="1"/>
  <c r="E205" i="50"/>
  <c r="D205" i="50"/>
  <c r="F205" i="50" s="1"/>
  <c r="C205" i="50" s="1"/>
  <c r="N204" i="50"/>
  <c r="M204" i="50"/>
  <c r="O204" i="50" s="1"/>
  <c r="J204" i="50"/>
  <c r="H204" i="50"/>
  <c r="E204" i="50"/>
  <c r="D204" i="50"/>
  <c r="F204" i="50" s="1"/>
  <c r="O203" i="50"/>
  <c r="L203" i="50"/>
  <c r="I203" i="50"/>
  <c r="C203" i="50" s="1"/>
  <c r="F203" i="50"/>
  <c r="O202" i="50"/>
  <c r="L202" i="50"/>
  <c r="C202" i="50" s="1"/>
  <c r="I202" i="50"/>
  <c r="F202" i="50"/>
  <c r="O201" i="50"/>
  <c r="L201" i="50"/>
  <c r="I201" i="50"/>
  <c r="F201" i="50"/>
  <c r="C201" i="50"/>
  <c r="O200" i="50"/>
  <c r="L200" i="50"/>
  <c r="I200" i="50"/>
  <c r="F200" i="50"/>
  <c r="C200" i="50" s="1"/>
  <c r="O199" i="50"/>
  <c r="L199" i="50"/>
  <c r="I199" i="50"/>
  <c r="D199" i="50"/>
  <c r="F199" i="50" s="1"/>
  <c r="C199" i="50" s="1"/>
  <c r="O198" i="50"/>
  <c r="N198" i="50"/>
  <c r="M198" i="50"/>
  <c r="K198" i="50"/>
  <c r="K196" i="50" s="1"/>
  <c r="J198" i="50"/>
  <c r="H198" i="50"/>
  <c r="H196" i="50" s="1"/>
  <c r="H195" i="50" s="1"/>
  <c r="G198" i="50"/>
  <c r="I198" i="50" s="1"/>
  <c r="E198" i="50"/>
  <c r="D198" i="50"/>
  <c r="F198" i="50" s="1"/>
  <c r="O197" i="50"/>
  <c r="L197" i="50"/>
  <c r="I197" i="50"/>
  <c r="F197" i="50"/>
  <c r="C197" i="50" s="1"/>
  <c r="N196" i="50"/>
  <c r="M196" i="50"/>
  <c r="O196" i="50" s="1"/>
  <c r="J196" i="50"/>
  <c r="L196" i="50" s="1"/>
  <c r="E196" i="50"/>
  <c r="E195" i="50" s="1"/>
  <c r="N195" i="50"/>
  <c r="J195" i="50"/>
  <c r="O193" i="50"/>
  <c r="L193" i="50"/>
  <c r="I193" i="50"/>
  <c r="F193" i="50"/>
  <c r="C193" i="50" s="1"/>
  <c r="N192" i="50"/>
  <c r="M192" i="50"/>
  <c r="O192" i="50" s="1"/>
  <c r="K192" i="50"/>
  <c r="J192" i="50"/>
  <c r="L192" i="50" s="1"/>
  <c r="I192" i="50"/>
  <c r="H192" i="50"/>
  <c r="G192" i="50"/>
  <c r="E192" i="50"/>
  <c r="F192" i="50" s="1"/>
  <c r="D192" i="50"/>
  <c r="N191" i="50"/>
  <c r="K191" i="50"/>
  <c r="J191" i="50"/>
  <c r="L191" i="50" s="1"/>
  <c r="H191" i="50"/>
  <c r="G191" i="50"/>
  <c r="I191" i="50" s="1"/>
  <c r="D191" i="50"/>
  <c r="O190" i="50"/>
  <c r="L190" i="50"/>
  <c r="I190" i="50"/>
  <c r="F190" i="50"/>
  <c r="C190" i="50"/>
  <c r="O189" i="50"/>
  <c r="L189" i="50"/>
  <c r="I189" i="50"/>
  <c r="F189" i="50"/>
  <c r="C189" i="50" s="1"/>
  <c r="N188" i="50"/>
  <c r="M188" i="50"/>
  <c r="O188" i="50" s="1"/>
  <c r="K188" i="50"/>
  <c r="J188" i="50"/>
  <c r="L188" i="50" s="1"/>
  <c r="I188" i="50"/>
  <c r="H188" i="50"/>
  <c r="G188" i="50"/>
  <c r="E188" i="50"/>
  <c r="F188" i="50" s="1"/>
  <c r="D188" i="50"/>
  <c r="N187" i="50"/>
  <c r="K187" i="50"/>
  <c r="J187" i="50"/>
  <c r="L187" i="50" s="1"/>
  <c r="H187" i="50"/>
  <c r="G187" i="50"/>
  <c r="I187" i="50" s="1"/>
  <c r="D187" i="50"/>
  <c r="O186" i="50"/>
  <c r="L186" i="50"/>
  <c r="I186" i="50"/>
  <c r="F186" i="50"/>
  <c r="C186" i="50"/>
  <c r="O185" i="50"/>
  <c r="L185" i="50"/>
  <c r="I185" i="50"/>
  <c r="F185" i="50"/>
  <c r="C185" i="50" s="1"/>
  <c r="N184" i="50"/>
  <c r="M184" i="50"/>
  <c r="O184" i="50" s="1"/>
  <c r="K184" i="50"/>
  <c r="J184" i="50"/>
  <c r="L184" i="50" s="1"/>
  <c r="I184" i="50"/>
  <c r="H184" i="50"/>
  <c r="G184" i="50"/>
  <c r="E184" i="50"/>
  <c r="F184" i="50" s="1"/>
  <c r="D184" i="50"/>
  <c r="O183" i="50"/>
  <c r="L183" i="50"/>
  <c r="C183" i="50" s="1"/>
  <c r="I183" i="50"/>
  <c r="F183" i="50"/>
  <c r="O182" i="50"/>
  <c r="L182" i="50"/>
  <c r="I182" i="50"/>
  <c r="F182" i="50"/>
  <c r="C182" i="50"/>
  <c r="O181" i="50"/>
  <c r="L181" i="50"/>
  <c r="I181" i="50"/>
  <c r="F181" i="50"/>
  <c r="C181" i="50" s="1"/>
  <c r="O180" i="50"/>
  <c r="L180" i="50"/>
  <c r="I180" i="50"/>
  <c r="C180" i="50" s="1"/>
  <c r="F180" i="50"/>
  <c r="N179" i="50"/>
  <c r="O179" i="50" s="1"/>
  <c r="M179" i="50"/>
  <c r="K179" i="50"/>
  <c r="J179" i="50"/>
  <c r="L179" i="50" s="1"/>
  <c r="H179" i="50"/>
  <c r="G179" i="50"/>
  <c r="I179" i="50" s="1"/>
  <c r="F179" i="50"/>
  <c r="E179" i="50"/>
  <c r="D179" i="50"/>
  <c r="O178" i="50"/>
  <c r="L178" i="50"/>
  <c r="I178" i="50"/>
  <c r="F178" i="50"/>
  <c r="C178" i="50"/>
  <c r="O177" i="50"/>
  <c r="L177" i="50"/>
  <c r="I177" i="50"/>
  <c r="F177" i="50"/>
  <c r="C177" i="50" s="1"/>
  <c r="O176" i="50"/>
  <c r="L176" i="50"/>
  <c r="I176" i="50"/>
  <c r="C176" i="50" s="1"/>
  <c r="F176" i="50"/>
  <c r="N175" i="50"/>
  <c r="O175" i="50" s="1"/>
  <c r="M175" i="50"/>
  <c r="K175" i="50"/>
  <c r="J175" i="50"/>
  <c r="L175" i="50" s="1"/>
  <c r="H175" i="50"/>
  <c r="G175" i="50"/>
  <c r="I175" i="50" s="1"/>
  <c r="F175" i="50"/>
  <c r="E175" i="50"/>
  <c r="D175" i="50"/>
  <c r="M174" i="50"/>
  <c r="K174" i="50"/>
  <c r="K173" i="50" s="1"/>
  <c r="H174" i="50"/>
  <c r="G174" i="50"/>
  <c r="I174" i="50" s="1"/>
  <c r="E174" i="50"/>
  <c r="D174" i="50"/>
  <c r="F174" i="50" s="1"/>
  <c r="M173" i="50"/>
  <c r="H173" i="50"/>
  <c r="E173" i="50"/>
  <c r="D173" i="50"/>
  <c r="F173" i="50" s="1"/>
  <c r="O172" i="50"/>
  <c r="L172" i="50"/>
  <c r="I172" i="50"/>
  <c r="C172" i="50" s="1"/>
  <c r="F172" i="50"/>
  <c r="O171" i="50"/>
  <c r="L171" i="50"/>
  <c r="C171" i="50" s="1"/>
  <c r="I171" i="50"/>
  <c r="F171" i="50"/>
  <c r="O170" i="50"/>
  <c r="L170" i="50"/>
  <c r="I170" i="50"/>
  <c r="F170" i="50"/>
  <c r="C170" i="50"/>
  <c r="O169" i="50"/>
  <c r="L169" i="50"/>
  <c r="I169" i="50"/>
  <c r="F169" i="50"/>
  <c r="C169" i="50" s="1"/>
  <c r="O168" i="50"/>
  <c r="L168" i="50"/>
  <c r="I168" i="50"/>
  <c r="C168" i="50" s="1"/>
  <c r="F168" i="50"/>
  <c r="O167" i="50"/>
  <c r="L167" i="50"/>
  <c r="C167" i="50" s="1"/>
  <c r="I167" i="50"/>
  <c r="F167" i="50"/>
  <c r="O166" i="50"/>
  <c r="N166" i="50"/>
  <c r="M166" i="50"/>
  <c r="K166" i="50"/>
  <c r="L166" i="50" s="1"/>
  <c r="J166" i="50"/>
  <c r="H166" i="50"/>
  <c r="G166" i="50"/>
  <c r="I166" i="50" s="1"/>
  <c r="E166" i="50"/>
  <c r="D166" i="50"/>
  <c r="F166" i="50" s="1"/>
  <c r="C166" i="50" s="1"/>
  <c r="N165" i="50"/>
  <c r="M165" i="50"/>
  <c r="O165" i="50" s="1"/>
  <c r="J165" i="50"/>
  <c r="H165" i="50"/>
  <c r="E165" i="50"/>
  <c r="D165" i="50"/>
  <c r="F165" i="50" s="1"/>
  <c r="O164" i="50"/>
  <c r="L164" i="50"/>
  <c r="I164" i="50"/>
  <c r="C164" i="50" s="1"/>
  <c r="F164" i="50"/>
  <c r="O163" i="50"/>
  <c r="L163" i="50"/>
  <c r="C163" i="50" s="1"/>
  <c r="I163" i="50"/>
  <c r="F163" i="50"/>
  <c r="O162" i="50"/>
  <c r="L162" i="50"/>
  <c r="I162" i="50"/>
  <c r="F162" i="50"/>
  <c r="C162" i="50"/>
  <c r="O161" i="50"/>
  <c r="L161" i="50"/>
  <c r="I161" i="50"/>
  <c r="F161" i="50"/>
  <c r="C161" i="50" s="1"/>
  <c r="N160" i="50"/>
  <c r="M160" i="50"/>
  <c r="O160" i="50" s="1"/>
  <c r="K160" i="50"/>
  <c r="J160" i="50"/>
  <c r="L160" i="50" s="1"/>
  <c r="I160" i="50"/>
  <c r="H160" i="50"/>
  <c r="G160" i="50"/>
  <c r="E160" i="50"/>
  <c r="F160" i="50" s="1"/>
  <c r="D160" i="50"/>
  <c r="O159" i="50"/>
  <c r="L159" i="50"/>
  <c r="C159" i="50" s="1"/>
  <c r="I159" i="50"/>
  <c r="F159" i="50"/>
  <c r="O158" i="50"/>
  <c r="L158" i="50"/>
  <c r="I158" i="50"/>
  <c r="F158" i="50"/>
  <c r="C158" i="50"/>
  <c r="O157" i="50"/>
  <c r="L157" i="50"/>
  <c r="I157" i="50"/>
  <c r="F157" i="50"/>
  <c r="C157" i="50" s="1"/>
  <c r="O156" i="50"/>
  <c r="L156" i="50"/>
  <c r="I156" i="50"/>
  <c r="C156" i="50" s="1"/>
  <c r="F156" i="50"/>
  <c r="O155" i="50"/>
  <c r="L155" i="50"/>
  <c r="C155" i="50" s="1"/>
  <c r="I155" i="50"/>
  <c r="F155" i="50"/>
  <c r="O154" i="50"/>
  <c r="L154" i="50"/>
  <c r="I154" i="50"/>
  <c r="F154" i="50"/>
  <c r="C154" i="50"/>
  <c r="O153" i="50"/>
  <c r="L153" i="50"/>
  <c r="I153" i="50"/>
  <c r="F153" i="50"/>
  <c r="C153" i="50" s="1"/>
  <c r="O152" i="50"/>
  <c r="L152" i="50"/>
  <c r="I152" i="50"/>
  <c r="C152" i="50" s="1"/>
  <c r="F152" i="50"/>
  <c r="N151" i="50"/>
  <c r="O151" i="50" s="1"/>
  <c r="M151" i="50"/>
  <c r="K151" i="50"/>
  <c r="J151" i="50"/>
  <c r="L151" i="50" s="1"/>
  <c r="H151" i="50"/>
  <c r="G151" i="50"/>
  <c r="I151" i="50" s="1"/>
  <c r="F151" i="50"/>
  <c r="C151" i="50" s="1"/>
  <c r="E151" i="50"/>
  <c r="D151" i="50"/>
  <c r="O150" i="50"/>
  <c r="L150" i="50"/>
  <c r="I150" i="50"/>
  <c r="F150" i="50"/>
  <c r="C150" i="50"/>
  <c r="O149" i="50"/>
  <c r="L149" i="50"/>
  <c r="I149" i="50"/>
  <c r="F149" i="50"/>
  <c r="C149" i="50" s="1"/>
  <c r="D149" i="50"/>
  <c r="O148" i="50"/>
  <c r="L148" i="50"/>
  <c r="C148" i="50" s="1"/>
  <c r="I148" i="50"/>
  <c r="F148" i="50"/>
  <c r="O147" i="50"/>
  <c r="L147" i="50"/>
  <c r="I147" i="50"/>
  <c r="F147" i="50"/>
  <c r="C147" i="50"/>
  <c r="O146" i="50"/>
  <c r="L146" i="50"/>
  <c r="I146" i="50"/>
  <c r="F146" i="50"/>
  <c r="C146" i="50" s="1"/>
  <c r="O145" i="50"/>
  <c r="L145" i="50"/>
  <c r="I145" i="50"/>
  <c r="C145" i="50" s="1"/>
  <c r="F145" i="50"/>
  <c r="N144" i="50"/>
  <c r="O144" i="50" s="1"/>
  <c r="M144" i="50"/>
  <c r="K144" i="50"/>
  <c r="J144" i="50"/>
  <c r="L144" i="50" s="1"/>
  <c r="H144" i="50"/>
  <c r="G144" i="50"/>
  <c r="I144" i="50" s="1"/>
  <c r="F144" i="50"/>
  <c r="C144" i="50" s="1"/>
  <c r="E144" i="50"/>
  <c r="D144" i="50"/>
  <c r="O143" i="50"/>
  <c r="L143" i="50"/>
  <c r="I143" i="50"/>
  <c r="F143" i="50"/>
  <c r="C143" i="50"/>
  <c r="O142" i="50"/>
  <c r="L142" i="50"/>
  <c r="I142" i="50"/>
  <c r="F142" i="50"/>
  <c r="C142" i="50" s="1"/>
  <c r="N141" i="50"/>
  <c r="M141" i="50"/>
  <c r="O141" i="50" s="1"/>
  <c r="K141" i="50"/>
  <c r="J141" i="50"/>
  <c r="L141" i="50" s="1"/>
  <c r="I141" i="50"/>
  <c r="H141" i="50"/>
  <c r="G141" i="50"/>
  <c r="E141" i="50"/>
  <c r="F141" i="50" s="1"/>
  <c r="C141" i="50" s="1"/>
  <c r="D141" i="50"/>
  <c r="O140" i="50"/>
  <c r="L140" i="50"/>
  <c r="C140" i="50" s="1"/>
  <c r="I140" i="50"/>
  <c r="F140" i="50"/>
  <c r="O139" i="50"/>
  <c r="L139" i="50"/>
  <c r="I139" i="50"/>
  <c r="F139" i="50"/>
  <c r="C139" i="50"/>
  <c r="O138" i="50"/>
  <c r="L138" i="50"/>
  <c r="I138" i="50"/>
  <c r="F138" i="50"/>
  <c r="C138" i="50" s="1"/>
  <c r="O137" i="50"/>
  <c r="L137" i="50"/>
  <c r="I137" i="50"/>
  <c r="C137" i="50" s="1"/>
  <c r="F137" i="50"/>
  <c r="N136" i="50"/>
  <c r="O136" i="50" s="1"/>
  <c r="M136" i="50"/>
  <c r="K136" i="50"/>
  <c r="J136" i="50"/>
  <c r="L136" i="50" s="1"/>
  <c r="H136" i="50"/>
  <c r="G136" i="50"/>
  <c r="I136" i="50" s="1"/>
  <c r="F136" i="50"/>
  <c r="C136" i="50" s="1"/>
  <c r="E136" i="50"/>
  <c r="D136" i="50"/>
  <c r="O135" i="50"/>
  <c r="L135" i="50"/>
  <c r="I135" i="50"/>
  <c r="F135" i="50"/>
  <c r="C135" i="50"/>
  <c r="O134" i="50"/>
  <c r="L134" i="50"/>
  <c r="I134" i="50"/>
  <c r="F134" i="50"/>
  <c r="C134" i="50" s="1"/>
  <c r="O133" i="50"/>
  <c r="L133" i="50"/>
  <c r="I133" i="50"/>
  <c r="D133" i="50"/>
  <c r="F133" i="50" s="1"/>
  <c r="C133" i="50" s="1"/>
  <c r="O132" i="50"/>
  <c r="L132" i="50"/>
  <c r="I132" i="50"/>
  <c r="D132" i="50"/>
  <c r="F132" i="50" s="1"/>
  <c r="C132" i="50" s="1"/>
  <c r="N131" i="50"/>
  <c r="M131" i="50"/>
  <c r="O131" i="50" s="1"/>
  <c r="K131" i="50"/>
  <c r="J131" i="50"/>
  <c r="L131" i="50" s="1"/>
  <c r="I131" i="50"/>
  <c r="H131" i="50"/>
  <c r="G131" i="50"/>
  <c r="E131" i="50"/>
  <c r="E130" i="50" s="1"/>
  <c r="N130" i="50"/>
  <c r="K130" i="50"/>
  <c r="J130" i="50"/>
  <c r="L130" i="50" s="1"/>
  <c r="H130" i="50"/>
  <c r="G130" i="50"/>
  <c r="I130" i="50" s="1"/>
  <c r="O129" i="50"/>
  <c r="L129" i="50"/>
  <c r="I129" i="50"/>
  <c r="F129" i="50"/>
  <c r="C129" i="50"/>
  <c r="N128" i="50"/>
  <c r="M128" i="50"/>
  <c r="O128" i="50" s="1"/>
  <c r="L128" i="50"/>
  <c r="K128" i="50"/>
  <c r="J128" i="50"/>
  <c r="H128" i="50"/>
  <c r="I128" i="50" s="1"/>
  <c r="G128" i="50"/>
  <c r="E128" i="50"/>
  <c r="D128" i="50"/>
  <c r="F128" i="50" s="1"/>
  <c r="O127" i="50"/>
  <c r="L127" i="50"/>
  <c r="I127" i="50"/>
  <c r="C127" i="50" s="1"/>
  <c r="F127" i="50"/>
  <c r="O126" i="50"/>
  <c r="L126" i="50"/>
  <c r="C126" i="50" s="1"/>
  <c r="I126" i="50"/>
  <c r="F126" i="50"/>
  <c r="O125" i="50"/>
  <c r="L125" i="50"/>
  <c r="I125" i="50"/>
  <c r="F125" i="50"/>
  <c r="C125" i="50"/>
  <c r="O124" i="50"/>
  <c r="L124" i="50"/>
  <c r="I124" i="50"/>
  <c r="F124" i="50"/>
  <c r="C124" i="50" s="1"/>
  <c r="O123" i="50"/>
  <c r="L123" i="50"/>
  <c r="I123" i="50"/>
  <c r="C123" i="50" s="1"/>
  <c r="F123" i="50"/>
  <c r="N122" i="50"/>
  <c r="O122" i="50" s="1"/>
  <c r="M122" i="50"/>
  <c r="K122" i="50"/>
  <c r="J122" i="50"/>
  <c r="L122" i="50" s="1"/>
  <c r="H122" i="50"/>
  <c r="G122" i="50"/>
  <c r="I122" i="50" s="1"/>
  <c r="F122" i="50"/>
  <c r="E122" i="50"/>
  <c r="D122" i="50"/>
  <c r="O121" i="50"/>
  <c r="L121" i="50"/>
  <c r="I121" i="50"/>
  <c r="F121" i="50"/>
  <c r="C121" i="50"/>
  <c r="O120" i="50"/>
  <c r="L120" i="50"/>
  <c r="I120" i="50"/>
  <c r="F120" i="50"/>
  <c r="C120" i="50" s="1"/>
  <c r="O119" i="50"/>
  <c r="L119" i="50"/>
  <c r="I119" i="50"/>
  <c r="C119" i="50" s="1"/>
  <c r="F119" i="50"/>
  <c r="O118" i="50"/>
  <c r="L118" i="50"/>
  <c r="C118" i="50" s="1"/>
  <c r="I118" i="50"/>
  <c r="F118" i="50"/>
  <c r="O117" i="50"/>
  <c r="L117" i="50"/>
  <c r="I117" i="50"/>
  <c r="F117" i="50"/>
  <c r="C117" i="50"/>
  <c r="N116" i="50"/>
  <c r="M116" i="50"/>
  <c r="O116" i="50" s="1"/>
  <c r="L116" i="50"/>
  <c r="K116" i="50"/>
  <c r="J116" i="50"/>
  <c r="H116" i="50"/>
  <c r="I116" i="50" s="1"/>
  <c r="G116" i="50"/>
  <c r="E116" i="50"/>
  <c r="D116" i="50"/>
  <c r="F116" i="50" s="1"/>
  <c r="O115" i="50"/>
  <c r="L115" i="50"/>
  <c r="I115" i="50"/>
  <c r="D115" i="50"/>
  <c r="F115" i="50" s="1"/>
  <c r="C115" i="50" s="1"/>
  <c r="O114" i="50"/>
  <c r="L114" i="50"/>
  <c r="I114" i="50"/>
  <c r="F114" i="50"/>
  <c r="C114" i="50"/>
  <c r="O113" i="50"/>
  <c r="L113" i="50"/>
  <c r="I113" i="50"/>
  <c r="F113" i="50"/>
  <c r="C113" i="50" s="1"/>
  <c r="N112" i="50"/>
  <c r="M112" i="50"/>
  <c r="O112" i="50" s="1"/>
  <c r="K112" i="50"/>
  <c r="J112" i="50"/>
  <c r="L112" i="50" s="1"/>
  <c r="I112" i="50"/>
  <c r="H112" i="50"/>
  <c r="G112" i="50"/>
  <c r="E112" i="50"/>
  <c r="O111" i="50"/>
  <c r="L111" i="50"/>
  <c r="C111" i="50" s="1"/>
  <c r="I111" i="50"/>
  <c r="F111" i="50"/>
  <c r="O110" i="50"/>
  <c r="L110" i="50"/>
  <c r="I110" i="50"/>
  <c r="F110" i="50"/>
  <c r="C110" i="50"/>
  <c r="O109" i="50"/>
  <c r="L109" i="50"/>
  <c r="I109" i="50"/>
  <c r="F109" i="50"/>
  <c r="C109" i="50" s="1"/>
  <c r="O108" i="50"/>
  <c r="L108" i="50"/>
  <c r="I108" i="50"/>
  <c r="C108" i="50" s="1"/>
  <c r="F108" i="50"/>
  <c r="O107" i="50"/>
  <c r="L107" i="50"/>
  <c r="C107" i="50" s="1"/>
  <c r="I107" i="50"/>
  <c r="F107" i="50"/>
  <c r="O106" i="50"/>
  <c r="L106" i="50"/>
  <c r="I106" i="50"/>
  <c r="F106" i="50"/>
  <c r="C106" i="50"/>
  <c r="O105" i="50"/>
  <c r="L105" i="50"/>
  <c r="I105" i="50"/>
  <c r="F105" i="50"/>
  <c r="C105" i="50" s="1"/>
  <c r="O104" i="50"/>
  <c r="L104" i="50"/>
  <c r="I104" i="50"/>
  <c r="C104" i="50" s="1"/>
  <c r="F104" i="50"/>
  <c r="N103" i="50"/>
  <c r="O103" i="50" s="1"/>
  <c r="M103" i="50"/>
  <c r="K103" i="50"/>
  <c r="J103" i="50"/>
  <c r="L103" i="50" s="1"/>
  <c r="H103" i="50"/>
  <c r="G103" i="50"/>
  <c r="I103" i="50" s="1"/>
  <c r="F103" i="50"/>
  <c r="E103" i="50"/>
  <c r="D103" i="50"/>
  <c r="O102" i="50"/>
  <c r="L102" i="50"/>
  <c r="I102" i="50"/>
  <c r="F102" i="50"/>
  <c r="C102" i="50"/>
  <c r="O101" i="50"/>
  <c r="L101" i="50"/>
  <c r="I101" i="50"/>
  <c r="F101" i="50"/>
  <c r="C101" i="50" s="1"/>
  <c r="O100" i="50"/>
  <c r="L100" i="50"/>
  <c r="I100" i="50"/>
  <c r="C100" i="50" s="1"/>
  <c r="F100" i="50"/>
  <c r="O99" i="50"/>
  <c r="L99" i="50"/>
  <c r="C99" i="50" s="1"/>
  <c r="I99" i="50"/>
  <c r="F99" i="50"/>
  <c r="O98" i="50"/>
  <c r="L98" i="50"/>
  <c r="I98" i="50"/>
  <c r="F98" i="50"/>
  <c r="C98" i="50" s="1"/>
  <c r="O97" i="50"/>
  <c r="L97" i="50"/>
  <c r="I97" i="50"/>
  <c r="F97" i="50"/>
  <c r="O96" i="50"/>
  <c r="L96" i="50"/>
  <c r="I96" i="50"/>
  <c r="C96" i="50" s="1"/>
  <c r="F96" i="50"/>
  <c r="N95" i="50"/>
  <c r="O95" i="50" s="1"/>
  <c r="C95" i="50" s="1"/>
  <c r="M95" i="50"/>
  <c r="K95" i="50"/>
  <c r="J95" i="50"/>
  <c r="L95" i="50" s="1"/>
  <c r="H95" i="50"/>
  <c r="G95" i="50"/>
  <c r="I95" i="50" s="1"/>
  <c r="F95" i="50"/>
  <c r="E95" i="50"/>
  <c r="D95" i="50"/>
  <c r="O94" i="50"/>
  <c r="L94" i="50"/>
  <c r="I94" i="50"/>
  <c r="F94" i="50"/>
  <c r="C94" i="50" s="1"/>
  <c r="O93" i="50"/>
  <c r="L93" i="50"/>
  <c r="I93" i="50"/>
  <c r="F93" i="50"/>
  <c r="O92" i="50"/>
  <c r="L92" i="50"/>
  <c r="I92" i="50"/>
  <c r="C92" i="50" s="1"/>
  <c r="F92" i="50"/>
  <c r="O91" i="50"/>
  <c r="L91" i="50"/>
  <c r="C91" i="50" s="1"/>
  <c r="I91" i="50"/>
  <c r="F91" i="50"/>
  <c r="O90" i="50"/>
  <c r="L90" i="50"/>
  <c r="I90" i="50"/>
  <c r="F90" i="50"/>
  <c r="C90" i="50"/>
  <c r="N89" i="50"/>
  <c r="M89" i="50"/>
  <c r="L89" i="50"/>
  <c r="K89" i="50"/>
  <c r="J89" i="50"/>
  <c r="H89" i="50"/>
  <c r="I89" i="50" s="1"/>
  <c r="G89" i="50"/>
  <c r="E89" i="50"/>
  <c r="E83" i="50" s="1"/>
  <c r="D89" i="50"/>
  <c r="O88" i="50"/>
  <c r="L88" i="50"/>
  <c r="I88" i="50"/>
  <c r="C88" i="50" s="1"/>
  <c r="D88" i="50"/>
  <c r="F88" i="50" s="1"/>
  <c r="O87" i="50"/>
  <c r="L87" i="50"/>
  <c r="I87" i="50"/>
  <c r="F87" i="50"/>
  <c r="C87" i="50"/>
  <c r="O86" i="50"/>
  <c r="L86" i="50"/>
  <c r="I86" i="50"/>
  <c r="F86" i="50"/>
  <c r="C86" i="50" s="1"/>
  <c r="O85" i="50"/>
  <c r="L85" i="50"/>
  <c r="I85" i="50"/>
  <c r="C85" i="50" s="1"/>
  <c r="F85" i="50"/>
  <c r="O84" i="50"/>
  <c r="N84" i="50"/>
  <c r="M84" i="50"/>
  <c r="K84" i="50"/>
  <c r="K83" i="50" s="1"/>
  <c r="J84" i="50"/>
  <c r="H84" i="50"/>
  <c r="G84" i="50"/>
  <c r="I84" i="50" s="1"/>
  <c r="F84" i="50"/>
  <c r="E84" i="50"/>
  <c r="D84" i="50"/>
  <c r="G83" i="50"/>
  <c r="O82" i="50"/>
  <c r="L82" i="50"/>
  <c r="I82" i="50"/>
  <c r="F82" i="50"/>
  <c r="O81" i="50"/>
  <c r="L81" i="50"/>
  <c r="I81" i="50"/>
  <c r="C81" i="50" s="1"/>
  <c r="F81" i="50"/>
  <c r="N80" i="50"/>
  <c r="O80" i="50" s="1"/>
  <c r="C80" i="50" s="1"/>
  <c r="M80" i="50"/>
  <c r="K80" i="50"/>
  <c r="J80" i="50"/>
  <c r="L80" i="50" s="1"/>
  <c r="H80" i="50"/>
  <c r="G80" i="50"/>
  <c r="I80" i="50" s="1"/>
  <c r="F80" i="50"/>
  <c r="E80" i="50"/>
  <c r="D80" i="50"/>
  <c r="O79" i="50"/>
  <c r="L79" i="50"/>
  <c r="I79" i="50"/>
  <c r="F79" i="50"/>
  <c r="C79" i="50" s="1"/>
  <c r="O78" i="50"/>
  <c r="L78" i="50"/>
  <c r="I78" i="50"/>
  <c r="F78" i="50"/>
  <c r="N77" i="50"/>
  <c r="N76" i="50" s="1"/>
  <c r="M77" i="50"/>
  <c r="K77" i="50"/>
  <c r="J77" i="50"/>
  <c r="L77" i="50" s="1"/>
  <c r="I77" i="50"/>
  <c r="H77" i="50"/>
  <c r="G77" i="50"/>
  <c r="E77" i="50"/>
  <c r="E76" i="50" s="1"/>
  <c r="D77" i="50"/>
  <c r="K76" i="50"/>
  <c r="J76" i="50"/>
  <c r="H76" i="50"/>
  <c r="F76" i="50"/>
  <c r="D76" i="50"/>
  <c r="O74" i="50"/>
  <c r="L74" i="50"/>
  <c r="I74" i="50"/>
  <c r="F74" i="50"/>
  <c r="C74" i="50" s="1"/>
  <c r="O73" i="50"/>
  <c r="L73" i="50"/>
  <c r="I73" i="50"/>
  <c r="D73" i="50"/>
  <c r="F73" i="50" s="1"/>
  <c r="C73" i="50"/>
  <c r="O72" i="50"/>
  <c r="L72" i="50"/>
  <c r="I72" i="50"/>
  <c r="F72" i="50"/>
  <c r="C72" i="50" s="1"/>
  <c r="O71" i="50"/>
  <c r="L71" i="50"/>
  <c r="I71" i="50"/>
  <c r="F71" i="50"/>
  <c r="O70" i="50"/>
  <c r="L70" i="50"/>
  <c r="I70" i="50"/>
  <c r="C70" i="50" s="1"/>
  <c r="D70" i="50"/>
  <c r="F70" i="50" s="1"/>
  <c r="O69" i="50"/>
  <c r="N69" i="50"/>
  <c r="M69" i="50"/>
  <c r="K69" i="50"/>
  <c r="K67" i="50" s="1"/>
  <c r="J69" i="50"/>
  <c r="H69" i="50"/>
  <c r="H67" i="50" s="1"/>
  <c r="G69" i="50"/>
  <c r="E69" i="50"/>
  <c r="D69" i="50"/>
  <c r="O68" i="50"/>
  <c r="L68" i="50"/>
  <c r="I68" i="50"/>
  <c r="F68" i="50"/>
  <c r="N67" i="50"/>
  <c r="M67" i="50"/>
  <c r="O67" i="50" s="1"/>
  <c r="J67" i="50"/>
  <c r="L67" i="50" s="1"/>
  <c r="E67" i="50"/>
  <c r="O66" i="50"/>
  <c r="L66" i="50"/>
  <c r="I66" i="50"/>
  <c r="D66" i="50"/>
  <c r="F66" i="50" s="1"/>
  <c r="C66" i="50"/>
  <c r="O65" i="50"/>
  <c r="L65" i="50"/>
  <c r="I65" i="50"/>
  <c r="F65" i="50"/>
  <c r="C65" i="50" s="1"/>
  <c r="O64" i="50"/>
  <c r="L64" i="50"/>
  <c r="I64" i="50"/>
  <c r="C64" i="50" s="1"/>
  <c r="F64" i="50"/>
  <c r="O63" i="50"/>
  <c r="L63" i="50"/>
  <c r="C63" i="50" s="1"/>
  <c r="I63" i="50"/>
  <c r="F63" i="50"/>
  <c r="O62" i="50"/>
  <c r="L62" i="50"/>
  <c r="I62" i="50"/>
  <c r="F62" i="50"/>
  <c r="C62" i="50"/>
  <c r="O61" i="50"/>
  <c r="L61" i="50"/>
  <c r="I61" i="50"/>
  <c r="F61" i="50"/>
  <c r="C61" i="50" s="1"/>
  <c r="O60" i="50"/>
  <c r="L60" i="50"/>
  <c r="I60" i="50"/>
  <c r="F60" i="50"/>
  <c r="O59" i="50"/>
  <c r="L59" i="50"/>
  <c r="C59" i="50" s="1"/>
  <c r="I59" i="50"/>
  <c r="F59" i="50"/>
  <c r="O58" i="50"/>
  <c r="N58" i="50"/>
  <c r="M58" i="50"/>
  <c r="K58" i="50"/>
  <c r="L58" i="50" s="1"/>
  <c r="J58" i="50"/>
  <c r="H58" i="50"/>
  <c r="G58" i="50"/>
  <c r="I58" i="50" s="1"/>
  <c r="E58" i="50"/>
  <c r="D58" i="50"/>
  <c r="F58" i="50" s="1"/>
  <c r="O57" i="50"/>
  <c r="L57" i="50"/>
  <c r="I57" i="50"/>
  <c r="F57" i="50"/>
  <c r="C57" i="50" s="1"/>
  <c r="D57" i="50"/>
  <c r="O56" i="50"/>
  <c r="L56" i="50"/>
  <c r="I56" i="50"/>
  <c r="F56" i="50"/>
  <c r="C56" i="50"/>
  <c r="O55" i="50"/>
  <c r="N55" i="50"/>
  <c r="M55" i="50"/>
  <c r="L55" i="50"/>
  <c r="K55" i="50"/>
  <c r="J55" i="50"/>
  <c r="H55" i="50"/>
  <c r="H54" i="50" s="1"/>
  <c r="H53" i="50" s="1"/>
  <c r="G55" i="50"/>
  <c r="E55" i="50"/>
  <c r="D55" i="50"/>
  <c r="F55" i="50" s="1"/>
  <c r="N54" i="50"/>
  <c r="M54" i="50"/>
  <c r="O54" i="50" s="1"/>
  <c r="J54" i="50"/>
  <c r="E54" i="50"/>
  <c r="D54" i="50"/>
  <c r="F54" i="50" s="1"/>
  <c r="N53" i="50"/>
  <c r="M53" i="50"/>
  <c r="E53" i="50"/>
  <c r="O47" i="50"/>
  <c r="C47" i="50"/>
  <c r="O46" i="50"/>
  <c r="C46" i="50" s="1"/>
  <c r="N45" i="50"/>
  <c r="M45" i="50"/>
  <c r="L44" i="50"/>
  <c r="I44" i="50"/>
  <c r="F44" i="50"/>
  <c r="C44" i="50" s="1"/>
  <c r="K43" i="50"/>
  <c r="J43" i="50"/>
  <c r="L43" i="50" s="1"/>
  <c r="H43" i="50"/>
  <c r="G43" i="50"/>
  <c r="I43" i="50" s="1"/>
  <c r="F43" i="50"/>
  <c r="C43" i="50" s="1"/>
  <c r="E43" i="50"/>
  <c r="D43" i="50"/>
  <c r="F42" i="50"/>
  <c r="C42" i="50" s="1"/>
  <c r="L41" i="50"/>
  <c r="C41" i="50"/>
  <c r="L40" i="50"/>
  <c r="C40" i="50" s="1"/>
  <c r="L39" i="50"/>
  <c r="C39" i="50"/>
  <c r="L38" i="50"/>
  <c r="C38" i="50" s="1"/>
  <c r="K37" i="50"/>
  <c r="J37" i="50"/>
  <c r="L37" i="50" s="1"/>
  <c r="C37" i="50" s="1"/>
  <c r="L36" i="50"/>
  <c r="C36" i="50"/>
  <c r="L35" i="50"/>
  <c r="C35" i="50" s="1"/>
  <c r="K34" i="50"/>
  <c r="J34" i="50"/>
  <c r="L34" i="50" s="1"/>
  <c r="C34" i="50" s="1"/>
  <c r="L33" i="50"/>
  <c r="C33" i="50"/>
  <c r="L32" i="50"/>
  <c r="C32" i="50" s="1"/>
  <c r="K32" i="50"/>
  <c r="J32" i="50"/>
  <c r="L31" i="50"/>
  <c r="C31" i="50" s="1"/>
  <c r="L30" i="50"/>
  <c r="C30" i="50"/>
  <c r="L29" i="50"/>
  <c r="C29" i="50" s="1"/>
  <c r="K28" i="50"/>
  <c r="J28" i="50"/>
  <c r="L28" i="50" s="1"/>
  <c r="C28" i="50" s="1"/>
  <c r="K27" i="50"/>
  <c r="J27" i="50"/>
  <c r="L27" i="50" s="1"/>
  <c r="C27" i="50" s="1"/>
  <c r="F26" i="50"/>
  <c r="C26" i="50"/>
  <c r="I25" i="50"/>
  <c r="O24" i="50"/>
  <c r="L24" i="50"/>
  <c r="I24" i="50"/>
  <c r="F24" i="50"/>
  <c r="C24" i="50"/>
  <c r="O23" i="50"/>
  <c r="L23" i="50"/>
  <c r="I23" i="50"/>
  <c r="F23" i="50"/>
  <c r="C23" i="50" s="1"/>
  <c r="N22" i="50"/>
  <c r="N287" i="50" s="1"/>
  <c r="N286" i="50" s="1"/>
  <c r="M22" i="50"/>
  <c r="M287" i="50" s="1"/>
  <c r="K22" i="50"/>
  <c r="K287" i="50" s="1"/>
  <c r="K286" i="50" s="1"/>
  <c r="J22" i="50"/>
  <c r="J287" i="50" s="1"/>
  <c r="I22" i="50"/>
  <c r="H22" i="50"/>
  <c r="H287" i="50" s="1"/>
  <c r="H286" i="50" s="1"/>
  <c r="G22" i="50"/>
  <c r="G287" i="50" s="1"/>
  <c r="E22" i="50"/>
  <c r="E287" i="50" s="1"/>
  <c r="E286" i="50" s="1"/>
  <c r="D22" i="50"/>
  <c r="D287" i="50" s="1"/>
  <c r="N21" i="50"/>
  <c r="K21" i="50"/>
  <c r="J21" i="50"/>
  <c r="L21" i="50" s="1"/>
  <c r="H21" i="50"/>
  <c r="G21" i="50"/>
  <c r="I21" i="50" s="1"/>
  <c r="H53" i="53" l="1"/>
  <c r="H288" i="53"/>
  <c r="F56" i="54"/>
  <c r="C56" i="54" s="1"/>
  <c r="D55" i="54"/>
  <c r="J55" i="54"/>
  <c r="L56" i="54"/>
  <c r="G197" i="53"/>
  <c r="I197" i="53" s="1"/>
  <c r="C57" i="53"/>
  <c r="C234" i="54"/>
  <c r="E55" i="54"/>
  <c r="E54" i="54" s="1"/>
  <c r="C198" i="54"/>
  <c r="M55" i="53"/>
  <c r="C79" i="53"/>
  <c r="H287" i="54"/>
  <c r="I198" i="54"/>
  <c r="G197" i="54"/>
  <c r="I197" i="54" s="1"/>
  <c r="C190" i="53"/>
  <c r="N53" i="53"/>
  <c r="N288" i="53"/>
  <c r="N53" i="54"/>
  <c r="N288" i="54"/>
  <c r="E53" i="53"/>
  <c r="E288" i="53"/>
  <c r="D287" i="54"/>
  <c r="F287" i="54" s="1"/>
  <c r="C233" i="54"/>
  <c r="H53" i="54"/>
  <c r="H288" i="54"/>
  <c r="F198" i="53"/>
  <c r="D197" i="53"/>
  <c r="F197" i="53" s="1"/>
  <c r="D197" i="54"/>
  <c r="F197" i="54" s="1"/>
  <c r="F78" i="53"/>
  <c r="C78" i="53" s="1"/>
  <c r="M197" i="54"/>
  <c r="O197" i="54" s="1"/>
  <c r="F56" i="53"/>
  <c r="C56" i="53" s="1"/>
  <c r="D55" i="53"/>
  <c r="G55" i="54"/>
  <c r="I56" i="54"/>
  <c r="D287" i="53"/>
  <c r="F287" i="53" s="1"/>
  <c r="G55" i="53"/>
  <c r="I56" i="53"/>
  <c r="L56" i="53"/>
  <c r="J55" i="53"/>
  <c r="G287" i="54"/>
  <c r="I287" i="54" s="1"/>
  <c r="O55" i="54"/>
  <c r="M54" i="54"/>
  <c r="L198" i="53"/>
  <c r="J197" i="53"/>
  <c r="L197" i="53" s="1"/>
  <c r="K197" i="54"/>
  <c r="K54" i="54" s="1"/>
  <c r="K287" i="54"/>
  <c r="J287" i="54"/>
  <c r="L271" i="54"/>
  <c r="C271" i="54" s="1"/>
  <c r="C287" i="54" s="1"/>
  <c r="I78" i="54"/>
  <c r="C78" i="54" s="1"/>
  <c r="G287" i="53"/>
  <c r="I287" i="53" s="1"/>
  <c r="L198" i="54"/>
  <c r="J197" i="54"/>
  <c r="L233" i="53"/>
  <c r="C233" i="53" s="1"/>
  <c r="J287" i="53"/>
  <c r="L287" i="53" s="1"/>
  <c r="E287" i="53"/>
  <c r="L54" i="50"/>
  <c r="C58" i="50"/>
  <c r="N75" i="50"/>
  <c r="O287" i="50"/>
  <c r="M286" i="50"/>
  <c r="O286" i="50" s="1"/>
  <c r="F22" i="50"/>
  <c r="J53" i="50"/>
  <c r="G286" i="50"/>
  <c r="I286" i="50" s="1"/>
  <c r="I287" i="50"/>
  <c r="O22" i="50"/>
  <c r="O53" i="50"/>
  <c r="E21" i="50"/>
  <c r="M21" i="50"/>
  <c r="O21" i="50" s="1"/>
  <c r="F287" i="50"/>
  <c r="D286" i="50"/>
  <c r="F286" i="50" s="1"/>
  <c r="L22" i="50"/>
  <c r="K54" i="50"/>
  <c r="K53" i="50" s="1"/>
  <c r="C60" i="50"/>
  <c r="C68" i="50"/>
  <c r="C71" i="50"/>
  <c r="G76" i="50"/>
  <c r="F77" i="50"/>
  <c r="C78" i="50"/>
  <c r="C82" i="50"/>
  <c r="N83" i="50"/>
  <c r="F89" i="50"/>
  <c r="M83" i="50"/>
  <c r="O83" i="50" s="1"/>
  <c r="O89" i="50"/>
  <c r="C93" i="50"/>
  <c r="C97" i="50"/>
  <c r="C103" i="50"/>
  <c r="C175" i="50"/>
  <c r="N194" i="50"/>
  <c r="C216" i="50"/>
  <c r="C227" i="50"/>
  <c r="I258" i="50"/>
  <c r="I55" i="50"/>
  <c r="C55" i="50" s="1"/>
  <c r="G54" i="50"/>
  <c r="F69" i="50"/>
  <c r="D67" i="50"/>
  <c r="F67" i="50" s="1"/>
  <c r="C67" i="50" s="1"/>
  <c r="L84" i="50"/>
  <c r="C84" i="50" s="1"/>
  <c r="J83" i="50"/>
  <c r="L83" i="50" s="1"/>
  <c r="E194" i="50"/>
  <c r="L76" i="50"/>
  <c r="J75" i="50"/>
  <c r="O77" i="50"/>
  <c r="M76" i="50"/>
  <c r="C116" i="50"/>
  <c r="C179" i="50"/>
  <c r="C251" i="50"/>
  <c r="J286" i="50"/>
  <c r="L286" i="50" s="1"/>
  <c r="L287" i="50"/>
  <c r="O45" i="50"/>
  <c r="C45" i="50" s="1"/>
  <c r="I69" i="50"/>
  <c r="G67" i="50"/>
  <c r="I67" i="50" s="1"/>
  <c r="L69" i="50"/>
  <c r="E75" i="50"/>
  <c r="E52" i="50" s="1"/>
  <c r="E51" i="50" s="1"/>
  <c r="H83" i="50"/>
  <c r="H75" i="50" s="1"/>
  <c r="H52" i="50" s="1"/>
  <c r="C122" i="50"/>
  <c r="C128" i="50"/>
  <c r="C160" i="50"/>
  <c r="C184" i="50"/>
  <c r="C188" i="50"/>
  <c r="C192" i="50"/>
  <c r="E230" i="50"/>
  <c r="D112" i="50"/>
  <c r="M130" i="50"/>
  <c r="O130" i="50" s="1"/>
  <c r="D131" i="50"/>
  <c r="G165" i="50"/>
  <c r="I165" i="50" s="1"/>
  <c r="K165" i="50"/>
  <c r="L165" i="50" s="1"/>
  <c r="C165" i="50" s="1"/>
  <c r="G173" i="50"/>
  <c r="I173" i="50" s="1"/>
  <c r="J174" i="50"/>
  <c r="N174" i="50"/>
  <c r="E187" i="50"/>
  <c r="F187" i="50" s="1"/>
  <c r="M187" i="50"/>
  <c r="O187" i="50" s="1"/>
  <c r="E191" i="50"/>
  <c r="F191" i="50" s="1"/>
  <c r="C191" i="50" s="1"/>
  <c r="M191" i="50"/>
  <c r="O191" i="50" s="1"/>
  <c r="M195" i="50"/>
  <c r="D196" i="50"/>
  <c r="G204" i="50"/>
  <c r="I204" i="50" s="1"/>
  <c r="K204" i="50"/>
  <c r="L204" i="50" s="1"/>
  <c r="C204" i="50" s="1"/>
  <c r="H230" i="50"/>
  <c r="H194" i="50" s="1"/>
  <c r="M231" i="50"/>
  <c r="L238" i="50"/>
  <c r="C238" i="50" s="1"/>
  <c r="C243" i="50"/>
  <c r="C255" i="50"/>
  <c r="D258" i="50"/>
  <c r="F258" i="50" s="1"/>
  <c r="C258" i="50" s="1"/>
  <c r="H258" i="50"/>
  <c r="L259" i="50"/>
  <c r="G268" i="50"/>
  <c r="I268" i="50" s="1"/>
  <c r="L269" i="50"/>
  <c r="J268" i="50"/>
  <c r="L268" i="50" s="1"/>
  <c r="F271" i="50"/>
  <c r="C271" i="50" s="1"/>
  <c r="D269" i="50"/>
  <c r="I271" i="50"/>
  <c r="O271" i="50"/>
  <c r="M269" i="50"/>
  <c r="F275" i="50"/>
  <c r="C275" i="50" s="1"/>
  <c r="F279" i="50"/>
  <c r="C279" i="50" s="1"/>
  <c r="C291" i="50"/>
  <c r="C288" i="50" s="1"/>
  <c r="C55" i="51"/>
  <c r="E75" i="51"/>
  <c r="D230" i="50"/>
  <c r="F230" i="50" s="1"/>
  <c r="E284" i="50"/>
  <c r="L281" i="50"/>
  <c r="C281" i="50" s="1"/>
  <c r="J53" i="51"/>
  <c r="L67" i="51"/>
  <c r="L198" i="50"/>
  <c r="C198" i="50" s="1"/>
  <c r="J231" i="50"/>
  <c r="K231" i="50"/>
  <c r="K230" i="50" s="1"/>
  <c r="L252" i="50"/>
  <c r="F259" i="50"/>
  <c r="C259" i="50" s="1"/>
  <c r="C263" i="50"/>
  <c r="E52" i="51"/>
  <c r="E51" i="51" s="1"/>
  <c r="G196" i="50"/>
  <c r="C223" i="50"/>
  <c r="F231" i="50"/>
  <c r="I233" i="50"/>
  <c r="C233" i="50" s="1"/>
  <c r="G231" i="50"/>
  <c r="I252" i="50"/>
  <c r="C252" i="50" s="1"/>
  <c r="C58" i="51"/>
  <c r="E21" i="51"/>
  <c r="F21" i="51" s="1"/>
  <c r="M21" i="51"/>
  <c r="O21" i="51" s="1"/>
  <c r="D286" i="51"/>
  <c r="F286" i="51" s="1"/>
  <c r="F287" i="51"/>
  <c r="L22" i="51"/>
  <c r="J27" i="51"/>
  <c r="F43" i="51"/>
  <c r="C43" i="51" s="1"/>
  <c r="M53" i="51"/>
  <c r="D54" i="51"/>
  <c r="H54" i="51"/>
  <c r="C59" i="51"/>
  <c r="I69" i="51"/>
  <c r="C69" i="51" s="1"/>
  <c r="G67" i="51"/>
  <c r="L69" i="51"/>
  <c r="G76" i="51"/>
  <c r="C79" i="51"/>
  <c r="F84" i="51"/>
  <c r="I84" i="51"/>
  <c r="C103" i="51"/>
  <c r="C151" i="51"/>
  <c r="C166" i="51"/>
  <c r="C175" i="51"/>
  <c r="M286" i="51"/>
  <c r="O286" i="51" s="1"/>
  <c r="O287" i="51"/>
  <c r="K285" i="51"/>
  <c r="F80" i="51"/>
  <c r="C80" i="51" s="1"/>
  <c r="O83" i="51"/>
  <c r="C83" i="51" s="1"/>
  <c r="C87" i="51"/>
  <c r="F22" i="51"/>
  <c r="J286" i="51"/>
  <c r="L286" i="51" s="1"/>
  <c r="L287" i="51"/>
  <c r="O45" i="51"/>
  <c r="C45" i="51" s="1"/>
  <c r="D67" i="51"/>
  <c r="F67" i="51" s="1"/>
  <c r="F76" i="51"/>
  <c r="O76" i="51"/>
  <c r="I287" i="51"/>
  <c r="G286" i="51"/>
  <c r="I286" i="51" s="1"/>
  <c r="O22" i="51"/>
  <c r="C63" i="51"/>
  <c r="L77" i="51"/>
  <c r="C77" i="51" s="1"/>
  <c r="L84" i="51"/>
  <c r="C136" i="51"/>
  <c r="C141" i="51"/>
  <c r="C160" i="51"/>
  <c r="D130" i="51"/>
  <c r="F130" i="51" s="1"/>
  <c r="H130" i="51"/>
  <c r="H75" i="51" s="1"/>
  <c r="E165" i="51"/>
  <c r="F165" i="51" s="1"/>
  <c r="M165" i="51"/>
  <c r="O165" i="51" s="1"/>
  <c r="M173" i="51"/>
  <c r="O173" i="51" s="1"/>
  <c r="D174" i="51"/>
  <c r="H174" i="51"/>
  <c r="C179" i="51"/>
  <c r="F191" i="51"/>
  <c r="C198" i="51"/>
  <c r="C231" i="51"/>
  <c r="C235" i="51"/>
  <c r="C259" i="51"/>
  <c r="C263" i="51"/>
  <c r="C275" i="51"/>
  <c r="C288" i="51"/>
  <c r="M187" i="51"/>
  <c r="O187" i="51" s="1"/>
  <c r="O191" i="51"/>
  <c r="J130" i="51"/>
  <c r="N130" i="51"/>
  <c r="O130" i="51" s="1"/>
  <c r="L136" i="51"/>
  <c r="C176" i="51"/>
  <c r="C230" i="51"/>
  <c r="C238" i="51"/>
  <c r="C258" i="51"/>
  <c r="E284" i="51"/>
  <c r="E14" i="52"/>
  <c r="E13" i="52" s="1"/>
  <c r="G124" i="52"/>
  <c r="G130" i="51"/>
  <c r="I130" i="51" s="1"/>
  <c r="C187" i="51"/>
  <c r="C194" i="51"/>
  <c r="C204" i="51"/>
  <c r="C205" i="51"/>
  <c r="C227" i="51"/>
  <c r="C233" i="51"/>
  <c r="K284" i="51"/>
  <c r="G106" i="52"/>
  <c r="G14" i="52" s="1"/>
  <c r="L281" i="51"/>
  <c r="E124" i="52"/>
  <c r="O192" i="51"/>
  <c r="C192" i="51" s="1"/>
  <c r="F281" i="51"/>
  <c r="C281" i="51" s="1"/>
  <c r="E260" i="52"/>
  <c r="K53" i="54" l="1"/>
  <c r="K288" i="54"/>
  <c r="M53" i="54"/>
  <c r="O53" i="54" s="1"/>
  <c r="O54" i="54"/>
  <c r="M288" i="54"/>
  <c r="O288" i="54" s="1"/>
  <c r="C197" i="53"/>
  <c r="E53" i="54"/>
  <c r="E288" i="54"/>
  <c r="L197" i="54"/>
  <c r="C197" i="54" s="1"/>
  <c r="G54" i="54"/>
  <c r="I55" i="54"/>
  <c r="C198" i="53"/>
  <c r="C287" i="53" s="1"/>
  <c r="L55" i="54"/>
  <c r="J54" i="54"/>
  <c r="L55" i="53"/>
  <c r="J54" i="53"/>
  <c r="L287" i="54"/>
  <c r="I55" i="53"/>
  <c r="G54" i="53"/>
  <c r="D54" i="53"/>
  <c r="F55" i="53"/>
  <c r="O55" i="53"/>
  <c r="M54" i="53"/>
  <c r="D54" i="54"/>
  <c r="F55" i="54"/>
  <c r="G13" i="52"/>
  <c r="K284" i="50"/>
  <c r="H51" i="50"/>
  <c r="E285" i="50"/>
  <c r="E50" i="50"/>
  <c r="O53" i="51"/>
  <c r="C22" i="51"/>
  <c r="C287" i="51" s="1"/>
  <c r="C286" i="51" s="1"/>
  <c r="G75" i="51"/>
  <c r="I76" i="51"/>
  <c r="M284" i="51"/>
  <c r="H173" i="51"/>
  <c r="I174" i="51"/>
  <c r="C165" i="51"/>
  <c r="H53" i="51"/>
  <c r="I54" i="51"/>
  <c r="D75" i="51"/>
  <c r="F75" i="51" s="1"/>
  <c r="M75" i="51"/>
  <c r="N173" i="50"/>
  <c r="O174" i="50"/>
  <c r="I83" i="50"/>
  <c r="G53" i="50"/>
  <c r="I54" i="50"/>
  <c r="C54" i="50" s="1"/>
  <c r="H284" i="50"/>
  <c r="I76" i="50"/>
  <c r="G75" i="50"/>
  <c r="I75" i="50" s="1"/>
  <c r="C22" i="50"/>
  <c r="C287" i="50" s="1"/>
  <c r="C286" i="50" s="1"/>
  <c r="D173" i="51"/>
  <c r="F174" i="51"/>
  <c r="C84" i="51"/>
  <c r="I67" i="51"/>
  <c r="C67" i="51" s="1"/>
  <c r="G53" i="51"/>
  <c r="D53" i="51"/>
  <c r="F54" i="51"/>
  <c r="L27" i="51"/>
  <c r="C27" i="51" s="1"/>
  <c r="J21" i="51"/>
  <c r="L21" i="51" s="1"/>
  <c r="E285" i="51"/>
  <c r="E50" i="51"/>
  <c r="N75" i="51"/>
  <c r="O231" i="50"/>
  <c r="M230" i="50"/>
  <c r="O230" i="50" s="1"/>
  <c r="D195" i="50"/>
  <c r="F196" i="50"/>
  <c r="J173" i="50"/>
  <c r="L173" i="50" s="1"/>
  <c r="L174" i="50"/>
  <c r="C174" i="50" s="1"/>
  <c r="D130" i="50"/>
  <c r="F130" i="50" s="1"/>
  <c r="C130" i="50" s="1"/>
  <c r="F131" i="50"/>
  <c r="C131" i="50" s="1"/>
  <c r="K195" i="50"/>
  <c r="M75" i="50"/>
  <c r="O76" i="50"/>
  <c r="D53" i="50"/>
  <c r="K75" i="50"/>
  <c r="K52" i="50" s="1"/>
  <c r="L130" i="51"/>
  <c r="C130" i="51" s="1"/>
  <c r="J75" i="51"/>
  <c r="C191" i="51"/>
  <c r="C21" i="51"/>
  <c r="L231" i="50"/>
  <c r="J230" i="50"/>
  <c r="D268" i="50"/>
  <c r="F269" i="50"/>
  <c r="C269" i="50" s="1"/>
  <c r="O195" i="50"/>
  <c r="C76" i="51"/>
  <c r="G230" i="50"/>
  <c r="I230" i="50" s="1"/>
  <c r="I231" i="50"/>
  <c r="C231" i="50" s="1"/>
  <c r="G195" i="50"/>
  <c r="I196" i="50"/>
  <c r="L53" i="51"/>
  <c r="G284" i="50"/>
  <c r="I284" i="50" s="1"/>
  <c r="M268" i="50"/>
  <c r="O269" i="50"/>
  <c r="C187" i="50"/>
  <c r="F112" i="50"/>
  <c r="C112" i="50" s="1"/>
  <c r="D83" i="50"/>
  <c r="C69" i="50"/>
  <c r="C89" i="50"/>
  <c r="C77" i="50"/>
  <c r="L53" i="50"/>
  <c r="J52" i="50"/>
  <c r="N52" i="50"/>
  <c r="N51" i="50" s="1"/>
  <c r="I54" i="53" l="1"/>
  <c r="G53" i="53"/>
  <c r="I53" i="53" s="1"/>
  <c r="G288" i="53"/>
  <c r="I288" i="53" s="1"/>
  <c r="L54" i="54"/>
  <c r="J53" i="54"/>
  <c r="L53" i="54" s="1"/>
  <c r="J288" i="54"/>
  <c r="L288" i="54" s="1"/>
  <c r="C55" i="54"/>
  <c r="C55" i="53"/>
  <c r="M53" i="53"/>
  <c r="O53" i="53" s="1"/>
  <c r="O54" i="53"/>
  <c r="M288" i="53"/>
  <c r="O288" i="53" s="1"/>
  <c r="I54" i="54"/>
  <c r="G53" i="54"/>
  <c r="I53" i="54" s="1"/>
  <c r="G288" i="54"/>
  <c r="I288" i="54" s="1"/>
  <c r="D28" i="54"/>
  <c r="D53" i="54"/>
  <c r="F53" i="54" s="1"/>
  <c r="F54" i="54"/>
  <c r="C54" i="54" s="1"/>
  <c r="D288" i="54"/>
  <c r="F288" i="54" s="1"/>
  <c r="C288" i="54" s="1"/>
  <c r="D28" i="53"/>
  <c r="F54" i="53"/>
  <c r="D288" i="53"/>
  <c r="F288" i="53" s="1"/>
  <c r="D53" i="53"/>
  <c r="F53" i="53" s="1"/>
  <c r="C53" i="53" s="1"/>
  <c r="L54" i="53"/>
  <c r="J53" i="53"/>
  <c r="L53" i="53" s="1"/>
  <c r="J288" i="53"/>
  <c r="L288" i="53" s="1"/>
  <c r="K51" i="50"/>
  <c r="C230" i="50"/>
  <c r="N50" i="50"/>
  <c r="N285" i="50"/>
  <c r="G194" i="50"/>
  <c r="I194" i="50" s="1"/>
  <c r="I195" i="50"/>
  <c r="L52" i="50"/>
  <c r="L75" i="50"/>
  <c r="F53" i="50"/>
  <c r="C53" i="50" s="1"/>
  <c r="C196" i="50"/>
  <c r="N52" i="51"/>
  <c r="N51" i="51" s="1"/>
  <c r="N284" i="51"/>
  <c r="D52" i="51"/>
  <c r="F53" i="51"/>
  <c r="C53" i="51" s="1"/>
  <c r="C174" i="51"/>
  <c r="G52" i="50"/>
  <c r="I53" i="50"/>
  <c r="O75" i="51"/>
  <c r="M52" i="51"/>
  <c r="F83" i="50"/>
  <c r="C83" i="50" s="1"/>
  <c r="D75" i="50"/>
  <c r="F75" i="50" s="1"/>
  <c r="M284" i="50"/>
  <c r="O284" i="50" s="1"/>
  <c r="O268" i="50"/>
  <c r="M194" i="50"/>
  <c r="O194" i="50" s="1"/>
  <c r="L230" i="50"/>
  <c r="J194" i="50"/>
  <c r="L194" i="50" s="1"/>
  <c r="J284" i="50"/>
  <c r="L284" i="50" s="1"/>
  <c r="L75" i="51"/>
  <c r="J284" i="51"/>
  <c r="L284" i="51" s="1"/>
  <c r="D194" i="50"/>
  <c r="F194" i="50" s="1"/>
  <c r="F195" i="50"/>
  <c r="G52" i="51"/>
  <c r="I53" i="51"/>
  <c r="F173" i="51"/>
  <c r="C173" i="51" s="1"/>
  <c r="D284" i="51"/>
  <c r="F284" i="51" s="1"/>
  <c r="C76" i="50"/>
  <c r="I75" i="51"/>
  <c r="C75" i="51" s="1"/>
  <c r="G284" i="51"/>
  <c r="H285" i="50"/>
  <c r="H50" i="50"/>
  <c r="O75" i="50"/>
  <c r="M52" i="50"/>
  <c r="H284" i="51"/>
  <c r="I173" i="51"/>
  <c r="J52" i="51"/>
  <c r="F268" i="50"/>
  <c r="C268" i="50" s="1"/>
  <c r="D284" i="50"/>
  <c r="F284" i="50" s="1"/>
  <c r="K194" i="50"/>
  <c r="L195" i="50"/>
  <c r="C54" i="51"/>
  <c r="O173" i="50"/>
  <c r="C173" i="50" s="1"/>
  <c r="N284" i="50"/>
  <c r="H52" i="51"/>
  <c r="H51" i="51" s="1"/>
  <c r="O284" i="51"/>
  <c r="C54" i="53" l="1"/>
  <c r="C53" i="54"/>
  <c r="F28" i="53"/>
  <c r="C28" i="53" s="1"/>
  <c r="D24" i="53"/>
  <c r="F24" i="53" s="1"/>
  <c r="C24" i="53" s="1"/>
  <c r="F28" i="54"/>
  <c r="C28" i="54" s="1"/>
  <c r="D24" i="54"/>
  <c r="F24" i="54" s="1"/>
  <c r="C24" i="54" s="1"/>
  <c r="C288" i="53"/>
  <c r="O52" i="50"/>
  <c r="M51" i="50"/>
  <c r="C195" i="50"/>
  <c r="M51" i="51"/>
  <c r="O52" i="51"/>
  <c r="N50" i="51"/>
  <c r="N285" i="51"/>
  <c r="K50" i="50"/>
  <c r="K285" i="50"/>
  <c r="C75" i="50"/>
  <c r="D51" i="51"/>
  <c r="F52" i="51"/>
  <c r="D52" i="50"/>
  <c r="J51" i="50"/>
  <c r="I52" i="51"/>
  <c r="G51" i="51"/>
  <c r="G51" i="50"/>
  <c r="I52" i="50"/>
  <c r="C284" i="50"/>
  <c r="I284" i="51"/>
  <c r="H285" i="51"/>
  <c r="H50" i="51"/>
  <c r="J51" i="51"/>
  <c r="L52" i="51"/>
  <c r="C284" i="51"/>
  <c r="C194" i="50"/>
  <c r="D51" i="50" l="1"/>
  <c r="F52" i="50"/>
  <c r="C52" i="50" s="1"/>
  <c r="G285" i="51"/>
  <c r="I285" i="51" s="1"/>
  <c r="G50" i="51"/>
  <c r="I50" i="51" s="1"/>
  <c r="I51" i="51"/>
  <c r="C52" i="51"/>
  <c r="M50" i="51"/>
  <c r="O50" i="51" s="1"/>
  <c r="O51" i="51"/>
  <c r="M285" i="51"/>
  <c r="O285" i="51" s="1"/>
  <c r="D285" i="51"/>
  <c r="F285" i="51" s="1"/>
  <c r="C285" i="51" s="1"/>
  <c r="F51" i="51"/>
  <c r="C51" i="51" s="1"/>
  <c r="D50" i="51"/>
  <c r="F50" i="51" s="1"/>
  <c r="L51" i="50"/>
  <c r="J50" i="50"/>
  <c r="L50" i="50" s="1"/>
  <c r="J285" i="50"/>
  <c r="L285" i="50" s="1"/>
  <c r="M50" i="50"/>
  <c r="O50" i="50" s="1"/>
  <c r="O51" i="50"/>
  <c r="M285" i="50"/>
  <c r="O285" i="50" s="1"/>
  <c r="J50" i="51"/>
  <c r="L50" i="51" s="1"/>
  <c r="L51" i="51"/>
  <c r="J285" i="51"/>
  <c r="L285" i="51" s="1"/>
  <c r="G285" i="50"/>
  <c r="I285" i="50" s="1"/>
  <c r="I51" i="50"/>
  <c r="G50" i="50"/>
  <c r="I50" i="50" s="1"/>
  <c r="D25" i="50" l="1"/>
  <c r="D50" i="50"/>
  <c r="F50" i="50" s="1"/>
  <c r="C50" i="50" s="1"/>
  <c r="F51" i="50"/>
  <c r="C51" i="50" s="1"/>
  <c r="C50" i="51"/>
  <c r="D21" i="50" l="1"/>
  <c r="F21" i="50" s="1"/>
  <c r="C21" i="50" s="1"/>
  <c r="F25" i="50"/>
  <c r="C25" i="50" s="1"/>
  <c r="D285" i="50"/>
  <c r="F285" i="50" s="1"/>
  <c r="C285" i="50" s="1"/>
  <c r="O299" i="49" l="1"/>
  <c r="L299" i="49"/>
  <c r="I299" i="49"/>
  <c r="F299" i="49"/>
  <c r="C299" i="49"/>
  <c r="O298" i="49"/>
  <c r="L298" i="49"/>
  <c r="I298" i="49"/>
  <c r="F298" i="49"/>
  <c r="C298" i="49" s="1"/>
  <c r="O297" i="49"/>
  <c r="L297" i="49"/>
  <c r="I297" i="49"/>
  <c r="C297" i="49" s="1"/>
  <c r="F297" i="49"/>
  <c r="O296" i="49"/>
  <c r="L296" i="49"/>
  <c r="C296" i="49" s="1"/>
  <c r="I296" i="49"/>
  <c r="F296" i="49"/>
  <c r="O295" i="49"/>
  <c r="L295" i="49"/>
  <c r="I295" i="49"/>
  <c r="F295" i="49"/>
  <c r="C295" i="49"/>
  <c r="O294" i="49"/>
  <c r="L294" i="49"/>
  <c r="I294" i="49"/>
  <c r="F294" i="49"/>
  <c r="C294" i="49" s="1"/>
  <c r="O293" i="49"/>
  <c r="L293" i="49"/>
  <c r="I293" i="49"/>
  <c r="C293" i="49" s="1"/>
  <c r="F293" i="49"/>
  <c r="O292" i="49"/>
  <c r="L292" i="49"/>
  <c r="C292" i="49" s="1"/>
  <c r="I292" i="49"/>
  <c r="F292" i="49"/>
  <c r="O291" i="49"/>
  <c r="N291" i="49"/>
  <c r="M291" i="49"/>
  <c r="K291" i="49"/>
  <c r="L291" i="49" s="1"/>
  <c r="J291" i="49"/>
  <c r="H291" i="49"/>
  <c r="G291" i="49"/>
  <c r="I291" i="49" s="1"/>
  <c r="E291" i="49"/>
  <c r="D291" i="49"/>
  <c r="F291" i="49" s="1"/>
  <c r="C291" i="49"/>
  <c r="O286" i="49"/>
  <c r="L286" i="49"/>
  <c r="I286" i="49"/>
  <c r="F286" i="49"/>
  <c r="C286" i="49" s="1"/>
  <c r="O285" i="49"/>
  <c r="L285" i="49"/>
  <c r="I285" i="49"/>
  <c r="C285" i="49" s="1"/>
  <c r="F285" i="49"/>
  <c r="N284" i="49"/>
  <c r="M284" i="49"/>
  <c r="K284" i="49"/>
  <c r="J284" i="49"/>
  <c r="H284" i="49"/>
  <c r="G284" i="49"/>
  <c r="I284" i="49" s="1"/>
  <c r="F284" i="49"/>
  <c r="E284" i="49"/>
  <c r="D284" i="49"/>
  <c r="O283" i="49"/>
  <c r="L283" i="49"/>
  <c r="I283" i="49"/>
  <c r="F283" i="49"/>
  <c r="C283" i="49"/>
  <c r="N282" i="49"/>
  <c r="M282" i="49"/>
  <c r="O282" i="49" s="1"/>
  <c r="L282" i="49"/>
  <c r="K282" i="49"/>
  <c r="J282" i="49"/>
  <c r="H282" i="49"/>
  <c r="I282" i="49" s="1"/>
  <c r="G282" i="49"/>
  <c r="E282" i="49"/>
  <c r="D282" i="49"/>
  <c r="F282" i="49" s="1"/>
  <c r="C282" i="49" s="1"/>
  <c r="O281" i="49"/>
  <c r="L281" i="49"/>
  <c r="I281" i="49"/>
  <c r="C281" i="49" s="1"/>
  <c r="F281" i="49"/>
  <c r="O280" i="49"/>
  <c r="L280" i="49"/>
  <c r="C280" i="49" s="1"/>
  <c r="I280" i="49"/>
  <c r="F280" i="49"/>
  <c r="O279" i="49"/>
  <c r="O278" i="49" s="1"/>
  <c r="L279" i="49"/>
  <c r="I279" i="49"/>
  <c r="F279" i="49"/>
  <c r="C279" i="49"/>
  <c r="N278" i="49"/>
  <c r="M278" i="49"/>
  <c r="L278" i="49"/>
  <c r="K278" i="49"/>
  <c r="J278" i="49"/>
  <c r="H278" i="49"/>
  <c r="I278" i="49" s="1"/>
  <c r="G278" i="49"/>
  <c r="E278" i="49"/>
  <c r="D278" i="49"/>
  <c r="F278" i="49" s="1"/>
  <c r="O277" i="49"/>
  <c r="L277" i="49"/>
  <c r="I277" i="49"/>
  <c r="C277" i="49" s="1"/>
  <c r="F277" i="49"/>
  <c r="O276" i="49"/>
  <c r="L276" i="49"/>
  <c r="C276" i="49" s="1"/>
  <c r="I276" i="49"/>
  <c r="F276" i="49"/>
  <c r="O275" i="49"/>
  <c r="L275" i="49"/>
  <c r="I275" i="49"/>
  <c r="F275" i="49"/>
  <c r="C275" i="49"/>
  <c r="N274" i="49"/>
  <c r="M274" i="49"/>
  <c r="O274" i="49" s="1"/>
  <c r="L274" i="49"/>
  <c r="K274" i="49"/>
  <c r="J274" i="49"/>
  <c r="H274" i="49"/>
  <c r="G274" i="49"/>
  <c r="E274" i="49"/>
  <c r="E272" i="49" s="1"/>
  <c r="E271" i="49" s="1"/>
  <c r="D274" i="49"/>
  <c r="O273" i="49"/>
  <c r="L273" i="49"/>
  <c r="I273" i="49"/>
  <c r="C273" i="49" s="1"/>
  <c r="F273" i="49"/>
  <c r="N272" i="49"/>
  <c r="N271" i="49" s="1"/>
  <c r="K272" i="49"/>
  <c r="J272" i="49"/>
  <c r="G272" i="49"/>
  <c r="K271" i="49"/>
  <c r="G271" i="49"/>
  <c r="O270" i="49"/>
  <c r="L270" i="49"/>
  <c r="I270" i="49"/>
  <c r="F270" i="49"/>
  <c r="C270" i="49" s="1"/>
  <c r="O269" i="49"/>
  <c r="L269" i="49"/>
  <c r="I269" i="49"/>
  <c r="C269" i="49" s="1"/>
  <c r="F269" i="49"/>
  <c r="O268" i="49"/>
  <c r="L268" i="49"/>
  <c r="C268" i="49" s="1"/>
  <c r="I268" i="49"/>
  <c r="F268" i="49"/>
  <c r="O267" i="49"/>
  <c r="L267" i="49"/>
  <c r="I267" i="49"/>
  <c r="F267" i="49"/>
  <c r="C267" i="49"/>
  <c r="N266" i="49"/>
  <c r="M266" i="49"/>
  <c r="O266" i="49" s="1"/>
  <c r="L266" i="49"/>
  <c r="K266" i="49"/>
  <c r="J266" i="49"/>
  <c r="H266" i="49"/>
  <c r="I266" i="49" s="1"/>
  <c r="G266" i="49"/>
  <c r="E266" i="49"/>
  <c r="D266" i="49"/>
  <c r="F266" i="49" s="1"/>
  <c r="C266" i="49" s="1"/>
  <c r="O265" i="49"/>
  <c r="L265" i="49"/>
  <c r="I265" i="49"/>
  <c r="C265" i="49" s="1"/>
  <c r="F265" i="49"/>
  <c r="O264" i="49"/>
  <c r="L264" i="49"/>
  <c r="C264" i="49" s="1"/>
  <c r="I264" i="49"/>
  <c r="F264" i="49"/>
  <c r="O263" i="49"/>
  <c r="L263" i="49"/>
  <c r="I263" i="49"/>
  <c r="F263" i="49"/>
  <c r="C263" i="49"/>
  <c r="N262" i="49"/>
  <c r="M262" i="49"/>
  <c r="O262" i="49" s="1"/>
  <c r="L262" i="49"/>
  <c r="K262" i="49"/>
  <c r="J262" i="49"/>
  <c r="H262" i="49"/>
  <c r="G262" i="49"/>
  <c r="E262" i="49"/>
  <c r="D262" i="49"/>
  <c r="N261" i="49"/>
  <c r="M261" i="49"/>
  <c r="O261" i="49" s="1"/>
  <c r="K261" i="49"/>
  <c r="J261" i="49"/>
  <c r="L261" i="49" s="1"/>
  <c r="G261" i="49"/>
  <c r="E261" i="49"/>
  <c r="O260" i="49"/>
  <c r="L260" i="49"/>
  <c r="C260" i="49" s="1"/>
  <c r="I260" i="49"/>
  <c r="F260" i="49"/>
  <c r="O259" i="49"/>
  <c r="L259" i="49"/>
  <c r="I259" i="49"/>
  <c r="F259" i="49"/>
  <c r="C259" i="49"/>
  <c r="O258" i="49"/>
  <c r="L258" i="49"/>
  <c r="I258" i="49"/>
  <c r="F258" i="49"/>
  <c r="C258" i="49" s="1"/>
  <c r="O257" i="49"/>
  <c r="L257" i="49"/>
  <c r="I257" i="49"/>
  <c r="F257" i="49"/>
  <c r="O256" i="49"/>
  <c r="L256" i="49"/>
  <c r="C256" i="49" s="1"/>
  <c r="I256" i="49"/>
  <c r="F256" i="49"/>
  <c r="O255" i="49"/>
  <c r="N255" i="49"/>
  <c r="M255" i="49"/>
  <c r="K255" i="49"/>
  <c r="J255" i="49"/>
  <c r="H255" i="49"/>
  <c r="G255" i="49"/>
  <c r="E255" i="49"/>
  <c r="D255" i="49"/>
  <c r="F255" i="49" s="1"/>
  <c r="N254" i="49"/>
  <c r="M254" i="49"/>
  <c r="O254" i="49" s="1"/>
  <c r="J254" i="49"/>
  <c r="H254" i="49"/>
  <c r="E254" i="49"/>
  <c r="D254" i="49"/>
  <c r="F254" i="49" s="1"/>
  <c r="O253" i="49"/>
  <c r="L253" i="49"/>
  <c r="I253" i="49"/>
  <c r="C253" i="49" s="1"/>
  <c r="F253" i="49"/>
  <c r="O252" i="49"/>
  <c r="L252" i="49"/>
  <c r="C252" i="49" s="1"/>
  <c r="I252" i="49"/>
  <c r="F252" i="49"/>
  <c r="O251" i="49"/>
  <c r="L251" i="49"/>
  <c r="I251" i="49"/>
  <c r="F251" i="49"/>
  <c r="C251" i="49"/>
  <c r="O250" i="49"/>
  <c r="L250" i="49"/>
  <c r="I250" i="49"/>
  <c r="F250" i="49"/>
  <c r="C250" i="49" s="1"/>
  <c r="N249" i="49"/>
  <c r="M249" i="49"/>
  <c r="O249" i="49" s="1"/>
  <c r="K249" i="49"/>
  <c r="J249" i="49"/>
  <c r="L249" i="49" s="1"/>
  <c r="I249" i="49"/>
  <c r="H249" i="49"/>
  <c r="G249" i="49"/>
  <c r="E249" i="49"/>
  <c r="F249" i="49" s="1"/>
  <c r="D249" i="49"/>
  <c r="O248" i="49"/>
  <c r="L248" i="49"/>
  <c r="C248" i="49" s="1"/>
  <c r="I248" i="49"/>
  <c r="F248" i="49"/>
  <c r="O247" i="49"/>
  <c r="L247" i="49"/>
  <c r="I247" i="49"/>
  <c r="F247" i="49"/>
  <c r="C247" i="49"/>
  <c r="O246" i="49"/>
  <c r="L246" i="49"/>
  <c r="I246" i="49"/>
  <c r="F246" i="49"/>
  <c r="C246" i="49" s="1"/>
  <c r="O245" i="49"/>
  <c r="L245" i="49"/>
  <c r="I245" i="49"/>
  <c r="F245" i="49"/>
  <c r="O244" i="49"/>
  <c r="L244" i="49"/>
  <c r="C244" i="49" s="1"/>
  <c r="I244" i="49"/>
  <c r="F244" i="49"/>
  <c r="O243" i="49"/>
  <c r="L243" i="49"/>
  <c r="I243" i="49"/>
  <c r="F243" i="49"/>
  <c r="C243" i="49"/>
  <c r="O242" i="49"/>
  <c r="L242" i="49"/>
  <c r="I242" i="49"/>
  <c r="F242" i="49"/>
  <c r="C242" i="49" s="1"/>
  <c r="N241" i="49"/>
  <c r="M241" i="49"/>
  <c r="K241" i="49"/>
  <c r="J241" i="49"/>
  <c r="L241" i="49" s="1"/>
  <c r="I241" i="49"/>
  <c r="H241" i="49"/>
  <c r="G241" i="49"/>
  <c r="E241" i="49"/>
  <c r="D241" i="49"/>
  <c r="O240" i="49"/>
  <c r="L240" i="49"/>
  <c r="C240" i="49" s="1"/>
  <c r="I240" i="49"/>
  <c r="F240" i="49"/>
  <c r="O239" i="49"/>
  <c r="L239" i="49"/>
  <c r="I239" i="49"/>
  <c r="F239" i="49"/>
  <c r="C239" i="49"/>
  <c r="N238" i="49"/>
  <c r="M238" i="49"/>
  <c r="O238" i="49" s="1"/>
  <c r="L238" i="49"/>
  <c r="K238" i="49"/>
  <c r="J238" i="49"/>
  <c r="H238" i="49"/>
  <c r="I238" i="49" s="1"/>
  <c r="G238" i="49"/>
  <c r="E238" i="49"/>
  <c r="D238" i="49"/>
  <c r="F238" i="49" s="1"/>
  <c r="O237" i="49"/>
  <c r="L237" i="49"/>
  <c r="I237" i="49"/>
  <c r="F237" i="49"/>
  <c r="N236" i="49"/>
  <c r="M236" i="49"/>
  <c r="K236" i="49"/>
  <c r="J236" i="49"/>
  <c r="H236" i="49"/>
  <c r="G236" i="49"/>
  <c r="I236" i="49" s="1"/>
  <c r="F236" i="49"/>
  <c r="E236" i="49"/>
  <c r="D236" i="49"/>
  <c r="O235" i="49"/>
  <c r="L235" i="49"/>
  <c r="I235" i="49"/>
  <c r="F235" i="49"/>
  <c r="C235" i="49"/>
  <c r="K234" i="49"/>
  <c r="H234" i="49"/>
  <c r="G234" i="49"/>
  <c r="I234" i="49" s="1"/>
  <c r="D234" i="49"/>
  <c r="O232" i="49"/>
  <c r="L232" i="49"/>
  <c r="I232" i="49"/>
  <c r="C232" i="49" s="1"/>
  <c r="F232" i="49"/>
  <c r="O231" i="49"/>
  <c r="L231" i="49"/>
  <c r="I231" i="49"/>
  <c r="F231" i="49"/>
  <c r="C231" i="49"/>
  <c r="N230" i="49"/>
  <c r="M230" i="49"/>
  <c r="O230" i="49" s="1"/>
  <c r="L230" i="49"/>
  <c r="K230" i="49"/>
  <c r="J230" i="49"/>
  <c r="H230" i="49"/>
  <c r="H207" i="49" s="1"/>
  <c r="G230" i="49"/>
  <c r="I230" i="49" s="1"/>
  <c r="E230" i="49"/>
  <c r="D230" i="49"/>
  <c r="O229" i="49"/>
  <c r="L229" i="49"/>
  <c r="I229" i="49"/>
  <c r="F229" i="49"/>
  <c r="O228" i="49"/>
  <c r="L228" i="49"/>
  <c r="I228" i="49"/>
  <c r="F228" i="49"/>
  <c r="O227" i="49"/>
  <c r="L227" i="49"/>
  <c r="I227" i="49"/>
  <c r="F227" i="49"/>
  <c r="C227" i="49"/>
  <c r="O226" i="49"/>
  <c r="L226" i="49"/>
  <c r="I226" i="49"/>
  <c r="F226" i="49"/>
  <c r="C226" i="49" s="1"/>
  <c r="O225" i="49"/>
  <c r="L225" i="49"/>
  <c r="I225" i="49"/>
  <c r="F225" i="49"/>
  <c r="C225" i="49" s="1"/>
  <c r="O224" i="49"/>
  <c r="L224" i="49"/>
  <c r="C224" i="49" s="1"/>
  <c r="I224" i="49"/>
  <c r="F224" i="49"/>
  <c r="O223" i="49"/>
  <c r="L223" i="49"/>
  <c r="I223" i="49"/>
  <c r="F223" i="49"/>
  <c r="C223" i="49"/>
  <c r="O222" i="49"/>
  <c r="L222" i="49"/>
  <c r="I222" i="49"/>
  <c r="F222" i="49"/>
  <c r="C222" i="49" s="1"/>
  <c r="O221" i="49"/>
  <c r="L221" i="49"/>
  <c r="I221" i="49"/>
  <c r="F221" i="49"/>
  <c r="C221" i="49" s="1"/>
  <c r="O220" i="49"/>
  <c r="L220" i="49"/>
  <c r="C220" i="49" s="1"/>
  <c r="I220" i="49"/>
  <c r="F220" i="49"/>
  <c r="O219" i="49"/>
  <c r="N219" i="49"/>
  <c r="M219" i="49"/>
  <c r="K219" i="49"/>
  <c r="J219" i="49"/>
  <c r="H219" i="49"/>
  <c r="G219" i="49"/>
  <c r="I219" i="49" s="1"/>
  <c r="E219" i="49"/>
  <c r="D219" i="49"/>
  <c r="F219" i="49" s="1"/>
  <c r="O218" i="49"/>
  <c r="L218" i="49"/>
  <c r="I218" i="49"/>
  <c r="F218" i="49"/>
  <c r="C218" i="49" s="1"/>
  <c r="O217" i="49"/>
  <c r="L217" i="49"/>
  <c r="I217" i="49"/>
  <c r="C217" i="49" s="1"/>
  <c r="F217" i="49"/>
  <c r="O216" i="49"/>
  <c r="L216" i="49"/>
  <c r="I216" i="49"/>
  <c r="F216" i="49"/>
  <c r="O215" i="49"/>
  <c r="L215" i="49"/>
  <c r="I215" i="49"/>
  <c r="F215" i="49"/>
  <c r="C215" i="49"/>
  <c r="O214" i="49"/>
  <c r="L214" i="49"/>
  <c r="I214" i="49"/>
  <c r="F214" i="49"/>
  <c r="C214" i="49" s="1"/>
  <c r="O213" i="49"/>
  <c r="L213" i="49"/>
  <c r="I213" i="49"/>
  <c r="C213" i="49" s="1"/>
  <c r="F213" i="49"/>
  <c r="O212" i="49"/>
  <c r="L212" i="49"/>
  <c r="I212" i="49"/>
  <c r="F212" i="49"/>
  <c r="O211" i="49"/>
  <c r="L211" i="49"/>
  <c r="I211" i="49"/>
  <c r="F211" i="49"/>
  <c r="C211" i="49"/>
  <c r="O210" i="49"/>
  <c r="L210" i="49"/>
  <c r="I210" i="49"/>
  <c r="F210" i="49"/>
  <c r="C210" i="49" s="1"/>
  <c r="O209" i="49"/>
  <c r="L209" i="49"/>
  <c r="I209" i="49"/>
  <c r="F209" i="49"/>
  <c r="C209" i="49" s="1"/>
  <c r="N208" i="49"/>
  <c r="N207" i="49" s="1"/>
  <c r="M208" i="49"/>
  <c r="K208" i="49"/>
  <c r="J208" i="49"/>
  <c r="I208" i="49"/>
  <c r="H208" i="49"/>
  <c r="G208" i="49"/>
  <c r="F208" i="49"/>
  <c r="E208" i="49"/>
  <c r="D208" i="49"/>
  <c r="M207" i="49"/>
  <c r="K207" i="49"/>
  <c r="E207" i="49"/>
  <c r="O206" i="49"/>
  <c r="L206" i="49"/>
  <c r="I206" i="49"/>
  <c r="F206" i="49"/>
  <c r="C206" i="49" s="1"/>
  <c r="O205" i="49"/>
  <c r="L205" i="49"/>
  <c r="I205" i="49"/>
  <c r="C205" i="49" s="1"/>
  <c r="F205" i="49"/>
  <c r="O204" i="49"/>
  <c r="L204" i="49"/>
  <c r="I204" i="49"/>
  <c r="F204" i="49"/>
  <c r="C204" i="49" s="1"/>
  <c r="O203" i="49"/>
  <c r="L203" i="49"/>
  <c r="I203" i="49"/>
  <c r="F203" i="49"/>
  <c r="C203" i="49"/>
  <c r="O202" i="49"/>
  <c r="L202" i="49"/>
  <c r="I202" i="49"/>
  <c r="F202" i="49"/>
  <c r="C202" i="49" s="1"/>
  <c r="N201" i="49"/>
  <c r="M201" i="49"/>
  <c r="K201" i="49"/>
  <c r="J201" i="49"/>
  <c r="L201" i="49" s="1"/>
  <c r="I201" i="49"/>
  <c r="H201" i="49"/>
  <c r="G201" i="49"/>
  <c r="E201" i="49"/>
  <c r="E199" i="49" s="1"/>
  <c r="D201" i="49"/>
  <c r="O200" i="49"/>
  <c r="L200" i="49"/>
  <c r="I200" i="49"/>
  <c r="F200" i="49"/>
  <c r="N199" i="49"/>
  <c r="K199" i="49"/>
  <c r="J199" i="49"/>
  <c r="H199" i="49"/>
  <c r="G199" i="49"/>
  <c r="D199" i="49"/>
  <c r="H198" i="49"/>
  <c r="O196" i="49"/>
  <c r="L196" i="49"/>
  <c r="I196" i="49"/>
  <c r="C196" i="49" s="1"/>
  <c r="F196" i="49"/>
  <c r="O195" i="49"/>
  <c r="N195" i="49"/>
  <c r="M195" i="49"/>
  <c r="K195" i="49"/>
  <c r="K194" i="49" s="1"/>
  <c r="L194" i="49" s="1"/>
  <c r="J195" i="49"/>
  <c r="H195" i="49"/>
  <c r="G195" i="49"/>
  <c r="F195" i="49"/>
  <c r="E195" i="49"/>
  <c r="D195" i="49"/>
  <c r="O194" i="49"/>
  <c r="N194" i="49"/>
  <c r="M194" i="49"/>
  <c r="J194" i="49"/>
  <c r="H194" i="49"/>
  <c r="H190" i="49" s="1"/>
  <c r="E194" i="49"/>
  <c r="D194" i="49"/>
  <c r="F194" i="49" s="1"/>
  <c r="O193" i="49"/>
  <c r="L193" i="49"/>
  <c r="I193" i="49"/>
  <c r="F193" i="49"/>
  <c r="C193" i="49" s="1"/>
  <c r="O192" i="49"/>
  <c r="L192" i="49"/>
  <c r="C192" i="49" s="1"/>
  <c r="I192" i="49"/>
  <c r="F192" i="49"/>
  <c r="O191" i="49"/>
  <c r="N191" i="49"/>
  <c r="M191" i="49"/>
  <c r="K191" i="49"/>
  <c r="J191" i="49"/>
  <c r="L191" i="49" s="1"/>
  <c r="H191" i="49"/>
  <c r="G191" i="49"/>
  <c r="I191" i="49" s="1"/>
  <c r="E191" i="49"/>
  <c r="D191" i="49"/>
  <c r="F191" i="49" s="1"/>
  <c r="C191" i="49" s="1"/>
  <c r="N190" i="49"/>
  <c r="M190" i="49"/>
  <c r="O190" i="49" s="1"/>
  <c r="J190" i="49"/>
  <c r="E190" i="49"/>
  <c r="O189" i="49"/>
  <c r="L189" i="49"/>
  <c r="I189" i="49"/>
  <c r="F189" i="49"/>
  <c r="C189" i="49"/>
  <c r="O188" i="49"/>
  <c r="L188" i="49"/>
  <c r="I188" i="49"/>
  <c r="F188" i="49"/>
  <c r="C188" i="49" s="1"/>
  <c r="N187" i="49"/>
  <c r="M187" i="49"/>
  <c r="O187" i="49" s="1"/>
  <c r="L187" i="49"/>
  <c r="K187" i="49"/>
  <c r="J187" i="49"/>
  <c r="H187" i="49"/>
  <c r="I187" i="49" s="1"/>
  <c r="G187" i="49"/>
  <c r="E187" i="49"/>
  <c r="D187" i="49"/>
  <c r="O186" i="49"/>
  <c r="L186" i="49"/>
  <c r="I186" i="49"/>
  <c r="F186" i="49"/>
  <c r="O185" i="49"/>
  <c r="L185" i="49"/>
  <c r="C185" i="49" s="1"/>
  <c r="I185" i="49"/>
  <c r="F185" i="49"/>
  <c r="O184" i="49"/>
  <c r="L184" i="49"/>
  <c r="I184" i="49"/>
  <c r="F184" i="49"/>
  <c r="C184" i="49"/>
  <c r="O183" i="49"/>
  <c r="L183" i="49"/>
  <c r="I183" i="49"/>
  <c r="F183" i="49"/>
  <c r="C183" i="49" s="1"/>
  <c r="N182" i="49"/>
  <c r="M182" i="49"/>
  <c r="K182" i="49"/>
  <c r="J182" i="49"/>
  <c r="L182" i="49" s="1"/>
  <c r="I182" i="49"/>
  <c r="H182" i="49"/>
  <c r="G182" i="49"/>
  <c r="F182" i="49"/>
  <c r="E182" i="49"/>
  <c r="D182" i="49"/>
  <c r="O181" i="49"/>
  <c r="L181" i="49"/>
  <c r="C181" i="49" s="1"/>
  <c r="I181" i="49"/>
  <c r="F181" i="49"/>
  <c r="O180" i="49"/>
  <c r="L180" i="49"/>
  <c r="I180" i="49"/>
  <c r="F180" i="49"/>
  <c r="C180" i="49"/>
  <c r="O179" i="49"/>
  <c r="L179" i="49"/>
  <c r="I179" i="49"/>
  <c r="F179" i="49"/>
  <c r="C179" i="49" s="1"/>
  <c r="N178" i="49"/>
  <c r="M178" i="49"/>
  <c r="K178" i="49"/>
  <c r="J178" i="49"/>
  <c r="I178" i="49"/>
  <c r="H178" i="49"/>
  <c r="G178" i="49"/>
  <c r="F178" i="49"/>
  <c r="E178" i="49"/>
  <c r="E177" i="49" s="1"/>
  <c r="E176" i="49" s="1"/>
  <c r="D178" i="49"/>
  <c r="N177" i="49"/>
  <c r="N176" i="49" s="1"/>
  <c r="K177" i="49"/>
  <c r="K176" i="49" s="1"/>
  <c r="H177" i="49"/>
  <c r="G177" i="49"/>
  <c r="I177" i="49" s="1"/>
  <c r="F177" i="49"/>
  <c r="D177" i="49"/>
  <c r="H176" i="49"/>
  <c r="G176" i="49"/>
  <c r="I176" i="49" s="1"/>
  <c r="D176" i="49"/>
  <c r="F176" i="49" s="1"/>
  <c r="O175" i="49"/>
  <c r="L175" i="49"/>
  <c r="I175" i="49"/>
  <c r="F175" i="49"/>
  <c r="O174" i="49"/>
  <c r="L174" i="49"/>
  <c r="I174" i="49"/>
  <c r="F174" i="49"/>
  <c r="O173" i="49"/>
  <c r="L173" i="49"/>
  <c r="C173" i="49" s="1"/>
  <c r="I173" i="49"/>
  <c r="F173" i="49"/>
  <c r="O172" i="49"/>
  <c r="L172" i="49"/>
  <c r="I172" i="49"/>
  <c r="F172" i="49"/>
  <c r="C172" i="49"/>
  <c r="O171" i="49"/>
  <c r="L171" i="49"/>
  <c r="I171" i="49"/>
  <c r="F171" i="49"/>
  <c r="C171" i="49" s="1"/>
  <c r="O170" i="49"/>
  <c r="L170" i="49"/>
  <c r="I170" i="49"/>
  <c r="C170" i="49" s="1"/>
  <c r="F170" i="49"/>
  <c r="O169" i="49"/>
  <c r="N169" i="49"/>
  <c r="N168" i="49" s="1"/>
  <c r="M169" i="49"/>
  <c r="K169" i="49"/>
  <c r="K168" i="49" s="1"/>
  <c r="J169" i="49"/>
  <c r="H169" i="49"/>
  <c r="G169" i="49"/>
  <c r="F169" i="49"/>
  <c r="E169" i="49"/>
  <c r="D169" i="49"/>
  <c r="O168" i="49"/>
  <c r="M168" i="49"/>
  <c r="H168" i="49"/>
  <c r="E168" i="49"/>
  <c r="D168" i="49"/>
  <c r="F168" i="49" s="1"/>
  <c r="O167" i="49"/>
  <c r="L167" i="49"/>
  <c r="I167" i="49"/>
  <c r="F167" i="49"/>
  <c r="O166" i="49"/>
  <c r="L166" i="49"/>
  <c r="I166" i="49"/>
  <c r="C166" i="49" s="1"/>
  <c r="F166" i="49"/>
  <c r="O165" i="49"/>
  <c r="L165" i="49"/>
  <c r="I165" i="49"/>
  <c r="F165" i="49"/>
  <c r="C165" i="49"/>
  <c r="O164" i="49"/>
  <c r="L164" i="49"/>
  <c r="I164" i="49"/>
  <c r="F164" i="49"/>
  <c r="C164" i="49" s="1"/>
  <c r="N163" i="49"/>
  <c r="M163" i="49"/>
  <c r="O163" i="49" s="1"/>
  <c r="L163" i="49"/>
  <c r="K163" i="49"/>
  <c r="J163" i="49"/>
  <c r="I163" i="49"/>
  <c r="H163" i="49"/>
  <c r="G163" i="49"/>
  <c r="E163" i="49"/>
  <c r="D163" i="49"/>
  <c r="F163" i="49" s="1"/>
  <c r="C163" i="49" s="1"/>
  <c r="O162" i="49"/>
  <c r="L162" i="49"/>
  <c r="I162" i="49"/>
  <c r="C162" i="49" s="1"/>
  <c r="F162" i="49"/>
  <c r="O161" i="49"/>
  <c r="L161" i="49"/>
  <c r="I161" i="49"/>
  <c r="F161" i="49"/>
  <c r="C161" i="49"/>
  <c r="O160" i="49"/>
  <c r="L160" i="49"/>
  <c r="I160" i="49"/>
  <c r="F160" i="49"/>
  <c r="C160" i="49" s="1"/>
  <c r="O159" i="49"/>
  <c r="L159" i="49"/>
  <c r="I159" i="49"/>
  <c r="F159" i="49"/>
  <c r="O158" i="49"/>
  <c r="L158" i="49"/>
  <c r="I158" i="49"/>
  <c r="F158" i="49"/>
  <c r="O157" i="49"/>
  <c r="L157" i="49"/>
  <c r="C157" i="49" s="1"/>
  <c r="I157" i="49"/>
  <c r="F157" i="49"/>
  <c r="O156" i="49"/>
  <c r="L156" i="49"/>
  <c r="I156" i="49"/>
  <c r="F156" i="49"/>
  <c r="C156" i="49"/>
  <c r="O155" i="49"/>
  <c r="L155" i="49"/>
  <c r="I155" i="49"/>
  <c r="F155" i="49"/>
  <c r="C155" i="49" s="1"/>
  <c r="N154" i="49"/>
  <c r="M154" i="49"/>
  <c r="K154" i="49"/>
  <c r="J154" i="49"/>
  <c r="I154" i="49"/>
  <c r="H154" i="49"/>
  <c r="G154" i="49"/>
  <c r="F154" i="49"/>
  <c r="E154" i="49"/>
  <c r="D154" i="49"/>
  <c r="O153" i="49"/>
  <c r="L153" i="49"/>
  <c r="C153" i="49" s="1"/>
  <c r="I153" i="49"/>
  <c r="F153" i="49"/>
  <c r="O152" i="49"/>
  <c r="L152" i="49"/>
  <c r="I152" i="49"/>
  <c r="F152" i="49"/>
  <c r="C152" i="49"/>
  <c r="O151" i="49"/>
  <c r="L151" i="49"/>
  <c r="I151" i="49"/>
  <c r="F151" i="49"/>
  <c r="C151" i="49" s="1"/>
  <c r="O150" i="49"/>
  <c r="L150" i="49"/>
  <c r="I150" i="49"/>
  <c r="F150" i="49"/>
  <c r="C150" i="49" s="1"/>
  <c r="O149" i="49"/>
  <c r="L149" i="49"/>
  <c r="I149" i="49"/>
  <c r="F149" i="49"/>
  <c r="C149" i="49"/>
  <c r="O148" i="49"/>
  <c r="L148" i="49"/>
  <c r="I148" i="49"/>
  <c r="F148" i="49"/>
  <c r="C148" i="49" s="1"/>
  <c r="N147" i="49"/>
  <c r="M147" i="49"/>
  <c r="O147" i="49" s="1"/>
  <c r="L147" i="49"/>
  <c r="K147" i="49"/>
  <c r="J147" i="49"/>
  <c r="I147" i="49"/>
  <c r="H147" i="49"/>
  <c r="G147" i="49"/>
  <c r="E147" i="49"/>
  <c r="D147" i="49"/>
  <c r="O146" i="49"/>
  <c r="L146" i="49"/>
  <c r="I146" i="49"/>
  <c r="F146" i="49"/>
  <c r="O145" i="49"/>
  <c r="L145" i="49"/>
  <c r="I145" i="49"/>
  <c r="F145" i="49"/>
  <c r="C145" i="49"/>
  <c r="O144" i="49"/>
  <c r="N144" i="49"/>
  <c r="M144" i="49"/>
  <c r="L144" i="49"/>
  <c r="K144" i="49"/>
  <c r="J144" i="49"/>
  <c r="H144" i="49"/>
  <c r="G144" i="49"/>
  <c r="E144" i="49"/>
  <c r="D144" i="49"/>
  <c r="F144" i="49" s="1"/>
  <c r="O143" i="49"/>
  <c r="L143" i="49"/>
  <c r="I143" i="49"/>
  <c r="F143" i="49"/>
  <c r="O142" i="49"/>
  <c r="L142" i="49"/>
  <c r="I142" i="49"/>
  <c r="F142" i="49"/>
  <c r="O141" i="49"/>
  <c r="L141" i="49"/>
  <c r="I141" i="49"/>
  <c r="F141" i="49"/>
  <c r="C141" i="49"/>
  <c r="O140" i="49"/>
  <c r="L140" i="49"/>
  <c r="I140" i="49"/>
  <c r="F140" i="49"/>
  <c r="C140" i="49" s="1"/>
  <c r="N139" i="49"/>
  <c r="M139" i="49"/>
  <c r="O139" i="49" s="1"/>
  <c r="L139" i="49"/>
  <c r="K139" i="49"/>
  <c r="J139" i="49"/>
  <c r="I139" i="49"/>
  <c r="H139" i="49"/>
  <c r="G139" i="49"/>
  <c r="E139" i="49"/>
  <c r="D139" i="49"/>
  <c r="O138" i="49"/>
  <c r="L138" i="49"/>
  <c r="I138" i="49"/>
  <c r="F138" i="49"/>
  <c r="O137" i="49"/>
  <c r="L137" i="49"/>
  <c r="I137" i="49"/>
  <c r="F137" i="49"/>
  <c r="C137" i="49"/>
  <c r="O136" i="49"/>
  <c r="L136" i="49"/>
  <c r="I136" i="49"/>
  <c r="F136" i="49"/>
  <c r="C136" i="49" s="1"/>
  <c r="O135" i="49"/>
  <c r="L135" i="49"/>
  <c r="I135" i="49"/>
  <c r="F135" i="49"/>
  <c r="N134" i="49"/>
  <c r="N133" i="49" s="1"/>
  <c r="M134" i="49"/>
  <c r="K134" i="49"/>
  <c r="J134" i="49"/>
  <c r="L134" i="49" s="1"/>
  <c r="I134" i="49"/>
  <c r="H134" i="49"/>
  <c r="G134" i="49"/>
  <c r="E134" i="49"/>
  <c r="D134" i="49"/>
  <c r="K133" i="49"/>
  <c r="G133" i="49"/>
  <c r="O132" i="49"/>
  <c r="L132" i="49"/>
  <c r="I132" i="49"/>
  <c r="F132" i="49"/>
  <c r="C132" i="49"/>
  <c r="N131" i="49"/>
  <c r="M131" i="49"/>
  <c r="O131" i="49" s="1"/>
  <c r="L131" i="49"/>
  <c r="K131" i="49"/>
  <c r="J131" i="49"/>
  <c r="H131" i="49"/>
  <c r="I131" i="49" s="1"/>
  <c r="G131" i="49"/>
  <c r="E131" i="49"/>
  <c r="D131" i="49"/>
  <c r="O130" i="49"/>
  <c r="L130" i="49"/>
  <c r="I130" i="49"/>
  <c r="F130" i="49"/>
  <c r="O129" i="49"/>
  <c r="L129" i="49"/>
  <c r="C129" i="49" s="1"/>
  <c r="I129" i="49"/>
  <c r="F129" i="49"/>
  <c r="O128" i="49"/>
  <c r="L128" i="49"/>
  <c r="I128" i="49"/>
  <c r="F128" i="49"/>
  <c r="C128" i="49"/>
  <c r="O127" i="49"/>
  <c r="L127" i="49"/>
  <c r="I127" i="49"/>
  <c r="F127" i="49"/>
  <c r="C127" i="49" s="1"/>
  <c r="O126" i="49"/>
  <c r="L126" i="49"/>
  <c r="I126" i="49"/>
  <c r="F126" i="49"/>
  <c r="C126" i="49" s="1"/>
  <c r="O125" i="49"/>
  <c r="N125" i="49"/>
  <c r="M125" i="49"/>
  <c r="K125" i="49"/>
  <c r="J125" i="49"/>
  <c r="H125" i="49"/>
  <c r="G125" i="49"/>
  <c r="I125" i="49" s="1"/>
  <c r="F125" i="49"/>
  <c r="E125" i="49"/>
  <c r="D125" i="49"/>
  <c r="O124" i="49"/>
  <c r="L124" i="49"/>
  <c r="I124" i="49"/>
  <c r="F124" i="49"/>
  <c r="C124" i="49"/>
  <c r="O123" i="49"/>
  <c r="L123" i="49"/>
  <c r="I123" i="49"/>
  <c r="F123" i="49"/>
  <c r="C123" i="49" s="1"/>
  <c r="O122" i="49"/>
  <c r="L122" i="49"/>
  <c r="I122" i="49"/>
  <c r="F122" i="49"/>
  <c r="C122" i="49" s="1"/>
  <c r="O121" i="49"/>
  <c r="L121" i="49"/>
  <c r="I121" i="49"/>
  <c r="F121" i="49"/>
  <c r="C121" i="49"/>
  <c r="O120" i="49"/>
  <c r="L120" i="49"/>
  <c r="I120" i="49"/>
  <c r="F120" i="49"/>
  <c r="C120" i="49" s="1"/>
  <c r="N119" i="49"/>
  <c r="M119" i="49"/>
  <c r="O119" i="49" s="1"/>
  <c r="L119" i="49"/>
  <c r="K119" i="49"/>
  <c r="J119" i="49"/>
  <c r="I119" i="49"/>
  <c r="H119" i="49"/>
  <c r="G119" i="49"/>
  <c r="E119" i="49"/>
  <c r="D119" i="49"/>
  <c r="O118" i="49"/>
  <c r="L118" i="49"/>
  <c r="I118" i="49"/>
  <c r="F118" i="49"/>
  <c r="O117" i="49"/>
  <c r="L117" i="49"/>
  <c r="I117" i="49"/>
  <c r="F117" i="49"/>
  <c r="C117" i="49"/>
  <c r="O116" i="49"/>
  <c r="L116" i="49"/>
  <c r="I116" i="49"/>
  <c r="F116" i="49"/>
  <c r="C116" i="49" s="1"/>
  <c r="N115" i="49"/>
  <c r="M115" i="49"/>
  <c r="O115" i="49" s="1"/>
  <c r="L115" i="49"/>
  <c r="K115" i="49"/>
  <c r="J115" i="49"/>
  <c r="I115" i="49"/>
  <c r="H115" i="49"/>
  <c r="G115" i="49"/>
  <c r="E115" i="49"/>
  <c r="D115" i="49"/>
  <c r="O114" i="49"/>
  <c r="L114" i="49"/>
  <c r="I114" i="49"/>
  <c r="F114" i="49"/>
  <c r="O113" i="49"/>
  <c r="L113" i="49"/>
  <c r="I113" i="49"/>
  <c r="F113" i="49"/>
  <c r="C113" i="49"/>
  <c r="O112" i="49"/>
  <c r="L112" i="49"/>
  <c r="I112" i="49"/>
  <c r="F112" i="49"/>
  <c r="C112" i="49" s="1"/>
  <c r="O111" i="49"/>
  <c r="L111" i="49"/>
  <c r="I111" i="49"/>
  <c r="F111" i="49"/>
  <c r="O110" i="49"/>
  <c r="L110" i="49"/>
  <c r="I110" i="49"/>
  <c r="F110" i="49"/>
  <c r="O109" i="49"/>
  <c r="L109" i="49"/>
  <c r="I109" i="49"/>
  <c r="F109" i="49"/>
  <c r="C109" i="49"/>
  <c r="O108" i="49"/>
  <c r="L108" i="49"/>
  <c r="I108" i="49"/>
  <c r="F108" i="49"/>
  <c r="C108" i="49" s="1"/>
  <c r="O107" i="49"/>
  <c r="L107" i="49"/>
  <c r="I107" i="49"/>
  <c r="F107" i="49"/>
  <c r="N106" i="49"/>
  <c r="M106" i="49"/>
  <c r="K106" i="49"/>
  <c r="J106" i="49"/>
  <c r="I106" i="49"/>
  <c r="H106" i="49"/>
  <c r="G106" i="49"/>
  <c r="F106" i="49"/>
  <c r="E106" i="49"/>
  <c r="D106" i="49"/>
  <c r="O105" i="49"/>
  <c r="L105" i="49"/>
  <c r="I105" i="49"/>
  <c r="F105" i="49"/>
  <c r="C105" i="49"/>
  <c r="O104" i="49"/>
  <c r="L104" i="49"/>
  <c r="I104" i="49"/>
  <c r="F104" i="49"/>
  <c r="C104" i="49" s="1"/>
  <c r="O103" i="49"/>
  <c r="L103" i="49"/>
  <c r="I103" i="49"/>
  <c r="F103" i="49"/>
  <c r="O102" i="49"/>
  <c r="L102" i="49"/>
  <c r="I102" i="49"/>
  <c r="C102" i="49" s="1"/>
  <c r="F102" i="49"/>
  <c r="O101" i="49"/>
  <c r="L101" i="49"/>
  <c r="I101" i="49"/>
  <c r="F101" i="49"/>
  <c r="C101" i="49"/>
  <c r="O100" i="49"/>
  <c r="L100" i="49"/>
  <c r="I100" i="49"/>
  <c r="F100" i="49"/>
  <c r="C100" i="49" s="1"/>
  <c r="O99" i="49"/>
  <c r="L99" i="49"/>
  <c r="I99" i="49"/>
  <c r="F99" i="49"/>
  <c r="N98" i="49"/>
  <c r="M98" i="49"/>
  <c r="K98" i="49"/>
  <c r="J98" i="49"/>
  <c r="L98" i="49" s="1"/>
  <c r="I98" i="49"/>
  <c r="H98" i="49"/>
  <c r="G98" i="49"/>
  <c r="E98" i="49"/>
  <c r="D98" i="49"/>
  <c r="O97" i="49"/>
  <c r="L97" i="49"/>
  <c r="I97" i="49"/>
  <c r="F97" i="49"/>
  <c r="C97" i="49"/>
  <c r="O96" i="49"/>
  <c r="L96" i="49"/>
  <c r="I96" i="49"/>
  <c r="F96" i="49"/>
  <c r="C96" i="49" s="1"/>
  <c r="O95" i="49"/>
  <c r="L95" i="49"/>
  <c r="I95" i="49"/>
  <c r="F95" i="49"/>
  <c r="O94" i="49"/>
  <c r="L94" i="49"/>
  <c r="I94" i="49"/>
  <c r="F94" i="49"/>
  <c r="O93" i="49"/>
  <c r="L93" i="49"/>
  <c r="I93" i="49"/>
  <c r="F93" i="49"/>
  <c r="C93" i="49"/>
  <c r="O92" i="49"/>
  <c r="N92" i="49"/>
  <c r="M92" i="49"/>
  <c r="L92" i="49"/>
  <c r="K92" i="49"/>
  <c r="J92" i="49"/>
  <c r="H92" i="49"/>
  <c r="G92" i="49"/>
  <c r="I92" i="49" s="1"/>
  <c r="E92" i="49"/>
  <c r="D92" i="49"/>
  <c r="F92" i="49" s="1"/>
  <c r="O91" i="49"/>
  <c r="L91" i="49"/>
  <c r="I91" i="49"/>
  <c r="F91" i="49"/>
  <c r="O90" i="49"/>
  <c r="L90" i="49"/>
  <c r="I90" i="49"/>
  <c r="F90" i="49"/>
  <c r="O89" i="49"/>
  <c r="L89" i="49"/>
  <c r="I89" i="49"/>
  <c r="F89" i="49"/>
  <c r="C89" i="49"/>
  <c r="O88" i="49"/>
  <c r="L88" i="49"/>
  <c r="I88" i="49"/>
  <c r="F88" i="49"/>
  <c r="C88" i="49" s="1"/>
  <c r="N87" i="49"/>
  <c r="M87" i="49"/>
  <c r="O87" i="49" s="1"/>
  <c r="L87" i="49"/>
  <c r="K87" i="49"/>
  <c r="J87" i="49"/>
  <c r="H87" i="49"/>
  <c r="G87" i="49"/>
  <c r="E87" i="49"/>
  <c r="D87" i="49"/>
  <c r="N86" i="49"/>
  <c r="G86" i="49"/>
  <c r="O85" i="49"/>
  <c r="L85" i="49"/>
  <c r="I85" i="49"/>
  <c r="F85" i="49"/>
  <c r="C85" i="49"/>
  <c r="O84" i="49"/>
  <c r="L84" i="49"/>
  <c r="I84" i="49"/>
  <c r="F84" i="49"/>
  <c r="C84" i="49" s="1"/>
  <c r="N83" i="49"/>
  <c r="N79" i="49" s="1"/>
  <c r="N78" i="49" s="1"/>
  <c r="M83" i="49"/>
  <c r="K83" i="49"/>
  <c r="J83" i="49"/>
  <c r="L83" i="49" s="1"/>
  <c r="I83" i="49"/>
  <c r="H83" i="49"/>
  <c r="G83" i="49"/>
  <c r="E83" i="49"/>
  <c r="D83" i="49"/>
  <c r="O82" i="49"/>
  <c r="L82" i="49"/>
  <c r="C82" i="49" s="1"/>
  <c r="I82" i="49"/>
  <c r="F82" i="49"/>
  <c r="O81" i="49"/>
  <c r="L81" i="49"/>
  <c r="I81" i="49"/>
  <c r="F81" i="49"/>
  <c r="C81" i="49"/>
  <c r="N80" i="49"/>
  <c r="M80" i="49"/>
  <c r="O80" i="49" s="1"/>
  <c r="L80" i="49"/>
  <c r="K80" i="49"/>
  <c r="K79" i="49" s="1"/>
  <c r="J80" i="49"/>
  <c r="I80" i="49"/>
  <c r="H80" i="49"/>
  <c r="H79" i="49" s="1"/>
  <c r="G80" i="49"/>
  <c r="G79" i="49" s="1"/>
  <c r="I79" i="49" s="1"/>
  <c r="E80" i="49"/>
  <c r="D80" i="49"/>
  <c r="M79" i="49"/>
  <c r="O77" i="49"/>
  <c r="L77" i="49"/>
  <c r="I77" i="49"/>
  <c r="F77" i="49"/>
  <c r="C77" i="49"/>
  <c r="O76" i="49"/>
  <c r="L76" i="49"/>
  <c r="I76" i="49"/>
  <c r="F76" i="49"/>
  <c r="C76" i="49" s="1"/>
  <c r="O75" i="49"/>
  <c r="L75" i="49"/>
  <c r="I75" i="49"/>
  <c r="F75" i="49"/>
  <c r="C75" i="49" s="1"/>
  <c r="O74" i="49"/>
  <c r="L74" i="49"/>
  <c r="I74" i="49"/>
  <c r="F74" i="49"/>
  <c r="C74" i="49"/>
  <c r="O73" i="49"/>
  <c r="L73" i="49"/>
  <c r="I73" i="49"/>
  <c r="F73" i="49"/>
  <c r="C73" i="49" s="1"/>
  <c r="N72" i="49"/>
  <c r="M72" i="49"/>
  <c r="L72" i="49"/>
  <c r="K72" i="49"/>
  <c r="J72" i="49"/>
  <c r="H72" i="49"/>
  <c r="H70" i="49" s="1"/>
  <c r="G72" i="49"/>
  <c r="E72" i="49"/>
  <c r="E70" i="49" s="1"/>
  <c r="D72" i="49"/>
  <c r="O71" i="49"/>
  <c r="L71" i="49"/>
  <c r="I71" i="49"/>
  <c r="F71" i="49"/>
  <c r="C71" i="49" s="1"/>
  <c r="N70" i="49"/>
  <c r="K70" i="49"/>
  <c r="J70" i="49"/>
  <c r="L70" i="49" s="1"/>
  <c r="G70" i="49"/>
  <c r="I70" i="49" s="1"/>
  <c r="O69" i="49"/>
  <c r="L69" i="49"/>
  <c r="I69" i="49"/>
  <c r="F69" i="49"/>
  <c r="C69" i="49"/>
  <c r="O68" i="49"/>
  <c r="L68" i="49"/>
  <c r="I68" i="49"/>
  <c r="F68" i="49"/>
  <c r="C68" i="49" s="1"/>
  <c r="O67" i="49"/>
  <c r="L67" i="49"/>
  <c r="I67" i="49"/>
  <c r="F67" i="49"/>
  <c r="C67" i="49" s="1"/>
  <c r="O66" i="49"/>
  <c r="L66" i="49"/>
  <c r="I66" i="49"/>
  <c r="F66" i="49"/>
  <c r="C66" i="49"/>
  <c r="O65" i="49"/>
  <c r="L65" i="49"/>
  <c r="I65" i="49"/>
  <c r="F65" i="49"/>
  <c r="C65" i="49" s="1"/>
  <c r="O64" i="49"/>
  <c r="L64" i="49"/>
  <c r="I64" i="49"/>
  <c r="F64" i="49"/>
  <c r="O63" i="49"/>
  <c r="L63" i="49"/>
  <c r="I63" i="49"/>
  <c r="F63" i="49"/>
  <c r="O62" i="49"/>
  <c r="L62" i="49"/>
  <c r="C62" i="49" s="1"/>
  <c r="I62" i="49"/>
  <c r="F62" i="49"/>
  <c r="O61" i="49"/>
  <c r="N61" i="49"/>
  <c r="M61" i="49"/>
  <c r="K61" i="49"/>
  <c r="L61" i="49" s="1"/>
  <c r="J61" i="49"/>
  <c r="H61" i="49"/>
  <c r="G61" i="49"/>
  <c r="E61" i="49"/>
  <c r="D61" i="49"/>
  <c r="O60" i="49"/>
  <c r="L60" i="49"/>
  <c r="I60" i="49"/>
  <c r="F60" i="49"/>
  <c r="O59" i="49"/>
  <c r="L59" i="49"/>
  <c r="I59" i="49"/>
  <c r="F59" i="49"/>
  <c r="N58" i="49"/>
  <c r="M58" i="49"/>
  <c r="M57" i="49" s="1"/>
  <c r="K58" i="49"/>
  <c r="J58" i="49"/>
  <c r="H58" i="49"/>
  <c r="G58" i="49"/>
  <c r="F58" i="49"/>
  <c r="E58" i="49"/>
  <c r="E57" i="49" s="1"/>
  <c r="D58" i="49"/>
  <c r="K57" i="49"/>
  <c r="K56" i="49" s="1"/>
  <c r="H57" i="49"/>
  <c r="H56" i="49"/>
  <c r="E56" i="49"/>
  <c r="O50" i="49"/>
  <c r="C50" i="49" s="1"/>
  <c r="O49" i="49"/>
  <c r="C49" i="49"/>
  <c r="N48" i="49"/>
  <c r="M48" i="49"/>
  <c r="L47" i="49"/>
  <c r="I47" i="49"/>
  <c r="F47" i="49"/>
  <c r="C47" i="49"/>
  <c r="K46" i="49"/>
  <c r="J46" i="49"/>
  <c r="L46" i="49" s="1"/>
  <c r="I46" i="49"/>
  <c r="H46" i="49"/>
  <c r="G46" i="49"/>
  <c r="F46" i="49"/>
  <c r="C46" i="49" s="1"/>
  <c r="E46" i="49"/>
  <c r="D46" i="49"/>
  <c r="F45" i="49"/>
  <c r="C45" i="49" s="1"/>
  <c r="L44" i="49"/>
  <c r="C44" i="49" s="1"/>
  <c r="L43" i="49"/>
  <c r="C43" i="49" s="1"/>
  <c r="L42" i="49"/>
  <c r="C42" i="49" s="1"/>
  <c r="L41" i="49"/>
  <c r="C41" i="49"/>
  <c r="K40" i="49"/>
  <c r="J40" i="49"/>
  <c r="L40" i="49" s="1"/>
  <c r="C40" i="49" s="1"/>
  <c r="L39" i="49"/>
  <c r="C39" i="49" s="1"/>
  <c r="L38" i="49"/>
  <c r="C38" i="49" s="1"/>
  <c r="K37" i="49"/>
  <c r="J37" i="49"/>
  <c r="L37" i="49" s="1"/>
  <c r="C37" i="49"/>
  <c r="L36" i="49"/>
  <c r="C36" i="49" s="1"/>
  <c r="K35" i="49"/>
  <c r="J35" i="49"/>
  <c r="L34" i="49"/>
  <c r="C34" i="49" s="1"/>
  <c r="L33" i="49"/>
  <c r="C33" i="49" s="1"/>
  <c r="L32" i="49"/>
  <c r="C32" i="49" s="1"/>
  <c r="K31" i="49"/>
  <c r="J31" i="49"/>
  <c r="F29" i="49"/>
  <c r="C29" i="49" s="1"/>
  <c r="I28" i="49"/>
  <c r="F28" i="49"/>
  <c r="O27" i="49"/>
  <c r="L27" i="49"/>
  <c r="I27" i="49"/>
  <c r="F27" i="49"/>
  <c r="O26" i="49"/>
  <c r="L26" i="49"/>
  <c r="C26" i="49" s="1"/>
  <c r="I26" i="49"/>
  <c r="F26" i="49"/>
  <c r="O25" i="49"/>
  <c r="N25" i="49"/>
  <c r="N290" i="49" s="1"/>
  <c r="N289" i="49" s="1"/>
  <c r="M25" i="49"/>
  <c r="M290" i="49" s="1"/>
  <c r="K25" i="49"/>
  <c r="J25" i="49"/>
  <c r="J290" i="49" s="1"/>
  <c r="H25" i="49"/>
  <c r="H290" i="49" s="1"/>
  <c r="H289" i="49" s="1"/>
  <c r="G25" i="49"/>
  <c r="E25" i="49"/>
  <c r="E290" i="49" s="1"/>
  <c r="E289" i="49" s="1"/>
  <c r="D25" i="49"/>
  <c r="M24" i="49"/>
  <c r="H24" i="49"/>
  <c r="E24" i="49"/>
  <c r="O299" i="48"/>
  <c r="L299" i="48"/>
  <c r="I299" i="48"/>
  <c r="F299" i="48"/>
  <c r="C299" i="48" s="1"/>
  <c r="O298" i="48"/>
  <c r="L298" i="48"/>
  <c r="I298" i="48"/>
  <c r="F298" i="48"/>
  <c r="C298" i="48"/>
  <c r="O297" i="48"/>
  <c r="L297" i="48"/>
  <c r="I297" i="48"/>
  <c r="F297" i="48"/>
  <c r="C297" i="48" s="1"/>
  <c r="O296" i="48"/>
  <c r="L296" i="48"/>
  <c r="I296" i="48"/>
  <c r="F296" i="48"/>
  <c r="O295" i="48"/>
  <c r="L295" i="48"/>
  <c r="I295" i="48"/>
  <c r="F295" i="48"/>
  <c r="O294" i="48"/>
  <c r="L294" i="48"/>
  <c r="C294" i="48" s="1"/>
  <c r="I294" i="48"/>
  <c r="F294" i="48"/>
  <c r="O293" i="48"/>
  <c r="L293" i="48"/>
  <c r="I293" i="48"/>
  <c r="F293" i="48"/>
  <c r="C293" i="48"/>
  <c r="O292" i="48"/>
  <c r="L292" i="48"/>
  <c r="I292" i="48"/>
  <c r="F292" i="48"/>
  <c r="C292" i="48" s="1"/>
  <c r="N291" i="48"/>
  <c r="M291" i="48"/>
  <c r="K291" i="48"/>
  <c r="J291" i="48"/>
  <c r="L291" i="48" s="1"/>
  <c r="I291" i="48"/>
  <c r="H291" i="48"/>
  <c r="G291" i="48"/>
  <c r="F291" i="48"/>
  <c r="E291" i="48"/>
  <c r="D291" i="48"/>
  <c r="O286" i="48"/>
  <c r="L286" i="48"/>
  <c r="I286" i="48"/>
  <c r="F286" i="48"/>
  <c r="C286" i="48"/>
  <c r="O285" i="48"/>
  <c r="L285" i="48"/>
  <c r="I285" i="48"/>
  <c r="F285" i="48"/>
  <c r="C285" i="48" s="1"/>
  <c r="N284" i="48"/>
  <c r="M284" i="48"/>
  <c r="O284" i="48" s="1"/>
  <c r="L284" i="48"/>
  <c r="K284" i="48"/>
  <c r="J284" i="48"/>
  <c r="H284" i="48"/>
  <c r="G284" i="48"/>
  <c r="E284" i="48"/>
  <c r="D284" i="48"/>
  <c r="O283" i="48"/>
  <c r="L283" i="48"/>
  <c r="I283" i="48"/>
  <c r="F283" i="48"/>
  <c r="C283" i="48" s="1"/>
  <c r="O282" i="48"/>
  <c r="N282" i="48"/>
  <c r="M282" i="48"/>
  <c r="K282" i="48"/>
  <c r="J282" i="48"/>
  <c r="L282" i="48" s="1"/>
  <c r="H282" i="48"/>
  <c r="G282" i="48"/>
  <c r="I282" i="48" s="1"/>
  <c r="F282" i="48"/>
  <c r="E282" i="48"/>
  <c r="D282" i="48"/>
  <c r="O281" i="48"/>
  <c r="L281" i="48"/>
  <c r="I281" i="48"/>
  <c r="F281" i="48"/>
  <c r="C281" i="48"/>
  <c r="O280" i="48"/>
  <c r="L280" i="48"/>
  <c r="I280" i="48"/>
  <c r="F280" i="48"/>
  <c r="C280" i="48" s="1"/>
  <c r="O279" i="48"/>
  <c r="L279" i="48"/>
  <c r="I279" i="48"/>
  <c r="F279" i="48"/>
  <c r="C279" i="48" s="1"/>
  <c r="O278" i="48"/>
  <c r="N278" i="48"/>
  <c r="M278" i="48"/>
  <c r="K278" i="48"/>
  <c r="J278" i="48"/>
  <c r="L278" i="48" s="1"/>
  <c r="H278" i="48"/>
  <c r="G278" i="48"/>
  <c r="I278" i="48" s="1"/>
  <c r="F278" i="48"/>
  <c r="E278" i="48"/>
  <c r="D278" i="48"/>
  <c r="O277" i="48"/>
  <c r="L277" i="48"/>
  <c r="I277" i="48"/>
  <c r="F277" i="48"/>
  <c r="C277" i="48"/>
  <c r="O276" i="48"/>
  <c r="L276" i="48"/>
  <c r="I276" i="48"/>
  <c r="F276" i="48"/>
  <c r="C276" i="48" s="1"/>
  <c r="O275" i="48"/>
  <c r="L275" i="48"/>
  <c r="I275" i="48"/>
  <c r="F275" i="48"/>
  <c r="C275" i="48" s="1"/>
  <c r="O274" i="48"/>
  <c r="N274" i="48"/>
  <c r="N272" i="48" s="1"/>
  <c r="N271" i="48" s="1"/>
  <c r="M274" i="48"/>
  <c r="K274" i="48"/>
  <c r="K272" i="48" s="1"/>
  <c r="K271" i="48" s="1"/>
  <c r="J274" i="48"/>
  <c r="H274" i="48"/>
  <c r="G274" i="48"/>
  <c r="F274" i="48"/>
  <c r="E274" i="48"/>
  <c r="D274" i="48"/>
  <c r="O273" i="48"/>
  <c r="L273" i="48"/>
  <c r="I273" i="48"/>
  <c r="F273" i="48"/>
  <c r="C273" i="48"/>
  <c r="M272" i="48"/>
  <c r="O272" i="48" s="1"/>
  <c r="H272" i="48"/>
  <c r="E272" i="48"/>
  <c r="E271" i="48" s="1"/>
  <c r="D272" i="48"/>
  <c r="D271" i="48" s="1"/>
  <c r="M271" i="48"/>
  <c r="O271" i="48" s="1"/>
  <c r="H271" i="48"/>
  <c r="F271" i="48"/>
  <c r="O270" i="48"/>
  <c r="L270" i="48"/>
  <c r="I270" i="48"/>
  <c r="F270" i="48"/>
  <c r="C270" i="48"/>
  <c r="O269" i="48"/>
  <c r="L269" i="48"/>
  <c r="I269" i="48"/>
  <c r="F269" i="48"/>
  <c r="C269" i="48" s="1"/>
  <c r="O268" i="48"/>
  <c r="L268" i="48"/>
  <c r="I268" i="48"/>
  <c r="F268" i="48"/>
  <c r="O267" i="48"/>
  <c r="L267" i="48"/>
  <c r="I267" i="48"/>
  <c r="F267" i="48"/>
  <c r="N266" i="48"/>
  <c r="N261" i="48" s="1"/>
  <c r="M266" i="48"/>
  <c r="O266" i="48" s="1"/>
  <c r="K266" i="48"/>
  <c r="J266" i="48"/>
  <c r="I266" i="48"/>
  <c r="H266" i="48"/>
  <c r="G266" i="48"/>
  <c r="E266" i="48"/>
  <c r="F266" i="48" s="1"/>
  <c r="D266" i="48"/>
  <c r="O265" i="48"/>
  <c r="L265" i="48"/>
  <c r="I265" i="48"/>
  <c r="F265" i="48"/>
  <c r="O264" i="48"/>
  <c r="L264" i="48"/>
  <c r="I264" i="48"/>
  <c r="F264" i="48"/>
  <c r="C264" i="48"/>
  <c r="O263" i="48"/>
  <c r="L263" i="48"/>
  <c r="I263" i="48"/>
  <c r="F263" i="48"/>
  <c r="C263" i="48" s="1"/>
  <c r="O262" i="48"/>
  <c r="N262" i="48"/>
  <c r="M262" i="48"/>
  <c r="K262" i="48"/>
  <c r="J262" i="48"/>
  <c r="H262" i="48"/>
  <c r="G262" i="48"/>
  <c r="F262" i="48"/>
  <c r="E262" i="48"/>
  <c r="D262" i="48"/>
  <c r="K261" i="48"/>
  <c r="H261" i="48"/>
  <c r="D261" i="48"/>
  <c r="O260" i="48"/>
  <c r="L260" i="48"/>
  <c r="I260" i="48"/>
  <c r="F260" i="48"/>
  <c r="C260" i="48" s="1"/>
  <c r="O259" i="48"/>
  <c r="L259" i="48"/>
  <c r="I259" i="48"/>
  <c r="F259" i="48"/>
  <c r="O258" i="48"/>
  <c r="L258" i="48"/>
  <c r="C258" i="48" s="1"/>
  <c r="I258" i="48"/>
  <c r="F258" i="48"/>
  <c r="O257" i="48"/>
  <c r="L257" i="48"/>
  <c r="I257" i="48"/>
  <c r="F257" i="48"/>
  <c r="C257" i="48"/>
  <c r="O256" i="48"/>
  <c r="L256" i="48"/>
  <c r="I256" i="48"/>
  <c r="F256" i="48"/>
  <c r="C256" i="48" s="1"/>
  <c r="N255" i="48"/>
  <c r="M255" i="48"/>
  <c r="L255" i="48"/>
  <c r="K255" i="48"/>
  <c r="J255" i="48"/>
  <c r="I255" i="48"/>
  <c r="H255" i="48"/>
  <c r="H254" i="48" s="1"/>
  <c r="G255" i="48"/>
  <c r="E255" i="48"/>
  <c r="E254" i="48" s="1"/>
  <c r="D255" i="48"/>
  <c r="N254" i="48"/>
  <c r="K254" i="48"/>
  <c r="J254" i="48"/>
  <c r="G254" i="48"/>
  <c r="I254" i="48" s="1"/>
  <c r="O253" i="48"/>
  <c r="L253" i="48"/>
  <c r="I253" i="48"/>
  <c r="F253" i="48"/>
  <c r="C253" i="48"/>
  <c r="O252" i="48"/>
  <c r="L252" i="48"/>
  <c r="I252" i="48"/>
  <c r="F252" i="48"/>
  <c r="C252" i="48" s="1"/>
  <c r="O251" i="48"/>
  <c r="L251" i="48"/>
  <c r="I251" i="48"/>
  <c r="F251" i="48"/>
  <c r="O250" i="48"/>
  <c r="L250" i="48"/>
  <c r="I250" i="48"/>
  <c r="C250" i="48" s="1"/>
  <c r="F250" i="48"/>
  <c r="N249" i="48"/>
  <c r="O249" i="48" s="1"/>
  <c r="M249" i="48"/>
  <c r="K249" i="48"/>
  <c r="J249" i="48"/>
  <c r="L249" i="48" s="1"/>
  <c r="H249" i="48"/>
  <c r="G249" i="48"/>
  <c r="E249" i="48"/>
  <c r="D249" i="48"/>
  <c r="F249" i="48" s="1"/>
  <c r="O248" i="48"/>
  <c r="L248" i="48"/>
  <c r="I248" i="48"/>
  <c r="F248" i="48"/>
  <c r="O247" i="48"/>
  <c r="L247" i="48"/>
  <c r="I247" i="48"/>
  <c r="F247" i="48"/>
  <c r="O246" i="48"/>
  <c r="L246" i="48"/>
  <c r="C246" i="48" s="1"/>
  <c r="I246" i="48"/>
  <c r="F246" i="48"/>
  <c r="O245" i="48"/>
  <c r="L245" i="48"/>
  <c r="I245" i="48"/>
  <c r="F245" i="48"/>
  <c r="C245" i="48"/>
  <c r="O244" i="48"/>
  <c r="L244" i="48"/>
  <c r="I244" i="48"/>
  <c r="F244" i="48"/>
  <c r="C244" i="48" s="1"/>
  <c r="O243" i="48"/>
  <c r="L243" i="48"/>
  <c r="I243" i="48"/>
  <c r="F243" i="48"/>
  <c r="O242" i="48"/>
  <c r="L242" i="48"/>
  <c r="I242" i="48"/>
  <c r="F242" i="48"/>
  <c r="N241" i="48"/>
  <c r="O241" i="48" s="1"/>
  <c r="M241" i="48"/>
  <c r="K241" i="48"/>
  <c r="J241" i="48"/>
  <c r="L241" i="48" s="1"/>
  <c r="H241" i="48"/>
  <c r="G241" i="48"/>
  <c r="F241" i="48"/>
  <c r="E241" i="48"/>
  <c r="D241" i="48"/>
  <c r="O240" i="48"/>
  <c r="L240" i="48"/>
  <c r="I240" i="48"/>
  <c r="F240" i="48"/>
  <c r="C240" i="48"/>
  <c r="O239" i="48"/>
  <c r="L239" i="48"/>
  <c r="I239" i="48"/>
  <c r="F239" i="48"/>
  <c r="C239" i="48" s="1"/>
  <c r="O238" i="48"/>
  <c r="N238" i="48"/>
  <c r="M238" i="48"/>
  <c r="K238" i="48"/>
  <c r="J238" i="48"/>
  <c r="H238" i="48"/>
  <c r="G238" i="48"/>
  <c r="I238" i="48" s="1"/>
  <c r="F238" i="48"/>
  <c r="E238" i="48"/>
  <c r="D238" i="48"/>
  <c r="O237" i="48"/>
  <c r="L237" i="48"/>
  <c r="I237" i="48"/>
  <c r="F237" i="48"/>
  <c r="C237" i="48" s="1"/>
  <c r="N236" i="48"/>
  <c r="M236" i="48"/>
  <c r="L236" i="48"/>
  <c r="K236" i="48"/>
  <c r="J236" i="48"/>
  <c r="I236" i="48"/>
  <c r="H236" i="48"/>
  <c r="H234" i="48" s="1"/>
  <c r="H233" i="48" s="1"/>
  <c r="G236" i="48"/>
  <c r="E236" i="48"/>
  <c r="D236" i="48"/>
  <c r="O235" i="48"/>
  <c r="L235" i="48"/>
  <c r="I235" i="48"/>
  <c r="F235" i="48"/>
  <c r="K234" i="48"/>
  <c r="G234" i="48"/>
  <c r="E234" i="48"/>
  <c r="O232" i="48"/>
  <c r="L232" i="48"/>
  <c r="I232" i="48"/>
  <c r="F232" i="48"/>
  <c r="C232" i="48" s="1"/>
  <c r="O231" i="48"/>
  <c r="L231" i="48"/>
  <c r="I231" i="48"/>
  <c r="F231" i="48"/>
  <c r="N230" i="48"/>
  <c r="M230" i="48"/>
  <c r="K230" i="48"/>
  <c r="J230" i="48"/>
  <c r="I230" i="48"/>
  <c r="H230" i="48"/>
  <c r="G230" i="48"/>
  <c r="E230" i="48"/>
  <c r="F230" i="48" s="1"/>
  <c r="D230" i="48"/>
  <c r="O229" i="48"/>
  <c r="L229" i="48"/>
  <c r="I229" i="48"/>
  <c r="F229" i="48"/>
  <c r="C229" i="48" s="1"/>
  <c r="O228" i="48"/>
  <c r="L228" i="48"/>
  <c r="I228" i="48"/>
  <c r="F228" i="48"/>
  <c r="C228" i="48"/>
  <c r="O227" i="48"/>
  <c r="L227" i="48"/>
  <c r="I227" i="48"/>
  <c r="F227" i="48"/>
  <c r="C227" i="48" s="1"/>
  <c r="O226" i="48"/>
  <c r="L226" i="48"/>
  <c r="I226" i="48"/>
  <c r="F226" i="48"/>
  <c r="C226" i="48"/>
  <c r="O225" i="48"/>
  <c r="L225" i="48"/>
  <c r="I225" i="48"/>
  <c r="F225" i="48"/>
  <c r="C225" i="48" s="1"/>
  <c r="O224" i="48"/>
  <c r="L224" i="48"/>
  <c r="I224" i="48"/>
  <c r="F224" i="48"/>
  <c r="C224" i="48" s="1"/>
  <c r="O223" i="48"/>
  <c r="L223" i="48"/>
  <c r="I223" i="48"/>
  <c r="F223" i="48"/>
  <c r="O222" i="48"/>
  <c r="L222" i="48"/>
  <c r="I222" i="48"/>
  <c r="F222" i="48"/>
  <c r="C222" i="48"/>
  <c r="O221" i="48"/>
  <c r="L221" i="48"/>
  <c r="I221" i="48"/>
  <c r="F221" i="48"/>
  <c r="C221" i="48" s="1"/>
  <c r="D221" i="48"/>
  <c r="D219" i="48" s="1"/>
  <c r="O220" i="48"/>
  <c r="L220" i="48"/>
  <c r="I220" i="48"/>
  <c r="F220" i="48"/>
  <c r="N219" i="48"/>
  <c r="M219" i="48"/>
  <c r="O219" i="48" s="1"/>
  <c r="K219" i="48"/>
  <c r="J219" i="48"/>
  <c r="I219" i="48"/>
  <c r="H219" i="48"/>
  <c r="G219" i="48"/>
  <c r="E219" i="48"/>
  <c r="O218" i="48"/>
  <c r="L218" i="48"/>
  <c r="I218" i="48"/>
  <c r="F218" i="48"/>
  <c r="C218" i="48" s="1"/>
  <c r="O217" i="48"/>
  <c r="L217" i="48"/>
  <c r="I217" i="48"/>
  <c r="F217" i="48"/>
  <c r="O216" i="48"/>
  <c r="L216" i="48"/>
  <c r="I216" i="48"/>
  <c r="F216" i="48"/>
  <c r="O215" i="48"/>
  <c r="L215" i="48"/>
  <c r="C215" i="48" s="1"/>
  <c r="I215" i="48"/>
  <c r="F215" i="48"/>
  <c r="O214" i="48"/>
  <c r="L214" i="48"/>
  <c r="I214" i="48"/>
  <c r="F214" i="48"/>
  <c r="C214" i="48"/>
  <c r="O213" i="48"/>
  <c r="L213" i="48"/>
  <c r="I213" i="48"/>
  <c r="F213" i="48"/>
  <c r="C213" i="48" s="1"/>
  <c r="O212" i="48"/>
  <c r="L212" i="48"/>
  <c r="I212" i="48"/>
  <c r="F212" i="48"/>
  <c r="C212" i="48" s="1"/>
  <c r="O211" i="48"/>
  <c r="L211" i="48"/>
  <c r="I211" i="48"/>
  <c r="F211" i="48"/>
  <c r="C211" i="48"/>
  <c r="O210" i="48"/>
  <c r="L210" i="48"/>
  <c r="I210" i="48"/>
  <c r="F210" i="48"/>
  <c r="C210" i="48" s="1"/>
  <c r="O209" i="48"/>
  <c r="L209" i="48"/>
  <c r="I209" i="48"/>
  <c r="F209" i="48"/>
  <c r="N208" i="48"/>
  <c r="N207" i="48" s="1"/>
  <c r="M208" i="48"/>
  <c r="K208" i="48"/>
  <c r="J208" i="48"/>
  <c r="L208" i="48" s="1"/>
  <c r="I208" i="48"/>
  <c r="H208" i="48"/>
  <c r="H207" i="48" s="1"/>
  <c r="G208" i="48"/>
  <c r="E208" i="48"/>
  <c r="D208" i="48"/>
  <c r="D207" i="48" s="1"/>
  <c r="K207" i="48"/>
  <c r="J207" i="48"/>
  <c r="L207" i="48" s="1"/>
  <c r="G207" i="48"/>
  <c r="I207" i="48" s="1"/>
  <c r="O206" i="48"/>
  <c r="L206" i="48"/>
  <c r="I206" i="48"/>
  <c r="F206" i="48"/>
  <c r="C206" i="48"/>
  <c r="O205" i="48"/>
  <c r="L205" i="48"/>
  <c r="I205" i="48"/>
  <c r="F205" i="48"/>
  <c r="C205" i="48" s="1"/>
  <c r="O204" i="48"/>
  <c r="L204" i="48"/>
  <c r="I204" i="48"/>
  <c r="F204" i="48"/>
  <c r="C204" i="48" s="1"/>
  <c r="O203" i="48"/>
  <c r="L203" i="48"/>
  <c r="I203" i="48"/>
  <c r="F203" i="48"/>
  <c r="C203" i="48"/>
  <c r="O202" i="48"/>
  <c r="L202" i="48"/>
  <c r="I202" i="48"/>
  <c r="F202" i="48"/>
  <c r="C202" i="48" s="1"/>
  <c r="N201" i="48"/>
  <c r="M201" i="48"/>
  <c r="L201" i="48"/>
  <c r="K201" i="48"/>
  <c r="J201" i="48"/>
  <c r="I201" i="48"/>
  <c r="H201" i="48"/>
  <c r="H199" i="48" s="1"/>
  <c r="H198" i="48" s="1"/>
  <c r="H197" i="48" s="1"/>
  <c r="G201" i="48"/>
  <c r="E201" i="48"/>
  <c r="E199" i="48" s="1"/>
  <c r="D201" i="48"/>
  <c r="O200" i="48"/>
  <c r="L200" i="48"/>
  <c r="I200" i="48"/>
  <c r="F200" i="48"/>
  <c r="C200" i="48" s="1"/>
  <c r="N199" i="48"/>
  <c r="K199" i="48"/>
  <c r="K198" i="48" s="1"/>
  <c r="J199" i="48"/>
  <c r="G199" i="48"/>
  <c r="I199" i="48" s="1"/>
  <c r="G198" i="48"/>
  <c r="O196" i="48"/>
  <c r="L196" i="48"/>
  <c r="I196" i="48"/>
  <c r="F196" i="48"/>
  <c r="C196" i="48" s="1"/>
  <c r="O195" i="48"/>
  <c r="N195" i="48"/>
  <c r="N194" i="48" s="1"/>
  <c r="M195" i="48"/>
  <c r="M194" i="48" s="1"/>
  <c r="K195" i="48"/>
  <c r="K194" i="48" s="1"/>
  <c r="J195" i="48"/>
  <c r="H195" i="48"/>
  <c r="G195" i="48"/>
  <c r="I195" i="48" s="1"/>
  <c r="F195" i="48"/>
  <c r="E195" i="48"/>
  <c r="E194" i="48" s="1"/>
  <c r="D195" i="48"/>
  <c r="O194" i="48"/>
  <c r="H194" i="48"/>
  <c r="G194" i="48"/>
  <c r="I194" i="48" s="1"/>
  <c r="D194" i="48"/>
  <c r="O193" i="48"/>
  <c r="L193" i="48"/>
  <c r="I193" i="48"/>
  <c r="F193" i="48"/>
  <c r="O192" i="48"/>
  <c r="L192" i="48"/>
  <c r="I192" i="48"/>
  <c r="F192" i="48"/>
  <c r="N191" i="48"/>
  <c r="M191" i="48"/>
  <c r="M190" i="48" s="1"/>
  <c r="K191" i="48"/>
  <c r="J191" i="48"/>
  <c r="H191" i="48"/>
  <c r="G191" i="48"/>
  <c r="F191" i="48"/>
  <c r="E191" i="48"/>
  <c r="D191" i="48"/>
  <c r="K190" i="48"/>
  <c r="H190" i="48"/>
  <c r="O189" i="48"/>
  <c r="L189" i="48"/>
  <c r="I189" i="48"/>
  <c r="F189" i="48"/>
  <c r="C189" i="48" s="1"/>
  <c r="O188" i="48"/>
  <c r="L188" i="48"/>
  <c r="I188" i="48"/>
  <c r="F188" i="48"/>
  <c r="C188" i="48" s="1"/>
  <c r="O187" i="48"/>
  <c r="N187" i="48"/>
  <c r="M187" i="48"/>
  <c r="K187" i="48"/>
  <c r="J187" i="48"/>
  <c r="H187" i="48"/>
  <c r="G187" i="48"/>
  <c r="I187" i="48" s="1"/>
  <c r="F187" i="48"/>
  <c r="E187" i="48"/>
  <c r="D187" i="48"/>
  <c r="O186" i="48"/>
  <c r="L186" i="48"/>
  <c r="I186" i="48"/>
  <c r="F186" i="48"/>
  <c r="C186" i="48"/>
  <c r="O185" i="48"/>
  <c r="L185" i="48"/>
  <c r="I185" i="48"/>
  <c r="F185" i="48"/>
  <c r="C185" i="48" s="1"/>
  <c r="O184" i="48"/>
  <c r="L184" i="48"/>
  <c r="I184" i="48"/>
  <c r="F184" i="48"/>
  <c r="C184" i="48" s="1"/>
  <c r="O183" i="48"/>
  <c r="L183" i="48"/>
  <c r="I183" i="48"/>
  <c r="F183" i="48"/>
  <c r="C183" i="48"/>
  <c r="O182" i="48"/>
  <c r="N182" i="48"/>
  <c r="M182" i="48"/>
  <c r="L182" i="48"/>
  <c r="K182" i="48"/>
  <c r="J182" i="48"/>
  <c r="H182" i="48"/>
  <c r="G182" i="48"/>
  <c r="E182" i="48"/>
  <c r="D182" i="48"/>
  <c r="F182" i="48" s="1"/>
  <c r="O181" i="48"/>
  <c r="L181" i="48"/>
  <c r="I181" i="48"/>
  <c r="F181" i="48"/>
  <c r="C181" i="48" s="1"/>
  <c r="O180" i="48"/>
  <c r="L180" i="48"/>
  <c r="I180" i="48"/>
  <c r="F180" i="48"/>
  <c r="C180" i="48" s="1"/>
  <c r="O179" i="48"/>
  <c r="L179" i="48"/>
  <c r="I179" i="48"/>
  <c r="F179" i="48"/>
  <c r="C179" i="48"/>
  <c r="O178" i="48"/>
  <c r="N178" i="48"/>
  <c r="N177" i="48" s="1"/>
  <c r="M178" i="48"/>
  <c r="L178" i="48"/>
  <c r="K178" i="48"/>
  <c r="K177" i="48" s="1"/>
  <c r="J178" i="48"/>
  <c r="J177" i="48" s="1"/>
  <c r="L177" i="48" s="1"/>
  <c r="H178" i="48"/>
  <c r="H177" i="48" s="1"/>
  <c r="H176" i="48" s="1"/>
  <c r="G178" i="48"/>
  <c r="E178" i="48"/>
  <c r="D178" i="48"/>
  <c r="F178" i="48" s="1"/>
  <c r="M177" i="48"/>
  <c r="O177" i="48" s="1"/>
  <c r="E177" i="48"/>
  <c r="N176" i="48"/>
  <c r="M176" i="48"/>
  <c r="O176" i="48" s="1"/>
  <c r="J176" i="48"/>
  <c r="E176" i="48"/>
  <c r="O175" i="48"/>
  <c r="L175" i="48"/>
  <c r="I175" i="48"/>
  <c r="F175" i="48"/>
  <c r="C175" i="48"/>
  <c r="O174" i="48"/>
  <c r="L174" i="48"/>
  <c r="I174" i="48"/>
  <c r="F174" i="48"/>
  <c r="C174" i="48" s="1"/>
  <c r="O173" i="48"/>
  <c r="L173" i="48"/>
  <c r="I173" i="48"/>
  <c r="F173" i="48"/>
  <c r="O172" i="48"/>
  <c r="L172" i="48"/>
  <c r="I172" i="48"/>
  <c r="F172" i="48"/>
  <c r="O171" i="48"/>
  <c r="L171" i="48"/>
  <c r="C171" i="48" s="1"/>
  <c r="I171" i="48"/>
  <c r="F171" i="48"/>
  <c r="O170" i="48"/>
  <c r="L170" i="48"/>
  <c r="I170" i="48"/>
  <c r="F170" i="48"/>
  <c r="C170" i="48"/>
  <c r="N169" i="48"/>
  <c r="M169" i="48"/>
  <c r="O169" i="48" s="1"/>
  <c r="L169" i="48"/>
  <c r="K169" i="48"/>
  <c r="K168" i="48" s="1"/>
  <c r="J169" i="48"/>
  <c r="H169" i="48"/>
  <c r="H168" i="48" s="1"/>
  <c r="G169" i="48"/>
  <c r="G168" i="48" s="1"/>
  <c r="I168" i="48" s="1"/>
  <c r="E169" i="48"/>
  <c r="E168" i="48" s="1"/>
  <c r="D169" i="48"/>
  <c r="N168" i="48"/>
  <c r="M168" i="48"/>
  <c r="O168" i="48" s="1"/>
  <c r="J168" i="48"/>
  <c r="L168" i="48" s="1"/>
  <c r="O167" i="48"/>
  <c r="L167" i="48"/>
  <c r="I167" i="48"/>
  <c r="F167" i="48"/>
  <c r="C167" i="48"/>
  <c r="O166" i="48"/>
  <c r="L166" i="48"/>
  <c r="I166" i="48"/>
  <c r="F166" i="48"/>
  <c r="C166" i="48" s="1"/>
  <c r="O165" i="48"/>
  <c r="L165" i="48"/>
  <c r="I165" i="48"/>
  <c r="F165" i="48"/>
  <c r="O164" i="48"/>
  <c r="L164" i="48"/>
  <c r="I164" i="48"/>
  <c r="F164" i="48"/>
  <c r="N163" i="48"/>
  <c r="O163" i="48" s="1"/>
  <c r="C163" i="48" s="1"/>
  <c r="M163" i="48"/>
  <c r="K163" i="48"/>
  <c r="J163" i="48"/>
  <c r="L163" i="48" s="1"/>
  <c r="H163" i="48"/>
  <c r="G163" i="48"/>
  <c r="I163" i="48" s="1"/>
  <c r="F163" i="48"/>
  <c r="E163" i="48"/>
  <c r="D163" i="48"/>
  <c r="O162" i="48"/>
  <c r="L162" i="48"/>
  <c r="I162" i="48"/>
  <c r="F162" i="48"/>
  <c r="C162" i="48" s="1"/>
  <c r="O161" i="48"/>
  <c r="L161" i="48"/>
  <c r="I161" i="48"/>
  <c r="F161" i="48"/>
  <c r="O160" i="48"/>
  <c r="L160" i="48"/>
  <c r="I160" i="48"/>
  <c r="F160" i="48"/>
  <c r="O159" i="48"/>
  <c r="L159" i="48"/>
  <c r="C159" i="48" s="1"/>
  <c r="I159" i="48"/>
  <c r="F159" i="48"/>
  <c r="O158" i="48"/>
  <c r="L158" i="48"/>
  <c r="I158" i="48"/>
  <c r="F158" i="48"/>
  <c r="C158" i="48"/>
  <c r="O157" i="48"/>
  <c r="L157" i="48"/>
  <c r="I157" i="48"/>
  <c r="F157" i="48"/>
  <c r="C157" i="48" s="1"/>
  <c r="O156" i="48"/>
  <c r="L156" i="48"/>
  <c r="I156" i="48"/>
  <c r="F156" i="48"/>
  <c r="C156" i="48" s="1"/>
  <c r="O155" i="48"/>
  <c r="L155" i="48"/>
  <c r="I155" i="48"/>
  <c r="F155" i="48"/>
  <c r="C155" i="48"/>
  <c r="O154" i="48"/>
  <c r="N154" i="48"/>
  <c r="M154" i="48"/>
  <c r="L154" i="48"/>
  <c r="K154" i="48"/>
  <c r="J154" i="48"/>
  <c r="H154" i="48"/>
  <c r="H133" i="48" s="1"/>
  <c r="G154" i="48"/>
  <c r="I154" i="48" s="1"/>
  <c r="C154" i="48" s="1"/>
  <c r="E154" i="48"/>
  <c r="D154" i="48"/>
  <c r="F154" i="48" s="1"/>
  <c r="O153" i="48"/>
  <c r="L153" i="48"/>
  <c r="I153" i="48"/>
  <c r="F153" i="48"/>
  <c r="C153" i="48" s="1"/>
  <c r="O152" i="48"/>
  <c r="L152" i="48"/>
  <c r="I152" i="48"/>
  <c r="F152" i="48"/>
  <c r="C152" i="48" s="1"/>
  <c r="O151" i="48"/>
  <c r="L151" i="48"/>
  <c r="I151" i="48"/>
  <c r="F151" i="48"/>
  <c r="C151" i="48"/>
  <c r="O150" i="48"/>
  <c r="L150" i="48"/>
  <c r="I150" i="48"/>
  <c r="F150" i="48"/>
  <c r="C150" i="48" s="1"/>
  <c r="O149" i="48"/>
  <c r="L149" i="48"/>
  <c r="I149" i="48"/>
  <c r="F149" i="48"/>
  <c r="O148" i="48"/>
  <c r="L148" i="48"/>
  <c r="I148" i="48"/>
  <c r="F148" i="48"/>
  <c r="N147" i="48"/>
  <c r="O147" i="48" s="1"/>
  <c r="C147" i="48" s="1"/>
  <c r="M147" i="48"/>
  <c r="K147" i="48"/>
  <c r="J147" i="48"/>
  <c r="L147" i="48" s="1"/>
  <c r="H147" i="48"/>
  <c r="G147" i="48"/>
  <c r="I147" i="48" s="1"/>
  <c r="F147" i="48"/>
  <c r="E147" i="48"/>
  <c r="D147" i="48"/>
  <c r="O146" i="48"/>
  <c r="L146" i="48"/>
  <c r="I146" i="48"/>
  <c r="F146" i="48"/>
  <c r="C146" i="48" s="1"/>
  <c r="O145" i="48"/>
  <c r="L145" i="48"/>
  <c r="I145" i="48"/>
  <c r="F145" i="48"/>
  <c r="N144" i="48"/>
  <c r="M144" i="48"/>
  <c r="K144" i="48"/>
  <c r="J144" i="48"/>
  <c r="L144" i="48" s="1"/>
  <c r="I144" i="48"/>
  <c r="H144" i="48"/>
  <c r="G144" i="48"/>
  <c r="E144" i="48"/>
  <c r="F144" i="48" s="1"/>
  <c r="D144" i="48"/>
  <c r="O143" i="48"/>
  <c r="L143" i="48"/>
  <c r="I143" i="48"/>
  <c r="F143" i="48"/>
  <c r="C143" i="48"/>
  <c r="O142" i="48"/>
  <c r="L142" i="48"/>
  <c r="I142" i="48"/>
  <c r="F142" i="48"/>
  <c r="C142" i="48" s="1"/>
  <c r="O141" i="48"/>
  <c r="L141" i="48"/>
  <c r="I141" i="48"/>
  <c r="F141" i="48"/>
  <c r="O140" i="48"/>
  <c r="L140" i="48"/>
  <c r="I140" i="48"/>
  <c r="F140" i="48"/>
  <c r="N139" i="48"/>
  <c r="M139" i="48"/>
  <c r="K139" i="48"/>
  <c r="J139" i="48"/>
  <c r="H139" i="48"/>
  <c r="G139" i="48"/>
  <c r="I139" i="48" s="1"/>
  <c r="F139" i="48"/>
  <c r="E139" i="48"/>
  <c r="D139" i="48"/>
  <c r="O138" i="48"/>
  <c r="L138" i="48"/>
  <c r="I138" i="48"/>
  <c r="F138" i="48"/>
  <c r="C138" i="48" s="1"/>
  <c r="O137" i="48"/>
  <c r="L137" i="48"/>
  <c r="I137" i="48"/>
  <c r="F137" i="48"/>
  <c r="O136" i="48"/>
  <c r="L136" i="48"/>
  <c r="I136" i="48"/>
  <c r="F136" i="48"/>
  <c r="O135" i="48"/>
  <c r="L135" i="48"/>
  <c r="C135" i="48" s="1"/>
  <c r="I135" i="48"/>
  <c r="F135" i="48"/>
  <c r="O134" i="48"/>
  <c r="N134" i="48"/>
  <c r="M134" i="48"/>
  <c r="K134" i="48"/>
  <c r="J134" i="48"/>
  <c r="H134" i="48"/>
  <c r="G134" i="48"/>
  <c r="E134" i="48"/>
  <c r="D134" i="48"/>
  <c r="F134" i="48" s="1"/>
  <c r="E133" i="48"/>
  <c r="D133" i="48"/>
  <c r="F133" i="48" s="1"/>
  <c r="O132" i="48"/>
  <c r="L132" i="48"/>
  <c r="I132" i="48"/>
  <c r="F132" i="48"/>
  <c r="C132" i="48" s="1"/>
  <c r="O131" i="48"/>
  <c r="N131" i="48"/>
  <c r="M131" i="48"/>
  <c r="K131" i="48"/>
  <c r="J131" i="48"/>
  <c r="L131" i="48" s="1"/>
  <c r="H131" i="48"/>
  <c r="G131" i="48"/>
  <c r="I131" i="48" s="1"/>
  <c r="F131" i="48"/>
  <c r="E131" i="48"/>
  <c r="D131" i="48"/>
  <c r="O130" i="48"/>
  <c r="L130" i="48"/>
  <c r="I130" i="48"/>
  <c r="F130" i="48"/>
  <c r="C130" i="48"/>
  <c r="O129" i="48"/>
  <c r="L129" i="48"/>
  <c r="I129" i="48"/>
  <c r="F129" i="48"/>
  <c r="C129" i="48" s="1"/>
  <c r="O128" i="48"/>
  <c r="L128" i="48"/>
  <c r="I128" i="48"/>
  <c r="F128" i="48"/>
  <c r="C128" i="48" s="1"/>
  <c r="O127" i="48"/>
  <c r="L127" i="48"/>
  <c r="I127" i="48"/>
  <c r="F127" i="48"/>
  <c r="C127" i="48"/>
  <c r="O126" i="48"/>
  <c r="L126" i="48"/>
  <c r="I126" i="48"/>
  <c r="F126" i="48"/>
  <c r="C126" i="48" s="1"/>
  <c r="N125" i="48"/>
  <c r="M125" i="48"/>
  <c r="O125" i="48" s="1"/>
  <c r="L125" i="48"/>
  <c r="K125" i="48"/>
  <c r="J125" i="48"/>
  <c r="I125" i="48"/>
  <c r="H125" i="48"/>
  <c r="H86" i="48" s="1"/>
  <c r="G125" i="48"/>
  <c r="E125" i="48"/>
  <c r="D125" i="48"/>
  <c r="F125" i="48" s="1"/>
  <c r="C125" i="48" s="1"/>
  <c r="O124" i="48"/>
  <c r="L124" i="48"/>
  <c r="I124" i="48"/>
  <c r="C124" i="48" s="1"/>
  <c r="F124" i="48"/>
  <c r="O123" i="48"/>
  <c r="L123" i="48"/>
  <c r="I123" i="48"/>
  <c r="F123" i="48"/>
  <c r="C123" i="48"/>
  <c r="O122" i="48"/>
  <c r="L122" i="48"/>
  <c r="I122" i="48"/>
  <c r="F122" i="48"/>
  <c r="C122" i="48" s="1"/>
  <c r="O121" i="48"/>
  <c r="L121" i="48"/>
  <c r="I121" i="48"/>
  <c r="F121" i="48"/>
  <c r="O120" i="48"/>
  <c r="L120" i="48"/>
  <c r="I120" i="48"/>
  <c r="F120" i="48"/>
  <c r="N119" i="48"/>
  <c r="O119" i="48" s="1"/>
  <c r="M119" i="48"/>
  <c r="K119" i="48"/>
  <c r="J119" i="48"/>
  <c r="L119" i="48" s="1"/>
  <c r="H119" i="48"/>
  <c r="G119" i="48"/>
  <c r="I119" i="48" s="1"/>
  <c r="F119" i="48"/>
  <c r="E119" i="48"/>
  <c r="D119" i="48"/>
  <c r="C119" i="48"/>
  <c r="O118" i="48"/>
  <c r="L118" i="48"/>
  <c r="I118" i="48"/>
  <c r="F118" i="48"/>
  <c r="C118" i="48" s="1"/>
  <c r="O117" i="48"/>
  <c r="L117" i="48"/>
  <c r="I117" i="48"/>
  <c r="F117" i="48"/>
  <c r="O116" i="48"/>
  <c r="L116" i="48"/>
  <c r="I116" i="48"/>
  <c r="F116" i="48"/>
  <c r="N115" i="48"/>
  <c r="O115" i="48" s="1"/>
  <c r="C115" i="48" s="1"/>
  <c r="M115" i="48"/>
  <c r="K115" i="48"/>
  <c r="J115" i="48"/>
  <c r="L115" i="48" s="1"/>
  <c r="H115" i="48"/>
  <c r="G115" i="48"/>
  <c r="I115" i="48" s="1"/>
  <c r="F115" i="48"/>
  <c r="E115" i="48"/>
  <c r="D115" i="48"/>
  <c r="O114" i="48"/>
  <c r="L114" i="48"/>
  <c r="I114" i="48"/>
  <c r="F114" i="48"/>
  <c r="C114" i="48" s="1"/>
  <c r="O113" i="48"/>
  <c r="L113" i="48"/>
  <c r="I113" i="48"/>
  <c r="F113" i="48"/>
  <c r="O112" i="48"/>
  <c r="L112" i="48"/>
  <c r="I112" i="48"/>
  <c r="C112" i="48" s="1"/>
  <c r="F112" i="48"/>
  <c r="O111" i="48"/>
  <c r="L111" i="48"/>
  <c r="C111" i="48" s="1"/>
  <c r="I111" i="48"/>
  <c r="F111" i="48"/>
  <c r="O110" i="48"/>
  <c r="L110" i="48"/>
  <c r="I110" i="48"/>
  <c r="F110" i="48"/>
  <c r="C110" i="48"/>
  <c r="O109" i="48"/>
  <c r="L109" i="48"/>
  <c r="I109" i="48"/>
  <c r="F109" i="48"/>
  <c r="C109" i="48" s="1"/>
  <c r="O108" i="48"/>
  <c r="L108" i="48"/>
  <c r="I108" i="48"/>
  <c r="C108" i="48" s="1"/>
  <c r="F108" i="48"/>
  <c r="O107" i="48"/>
  <c r="L107" i="48"/>
  <c r="I107" i="48"/>
  <c r="F107" i="48"/>
  <c r="C107" i="48"/>
  <c r="O106" i="48"/>
  <c r="N106" i="48"/>
  <c r="M106" i="48"/>
  <c r="L106" i="48"/>
  <c r="K106" i="48"/>
  <c r="J106" i="48"/>
  <c r="H106" i="48"/>
  <c r="G106" i="48"/>
  <c r="I106" i="48" s="1"/>
  <c r="C106" i="48" s="1"/>
  <c r="E106" i="48"/>
  <c r="D106" i="48"/>
  <c r="F106" i="48" s="1"/>
  <c r="O105" i="48"/>
  <c r="L105" i="48"/>
  <c r="I105" i="48"/>
  <c r="F105" i="48"/>
  <c r="C105" i="48" s="1"/>
  <c r="O104" i="48"/>
  <c r="L104" i="48"/>
  <c r="I104" i="48"/>
  <c r="F104" i="48"/>
  <c r="C104" i="48" s="1"/>
  <c r="O103" i="48"/>
  <c r="L103" i="48"/>
  <c r="I103" i="48"/>
  <c r="F103" i="48"/>
  <c r="C103" i="48"/>
  <c r="O102" i="48"/>
  <c r="L102" i="48"/>
  <c r="I102" i="48"/>
  <c r="F102" i="48"/>
  <c r="C102" i="48" s="1"/>
  <c r="O101" i="48"/>
  <c r="L101" i="48"/>
  <c r="I101" i="48"/>
  <c r="F101" i="48"/>
  <c r="O100" i="48"/>
  <c r="L100" i="48"/>
  <c r="I100" i="48"/>
  <c r="F100" i="48"/>
  <c r="O99" i="48"/>
  <c r="L99" i="48"/>
  <c r="C99" i="48" s="1"/>
  <c r="I99" i="48"/>
  <c r="F99" i="48"/>
  <c r="O98" i="48"/>
  <c r="N98" i="48"/>
  <c r="M98" i="48"/>
  <c r="K98" i="48"/>
  <c r="L98" i="48" s="1"/>
  <c r="J98" i="48"/>
  <c r="H98" i="48"/>
  <c r="G98" i="48"/>
  <c r="I98" i="48" s="1"/>
  <c r="E98" i="48"/>
  <c r="D98" i="48"/>
  <c r="F98" i="48" s="1"/>
  <c r="C98" i="48" s="1"/>
  <c r="O97" i="48"/>
  <c r="L97" i="48"/>
  <c r="I97" i="48"/>
  <c r="C97" i="48" s="1"/>
  <c r="F97" i="48"/>
  <c r="O96" i="48"/>
  <c r="L96" i="48"/>
  <c r="I96" i="48"/>
  <c r="F96" i="48"/>
  <c r="C96" i="48"/>
  <c r="O95" i="48"/>
  <c r="L95" i="48"/>
  <c r="I95" i="48"/>
  <c r="F95" i="48"/>
  <c r="C95" i="48" s="1"/>
  <c r="O94" i="48"/>
  <c r="L94" i="48"/>
  <c r="I94" i="48"/>
  <c r="F94" i="48"/>
  <c r="O93" i="48"/>
  <c r="L93" i="48"/>
  <c r="I93" i="48"/>
  <c r="F93" i="48"/>
  <c r="O92" i="48"/>
  <c r="N92" i="48"/>
  <c r="M92" i="48"/>
  <c r="K92" i="48"/>
  <c r="J92" i="48"/>
  <c r="H92" i="48"/>
  <c r="G92" i="48"/>
  <c r="I92" i="48" s="1"/>
  <c r="F92" i="48"/>
  <c r="E92" i="48"/>
  <c r="D92" i="48"/>
  <c r="O91" i="48"/>
  <c r="L91" i="48"/>
  <c r="I91" i="48"/>
  <c r="F91" i="48"/>
  <c r="C91" i="48" s="1"/>
  <c r="O90" i="48"/>
  <c r="L90" i="48"/>
  <c r="I90" i="48"/>
  <c r="F90" i="48"/>
  <c r="O89" i="48"/>
  <c r="L89" i="48"/>
  <c r="I89" i="48"/>
  <c r="F89" i="48"/>
  <c r="O88" i="48"/>
  <c r="L88" i="48"/>
  <c r="C88" i="48" s="1"/>
  <c r="I88" i="48"/>
  <c r="F88" i="48"/>
  <c r="O87" i="48"/>
  <c r="N87" i="48"/>
  <c r="M87" i="48"/>
  <c r="K87" i="48"/>
  <c r="K86" i="48" s="1"/>
  <c r="J87" i="48"/>
  <c r="H87" i="48"/>
  <c r="G87" i="48"/>
  <c r="E87" i="48"/>
  <c r="D87" i="48"/>
  <c r="F87" i="48" s="1"/>
  <c r="M86" i="48"/>
  <c r="E86" i="48"/>
  <c r="E78" i="48" s="1"/>
  <c r="O85" i="48"/>
  <c r="L85" i="48"/>
  <c r="I85" i="48"/>
  <c r="C85" i="48" s="1"/>
  <c r="F85" i="48"/>
  <c r="O84" i="48"/>
  <c r="L84" i="48"/>
  <c r="I84" i="48"/>
  <c r="F84" i="48"/>
  <c r="C84" i="48"/>
  <c r="O83" i="48"/>
  <c r="N83" i="48"/>
  <c r="M83" i="48"/>
  <c r="L83" i="48"/>
  <c r="K83" i="48"/>
  <c r="J83" i="48"/>
  <c r="H83" i="48"/>
  <c r="G83" i="48"/>
  <c r="E83" i="48"/>
  <c r="D83" i="48"/>
  <c r="F83" i="48" s="1"/>
  <c r="O82" i="48"/>
  <c r="L82" i="48"/>
  <c r="I82" i="48"/>
  <c r="F82" i="48"/>
  <c r="O81" i="48"/>
  <c r="L81" i="48"/>
  <c r="I81" i="48"/>
  <c r="C81" i="48" s="1"/>
  <c r="F81" i="48"/>
  <c r="O80" i="48"/>
  <c r="N80" i="48"/>
  <c r="N79" i="48" s="1"/>
  <c r="M80" i="48"/>
  <c r="K80" i="48"/>
  <c r="J80" i="48"/>
  <c r="H80" i="48"/>
  <c r="G80" i="48"/>
  <c r="F80" i="48"/>
  <c r="E80" i="48"/>
  <c r="D80" i="48"/>
  <c r="O79" i="48"/>
  <c r="M79" i="48"/>
  <c r="K79" i="48"/>
  <c r="H79" i="48"/>
  <c r="H78" i="48" s="1"/>
  <c r="E79" i="48"/>
  <c r="O77" i="48"/>
  <c r="L77" i="48"/>
  <c r="I77" i="48"/>
  <c r="F77" i="48"/>
  <c r="O76" i="48"/>
  <c r="L76" i="48"/>
  <c r="C76" i="48" s="1"/>
  <c r="I76" i="48"/>
  <c r="D76" i="48"/>
  <c r="F76" i="48" s="1"/>
  <c r="O75" i="48"/>
  <c r="L75" i="48"/>
  <c r="I75" i="48"/>
  <c r="F75" i="48"/>
  <c r="C75" i="48" s="1"/>
  <c r="O74" i="48"/>
  <c r="L74" i="48"/>
  <c r="I74" i="48"/>
  <c r="F74" i="48"/>
  <c r="O73" i="48"/>
  <c r="L73" i="48"/>
  <c r="G73" i="48"/>
  <c r="I73" i="48" s="1"/>
  <c r="D73" i="48"/>
  <c r="D72" i="48" s="1"/>
  <c r="N72" i="48"/>
  <c r="M72" i="48"/>
  <c r="K72" i="48"/>
  <c r="J72" i="48"/>
  <c r="I72" i="48"/>
  <c r="H72" i="48"/>
  <c r="G72" i="48"/>
  <c r="F72" i="48"/>
  <c r="E72" i="48"/>
  <c r="O71" i="48"/>
  <c r="L71" i="48"/>
  <c r="G71" i="48"/>
  <c r="I71" i="48" s="1"/>
  <c r="F71" i="48"/>
  <c r="D71" i="48"/>
  <c r="N70" i="48"/>
  <c r="M70" i="48"/>
  <c r="O70" i="48" s="1"/>
  <c r="K70" i="48"/>
  <c r="I70" i="48"/>
  <c r="H70" i="48"/>
  <c r="G70" i="48"/>
  <c r="E70" i="48"/>
  <c r="E56" i="48" s="1"/>
  <c r="O69" i="48"/>
  <c r="L69" i="48"/>
  <c r="I69" i="48"/>
  <c r="F69" i="48"/>
  <c r="C69" i="48"/>
  <c r="O68" i="48"/>
  <c r="L68" i="48"/>
  <c r="G68" i="48"/>
  <c r="I68" i="48" s="1"/>
  <c r="F68" i="48"/>
  <c r="D68" i="48"/>
  <c r="O67" i="48"/>
  <c r="L67" i="48"/>
  <c r="I67" i="48"/>
  <c r="D67" i="48"/>
  <c r="O66" i="48"/>
  <c r="L66" i="48"/>
  <c r="I66" i="48"/>
  <c r="F66" i="48"/>
  <c r="D66" i="48"/>
  <c r="O65" i="48"/>
  <c r="L65" i="48"/>
  <c r="I65" i="48"/>
  <c r="F65" i="48"/>
  <c r="C65" i="48"/>
  <c r="O64" i="48"/>
  <c r="L64" i="48"/>
  <c r="I64" i="48"/>
  <c r="F64" i="48"/>
  <c r="C64" i="48" s="1"/>
  <c r="O63" i="48"/>
  <c r="L63" i="48"/>
  <c r="I63" i="48"/>
  <c r="F63" i="48"/>
  <c r="O62" i="48"/>
  <c r="L62" i="48"/>
  <c r="I62" i="48"/>
  <c r="C62" i="48" s="1"/>
  <c r="F62" i="48"/>
  <c r="N61" i="48"/>
  <c r="M61" i="48"/>
  <c r="K61" i="48"/>
  <c r="J61" i="48"/>
  <c r="H61" i="48"/>
  <c r="E61" i="48"/>
  <c r="O60" i="48"/>
  <c r="L60" i="48"/>
  <c r="G60" i="48"/>
  <c r="I60" i="48" s="1"/>
  <c r="F60" i="48"/>
  <c r="C60" i="48" s="1"/>
  <c r="D60" i="48"/>
  <c r="O59" i="48"/>
  <c r="L59" i="48"/>
  <c r="I59" i="48"/>
  <c r="F59" i="48"/>
  <c r="C59" i="48"/>
  <c r="O58" i="48"/>
  <c r="N58" i="48"/>
  <c r="M58" i="48"/>
  <c r="L58" i="48"/>
  <c r="K58" i="48"/>
  <c r="J58" i="48"/>
  <c r="H58" i="48"/>
  <c r="G58" i="48"/>
  <c r="E58" i="48"/>
  <c r="D58" i="48"/>
  <c r="M57" i="48"/>
  <c r="H57" i="48"/>
  <c r="H56" i="48" s="1"/>
  <c r="E57" i="48"/>
  <c r="M56" i="48"/>
  <c r="O50" i="48"/>
  <c r="C50" i="48"/>
  <c r="O49" i="48"/>
  <c r="C49" i="48" s="1"/>
  <c r="N48" i="48"/>
  <c r="M48" i="48"/>
  <c r="L47" i="48"/>
  <c r="I47" i="48"/>
  <c r="F47" i="48"/>
  <c r="C47" i="48" s="1"/>
  <c r="K46" i="48"/>
  <c r="J46" i="48"/>
  <c r="H46" i="48"/>
  <c r="G46" i="48"/>
  <c r="I46" i="48" s="1"/>
  <c r="F46" i="48"/>
  <c r="E46" i="48"/>
  <c r="D46" i="48"/>
  <c r="F45" i="48"/>
  <c r="C45" i="48" s="1"/>
  <c r="L44" i="48"/>
  <c r="C44" i="48"/>
  <c r="L43" i="48"/>
  <c r="C43" i="48" s="1"/>
  <c r="L42" i="48"/>
  <c r="C42" i="48"/>
  <c r="L41" i="48"/>
  <c r="C41" i="48" s="1"/>
  <c r="K40" i="48"/>
  <c r="K30" i="48" s="1"/>
  <c r="J40" i="48"/>
  <c r="L39" i="48"/>
  <c r="C39" i="48"/>
  <c r="L38" i="48"/>
  <c r="C38" i="48" s="1"/>
  <c r="K37" i="48"/>
  <c r="J37" i="48"/>
  <c r="L36" i="48"/>
  <c r="C36" i="48"/>
  <c r="L35" i="48"/>
  <c r="K35" i="48"/>
  <c r="J35" i="48"/>
  <c r="C35" i="48"/>
  <c r="L34" i="48"/>
  <c r="C34" i="48" s="1"/>
  <c r="L33" i="48"/>
  <c r="C33" i="48"/>
  <c r="L32" i="48"/>
  <c r="C32" i="48" s="1"/>
  <c r="K31" i="48"/>
  <c r="J31" i="48"/>
  <c r="J30" i="48"/>
  <c r="F29" i="48"/>
  <c r="C29" i="48"/>
  <c r="I28" i="48"/>
  <c r="G28" i="48"/>
  <c r="D28" i="48"/>
  <c r="F28" i="48" s="1"/>
  <c r="C28" i="48" s="1"/>
  <c r="O27" i="48"/>
  <c r="L27" i="48"/>
  <c r="I27" i="48"/>
  <c r="F27" i="48"/>
  <c r="O26" i="48"/>
  <c r="L26" i="48"/>
  <c r="I26" i="48"/>
  <c r="F26" i="48"/>
  <c r="O25" i="48"/>
  <c r="N25" i="48"/>
  <c r="M25" i="48"/>
  <c r="K25" i="48"/>
  <c r="K290" i="48" s="1"/>
  <c r="K289" i="48" s="1"/>
  <c r="J25" i="48"/>
  <c r="H25" i="48"/>
  <c r="G25" i="48"/>
  <c r="G24" i="48" s="1"/>
  <c r="I24" i="48" s="1"/>
  <c r="F25" i="48"/>
  <c r="E25" i="48"/>
  <c r="E290" i="48" s="1"/>
  <c r="E289" i="48" s="1"/>
  <c r="D25" i="48"/>
  <c r="D290" i="48" s="1"/>
  <c r="D289" i="48" s="1"/>
  <c r="F289" i="48" s="1"/>
  <c r="H24" i="48"/>
  <c r="E24" i="48"/>
  <c r="D24" i="48"/>
  <c r="F24" i="48" s="1"/>
  <c r="O299" i="47"/>
  <c r="L299" i="47"/>
  <c r="I299" i="47"/>
  <c r="F299" i="47"/>
  <c r="O298" i="47"/>
  <c r="L298" i="47"/>
  <c r="I298" i="47"/>
  <c r="F298" i="47"/>
  <c r="O297" i="47"/>
  <c r="L297" i="47"/>
  <c r="C297" i="47" s="1"/>
  <c r="I297" i="47"/>
  <c r="F297" i="47"/>
  <c r="O296" i="47"/>
  <c r="L296" i="47"/>
  <c r="I296" i="47"/>
  <c r="F296" i="47"/>
  <c r="C296" i="47"/>
  <c r="O295" i="47"/>
  <c r="L295" i="47"/>
  <c r="I295" i="47"/>
  <c r="F295" i="47"/>
  <c r="C295" i="47" s="1"/>
  <c r="O294" i="47"/>
  <c r="L294" i="47"/>
  <c r="I294" i="47"/>
  <c r="F294" i="47"/>
  <c r="O293" i="47"/>
  <c r="L293" i="47"/>
  <c r="I293" i="47"/>
  <c r="F293" i="47"/>
  <c r="C293" i="47"/>
  <c r="O292" i="47"/>
  <c r="L292" i="47"/>
  <c r="I292" i="47"/>
  <c r="F292" i="47"/>
  <c r="C292" i="47" s="1"/>
  <c r="N291" i="47"/>
  <c r="M291" i="47"/>
  <c r="O291" i="47" s="1"/>
  <c r="L291" i="47"/>
  <c r="K291" i="47"/>
  <c r="J291" i="47"/>
  <c r="H291" i="47"/>
  <c r="I291" i="47" s="1"/>
  <c r="G291" i="47"/>
  <c r="E291" i="47"/>
  <c r="D291" i="47"/>
  <c r="F291" i="47" s="1"/>
  <c r="I290" i="47"/>
  <c r="O286" i="47"/>
  <c r="L286" i="47"/>
  <c r="I286" i="47"/>
  <c r="C286" i="47" s="1"/>
  <c r="F286" i="47"/>
  <c r="O285" i="47"/>
  <c r="L285" i="47"/>
  <c r="C285" i="47" s="1"/>
  <c r="I285" i="47"/>
  <c r="F285" i="47"/>
  <c r="O284" i="47"/>
  <c r="N284" i="47"/>
  <c r="M284" i="47"/>
  <c r="K284" i="47"/>
  <c r="J284" i="47"/>
  <c r="H284" i="47"/>
  <c r="G284" i="47"/>
  <c r="E284" i="47"/>
  <c r="D284" i="47"/>
  <c r="O283" i="47"/>
  <c r="L283" i="47"/>
  <c r="I283" i="47"/>
  <c r="F283" i="47"/>
  <c r="N282" i="47"/>
  <c r="M282" i="47"/>
  <c r="O282" i="47" s="1"/>
  <c r="K282" i="47"/>
  <c r="J282" i="47"/>
  <c r="L282" i="47" s="1"/>
  <c r="I282" i="47"/>
  <c r="H282" i="47"/>
  <c r="G282" i="47"/>
  <c r="F282" i="47"/>
  <c r="E282" i="47"/>
  <c r="D282" i="47"/>
  <c r="O281" i="47"/>
  <c r="L281" i="47"/>
  <c r="I281" i="47"/>
  <c r="F281" i="47"/>
  <c r="C281" i="47"/>
  <c r="O280" i="47"/>
  <c r="O278" i="47" s="1"/>
  <c r="L280" i="47"/>
  <c r="I280" i="47"/>
  <c r="F280" i="47"/>
  <c r="C280" i="47" s="1"/>
  <c r="O279" i="47"/>
  <c r="L279" i="47"/>
  <c r="I279" i="47"/>
  <c r="F279" i="47"/>
  <c r="N278" i="47"/>
  <c r="M278" i="47"/>
  <c r="K278" i="47"/>
  <c r="J278" i="47"/>
  <c r="L278" i="47" s="1"/>
  <c r="I278" i="47"/>
  <c r="H278" i="47"/>
  <c r="G278" i="47"/>
  <c r="F278" i="47"/>
  <c r="C278" i="47" s="1"/>
  <c r="E278" i="47"/>
  <c r="D278" i="47"/>
  <c r="O277" i="47"/>
  <c r="L277" i="47"/>
  <c r="I277" i="47"/>
  <c r="F277" i="47"/>
  <c r="C277" i="47"/>
  <c r="O276" i="47"/>
  <c r="L276" i="47"/>
  <c r="I276" i="47"/>
  <c r="F276" i="47"/>
  <c r="C276" i="47" s="1"/>
  <c r="O275" i="47"/>
  <c r="L275" i="47"/>
  <c r="I275" i="47"/>
  <c r="F275" i="47"/>
  <c r="N274" i="47"/>
  <c r="N272" i="47" s="1"/>
  <c r="N271" i="47" s="1"/>
  <c r="M274" i="47"/>
  <c r="K274" i="47"/>
  <c r="J274" i="47"/>
  <c r="I274" i="47"/>
  <c r="H274" i="47"/>
  <c r="G274" i="47"/>
  <c r="E274" i="47"/>
  <c r="E272" i="47" s="1"/>
  <c r="D274" i="47"/>
  <c r="O273" i="47"/>
  <c r="L273" i="47"/>
  <c r="I273" i="47"/>
  <c r="F273" i="47"/>
  <c r="C273" i="47"/>
  <c r="K272" i="47"/>
  <c r="K271" i="47" s="1"/>
  <c r="H272" i="47"/>
  <c r="G272" i="47"/>
  <c r="D272" i="47"/>
  <c r="F272" i="47" s="1"/>
  <c r="H271" i="47"/>
  <c r="E271" i="47"/>
  <c r="D271" i="47"/>
  <c r="O270" i="47"/>
  <c r="L270" i="47"/>
  <c r="I270" i="47"/>
  <c r="F270" i="47"/>
  <c r="O269" i="47"/>
  <c r="L269" i="47"/>
  <c r="C269" i="47" s="1"/>
  <c r="I269" i="47"/>
  <c r="F269" i="47"/>
  <c r="O268" i="47"/>
  <c r="L268" i="47"/>
  <c r="I268" i="47"/>
  <c r="F268" i="47"/>
  <c r="C268" i="47"/>
  <c r="O267" i="47"/>
  <c r="L267" i="47"/>
  <c r="I267" i="47"/>
  <c r="F267" i="47"/>
  <c r="C267" i="47" s="1"/>
  <c r="N266" i="47"/>
  <c r="M266" i="47"/>
  <c r="K266" i="47"/>
  <c r="J266" i="47"/>
  <c r="L266" i="47" s="1"/>
  <c r="I266" i="47"/>
  <c r="H266" i="47"/>
  <c r="G266" i="47"/>
  <c r="E266" i="47"/>
  <c r="F266" i="47" s="1"/>
  <c r="D266" i="47"/>
  <c r="O265" i="47"/>
  <c r="L265" i="47"/>
  <c r="C265" i="47" s="1"/>
  <c r="I265" i="47"/>
  <c r="F265" i="47"/>
  <c r="O264" i="47"/>
  <c r="L264" i="47"/>
  <c r="I264" i="47"/>
  <c r="F264" i="47"/>
  <c r="C264" i="47"/>
  <c r="O263" i="47"/>
  <c r="L263" i="47"/>
  <c r="I263" i="47"/>
  <c r="F263" i="47"/>
  <c r="C263" i="47" s="1"/>
  <c r="N262" i="47"/>
  <c r="N261" i="47" s="1"/>
  <c r="M262" i="47"/>
  <c r="K262" i="47"/>
  <c r="J262" i="47"/>
  <c r="I262" i="47"/>
  <c r="H262" i="47"/>
  <c r="G262" i="47"/>
  <c r="E262" i="47"/>
  <c r="D262" i="47"/>
  <c r="K261" i="47"/>
  <c r="H261" i="47"/>
  <c r="G261" i="47"/>
  <c r="I261" i="47" s="1"/>
  <c r="D261" i="47"/>
  <c r="O260" i="47"/>
  <c r="L260" i="47"/>
  <c r="I260" i="47"/>
  <c r="F260" i="47"/>
  <c r="C260" i="47"/>
  <c r="O259" i="47"/>
  <c r="L259" i="47"/>
  <c r="I259" i="47"/>
  <c r="F259" i="47"/>
  <c r="C259" i="47" s="1"/>
  <c r="O258" i="47"/>
  <c r="L258" i="47"/>
  <c r="I258" i="47"/>
  <c r="C258" i="47" s="1"/>
  <c r="F258" i="47"/>
  <c r="O257" i="47"/>
  <c r="L257" i="47"/>
  <c r="I257" i="47"/>
  <c r="F257" i="47"/>
  <c r="C257" i="47"/>
  <c r="O256" i="47"/>
  <c r="L256" i="47"/>
  <c r="I256" i="47"/>
  <c r="F256" i="47"/>
  <c r="C256" i="47" s="1"/>
  <c r="N255" i="47"/>
  <c r="M255" i="47"/>
  <c r="L255" i="47"/>
  <c r="K255" i="47"/>
  <c r="J255" i="47"/>
  <c r="H255" i="47"/>
  <c r="H254" i="47" s="1"/>
  <c r="I254" i="47" s="1"/>
  <c r="G255" i="47"/>
  <c r="E255" i="47"/>
  <c r="D255" i="47"/>
  <c r="N254" i="47"/>
  <c r="K254" i="47"/>
  <c r="J254" i="47"/>
  <c r="L254" i="47" s="1"/>
  <c r="G254" i="47"/>
  <c r="E254" i="47"/>
  <c r="O253" i="47"/>
  <c r="L253" i="47"/>
  <c r="I253" i="47"/>
  <c r="F253" i="47"/>
  <c r="C253" i="47"/>
  <c r="O252" i="47"/>
  <c r="L252" i="47"/>
  <c r="I252" i="47"/>
  <c r="F252" i="47"/>
  <c r="C252" i="47" s="1"/>
  <c r="O251" i="47"/>
  <c r="L251" i="47"/>
  <c r="I251" i="47"/>
  <c r="F251" i="47"/>
  <c r="O250" i="47"/>
  <c r="L250" i="47"/>
  <c r="I250" i="47"/>
  <c r="C250" i="47" s="1"/>
  <c r="F250" i="47"/>
  <c r="N249" i="47"/>
  <c r="O249" i="47" s="1"/>
  <c r="M249" i="47"/>
  <c r="K249" i="47"/>
  <c r="J249" i="47"/>
  <c r="H249" i="47"/>
  <c r="G249" i="47"/>
  <c r="I249" i="47" s="1"/>
  <c r="F249" i="47"/>
  <c r="E249" i="47"/>
  <c r="D249" i="47"/>
  <c r="O248" i="47"/>
  <c r="L248" i="47"/>
  <c r="I248" i="47"/>
  <c r="F248" i="47"/>
  <c r="C248" i="47" s="1"/>
  <c r="O247" i="47"/>
  <c r="L247" i="47"/>
  <c r="I247" i="47"/>
  <c r="F247" i="47"/>
  <c r="O246" i="47"/>
  <c r="L246" i="47"/>
  <c r="I246" i="47"/>
  <c r="F246" i="47"/>
  <c r="O245" i="47"/>
  <c r="L245" i="47"/>
  <c r="C245" i="47" s="1"/>
  <c r="I245" i="47"/>
  <c r="F245" i="47"/>
  <c r="O244" i="47"/>
  <c r="L244" i="47"/>
  <c r="I244" i="47"/>
  <c r="F244" i="47"/>
  <c r="C244" i="47"/>
  <c r="O243" i="47"/>
  <c r="L243" i="47"/>
  <c r="I243" i="47"/>
  <c r="F243" i="47"/>
  <c r="C243" i="47" s="1"/>
  <c r="O242" i="47"/>
  <c r="L242" i="47"/>
  <c r="I242" i="47"/>
  <c r="F242" i="47"/>
  <c r="O241" i="47"/>
  <c r="N241" i="47"/>
  <c r="M241" i="47"/>
  <c r="K241" i="47"/>
  <c r="J241" i="47"/>
  <c r="H241" i="47"/>
  <c r="G241" i="47"/>
  <c r="I241" i="47" s="1"/>
  <c r="F241" i="47"/>
  <c r="E241" i="47"/>
  <c r="D241" i="47"/>
  <c r="O240" i="47"/>
  <c r="L240" i="47"/>
  <c r="I240" i="47"/>
  <c r="F240" i="47"/>
  <c r="C240" i="47"/>
  <c r="O239" i="47"/>
  <c r="L239" i="47"/>
  <c r="I239" i="47"/>
  <c r="F239" i="47"/>
  <c r="C239" i="47" s="1"/>
  <c r="N238" i="47"/>
  <c r="N234" i="47" s="1"/>
  <c r="M238" i="47"/>
  <c r="K238" i="47"/>
  <c r="J238" i="47"/>
  <c r="L238" i="47" s="1"/>
  <c r="I238" i="47"/>
  <c r="H238" i="47"/>
  <c r="G238" i="47"/>
  <c r="E238" i="47"/>
  <c r="E234" i="47" s="1"/>
  <c r="D238" i="47"/>
  <c r="O237" i="47"/>
  <c r="L237" i="47"/>
  <c r="C237" i="47" s="1"/>
  <c r="I237" i="47"/>
  <c r="F237" i="47"/>
  <c r="O236" i="47"/>
  <c r="N236" i="47"/>
  <c r="M236" i="47"/>
  <c r="K236" i="47"/>
  <c r="J236" i="47"/>
  <c r="H236" i="47"/>
  <c r="H234" i="47" s="1"/>
  <c r="G236" i="47"/>
  <c r="E236" i="47"/>
  <c r="D236" i="47"/>
  <c r="O235" i="47"/>
  <c r="L235" i="47"/>
  <c r="I235" i="47"/>
  <c r="F235" i="47"/>
  <c r="M234" i="47"/>
  <c r="J234" i="47"/>
  <c r="O232" i="47"/>
  <c r="L232" i="47"/>
  <c r="I232" i="47"/>
  <c r="F232" i="47"/>
  <c r="C232" i="47"/>
  <c r="O231" i="47"/>
  <c r="L231" i="47"/>
  <c r="I231" i="47"/>
  <c r="F231" i="47"/>
  <c r="C231" i="47" s="1"/>
  <c r="N230" i="47"/>
  <c r="N207" i="47" s="1"/>
  <c r="M230" i="47"/>
  <c r="K230" i="47"/>
  <c r="J230" i="47"/>
  <c r="I230" i="47"/>
  <c r="H230" i="47"/>
  <c r="G230" i="47"/>
  <c r="F230" i="47"/>
  <c r="E230" i="47"/>
  <c r="D230" i="47"/>
  <c r="O229" i="47"/>
  <c r="L229" i="47"/>
  <c r="C229" i="47" s="1"/>
  <c r="I229" i="47"/>
  <c r="F229" i="47"/>
  <c r="O228" i="47"/>
  <c r="L228" i="47"/>
  <c r="I228" i="47"/>
  <c r="F228" i="47"/>
  <c r="C228" i="47"/>
  <c r="O227" i="47"/>
  <c r="L227" i="47"/>
  <c r="I227" i="47"/>
  <c r="F227" i="47"/>
  <c r="C227" i="47" s="1"/>
  <c r="O226" i="47"/>
  <c r="L226" i="47"/>
  <c r="I226" i="47"/>
  <c r="F226" i="47"/>
  <c r="O225" i="47"/>
  <c r="L225" i="47"/>
  <c r="I225" i="47"/>
  <c r="F225" i="47"/>
  <c r="C225" i="47"/>
  <c r="O224" i="47"/>
  <c r="L224" i="47"/>
  <c r="I224" i="47"/>
  <c r="F224" i="47"/>
  <c r="C224" i="47" s="1"/>
  <c r="O223" i="47"/>
  <c r="L223" i="47"/>
  <c r="I223" i="47"/>
  <c r="F223" i="47"/>
  <c r="O222" i="47"/>
  <c r="L222" i="47"/>
  <c r="I222" i="47"/>
  <c r="C222" i="47" s="1"/>
  <c r="F222" i="47"/>
  <c r="O221" i="47"/>
  <c r="L221" i="47"/>
  <c r="C221" i="47" s="1"/>
  <c r="I221" i="47"/>
  <c r="F221" i="47"/>
  <c r="O220" i="47"/>
  <c r="L220" i="47"/>
  <c r="I220" i="47"/>
  <c r="F220" i="47"/>
  <c r="C220" i="47"/>
  <c r="N219" i="47"/>
  <c r="M219" i="47"/>
  <c r="O219" i="47" s="1"/>
  <c r="L219" i="47"/>
  <c r="K219" i="47"/>
  <c r="J219" i="47"/>
  <c r="I219" i="47"/>
  <c r="H219" i="47"/>
  <c r="G219" i="47"/>
  <c r="E219" i="47"/>
  <c r="E207" i="47" s="1"/>
  <c r="E198" i="47" s="1"/>
  <c r="D219" i="47"/>
  <c r="O218" i="47"/>
  <c r="L218" i="47"/>
  <c r="I218" i="47"/>
  <c r="C218" i="47" s="1"/>
  <c r="F218" i="47"/>
  <c r="O217" i="47"/>
  <c r="L217" i="47"/>
  <c r="C217" i="47" s="1"/>
  <c r="I217" i="47"/>
  <c r="F217" i="47"/>
  <c r="O216" i="47"/>
  <c r="L216" i="47"/>
  <c r="I216" i="47"/>
  <c r="F216" i="47"/>
  <c r="C216" i="47"/>
  <c r="O215" i="47"/>
  <c r="L215" i="47"/>
  <c r="I215" i="47"/>
  <c r="F215" i="47"/>
  <c r="C215" i="47" s="1"/>
  <c r="O214" i="47"/>
  <c r="L214" i="47"/>
  <c r="I214" i="47"/>
  <c r="C214" i="47" s="1"/>
  <c r="F214" i="47"/>
  <c r="O213" i="47"/>
  <c r="L213" i="47"/>
  <c r="I213" i="47"/>
  <c r="F213" i="47"/>
  <c r="C213" i="47"/>
  <c r="O212" i="47"/>
  <c r="L212" i="47"/>
  <c r="I212" i="47"/>
  <c r="F212" i="47"/>
  <c r="C212" i="47" s="1"/>
  <c r="O211" i="47"/>
  <c r="L211" i="47"/>
  <c r="I211" i="47"/>
  <c r="F211" i="47"/>
  <c r="O210" i="47"/>
  <c r="L210" i="47"/>
  <c r="I210" i="47"/>
  <c r="F210" i="47"/>
  <c r="O209" i="47"/>
  <c r="L209" i="47"/>
  <c r="C209" i="47" s="1"/>
  <c r="I209" i="47"/>
  <c r="F209" i="47"/>
  <c r="O208" i="47"/>
  <c r="N208" i="47"/>
  <c r="M208" i="47"/>
  <c r="K208" i="47"/>
  <c r="J208" i="47"/>
  <c r="H208" i="47"/>
  <c r="G208" i="47"/>
  <c r="E208" i="47"/>
  <c r="D208" i="47"/>
  <c r="F208" i="47" s="1"/>
  <c r="M207" i="47"/>
  <c r="H207" i="47"/>
  <c r="D207" i="47"/>
  <c r="F207" i="47" s="1"/>
  <c r="O206" i="47"/>
  <c r="L206" i="47"/>
  <c r="I206" i="47"/>
  <c r="C206" i="47" s="1"/>
  <c r="F206" i="47"/>
  <c r="O205" i="47"/>
  <c r="L205" i="47"/>
  <c r="I205" i="47"/>
  <c r="F205" i="47"/>
  <c r="C205" i="47"/>
  <c r="O204" i="47"/>
  <c r="L204" i="47"/>
  <c r="I204" i="47"/>
  <c r="F204" i="47"/>
  <c r="C204" i="47" s="1"/>
  <c r="O203" i="47"/>
  <c r="L203" i="47"/>
  <c r="I203" i="47"/>
  <c r="F203" i="47"/>
  <c r="O202" i="47"/>
  <c r="L202" i="47"/>
  <c r="I202" i="47"/>
  <c r="C202" i="47" s="1"/>
  <c r="F202" i="47"/>
  <c r="N201" i="47"/>
  <c r="M201" i="47"/>
  <c r="K201" i="47"/>
  <c r="K199" i="47" s="1"/>
  <c r="J201" i="47"/>
  <c r="H201" i="47"/>
  <c r="G201" i="47"/>
  <c r="F201" i="47"/>
  <c r="E201" i="47"/>
  <c r="D201" i="47"/>
  <c r="O200" i="47"/>
  <c r="L200" i="47"/>
  <c r="I200" i="47"/>
  <c r="F200" i="47"/>
  <c r="C200" i="47" s="1"/>
  <c r="M199" i="47"/>
  <c r="H199" i="47"/>
  <c r="H198" i="47" s="1"/>
  <c r="E199" i="47"/>
  <c r="D199" i="47"/>
  <c r="M198" i="47"/>
  <c r="O196" i="47"/>
  <c r="L196" i="47"/>
  <c r="I196" i="47"/>
  <c r="F196" i="47"/>
  <c r="C196" i="47" s="1"/>
  <c r="N195" i="47"/>
  <c r="M195" i="47"/>
  <c r="L195" i="47"/>
  <c r="K195" i="47"/>
  <c r="J195" i="47"/>
  <c r="H195" i="47"/>
  <c r="H194" i="47" s="1"/>
  <c r="I194" i="47" s="1"/>
  <c r="G195" i="47"/>
  <c r="E195" i="47"/>
  <c r="D195" i="47"/>
  <c r="N194" i="47"/>
  <c r="N190" i="47" s="1"/>
  <c r="K194" i="47"/>
  <c r="J194" i="47"/>
  <c r="L194" i="47" s="1"/>
  <c r="G194" i="47"/>
  <c r="E194" i="47"/>
  <c r="E190" i="47" s="1"/>
  <c r="O193" i="47"/>
  <c r="L193" i="47"/>
  <c r="I193" i="47"/>
  <c r="F193" i="47"/>
  <c r="C193" i="47"/>
  <c r="O192" i="47"/>
  <c r="L192" i="47"/>
  <c r="I192" i="47"/>
  <c r="F192" i="47"/>
  <c r="C192" i="47" s="1"/>
  <c r="N191" i="47"/>
  <c r="M191" i="47"/>
  <c r="L191" i="47"/>
  <c r="K191" i="47"/>
  <c r="J191" i="47"/>
  <c r="I191" i="47"/>
  <c r="H191" i="47"/>
  <c r="G191" i="47"/>
  <c r="E191" i="47"/>
  <c r="D191" i="47"/>
  <c r="K190" i="47"/>
  <c r="J190" i="47"/>
  <c r="L190" i="47" s="1"/>
  <c r="G190" i="47"/>
  <c r="O189" i="47"/>
  <c r="L189" i="47"/>
  <c r="I189" i="47"/>
  <c r="F189" i="47"/>
  <c r="C189" i="47"/>
  <c r="O188" i="47"/>
  <c r="L188" i="47"/>
  <c r="I188" i="47"/>
  <c r="F188" i="47"/>
  <c r="C188" i="47" s="1"/>
  <c r="N187" i="47"/>
  <c r="M187" i="47"/>
  <c r="O187" i="47" s="1"/>
  <c r="L187" i="47"/>
  <c r="K187" i="47"/>
  <c r="J187" i="47"/>
  <c r="I187" i="47"/>
  <c r="H187" i="47"/>
  <c r="H176" i="47" s="1"/>
  <c r="G187" i="47"/>
  <c r="E187" i="47"/>
  <c r="D187" i="47"/>
  <c r="F187" i="47" s="1"/>
  <c r="C187" i="47" s="1"/>
  <c r="O186" i="47"/>
  <c r="L186" i="47"/>
  <c r="I186" i="47"/>
  <c r="C186" i="47" s="1"/>
  <c r="F186" i="47"/>
  <c r="O185" i="47"/>
  <c r="L185" i="47"/>
  <c r="I185" i="47"/>
  <c r="F185" i="47"/>
  <c r="C185" i="47"/>
  <c r="O184" i="47"/>
  <c r="L184" i="47"/>
  <c r="I184" i="47"/>
  <c r="F184" i="47"/>
  <c r="C184" i="47" s="1"/>
  <c r="O183" i="47"/>
  <c r="L183" i="47"/>
  <c r="I183" i="47"/>
  <c r="F183" i="47"/>
  <c r="N182" i="47"/>
  <c r="M182" i="47"/>
  <c r="O182" i="47" s="1"/>
  <c r="K182" i="47"/>
  <c r="J182" i="47"/>
  <c r="L182" i="47" s="1"/>
  <c r="I182" i="47"/>
  <c r="H182" i="47"/>
  <c r="G182" i="47"/>
  <c r="F182" i="47"/>
  <c r="E182" i="47"/>
  <c r="D182" i="47"/>
  <c r="O181" i="47"/>
  <c r="L181" i="47"/>
  <c r="I181" i="47"/>
  <c r="F181" i="47"/>
  <c r="C181" i="47"/>
  <c r="O180" i="47"/>
  <c r="L180" i="47"/>
  <c r="I180" i="47"/>
  <c r="F180" i="47"/>
  <c r="C180" i="47" s="1"/>
  <c r="O179" i="47"/>
  <c r="L179" i="47"/>
  <c r="I179" i="47"/>
  <c r="F179" i="47"/>
  <c r="N178" i="47"/>
  <c r="M178" i="47"/>
  <c r="K178" i="47"/>
  <c r="J178" i="47"/>
  <c r="L178" i="47" s="1"/>
  <c r="I178" i="47"/>
  <c r="H178" i="47"/>
  <c r="G178" i="47"/>
  <c r="F178" i="47"/>
  <c r="E178" i="47"/>
  <c r="E177" i="47" s="1"/>
  <c r="D178" i="47"/>
  <c r="N177" i="47"/>
  <c r="N176" i="47" s="1"/>
  <c r="K177" i="47"/>
  <c r="J177" i="47"/>
  <c r="H177" i="47"/>
  <c r="G177" i="47"/>
  <c r="I177" i="47" s="1"/>
  <c r="D177" i="47"/>
  <c r="K176" i="47"/>
  <c r="G176" i="47"/>
  <c r="I176" i="47" s="1"/>
  <c r="E176" i="47"/>
  <c r="O175" i="47"/>
  <c r="L175" i="47"/>
  <c r="I175" i="47"/>
  <c r="F175" i="47"/>
  <c r="O174" i="47"/>
  <c r="L174" i="47"/>
  <c r="I174" i="47"/>
  <c r="F174" i="47"/>
  <c r="C174" i="47"/>
  <c r="O173" i="47"/>
  <c r="L173" i="47"/>
  <c r="I173" i="47"/>
  <c r="F173" i="47"/>
  <c r="C173" i="47" s="1"/>
  <c r="O172" i="47"/>
  <c r="L172" i="47"/>
  <c r="I172" i="47"/>
  <c r="F172" i="47"/>
  <c r="O171" i="47"/>
  <c r="L171" i="47"/>
  <c r="I171" i="47"/>
  <c r="F171" i="47"/>
  <c r="O170" i="47"/>
  <c r="L170" i="47"/>
  <c r="I170" i="47"/>
  <c r="C170" i="47" s="1"/>
  <c r="F170" i="47"/>
  <c r="N169" i="47"/>
  <c r="N168" i="47" s="1"/>
  <c r="M169" i="47"/>
  <c r="K169" i="47"/>
  <c r="K168" i="47" s="1"/>
  <c r="J169" i="47"/>
  <c r="H169" i="47"/>
  <c r="G169" i="47"/>
  <c r="F169" i="47"/>
  <c r="E169" i="47"/>
  <c r="D169" i="47"/>
  <c r="O168" i="47"/>
  <c r="M168" i="47"/>
  <c r="H168" i="47"/>
  <c r="I168" i="47" s="1"/>
  <c r="G168" i="47"/>
  <c r="E168" i="47"/>
  <c r="D168" i="47"/>
  <c r="F168" i="47" s="1"/>
  <c r="O167" i="47"/>
  <c r="L167" i="47"/>
  <c r="I167" i="47"/>
  <c r="F167" i="47"/>
  <c r="C167" i="47" s="1"/>
  <c r="O166" i="47"/>
  <c r="L166" i="47"/>
  <c r="I166" i="47"/>
  <c r="C166" i="47" s="1"/>
  <c r="F166" i="47"/>
  <c r="O165" i="47"/>
  <c r="L165" i="47"/>
  <c r="I165" i="47"/>
  <c r="F165" i="47"/>
  <c r="C165" i="47" s="1"/>
  <c r="O164" i="47"/>
  <c r="L164" i="47"/>
  <c r="I164" i="47"/>
  <c r="F164" i="47"/>
  <c r="C164" i="47"/>
  <c r="N163" i="47"/>
  <c r="N133" i="47" s="1"/>
  <c r="M163" i="47"/>
  <c r="K163" i="47"/>
  <c r="J163" i="47"/>
  <c r="I163" i="47"/>
  <c r="H163" i="47"/>
  <c r="G163" i="47"/>
  <c r="F163" i="47"/>
  <c r="E163" i="47"/>
  <c r="D163" i="47"/>
  <c r="O162" i="47"/>
  <c r="L162" i="47"/>
  <c r="C162" i="47" s="1"/>
  <c r="I162" i="47"/>
  <c r="F162" i="47"/>
  <c r="O161" i="47"/>
  <c r="L161" i="47"/>
  <c r="I161" i="47"/>
  <c r="F161" i="47"/>
  <c r="C161" i="47"/>
  <c r="O160" i="47"/>
  <c r="L160" i="47"/>
  <c r="I160" i="47"/>
  <c r="F160" i="47"/>
  <c r="C160" i="47" s="1"/>
  <c r="O159" i="47"/>
  <c r="L159" i="47"/>
  <c r="I159" i="47"/>
  <c r="F159" i="47"/>
  <c r="O158" i="47"/>
  <c r="L158" i="47"/>
  <c r="I158" i="47"/>
  <c r="C158" i="47" s="1"/>
  <c r="F158" i="47"/>
  <c r="O157" i="47"/>
  <c r="L157" i="47"/>
  <c r="I157" i="47"/>
  <c r="F157" i="47"/>
  <c r="C157" i="47"/>
  <c r="O156" i="47"/>
  <c r="L156" i="47"/>
  <c r="I156" i="47"/>
  <c r="F156" i="47"/>
  <c r="C156" i="47" s="1"/>
  <c r="O155" i="47"/>
  <c r="L155" i="47"/>
  <c r="I155" i="47"/>
  <c r="F155" i="47"/>
  <c r="N154" i="47"/>
  <c r="M154" i="47"/>
  <c r="O154" i="47" s="1"/>
  <c r="K154" i="47"/>
  <c r="J154" i="47"/>
  <c r="H154" i="47"/>
  <c r="G154" i="47"/>
  <c r="I154" i="47" s="1"/>
  <c r="E154" i="47"/>
  <c r="F154" i="47" s="1"/>
  <c r="D154" i="47"/>
  <c r="O153" i="47"/>
  <c r="L153" i="47"/>
  <c r="I153" i="47"/>
  <c r="F153" i="47"/>
  <c r="C153" i="47" s="1"/>
  <c r="O152" i="47"/>
  <c r="L152" i="47"/>
  <c r="I152" i="47"/>
  <c r="C152" i="47" s="1"/>
  <c r="F152" i="47"/>
  <c r="O151" i="47"/>
  <c r="L151" i="47"/>
  <c r="I151" i="47"/>
  <c r="F151" i="47"/>
  <c r="O150" i="47"/>
  <c r="L150" i="47"/>
  <c r="I150" i="47"/>
  <c r="F150" i="47"/>
  <c r="C150" i="47"/>
  <c r="O149" i="47"/>
  <c r="L149" i="47"/>
  <c r="I149" i="47"/>
  <c r="F149" i="47"/>
  <c r="C149" i="47" s="1"/>
  <c r="O148" i="47"/>
  <c r="L148" i="47"/>
  <c r="I148" i="47"/>
  <c r="F148" i="47"/>
  <c r="N147" i="47"/>
  <c r="M147" i="47"/>
  <c r="O147" i="47" s="1"/>
  <c r="L147" i="47"/>
  <c r="K147" i="47"/>
  <c r="J147" i="47"/>
  <c r="H147" i="47"/>
  <c r="I147" i="47" s="1"/>
  <c r="G147" i="47"/>
  <c r="E147" i="47"/>
  <c r="D147" i="47"/>
  <c r="F147" i="47" s="1"/>
  <c r="O146" i="47"/>
  <c r="L146" i="47"/>
  <c r="I146" i="47"/>
  <c r="C146" i="47" s="1"/>
  <c r="F146" i="47"/>
  <c r="O145" i="47"/>
  <c r="L145" i="47"/>
  <c r="I145" i="47"/>
  <c r="F145" i="47"/>
  <c r="C145" i="47" s="1"/>
  <c r="O144" i="47"/>
  <c r="N144" i="47"/>
  <c r="M144" i="47"/>
  <c r="K144" i="47"/>
  <c r="L144" i="47" s="1"/>
  <c r="J144" i="47"/>
  <c r="H144" i="47"/>
  <c r="G144" i="47"/>
  <c r="I144" i="47" s="1"/>
  <c r="E144" i="47"/>
  <c r="D144" i="47"/>
  <c r="O143" i="47"/>
  <c r="L143" i="47"/>
  <c r="I143" i="47"/>
  <c r="F143" i="47"/>
  <c r="O142" i="47"/>
  <c r="L142" i="47"/>
  <c r="I142" i="47"/>
  <c r="F142" i="47"/>
  <c r="C142" i="47"/>
  <c r="O141" i="47"/>
  <c r="L141" i="47"/>
  <c r="I141" i="47"/>
  <c r="F141" i="47"/>
  <c r="C141" i="47" s="1"/>
  <c r="O140" i="47"/>
  <c r="L140" i="47"/>
  <c r="I140" i="47"/>
  <c r="F140" i="47"/>
  <c r="N139" i="47"/>
  <c r="M139" i="47"/>
  <c r="O139" i="47" s="1"/>
  <c r="L139" i="47"/>
  <c r="K139" i="47"/>
  <c r="J139" i="47"/>
  <c r="I139" i="47"/>
  <c r="H139" i="47"/>
  <c r="G139" i="47"/>
  <c r="E139" i="47"/>
  <c r="D139" i="47"/>
  <c r="O138" i="47"/>
  <c r="L138" i="47"/>
  <c r="I138" i="47"/>
  <c r="C138" i="47" s="1"/>
  <c r="F138" i="47"/>
  <c r="O137" i="47"/>
  <c r="L137" i="47"/>
  <c r="I137" i="47"/>
  <c r="F137" i="47"/>
  <c r="C137" i="47" s="1"/>
  <c r="O136" i="47"/>
  <c r="L136" i="47"/>
  <c r="I136" i="47"/>
  <c r="F136" i="47"/>
  <c r="C136" i="47"/>
  <c r="O135" i="47"/>
  <c r="L135" i="47"/>
  <c r="I135" i="47"/>
  <c r="F135" i="47"/>
  <c r="C135" i="47" s="1"/>
  <c r="O134" i="47"/>
  <c r="N134" i="47"/>
  <c r="M134" i="47"/>
  <c r="K134" i="47"/>
  <c r="K133" i="47" s="1"/>
  <c r="J134" i="47"/>
  <c r="H134" i="47"/>
  <c r="G134" i="47"/>
  <c r="F134" i="47"/>
  <c r="E134" i="47"/>
  <c r="D134" i="47"/>
  <c r="O132" i="47"/>
  <c r="L132" i="47"/>
  <c r="I132" i="47"/>
  <c r="F132" i="47"/>
  <c r="N131" i="47"/>
  <c r="M131" i="47"/>
  <c r="O131" i="47" s="1"/>
  <c r="K131" i="47"/>
  <c r="J131" i="47"/>
  <c r="L131" i="47" s="1"/>
  <c r="I131" i="47"/>
  <c r="H131" i="47"/>
  <c r="G131" i="47"/>
  <c r="F131" i="47"/>
  <c r="E131" i="47"/>
  <c r="D131" i="47"/>
  <c r="O130" i="47"/>
  <c r="L130" i="47"/>
  <c r="I130" i="47"/>
  <c r="F130" i="47"/>
  <c r="O129" i="47"/>
  <c r="L129" i="47"/>
  <c r="I129" i="47"/>
  <c r="F129" i="47"/>
  <c r="C129" i="47"/>
  <c r="O128" i="47"/>
  <c r="L128" i="47"/>
  <c r="I128" i="47"/>
  <c r="F128" i="47"/>
  <c r="C128" i="47" s="1"/>
  <c r="O127" i="47"/>
  <c r="L127" i="47"/>
  <c r="I127" i="47"/>
  <c r="F127" i="47"/>
  <c r="O126" i="47"/>
  <c r="L126" i="47"/>
  <c r="I126" i="47"/>
  <c r="C126" i="47" s="1"/>
  <c r="F126" i="47"/>
  <c r="N125" i="47"/>
  <c r="O125" i="47" s="1"/>
  <c r="M125" i="47"/>
  <c r="K125" i="47"/>
  <c r="J125" i="47"/>
  <c r="L125" i="47" s="1"/>
  <c r="H125" i="47"/>
  <c r="G125" i="47"/>
  <c r="E125" i="47"/>
  <c r="D125" i="47"/>
  <c r="F125" i="47" s="1"/>
  <c r="O124" i="47"/>
  <c r="L124" i="47"/>
  <c r="I124" i="47"/>
  <c r="C124" i="47" s="1"/>
  <c r="F124" i="47"/>
  <c r="O123" i="47"/>
  <c r="L123" i="47"/>
  <c r="I123" i="47"/>
  <c r="F123" i="47"/>
  <c r="O122" i="47"/>
  <c r="L122" i="47"/>
  <c r="C122" i="47" s="1"/>
  <c r="I122" i="47"/>
  <c r="F122" i="47"/>
  <c r="O121" i="47"/>
  <c r="L121" i="47"/>
  <c r="I121" i="47"/>
  <c r="F121" i="47"/>
  <c r="C121" i="47"/>
  <c r="O120" i="47"/>
  <c r="L120" i="47"/>
  <c r="I120" i="47"/>
  <c r="F120" i="47"/>
  <c r="C120" i="47" s="1"/>
  <c r="N119" i="47"/>
  <c r="M119" i="47"/>
  <c r="O119" i="47" s="1"/>
  <c r="L119" i="47"/>
  <c r="K119" i="47"/>
  <c r="J119" i="47"/>
  <c r="I119" i="47"/>
  <c r="H119" i="47"/>
  <c r="G119" i="47"/>
  <c r="E119" i="47"/>
  <c r="D119" i="47"/>
  <c r="O118" i="47"/>
  <c r="L118" i="47"/>
  <c r="I118" i="47"/>
  <c r="C118" i="47" s="1"/>
  <c r="F118" i="47"/>
  <c r="O117" i="47"/>
  <c r="L117" i="47"/>
  <c r="C117" i="47" s="1"/>
  <c r="I117" i="47"/>
  <c r="F117" i="47"/>
  <c r="O116" i="47"/>
  <c r="L116" i="47"/>
  <c r="I116" i="47"/>
  <c r="F116" i="47"/>
  <c r="C116" i="47"/>
  <c r="N115" i="47"/>
  <c r="M115" i="47"/>
  <c r="K115" i="47"/>
  <c r="J115" i="47"/>
  <c r="L115" i="47" s="1"/>
  <c r="H115" i="47"/>
  <c r="I115" i="47" s="1"/>
  <c r="G115" i="47"/>
  <c r="F115" i="47"/>
  <c r="E115" i="47"/>
  <c r="D115" i="47"/>
  <c r="O114" i="47"/>
  <c r="L114" i="47"/>
  <c r="I114" i="47"/>
  <c r="F114" i="47"/>
  <c r="C114" i="47"/>
  <c r="O113" i="47"/>
  <c r="L113" i="47"/>
  <c r="I113" i="47"/>
  <c r="F113" i="47"/>
  <c r="C113" i="47" s="1"/>
  <c r="O112" i="47"/>
  <c r="L112" i="47"/>
  <c r="I112" i="47"/>
  <c r="F112" i="47"/>
  <c r="O111" i="47"/>
  <c r="L111" i="47"/>
  <c r="I111" i="47"/>
  <c r="F111" i="47"/>
  <c r="O110" i="47"/>
  <c r="L110" i="47"/>
  <c r="I110" i="47"/>
  <c r="C110" i="47" s="1"/>
  <c r="F110" i="47"/>
  <c r="O109" i="47"/>
  <c r="L109" i="47"/>
  <c r="C109" i="47" s="1"/>
  <c r="I109" i="47"/>
  <c r="F109" i="47"/>
  <c r="O108" i="47"/>
  <c r="L108" i="47"/>
  <c r="I108" i="47"/>
  <c r="F108" i="47"/>
  <c r="C108" i="47"/>
  <c r="O107" i="47"/>
  <c r="L107" i="47"/>
  <c r="I107" i="47"/>
  <c r="F107" i="47"/>
  <c r="C107" i="47" s="1"/>
  <c r="N106" i="47"/>
  <c r="M106" i="47"/>
  <c r="O106" i="47" s="1"/>
  <c r="K106" i="47"/>
  <c r="J106" i="47"/>
  <c r="H106" i="47"/>
  <c r="G106" i="47"/>
  <c r="E106" i="47"/>
  <c r="F106" i="47" s="1"/>
  <c r="D106" i="47"/>
  <c r="O105" i="47"/>
  <c r="L105" i="47"/>
  <c r="I105" i="47"/>
  <c r="F105" i="47"/>
  <c r="C105" i="47" s="1"/>
  <c r="O104" i="47"/>
  <c r="L104" i="47"/>
  <c r="I104" i="47"/>
  <c r="F104" i="47"/>
  <c r="C104" i="47" s="1"/>
  <c r="O103" i="47"/>
  <c r="L103" i="47"/>
  <c r="I103" i="47"/>
  <c r="F103" i="47"/>
  <c r="O102" i="47"/>
  <c r="L102" i="47"/>
  <c r="I102" i="47"/>
  <c r="F102" i="47"/>
  <c r="C102" i="47"/>
  <c r="O101" i="47"/>
  <c r="L101" i="47"/>
  <c r="I101" i="47"/>
  <c r="F101" i="47"/>
  <c r="C101" i="47" s="1"/>
  <c r="O100" i="47"/>
  <c r="L100" i="47"/>
  <c r="I100" i="47"/>
  <c r="F100" i="47"/>
  <c r="O99" i="47"/>
  <c r="L99" i="47"/>
  <c r="I99" i="47"/>
  <c r="F99" i="47"/>
  <c r="N98" i="47"/>
  <c r="N86" i="47" s="1"/>
  <c r="M98" i="47"/>
  <c r="O98" i="47" s="1"/>
  <c r="K98" i="47"/>
  <c r="J98" i="47"/>
  <c r="I98" i="47"/>
  <c r="H98" i="47"/>
  <c r="G98" i="47"/>
  <c r="E98" i="47"/>
  <c r="F98" i="47" s="1"/>
  <c r="D98" i="47"/>
  <c r="O97" i="47"/>
  <c r="L97" i="47"/>
  <c r="I97" i="47"/>
  <c r="F97" i="47"/>
  <c r="C97" i="47" s="1"/>
  <c r="O96" i="47"/>
  <c r="L96" i="47"/>
  <c r="I96" i="47"/>
  <c r="F96" i="47"/>
  <c r="C96" i="47"/>
  <c r="O95" i="47"/>
  <c r="L95" i="47"/>
  <c r="I95" i="47"/>
  <c r="F95" i="47"/>
  <c r="C95" i="47" s="1"/>
  <c r="O94" i="47"/>
  <c r="L94" i="47"/>
  <c r="I94" i="47"/>
  <c r="F94" i="47"/>
  <c r="C94" i="47"/>
  <c r="O93" i="47"/>
  <c r="L93" i="47"/>
  <c r="I93" i="47"/>
  <c r="F93" i="47"/>
  <c r="C93" i="47" s="1"/>
  <c r="N92" i="47"/>
  <c r="M92" i="47"/>
  <c r="K92" i="47"/>
  <c r="L92" i="47" s="1"/>
  <c r="J92" i="47"/>
  <c r="I92" i="47"/>
  <c r="H92" i="47"/>
  <c r="G92" i="47"/>
  <c r="E92" i="47"/>
  <c r="D92" i="47"/>
  <c r="O91" i="47"/>
  <c r="L91" i="47"/>
  <c r="I91" i="47"/>
  <c r="F91" i="47"/>
  <c r="O90" i="47"/>
  <c r="L90" i="47"/>
  <c r="I90" i="47"/>
  <c r="F90" i="47"/>
  <c r="O89" i="47"/>
  <c r="L89" i="47"/>
  <c r="C89" i="47" s="1"/>
  <c r="I89" i="47"/>
  <c r="F89" i="47"/>
  <c r="O88" i="47"/>
  <c r="L88" i="47"/>
  <c r="I88" i="47"/>
  <c r="F88" i="47"/>
  <c r="C88" i="47"/>
  <c r="N87" i="47"/>
  <c r="M87" i="47"/>
  <c r="O87" i="47" s="1"/>
  <c r="L87" i="47"/>
  <c r="K87" i="47"/>
  <c r="J87" i="47"/>
  <c r="H87" i="47"/>
  <c r="G87" i="47"/>
  <c r="E87" i="47"/>
  <c r="D87" i="47"/>
  <c r="K86" i="47"/>
  <c r="J86" i="47"/>
  <c r="L86" i="47" s="1"/>
  <c r="O85" i="47"/>
  <c r="L85" i="47"/>
  <c r="C85" i="47" s="1"/>
  <c r="I85" i="47"/>
  <c r="F85" i="47"/>
  <c r="O84" i="47"/>
  <c r="L84" i="47"/>
  <c r="I84" i="47"/>
  <c r="F84" i="47"/>
  <c r="C84" i="47"/>
  <c r="N83" i="47"/>
  <c r="N79" i="47" s="1"/>
  <c r="N78" i="47" s="1"/>
  <c r="M83" i="47"/>
  <c r="K83" i="47"/>
  <c r="J83" i="47"/>
  <c r="L83" i="47" s="1"/>
  <c r="I83" i="47"/>
  <c r="H83" i="47"/>
  <c r="G83" i="47"/>
  <c r="F83" i="47"/>
  <c r="E83" i="47"/>
  <c r="D83" i="47"/>
  <c r="O82" i="47"/>
  <c r="L82" i="47"/>
  <c r="C82" i="47" s="1"/>
  <c r="I82" i="47"/>
  <c r="F82" i="47"/>
  <c r="O81" i="47"/>
  <c r="L81" i="47"/>
  <c r="I81" i="47"/>
  <c r="F81" i="47"/>
  <c r="C81" i="47"/>
  <c r="N80" i="47"/>
  <c r="M80" i="47"/>
  <c r="L80" i="47"/>
  <c r="K80" i="47"/>
  <c r="K79" i="47" s="1"/>
  <c r="J80" i="47"/>
  <c r="I80" i="47"/>
  <c r="H80" i="47"/>
  <c r="H79" i="47" s="1"/>
  <c r="G80" i="47"/>
  <c r="G79" i="47" s="1"/>
  <c r="E80" i="47"/>
  <c r="D80" i="47"/>
  <c r="J79" i="47"/>
  <c r="E79" i="47"/>
  <c r="O77" i="47"/>
  <c r="L77" i="47"/>
  <c r="I77" i="47"/>
  <c r="F77" i="47"/>
  <c r="C77" i="47"/>
  <c r="O76" i="47"/>
  <c r="L76" i="47"/>
  <c r="I76" i="47"/>
  <c r="F76" i="47"/>
  <c r="C76" i="47" s="1"/>
  <c r="O75" i="47"/>
  <c r="L75" i="47"/>
  <c r="I75" i="47"/>
  <c r="F75" i="47"/>
  <c r="O74" i="47"/>
  <c r="L74" i="47"/>
  <c r="I74" i="47"/>
  <c r="C74" i="47" s="1"/>
  <c r="F74" i="47"/>
  <c r="O73" i="47"/>
  <c r="L73" i="47"/>
  <c r="I73" i="47"/>
  <c r="F73" i="47"/>
  <c r="C73" i="47"/>
  <c r="O72" i="47"/>
  <c r="N72" i="47"/>
  <c r="M72" i="47"/>
  <c r="L72" i="47"/>
  <c r="K72" i="47"/>
  <c r="J72" i="47"/>
  <c r="H72" i="47"/>
  <c r="H70" i="47" s="1"/>
  <c r="G72" i="47"/>
  <c r="E72" i="47"/>
  <c r="D72" i="47"/>
  <c r="O71" i="47"/>
  <c r="L71" i="47"/>
  <c r="I71" i="47"/>
  <c r="F71" i="47"/>
  <c r="C71" i="47" s="1"/>
  <c r="O70" i="47"/>
  <c r="N70" i="47"/>
  <c r="M70" i="47"/>
  <c r="K70" i="47"/>
  <c r="J70" i="47"/>
  <c r="E70" i="47"/>
  <c r="O69" i="47"/>
  <c r="L69" i="47"/>
  <c r="I69" i="47"/>
  <c r="F69" i="47"/>
  <c r="C69" i="47" s="1"/>
  <c r="O68" i="47"/>
  <c r="L68" i="47"/>
  <c r="I68" i="47"/>
  <c r="F68" i="47"/>
  <c r="C68" i="47"/>
  <c r="O67" i="47"/>
  <c r="L67" i="47"/>
  <c r="I67" i="47"/>
  <c r="F67" i="47"/>
  <c r="C67" i="47" s="1"/>
  <c r="O66" i="47"/>
  <c r="L66" i="47"/>
  <c r="I66" i="47"/>
  <c r="F66" i="47"/>
  <c r="C66" i="47"/>
  <c r="O65" i="47"/>
  <c r="L65" i="47"/>
  <c r="I65" i="47"/>
  <c r="F65" i="47"/>
  <c r="C65" i="47" s="1"/>
  <c r="O64" i="47"/>
  <c r="L64" i="47"/>
  <c r="I64" i="47"/>
  <c r="F64" i="47"/>
  <c r="O63" i="47"/>
  <c r="L63" i="47"/>
  <c r="I63" i="47"/>
  <c r="F63" i="47"/>
  <c r="O62" i="47"/>
  <c r="L62" i="47"/>
  <c r="C62" i="47" s="1"/>
  <c r="I62" i="47"/>
  <c r="F62" i="47"/>
  <c r="O61" i="47"/>
  <c r="N61" i="47"/>
  <c r="M61" i="47"/>
  <c r="K61" i="47"/>
  <c r="K57" i="47" s="1"/>
  <c r="K56" i="47" s="1"/>
  <c r="J61" i="47"/>
  <c r="H61" i="47"/>
  <c r="G61" i="47"/>
  <c r="F61" i="47"/>
  <c r="E61" i="47"/>
  <c r="D61" i="47"/>
  <c r="O60" i="47"/>
  <c r="L60" i="47"/>
  <c r="I60" i="47"/>
  <c r="F60" i="47"/>
  <c r="C60" i="47"/>
  <c r="O59" i="47"/>
  <c r="L59" i="47"/>
  <c r="I59" i="47"/>
  <c r="F59" i="47"/>
  <c r="C59" i="47" s="1"/>
  <c r="N58" i="47"/>
  <c r="M58" i="47"/>
  <c r="O58" i="47" s="1"/>
  <c r="L58" i="47"/>
  <c r="K58" i="47"/>
  <c r="J58" i="47"/>
  <c r="I58" i="47"/>
  <c r="H58" i="47"/>
  <c r="H57" i="47" s="1"/>
  <c r="G58" i="47"/>
  <c r="E58" i="47"/>
  <c r="E57" i="47" s="1"/>
  <c r="E56" i="47" s="1"/>
  <c r="D58" i="47"/>
  <c r="N57" i="47"/>
  <c r="M57" i="47"/>
  <c r="J57" i="47"/>
  <c r="N56" i="47"/>
  <c r="O50" i="47"/>
  <c r="C50" i="47"/>
  <c r="O49" i="47"/>
  <c r="C49" i="47"/>
  <c r="N48" i="47"/>
  <c r="M48" i="47"/>
  <c r="L47" i="47"/>
  <c r="I47" i="47"/>
  <c r="F47" i="47"/>
  <c r="C47" i="47" s="1"/>
  <c r="L46" i="47"/>
  <c r="K46" i="47"/>
  <c r="J46" i="47"/>
  <c r="H46" i="47"/>
  <c r="H24" i="47" s="1"/>
  <c r="G46" i="47"/>
  <c r="E46" i="47"/>
  <c r="D46" i="47"/>
  <c r="F45" i="47"/>
  <c r="C45" i="47" s="1"/>
  <c r="L44" i="47"/>
  <c r="C44" i="47" s="1"/>
  <c r="L43" i="47"/>
  <c r="C43" i="47" s="1"/>
  <c r="L42" i="47"/>
  <c r="C42" i="47" s="1"/>
  <c r="L41" i="47"/>
  <c r="C41" i="47" s="1"/>
  <c r="K40" i="47"/>
  <c r="J40" i="47"/>
  <c r="L39" i="47"/>
  <c r="C39" i="47"/>
  <c r="L38" i="47"/>
  <c r="C38" i="47" s="1"/>
  <c r="L37" i="47"/>
  <c r="C37" i="47" s="1"/>
  <c r="K37" i="47"/>
  <c r="J37" i="47"/>
  <c r="L36" i="47"/>
  <c r="C36" i="47" s="1"/>
  <c r="K35" i="47"/>
  <c r="J35" i="47"/>
  <c r="L34" i="47"/>
  <c r="C34" i="47" s="1"/>
  <c r="L33" i="47"/>
  <c r="C33" i="47"/>
  <c r="L32" i="47"/>
  <c r="C32" i="47" s="1"/>
  <c r="L31" i="47"/>
  <c r="C31" i="47" s="1"/>
  <c r="K31" i="47"/>
  <c r="J31" i="47"/>
  <c r="F29" i="47"/>
  <c r="C29" i="47"/>
  <c r="I28" i="47"/>
  <c r="F28" i="47"/>
  <c r="C28" i="47"/>
  <c r="O27" i="47"/>
  <c r="L27" i="47"/>
  <c r="I27" i="47"/>
  <c r="F27" i="47"/>
  <c r="C27" i="47"/>
  <c r="O26" i="47"/>
  <c r="L26" i="47"/>
  <c r="I26" i="47"/>
  <c r="F26" i="47"/>
  <c r="C26" i="47" s="1"/>
  <c r="N25" i="47"/>
  <c r="M25" i="47"/>
  <c r="K25" i="47"/>
  <c r="J25" i="47"/>
  <c r="I25" i="47"/>
  <c r="H25" i="47"/>
  <c r="H290" i="47" s="1"/>
  <c r="G25" i="47"/>
  <c r="G290" i="47" s="1"/>
  <c r="G289" i="47" s="1"/>
  <c r="E25" i="47"/>
  <c r="D25" i="47"/>
  <c r="O299" i="46"/>
  <c r="L299" i="46"/>
  <c r="I299" i="46"/>
  <c r="F299" i="46"/>
  <c r="C299" i="46" s="1"/>
  <c r="O298" i="46"/>
  <c r="L298" i="46"/>
  <c r="I298" i="46"/>
  <c r="F298" i="46"/>
  <c r="O297" i="46"/>
  <c r="L297" i="46"/>
  <c r="I297" i="46"/>
  <c r="F297" i="46"/>
  <c r="O296" i="46"/>
  <c r="L296" i="46"/>
  <c r="C296" i="46" s="1"/>
  <c r="I296" i="46"/>
  <c r="F296" i="46"/>
  <c r="O295" i="46"/>
  <c r="L295" i="46"/>
  <c r="I295" i="46"/>
  <c r="F295" i="46"/>
  <c r="C295" i="46"/>
  <c r="O294" i="46"/>
  <c r="L294" i="46"/>
  <c r="I294" i="46"/>
  <c r="F294" i="46"/>
  <c r="C294" i="46" s="1"/>
  <c r="O293" i="46"/>
  <c r="L293" i="46"/>
  <c r="I293" i="46"/>
  <c r="F293" i="46"/>
  <c r="C293" i="46" s="1"/>
  <c r="O292" i="46"/>
  <c r="L292" i="46"/>
  <c r="I292" i="46"/>
  <c r="F292" i="46"/>
  <c r="C292" i="46"/>
  <c r="O291" i="46"/>
  <c r="N291" i="46"/>
  <c r="M291" i="46"/>
  <c r="L291" i="46"/>
  <c r="K291" i="46"/>
  <c r="J291" i="46"/>
  <c r="H291" i="46"/>
  <c r="G291" i="46"/>
  <c r="I291" i="46" s="1"/>
  <c r="E291" i="46"/>
  <c r="D291" i="46"/>
  <c r="F291" i="46" s="1"/>
  <c r="M290" i="46"/>
  <c r="E290" i="46"/>
  <c r="E289" i="46" s="1"/>
  <c r="J289" i="46"/>
  <c r="O286" i="46"/>
  <c r="L286" i="46"/>
  <c r="I286" i="46"/>
  <c r="F286" i="46"/>
  <c r="O285" i="46"/>
  <c r="L285" i="46"/>
  <c r="I285" i="46"/>
  <c r="F285" i="46"/>
  <c r="N284" i="46"/>
  <c r="M284" i="46"/>
  <c r="K284" i="46"/>
  <c r="J284" i="46"/>
  <c r="H284" i="46"/>
  <c r="G284" i="46"/>
  <c r="F284" i="46"/>
  <c r="E284" i="46"/>
  <c r="D284" i="46"/>
  <c r="O283" i="46"/>
  <c r="L283" i="46"/>
  <c r="I283" i="46"/>
  <c r="F283" i="46"/>
  <c r="C283" i="46" s="1"/>
  <c r="N282" i="46"/>
  <c r="M282" i="46"/>
  <c r="O282" i="46" s="1"/>
  <c r="L282" i="46"/>
  <c r="K282" i="46"/>
  <c r="J282" i="46"/>
  <c r="H282" i="46"/>
  <c r="I282" i="46" s="1"/>
  <c r="G282" i="46"/>
  <c r="E282" i="46"/>
  <c r="D282" i="46"/>
  <c r="F282" i="46" s="1"/>
  <c r="O281" i="46"/>
  <c r="L281" i="46"/>
  <c r="I281" i="46"/>
  <c r="F281" i="46"/>
  <c r="O280" i="46"/>
  <c r="L280" i="46"/>
  <c r="I280" i="46"/>
  <c r="F280" i="46"/>
  <c r="C280" i="46"/>
  <c r="O279" i="46"/>
  <c r="L279" i="46"/>
  <c r="I279" i="46"/>
  <c r="F279" i="46"/>
  <c r="C279" i="46" s="1"/>
  <c r="N278" i="46"/>
  <c r="M278" i="46"/>
  <c r="L278" i="46"/>
  <c r="K278" i="46"/>
  <c r="J278" i="46"/>
  <c r="H278" i="46"/>
  <c r="I278" i="46" s="1"/>
  <c r="G278" i="46"/>
  <c r="E278" i="46"/>
  <c r="D278" i="46"/>
  <c r="F278" i="46" s="1"/>
  <c r="O277" i="46"/>
  <c r="L277" i="46"/>
  <c r="I277" i="46"/>
  <c r="F277" i="46"/>
  <c r="O276" i="46"/>
  <c r="L276" i="46"/>
  <c r="I276" i="46"/>
  <c r="F276" i="46"/>
  <c r="C276" i="46"/>
  <c r="O275" i="46"/>
  <c r="L275" i="46"/>
  <c r="I275" i="46"/>
  <c r="F275" i="46"/>
  <c r="C275" i="46" s="1"/>
  <c r="N274" i="46"/>
  <c r="M274" i="46"/>
  <c r="L274" i="46"/>
  <c r="K274" i="46"/>
  <c r="J274" i="46"/>
  <c r="H274" i="46"/>
  <c r="G274" i="46"/>
  <c r="E274" i="46"/>
  <c r="E272" i="46" s="1"/>
  <c r="E271" i="46" s="1"/>
  <c r="D274" i="46"/>
  <c r="O273" i="46"/>
  <c r="L273" i="46"/>
  <c r="I273" i="46"/>
  <c r="F273" i="46"/>
  <c r="N272" i="46"/>
  <c r="N271" i="46" s="1"/>
  <c r="K272" i="46"/>
  <c r="J272" i="46"/>
  <c r="G272" i="46"/>
  <c r="K271" i="46"/>
  <c r="G271" i="46"/>
  <c r="O270" i="46"/>
  <c r="L270" i="46"/>
  <c r="I270" i="46"/>
  <c r="F270" i="46"/>
  <c r="O269" i="46"/>
  <c r="L269" i="46"/>
  <c r="I269" i="46"/>
  <c r="F269" i="46"/>
  <c r="O268" i="46"/>
  <c r="L268" i="46"/>
  <c r="C268" i="46" s="1"/>
  <c r="I268" i="46"/>
  <c r="F268" i="46"/>
  <c r="O267" i="46"/>
  <c r="L267" i="46"/>
  <c r="I267" i="46"/>
  <c r="F267" i="46"/>
  <c r="C267" i="46"/>
  <c r="N266" i="46"/>
  <c r="M266" i="46"/>
  <c r="O266" i="46" s="1"/>
  <c r="L266" i="46"/>
  <c r="K266" i="46"/>
  <c r="J266" i="46"/>
  <c r="I266" i="46"/>
  <c r="H266" i="46"/>
  <c r="G266" i="46"/>
  <c r="E266" i="46"/>
  <c r="D266" i="46"/>
  <c r="O265" i="46"/>
  <c r="L265" i="46"/>
  <c r="I265" i="46"/>
  <c r="F265" i="46"/>
  <c r="O264" i="46"/>
  <c r="L264" i="46"/>
  <c r="C264" i="46" s="1"/>
  <c r="I264" i="46"/>
  <c r="F264" i="46"/>
  <c r="O263" i="46"/>
  <c r="L263" i="46"/>
  <c r="I263" i="46"/>
  <c r="F263" i="46"/>
  <c r="C263" i="46"/>
  <c r="N262" i="46"/>
  <c r="M262" i="46"/>
  <c r="O262" i="46" s="1"/>
  <c r="L262" i="46"/>
  <c r="K262" i="46"/>
  <c r="J262" i="46"/>
  <c r="I262" i="46"/>
  <c r="H262" i="46"/>
  <c r="H261" i="46" s="1"/>
  <c r="G262" i="46"/>
  <c r="E262" i="46"/>
  <c r="E261" i="46" s="1"/>
  <c r="D262" i="46"/>
  <c r="N261" i="46"/>
  <c r="M261" i="46"/>
  <c r="O261" i="46" s="1"/>
  <c r="K261" i="46"/>
  <c r="J261" i="46"/>
  <c r="L261" i="46" s="1"/>
  <c r="I261" i="46"/>
  <c r="G261" i="46"/>
  <c r="O260" i="46"/>
  <c r="L260" i="46"/>
  <c r="C260" i="46" s="1"/>
  <c r="I260" i="46"/>
  <c r="F260" i="46"/>
  <c r="O259" i="46"/>
  <c r="L259" i="46"/>
  <c r="I259" i="46"/>
  <c r="F259" i="46"/>
  <c r="C259" i="46"/>
  <c r="O258" i="46"/>
  <c r="L258" i="46"/>
  <c r="I258" i="46"/>
  <c r="F258" i="46"/>
  <c r="C258" i="46" s="1"/>
  <c r="O257" i="46"/>
  <c r="L257" i="46"/>
  <c r="I257" i="46"/>
  <c r="F257" i="46"/>
  <c r="C257" i="46" s="1"/>
  <c r="O256" i="46"/>
  <c r="L256" i="46"/>
  <c r="I256" i="46"/>
  <c r="F256" i="46"/>
  <c r="C256" i="46"/>
  <c r="O255" i="46"/>
  <c r="N255" i="46"/>
  <c r="M255" i="46"/>
  <c r="L255" i="46"/>
  <c r="K255" i="46"/>
  <c r="K254" i="46" s="1"/>
  <c r="J255" i="46"/>
  <c r="H255" i="46"/>
  <c r="H254" i="46" s="1"/>
  <c r="G255" i="46"/>
  <c r="E255" i="46"/>
  <c r="D255" i="46"/>
  <c r="F255" i="46" s="1"/>
  <c r="N254" i="46"/>
  <c r="M254" i="46"/>
  <c r="O254" i="46" s="1"/>
  <c r="L254" i="46"/>
  <c r="J254" i="46"/>
  <c r="E254" i="46"/>
  <c r="D254" i="46"/>
  <c r="F254" i="46" s="1"/>
  <c r="O253" i="46"/>
  <c r="L253" i="46"/>
  <c r="I253" i="46"/>
  <c r="F253" i="46"/>
  <c r="C253" i="46" s="1"/>
  <c r="O252" i="46"/>
  <c r="L252" i="46"/>
  <c r="I252" i="46"/>
  <c r="F252" i="46"/>
  <c r="C252" i="46"/>
  <c r="O251" i="46"/>
  <c r="L251" i="46"/>
  <c r="I251" i="46"/>
  <c r="F251" i="46"/>
  <c r="C251" i="46" s="1"/>
  <c r="O250" i="46"/>
  <c r="L250" i="46"/>
  <c r="I250" i="46"/>
  <c r="F250" i="46"/>
  <c r="N249" i="46"/>
  <c r="M249" i="46"/>
  <c r="K249" i="46"/>
  <c r="J249" i="46"/>
  <c r="L249" i="46" s="1"/>
  <c r="I249" i="46"/>
  <c r="H249" i="46"/>
  <c r="G249" i="46"/>
  <c r="F249" i="46"/>
  <c r="E249" i="46"/>
  <c r="D249" i="46"/>
  <c r="O248" i="46"/>
  <c r="L248" i="46"/>
  <c r="I248" i="46"/>
  <c r="F248" i="46"/>
  <c r="C248" i="46"/>
  <c r="O247" i="46"/>
  <c r="L247" i="46"/>
  <c r="I247" i="46"/>
  <c r="F247" i="46"/>
  <c r="C247" i="46" s="1"/>
  <c r="O246" i="46"/>
  <c r="L246" i="46"/>
  <c r="I246" i="46"/>
  <c r="F246" i="46"/>
  <c r="O245" i="46"/>
  <c r="L245" i="46"/>
  <c r="I245" i="46"/>
  <c r="F245" i="46"/>
  <c r="O244" i="46"/>
  <c r="L244" i="46"/>
  <c r="C244" i="46" s="1"/>
  <c r="I244" i="46"/>
  <c r="F244" i="46"/>
  <c r="O243" i="46"/>
  <c r="L243" i="46"/>
  <c r="I243" i="46"/>
  <c r="F243" i="46"/>
  <c r="C243" i="46"/>
  <c r="O242" i="46"/>
  <c r="L242" i="46"/>
  <c r="I242" i="46"/>
  <c r="F242" i="46"/>
  <c r="C242" i="46" s="1"/>
  <c r="N241" i="46"/>
  <c r="M241" i="46"/>
  <c r="K241" i="46"/>
  <c r="J241" i="46"/>
  <c r="L241" i="46" s="1"/>
  <c r="I241" i="46"/>
  <c r="H241" i="46"/>
  <c r="G241" i="46"/>
  <c r="E241" i="46"/>
  <c r="F241" i="46" s="1"/>
  <c r="D241" i="46"/>
  <c r="O240" i="46"/>
  <c r="L240" i="46"/>
  <c r="C240" i="46" s="1"/>
  <c r="I240" i="46"/>
  <c r="F240" i="46"/>
  <c r="O239" i="46"/>
  <c r="L239" i="46"/>
  <c r="I239" i="46"/>
  <c r="F239" i="46"/>
  <c r="C239" i="46"/>
  <c r="N238" i="46"/>
  <c r="M238" i="46"/>
  <c r="O238" i="46" s="1"/>
  <c r="L238" i="46"/>
  <c r="K238" i="46"/>
  <c r="J238" i="46"/>
  <c r="I238" i="46"/>
  <c r="H238" i="46"/>
  <c r="G238" i="46"/>
  <c r="E238" i="46"/>
  <c r="D238" i="46"/>
  <c r="O237" i="46"/>
  <c r="L237" i="46"/>
  <c r="I237" i="46"/>
  <c r="F237" i="46"/>
  <c r="N236" i="46"/>
  <c r="M236" i="46"/>
  <c r="K236" i="46"/>
  <c r="K234" i="46" s="1"/>
  <c r="K233" i="46" s="1"/>
  <c r="J236" i="46"/>
  <c r="H236" i="46"/>
  <c r="G236" i="46"/>
  <c r="F236" i="46"/>
  <c r="E236" i="46"/>
  <c r="D236" i="46"/>
  <c r="O235" i="46"/>
  <c r="L235" i="46"/>
  <c r="I235" i="46"/>
  <c r="F235" i="46"/>
  <c r="C235" i="46" s="1"/>
  <c r="H234" i="46"/>
  <c r="D234" i="46"/>
  <c r="O232" i="46"/>
  <c r="L232" i="46"/>
  <c r="C232" i="46" s="1"/>
  <c r="I232" i="46"/>
  <c r="F232" i="46"/>
  <c r="O231" i="46"/>
  <c r="L231" i="46"/>
  <c r="I231" i="46"/>
  <c r="F231" i="46"/>
  <c r="C231" i="46"/>
  <c r="N230" i="46"/>
  <c r="M230" i="46"/>
  <c r="L230" i="46"/>
  <c r="K230" i="46"/>
  <c r="J230" i="46"/>
  <c r="I230" i="46"/>
  <c r="H230" i="46"/>
  <c r="G230" i="46"/>
  <c r="E230" i="46"/>
  <c r="E207" i="46" s="1"/>
  <c r="D230" i="46"/>
  <c r="O229" i="46"/>
  <c r="L229" i="46"/>
  <c r="I229" i="46"/>
  <c r="F229" i="46"/>
  <c r="O228" i="46"/>
  <c r="L228" i="46"/>
  <c r="C228" i="46" s="1"/>
  <c r="I228" i="46"/>
  <c r="F228" i="46"/>
  <c r="O227" i="46"/>
  <c r="L227" i="46"/>
  <c r="I227" i="46"/>
  <c r="F227" i="46"/>
  <c r="C227" i="46"/>
  <c r="O226" i="46"/>
  <c r="L226" i="46"/>
  <c r="I226" i="46"/>
  <c r="F226" i="46"/>
  <c r="C226" i="46" s="1"/>
  <c r="O225" i="46"/>
  <c r="L225" i="46"/>
  <c r="I225" i="46"/>
  <c r="F225" i="46"/>
  <c r="C225" i="46" s="1"/>
  <c r="O224" i="46"/>
  <c r="L224" i="46"/>
  <c r="I224" i="46"/>
  <c r="F224" i="46"/>
  <c r="C224" i="46"/>
  <c r="O223" i="46"/>
  <c r="L223" i="46"/>
  <c r="I223" i="46"/>
  <c r="F223" i="46"/>
  <c r="C223" i="46" s="1"/>
  <c r="O222" i="46"/>
  <c r="L222" i="46"/>
  <c r="I222" i="46"/>
  <c r="F222" i="46"/>
  <c r="O221" i="46"/>
  <c r="L221" i="46"/>
  <c r="I221" i="46"/>
  <c r="F221" i="46"/>
  <c r="O220" i="46"/>
  <c r="L220" i="46"/>
  <c r="C220" i="46" s="1"/>
  <c r="I220" i="46"/>
  <c r="F220" i="46"/>
  <c r="O219" i="46"/>
  <c r="N219" i="46"/>
  <c r="M219" i="46"/>
  <c r="K219" i="46"/>
  <c r="L219" i="46" s="1"/>
  <c r="J219" i="46"/>
  <c r="H219" i="46"/>
  <c r="G219" i="46"/>
  <c r="E219" i="46"/>
  <c r="D219" i="46"/>
  <c r="O218" i="46"/>
  <c r="L218" i="46"/>
  <c r="I218" i="46"/>
  <c r="F218" i="46"/>
  <c r="O217" i="46"/>
  <c r="L217" i="46"/>
  <c r="I217" i="46"/>
  <c r="F217" i="46"/>
  <c r="O216" i="46"/>
  <c r="L216" i="46"/>
  <c r="C216" i="46" s="1"/>
  <c r="I216" i="46"/>
  <c r="F216" i="46"/>
  <c r="O215" i="46"/>
  <c r="L215" i="46"/>
  <c r="I215" i="46"/>
  <c r="F215" i="46"/>
  <c r="C215" i="46"/>
  <c r="O214" i="46"/>
  <c r="L214" i="46"/>
  <c r="I214" i="46"/>
  <c r="F214" i="46"/>
  <c r="C214" i="46" s="1"/>
  <c r="O213" i="46"/>
  <c r="L213" i="46"/>
  <c r="I213" i="46"/>
  <c r="F213" i="46"/>
  <c r="C213" i="46" s="1"/>
  <c r="O212" i="46"/>
  <c r="L212" i="46"/>
  <c r="I212" i="46"/>
  <c r="F212" i="46"/>
  <c r="C212" i="46"/>
  <c r="O211" i="46"/>
  <c r="L211" i="46"/>
  <c r="I211" i="46"/>
  <c r="F211" i="46"/>
  <c r="C211" i="46" s="1"/>
  <c r="O210" i="46"/>
  <c r="L210" i="46"/>
  <c r="I210" i="46"/>
  <c r="F210" i="46"/>
  <c r="O209" i="46"/>
  <c r="L209" i="46"/>
  <c r="I209" i="46"/>
  <c r="F209" i="46"/>
  <c r="N208" i="46"/>
  <c r="M208" i="46"/>
  <c r="K208" i="46"/>
  <c r="J208" i="46"/>
  <c r="H208" i="46"/>
  <c r="G208" i="46"/>
  <c r="F208" i="46"/>
  <c r="E208" i="46"/>
  <c r="D208" i="46"/>
  <c r="K207" i="46"/>
  <c r="H207" i="46"/>
  <c r="O206" i="46"/>
  <c r="L206" i="46"/>
  <c r="I206" i="46"/>
  <c r="F206" i="46"/>
  <c r="C206" i="46" s="1"/>
  <c r="O205" i="46"/>
  <c r="L205" i="46"/>
  <c r="I205" i="46"/>
  <c r="F205" i="46"/>
  <c r="C205" i="46" s="1"/>
  <c r="O204" i="46"/>
  <c r="L204" i="46"/>
  <c r="I204" i="46"/>
  <c r="F204" i="46"/>
  <c r="C204" i="46"/>
  <c r="O203" i="46"/>
  <c r="L203" i="46"/>
  <c r="I203" i="46"/>
  <c r="F203" i="46"/>
  <c r="C203" i="46" s="1"/>
  <c r="O202" i="46"/>
  <c r="L202" i="46"/>
  <c r="I202" i="46"/>
  <c r="F202" i="46"/>
  <c r="N201" i="46"/>
  <c r="N199" i="46" s="1"/>
  <c r="M201" i="46"/>
  <c r="K201" i="46"/>
  <c r="J201" i="46"/>
  <c r="I201" i="46"/>
  <c r="H201" i="46"/>
  <c r="G201" i="46"/>
  <c r="F201" i="46"/>
  <c r="E201" i="46"/>
  <c r="E199" i="46" s="1"/>
  <c r="D201" i="46"/>
  <c r="O200" i="46"/>
  <c r="L200" i="46"/>
  <c r="I200" i="46"/>
  <c r="F200" i="46"/>
  <c r="C200" i="46"/>
  <c r="K199" i="46"/>
  <c r="H199" i="46"/>
  <c r="H198" i="46" s="1"/>
  <c r="G199" i="46"/>
  <c r="D199" i="46"/>
  <c r="F199" i="46" s="1"/>
  <c r="E198" i="46"/>
  <c r="O196" i="46"/>
  <c r="L196" i="46"/>
  <c r="I196" i="46"/>
  <c r="F196" i="46"/>
  <c r="C196" i="46"/>
  <c r="O195" i="46"/>
  <c r="N195" i="46"/>
  <c r="M195" i="46"/>
  <c r="L195" i="46"/>
  <c r="K195" i="46"/>
  <c r="K194" i="46" s="1"/>
  <c r="J195" i="46"/>
  <c r="H195" i="46"/>
  <c r="H194" i="46" s="1"/>
  <c r="G195" i="46"/>
  <c r="E195" i="46"/>
  <c r="D195" i="46"/>
  <c r="F195" i="46" s="1"/>
  <c r="N194" i="46"/>
  <c r="M194" i="46"/>
  <c r="O194" i="46" s="1"/>
  <c r="L194" i="46"/>
  <c r="J194" i="46"/>
  <c r="E194" i="46"/>
  <c r="D194" i="46"/>
  <c r="F194" i="46" s="1"/>
  <c r="O193" i="46"/>
  <c r="L193" i="46"/>
  <c r="I193" i="46"/>
  <c r="F193" i="46"/>
  <c r="O192" i="46"/>
  <c r="L192" i="46"/>
  <c r="I192" i="46"/>
  <c r="F192" i="46"/>
  <c r="C192" i="46"/>
  <c r="O191" i="46"/>
  <c r="N191" i="46"/>
  <c r="M191" i="46"/>
  <c r="L191" i="46"/>
  <c r="K191" i="46"/>
  <c r="K190" i="46" s="1"/>
  <c r="L190" i="46" s="1"/>
  <c r="J191" i="46"/>
  <c r="H191" i="46"/>
  <c r="H190" i="46" s="1"/>
  <c r="G191" i="46"/>
  <c r="E191" i="46"/>
  <c r="D191" i="46"/>
  <c r="F191" i="46" s="1"/>
  <c r="N190" i="46"/>
  <c r="M190" i="46"/>
  <c r="O190" i="46" s="1"/>
  <c r="J190" i="46"/>
  <c r="E190" i="46"/>
  <c r="O189" i="46"/>
  <c r="L189" i="46"/>
  <c r="I189" i="46"/>
  <c r="F189" i="46"/>
  <c r="O188" i="46"/>
  <c r="L188" i="46"/>
  <c r="I188" i="46"/>
  <c r="F188" i="46"/>
  <c r="C188" i="46"/>
  <c r="O187" i="46"/>
  <c r="N187" i="46"/>
  <c r="M187" i="46"/>
  <c r="L187" i="46"/>
  <c r="K187" i="46"/>
  <c r="J187" i="46"/>
  <c r="H187" i="46"/>
  <c r="G187" i="46"/>
  <c r="I187" i="46" s="1"/>
  <c r="C187" i="46" s="1"/>
  <c r="E187" i="46"/>
  <c r="D187" i="46"/>
  <c r="F187" i="46" s="1"/>
  <c r="O186" i="46"/>
  <c r="L186" i="46"/>
  <c r="I186" i="46"/>
  <c r="F186" i="46"/>
  <c r="C186" i="46" s="1"/>
  <c r="O185" i="46"/>
  <c r="L185" i="46"/>
  <c r="I185" i="46"/>
  <c r="F185" i="46"/>
  <c r="O184" i="46"/>
  <c r="L184" i="46"/>
  <c r="I184" i="46"/>
  <c r="F184" i="46"/>
  <c r="C184" i="46"/>
  <c r="O183" i="46"/>
  <c r="L183" i="46"/>
  <c r="I183" i="46"/>
  <c r="F183" i="46"/>
  <c r="C183" i="46" s="1"/>
  <c r="N182" i="46"/>
  <c r="M182" i="46"/>
  <c r="O182" i="46" s="1"/>
  <c r="L182" i="46"/>
  <c r="K182" i="46"/>
  <c r="J182" i="46"/>
  <c r="H182" i="46"/>
  <c r="I182" i="46" s="1"/>
  <c r="G182" i="46"/>
  <c r="E182" i="46"/>
  <c r="D182" i="46"/>
  <c r="F182" i="46" s="1"/>
  <c r="O181" i="46"/>
  <c r="L181" i="46"/>
  <c r="I181" i="46"/>
  <c r="F181" i="46"/>
  <c r="O180" i="46"/>
  <c r="L180" i="46"/>
  <c r="I180" i="46"/>
  <c r="F180" i="46"/>
  <c r="C180" i="46"/>
  <c r="O179" i="46"/>
  <c r="L179" i="46"/>
  <c r="I179" i="46"/>
  <c r="F179" i="46"/>
  <c r="C179" i="46" s="1"/>
  <c r="N178" i="46"/>
  <c r="M178" i="46"/>
  <c r="L178" i="46"/>
  <c r="K178" i="46"/>
  <c r="J178" i="46"/>
  <c r="I178" i="46"/>
  <c r="H178" i="46"/>
  <c r="G178" i="46"/>
  <c r="E178" i="46"/>
  <c r="D178" i="46"/>
  <c r="N177" i="46"/>
  <c r="N176" i="46" s="1"/>
  <c r="K177" i="46"/>
  <c r="J177" i="46"/>
  <c r="L177" i="46" s="1"/>
  <c r="G177" i="46"/>
  <c r="E177" i="46"/>
  <c r="E176" i="46" s="1"/>
  <c r="K176" i="46"/>
  <c r="G176" i="46"/>
  <c r="O175" i="46"/>
  <c r="L175" i="46"/>
  <c r="I175" i="46"/>
  <c r="F175" i="46"/>
  <c r="C175" i="46"/>
  <c r="O174" i="46"/>
  <c r="L174" i="46"/>
  <c r="I174" i="46"/>
  <c r="F174" i="46"/>
  <c r="C174" i="46" s="1"/>
  <c r="O173" i="46"/>
  <c r="L173" i="46"/>
  <c r="I173" i="46"/>
  <c r="F173" i="46"/>
  <c r="C173" i="46" s="1"/>
  <c r="O172" i="46"/>
  <c r="L172" i="46"/>
  <c r="I172" i="46"/>
  <c r="F172" i="46"/>
  <c r="C172" i="46"/>
  <c r="O171" i="46"/>
  <c r="L171" i="46"/>
  <c r="I171" i="46"/>
  <c r="F171" i="46"/>
  <c r="C171" i="46" s="1"/>
  <c r="O170" i="46"/>
  <c r="L170" i="46"/>
  <c r="I170" i="46"/>
  <c r="F170" i="46"/>
  <c r="N169" i="46"/>
  <c r="M169" i="46"/>
  <c r="K169" i="46"/>
  <c r="J169" i="46"/>
  <c r="L169" i="46" s="1"/>
  <c r="I169" i="46"/>
  <c r="H169" i="46"/>
  <c r="G169" i="46"/>
  <c r="F169" i="46"/>
  <c r="E169" i="46"/>
  <c r="E168" i="46" s="1"/>
  <c r="D169" i="46"/>
  <c r="N168" i="46"/>
  <c r="K168" i="46"/>
  <c r="J168" i="46"/>
  <c r="L168" i="46" s="1"/>
  <c r="H168" i="46"/>
  <c r="G168" i="46"/>
  <c r="I168" i="46" s="1"/>
  <c r="F168" i="46"/>
  <c r="D168" i="46"/>
  <c r="O167" i="46"/>
  <c r="L167" i="46"/>
  <c r="I167" i="46"/>
  <c r="F167" i="46"/>
  <c r="C167" i="46" s="1"/>
  <c r="O166" i="46"/>
  <c r="L166" i="46"/>
  <c r="I166" i="46"/>
  <c r="F166" i="46"/>
  <c r="O165" i="46"/>
  <c r="L165" i="46"/>
  <c r="I165" i="46"/>
  <c r="F165" i="46"/>
  <c r="O164" i="46"/>
  <c r="L164" i="46"/>
  <c r="C164" i="46" s="1"/>
  <c r="I164" i="46"/>
  <c r="F164" i="46"/>
  <c r="O163" i="46"/>
  <c r="N163" i="46"/>
  <c r="M163" i="46"/>
  <c r="K163" i="46"/>
  <c r="L163" i="46" s="1"/>
  <c r="J163" i="46"/>
  <c r="H163" i="46"/>
  <c r="G163" i="46"/>
  <c r="I163" i="46" s="1"/>
  <c r="E163" i="46"/>
  <c r="D163" i="46"/>
  <c r="F163" i="46" s="1"/>
  <c r="C163" i="46" s="1"/>
  <c r="O162" i="46"/>
  <c r="L162" i="46"/>
  <c r="I162" i="46"/>
  <c r="F162" i="46"/>
  <c r="O161" i="46"/>
  <c r="L161" i="46"/>
  <c r="I161" i="46"/>
  <c r="F161" i="46"/>
  <c r="O160" i="46"/>
  <c r="L160" i="46"/>
  <c r="C160" i="46" s="1"/>
  <c r="I160" i="46"/>
  <c r="F160" i="46"/>
  <c r="O159" i="46"/>
  <c r="L159" i="46"/>
  <c r="I159" i="46"/>
  <c r="F159" i="46"/>
  <c r="C159" i="46"/>
  <c r="O158" i="46"/>
  <c r="L158" i="46"/>
  <c r="I158" i="46"/>
  <c r="F158" i="46"/>
  <c r="C158" i="46" s="1"/>
  <c r="O157" i="46"/>
  <c r="L157" i="46"/>
  <c r="I157" i="46"/>
  <c r="C157" i="46" s="1"/>
  <c r="F157" i="46"/>
  <c r="O156" i="46"/>
  <c r="L156" i="46"/>
  <c r="I156" i="46"/>
  <c r="F156" i="46"/>
  <c r="C156" i="46"/>
  <c r="O155" i="46"/>
  <c r="L155" i="46"/>
  <c r="I155" i="46"/>
  <c r="F155" i="46"/>
  <c r="C155" i="46" s="1"/>
  <c r="N154" i="46"/>
  <c r="M154" i="46"/>
  <c r="O154" i="46" s="1"/>
  <c r="L154" i="46"/>
  <c r="K154" i="46"/>
  <c r="J154" i="46"/>
  <c r="I154" i="46"/>
  <c r="H154" i="46"/>
  <c r="G154" i="46"/>
  <c r="E154" i="46"/>
  <c r="D154" i="46"/>
  <c r="F154" i="46" s="1"/>
  <c r="C154" i="46" s="1"/>
  <c r="O153" i="46"/>
  <c r="L153" i="46"/>
  <c r="I153" i="46"/>
  <c r="F153" i="46"/>
  <c r="C153" i="46" s="1"/>
  <c r="O152" i="46"/>
  <c r="L152" i="46"/>
  <c r="I152" i="46"/>
  <c r="F152" i="46"/>
  <c r="C152" i="46"/>
  <c r="O151" i="46"/>
  <c r="L151" i="46"/>
  <c r="I151" i="46"/>
  <c r="F151" i="46"/>
  <c r="C151" i="46" s="1"/>
  <c r="O150" i="46"/>
  <c r="L150" i="46"/>
  <c r="I150" i="46"/>
  <c r="F150" i="46"/>
  <c r="O149" i="46"/>
  <c r="L149" i="46"/>
  <c r="I149" i="46"/>
  <c r="F149" i="46"/>
  <c r="O148" i="46"/>
  <c r="L148" i="46"/>
  <c r="C148" i="46" s="1"/>
  <c r="I148" i="46"/>
  <c r="F148" i="46"/>
  <c r="O147" i="46"/>
  <c r="N147" i="46"/>
  <c r="M147" i="46"/>
  <c r="K147" i="46"/>
  <c r="L147" i="46" s="1"/>
  <c r="J147" i="46"/>
  <c r="H147" i="46"/>
  <c r="G147" i="46"/>
  <c r="I147" i="46" s="1"/>
  <c r="E147" i="46"/>
  <c r="D147" i="46"/>
  <c r="F147" i="46" s="1"/>
  <c r="C147" i="46" s="1"/>
  <c r="O146" i="46"/>
  <c r="L146" i="46"/>
  <c r="I146" i="46"/>
  <c r="F146" i="46"/>
  <c r="O145" i="46"/>
  <c r="L145" i="46"/>
  <c r="I145" i="46"/>
  <c r="F145" i="46"/>
  <c r="N144" i="46"/>
  <c r="M144" i="46"/>
  <c r="K144" i="46"/>
  <c r="J144" i="46"/>
  <c r="L144" i="46" s="1"/>
  <c r="H144" i="46"/>
  <c r="G144" i="46"/>
  <c r="I144" i="46" s="1"/>
  <c r="F144" i="46"/>
  <c r="E144" i="46"/>
  <c r="D144" i="46"/>
  <c r="O143" i="46"/>
  <c r="L143" i="46"/>
  <c r="I143" i="46"/>
  <c r="F143" i="46"/>
  <c r="C143" i="46" s="1"/>
  <c r="O142" i="46"/>
  <c r="L142" i="46"/>
  <c r="I142" i="46"/>
  <c r="F142" i="46"/>
  <c r="O141" i="46"/>
  <c r="L141" i="46"/>
  <c r="I141" i="46"/>
  <c r="F141" i="46"/>
  <c r="O140" i="46"/>
  <c r="L140" i="46"/>
  <c r="C140" i="46" s="1"/>
  <c r="I140" i="46"/>
  <c r="F140" i="46"/>
  <c r="O139" i="46"/>
  <c r="N139" i="46"/>
  <c r="M139" i="46"/>
  <c r="K139" i="46"/>
  <c r="J139" i="46"/>
  <c r="H139" i="46"/>
  <c r="G139" i="46"/>
  <c r="E139" i="46"/>
  <c r="D139" i="46"/>
  <c r="F139" i="46" s="1"/>
  <c r="O138" i="46"/>
  <c r="L138" i="46"/>
  <c r="I138" i="46"/>
  <c r="F138" i="46"/>
  <c r="O137" i="46"/>
  <c r="L137" i="46"/>
  <c r="I137" i="46"/>
  <c r="F137" i="46"/>
  <c r="O136" i="46"/>
  <c r="L136" i="46"/>
  <c r="C136" i="46" s="1"/>
  <c r="I136" i="46"/>
  <c r="F136" i="46"/>
  <c r="O135" i="46"/>
  <c r="L135" i="46"/>
  <c r="I135" i="46"/>
  <c r="F135" i="46"/>
  <c r="C135" i="46"/>
  <c r="N134" i="46"/>
  <c r="M134" i="46"/>
  <c r="O134" i="46" s="1"/>
  <c r="L134" i="46"/>
  <c r="K134" i="46"/>
  <c r="J134" i="46"/>
  <c r="H134" i="46"/>
  <c r="G134" i="46"/>
  <c r="E134" i="46"/>
  <c r="D134" i="46"/>
  <c r="M133" i="46"/>
  <c r="J133" i="46"/>
  <c r="E133" i="46"/>
  <c r="O132" i="46"/>
  <c r="L132" i="46"/>
  <c r="I132" i="46"/>
  <c r="F132" i="46"/>
  <c r="C132" i="46"/>
  <c r="O131" i="46"/>
  <c r="N131" i="46"/>
  <c r="M131" i="46"/>
  <c r="L131" i="46"/>
  <c r="K131" i="46"/>
  <c r="J131" i="46"/>
  <c r="H131" i="46"/>
  <c r="G131" i="46"/>
  <c r="E131" i="46"/>
  <c r="D131" i="46"/>
  <c r="F131" i="46" s="1"/>
  <c r="O130" i="46"/>
  <c r="L130" i="46"/>
  <c r="I130" i="46"/>
  <c r="F130" i="46"/>
  <c r="C130" i="46" s="1"/>
  <c r="O129" i="46"/>
  <c r="L129" i="46"/>
  <c r="I129" i="46"/>
  <c r="F129" i="46"/>
  <c r="C129" i="46" s="1"/>
  <c r="O128" i="46"/>
  <c r="L128" i="46"/>
  <c r="I128" i="46"/>
  <c r="F128" i="46"/>
  <c r="C128" i="46"/>
  <c r="O127" i="46"/>
  <c r="L127" i="46"/>
  <c r="I127" i="46"/>
  <c r="F127" i="46"/>
  <c r="C127" i="46" s="1"/>
  <c r="O126" i="46"/>
  <c r="L126" i="46"/>
  <c r="I126" i="46"/>
  <c r="F126" i="46"/>
  <c r="N125" i="46"/>
  <c r="M125" i="46"/>
  <c r="O125" i="46" s="1"/>
  <c r="K125" i="46"/>
  <c r="J125" i="46"/>
  <c r="L125" i="46" s="1"/>
  <c r="I125" i="46"/>
  <c r="H125" i="46"/>
  <c r="G125" i="46"/>
  <c r="E125" i="46"/>
  <c r="F125" i="46" s="1"/>
  <c r="C125" i="46" s="1"/>
  <c r="D125" i="46"/>
  <c r="O124" i="46"/>
  <c r="L124" i="46"/>
  <c r="I124" i="46"/>
  <c r="F124" i="46"/>
  <c r="C124" i="46"/>
  <c r="O123" i="46"/>
  <c r="L123" i="46"/>
  <c r="I123" i="46"/>
  <c r="F123" i="46"/>
  <c r="C123" i="46" s="1"/>
  <c r="O122" i="46"/>
  <c r="L122" i="46"/>
  <c r="I122" i="46"/>
  <c r="F122" i="46"/>
  <c r="O121" i="46"/>
  <c r="L121" i="46"/>
  <c r="I121" i="46"/>
  <c r="F121" i="46"/>
  <c r="O120" i="46"/>
  <c r="L120" i="46"/>
  <c r="C120" i="46" s="1"/>
  <c r="I120" i="46"/>
  <c r="F120" i="46"/>
  <c r="O119" i="46"/>
  <c r="N119" i="46"/>
  <c r="M119" i="46"/>
  <c r="K119" i="46"/>
  <c r="L119" i="46" s="1"/>
  <c r="J119" i="46"/>
  <c r="H119" i="46"/>
  <c r="G119" i="46"/>
  <c r="I119" i="46" s="1"/>
  <c r="E119" i="46"/>
  <c r="D119" i="46"/>
  <c r="F119" i="46" s="1"/>
  <c r="C119" i="46" s="1"/>
  <c r="O118" i="46"/>
  <c r="L118" i="46"/>
  <c r="I118" i="46"/>
  <c r="F118" i="46"/>
  <c r="O117" i="46"/>
  <c r="L117" i="46"/>
  <c r="I117" i="46"/>
  <c r="F117" i="46"/>
  <c r="O116" i="46"/>
  <c r="L116" i="46"/>
  <c r="C116" i="46" s="1"/>
  <c r="I116" i="46"/>
  <c r="F116" i="46"/>
  <c r="O115" i="46"/>
  <c r="N115" i="46"/>
  <c r="M115" i="46"/>
  <c r="K115" i="46"/>
  <c r="L115" i="46" s="1"/>
  <c r="J115" i="46"/>
  <c r="H115" i="46"/>
  <c r="G115" i="46"/>
  <c r="I115" i="46" s="1"/>
  <c r="E115" i="46"/>
  <c r="D115" i="46"/>
  <c r="F115" i="46" s="1"/>
  <c r="O114" i="46"/>
  <c r="L114" i="46"/>
  <c r="I114" i="46"/>
  <c r="F114" i="46"/>
  <c r="O113" i="46"/>
  <c r="L113" i="46"/>
  <c r="I113" i="46"/>
  <c r="F113" i="46"/>
  <c r="O112" i="46"/>
  <c r="L112" i="46"/>
  <c r="C112" i="46" s="1"/>
  <c r="I112" i="46"/>
  <c r="F112" i="46"/>
  <c r="O111" i="46"/>
  <c r="L111" i="46"/>
  <c r="I111" i="46"/>
  <c r="F111" i="46"/>
  <c r="C111" i="46"/>
  <c r="O110" i="46"/>
  <c r="L110" i="46"/>
  <c r="I110" i="46"/>
  <c r="F110" i="46"/>
  <c r="C110" i="46" s="1"/>
  <c r="O109" i="46"/>
  <c r="L109" i="46"/>
  <c r="I109" i="46"/>
  <c r="F109" i="46"/>
  <c r="C109" i="46" s="1"/>
  <c r="O108" i="46"/>
  <c r="L108" i="46"/>
  <c r="I108" i="46"/>
  <c r="F108" i="46"/>
  <c r="C108" i="46"/>
  <c r="O107" i="46"/>
  <c r="L107" i="46"/>
  <c r="I107" i="46"/>
  <c r="F107" i="46"/>
  <c r="C107" i="46" s="1"/>
  <c r="N106" i="46"/>
  <c r="M106" i="46"/>
  <c r="O106" i="46" s="1"/>
  <c r="L106" i="46"/>
  <c r="K106" i="46"/>
  <c r="J106" i="46"/>
  <c r="H106" i="46"/>
  <c r="I106" i="46" s="1"/>
  <c r="C106" i="46" s="1"/>
  <c r="G106" i="46"/>
  <c r="E106" i="46"/>
  <c r="D106" i="46"/>
  <c r="F106" i="46" s="1"/>
  <c r="O105" i="46"/>
  <c r="L105" i="46"/>
  <c r="I105" i="46"/>
  <c r="F105" i="46"/>
  <c r="C105" i="46" s="1"/>
  <c r="O104" i="46"/>
  <c r="L104" i="46"/>
  <c r="I104" i="46"/>
  <c r="F104" i="46"/>
  <c r="O103" i="46"/>
  <c r="L103" i="46"/>
  <c r="C103" i="46" s="1"/>
  <c r="I103" i="46"/>
  <c r="F103" i="46"/>
  <c r="O102" i="46"/>
  <c r="L102" i="46"/>
  <c r="I102" i="46"/>
  <c r="F102" i="46"/>
  <c r="C102" i="46"/>
  <c r="O101" i="46"/>
  <c r="L101" i="46"/>
  <c r="I101" i="46"/>
  <c r="F101" i="46"/>
  <c r="C101" i="46" s="1"/>
  <c r="O100" i="46"/>
  <c r="L100" i="46"/>
  <c r="I100" i="46"/>
  <c r="F100" i="46"/>
  <c r="O99" i="46"/>
  <c r="L99" i="46"/>
  <c r="C99" i="46" s="1"/>
  <c r="I99" i="46"/>
  <c r="F99" i="46"/>
  <c r="O98" i="46"/>
  <c r="N98" i="46"/>
  <c r="M98" i="46"/>
  <c r="K98" i="46"/>
  <c r="K86" i="46" s="1"/>
  <c r="J98" i="46"/>
  <c r="H98" i="46"/>
  <c r="G98" i="46"/>
  <c r="E98" i="46"/>
  <c r="D98" i="46"/>
  <c r="F98" i="46" s="1"/>
  <c r="O97" i="46"/>
  <c r="L97" i="46"/>
  <c r="I97" i="46"/>
  <c r="F97" i="46"/>
  <c r="C97" i="46" s="1"/>
  <c r="O96" i="46"/>
  <c r="L96" i="46"/>
  <c r="I96" i="46"/>
  <c r="F96" i="46"/>
  <c r="C96" i="46" s="1"/>
  <c r="O95" i="46"/>
  <c r="L95" i="46"/>
  <c r="C95" i="46" s="1"/>
  <c r="I95" i="46"/>
  <c r="F95" i="46"/>
  <c r="O94" i="46"/>
  <c r="L94" i="46"/>
  <c r="I94" i="46"/>
  <c r="F94" i="46"/>
  <c r="C94" i="46"/>
  <c r="O93" i="46"/>
  <c r="L93" i="46"/>
  <c r="I93" i="46"/>
  <c r="F93" i="46"/>
  <c r="C93" i="46" s="1"/>
  <c r="N92" i="46"/>
  <c r="M92" i="46"/>
  <c r="O92" i="46" s="1"/>
  <c r="K92" i="46"/>
  <c r="J92" i="46"/>
  <c r="L92" i="46" s="1"/>
  <c r="I92" i="46"/>
  <c r="H92" i="46"/>
  <c r="G92" i="46"/>
  <c r="F92" i="46"/>
  <c r="C92" i="46" s="1"/>
  <c r="E92" i="46"/>
  <c r="D92" i="46"/>
  <c r="O91" i="46"/>
  <c r="L91" i="46"/>
  <c r="C91" i="46" s="1"/>
  <c r="I91" i="46"/>
  <c r="F91" i="46"/>
  <c r="O90" i="46"/>
  <c r="L90" i="46"/>
  <c r="I90" i="46"/>
  <c r="D90" i="46"/>
  <c r="F90" i="46" s="1"/>
  <c r="C90" i="46" s="1"/>
  <c r="O89" i="46"/>
  <c r="L89" i="46"/>
  <c r="I89" i="46"/>
  <c r="D89" i="46"/>
  <c r="F89" i="46" s="1"/>
  <c r="C89" i="46" s="1"/>
  <c r="O88" i="46"/>
  <c r="L88" i="46"/>
  <c r="I88" i="46"/>
  <c r="F88" i="46"/>
  <c r="C88" i="46"/>
  <c r="N87" i="46"/>
  <c r="M87" i="46"/>
  <c r="O87" i="46" s="1"/>
  <c r="L87" i="46"/>
  <c r="K87" i="46"/>
  <c r="J87" i="46"/>
  <c r="I87" i="46"/>
  <c r="H87" i="46"/>
  <c r="G87" i="46"/>
  <c r="E87" i="46"/>
  <c r="D87" i="46"/>
  <c r="N86" i="46"/>
  <c r="E86" i="46"/>
  <c r="O85" i="46"/>
  <c r="L85" i="46"/>
  <c r="C85" i="46" s="1"/>
  <c r="I85" i="46"/>
  <c r="F85" i="46"/>
  <c r="O84" i="46"/>
  <c r="L84" i="46"/>
  <c r="I84" i="46"/>
  <c r="F84" i="46"/>
  <c r="C84" i="46"/>
  <c r="N83" i="46"/>
  <c r="M83" i="46"/>
  <c r="O83" i="46" s="1"/>
  <c r="L83" i="46"/>
  <c r="K83" i="46"/>
  <c r="J83" i="46"/>
  <c r="I83" i="46"/>
  <c r="H83" i="46"/>
  <c r="G83" i="46"/>
  <c r="E83" i="46"/>
  <c r="D83" i="46"/>
  <c r="F83" i="46" s="1"/>
  <c r="C83" i="46" s="1"/>
  <c r="O82" i="46"/>
  <c r="L82" i="46"/>
  <c r="I82" i="46"/>
  <c r="F82" i="46"/>
  <c r="O81" i="46"/>
  <c r="L81" i="46"/>
  <c r="C81" i="46" s="1"/>
  <c r="I81" i="46"/>
  <c r="F81" i="46"/>
  <c r="O80" i="46"/>
  <c r="N80" i="46"/>
  <c r="M80" i="46"/>
  <c r="K80" i="46"/>
  <c r="J80" i="46"/>
  <c r="H80" i="46"/>
  <c r="G80" i="46"/>
  <c r="E80" i="46"/>
  <c r="D80" i="46"/>
  <c r="F80" i="46" s="1"/>
  <c r="N79" i="46"/>
  <c r="M79" i="46"/>
  <c r="O79" i="46" s="1"/>
  <c r="J79" i="46"/>
  <c r="H79" i="46"/>
  <c r="E79" i="46"/>
  <c r="D79" i="46"/>
  <c r="E78" i="46"/>
  <c r="O77" i="46"/>
  <c r="L77" i="46"/>
  <c r="C77" i="46" s="1"/>
  <c r="I77" i="46"/>
  <c r="F77" i="46"/>
  <c r="O76" i="46"/>
  <c r="L76" i="46"/>
  <c r="I76" i="46"/>
  <c r="D76" i="46"/>
  <c r="O75" i="46"/>
  <c r="L75" i="46"/>
  <c r="I75" i="46"/>
  <c r="F75" i="46"/>
  <c r="O74" i="46"/>
  <c r="L74" i="46"/>
  <c r="C74" i="46" s="1"/>
  <c r="I74" i="46"/>
  <c r="F74" i="46"/>
  <c r="O73" i="46"/>
  <c r="L73" i="46"/>
  <c r="G73" i="46"/>
  <c r="F73" i="46"/>
  <c r="N72" i="46"/>
  <c r="N70" i="46" s="1"/>
  <c r="M72" i="46"/>
  <c r="K72" i="46"/>
  <c r="J72" i="46"/>
  <c r="H72" i="46"/>
  <c r="E72" i="46"/>
  <c r="E70" i="46" s="1"/>
  <c r="E56" i="46" s="1"/>
  <c r="E55" i="46" s="1"/>
  <c r="O71" i="46"/>
  <c r="L71" i="46"/>
  <c r="I71" i="46"/>
  <c r="G71" i="46"/>
  <c r="F71" i="46"/>
  <c r="C71" i="46" s="1"/>
  <c r="M70" i="46"/>
  <c r="K70" i="46"/>
  <c r="H70" i="46"/>
  <c r="O69" i="46"/>
  <c r="L69" i="46"/>
  <c r="I69" i="46"/>
  <c r="F69" i="46"/>
  <c r="O68" i="46"/>
  <c r="L68" i="46"/>
  <c r="I68" i="46"/>
  <c r="G68" i="46"/>
  <c r="F68" i="46"/>
  <c r="C68" i="46"/>
  <c r="O67" i="46"/>
  <c r="L67" i="46"/>
  <c r="I67" i="46"/>
  <c r="F67" i="46"/>
  <c r="C67" i="46" s="1"/>
  <c r="O66" i="46"/>
  <c r="L66" i="46"/>
  <c r="I66" i="46"/>
  <c r="F66" i="46"/>
  <c r="O65" i="46"/>
  <c r="L65" i="46"/>
  <c r="C65" i="46" s="1"/>
  <c r="I65" i="46"/>
  <c r="F65" i="46"/>
  <c r="O64" i="46"/>
  <c r="L64" i="46"/>
  <c r="I64" i="46"/>
  <c r="F64" i="46"/>
  <c r="C64" i="46"/>
  <c r="O63" i="46"/>
  <c r="L63" i="46"/>
  <c r="I63" i="46"/>
  <c r="F63" i="46"/>
  <c r="C63" i="46" s="1"/>
  <c r="O62" i="46"/>
  <c r="L62" i="46"/>
  <c r="I62" i="46"/>
  <c r="F62" i="46"/>
  <c r="C62" i="46" s="1"/>
  <c r="N61" i="46"/>
  <c r="O61" i="46" s="1"/>
  <c r="M61" i="46"/>
  <c r="K61" i="46"/>
  <c r="J61" i="46"/>
  <c r="H61" i="46"/>
  <c r="G61" i="46"/>
  <c r="I61" i="46" s="1"/>
  <c r="F61" i="46"/>
  <c r="E61" i="46"/>
  <c r="D61" i="46"/>
  <c r="O60" i="46"/>
  <c r="L60" i="46"/>
  <c r="G60" i="46"/>
  <c r="I60" i="46" s="1"/>
  <c r="F60" i="46"/>
  <c r="O59" i="46"/>
  <c r="L59" i="46"/>
  <c r="I59" i="46"/>
  <c r="C59" i="46" s="1"/>
  <c r="F59" i="46"/>
  <c r="O58" i="46"/>
  <c r="N58" i="46"/>
  <c r="M58" i="46"/>
  <c r="K58" i="46"/>
  <c r="K57" i="46" s="1"/>
  <c r="K56" i="46" s="1"/>
  <c r="J58" i="46"/>
  <c r="H58" i="46"/>
  <c r="G58" i="46"/>
  <c r="I58" i="46" s="1"/>
  <c r="F58" i="46"/>
  <c r="E58" i="46"/>
  <c r="D58" i="46"/>
  <c r="M57" i="46"/>
  <c r="H57" i="46"/>
  <c r="H56" i="46" s="1"/>
  <c r="E57" i="46"/>
  <c r="D57" i="46"/>
  <c r="M56" i="46"/>
  <c r="O50" i="46"/>
  <c r="C50" i="46"/>
  <c r="O49" i="46"/>
  <c r="C49" i="46" s="1"/>
  <c r="N48" i="46"/>
  <c r="M48" i="46"/>
  <c r="L47" i="46"/>
  <c r="I47" i="46"/>
  <c r="F47" i="46"/>
  <c r="C47" i="46" s="1"/>
  <c r="K46" i="46"/>
  <c r="J46" i="46"/>
  <c r="L46" i="46" s="1"/>
  <c r="I46" i="46"/>
  <c r="H46" i="46"/>
  <c r="G46" i="46"/>
  <c r="E46" i="46"/>
  <c r="E24" i="46" s="1"/>
  <c r="D46" i="46"/>
  <c r="F45" i="46"/>
  <c r="C45" i="46"/>
  <c r="L44" i="46"/>
  <c r="C44" i="46" s="1"/>
  <c r="L43" i="46"/>
  <c r="C43" i="46" s="1"/>
  <c r="L42" i="46"/>
  <c r="C42" i="46" s="1"/>
  <c r="L41" i="46"/>
  <c r="C41" i="46"/>
  <c r="K40" i="46"/>
  <c r="J40" i="46"/>
  <c r="L40" i="46" s="1"/>
  <c r="C40" i="46"/>
  <c r="L39" i="46"/>
  <c r="C39" i="46" s="1"/>
  <c r="L38" i="46"/>
  <c r="C38" i="46"/>
  <c r="K37" i="46"/>
  <c r="J37" i="46"/>
  <c r="L37" i="46" s="1"/>
  <c r="C37" i="46" s="1"/>
  <c r="L36" i="46"/>
  <c r="C36" i="46" s="1"/>
  <c r="K35" i="46"/>
  <c r="K30" i="46" s="1"/>
  <c r="J35" i="46"/>
  <c r="L34" i="46"/>
  <c r="C34" i="46" s="1"/>
  <c r="L33" i="46"/>
  <c r="C33" i="46" s="1"/>
  <c r="L32" i="46"/>
  <c r="C32" i="46"/>
  <c r="K31" i="46"/>
  <c r="J31" i="46"/>
  <c r="L31" i="46" s="1"/>
  <c r="C31" i="46" s="1"/>
  <c r="J30" i="46"/>
  <c r="F29" i="46"/>
  <c r="C29" i="46"/>
  <c r="I28" i="46"/>
  <c r="F28" i="46"/>
  <c r="O27" i="46"/>
  <c r="L27" i="46"/>
  <c r="I27" i="46"/>
  <c r="F27" i="46"/>
  <c r="O26" i="46"/>
  <c r="L26" i="46"/>
  <c r="I26" i="46"/>
  <c r="F26" i="46"/>
  <c r="C26" i="46"/>
  <c r="O25" i="46"/>
  <c r="N25" i="46"/>
  <c r="M25" i="46"/>
  <c r="L25" i="46"/>
  <c r="K25" i="46"/>
  <c r="J25" i="46"/>
  <c r="J290" i="46" s="1"/>
  <c r="H25" i="46"/>
  <c r="H290" i="46" s="1"/>
  <c r="H289" i="46" s="1"/>
  <c r="G25" i="46"/>
  <c r="E25" i="46"/>
  <c r="D25" i="46"/>
  <c r="D24" i="46" s="1"/>
  <c r="F24" i="46" s="1"/>
  <c r="N24" i="46"/>
  <c r="H24" i="46"/>
  <c r="O299" i="45"/>
  <c r="L299" i="45"/>
  <c r="I299" i="45"/>
  <c r="F299" i="45"/>
  <c r="O298" i="45"/>
  <c r="L298" i="45"/>
  <c r="C298" i="45" s="1"/>
  <c r="I298" i="45"/>
  <c r="F298" i="45"/>
  <c r="O297" i="45"/>
  <c r="L297" i="45"/>
  <c r="I297" i="45"/>
  <c r="F297" i="45"/>
  <c r="C297" i="45"/>
  <c r="O296" i="45"/>
  <c r="L296" i="45"/>
  <c r="I296" i="45"/>
  <c r="F296" i="45"/>
  <c r="C296" i="45" s="1"/>
  <c r="O295" i="45"/>
  <c r="L295" i="45"/>
  <c r="I295" i="45"/>
  <c r="F295" i="45"/>
  <c r="C295" i="45" s="1"/>
  <c r="O294" i="45"/>
  <c r="L294" i="45"/>
  <c r="C294" i="45" s="1"/>
  <c r="I294" i="45"/>
  <c r="F294" i="45"/>
  <c r="O293" i="45"/>
  <c r="L293" i="45"/>
  <c r="I293" i="45"/>
  <c r="F293" i="45"/>
  <c r="C293" i="45"/>
  <c r="O292" i="45"/>
  <c r="L292" i="45"/>
  <c r="I292" i="45"/>
  <c r="F292" i="45"/>
  <c r="C292" i="45" s="1"/>
  <c r="N291" i="45"/>
  <c r="M291" i="45"/>
  <c r="O291" i="45" s="1"/>
  <c r="K291" i="45"/>
  <c r="J291" i="45"/>
  <c r="L291" i="45" s="1"/>
  <c r="I291" i="45"/>
  <c r="H291" i="45"/>
  <c r="G291" i="45"/>
  <c r="F291" i="45"/>
  <c r="E291" i="45"/>
  <c r="D291" i="45"/>
  <c r="K290" i="45"/>
  <c r="K289" i="45" s="1"/>
  <c r="G290" i="45"/>
  <c r="G289" i="45"/>
  <c r="O286" i="45"/>
  <c r="L286" i="45"/>
  <c r="I286" i="45"/>
  <c r="F286" i="45"/>
  <c r="C286" i="45"/>
  <c r="O285" i="45"/>
  <c r="L285" i="45"/>
  <c r="I285" i="45"/>
  <c r="F285" i="45"/>
  <c r="C285" i="45" s="1"/>
  <c r="N284" i="45"/>
  <c r="M284" i="45"/>
  <c r="O284" i="45" s="1"/>
  <c r="L284" i="45"/>
  <c r="K284" i="45"/>
  <c r="J284" i="45"/>
  <c r="H284" i="45"/>
  <c r="G284" i="45"/>
  <c r="E284" i="45"/>
  <c r="D284" i="45"/>
  <c r="O283" i="45"/>
  <c r="L283" i="45"/>
  <c r="I283" i="45"/>
  <c r="F283" i="45"/>
  <c r="O282" i="45"/>
  <c r="N282" i="45"/>
  <c r="M282" i="45"/>
  <c r="K282" i="45"/>
  <c r="J282" i="45"/>
  <c r="L282" i="45" s="1"/>
  <c r="H282" i="45"/>
  <c r="G282" i="45"/>
  <c r="I282" i="45" s="1"/>
  <c r="F282" i="45"/>
  <c r="E282" i="45"/>
  <c r="D282" i="45"/>
  <c r="O281" i="45"/>
  <c r="L281" i="45"/>
  <c r="I281" i="45"/>
  <c r="F281" i="45"/>
  <c r="C281" i="45"/>
  <c r="O280" i="45"/>
  <c r="L280" i="45"/>
  <c r="I280" i="45"/>
  <c r="F280" i="45"/>
  <c r="C280" i="45" s="1"/>
  <c r="O279" i="45"/>
  <c r="L279" i="45"/>
  <c r="I279" i="45"/>
  <c r="F279" i="45"/>
  <c r="O278" i="45"/>
  <c r="N278" i="45"/>
  <c r="M278" i="45"/>
  <c r="K278" i="45"/>
  <c r="J278" i="45"/>
  <c r="L278" i="45" s="1"/>
  <c r="H278" i="45"/>
  <c r="G278" i="45"/>
  <c r="I278" i="45" s="1"/>
  <c r="F278" i="45"/>
  <c r="E278" i="45"/>
  <c r="D278" i="45"/>
  <c r="O277" i="45"/>
  <c r="L277" i="45"/>
  <c r="I277" i="45"/>
  <c r="F277" i="45"/>
  <c r="C277" i="45"/>
  <c r="O276" i="45"/>
  <c r="L276" i="45"/>
  <c r="I276" i="45"/>
  <c r="F276" i="45"/>
  <c r="C276" i="45" s="1"/>
  <c r="O275" i="45"/>
  <c r="L275" i="45"/>
  <c r="I275" i="45"/>
  <c r="F275" i="45"/>
  <c r="C275" i="45" s="1"/>
  <c r="N274" i="45"/>
  <c r="O274" i="45" s="1"/>
  <c r="M274" i="45"/>
  <c r="K274" i="45"/>
  <c r="K272" i="45" s="1"/>
  <c r="K271" i="45" s="1"/>
  <c r="J274" i="45"/>
  <c r="H274" i="45"/>
  <c r="G274" i="45"/>
  <c r="F274" i="45"/>
  <c r="E274" i="45"/>
  <c r="D274" i="45"/>
  <c r="O273" i="45"/>
  <c r="L273" i="45"/>
  <c r="I273" i="45"/>
  <c r="F273" i="45"/>
  <c r="C273" i="45"/>
  <c r="M272" i="45"/>
  <c r="M271" i="45" s="1"/>
  <c r="H272" i="45"/>
  <c r="H271" i="45" s="1"/>
  <c r="E272" i="45"/>
  <c r="E271" i="45" s="1"/>
  <c r="D272" i="45"/>
  <c r="O270" i="45"/>
  <c r="L270" i="45"/>
  <c r="C270" i="45" s="1"/>
  <c r="I270" i="45"/>
  <c r="F270" i="45"/>
  <c r="O269" i="45"/>
  <c r="L269" i="45"/>
  <c r="I269" i="45"/>
  <c r="F269" i="45"/>
  <c r="C269" i="45"/>
  <c r="O268" i="45"/>
  <c r="L268" i="45"/>
  <c r="I268" i="45"/>
  <c r="F268" i="45"/>
  <c r="C268" i="45" s="1"/>
  <c r="O267" i="45"/>
  <c r="L267" i="45"/>
  <c r="I267" i="45"/>
  <c r="F267" i="45"/>
  <c r="N266" i="45"/>
  <c r="O266" i="45" s="1"/>
  <c r="M266" i="45"/>
  <c r="K266" i="45"/>
  <c r="J266" i="45"/>
  <c r="H266" i="45"/>
  <c r="G266" i="45"/>
  <c r="I266" i="45" s="1"/>
  <c r="F266" i="45"/>
  <c r="E266" i="45"/>
  <c r="D266" i="45"/>
  <c r="O265" i="45"/>
  <c r="L265" i="45"/>
  <c r="I265" i="45"/>
  <c r="F265" i="45"/>
  <c r="C265" i="45" s="1"/>
  <c r="O264" i="45"/>
  <c r="L264" i="45"/>
  <c r="I264" i="45"/>
  <c r="F264" i="45"/>
  <c r="O263" i="45"/>
  <c r="L263" i="45"/>
  <c r="I263" i="45"/>
  <c r="F263" i="45"/>
  <c r="N262" i="45"/>
  <c r="M262" i="45"/>
  <c r="K262" i="45"/>
  <c r="J262" i="45"/>
  <c r="H262" i="45"/>
  <c r="G262" i="45"/>
  <c r="F262" i="45"/>
  <c r="E262" i="45"/>
  <c r="D262" i="45"/>
  <c r="M261" i="45"/>
  <c r="K261" i="45"/>
  <c r="H261" i="45"/>
  <c r="E261" i="45"/>
  <c r="D261" i="45"/>
  <c r="F261" i="45" s="1"/>
  <c r="O260" i="45"/>
  <c r="L260" i="45"/>
  <c r="I260" i="45"/>
  <c r="F260" i="45"/>
  <c r="C260" i="45" s="1"/>
  <c r="O259" i="45"/>
  <c r="L259" i="45"/>
  <c r="I259" i="45"/>
  <c r="C259" i="45" s="1"/>
  <c r="F259" i="45"/>
  <c r="O258" i="45"/>
  <c r="L258" i="45"/>
  <c r="C258" i="45" s="1"/>
  <c r="I258" i="45"/>
  <c r="F258" i="45"/>
  <c r="O257" i="45"/>
  <c r="L257" i="45"/>
  <c r="I257" i="45"/>
  <c r="F257" i="45"/>
  <c r="C257" i="45"/>
  <c r="O256" i="45"/>
  <c r="L256" i="45"/>
  <c r="I256" i="45"/>
  <c r="F256" i="45"/>
  <c r="C256" i="45" s="1"/>
  <c r="N255" i="45"/>
  <c r="M255" i="45"/>
  <c r="K255" i="45"/>
  <c r="J255" i="45"/>
  <c r="L255" i="45" s="1"/>
  <c r="I255" i="45"/>
  <c r="H255" i="45"/>
  <c r="G255" i="45"/>
  <c r="F255" i="45"/>
  <c r="E255" i="45"/>
  <c r="E254" i="45" s="1"/>
  <c r="D255" i="45"/>
  <c r="N254" i="45"/>
  <c r="K254" i="45"/>
  <c r="H254" i="45"/>
  <c r="G254" i="45"/>
  <c r="I254" i="45" s="1"/>
  <c r="F254" i="45"/>
  <c r="D254" i="45"/>
  <c r="O253" i="45"/>
  <c r="L253" i="45"/>
  <c r="I253" i="45"/>
  <c r="F253" i="45"/>
  <c r="C253" i="45"/>
  <c r="O252" i="45"/>
  <c r="L252" i="45"/>
  <c r="I252" i="45"/>
  <c r="F252" i="45"/>
  <c r="C252" i="45" s="1"/>
  <c r="O251" i="45"/>
  <c r="L251" i="45"/>
  <c r="I251" i="45"/>
  <c r="F251" i="45"/>
  <c r="O250" i="45"/>
  <c r="L250" i="45"/>
  <c r="I250" i="45"/>
  <c r="F250" i="45"/>
  <c r="C250" i="45"/>
  <c r="O249" i="45"/>
  <c r="N249" i="45"/>
  <c r="M249" i="45"/>
  <c r="L249" i="45"/>
  <c r="K249" i="45"/>
  <c r="J249" i="45"/>
  <c r="H249" i="45"/>
  <c r="G249" i="45"/>
  <c r="I249" i="45" s="1"/>
  <c r="C249" i="45" s="1"/>
  <c r="E249" i="45"/>
  <c r="D249" i="45"/>
  <c r="F249" i="45" s="1"/>
  <c r="O248" i="45"/>
  <c r="L248" i="45"/>
  <c r="I248" i="45"/>
  <c r="F248" i="45"/>
  <c r="C248" i="45" s="1"/>
  <c r="O247" i="45"/>
  <c r="L247" i="45"/>
  <c r="I247" i="45"/>
  <c r="F247" i="45"/>
  <c r="O246" i="45"/>
  <c r="L246" i="45"/>
  <c r="I246" i="45"/>
  <c r="F246" i="45"/>
  <c r="C246" i="45"/>
  <c r="O245" i="45"/>
  <c r="L245" i="45"/>
  <c r="I245" i="45"/>
  <c r="F245" i="45"/>
  <c r="C245" i="45" s="1"/>
  <c r="O244" i="45"/>
  <c r="L244" i="45"/>
  <c r="I244" i="45"/>
  <c r="F244" i="45"/>
  <c r="O243" i="45"/>
  <c r="L243" i="45"/>
  <c r="I243" i="45"/>
  <c r="C243" i="45" s="1"/>
  <c r="F243" i="45"/>
  <c r="O242" i="45"/>
  <c r="L242" i="45"/>
  <c r="C242" i="45" s="1"/>
  <c r="I242" i="45"/>
  <c r="F242" i="45"/>
  <c r="O241" i="45"/>
  <c r="N241" i="45"/>
  <c r="M241" i="45"/>
  <c r="K241" i="45"/>
  <c r="L241" i="45" s="1"/>
  <c r="J241" i="45"/>
  <c r="H241" i="45"/>
  <c r="G241" i="45"/>
  <c r="E241" i="45"/>
  <c r="D241" i="45"/>
  <c r="F241" i="45" s="1"/>
  <c r="O240" i="45"/>
  <c r="L240" i="45"/>
  <c r="I240" i="45"/>
  <c r="F240" i="45"/>
  <c r="O239" i="45"/>
  <c r="L239" i="45"/>
  <c r="I239" i="45"/>
  <c r="C239" i="45" s="1"/>
  <c r="F239" i="45"/>
  <c r="N238" i="45"/>
  <c r="O238" i="45" s="1"/>
  <c r="M238" i="45"/>
  <c r="K238" i="45"/>
  <c r="K234" i="45" s="1"/>
  <c r="K233" i="45" s="1"/>
  <c r="J238" i="45"/>
  <c r="H238" i="45"/>
  <c r="G238" i="45"/>
  <c r="I238" i="45" s="1"/>
  <c r="F238" i="45"/>
  <c r="E238" i="45"/>
  <c r="D238" i="45"/>
  <c r="O237" i="45"/>
  <c r="L237" i="45"/>
  <c r="I237" i="45"/>
  <c r="F237" i="45"/>
  <c r="C237" i="45" s="1"/>
  <c r="N236" i="45"/>
  <c r="M236" i="45"/>
  <c r="L236" i="45"/>
  <c r="K236" i="45"/>
  <c r="J236" i="45"/>
  <c r="H236" i="45"/>
  <c r="G236" i="45"/>
  <c r="E236" i="45"/>
  <c r="E234" i="45" s="1"/>
  <c r="E233" i="45" s="1"/>
  <c r="D236" i="45"/>
  <c r="O235" i="45"/>
  <c r="L235" i="45"/>
  <c r="I235" i="45"/>
  <c r="F235" i="45"/>
  <c r="N234" i="45"/>
  <c r="J234" i="45"/>
  <c r="O232" i="45"/>
  <c r="L232" i="45"/>
  <c r="I232" i="45"/>
  <c r="F232" i="45"/>
  <c r="O231" i="45"/>
  <c r="L231" i="45"/>
  <c r="I231" i="45"/>
  <c r="C231" i="45" s="1"/>
  <c r="F231" i="45"/>
  <c r="N230" i="45"/>
  <c r="O230" i="45" s="1"/>
  <c r="M230" i="45"/>
  <c r="K230" i="45"/>
  <c r="K207" i="45" s="1"/>
  <c r="J230" i="45"/>
  <c r="H230" i="45"/>
  <c r="G230" i="45"/>
  <c r="F230" i="45"/>
  <c r="E230" i="45"/>
  <c r="D230" i="45"/>
  <c r="O229" i="45"/>
  <c r="L229" i="45"/>
  <c r="I229" i="45"/>
  <c r="F229" i="45"/>
  <c r="C229" i="45" s="1"/>
  <c r="O228" i="45"/>
  <c r="L228" i="45"/>
  <c r="I228" i="45"/>
  <c r="F228" i="45"/>
  <c r="O227" i="45"/>
  <c r="L227" i="45"/>
  <c r="I227" i="45"/>
  <c r="F227" i="45"/>
  <c r="O226" i="45"/>
  <c r="L226" i="45"/>
  <c r="C226" i="45" s="1"/>
  <c r="I226" i="45"/>
  <c r="F226" i="45"/>
  <c r="O225" i="45"/>
  <c r="L225" i="45"/>
  <c r="I225" i="45"/>
  <c r="F225" i="45"/>
  <c r="C225" i="45"/>
  <c r="O224" i="45"/>
  <c r="L224" i="45"/>
  <c r="I224" i="45"/>
  <c r="F224" i="45"/>
  <c r="C224" i="45" s="1"/>
  <c r="O223" i="45"/>
  <c r="L223" i="45"/>
  <c r="I223" i="45"/>
  <c r="F223" i="45"/>
  <c r="O222" i="45"/>
  <c r="L222" i="45"/>
  <c r="I222" i="45"/>
  <c r="F222" i="45"/>
  <c r="C222" i="45"/>
  <c r="O221" i="45"/>
  <c r="L221" i="45"/>
  <c r="I221" i="45"/>
  <c r="F221" i="45"/>
  <c r="C221" i="45" s="1"/>
  <c r="O220" i="45"/>
  <c r="L220" i="45"/>
  <c r="I220" i="45"/>
  <c r="F220" i="45"/>
  <c r="N219" i="45"/>
  <c r="M219" i="45"/>
  <c r="O219" i="45" s="1"/>
  <c r="K219" i="45"/>
  <c r="J219" i="45"/>
  <c r="L219" i="45" s="1"/>
  <c r="I219" i="45"/>
  <c r="H219" i="45"/>
  <c r="G219" i="45"/>
  <c r="F219" i="45"/>
  <c r="C219" i="45" s="1"/>
  <c r="E219" i="45"/>
  <c r="D219" i="45"/>
  <c r="O218" i="45"/>
  <c r="L218" i="45"/>
  <c r="I218" i="45"/>
  <c r="F218" i="45"/>
  <c r="C218" i="45"/>
  <c r="O217" i="45"/>
  <c r="L217" i="45"/>
  <c r="I217" i="45"/>
  <c r="F217" i="45"/>
  <c r="C217" i="45" s="1"/>
  <c r="O216" i="45"/>
  <c r="L216" i="45"/>
  <c r="I216" i="45"/>
  <c r="F216" i="45"/>
  <c r="O215" i="45"/>
  <c r="L215" i="45"/>
  <c r="I215" i="45"/>
  <c r="C215" i="45" s="1"/>
  <c r="F215" i="45"/>
  <c r="O214" i="45"/>
  <c r="L214" i="45"/>
  <c r="C214" i="45" s="1"/>
  <c r="I214" i="45"/>
  <c r="F214" i="45"/>
  <c r="O213" i="45"/>
  <c r="L213" i="45"/>
  <c r="I213" i="45"/>
  <c r="F213" i="45"/>
  <c r="C213" i="45"/>
  <c r="O212" i="45"/>
  <c r="L212" i="45"/>
  <c r="I212" i="45"/>
  <c r="F212" i="45"/>
  <c r="C212" i="45" s="1"/>
  <c r="O211" i="45"/>
  <c r="L211" i="45"/>
  <c r="I211" i="45"/>
  <c r="F211" i="45"/>
  <c r="O210" i="45"/>
  <c r="L210" i="45"/>
  <c r="I210" i="45"/>
  <c r="F210" i="45"/>
  <c r="C210" i="45"/>
  <c r="O209" i="45"/>
  <c r="L209" i="45"/>
  <c r="I209" i="45"/>
  <c r="F209" i="45"/>
  <c r="C209" i="45" s="1"/>
  <c r="N208" i="45"/>
  <c r="M208" i="45"/>
  <c r="O208" i="45" s="1"/>
  <c r="L208" i="45"/>
  <c r="K208" i="45"/>
  <c r="J208" i="45"/>
  <c r="H208" i="45"/>
  <c r="G208" i="45"/>
  <c r="E208" i="45"/>
  <c r="D208" i="45"/>
  <c r="N207" i="45"/>
  <c r="M207" i="45"/>
  <c r="E207" i="45"/>
  <c r="O206" i="45"/>
  <c r="L206" i="45"/>
  <c r="C206" i="45" s="1"/>
  <c r="I206" i="45"/>
  <c r="F206" i="45"/>
  <c r="O205" i="45"/>
  <c r="L205" i="45"/>
  <c r="I205" i="45"/>
  <c r="F205" i="45"/>
  <c r="C205" i="45"/>
  <c r="O204" i="45"/>
  <c r="L204" i="45"/>
  <c r="I204" i="45"/>
  <c r="F204" i="45"/>
  <c r="C204" i="45" s="1"/>
  <c r="O203" i="45"/>
  <c r="L203" i="45"/>
  <c r="I203" i="45"/>
  <c r="F203" i="45"/>
  <c r="O202" i="45"/>
  <c r="L202" i="45"/>
  <c r="I202" i="45"/>
  <c r="F202" i="45"/>
  <c r="C202" i="45"/>
  <c r="O201" i="45"/>
  <c r="N201" i="45"/>
  <c r="M201" i="45"/>
  <c r="L201" i="45"/>
  <c r="K201" i="45"/>
  <c r="K199" i="45" s="1"/>
  <c r="J201" i="45"/>
  <c r="H201" i="45"/>
  <c r="H199" i="45" s="1"/>
  <c r="G201" i="45"/>
  <c r="E201" i="45"/>
  <c r="D201" i="45"/>
  <c r="O200" i="45"/>
  <c r="L200" i="45"/>
  <c r="I200" i="45"/>
  <c r="F200" i="45"/>
  <c r="C200" i="45" s="1"/>
  <c r="N199" i="45"/>
  <c r="N198" i="45" s="1"/>
  <c r="M199" i="45"/>
  <c r="J199" i="45"/>
  <c r="E199" i="45"/>
  <c r="E198" i="45" s="1"/>
  <c r="K198" i="45"/>
  <c r="K197" i="45" s="1"/>
  <c r="O196" i="45"/>
  <c r="L196" i="45"/>
  <c r="I196" i="45"/>
  <c r="F196" i="45"/>
  <c r="C196" i="45" s="1"/>
  <c r="N195" i="45"/>
  <c r="N194" i="45" s="1"/>
  <c r="M195" i="45"/>
  <c r="K195" i="45"/>
  <c r="J195" i="45"/>
  <c r="L195" i="45" s="1"/>
  <c r="I195" i="45"/>
  <c r="H195" i="45"/>
  <c r="G195" i="45"/>
  <c r="E195" i="45"/>
  <c r="D195" i="45"/>
  <c r="K194" i="45"/>
  <c r="J194" i="45"/>
  <c r="H194" i="45"/>
  <c r="G194" i="45"/>
  <c r="I194" i="45" s="1"/>
  <c r="D194" i="45"/>
  <c r="O193" i="45"/>
  <c r="L193" i="45"/>
  <c r="I193" i="45"/>
  <c r="F193" i="45"/>
  <c r="C193" i="45"/>
  <c r="O192" i="45"/>
  <c r="L192" i="45"/>
  <c r="I192" i="45"/>
  <c r="F192" i="45"/>
  <c r="C192" i="45" s="1"/>
  <c r="N191" i="45"/>
  <c r="N190" i="45" s="1"/>
  <c r="M191" i="45"/>
  <c r="K191" i="45"/>
  <c r="J191" i="45"/>
  <c r="L191" i="45" s="1"/>
  <c r="I191" i="45"/>
  <c r="H191" i="45"/>
  <c r="G191" i="45"/>
  <c r="E191" i="45"/>
  <c r="D191" i="45"/>
  <c r="K190" i="45"/>
  <c r="J190" i="45"/>
  <c r="H190" i="45"/>
  <c r="G190" i="45"/>
  <c r="I190" i="45" s="1"/>
  <c r="D190" i="45"/>
  <c r="O189" i="45"/>
  <c r="L189" i="45"/>
  <c r="I189" i="45"/>
  <c r="F189" i="45"/>
  <c r="C189" i="45"/>
  <c r="O188" i="45"/>
  <c r="L188" i="45"/>
  <c r="I188" i="45"/>
  <c r="F188" i="45"/>
  <c r="C188" i="45" s="1"/>
  <c r="N187" i="45"/>
  <c r="M187" i="45"/>
  <c r="K187" i="45"/>
  <c r="J187" i="45"/>
  <c r="L187" i="45" s="1"/>
  <c r="I187" i="45"/>
  <c r="H187" i="45"/>
  <c r="G187" i="45"/>
  <c r="E187" i="45"/>
  <c r="F187" i="45" s="1"/>
  <c r="D187" i="45"/>
  <c r="O186" i="45"/>
  <c r="L186" i="45"/>
  <c r="C186" i="45" s="1"/>
  <c r="I186" i="45"/>
  <c r="F186" i="45"/>
  <c r="O185" i="45"/>
  <c r="L185" i="45"/>
  <c r="I185" i="45"/>
  <c r="F185" i="45"/>
  <c r="C185" i="45"/>
  <c r="O184" i="45"/>
  <c r="L184" i="45"/>
  <c r="I184" i="45"/>
  <c r="F184" i="45"/>
  <c r="C184" i="45" s="1"/>
  <c r="O183" i="45"/>
  <c r="L183" i="45"/>
  <c r="I183" i="45"/>
  <c r="F183" i="45"/>
  <c r="O182" i="45"/>
  <c r="N182" i="45"/>
  <c r="M182" i="45"/>
  <c r="K182" i="45"/>
  <c r="J182" i="45"/>
  <c r="L182" i="45" s="1"/>
  <c r="H182" i="45"/>
  <c r="G182" i="45"/>
  <c r="I182" i="45" s="1"/>
  <c r="F182" i="45"/>
  <c r="C182" i="45" s="1"/>
  <c r="E182" i="45"/>
  <c r="D182" i="45"/>
  <c r="O181" i="45"/>
  <c r="L181" i="45"/>
  <c r="I181" i="45"/>
  <c r="F181" i="45"/>
  <c r="C181" i="45"/>
  <c r="O180" i="45"/>
  <c r="L180" i="45"/>
  <c r="I180" i="45"/>
  <c r="F180" i="45"/>
  <c r="C180" i="45" s="1"/>
  <c r="O179" i="45"/>
  <c r="L179" i="45"/>
  <c r="I179" i="45"/>
  <c r="F179" i="45"/>
  <c r="O178" i="45"/>
  <c r="N178" i="45"/>
  <c r="N177" i="45" s="1"/>
  <c r="M178" i="45"/>
  <c r="K178" i="45"/>
  <c r="K177" i="45" s="1"/>
  <c r="K176" i="45" s="1"/>
  <c r="J178" i="45"/>
  <c r="H178" i="45"/>
  <c r="G178" i="45"/>
  <c r="I178" i="45" s="1"/>
  <c r="F178" i="45"/>
  <c r="E178" i="45"/>
  <c r="D178" i="45"/>
  <c r="M177" i="45"/>
  <c r="H177" i="45"/>
  <c r="G177" i="45"/>
  <c r="E177" i="45"/>
  <c r="D177" i="45"/>
  <c r="F177" i="45" s="1"/>
  <c r="M176" i="45"/>
  <c r="H176" i="45"/>
  <c r="E176" i="45"/>
  <c r="D176" i="45"/>
  <c r="O175" i="45"/>
  <c r="L175" i="45"/>
  <c r="I175" i="45"/>
  <c r="C175" i="45" s="1"/>
  <c r="F175" i="45"/>
  <c r="O174" i="45"/>
  <c r="L174" i="45"/>
  <c r="C174" i="45" s="1"/>
  <c r="I174" i="45"/>
  <c r="F174" i="45"/>
  <c r="O173" i="45"/>
  <c r="L173" i="45"/>
  <c r="I173" i="45"/>
  <c r="F173" i="45"/>
  <c r="C173" i="45"/>
  <c r="O172" i="45"/>
  <c r="L172" i="45"/>
  <c r="I172" i="45"/>
  <c r="F172" i="45"/>
  <c r="C172" i="45" s="1"/>
  <c r="O171" i="45"/>
  <c r="L171" i="45"/>
  <c r="I171" i="45"/>
  <c r="F171" i="45"/>
  <c r="O170" i="45"/>
  <c r="L170" i="45"/>
  <c r="I170" i="45"/>
  <c r="F170" i="45"/>
  <c r="C170" i="45"/>
  <c r="O169" i="45"/>
  <c r="N169" i="45"/>
  <c r="M169" i="45"/>
  <c r="L169" i="45"/>
  <c r="K169" i="45"/>
  <c r="K168" i="45" s="1"/>
  <c r="L168" i="45" s="1"/>
  <c r="J169" i="45"/>
  <c r="H169" i="45"/>
  <c r="G169" i="45"/>
  <c r="E169" i="45"/>
  <c r="D169" i="45"/>
  <c r="F169" i="45" s="1"/>
  <c r="N168" i="45"/>
  <c r="M168" i="45"/>
  <c r="O168" i="45" s="1"/>
  <c r="J168" i="45"/>
  <c r="H168" i="45"/>
  <c r="E168" i="45"/>
  <c r="D168" i="45"/>
  <c r="F168" i="45" s="1"/>
  <c r="O167" i="45"/>
  <c r="L167" i="45"/>
  <c r="I167" i="45"/>
  <c r="F167" i="45"/>
  <c r="O166" i="45"/>
  <c r="L166" i="45"/>
  <c r="I166" i="45"/>
  <c r="F166" i="45"/>
  <c r="C166" i="45"/>
  <c r="O165" i="45"/>
  <c r="L165" i="45"/>
  <c r="I165" i="45"/>
  <c r="F165" i="45"/>
  <c r="C165" i="45" s="1"/>
  <c r="O164" i="45"/>
  <c r="L164" i="45"/>
  <c r="I164" i="45"/>
  <c r="F164" i="45"/>
  <c r="N163" i="45"/>
  <c r="M163" i="45"/>
  <c r="O163" i="45" s="1"/>
  <c r="K163" i="45"/>
  <c r="J163" i="45"/>
  <c r="L163" i="45" s="1"/>
  <c r="I163" i="45"/>
  <c r="H163" i="45"/>
  <c r="G163" i="45"/>
  <c r="F163" i="45"/>
  <c r="C163" i="45" s="1"/>
  <c r="E163" i="45"/>
  <c r="D163" i="45"/>
  <c r="O162" i="45"/>
  <c r="L162" i="45"/>
  <c r="I162" i="45"/>
  <c r="F162" i="45"/>
  <c r="C162" i="45"/>
  <c r="O161" i="45"/>
  <c r="L161" i="45"/>
  <c r="I161" i="45"/>
  <c r="F161" i="45"/>
  <c r="C161" i="45" s="1"/>
  <c r="O160" i="45"/>
  <c r="L160" i="45"/>
  <c r="I160" i="45"/>
  <c r="F160" i="45"/>
  <c r="O159" i="45"/>
  <c r="L159" i="45"/>
  <c r="I159" i="45"/>
  <c r="C159" i="45" s="1"/>
  <c r="F159" i="45"/>
  <c r="O158" i="45"/>
  <c r="L158" i="45"/>
  <c r="C158" i="45" s="1"/>
  <c r="I158" i="45"/>
  <c r="F158" i="45"/>
  <c r="O157" i="45"/>
  <c r="L157" i="45"/>
  <c r="I157" i="45"/>
  <c r="F157" i="45"/>
  <c r="C157" i="45"/>
  <c r="O156" i="45"/>
  <c r="L156" i="45"/>
  <c r="I156" i="45"/>
  <c r="F156" i="45"/>
  <c r="C156" i="45" s="1"/>
  <c r="O155" i="45"/>
  <c r="L155" i="45"/>
  <c r="I155" i="45"/>
  <c r="F155" i="45"/>
  <c r="O154" i="45"/>
  <c r="N154" i="45"/>
  <c r="M154" i="45"/>
  <c r="K154" i="45"/>
  <c r="J154" i="45"/>
  <c r="L154" i="45" s="1"/>
  <c r="H154" i="45"/>
  <c r="G154" i="45"/>
  <c r="I154" i="45" s="1"/>
  <c r="F154" i="45"/>
  <c r="E154" i="45"/>
  <c r="D154" i="45"/>
  <c r="O153" i="45"/>
  <c r="L153" i="45"/>
  <c r="I153" i="45"/>
  <c r="F153" i="45"/>
  <c r="C153" i="45"/>
  <c r="O152" i="45"/>
  <c r="L152" i="45"/>
  <c r="I152" i="45"/>
  <c r="F152" i="45"/>
  <c r="C152" i="45" s="1"/>
  <c r="O151" i="45"/>
  <c r="L151" i="45"/>
  <c r="I151" i="45"/>
  <c r="F151" i="45"/>
  <c r="O150" i="45"/>
  <c r="L150" i="45"/>
  <c r="I150" i="45"/>
  <c r="F150" i="45"/>
  <c r="C150" i="45"/>
  <c r="O149" i="45"/>
  <c r="L149" i="45"/>
  <c r="I149" i="45"/>
  <c r="F149" i="45"/>
  <c r="C149" i="45" s="1"/>
  <c r="O148" i="45"/>
  <c r="L148" i="45"/>
  <c r="I148" i="45"/>
  <c r="F148" i="45"/>
  <c r="N147" i="45"/>
  <c r="M147" i="45"/>
  <c r="O147" i="45" s="1"/>
  <c r="K147" i="45"/>
  <c r="J147" i="45"/>
  <c r="L147" i="45" s="1"/>
  <c r="I147" i="45"/>
  <c r="H147" i="45"/>
  <c r="G147" i="45"/>
  <c r="F147" i="45"/>
  <c r="C147" i="45" s="1"/>
  <c r="E147" i="45"/>
  <c r="D147" i="45"/>
  <c r="O146" i="45"/>
  <c r="L146" i="45"/>
  <c r="I146" i="45"/>
  <c r="F146" i="45"/>
  <c r="C146" i="45"/>
  <c r="O145" i="45"/>
  <c r="L145" i="45"/>
  <c r="I145" i="45"/>
  <c r="F145" i="45"/>
  <c r="C145" i="45" s="1"/>
  <c r="N144" i="45"/>
  <c r="M144" i="45"/>
  <c r="O144" i="45" s="1"/>
  <c r="L144" i="45"/>
  <c r="K144" i="45"/>
  <c r="J144" i="45"/>
  <c r="H144" i="45"/>
  <c r="I144" i="45" s="1"/>
  <c r="G144" i="45"/>
  <c r="E144" i="45"/>
  <c r="D144" i="45"/>
  <c r="F144" i="45" s="1"/>
  <c r="O143" i="45"/>
  <c r="L143" i="45"/>
  <c r="I143" i="45"/>
  <c r="F143" i="45"/>
  <c r="O142" i="45"/>
  <c r="L142" i="45"/>
  <c r="I142" i="45"/>
  <c r="F142" i="45"/>
  <c r="C142" i="45"/>
  <c r="O141" i="45"/>
  <c r="L141" i="45"/>
  <c r="I141" i="45"/>
  <c r="F141" i="45"/>
  <c r="C141" i="45" s="1"/>
  <c r="O140" i="45"/>
  <c r="L140" i="45"/>
  <c r="I140" i="45"/>
  <c r="F140" i="45"/>
  <c r="N139" i="45"/>
  <c r="M139" i="45"/>
  <c r="K139" i="45"/>
  <c r="J139" i="45"/>
  <c r="L139" i="45" s="1"/>
  <c r="I139" i="45"/>
  <c r="H139" i="45"/>
  <c r="G139" i="45"/>
  <c r="F139" i="45"/>
  <c r="E139" i="45"/>
  <c r="E133" i="45" s="1"/>
  <c r="D139" i="45"/>
  <c r="O138" i="45"/>
  <c r="L138" i="45"/>
  <c r="I138" i="45"/>
  <c r="F138" i="45"/>
  <c r="C138" i="45"/>
  <c r="O137" i="45"/>
  <c r="L137" i="45"/>
  <c r="I137" i="45"/>
  <c r="F137" i="45"/>
  <c r="C137" i="45" s="1"/>
  <c r="O136" i="45"/>
  <c r="L136" i="45"/>
  <c r="I136" i="45"/>
  <c r="F136" i="45"/>
  <c r="O135" i="45"/>
  <c r="L135" i="45"/>
  <c r="I135" i="45"/>
  <c r="F135" i="45"/>
  <c r="N134" i="45"/>
  <c r="N133" i="45" s="1"/>
  <c r="M134" i="45"/>
  <c r="K134" i="45"/>
  <c r="K133" i="45" s="1"/>
  <c r="J134" i="45"/>
  <c r="H134" i="45"/>
  <c r="G134" i="45"/>
  <c r="F134" i="45"/>
  <c r="E134" i="45"/>
  <c r="D134" i="45"/>
  <c r="O132" i="45"/>
  <c r="L132" i="45"/>
  <c r="I132" i="45"/>
  <c r="F132" i="45"/>
  <c r="C132" i="45" s="1"/>
  <c r="N131" i="45"/>
  <c r="M131" i="45"/>
  <c r="K131" i="45"/>
  <c r="J131" i="45"/>
  <c r="L131" i="45" s="1"/>
  <c r="I131" i="45"/>
  <c r="H131" i="45"/>
  <c r="G131" i="45"/>
  <c r="E131" i="45"/>
  <c r="F131" i="45" s="1"/>
  <c r="D131" i="45"/>
  <c r="O130" i="45"/>
  <c r="L130" i="45"/>
  <c r="C130" i="45" s="1"/>
  <c r="I130" i="45"/>
  <c r="F130" i="45"/>
  <c r="O129" i="45"/>
  <c r="L129" i="45"/>
  <c r="I129" i="45"/>
  <c r="F129" i="45"/>
  <c r="C129" i="45"/>
  <c r="O128" i="45"/>
  <c r="L128" i="45"/>
  <c r="I128" i="45"/>
  <c r="F128" i="45"/>
  <c r="C128" i="45" s="1"/>
  <c r="O127" i="45"/>
  <c r="L127" i="45"/>
  <c r="I127" i="45"/>
  <c r="F127" i="45"/>
  <c r="O126" i="45"/>
  <c r="L126" i="45"/>
  <c r="I126" i="45"/>
  <c r="F126" i="45"/>
  <c r="C126" i="45"/>
  <c r="O125" i="45"/>
  <c r="N125" i="45"/>
  <c r="M125" i="45"/>
  <c r="L125" i="45"/>
  <c r="K125" i="45"/>
  <c r="J125" i="45"/>
  <c r="H125" i="45"/>
  <c r="G125" i="45"/>
  <c r="I125" i="45" s="1"/>
  <c r="C125" i="45" s="1"/>
  <c r="E125" i="45"/>
  <c r="D125" i="45"/>
  <c r="F125" i="45" s="1"/>
  <c r="O124" i="45"/>
  <c r="L124" i="45"/>
  <c r="I124" i="45"/>
  <c r="F124" i="45"/>
  <c r="C124" i="45" s="1"/>
  <c r="O123" i="45"/>
  <c r="L123" i="45"/>
  <c r="I123" i="45"/>
  <c r="F123" i="45"/>
  <c r="O122" i="45"/>
  <c r="L122" i="45"/>
  <c r="I122" i="45"/>
  <c r="F122" i="45"/>
  <c r="C122" i="45"/>
  <c r="O121" i="45"/>
  <c r="L121" i="45"/>
  <c r="I121" i="45"/>
  <c r="F121" i="45"/>
  <c r="C121" i="45" s="1"/>
  <c r="O120" i="45"/>
  <c r="L120" i="45"/>
  <c r="I120" i="45"/>
  <c r="F120" i="45"/>
  <c r="N119" i="45"/>
  <c r="M119" i="45"/>
  <c r="O119" i="45" s="1"/>
  <c r="K119" i="45"/>
  <c r="J119" i="45"/>
  <c r="L119" i="45" s="1"/>
  <c r="I119" i="45"/>
  <c r="H119" i="45"/>
  <c r="G119" i="45"/>
  <c r="F119" i="45"/>
  <c r="C119" i="45" s="1"/>
  <c r="E119" i="45"/>
  <c r="D119" i="45"/>
  <c r="O118" i="45"/>
  <c r="L118" i="45"/>
  <c r="I118" i="45"/>
  <c r="F118" i="45"/>
  <c r="C118" i="45"/>
  <c r="O117" i="45"/>
  <c r="L117" i="45"/>
  <c r="I117" i="45"/>
  <c r="F117" i="45"/>
  <c r="C117" i="45" s="1"/>
  <c r="O116" i="45"/>
  <c r="L116" i="45"/>
  <c r="I116" i="45"/>
  <c r="F116" i="45"/>
  <c r="N115" i="45"/>
  <c r="M115" i="45"/>
  <c r="O115" i="45" s="1"/>
  <c r="K115" i="45"/>
  <c r="J115" i="45"/>
  <c r="L115" i="45" s="1"/>
  <c r="I115" i="45"/>
  <c r="H115" i="45"/>
  <c r="G115" i="45"/>
  <c r="F115" i="45"/>
  <c r="C115" i="45" s="1"/>
  <c r="E115" i="45"/>
  <c r="D115" i="45"/>
  <c r="O114" i="45"/>
  <c r="L114" i="45"/>
  <c r="I114" i="45"/>
  <c r="F114" i="45"/>
  <c r="C114" i="45"/>
  <c r="O113" i="45"/>
  <c r="L113" i="45"/>
  <c r="I113" i="45"/>
  <c r="F113" i="45"/>
  <c r="C113" i="45" s="1"/>
  <c r="O112" i="45"/>
  <c r="L112" i="45"/>
  <c r="I112" i="45"/>
  <c r="F112" i="45"/>
  <c r="O111" i="45"/>
  <c r="L111" i="45"/>
  <c r="I111" i="45"/>
  <c r="F111" i="45"/>
  <c r="O110" i="45"/>
  <c r="L110" i="45"/>
  <c r="C110" i="45" s="1"/>
  <c r="I110" i="45"/>
  <c r="F110" i="45"/>
  <c r="O109" i="45"/>
  <c r="L109" i="45"/>
  <c r="I109" i="45"/>
  <c r="F109" i="45"/>
  <c r="C109" i="45"/>
  <c r="O108" i="45"/>
  <c r="L108" i="45"/>
  <c r="I108" i="45"/>
  <c r="F108" i="45"/>
  <c r="C108" i="45" s="1"/>
  <c r="O107" i="45"/>
  <c r="L107" i="45"/>
  <c r="I107" i="45"/>
  <c r="F107" i="45"/>
  <c r="O106" i="45"/>
  <c r="N106" i="45"/>
  <c r="M106" i="45"/>
  <c r="K106" i="45"/>
  <c r="J106" i="45"/>
  <c r="H106" i="45"/>
  <c r="G106" i="45"/>
  <c r="I106" i="45" s="1"/>
  <c r="F106" i="45"/>
  <c r="E106" i="45"/>
  <c r="D106" i="45"/>
  <c r="O105" i="45"/>
  <c r="L105" i="45"/>
  <c r="I105" i="45"/>
  <c r="F105" i="45"/>
  <c r="C105" i="45"/>
  <c r="O104" i="45"/>
  <c r="L104" i="45"/>
  <c r="I104" i="45"/>
  <c r="F104" i="45"/>
  <c r="C104" i="45" s="1"/>
  <c r="O103" i="45"/>
  <c r="L103" i="45"/>
  <c r="I103" i="45"/>
  <c r="F103" i="45"/>
  <c r="O102" i="45"/>
  <c r="L102" i="45"/>
  <c r="I102" i="45"/>
  <c r="F102" i="45"/>
  <c r="C102" i="45"/>
  <c r="O101" i="45"/>
  <c r="L101" i="45"/>
  <c r="I101" i="45"/>
  <c r="F101" i="45"/>
  <c r="C101" i="45" s="1"/>
  <c r="O100" i="45"/>
  <c r="L100" i="45"/>
  <c r="I100" i="45"/>
  <c r="F100" i="45"/>
  <c r="O99" i="45"/>
  <c r="L99" i="45"/>
  <c r="I99" i="45"/>
  <c r="C99" i="45" s="1"/>
  <c r="F99" i="45"/>
  <c r="N98" i="45"/>
  <c r="O98" i="45" s="1"/>
  <c r="M98" i="45"/>
  <c r="K98" i="45"/>
  <c r="J98" i="45"/>
  <c r="H98" i="45"/>
  <c r="G98" i="45"/>
  <c r="F98" i="45"/>
  <c r="E98" i="45"/>
  <c r="D98" i="45"/>
  <c r="O97" i="45"/>
  <c r="L97" i="45"/>
  <c r="I97" i="45"/>
  <c r="F97" i="45"/>
  <c r="C97" i="45" s="1"/>
  <c r="O96" i="45"/>
  <c r="L96" i="45"/>
  <c r="I96" i="45"/>
  <c r="F96" i="45"/>
  <c r="O95" i="45"/>
  <c r="L95" i="45"/>
  <c r="I95" i="45"/>
  <c r="F95" i="45"/>
  <c r="O94" i="45"/>
  <c r="L94" i="45"/>
  <c r="C94" i="45" s="1"/>
  <c r="I94" i="45"/>
  <c r="F94" i="45"/>
  <c r="O93" i="45"/>
  <c r="L93" i="45"/>
  <c r="I93" i="45"/>
  <c r="F93" i="45"/>
  <c r="C93" i="45"/>
  <c r="N92" i="45"/>
  <c r="M92" i="45"/>
  <c r="O92" i="45" s="1"/>
  <c r="L92" i="45"/>
  <c r="K92" i="45"/>
  <c r="J92" i="45"/>
  <c r="I92" i="45"/>
  <c r="H92" i="45"/>
  <c r="G92" i="45"/>
  <c r="E92" i="45"/>
  <c r="D92" i="45"/>
  <c r="O91" i="45"/>
  <c r="L91" i="45"/>
  <c r="I91" i="45"/>
  <c r="F91" i="45"/>
  <c r="O90" i="45"/>
  <c r="L90" i="45"/>
  <c r="C90" i="45" s="1"/>
  <c r="I90" i="45"/>
  <c r="F90" i="45"/>
  <c r="O89" i="45"/>
  <c r="L89" i="45"/>
  <c r="I89" i="45"/>
  <c r="F89" i="45"/>
  <c r="C89" i="45"/>
  <c r="O88" i="45"/>
  <c r="L88" i="45"/>
  <c r="I88" i="45"/>
  <c r="F88" i="45"/>
  <c r="C88" i="45" s="1"/>
  <c r="N87" i="45"/>
  <c r="N86" i="45" s="1"/>
  <c r="M87" i="45"/>
  <c r="K87" i="45"/>
  <c r="J87" i="45"/>
  <c r="L87" i="45" s="1"/>
  <c r="I87" i="45"/>
  <c r="H87" i="45"/>
  <c r="G87" i="45"/>
  <c r="E87" i="45"/>
  <c r="D87" i="45"/>
  <c r="K86" i="45"/>
  <c r="O85" i="45"/>
  <c r="L85" i="45"/>
  <c r="I85" i="45"/>
  <c r="F85" i="45"/>
  <c r="C85" i="45" s="1"/>
  <c r="O84" i="45"/>
  <c r="L84" i="45"/>
  <c r="I84" i="45"/>
  <c r="F84" i="45"/>
  <c r="N83" i="45"/>
  <c r="M83" i="45"/>
  <c r="O83" i="45" s="1"/>
  <c r="K83" i="45"/>
  <c r="J83" i="45"/>
  <c r="L83" i="45" s="1"/>
  <c r="I83" i="45"/>
  <c r="H83" i="45"/>
  <c r="G83" i="45"/>
  <c r="F83" i="45"/>
  <c r="C83" i="45" s="1"/>
  <c r="E83" i="45"/>
  <c r="D83" i="45"/>
  <c r="O82" i="45"/>
  <c r="L82" i="45"/>
  <c r="I82" i="45"/>
  <c r="F82" i="45"/>
  <c r="C82" i="45"/>
  <c r="O81" i="45"/>
  <c r="L81" i="45"/>
  <c r="I81" i="45"/>
  <c r="F81" i="45"/>
  <c r="C81" i="45" s="1"/>
  <c r="N80" i="45"/>
  <c r="M80" i="45"/>
  <c r="O80" i="45" s="1"/>
  <c r="L80" i="45"/>
  <c r="K80" i="45"/>
  <c r="J80" i="45"/>
  <c r="H80" i="45"/>
  <c r="G80" i="45"/>
  <c r="E80" i="45"/>
  <c r="D80" i="45"/>
  <c r="N79" i="45"/>
  <c r="N78" i="45" s="1"/>
  <c r="M79" i="45"/>
  <c r="K79" i="45"/>
  <c r="G79" i="45"/>
  <c r="E79" i="45"/>
  <c r="O77" i="45"/>
  <c r="L77" i="45"/>
  <c r="I77" i="45"/>
  <c r="F77" i="45"/>
  <c r="C77" i="45"/>
  <c r="O76" i="45"/>
  <c r="L76" i="45"/>
  <c r="I76" i="45"/>
  <c r="F76" i="45"/>
  <c r="C76" i="45" s="1"/>
  <c r="O75" i="45"/>
  <c r="L75" i="45"/>
  <c r="I75" i="45"/>
  <c r="F75" i="45"/>
  <c r="O74" i="45"/>
  <c r="L74" i="45"/>
  <c r="I74" i="45"/>
  <c r="F74" i="45"/>
  <c r="C74" i="45"/>
  <c r="O73" i="45"/>
  <c r="L73" i="45"/>
  <c r="I73" i="45"/>
  <c r="F73" i="45"/>
  <c r="C73" i="45" s="1"/>
  <c r="N72" i="45"/>
  <c r="M72" i="45"/>
  <c r="L72" i="45"/>
  <c r="K72" i="45"/>
  <c r="J72" i="45"/>
  <c r="H72" i="45"/>
  <c r="G72" i="45"/>
  <c r="E72" i="45"/>
  <c r="E70" i="45" s="1"/>
  <c r="D72" i="45"/>
  <c r="O71" i="45"/>
  <c r="L71" i="45"/>
  <c r="I71" i="45"/>
  <c r="F71" i="45"/>
  <c r="N70" i="45"/>
  <c r="K70" i="45"/>
  <c r="J70" i="45"/>
  <c r="L70" i="45" s="1"/>
  <c r="G70" i="45"/>
  <c r="O69" i="45"/>
  <c r="L69" i="45"/>
  <c r="I69" i="45"/>
  <c r="F69" i="45"/>
  <c r="C69" i="45"/>
  <c r="O68" i="45"/>
  <c r="L68" i="45"/>
  <c r="G68" i="45"/>
  <c r="G61" i="45" s="1"/>
  <c r="G57" i="45" s="1"/>
  <c r="G56" i="45" s="1"/>
  <c r="F68" i="45"/>
  <c r="O67" i="45"/>
  <c r="L67" i="45"/>
  <c r="I67" i="45"/>
  <c r="F67" i="45"/>
  <c r="C67" i="45"/>
  <c r="O66" i="45"/>
  <c r="L66" i="45"/>
  <c r="I66" i="45"/>
  <c r="F66" i="45"/>
  <c r="C66" i="45" s="1"/>
  <c r="O65" i="45"/>
  <c r="L65" i="45"/>
  <c r="I65" i="45"/>
  <c r="F65" i="45"/>
  <c r="O64" i="45"/>
  <c r="L64" i="45"/>
  <c r="I64" i="45"/>
  <c r="F64" i="45"/>
  <c r="O63" i="45"/>
  <c r="L63" i="45"/>
  <c r="C63" i="45" s="1"/>
  <c r="I63" i="45"/>
  <c r="F63" i="45"/>
  <c r="O62" i="45"/>
  <c r="L62" i="45"/>
  <c r="I62" i="45"/>
  <c r="F62" i="45"/>
  <c r="C62" i="45"/>
  <c r="N61" i="45"/>
  <c r="M61" i="45"/>
  <c r="O61" i="45" s="1"/>
  <c r="L61" i="45"/>
  <c r="K61" i="45"/>
  <c r="J61" i="45"/>
  <c r="H61" i="45"/>
  <c r="E61" i="45"/>
  <c r="E57" i="45" s="1"/>
  <c r="E56" i="45" s="1"/>
  <c r="D61" i="45"/>
  <c r="O60" i="45"/>
  <c r="L60" i="45"/>
  <c r="I60" i="45"/>
  <c r="C60" i="45" s="1"/>
  <c r="G60" i="45"/>
  <c r="F60" i="45"/>
  <c r="O59" i="45"/>
  <c r="L59" i="45"/>
  <c r="I59" i="45"/>
  <c r="F59" i="45"/>
  <c r="C59" i="45"/>
  <c r="N58" i="45"/>
  <c r="M58" i="45"/>
  <c r="O58" i="45" s="1"/>
  <c r="L58" i="45"/>
  <c r="K58" i="45"/>
  <c r="J58" i="45"/>
  <c r="H58" i="45"/>
  <c r="H57" i="45" s="1"/>
  <c r="G58" i="45"/>
  <c r="E58" i="45"/>
  <c r="D58" i="45"/>
  <c r="N57" i="45"/>
  <c r="M57" i="45"/>
  <c r="K57" i="45"/>
  <c r="J57" i="45"/>
  <c r="L57" i="45" s="1"/>
  <c r="I57" i="45"/>
  <c r="N56" i="45"/>
  <c r="K56" i="45"/>
  <c r="J56" i="45"/>
  <c r="O50" i="45"/>
  <c r="C50" i="45" s="1"/>
  <c r="O49" i="45"/>
  <c r="C49" i="45"/>
  <c r="O48" i="45"/>
  <c r="C48" i="45" s="1"/>
  <c r="N48" i="45"/>
  <c r="M48" i="45"/>
  <c r="L47" i="45"/>
  <c r="I47" i="45"/>
  <c r="C47" i="45" s="1"/>
  <c r="F47" i="45"/>
  <c r="K46" i="45"/>
  <c r="L46" i="45" s="1"/>
  <c r="J46" i="45"/>
  <c r="H46" i="45"/>
  <c r="H24" i="45" s="1"/>
  <c r="G46" i="45"/>
  <c r="E46" i="45"/>
  <c r="D46" i="45"/>
  <c r="F45" i="45"/>
  <c r="C45" i="45" s="1"/>
  <c r="L44" i="45"/>
  <c r="C44" i="45"/>
  <c r="L43" i="45"/>
  <c r="C43" i="45" s="1"/>
  <c r="L42" i="45"/>
  <c r="C42" i="45"/>
  <c r="L41" i="45"/>
  <c r="C41" i="45" s="1"/>
  <c r="L40" i="45"/>
  <c r="C40" i="45" s="1"/>
  <c r="K40" i="45"/>
  <c r="J40" i="45"/>
  <c r="L39" i="45"/>
  <c r="C39" i="45" s="1"/>
  <c r="L38" i="45"/>
  <c r="C38" i="45" s="1"/>
  <c r="K37" i="45"/>
  <c r="L37" i="45" s="1"/>
  <c r="C37" i="45" s="1"/>
  <c r="J37" i="45"/>
  <c r="L36" i="45"/>
  <c r="C36" i="45"/>
  <c r="K35" i="45"/>
  <c r="J35" i="45"/>
  <c r="L34" i="45"/>
  <c r="C34" i="45" s="1"/>
  <c r="L33" i="45"/>
  <c r="C33" i="45" s="1"/>
  <c r="L32" i="45"/>
  <c r="C32" i="45" s="1"/>
  <c r="K31" i="45"/>
  <c r="J31" i="45"/>
  <c r="F29" i="45"/>
  <c r="C29" i="45" s="1"/>
  <c r="I28" i="45"/>
  <c r="F28" i="45"/>
  <c r="C28" i="45"/>
  <c r="O27" i="45"/>
  <c r="L27" i="45"/>
  <c r="I27" i="45"/>
  <c r="F27" i="45"/>
  <c r="C27" i="45" s="1"/>
  <c r="O26" i="45"/>
  <c r="L26" i="45"/>
  <c r="I26" i="45"/>
  <c r="F26" i="45"/>
  <c r="N25" i="45"/>
  <c r="N290" i="45" s="1"/>
  <c r="N289" i="45" s="1"/>
  <c r="M25" i="45"/>
  <c r="K25" i="45"/>
  <c r="J25" i="45"/>
  <c r="L25" i="45" s="1"/>
  <c r="I25" i="45"/>
  <c r="H25" i="45"/>
  <c r="H290" i="45" s="1"/>
  <c r="H289" i="45" s="1"/>
  <c r="G25" i="45"/>
  <c r="F25" i="45"/>
  <c r="E25" i="45"/>
  <c r="D25" i="45"/>
  <c r="D290" i="45" s="1"/>
  <c r="D289" i="45" s="1"/>
  <c r="N24" i="45"/>
  <c r="G24" i="45"/>
  <c r="I24" i="45" s="1"/>
  <c r="O299" i="44"/>
  <c r="L299" i="44"/>
  <c r="I299" i="44"/>
  <c r="F299" i="44"/>
  <c r="C299" i="44"/>
  <c r="O298" i="44"/>
  <c r="L298" i="44"/>
  <c r="I298" i="44"/>
  <c r="F298" i="44"/>
  <c r="C298" i="44" s="1"/>
  <c r="O297" i="44"/>
  <c r="L297" i="44"/>
  <c r="I297" i="44"/>
  <c r="F297" i="44"/>
  <c r="C297" i="44" s="1"/>
  <c r="O296" i="44"/>
  <c r="L296" i="44"/>
  <c r="I296" i="44"/>
  <c r="F296" i="44"/>
  <c r="C296" i="44"/>
  <c r="O295" i="44"/>
  <c r="L295" i="44"/>
  <c r="I295" i="44"/>
  <c r="F295" i="44"/>
  <c r="C295" i="44" s="1"/>
  <c r="O294" i="44"/>
  <c r="L294" i="44"/>
  <c r="I294" i="44"/>
  <c r="F294" i="44"/>
  <c r="O293" i="44"/>
  <c r="L293" i="44"/>
  <c r="I293" i="44"/>
  <c r="F293" i="44"/>
  <c r="O292" i="44"/>
  <c r="L292" i="44"/>
  <c r="C292" i="44" s="1"/>
  <c r="I292" i="44"/>
  <c r="F292" i="44"/>
  <c r="O291" i="44"/>
  <c r="N291" i="44"/>
  <c r="M291" i="44"/>
  <c r="K291" i="44"/>
  <c r="L291" i="44" s="1"/>
  <c r="J291" i="44"/>
  <c r="H291" i="44"/>
  <c r="G291" i="44"/>
  <c r="E291" i="44"/>
  <c r="D291" i="44"/>
  <c r="F291" i="44" s="1"/>
  <c r="O286" i="44"/>
  <c r="L286" i="44"/>
  <c r="I286" i="44"/>
  <c r="F286" i="44"/>
  <c r="C286" i="44" s="1"/>
  <c r="O285" i="44"/>
  <c r="L285" i="44"/>
  <c r="I285" i="44"/>
  <c r="F285" i="44"/>
  <c r="C285" i="44" s="1"/>
  <c r="O284" i="44"/>
  <c r="N284" i="44"/>
  <c r="M284" i="44"/>
  <c r="K284" i="44"/>
  <c r="J284" i="44"/>
  <c r="H284" i="44"/>
  <c r="G284" i="44"/>
  <c r="I284" i="44" s="1"/>
  <c r="F284" i="44"/>
  <c r="E284" i="44"/>
  <c r="D284" i="44"/>
  <c r="O283" i="44"/>
  <c r="L283" i="44"/>
  <c r="I283" i="44"/>
  <c r="F283" i="44"/>
  <c r="C283" i="44"/>
  <c r="N282" i="44"/>
  <c r="M282" i="44"/>
  <c r="O282" i="44" s="1"/>
  <c r="L282" i="44"/>
  <c r="K282" i="44"/>
  <c r="J282" i="44"/>
  <c r="I282" i="44"/>
  <c r="H282" i="44"/>
  <c r="G282" i="44"/>
  <c r="E282" i="44"/>
  <c r="D282" i="44"/>
  <c r="O281" i="44"/>
  <c r="L281" i="44"/>
  <c r="I281" i="44"/>
  <c r="C281" i="44" s="1"/>
  <c r="F281" i="44"/>
  <c r="O280" i="44"/>
  <c r="L280" i="44"/>
  <c r="C280" i="44" s="1"/>
  <c r="I280" i="44"/>
  <c r="F280" i="44"/>
  <c r="O279" i="44"/>
  <c r="O278" i="44" s="1"/>
  <c r="L279" i="44"/>
  <c r="I279" i="44"/>
  <c r="F279" i="44"/>
  <c r="C279" i="44"/>
  <c r="N278" i="44"/>
  <c r="M278" i="44"/>
  <c r="L278" i="44"/>
  <c r="K278" i="44"/>
  <c r="J278" i="44"/>
  <c r="I278" i="44"/>
  <c r="H278" i="44"/>
  <c r="G278" i="44"/>
  <c r="E278" i="44"/>
  <c r="D278" i="44"/>
  <c r="O277" i="44"/>
  <c r="L277" i="44"/>
  <c r="I277" i="44"/>
  <c r="F277" i="44"/>
  <c r="O276" i="44"/>
  <c r="L276" i="44"/>
  <c r="C276" i="44" s="1"/>
  <c r="I276" i="44"/>
  <c r="F276" i="44"/>
  <c r="O275" i="44"/>
  <c r="L275" i="44"/>
  <c r="I275" i="44"/>
  <c r="F275" i="44"/>
  <c r="C275" i="44"/>
  <c r="N274" i="44"/>
  <c r="M274" i="44"/>
  <c r="L274" i="44"/>
  <c r="K274" i="44"/>
  <c r="J274" i="44"/>
  <c r="I274" i="44"/>
  <c r="H274" i="44"/>
  <c r="H272" i="44" s="1"/>
  <c r="G274" i="44"/>
  <c r="E274" i="44"/>
  <c r="E272" i="44" s="1"/>
  <c r="D274" i="44"/>
  <c r="O273" i="44"/>
  <c r="L273" i="44"/>
  <c r="I273" i="44"/>
  <c r="C273" i="44" s="1"/>
  <c r="F273" i="44"/>
  <c r="N272" i="44"/>
  <c r="N271" i="44" s="1"/>
  <c r="K272" i="44"/>
  <c r="K271" i="44" s="1"/>
  <c r="J272" i="44"/>
  <c r="G272" i="44"/>
  <c r="I272" i="44" s="1"/>
  <c r="H271" i="44"/>
  <c r="G271" i="44"/>
  <c r="O270" i="44"/>
  <c r="L270" i="44"/>
  <c r="I270" i="44"/>
  <c r="F270" i="44"/>
  <c r="C270" i="44" s="1"/>
  <c r="O269" i="44"/>
  <c r="L269" i="44"/>
  <c r="I269" i="44"/>
  <c r="F269" i="44"/>
  <c r="O268" i="44"/>
  <c r="L268" i="44"/>
  <c r="I268" i="44"/>
  <c r="F268" i="44"/>
  <c r="C268" i="44"/>
  <c r="O267" i="44"/>
  <c r="L267" i="44"/>
  <c r="I267" i="44"/>
  <c r="F267" i="44"/>
  <c r="C267" i="44" s="1"/>
  <c r="N266" i="44"/>
  <c r="M266" i="44"/>
  <c r="O266" i="44" s="1"/>
  <c r="L266" i="44"/>
  <c r="K266" i="44"/>
  <c r="J266" i="44"/>
  <c r="H266" i="44"/>
  <c r="I266" i="44" s="1"/>
  <c r="G266" i="44"/>
  <c r="E266" i="44"/>
  <c r="D266" i="44"/>
  <c r="F266" i="44" s="1"/>
  <c r="O265" i="44"/>
  <c r="L265" i="44"/>
  <c r="I265" i="44"/>
  <c r="F265" i="44"/>
  <c r="O264" i="44"/>
  <c r="L264" i="44"/>
  <c r="I264" i="44"/>
  <c r="F264" i="44"/>
  <c r="C264" i="44"/>
  <c r="O263" i="44"/>
  <c r="L263" i="44"/>
  <c r="I263" i="44"/>
  <c r="F263" i="44"/>
  <c r="C263" i="44" s="1"/>
  <c r="N262" i="44"/>
  <c r="M262" i="44"/>
  <c r="O262" i="44" s="1"/>
  <c r="L262" i="44"/>
  <c r="K262" i="44"/>
  <c r="J262" i="44"/>
  <c r="H262" i="44"/>
  <c r="G262" i="44"/>
  <c r="E262" i="44"/>
  <c r="D262" i="44"/>
  <c r="N261" i="44"/>
  <c r="K261" i="44"/>
  <c r="J261" i="44"/>
  <c r="L261" i="44" s="1"/>
  <c r="G261" i="44"/>
  <c r="E261" i="44"/>
  <c r="O260" i="44"/>
  <c r="L260" i="44"/>
  <c r="I260" i="44"/>
  <c r="F260" i="44"/>
  <c r="C260" i="44"/>
  <c r="O259" i="44"/>
  <c r="L259" i="44"/>
  <c r="I259" i="44"/>
  <c r="F259" i="44"/>
  <c r="C259" i="44" s="1"/>
  <c r="O258" i="44"/>
  <c r="L258" i="44"/>
  <c r="I258" i="44"/>
  <c r="F258" i="44"/>
  <c r="O257" i="44"/>
  <c r="L257" i="44"/>
  <c r="I257" i="44"/>
  <c r="F257" i="44"/>
  <c r="O256" i="44"/>
  <c r="L256" i="44"/>
  <c r="C256" i="44" s="1"/>
  <c r="I256" i="44"/>
  <c r="F256" i="44"/>
  <c r="O255" i="44"/>
  <c r="N255" i="44"/>
  <c r="M255" i="44"/>
  <c r="K255" i="44"/>
  <c r="J255" i="44"/>
  <c r="H255" i="44"/>
  <c r="G255" i="44"/>
  <c r="E255" i="44"/>
  <c r="D255" i="44"/>
  <c r="N254" i="44"/>
  <c r="M254" i="44"/>
  <c r="O254" i="44" s="1"/>
  <c r="J254" i="44"/>
  <c r="H254" i="44"/>
  <c r="E254" i="44"/>
  <c r="O253" i="44"/>
  <c r="L253" i="44"/>
  <c r="I253" i="44"/>
  <c r="F253" i="44"/>
  <c r="O252" i="44"/>
  <c r="L252" i="44"/>
  <c r="C252" i="44" s="1"/>
  <c r="I252" i="44"/>
  <c r="F252" i="44"/>
  <c r="O251" i="44"/>
  <c r="L251" i="44"/>
  <c r="I251" i="44"/>
  <c r="F251" i="44"/>
  <c r="C251" i="44"/>
  <c r="O250" i="44"/>
  <c r="L250" i="44"/>
  <c r="I250" i="44"/>
  <c r="F250" i="44"/>
  <c r="C250" i="44" s="1"/>
  <c r="N249" i="44"/>
  <c r="M249" i="44"/>
  <c r="K249" i="44"/>
  <c r="J249" i="44"/>
  <c r="L249" i="44" s="1"/>
  <c r="I249" i="44"/>
  <c r="H249" i="44"/>
  <c r="G249" i="44"/>
  <c r="F249" i="44"/>
  <c r="E249" i="44"/>
  <c r="E234" i="44" s="1"/>
  <c r="E233" i="44" s="1"/>
  <c r="D249" i="44"/>
  <c r="O248" i="44"/>
  <c r="L248" i="44"/>
  <c r="C248" i="44" s="1"/>
  <c r="I248" i="44"/>
  <c r="F248" i="44"/>
  <c r="O247" i="44"/>
  <c r="L247" i="44"/>
  <c r="I247" i="44"/>
  <c r="F247" i="44"/>
  <c r="C247" i="44"/>
  <c r="O246" i="44"/>
  <c r="L246" i="44"/>
  <c r="I246" i="44"/>
  <c r="F246" i="44"/>
  <c r="C246" i="44" s="1"/>
  <c r="O245" i="44"/>
  <c r="L245" i="44"/>
  <c r="I245" i="44"/>
  <c r="F245" i="44"/>
  <c r="C245" i="44" s="1"/>
  <c r="O244" i="44"/>
  <c r="L244" i="44"/>
  <c r="I244" i="44"/>
  <c r="F244" i="44"/>
  <c r="C244" i="44"/>
  <c r="O243" i="44"/>
  <c r="L243" i="44"/>
  <c r="I243" i="44"/>
  <c r="F243" i="44"/>
  <c r="C243" i="44" s="1"/>
  <c r="O242" i="44"/>
  <c r="L242" i="44"/>
  <c r="I242" i="44"/>
  <c r="F242" i="44"/>
  <c r="N241" i="44"/>
  <c r="M241" i="44"/>
  <c r="O241" i="44" s="1"/>
  <c r="K241" i="44"/>
  <c r="J241" i="44"/>
  <c r="L241" i="44" s="1"/>
  <c r="I241" i="44"/>
  <c r="H241" i="44"/>
  <c r="G241" i="44"/>
  <c r="F241" i="44"/>
  <c r="E241" i="44"/>
  <c r="D241" i="44"/>
  <c r="O240" i="44"/>
  <c r="L240" i="44"/>
  <c r="I240" i="44"/>
  <c r="F240" i="44"/>
  <c r="C240" i="44"/>
  <c r="O239" i="44"/>
  <c r="L239" i="44"/>
  <c r="I239" i="44"/>
  <c r="F239" i="44"/>
  <c r="C239" i="44" s="1"/>
  <c r="N238" i="44"/>
  <c r="M238" i="44"/>
  <c r="O238" i="44" s="1"/>
  <c r="L238" i="44"/>
  <c r="K238" i="44"/>
  <c r="J238" i="44"/>
  <c r="I238" i="44"/>
  <c r="H238" i="44"/>
  <c r="H234" i="44" s="1"/>
  <c r="G238" i="44"/>
  <c r="E238" i="44"/>
  <c r="D238" i="44"/>
  <c r="F238" i="44" s="1"/>
  <c r="C238" i="44" s="1"/>
  <c r="O237" i="44"/>
  <c r="L237" i="44"/>
  <c r="I237" i="44"/>
  <c r="F237" i="44"/>
  <c r="O236" i="44"/>
  <c r="N236" i="44"/>
  <c r="N234" i="44" s="1"/>
  <c r="N233" i="44" s="1"/>
  <c r="M236" i="44"/>
  <c r="K236" i="44"/>
  <c r="K234" i="44" s="1"/>
  <c r="J236" i="44"/>
  <c r="H236" i="44"/>
  <c r="G236" i="44"/>
  <c r="F236" i="44"/>
  <c r="E236" i="44"/>
  <c r="D236" i="44"/>
  <c r="O235" i="44"/>
  <c r="L235" i="44"/>
  <c r="I235" i="44"/>
  <c r="F235" i="44"/>
  <c r="C235" i="44"/>
  <c r="M234" i="44"/>
  <c r="O234" i="44" s="1"/>
  <c r="D234" i="44"/>
  <c r="O232" i="44"/>
  <c r="L232" i="44"/>
  <c r="I232" i="44"/>
  <c r="F232" i="44"/>
  <c r="C232" i="44"/>
  <c r="O231" i="44"/>
  <c r="L231" i="44"/>
  <c r="I231" i="44"/>
  <c r="F231" i="44"/>
  <c r="C231" i="44" s="1"/>
  <c r="N230" i="44"/>
  <c r="M230" i="44"/>
  <c r="L230" i="44"/>
  <c r="K230" i="44"/>
  <c r="J230" i="44"/>
  <c r="I230" i="44"/>
  <c r="H230" i="44"/>
  <c r="G230" i="44"/>
  <c r="E230" i="44"/>
  <c r="E207" i="44" s="1"/>
  <c r="D230" i="44"/>
  <c r="F230" i="44" s="1"/>
  <c r="O229" i="44"/>
  <c r="L229" i="44"/>
  <c r="I229" i="44"/>
  <c r="F229" i="44"/>
  <c r="C229" i="44" s="1"/>
  <c r="O228" i="44"/>
  <c r="L228" i="44"/>
  <c r="I228" i="44"/>
  <c r="F228" i="44"/>
  <c r="C228" i="44"/>
  <c r="O227" i="44"/>
  <c r="L227" i="44"/>
  <c r="I227" i="44"/>
  <c r="F227" i="44"/>
  <c r="C227" i="44" s="1"/>
  <c r="O226" i="44"/>
  <c r="L226" i="44"/>
  <c r="I226" i="44"/>
  <c r="F226" i="44"/>
  <c r="O225" i="44"/>
  <c r="L225" i="44"/>
  <c r="I225" i="44"/>
  <c r="F225" i="44"/>
  <c r="O224" i="44"/>
  <c r="L224" i="44"/>
  <c r="C224" i="44" s="1"/>
  <c r="I224" i="44"/>
  <c r="F224" i="44"/>
  <c r="O223" i="44"/>
  <c r="L223" i="44"/>
  <c r="I223" i="44"/>
  <c r="F223" i="44"/>
  <c r="C223" i="44"/>
  <c r="O222" i="44"/>
  <c r="L222" i="44"/>
  <c r="I222" i="44"/>
  <c r="F222" i="44"/>
  <c r="C222" i="44" s="1"/>
  <c r="O221" i="44"/>
  <c r="L221" i="44"/>
  <c r="I221" i="44"/>
  <c r="F221" i="44"/>
  <c r="O220" i="44"/>
  <c r="L220" i="44"/>
  <c r="I220" i="44"/>
  <c r="F220" i="44"/>
  <c r="C220" i="44"/>
  <c r="O219" i="44"/>
  <c r="N219" i="44"/>
  <c r="M219" i="44"/>
  <c r="L219" i="44"/>
  <c r="K219" i="44"/>
  <c r="J219" i="44"/>
  <c r="H219" i="44"/>
  <c r="G219" i="44"/>
  <c r="I219" i="44" s="1"/>
  <c r="C219" i="44" s="1"/>
  <c r="E219" i="44"/>
  <c r="D219" i="44"/>
  <c r="F219" i="44" s="1"/>
  <c r="O218" i="44"/>
  <c r="L218" i="44"/>
  <c r="I218" i="44"/>
  <c r="F218" i="44"/>
  <c r="C218" i="44" s="1"/>
  <c r="O217" i="44"/>
  <c r="L217" i="44"/>
  <c r="I217" i="44"/>
  <c r="F217" i="44"/>
  <c r="O216" i="44"/>
  <c r="L216" i="44"/>
  <c r="I216" i="44"/>
  <c r="F216" i="44"/>
  <c r="C216" i="44"/>
  <c r="O215" i="44"/>
  <c r="L215" i="44"/>
  <c r="I215" i="44"/>
  <c r="F215" i="44"/>
  <c r="C215" i="44" s="1"/>
  <c r="O214" i="44"/>
  <c r="L214" i="44"/>
  <c r="I214" i="44"/>
  <c r="F214" i="44"/>
  <c r="O213" i="44"/>
  <c r="L213" i="44"/>
  <c r="I213" i="44"/>
  <c r="F213" i="44"/>
  <c r="O212" i="44"/>
  <c r="L212" i="44"/>
  <c r="C212" i="44" s="1"/>
  <c r="I212" i="44"/>
  <c r="F212" i="44"/>
  <c r="O211" i="44"/>
  <c r="L211" i="44"/>
  <c r="I211" i="44"/>
  <c r="F211" i="44"/>
  <c r="C211" i="44"/>
  <c r="O210" i="44"/>
  <c r="L210" i="44"/>
  <c r="I210" i="44"/>
  <c r="F210" i="44"/>
  <c r="C210" i="44" s="1"/>
  <c r="O209" i="44"/>
  <c r="L209" i="44"/>
  <c r="I209" i="44"/>
  <c r="F209" i="44"/>
  <c r="N208" i="44"/>
  <c r="N207" i="44" s="1"/>
  <c r="M208" i="44"/>
  <c r="K208" i="44"/>
  <c r="K207" i="44" s="1"/>
  <c r="J208" i="44"/>
  <c r="H208" i="44"/>
  <c r="G208" i="44"/>
  <c r="I208" i="44" s="1"/>
  <c r="F208" i="44"/>
  <c r="E208" i="44"/>
  <c r="D208" i="44"/>
  <c r="G207" i="44"/>
  <c r="O206" i="44"/>
  <c r="L206" i="44"/>
  <c r="I206" i="44"/>
  <c r="F206" i="44"/>
  <c r="O205" i="44"/>
  <c r="L205" i="44"/>
  <c r="I205" i="44"/>
  <c r="F205" i="44"/>
  <c r="O204" i="44"/>
  <c r="L204" i="44"/>
  <c r="C204" i="44" s="1"/>
  <c r="I204" i="44"/>
  <c r="F204" i="44"/>
  <c r="O203" i="44"/>
  <c r="L203" i="44"/>
  <c r="I203" i="44"/>
  <c r="F203" i="44"/>
  <c r="C203" i="44"/>
  <c r="O202" i="44"/>
  <c r="L202" i="44"/>
  <c r="I202" i="44"/>
  <c r="F202" i="44"/>
  <c r="C202" i="44" s="1"/>
  <c r="N201" i="44"/>
  <c r="N199" i="44" s="1"/>
  <c r="N198" i="44" s="1"/>
  <c r="N197" i="44" s="1"/>
  <c r="M201" i="44"/>
  <c r="K201" i="44"/>
  <c r="J201" i="44"/>
  <c r="I201" i="44"/>
  <c r="H201" i="44"/>
  <c r="G201" i="44"/>
  <c r="E201" i="44"/>
  <c r="E199" i="44" s="1"/>
  <c r="E198" i="44" s="1"/>
  <c r="D201" i="44"/>
  <c r="O200" i="44"/>
  <c r="L200" i="44"/>
  <c r="C200" i="44" s="1"/>
  <c r="I200" i="44"/>
  <c r="F200" i="44"/>
  <c r="K199" i="44"/>
  <c r="H199" i="44"/>
  <c r="G199" i="44"/>
  <c r="D199" i="44"/>
  <c r="O196" i="44"/>
  <c r="L196" i="44"/>
  <c r="C196" i="44" s="1"/>
  <c r="I196" i="44"/>
  <c r="F196" i="44"/>
  <c r="O195" i="44"/>
  <c r="N195" i="44"/>
  <c r="M195" i="44"/>
  <c r="K195" i="44"/>
  <c r="J195" i="44"/>
  <c r="H195" i="44"/>
  <c r="G195" i="44"/>
  <c r="E195" i="44"/>
  <c r="D195" i="44"/>
  <c r="F195" i="44" s="1"/>
  <c r="N194" i="44"/>
  <c r="M194" i="44"/>
  <c r="O194" i="44" s="1"/>
  <c r="J194" i="44"/>
  <c r="H194" i="44"/>
  <c r="E194" i="44"/>
  <c r="E190" i="44" s="1"/>
  <c r="D194" i="44"/>
  <c r="D190" i="44" s="1"/>
  <c r="O193" i="44"/>
  <c r="L193" i="44"/>
  <c r="I193" i="44"/>
  <c r="F193" i="44"/>
  <c r="O192" i="44"/>
  <c r="L192" i="44"/>
  <c r="C192" i="44" s="1"/>
  <c r="I192" i="44"/>
  <c r="F192" i="44"/>
  <c r="O191" i="44"/>
  <c r="N191" i="44"/>
  <c r="M191" i="44"/>
  <c r="K191" i="44"/>
  <c r="J191" i="44"/>
  <c r="H191" i="44"/>
  <c r="H190" i="44" s="1"/>
  <c r="G191" i="44"/>
  <c r="E191" i="44"/>
  <c r="D191" i="44"/>
  <c r="F191" i="44" s="1"/>
  <c r="N190" i="44"/>
  <c r="J190" i="44"/>
  <c r="O189" i="44"/>
  <c r="L189" i="44"/>
  <c r="I189" i="44"/>
  <c r="F189" i="44"/>
  <c r="O188" i="44"/>
  <c r="L188" i="44"/>
  <c r="C188" i="44" s="1"/>
  <c r="I188" i="44"/>
  <c r="F188" i="44"/>
  <c r="O187" i="44"/>
  <c r="N187" i="44"/>
  <c r="M187" i="44"/>
  <c r="K187" i="44"/>
  <c r="L187" i="44" s="1"/>
  <c r="J187" i="44"/>
  <c r="H187" i="44"/>
  <c r="G187" i="44"/>
  <c r="E187" i="44"/>
  <c r="D187" i="44"/>
  <c r="F187" i="44" s="1"/>
  <c r="O186" i="44"/>
  <c r="L186" i="44"/>
  <c r="I186" i="44"/>
  <c r="F186" i="44"/>
  <c r="O185" i="44"/>
  <c r="L185" i="44"/>
  <c r="I185" i="44"/>
  <c r="F185" i="44"/>
  <c r="O184" i="44"/>
  <c r="L184" i="44"/>
  <c r="C184" i="44" s="1"/>
  <c r="I184" i="44"/>
  <c r="F184" i="44"/>
  <c r="O183" i="44"/>
  <c r="L183" i="44"/>
  <c r="I183" i="44"/>
  <c r="F183" i="44"/>
  <c r="C183" i="44"/>
  <c r="N182" i="44"/>
  <c r="M182" i="44"/>
  <c r="O182" i="44" s="1"/>
  <c r="L182" i="44"/>
  <c r="K182" i="44"/>
  <c r="J182" i="44"/>
  <c r="I182" i="44"/>
  <c r="H182" i="44"/>
  <c r="G182" i="44"/>
  <c r="E182" i="44"/>
  <c r="D182" i="44"/>
  <c r="F182" i="44" s="1"/>
  <c r="C182" i="44" s="1"/>
  <c r="O181" i="44"/>
  <c r="L181" i="44"/>
  <c r="I181" i="44"/>
  <c r="F181" i="44"/>
  <c r="O180" i="44"/>
  <c r="L180" i="44"/>
  <c r="C180" i="44" s="1"/>
  <c r="I180" i="44"/>
  <c r="F180" i="44"/>
  <c r="O179" i="44"/>
  <c r="L179" i="44"/>
  <c r="I179" i="44"/>
  <c r="F179" i="44"/>
  <c r="C179" i="44"/>
  <c r="N178" i="44"/>
  <c r="M178" i="44"/>
  <c r="O178" i="44" s="1"/>
  <c r="L178" i="44"/>
  <c r="K178" i="44"/>
  <c r="J178" i="44"/>
  <c r="I178" i="44"/>
  <c r="H178" i="44"/>
  <c r="H177" i="44" s="1"/>
  <c r="G178" i="44"/>
  <c r="E178" i="44"/>
  <c r="E177" i="44" s="1"/>
  <c r="E176" i="44" s="1"/>
  <c r="D178" i="44"/>
  <c r="N177" i="44"/>
  <c r="K177" i="44"/>
  <c r="J177" i="44"/>
  <c r="L177" i="44" s="1"/>
  <c r="I177" i="44"/>
  <c r="G177" i="44"/>
  <c r="N176" i="44"/>
  <c r="K176" i="44"/>
  <c r="J176" i="44"/>
  <c r="G176" i="44"/>
  <c r="O175" i="44"/>
  <c r="L175" i="44"/>
  <c r="I175" i="44"/>
  <c r="F175" i="44"/>
  <c r="C175" i="44" s="1"/>
  <c r="O174" i="44"/>
  <c r="L174" i="44"/>
  <c r="I174" i="44"/>
  <c r="F174" i="44"/>
  <c r="O173" i="44"/>
  <c r="L173" i="44"/>
  <c r="I173" i="44"/>
  <c r="F173" i="44"/>
  <c r="O172" i="44"/>
  <c r="L172" i="44"/>
  <c r="C172" i="44" s="1"/>
  <c r="I172" i="44"/>
  <c r="F172" i="44"/>
  <c r="O171" i="44"/>
  <c r="L171" i="44"/>
  <c r="I171" i="44"/>
  <c r="F171" i="44"/>
  <c r="C171" i="44"/>
  <c r="O170" i="44"/>
  <c r="L170" i="44"/>
  <c r="I170" i="44"/>
  <c r="F170" i="44"/>
  <c r="C170" i="44" s="1"/>
  <c r="N169" i="44"/>
  <c r="N168" i="44" s="1"/>
  <c r="M169" i="44"/>
  <c r="K169" i="44"/>
  <c r="J169" i="44"/>
  <c r="L169" i="44" s="1"/>
  <c r="I169" i="44"/>
  <c r="H169" i="44"/>
  <c r="G169" i="44"/>
  <c r="E169" i="44"/>
  <c r="E168" i="44" s="1"/>
  <c r="F168" i="44" s="1"/>
  <c r="D169" i="44"/>
  <c r="K168" i="44"/>
  <c r="J168" i="44"/>
  <c r="L168" i="44" s="1"/>
  <c r="H168" i="44"/>
  <c r="G168" i="44"/>
  <c r="I168" i="44" s="1"/>
  <c r="D168" i="44"/>
  <c r="O167" i="44"/>
  <c r="L167" i="44"/>
  <c r="I167" i="44"/>
  <c r="F167" i="44"/>
  <c r="C167" i="44"/>
  <c r="O166" i="44"/>
  <c r="L166" i="44"/>
  <c r="I166" i="44"/>
  <c r="F166" i="44"/>
  <c r="C166" i="44" s="1"/>
  <c r="O165" i="44"/>
  <c r="L165" i="44"/>
  <c r="I165" i="44"/>
  <c r="F165" i="44"/>
  <c r="O164" i="44"/>
  <c r="L164" i="44"/>
  <c r="I164" i="44"/>
  <c r="F164" i="44"/>
  <c r="C164" i="44"/>
  <c r="O163" i="44"/>
  <c r="N163" i="44"/>
  <c r="M163" i="44"/>
  <c r="L163" i="44"/>
  <c r="K163" i="44"/>
  <c r="J163" i="44"/>
  <c r="H163" i="44"/>
  <c r="G163" i="44"/>
  <c r="E163" i="44"/>
  <c r="D163" i="44"/>
  <c r="F163" i="44" s="1"/>
  <c r="O162" i="44"/>
  <c r="L162" i="44"/>
  <c r="I162" i="44"/>
  <c r="F162" i="44"/>
  <c r="C162" i="44" s="1"/>
  <c r="O161" i="44"/>
  <c r="L161" i="44"/>
  <c r="I161" i="44"/>
  <c r="F161" i="44"/>
  <c r="C161" i="44" s="1"/>
  <c r="O160" i="44"/>
  <c r="L160" i="44"/>
  <c r="I160" i="44"/>
  <c r="F160" i="44"/>
  <c r="C160" i="44"/>
  <c r="O159" i="44"/>
  <c r="L159" i="44"/>
  <c r="I159" i="44"/>
  <c r="F159" i="44"/>
  <c r="C159" i="44" s="1"/>
  <c r="O158" i="44"/>
  <c r="L158" i="44"/>
  <c r="I158" i="44"/>
  <c r="F158" i="44"/>
  <c r="O157" i="44"/>
  <c r="L157" i="44"/>
  <c r="I157" i="44"/>
  <c r="F157" i="44"/>
  <c r="O156" i="44"/>
  <c r="L156" i="44"/>
  <c r="C156" i="44" s="1"/>
  <c r="I156" i="44"/>
  <c r="F156" i="44"/>
  <c r="O155" i="44"/>
  <c r="L155" i="44"/>
  <c r="I155" i="44"/>
  <c r="F155" i="44"/>
  <c r="C155" i="44"/>
  <c r="N154" i="44"/>
  <c r="M154" i="44"/>
  <c r="O154" i="44" s="1"/>
  <c r="L154" i="44"/>
  <c r="K154" i="44"/>
  <c r="J154" i="44"/>
  <c r="I154" i="44"/>
  <c r="H154" i="44"/>
  <c r="G154" i="44"/>
  <c r="E154" i="44"/>
  <c r="E133" i="44" s="1"/>
  <c r="D154" i="44"/>
  <c r="O153" i="44"/>
  <c r="L153" i="44"/>
  <c r="I153" i="44"/>
  <c r="F153" i="44"/>
  <c r="O152" i="44"/>
  <c r="L152" i="44"/>
  <c r="C152" i="44" s="1"/>
  <c r="I152" i="44"/>
  <c r="F152" i="44"/>
  <c r="O151" i="44"/>
  <c r="L151" i="44"/>
  <c r="I151" i="44"/>
  <c r="F151" i="44"/>
  <c r="C151" i="44"/>
  <c r="O150" i="44"/>
  <c r="L150" i="44"/>
  <c r="I150" i="44"/>
  <c r="F150" i="44"/>
  <c r="C150" i="44" s="1"/>
  <c r="O149" i="44"/>
  <c r="L149" i="44"/>
  <c r="I149" i="44"/>
  <c r="F149" i="44"/>
  <c r="O148" i="44"/>
  <c r="L148" i="44"/>
  <c r="I148" i="44"/>
  <c r="F148" i="44"/>
  <c r="C148" i="44"/>
  <c r="O147" i="44"/>
  <c r="N147" i="44"/>
  <c r="M147" i="44"/>
  <c r="L147" i="44"/>
  <c r="K147" i="44"/>
  <c r="J147" i="44"/>
  <c r="H147" i="44"/>
  <c r="G147" i="44"/>
  <c r="I147" i="44" s="1"/>
  <c r="C147" i="44" s="1"/>
  <c r="E147" i="44"/>
  <c r="D147" i="44"/>
  <c r="F147" i="44" s="1"/>
  <c r="O146" i="44"/>
  <c r="L146" i="44"/>
  <c r="I146" i="44"/>
  <c r="F146" i="44"/>
  <c r="C146" i="44" s="1"/>
  <c r="O145" i="44"/>
  <c r="L145" i="44"/>
  <c r="I145" i="44"/>
  <c r="F145" i="44"/>
  <c r="O144" i="44"/>
  <c r="N144" i="44"/>
  <c r="N133" i="44" s="1"/>
  <c r="M144" i="44"/>
  <c r="K144" i="44"/>
  <c r="J144" i="44"/>
  <c r="H144" i="44"/>
  <c r="G144" i="44"/>
  <c r="I144" i="44" s="1"/>
  <c r="F144" i="44"/>
  <c r="E144" i="44"/>
  <c r="D144" i="44"/>
  <c r="O143" i="44"/>
  <c r="L143" i="44"/>
  <c r="I143" i="44"/>
  <c r="F143" i="44"/>
  <c r="C143" i="44"/>
  <c r="O142" i="44"/>
  <c r="L142" i="44"/>
  <c r="I142" i="44"/>
  <c r="F142" i="44"/>
  <c r="C142" i="44" s="1"/>
  <c r="O141" i="44"/>
  <c r="L141" i="44"/>
  <c r="I141" i="44"/>
  <c r="F141" i="44"/>
  <c r="O140" i="44"/>
  <c r="L140" i="44"/>
  <c r="C140" i="44" s="1"/>
  <c r="I140" i="44"/>
  <c r="F140" i="44"/>
  <c r="O139" i="44"/>
  <c r="N139" i="44"/>
  <c r="M139" i="44"/>
  <c r="K139" i="44"/>
  <c r="K133" i="44" s="1"/>
  <c r="J139" i="44"/>
  <c r="H139" i="44"/>
  <c r="G139" i="44"/>
  <c r="E139" i="44"/>
  <c r="D139" i="44"/>
  <c r="F139" i="44" s="1"/>
  <c r="O138" i="44"/>
  <c r="L138" i="44"/>
  <c r="I138" i="44"/>
  <c r="F138" i="44"/>
  <c r="C138" i="44" s="1"/>
  <c r="O137" i="44"/>
  <c r="L137" i="44"/>
  <c r="I137" i="44"/>
  <c r="F137" i="44"/>
  <c r="O136" i="44"/>
  <c r="L136" i="44"/>
  <c r="C136" i="44" s="1"/>
  <c r="I136" i="44"/>
  <c r="F136" i="44"/>
  <c r="O135" i="44"/>
  <c r="L135" i="44"/>
  <c r="I135" i="44"/>
  <c r="F135" i="44"/>
  <c r="C135" i="44"/>
  <c r="N134" i="44"/>
  <c r="M134" i="44"/>
  <c r="O134" i="44" s="1"/>
  <c r="L134" i="44"/>
  <c r="K134" i="44"/>
  <c r="J134" i="44"/>
  <c r="I134" i="44"/>
  <c r="H134" i="44"/>
  <c r="G134" i="44"/>
  <c r="E134" i="44"/>
  <c r="D134" i="44"/>
  <c r="M133" i="44"/>
  <c r="O132" i="44"/>
  <c r="L132" i="44"/>
  <c r="I132" i="44"/>
  <c r="F132" i="44"/>
  <c r="C132" i="44"/>
  <c r="O131" i="44"/>
  <c r="N131" i="44"/>
  <c r="M131" i="44"/>
  <c r="L131" i="44"/>
  <c r="K131" i="44"/>
  <c r="J131" i="44"/>
  <c r="H131" i="44"/>
  <c r="G131" i="44"/>
  <c r="I131" i="44" s="1"/>
  <c r="E131" i="44"/>
  <c r="D131" i="44"/>
  <c r="F131" i="44" s="1"/>
  <c r="C131" i="44" s="1"/>
  <c r="O130" i="44"/>
  <c r="L130" i="44"/>
  <c r="I130" i="44"/>
  <c r="F130" i="44"/>
  <c r="O129" i="44"/>
  <c r="L129" i="44"/>
  <c r="I129" i="44"/>
  <c r="F129" i="44"/>
  <c r="O128" i="44"/>
  <c r="L128" i="44"/>
  <c r="I128" i="44"/>
  <c r="F128" i="44"/>
  <c r="C128" i="44"/>
  <c r="O127" i="44"/>
  <c r="L127" i="44"/>
  <c r="I127" i="44"/>
  <c r="F127" i="44"/>
  <c r="C127" i="44" s="1"/>
  <c r="O126" i="44"/>
  <c r="L126" i="44"/>
  <c r="I126" i="44"/>
  <c r="F126" i="44"/>
  <c r="C126" i="44" s="1"/>
  <c r="N125" i="44"/>
  <c r="M125" i="44"/>
  <c r="O125" i="44" s="1"/>
  <c r="K125" i="44"/>
  <c r="J125" i="44"/>
  <c r="L125" i="44" s="1"/>
  <c r="I125" i="44"/>
  <c r="H125" i="44"/>
  <c r="G125" i="44"/>
  <c r="F125" i="44"/>
  <c r="C125" i="44" s="1"/>
  <c r="E125" i="44"/>
  <c r="D125" i="44"/>
  <c r="O124" i="44"/>
  <c r="L124" i="44"/>
  <c r="I124" i="44"/>
  <c r="F124" i="44"/>
  <c r="C124" i="44"/>
  <c r="O123" i="44"/>
  <c r="L123" i="44"/>
  <c r="I123" i="44"/>
  <c r="F123" i="44"/>
  <c r="C123" i="44" s="1"/>
  <c r="O122" i="44"/>
  <c r="L122" i="44"/>
  <c r="I122" i="44"/>
  <c r="F122" i="44"/>
  <c r="C122" i="44" s="1"/>
  <c r="O121" i="44"/>
  <c r="L121" i="44"/>
  <c r="I121" i="44"/>
  <c r="F121" i="44"/>
  <c r="C121" i="44" s="1"/>
  <c r="O120" i="44"/>
  <c r="L120" i="44"/>
  <c r="I120" i="44"/>
  <c r="F120" i="44"/>
  <c r="C120" i="44"/>
  <c r="O119" i="44"/>
  <c r="N119" i="44"/>
  <c r="M119" i="44"/>
  <c r="L119" i="44"/>
  <c r="K119" i="44"/>
  <c r="J119" i="44"/>
  <c r="H119" i="44"/>
  <c r="G119" i="44"/>
  <c r="I119" i="44" s="1"/>
  <c r="E119" i="44"/>
  <c r="D119" i="44"/>
  <c r="F119" i="44" s="1"/>
  <c r="O118" i="44"/>
  <c r="L118" i="44"/>
  <c r="I118" i="44"/>
  <c r="F118" i="44"/>
  <c r="C118" i="44" s="1"/>
  <c r="O117" i="44"/>
  <c r="L117" i="44"/>
  <c r="I117" i="44"/>
  <c r="F117" i="44"/>
  <c r="C117" i="44" s="1"/>
  <c r="O116" i="44"/>
  <c r="L116" i="44"/>
  <c r="I116" i="44"/>
  <c r="F116" i="44"/>
  <c r="C116" i="44"/>
  <c r="O115" i="44"/>
  <c r="N115" i="44"/>
  <c r="M115" i="44"/>
  <c r="L115" i="44"/>
  <c r="K115" i="44"/>
  <c r="J115" i="44"/>
  <c r="H115" i="44"/>
  <c r="G115" i="44"/>
  <c r="I115" i="44" s="1"/>
  <c r="E115" i="44"/>
  <c r="D115" i="44"/>
  <c r="F115" i="44" s="1"/>
  <c r="O114" i="44"/>
  <c r="L114" i="44"/>
  <c r="I114" i="44"/>
  <c r="F114" i="44"/>
  <c r="C114" i="44" s="1"/>
  <c r="O113" i="44"/>
  <c r="L113" i="44"/>
  <c r="I113" i="44"/>
  <c r="F113" i="44"/>
  <c r="C113" i="44" s="1"/>
  <c r="O112" i="44"/>
  <c r="L112" i="44"/>
  <c r="I112" i="44"/>
  <c r="F112" i="44"/>
  <c r="C112" i="44"/>
  <c r="O111" i="44"/>
  <c r="L111" i="44"/>
  <c r="I111" i="44"/>
  <c r="F111" i="44"/>
  <c r="C111" i="44" s="1"/>
  <c r="O110" i="44"/>
  <c r="L110" i="44"/>
  <c r="I110" i="44"/>
  <c r="F110" i="44"/>
  <c r="C110" i="44" s="1"/>
  <c r="O109" i="44"/>
  <c r="L109" i="44"/>
  <c r="I109" i="44"/>
  <c r="F109" i="44"/>
  <c r="C109" i="44" s="1"/>
  <c r="O108" i="44"/>
  <c r="L108" i="44"/>
  <c r="I108" i="44"/>
  <c r="F108" i="44"/>
  <c r="C108" i="44"/>
  <c r="O107" i="44"/>
  <c r="L107" i="44"/>
  <c r="I107" i="44"/>
  <c r="F107" i="44"/>
  <c r="C107" i="44" s="1"/>
  <c r="N106" i="44"/>
  <c r="M106" i="44"/>
  <c r="O106" i="44" s="1"/>
  <c r="L106" i="44"/>
  <c r="K106" i="44"/>
  <c r="J106" i="44"/>
  <c r="I106" i="44"/>
  <c r="H106" i="44"/>
  <c r="G106" i="44"/>
  <c r="E106" i="44"/>
  <c r="D106" i="44"/>
  <c r="F106" i="44" s="1"/>
  <c r="C106" i="44" s="1"/>
  <c r="O105" i="44"/>
  <c r="L105" i="44"/>
  <c r="I105" i="44"/>
  <c r="F105" i="44"/>
  <c r="C105" i="44" s="1"/>
  <c r="O104" i="44"/>
  <c r="L104" i="44"/>
  <c r="I104" i="44"/>
  <c r="F104" i="44"/>
  <c r="C104" i="44"/>
  <c r="O103" i="44"/>
  <c r="L103" i="44"/>
  <c r="I103" i="44"/>
  <c r="F103" i="44"/>
  <c r="C103" i="44" s="1"/>
  <c r="O102" i="44"/>
  <c r="L102" i="44"/>
  <c r="I102" i="44"/>
  <c r="F102" i="44"/>
  <c r="C102" i="44" s="1"/>
  <c r="O101" i="44"/>
  <c r="L101" i="44"/>
  <c r="I101" i="44"/>
  <c r="F101" i="44"/>
  <c r="C101" i="44" s="1"/>
  <c r="O100" i="44"/>
  <c r="L100" i="44"/>
  <c r="I100" i="44"/>
  <c r="F100" i="44"/>
  <c r="C100" i="44"/>
  <c r="O99" i="44"/>
  <c r="L99" i="44"/>
  <c r="I99" i="44"/>
  <c r="F99" i="44"/>
  <c r="C99" i="44" s="1"/>
  <c r="N98" i="44"/>
  <c r="M98" i="44"/>
  <c r="O98" i="44" s="1"/>
  <c r="L98" i="44"/>
  <c r="K98" i="44"/>
  <c r="J98" i="44"/>
  <c r="I98" i="44"/>
  <c r="H98" i="44"/>
  <c r="G98" i="44"/>
  <c r="E98" i="44"/>
  <c r="D98" i="44"/>
  <c r="F98" i="44" s="1"/>
  <c r="C98" i="44" s="1"/>
  <c r="O97" i="44"/>
  <c r="L97" i="44"/>
  <c r="I97" i="44"/>
  <c r="F97" i="44"/>
  <c r="C97" i="44" s="1"/>
  <c r="O96" i="44"/>
  <c r="L96" i="44"/>
  <c r="I96" i="44"/>
  <c r="F96" i="44"/>
  <c r="C96" i="44"/>
  <c r="O95" i="44"/>
  <c r="L95" i="44"/>
  <c r="I95" i="44"/>
  <c r="F95" i="44"/>
  <c r="C95" i="44" s="1"/>
  <c r="O94" i="44"/>
  <c r="L94" i="44"/>
  <c r="I94" i="44"/>
  <c r="F94" i="44"/>
  <c r="C94" i="44" s="1"/>
  <c r="O93" i="44"/>
  <c r="L93" i="44"/>
  <c r="I93" i="44"/>
  <c r="F93" i="44"/>
  <c r="C93" i="44" s="1"/>
  <c r="O92" i="44"/>
  <c r="N92" i="44"/>
  <c r="M92" i="44"/>
  <c r="K92" i="44"/>
  <c r="J92" i="44"/>
  <c r="L92" i="44" s="1"/>
  <c r="H92" i="44"/>
  <c r="G92" i="44"/>
  <c r="I92" i="44" s="1"/>
  <c r="F92" i="44"/>
  <c r="E92" i="44"/>
  <c r="D92" i="44"/>
  <c r="O91" i="44"/>
  <c r="L91" i="44"/>
  <c r="I91" i="44"/>
  <c r="F91" i="44"/>
  <c r="C91" i="44" s="1"/>
  <c r="O90" i="44"/>
  <c r="L90" i="44"/>
  <c r="I90" i="44"/>
  <c r="F90" i="44"/>
  <c r="C90" i="44" s="1"/>
  <c r="O89" i="44"/>
  <c r="L89" i="44"/>
  <c r="I89" i="44"/>
  <c r="F89" i="44"/>
  <c r="C89" i="44" s="1"/>
  <c r="O88" i="44"/>
  <c r="L88" i="44"/>
  <c r="I88" i="44"/>
  <c r="F88" i="44"/>
  <c r="C88" i="44"/>
  <c r="O87" i="44"/>
  <c r="N87" i="44"/>
  <c r="N86" i="44" s="1"/>
  <c r="M87" i="44"/>
  <c r="L87" i="44"/>
  <c r="K87" i="44"/>
  <c r="K86" i="44" s="1"/>
  <c r="J87" i="44"/>
  <c r="J86" i="44" s="1"/>
  <c r="L86" i="44" s="1"/>
  <c r="H87" i="44"/>
  <c r="H86" i="44" s="1"/>
  <c r="G87" i="44"/>
  <c r="G86" i="44" s="1"/>
  <c r="I86" i="44" s="1"/>
  <c r="E87" i="44"/>
  <c r="D87" i="44"/>
  <c r="D86" i="44" s="1"/>
  <c r="F86" i="44" s="1"/>
  <c r="M86" i="44"/>
  <c r="E86" i="44"/>
  <c r="O85" i="44"/>
  <c r="L85" i="44"/>
  <c r="I85" i="44"/>
  <c r="F85" i="44"/>
  <c r="C85" i="44" s="1"/>
  <c r="O84" i="44"/>
  <c r="L84" i="44"/>
  <c r="I84" i="44"/>
  <c r="F84" i="44"/>
  <c r="C84" i="44"/>
  <c r="O83" i="44"/>
  <c r="N83" i="44"/>
  <c r="M83" i="44"/>
  <c r="L83" i="44"/>
  <c r="K83" i="44"/>
  <c r="J83" i="44"/>
  <c r="H83" i="44"/>
  <c r="G83" i="44"/>
  <c r="I83" i="44" s="1"/>
  <c r="E83" i="44"/>
  <c r="D83" i="44"/>
  <c r="F83" i="44" s="1"/>
  <c r="C83" i="44" s="1"/>
  <c r="O82" i="44"/>
  <c r="L82" i="44"/>
  <c r="I82" i="44"/>
  <c r="F82" i="44"/>
  <c r="C82" i="44" s="1"/>
  <c r="O81" i="44"/>
  <c r="L81" i="44"/>
  <c r="I81" i="44"/>
  <c r="F81" i="44"/>
  <c r="C81" i="44" s="1"/>
  <c r="O80" i="44"/>
  <c r="N80" i="44"/>
  <c r="N79" i="44" s="1"/>
  <c r="M80" i="44"/>
  <c r="M79" i="44" s="1"/>
  <c r="K80" i="44"/>
  <c r="K79" i="44" s="1"/>
  <c r="K78" i="44" s="1"/>
  <c r="J80" i="44"/>
  <c r="J79" i="44" s="1"/>
  <c r="H80" i="44"/>
  <c r="G80" i="44"/>
  <c r="G79" i="44" s="1"/>
  <c r="F80" i="44"/>
  <c r="E80" i="44"/>
  <c r="E79" i="44" s="1"/>
  <c r="D80" i="44"/>
  <c r="H79" i="44"/>
  <c r="D79" i="44"/>
  <c r="O77" i="44"/>
  <c r="L77" i="44"/>
  <c r="I77" i="44"/>
  <c r="F77" i="44"/>
  <c r="C77" i="44" s="1"/>
  <c r="O76" i="44"/>
  <c r="L76" i="44"/>
  <c r="I76" i="44"/>
  <c r="F76" i="44"/>
  <c r="C76" i="44"/>
  <c r="O75" i="44"/>
  <c r="L75" i="44"/>
  <c r="I75" i="44"/>
  <c r="F75" i="44"/>
  <c r="C75" i="44" s="1"/>
  <c r="O74" i="44"/>
  <c r="L74" i="44"/>
  <c r="I74" i="44"/>
  <c r="F74" i="44"/>
  <c r="C74" i="44" s="1"/>
  <c r="O73" i="44"/>
  <c r="L73" i="44"/>
  <c r="I73" i="44"/>
  <c r="G73" i="44"/>
  <c r="F73" i="44"/>
  <c r="C73" i="44"/>
  <c r="O72" i="44"/>
  <c r="N72" i="44"/>
  <c r="M72" i="44"/>
  <c r="L72" i="44"/>
  <c r="K72" i="44"/>
  <c r="J72" i="44"/>
  <c r="H72" i="44"/>
  <c r="G72" i="44"/>
  <c r="I72" i="44" s="1"/>
  <c r="E72" i="44"/>
  <c r="D72" i="44"/>
  <c r="F72" i="44" s="1"/>
  <c r="O71" i="44"/>
  <c r="L71" i="44"/>
  <c r="I71" i="44"/>
  <c r="G71" i="44"/>
  <c r="F71" i="44"/>
  <c r="D71" i="44"/>
  <c r="C71" i="44"/>
  <c r="O70" i="44"/>
  <c r="N70" i="44"/>
  <c r="M70" i="44"/>
  <c r="L70" i="44"/>
  <c r="K70" i="44"/>
  <c r="J70" i="44"/>
  <c r="H70" i="44"/>
  <c r="G70" i="44"/>
  <c r="I70" i="44" s="1"/>
  <c r="E70" i="44"/>
  <c r="D70" i="44"/>
  <c r="F70" i="44" s="1"/>
  <c r="O69" i="44"/>
  <c r="L69" i="44"/>
  <c r="I69" i="44"/>
  <c r="F69" i="44"/>
  <c r="C69" i="44" s="1"/>
  <c r="O68" i="44"/>
  <c r="L68" i="44"/>
  <c r="I68" i="44"/>
  <c r="G68" i="44"/>
  <c r="D68" i="44"/>
  <c r="F68" i="44" s="1"/>
  <c r="C68" i="44" s="1"/>
  <c r="O67" i="44"/>
  <c r="L67" i="44"/>
  <c r="I67" i="44"/>
  <c r="F67" i="44"/>
  <c r="C67" i="44" s="1"/>
  <c r="D67" i="44"/>
  <c r="O66" i="44"/>
  <c r="L66" i="44"/>
  <c r="I66" i="44"/>
  <c r="F66" i="44"/>
  <c r="C66" i="44"/>
  <c r="O65" i="44"/>
  <c r="L65" i="44"/>
  <c r="I65" i="44"/>
  <c r="F65" i="44"/>
  <c r="C65" i="44" s="1"/>
  <c r="O64" i="44"/>
  <c r="L64" i="44"/>
  <c r="I64" i="44"/>
  <c r="F64" i="44"/>
  <c r="C64" i="44" s="1"/>
  <c r="O63" i="44"/>
  <c r="L63" i="44"/>
  <c r="I63" i="44"/>
  <c r="F63" i="44"/>
  <c r="C63" i="44" s="1"/>
  <c r="O62" i="44"/>
  <c r="L62" i="44"/>
  <c r="I62" i="44"/>
  <c r="F62" i="44"/>
  <c r="C62" i="44"/>
  <c r="O61" i="44"/>
  <c r="N61" i="44"/>
  <c r="M61" i="44"/>
  <c r="L61" i="44"/>
  <c r="K61" i="44"/>
  <c r="J61" i="44"/>
  <c r="H61" i="44"/>
  <c r="G61" i="44"/>
  <c r="I61" i="44" s="1"/>
  <c r="E61" i="44"/>
  <c r="D61" i="44"/>
  <c r="F61" i="44" s="1"/>
  <c r="C61" i="44" s="1"/>
  <c r="O60" i="44"/>
  <c r="L60" i="44"/>
  <c r="I60" i="44"/>
  <c r="G60" i="44"/>
  <c r="G58" i="44" s="1"/>
  <c r="F60" i="44"/>
  <c r="D60" i="44"/>
  <c r="C60" i="44"/>
  <c r="O59" i="44"/>
  <c r="L59" i="44"/>
  <c r="I59" i="44"/>
  <c r="F59" i="44"/>
  <c r="C59" i="44" s="1"/>
  <c r="N58" i="44"/>
  <c r="M58" i="44"/>
  <c r="M57" i="44" s="1"/>
  <c r="L58" i="44"/>
  <c r="K58" i="44"/>
  <c r="K57" i="44" s="1"/>
  <c r="K56" i="44" s="1"/>
  <c r="J58" i="44"/>
  <c r="H58" i="44"/>
  <c r="H57" i="44" s="1"/>
  <c r="H56" i="44" s="1"/>
  <c r="E58" i="44"/>
  <c r="E57" i="44" s="1"/>
  <c r="E56" i="44" s="1"/>
  <c r="D58" i="44"/>
  <c r="D57" i="44" s="1"/>
  <c r="N57" i="44"/>
  <c r="N56" i="44" s="1"/>
  <c r="J57" i="44"/>
  <c r="J56" i="44" s="1"/>
  <c r="O50" i="44"/>
  <c r="C50" i="44" s="1"/>
  <c r="O49" i="44"/>
  <c r="C49" i="44" s="1"/>
  <c r="O48" i="44"/>
  <c r="C48" i="44" s="1"/>
  <c r="N48" i="44"/>
  <c r="M48" i="44"/>
  <c r="L47" i="44"/>
  <c r="I47" i="44"/>
  <c r="F47" i="44"/>
  <c r="C47" i="44" s="1"/>
  <c r="L46" i="44"/>
  <c r="K46" i="44"/>
  <c r="J46" i="44"/>
  <c r="H46" i="44"/>
  <c r="G46" i="44"/>
  <c r="I46" i="44" s="1"/>
  <c r="E46" i="44"/>
  <c r="D46" i="44"/>
  <c r="F46" i="44" s="1"/>
  <c r="C46" i="44" s="1"/>
  <c r="F45" i="44"/>
  <c r="C45" i="44" s="1"/>
  <c r="L44" i="44"/>
  <c r="C44" i="44" s="1"/>
  <c r="L43" i="44"/>
  <c r="C43" i="44" s="1"/>
  <c r="L42" i="44"/>
  <c r="C42" i="44" s="1"/>
  <c r="L41" i="44"/>
  <c r="C41" i="44" s="1"/>
  <c r="L40" i="44"/>
  <c r="C40" i="44" s="1"/>
  <c r="K40" i="44"/>
  <c r="J40" i="44"/>
  <c r="L39" i="44"/>
  <c r="C39" i="44" s="1"/>
  <c r="L38" i="44"/>
  <c r="C38" i="44" s="1"/>
  <c r="L37" i="44"/>
  <c r="C37" i="44" s="1"/>
  <c r="K37" i="44"/>
  <c r="J37" i="44"/>
  <c r="L36" i="44"/>
  <c r="C36" i="44" s="1"/>
  <c r="K35" i="44"/>
  <c r="J35" i="44"/>
  <c r="L35" i="44" s="1"/>
  <c r="C35" i="44" s="1"/>
  <c r="L34" i="44"/>
  <c r="C34" i="44" s="1"/>
  <c r="L33" i="44"/>
  <c r="C33" i="44" s="1"/>
  <c r="L32" i="44"/>
  <c r="C32" i="44" s="1"/>
  <c r="L31" i="44"/>
  <c r="C31" i="44" s="1"/>
  <c r="K31" i="44"/>
  <c r="J31" i="44"/>
  <c r="K30" i="44"/>
  <c r="F29" i="44"/>
  <c r="C29" i="44" s="1"/>
  <c r="I28" i="44"/>
  <c r="G28" i="44"/>
  <c r="F28" i="44"/>
  <c r="C28" i="44" s="1"/>
  <c r="D28" i="44"/>
  <c r="O27" i="44"/>
  <c r="L27" i="44"/>
  <c r="I27" i="44"/>
  <c r="F27" i="44"/>
  <c r="C27" i="44" s="1"/>
  <c r="O26" i="44"/>
  <c r="L26" i="44"/>
  <c r="I26" i="44"/>
  <c r="F26" i="44"/>
  <c r="C26" i="44"/>
  <c r="O25" i="44"/>
  <c r="N25" i="44"/>
  <c r="N290" i="44" s="1"/>
  <c r="N289" i="44" s="1"/>
  <c r="M25" i="44"/>
  <c r="M290" i="44" s="1"/>
  <c r="L25" i="44"/>
  <c r="K25" i="44"/>
  <c r="K290" i="44" s="1"/>
  <c r="K289" i="44" s="1"/>
  <c r="J25" i="44"/>
  <c r="J290" i="44" s="1"/>
  <c r="H25" i="44"/>
  <c r="H290" i="44" s="1"/>
  <c r="H289" i="44" s="1"/>
  <c r="G25" i="44"/>
  <c r="G290" i="44" s="1"/>
  <c r="G289" i="44" s="1"/>
  <c r="E25" i="44"/>
  <c r="E290" i="44" s="1"/>
  <c r="E289" i="44" s="1"/>
  <c r="D25" i="44"/>
  <c r="D290" i="44" s="1"/>
  <c r="M24" i="44"/>
  <c r="E24" i="44"/>
  <c r="O299" i="43"/>
  <c r="L299" i="43"/>
  <c r="I299" i="43"/>
  <c r="F299" i="43"/>
  <c r="C299" i="43" s="1"/>
  <c r="O298" i="43"/>
  <c r="L298" i="43"/>
  <c r="I298" i="43"/>
  <c r="F298" i="43"/>
  <c r="C298" i="43"/>
  <c r="O297" i="43"/>
  <c r="L297" i="43"/>
  <c r="I297" i="43"/>
  <c r="F297" i="43"/>
  <c r="C297" i="43" s="1"/>
  <c r="O296" i="43"/>
  <c r="L296" i="43"/>
  <c r="I296" i="43"/>
  <c r="F296" i="43"/>
  <c r="C296" i="43" s="1"/>
  <c r="O295" i="43"/>
  <c r="L295" i="43"/>
  <c r="I295" i="43"/>
  <c r="F295" i="43"/>
  <c r="C295" i="43" s="1"/>
  <c r="O294" i="43"/>
  <c r="L294" i="43"/>
  <c r="I294" i="43"/>
  <c r="F294" i="43"/>
  <c r="C294" i="43"/>
  <c r="O293" i="43"/>
  <c r="L293" i="43"/>
  <c r="I293" i="43"/>
  <c r="F293" i="43"/>
  <c r="C293" i="43" s="1"/>
  <c r="O292" i="43"/>
  <c r="L292" i="43"/>
  <c r="I292" i="43"/>
  <c r="F292" i="43"/>
  <c r="C292" i="43" s="1"/>
  <c r="N291" i="43"/>
  <c r="M291" i="43"/>
  <c r="O291" i="43" s="1"/>
  <c r="K291" i="43"/>
  <c r="J291" i="43"/>
  <c r="L291" i="43" s="1"/>
  <c r="I291" i="43"/>
  <c r="H291" i="43"/>
  <c r="G291" i="43"/>
  <c r="F291" i="43"/>
  <c r="C291" i="43" s="1"/>
  <c r="E291" i="43"/>
  <c r="D291" i="43"/>
  <c r="O286" i="43"/>
  <c r="L286" i="43"/>
  <c r="I286" i="43"/>
  <c r="F286" i="43"/>
  <c r="C286" i="43"/>
  <c r="O285" i="43"/>
  <c r="L285" i="43"/>
  <c r="I285" i="43"/>
  <c r="F285" i="43"/>
  <c r="C285" i="43" s="1"/>
  <c r="N284" i="43"/>
  <c r="M284" i="43"/>
  <c r="L284" i="43"/>
  <c r="K284" i="43"/>
  <c r="J284" i="43"/>
  <c r="I284" i="43"/>
  <c r="H284" i="43"/>
  <c r="G284" i="43"/>
  <c r="E284" i="43"/>
  <c r="D284" i="43"/>
  <c r="O283" i="43"/>
  <c r="L283" i="43"/>
  <c r="I283" i="43"/>
  <c r="F283" i="43"/>
  <c r="O282" i="43"/>
  <c r="N282" i="43"/>
  <c r="M282" i="43"/>
  <c r="K282" i="43"/>
  <c r="J282" i="43"/>
  <c r="L282" i="43" s="1"/>
  <c r="C282" i="43" s="1"/>
  <c r="H282" i="43"/>
  <c r="G282" i="43"/>
  <c r="I282" i="43" s="1"/>
  <c r="F282" i="43"/>
  <c r="E282" i="43"/>
  <c r="D282" i="43"/>
  <c r="O281" i="43"/>
  <c r="L281" i="43"/>
  <c r="I281" i="43"/>
  <c r="F281" i="43"/>
  <c r="C281" i="43" s="1"/>
  <c r="O280" i="43"/>
  <c r="L280" i="43"/>
  <c r="I280" i="43"/>
  <c r="F280" i="43"/>
  <c r="C280" i="43" s="1"/>
  <c r="O279" i="43"/>
  <c r="L279" i="43"/>
  <c r="I279" i="43"/>
  <c r="F279" i="43"/>
  <c r="O278" i="43"/>
  <c r="N278" i="43"/>
  <c r="M278" i="43"/>
  <c r="K278" i="43"/>
  <c r="J278" i="43"/>
  <c r="H278" i="43"/>
  <c r="G278" i="43"/>
  <c r="I278" i="43" s="1"/>
  <c r="F278" i="43"/>
  <c r="E278" i="43"/>
  <c r="D278" i="43"/>
  <c r="O277" i="43"/>
  <c r="L277" i="43"/>
  <c r="I277" i="43"/>
  <c r="F277" i="43"/>
  <c r="C277" i="43" s="1"/>
  <c r="O276" i="43"/>
  <c r="L276" i="43"/>
  <c r="I276" i="43"/>
  <c r="F276" i="43"/>
  <c r="O275" i="43"/>
  <c r="L275" i="43"/>
  <c r="I275" i="43"/>
  <c r="F275" i="43"/>
  <c r="C275" i="43" s="1"/>
  <c r="O274" i="43"/>
  <c r="N274" i="43"/>
  <c r="N272" i="43" s="1"/>
  <c r="M274" i="43"/>
  <c r="K274" i="43"/>
  <c r="K272" i="43" s="1"/>
  <c r="K271" i="43" s="1"/>
  <c r="J274" i="43"/>
  <c r="H274" i="43"/>
  <c r="G274" i="43"/>
  <c r="F274" i="43"/>
  <c r="E274" i="43"/>
  <c r="D274" i="43"/>
  <c r="O273" i="43"/>
  <c r="L273" i="43"/>
  <c r="I273" i="43"/>
  <c r="F273" i="43"/>
  <c r="C273" i="43" s="1"/>
  <c r="M272" i="43"/>
  <c r="H272" i="43"/>
  <c r="H271" i="43" s="1"/>
  <c r="E272" i="43"/>
  <c r="E271" i="43" s="1"/>
  <c r="D272" i="43"/>
  <c r="D271" i="43" s="1"/>
  <c r="N271" i="43"/>
  <c r="F271" i="43"/>
  <c r="O270" i="43"/>
  <c r="L270" i="43"/>
  <c r="I270" i="43"/>
  <c r="F270" i="43"/>
  <c r="C270" i="43"/>
  <c r="O269" i="43"/>
  <c r="L269" i="43"/>
  <c r="I269" i="43"/>
  <c r="F269" i="43"/>
  <c r="C269" i="43" s="1"/>
  <c r="O268" i="43"/>
  <c r="L268" i="43"/>
  <c r="I268" i="43"/>
  <c r="F268" i="43"/>
  <c r="O267" i="43"/>
  <c r="L267" i="43"/>
  <c r="I267" i="43"/>
  <c r="F267" i="43"/>
  <c r="C267" i="43" s="1"/>
  <c r="O266" i="43"/>
  <c r="N266" i="43"/>
  <c r="M266" i="43"/>
  <c r="K266" i="43"/>
  <c r="J266" i="43"/>
  <c r="H266" i="43"/>
  <c r="G266" i="43"/>
  <c r="I266" i="43" s="1"/>
  <c r="F266" i="43"/>
  <c r="E266" i="43"/>
  <c r="D266" i="43"/>
  <c r="O265" i="43"/>
  <c r="L265" i="43"/>
  <c r="I265" i="43"/>
  <c r="F265" i="43"/>
  <c r="C265" i="43" s="1"/>
  <c r="O264" i="43"/>
  <c r="L264" i="43"/>
  <c r="I264" i="43"/>
  <c r="F264" i="43"/>
  <c r="C264" i="43" s="1"/>
  <c r="O263" i="43"/>
  <c r="L263" i="43"/>
  <c r="I263" i="43"/>
  <c r="F263" i="43"/>
  <c r="C263" i="43" s="1"/>
  <c r="O262" i="43"/>
  <c r="N262" i="43"/>
  <c r="N261" i="43" s="1"/>
  <c r="M262" i="43"/>
  <c r="M261" i="43" s="1"/>
  <c r="K262" i="43"/>
  <c r="K261" i="43" s="1"/>
  <c r="J262" i="43"/>
  <c r="J261" i="43" s="1"/>
  <c r="H262" i="43"/>
  <c r="G262" i="43"/>
  <c r="F262" i="43"/>
  <c r="E262" i="43"/>
  <c r="E261" i="43" s="1"/>
  <c r="D262" i="43"/>
  <c r="L261" i="43"/>
  <c r="H261" i="43"/>
  <c r="D261" i="43"/>
  <c r="O260" i="43"/>
  <c r="L260" i="43"/>
  <c r="I260" i="43"/>
  <c r="F260" i="43"/>
  <c r="O259" i="43"/>
  <c r="L259" i="43"/>
  <c r="I259" i="43"/>
  <c r="F259" i="43"/>
  <c r="O258" i="43"/>
  <c r="L258" i="43"/>
  <c r="I258" i="43"/>
  <c r="F258" i="43"/>
  <c r="C258" i="43"/>
  <c r="O257" i="43"/>
  <c r="L257" i="43"/>
  <c r="I257" i="43"/>
  <c r="F257" i="43"/>
  <c r="C257" i="43" s="1"/>
  <c r="O256" i="43"/>
  <c r="L256" i="43"/>
  <c r="I256" i="43"/>
  <c r="F256" i="43"/>
  <c r="N255" i="43"/>
  <c r="N254" i="43" s="1"/>
  <c r="N233" i="43" s="1"/>
  <c r="M255" i="43"/>
  <c r="M254" i="43" s="1"/>
  <c r="O254" i="43" s="1"/>
  <c r="K255" i="43"/>
  <c r="J255" i="43"/>
  <c r="I255" i="43"/>
  <c r="H255" i="43"/>
  <c r="H254" i="43" s="1"/>
  <c r="G255" i="43"/>
  <c r="F255" i="43"/>
  <c r="E255" i="43"/>
  <c r="E254" i="43" s="1"/>
  <c r="D255" i="43"/>
  <c r="D254" i="43" s="1"/>
  <c r="K254" i="43"/>
  <c r="G254" i="43"/>
  <c r="I254" i="43" s="1"/>
  <c r="O253" i="43"/>
  <c r="L253" i="43"/>
  <c r="I253" i="43"/>
  <c r="F253" i="43"/>
  <c r="C253" i="43" s="1"/>
  <c r="O252" i="43"/>
  <c r="L252" i="43"/>
  <c r="I252" i="43"/>
  <c r="F252" i="43"/>
  <c r="O251" i="43"/>
  <c r="L251" i="43"/>
  <c r="I251" i="43"/>
  <c r="F251" i="43"/>
  <c r="C251" i="43" s="1"/>
  <c r="O250" i="43"/>
  <c r="L250" i="43"/>
  <c r="I250" i="43"/>
  <c r="F250" i="43"/>
  <c r="C250" i="43"/>
  <c r="O249" i="43"/>
  <c r="N249" i="43"/>
  <c r="M249" i="43"/>
  <c r="L249" i="43"/>
  <c r="K249" i="43"/>
  <c r="J249" i="43"/>
  <c r="H249" i="43"/>
  <c r="G249" i="43"/>
  <c r="E249" i="43"/>
  <c r="D249" i="43"/>
  <c r="F249" i="43" s="1"/>
  <c r="O248" i="43"/>
  <c r="L248" i="43"/>
  <c r="I248" i="43"/>
  <c r="F248" i="43"/>
  <c r="C248" i="43" s="1"/>
  <c r="O247" i="43"/>
  <c r="L247" i="43"/>
  <c r="I247" i="43"/>
  <c r="F247" i="43"/>
  <c r="C247" i="43" s="1"/>
  <c r="O246" i="43"/>
  <c r="L246" i="43"/>
  <c r="I246" i="43"/>
  <c r="F246" i="43"/>
  <c r="C246" i="43"/>
  <c r="O245" i="43"/>
  <c r="L245" i="43"/>
  <c r="I245" i="43"/>
  <c r="F245" i="43"/>
  <c r="C245" i="43" s="1"/>
  <c r="O244" i="43"/>
  <c r="L244" i="43"/>
  <c r="I244" i="43"/>
  <c r="F244" i="43"/>
  <c r="O243" i="43"/>
  <c r="L243" i="43"/>
  <c r="I243" i="43"/>
  <c r="F243" i="43"/>
  <c r="O242" i="43"/>
  <c r="L242" i="43"/>
  <c r="I242" i="43"/>
  <c r="F242" i="43"/>
  <c r="C242" i="43"/>
  <c r="O241" i="43"/>
  <c r="N241" i="43"/>
  <c r="M241" i="43"/>
  <c r="L241" i="43"/>
  <c r="K241" i="43"/>
  <c r="J241" i="43"/>
  <c r="H241" i="43"/>
  <c r="G241" i="43"/>
  <c r="E241" i="43"/>
  <c r="D241" i="43"/>
  <c r="F241" i="43" s="1"/>
  <c r="O240" i="43"/>
  <c r="L240" i="43"/>
  <c r="I240" i="43"/>
  <c r="F240" i="43"/>
  <c r="O239" i="43"/>
  <c r="L239" i="43"/>
  <c r="I239" i="43"/>
  <c r="F239" i="43"/>
  <c r="O238" i="43"/>
  <c r="N238" i="43"/>
  <c r="M238" i="43"/>
  <c r="K238" i="43"/>
  <c r="K234" i="43" s="1"/>
  <c r="K233" i="43" s="1"/>
  <c r="J238" i="43"/>
  <c r="J234" i="43" s="1"/>
  <c r="H238" i="43"/>
  <c r="G238" i="43"/>
  <c r="I238" i="43" s="1"/>
  <c r="F238" i="43"/>
  <c r="E238" i="43"/>
  <c r="D238" i="43"/>
  <c r="O237" i="43"/>
  <c r="L237" i="43"/>
  <c r="I237" i="43"/>
  <c r="F237" i="43"/>
  <c r="C237" i="43" s="1"/>
  <c r="N236" i="43"/>
  <c r="M236" i="43"/>
  <c r="L236" i="43"/>
  <c r="K236" i="43"/>
  <c r="J236" i="43"/>
  <c r="H236" i="43"/>
  <c r="H234" i="43" s="1"/>
  <c r="H233" i="43" s="1"/>
  <c r="G236" i="43"/>
  <c r="E236" i="43"/>
  <c r="D236" i="43"/>
  <c r="O235" i="43"/>
  <c r="L235" i="43"/>
  <c r="I235" i="43"/>
  <c r="F235" i="43"/>
  <c r="N234" i="43"/>
  <c r="G234" i="43"/>
  <c r="I234" i="43" s="1"/>
  <c r="E234" i="43"/>
  <c r="O232" i="43"/>
  <c r="L232" i="43"/>
  <c r="I232" i="43"/>
  <c r="F232" i="43"/>
  <c r="C232" i="43" s="1"/>
  <c r="O231" i="43"/>
  <c r="L231" i="43"/>
  <c r="I231" i="43"/>
  <c r="F231" i="43"/>
  <c r="N230" i="43"/>
  <c r="M230" i="43"/>
  <c r="O230" i="43" s="1"/>
  <c r="K230" i="43"/>
  <c r="J230" i="43"/>
  <c r="I230" i="43"/>
  <c r="H230" i="43"/>
  <c r="G230" i="43"/>
  <c r="E230" i="43"/>
  <c r="F230" i="43" s="1"/>
  <c r="D230" i="43"/>
  <c r="O229" i="43"/>
  <c r="L229" i="43"/>
  <c r="I229" i="43"/>
  <c r="F229" i="43"/>
  <c r="C229" i="43" s="1"/>
  <c r="O228" i="43"/>
  <c r="L228" i="43"/>
  <c r="I228" i="43"/>
  <c r="F228" i="43"/>
  <c r="C228" i="43"/>
  <c r="O227" i="43"/>
  <c r="L227" i="43"/>
  <c r="I227" i="43"/>
  <c r="F227" i="43"/>
  <c r="C227" i="43" s="1"/>
  <c r="O226" i="43"/>
  <c r="L226" i="43"/>
  <c r="I226" i="43"/>
  <c r="F226" i="43"/>
  <c r="C226" i="43" s="1"/>
  <c r="D226" i="43"/>
  <c r="O225" i="43"/>
  <c r="L225" i="43"/>
  <c r="I225" i="43"/>
  <c r="F225" i="43"/>
  <c r="C225" i="43"/>
  <c r="O224" i="43"/>
  <c r="L224" i="43"/>
  <c r="I224" i="43"/>
  <c r="F224" i="43"/>
  <c r="C224" i="43" s="1"/>
  <c r="O223" i="43"/>
  <c r="L223" i="43"/>
  <c r="I223" i="43"/>
  <c r="F223" i="43"/>
  <c r="C223" i="43" s="1"/>
  <c r="O222" i="43"/>
  <c r="L222" i="43"/>
  <c r="I222" i="43"/>
  <c r="F222" i="43"/>
  <c r="C222" i="43" s="1"/>
  <c r="O221" i="43"/>
  <c r="L221" i="43"/>
  <c r="I221" i="43"/>
  <c r="F221" i="43"/>
  <c r="C221" i="43"/>
  <c r="O220" i="43"/>
  <c r="L220" i="43"/>
  <c r="I220" i="43"/>
  <c r="F220" i="43"/>
  <c r="C220" i="43" s="1"/>
  <c r="N219" i="43"/>
  <c r="M219" i="43"/>
  <c r="O219" i="43" s="1"/>
  <c r="L219" i="43"/>
  <c r="K219" i="43"/>
  <c r="J219" i="43"/>
  <c r="I219" i="43"/>
  <c r="H219" i="43"/>
  <c r="G219" i="43"/>
  <c r="E219" i="43"/>
  <c r="D219" i="43"/>
  <c r="F219" i="43" s="1"/>
  <c r="C219" i="43" s="1"/>
  <c r="O218" i="43"/>
  <c r="L218" i="43"/>
  <c r="I218" i="43"/>
  <c r="F218" i="43"/>
  <c r="C218" i="43" s="1"/>
  <c r="O217" i="43"/>
  <c r="L217" i="43"/>
  <c r="I217" i="43"/>
  <c r="F217" i="43"/>
  <c r="C217" i="43"/>
  <c r="O216" i="43"/>
  <c r="L216" i="43"/>
  <c r="I216" i="43"/>
  <c r="F216" i="43"/>
  <c r="C216" i="43" s="1"/>
  <c r="O215" i="43"/>
  <c r="L215" i="43"/>
  <c r="I215" i="43"/>
  <c r="F215" i="43"/>
  <c r="C215" i="43" s="1"/>
  <c r="O214" i="43"/>
  <c r="L214" i="43"/>
  <c r="I214" i="43"/>
  <c r="F214" i="43"/>
  <c r="C214" i="43" s="1"/>
  <c r="O213" i="43"/>
  <c r="L213" i="43"/>
  <c r="I213" i="43"/>
  <c r="F213" i="43"/>
  <c r="C213" i="43"/>
  <c r="O212" i="43"/>
  <c r="L212" i="43"/>
  <c r="I212" i="43"/>
  <c r="F212" i="43"/>
  <c r="C212" i="43" s="1"/>
  <c r="O211" i="43"/>
  <c r="L211" i="43"/>
  <c r="I211" i="43"/>
  <c r="F211" i="43"/>
  <c r="C211" i="43" s="1"/>
  <c r="O210" i="43"/>
  <c r="L210" i="43"/>
  <c r="I210" i="43"/>
  <c r="F210" i="43"/>
  <c r="C210" i="43" s="1"/>
  <c r="O209" i="43"/>
  <c r="L209" i="43"/>
  <c r="I209" i="43"/>
  <c r="F209" i="43"/>
  <c r="C209" i="43"/>
  <c r="O208" i="43"/>
  <c r="N208" i="43"/>
  <c r="N207" i="43" s="1"/>
  <c r="M208" i="43"/>
  <c r="L208" i="43"/>
  <c r="K208" i="43"/>
  <c r="K207" i="43" s="1"/>
  <c r="J208" i="43"/>
  <c r="J207" i="43" s="1"/>
  <c r="H208" i="43"/>
  <c r="H207" i="43" s="1"/>
  <c r="G208" i="43"/>
  <c r="G207" i="43" s="1"/>
  <c r="I207" i="43" s="1"/>
  <c r="E208" i="43"/>
  <c r="D208" i="43"/>
  <c r="D207" i="43" s="1"/>
  <c r="F207" i="43" s="1"/>
  <c r="M207" i="43"/>
  <c r="O207" i="43" s="1"/>
  <c r="E207" i="43"/>
  <c r="O206" i="43"/>
  <c r="L206" i="43"/>
  <c r="I206" i="43"/>
  <c r="F206" i="43"/>
  <c r="C206" i="43" s="1"/>
  <c r="O205" i="43"/>
  <c r="L205" i="43"/>
  <c r="I205" i="43"/>
  <c r="F205" i="43"/>
  <c r="C205" i="43"/>
  <c r="O204" i="43"/>
  <c r="L204" i="43"/>
  <c r="I204" i="43"/>
  <c r="F204" i="43"/>
  <c r="C204" i="43" s="1"/>
  <c r="O203" i="43"/>
  <c r="L203" i="43"/>
  <c r="I203" i="43"/>
  <c r="F203" i="43"/>
  <c r="C203" i="43" s="1"/>
  <c r="O202" i="43"/>
  <c r="L202" i="43"/>
  <c r="I202" i="43"/>
  <c r="F202" i="43"/>
  <c r="D202" i="43"/>
  <c r="C202" i="43"/>
  <c r="O201" i="43"/>
  <c r="N201" i="43"/>
  <c r="M201" i="43"/>
  <c r="L201" i="43"/>
  <c r="K201" i="43"/>
  <c r="K199" i="43" s="1"/>
  <c r="K198" i="43" s="1"/>
  <c r="K197" i="43" s="1"/>
  <c r="J201" i="43"/>
  <c r="H201" i="43"/>
  <c r="H199" i="43" s="1"/>
  <c r="G201" i="43"/>
  <c r="I201" i="43" s="1"/>
  <c r="E201" i="43"/>
  <c r="D201" i="43"/>
  <c r="F201" i="43" s="1"/>
  <c r="C201" i="43" s="1"/>
  <c r="O200" i="43"/>
  <c r="L200" i="43"/>
  <c r="I200" i="43"/>
  <c r="F200" i="43"/>
  <c r="C200" i="43" s="1"/>
  <c r="N199" i="43"/>
  <c r="N198" i="43" s="1"/>
  <c r="N197" i="43" s="1"/>
  <c r="M199" i="43"/>
  <c r="M198" i="43" s="1"/>
  <c r="J199" i="43"/>
  <c r="J198" i="43" s="1"/>
  <c r="E199" i="43"/>
  <c r="E198" i="43" s="1"/>
  <c r="O196" i="43"/>
  <c r="L196" i="43"/>
  <c r="I196" i="43"/>
  <c r="F196" i="43"/>
  <c r="C196" i="43" s="1"/>
  <c r="N195" i="43"/>
  <c r="N194" i="43" s="1"/>
  <c r="M195" i="43"/>
  <c r="M194" i="43" s="1"/>
  <c r="O194" i="43" s="1"/>
  <c r="K195" i="43"/>
  <c r="J195" i="43"/>
  <c r="J194" i="43" s="1"/>
  <c r="L194" i="43" s="1"/>
  <c r="I195" i="43"/>
  <c r="H195" i="43"/>
  <c r="H194" i="43" s="1"/>
  <c r="G195" i="43"/>
  <c r="F195" i="43"/>
  <c r="E195" i="43"/>
  <c r="E194" i="43" s="1"/>
  <c r="D195" i="43"/>
  <c r="D194" i="43" s="1"/>
  <c r="F194" i="43" s="1"/>
  <c r="K194" i="43"/>
  <c r="G194" i="43"/>
  <c r="I194" i="43" s="1"/>
  <c r="O193" i="43"/>
  <c r="L193" i="43"/>
  <c r="I193" i="43"/>
  <c r="F193" i="43"/>
  <c r="C193" i="43" s="1"/>
  <c r="O192" i="43"/>
  <c r="L192" i="43"/>
  <c r="I192" i="43"/>
  <c r="F192" i="43"/>
  <c r="C192" i="43" s="1"/>
  <c r="N191" i="43"/>
  <c r="N190" i="43" s="1"/>
  <c r="M191" i="43"/>
  <c r="M190" i="43" s="1"/>
  <c r="O190" i="43" s="1"/>
  <c r="K191" i="43"/>
  <c r="J191" i="43"/>
  <c r="J190" i="43" s="1"/>
  <c r="L190" i="43" s="1"/>
  <c r="I191" i="43"/>
  <c r="H191" i="43"/>
  <c r="H190" i="43" s="1"/>
  <c r="G191" i="43"/>
  <c r="F191" i="43"/>
  <c r="E191" i="43"/>
  <c r="E190" i="43" s="1"/>
  <c r="D191" i="43"/>
  <c r="D190" i="43" s="1"/>
  <c r="F190" i="43" s="1"/>
  <c r="K190" i="43"/>
  <c r="G190" i="43"/>
  <c r="I190" i="43" s="1"/>
  <c r="O189" i="43"/>
  <c r="L189" i="43"/>
  <c r="I189" i="43"/>
  <c r="F189" i="43"/>
  <c r="C189" i="43" s="1"/>
  <c r="O188" i="43"/>
  <c r="L188" i="43"/>
  <c r="I188" i="43"/>
  <c r="F188" i="43"/>
  <c r="C188" i="43" s="1"/>
  <c r="N187" i="43"/>
  <c r="M187" i="43"/>
  <c r="O187" i="43" s="1"/>
  <c r="K187" i="43"/>
  <c r="J187" i="43"/>
  <c r="L187" i="43" s="1"/>
  <c r="I187" i="43"/>
  <c r="H187" i="43"/>
  <c r="G187" i="43"/>
  <c r="F187" i="43"/>
  <c r="C187" i="43" s="1"/>
  <c r="E187" i="43"/>
  <c r="D187" i="43"/>
  <c r="O186" i="43"/>
  <c r="L186" i="43"/>
  <c r="I186" i="43"/>
  <c r="F186" i="43"/>
  <c r="C186" i="43"/>
  <c r="O185" i="43"/>
  <c r="L185" i="43"/>
  <c r="I185" i="43"/>
  <c r="F185" i="43"/>
  <c r="C185" i="43" s="1"/>
  <c r="O184" i="43"/>
  <c r="L184" i="43"/>
  <c r="I184" i="43"/>
  <c r="F184" i="43"/>
  <c r="C184" i="43" s="1"/>
  <c r="O183" i="43"/>
  <c r="L183" i="43"/>
  <c r="I183" i="43"/>
  <c r="F183" i="43"/>
  <c r="C183" i="43" s="1"/>
  <c r="O182" i="43"/>
  <c r="N182" i="43"/>
  <c r="M182" i="43"/>
  <c r="K182" i="43"/>
  <c r="J182" i="43"/>
  <c r="L182" i="43" s="1"/>
  <c r="H182" i="43"/>
  <c r="G182" i="43"/>
  <c r="I182" i="43" s="1"/>
  <c r="F182" i="43"/>
  <c r="E182" i="43"/>
  <c r="D182" i="43"/>
  <c r="O181" i="43"/>
  <c r="L181" i="43"/>
  <c r="I181" i="43"/>
  <c r="F181" i="43"/>
  <c r="C181" i="43" s="1"/>
  <c r="O180" i="43"/>
  <c r="L180" i="43"/>
  <c r="I180" i="43"/>
  <c r="F180" i="43"/>
  <c r="C180" i="43" s="1"/>
  <c r="O179" i="43"/>
  <c r="L179" i="43"/>
  <c r="I179" i="43"/>
  <c r="F179" i="43"/>
  <c r="C179" i="43" s="1"/>
  <c r="O178" i="43"/>
  <c r="N178" i="43"/>
  <c r="N177" i="43" s="1"/>
  <c r="N176" i="43" s="1"/>
  <c r="M178" i="43"/>
  <c r="M177" i="43" s="1"/>
  <c r="K178" i="43"/>
  <c r="K177" i="43" s="1"/>
  <c r="K176" i="43" s="1"/>
  <c r="J178" i="43"/>
  <c r="J177" i="43" s="1"/>
  <c r="H178" i="43"/>
  <c r="G178" i="43"/>
  <c r="G177" i="43" s="1"/>
  <c r="F178" i="43"/>
  <c r="E178" i="43"/>
  <c r="E177" i="43" s="1"/>
  <c r="E176" i="43" s="1"/>
  <c r="D178" i="43"/>
  <c r="H177" i="43"/>
  <c r="H176" i="43" s="1"/>
  <c r="D177" i="43"/>
  <c r="D176" i="43" s="1"/>
  <c r="O175" i="43"/>
  <c r="L175" i="43"/>
  <c r="I175" i="43"/>
  <c r="F175" i="43"/>
  <c r="C175" i="43" s="1"/>
  <c r="O174" i="43"/>
  <c r="L174" i="43"/>
  <c r="I174" i="43"/>
  <c r="F174" i="43"/>
  <c r="C174" i="43"/>
  <c r="O173" i="43"/>
  <c r="L173" i="43"/>
  <c r="I173" i="43"/>
  <c r="F173" i="43"/>
  <c r="C173" i="43" s="1"/>
  <c r="O172" i="43"/>
  <c r="L172" i="43"/>
  <c r="I172" i="43"/>
  <c r="F172" i="43"/>
  <c r="C172" i="43" s="1"/>
  <c r="O171" i="43"/>
  <c r="L171" i="43"/>
  <c r="I171" i="43"/>
  <c r="F171" i="43"/>
  <c r="C171" i="43" s="1"/>
  <c r="O170" i="43"/>
  <c r="L170" i="43"/>
  <c r="I170" i="43"/>
  <c r="F170" i="43"/>
  <c r="C170" i="43"/>
  <c r="O169" i="43"/>
  <c r="N169" i="43"/>
  <c r="N168" i="43" s="1"/>
  <c r="M169" i="43"/>
  <c r="L169" i="43"/>
  <c r="K169" i="43"/>
  <c r="K168" i="43" s="1"/>
  <c r="J169" i="43"/>
  <c r="J168" i="43" s="1"/>
  <c r="H169" i="43"/>
  <c r="H168" i="43" s="1"/>
  <c r="G169" i="43"/>
  <c r="G168" i="43" s="1"/>
  <c r="I168" i="43" s="1"/>
  <c r="E169" i="43"/>
  <c r="D169" i="43"/>
  <c r="D168" i="43" s="1"/>
  <c r="F168" i="43" s="1"/>
  <c r="M168" i="43"/>
  <c r="O168" i="43" s="1"/>
  <c r="E168" i="43"/>
  <c r="O167" i="43"/>
  <c r="L167" i="43"/>
  <c r="I167" i="43"/>
  <c r="F167" i="43"/>
  <c r="C167" i="43" s="1"/>
  <c r="O166" i="43"/>
  <c r="L166" i="43"/>
  <c r="I166" i="43"/>
  <c r="F166" i="43"/>
  <c r="C166" i="43"/>
  <c r="O165" i="43"/>
  <c r="L165" i="43"/>
  <c r="I165" i="43"/>
  <c r="F165" i="43"/>
  <c r="C165" i="43" s="1"/>
  <c r="O164" i="43"/>
  <c r="L164" i="43"/>
  <c r="I164" i="43"/>
  <c r="F164" i="43"/>
  <c r="C164" i="43" s="1"/>
  <c r="N163" i="43"/>
  <c r="M163" i="43"/>
  <c r="O163" i="43" s="1"/>
  <c r="K163" i="43"/>
  <c r="J163" i="43"/>
  <c r="L163" i="43" s="1"/>
  <c r="I163" i="43"/>
  <c r="H163" i="43"/>
  <c r="G163" i="43"/>
  <c r="F163" i="43"/>
  <c r="C163" i="43" s="1"/>
  <c r="E163" i="43"/>
  <c r="D163" i="43"/>
  <c r="O162" i="43"/>
  <c r="M162" i="43"/>
  <c r="L162" i="43"/>
  <c r="I162" i="43"/>
  <c r="F162" i="43"/>
  <c r="C162" i="43" s="1"/>
  <c r="O161" i="43"/>
  <c r="L161" i="43"/>
  <c r="I161" i="43"/>
  <c r="F161" i="43"/>
  <c r="C161" i="43" s="1"/>
  <c r="O160" i="43"/>
  <c r="L160" i="43"/>
  <c r="I160" i="43"/>
  <c r="F160" i="43"/>
  <c r="C160" i="43" s="1"/>
  <c r="O159" i="43"/>
  <c r="L159" i="43"/>
  <c r="I159" i="43"/>
  <c r="F159" i="43"/>
  <c r="C159" i="43"/>
  <c r="O158" i="43"/>
  <c r="L158" i="43"/>
  <c r="I158" i="43"/>
  <c r="F158" i="43"/>
  <c r="C158" i="43" s="1"/>
  <c r="O157" i="43"/>
  <c r="L157" i="43"/>
  <c r="I157" i="43"/>
  <c r="F157" i="43"/>
  <c r="C157" i="43" s="1"/>
  <c r="O156" i="43"/>
  <c r="L156" i="43"/>
  <c r="I156" i="43"/>
  <c r="F156" i="43"/>
  <c r="C156" i="43" s="1"/>
  <c r="O155" i="43"/>
  <c r="L155" i="43"/>
  <c r="I155" i="43"/>
  <c r="F155" i="43"/>
  <c r="C155" i="43"/>
  <c r="O154" i="43"/>
  <c r="N154" i="43"/>
  <c r="M154" i="43"/>
  <c r="L154" i="43"/>
  <c r="K154" i="43"/>
  <c r="J154" i="43"/>
  <c r="H154" i="43"/>
  <c r="G154" i="43"/>
  <c r="I154" i="43" s="1"/>
  <c r="E154" i="43"/>
  <c r="D154" i="43"/>
  <c r="F154" i="43" s="1"/>
  <c r="C154" i="43" s="1"/>
  <c r="O153" i="43"/>
  <c r="L153" i="43"/>
  <c r="I153" i="43"/>
  <c r="F153" i="43"/>
  <c r="C153" i="43" s="1"/>
  <c r="O152" i="43"/>
  <c r="L152" i="43"/>
  <c r="I152" i="43"/>
  <c r="F152" i="43"/>
  <c r="C152" i="43" s="1"/>
  <c r="O151" i="43"/>
  <c r="L151" i="43"/>
  <c r="I151" i="43"/>
  <c r="F151" i="43"/>
  <c r="C151" i="43"/>
  <c r="O150" i="43"/>
  <c r="L150" i="43"/>
  <c r="I150" i="43"/>
  <c r="F150" i="43"/>
  <c r="C150" i="43" s="1"/>
  <c r="O149" i="43"/>
  <c r="L149" i="43"/>
  <c r="I149" i="43"/>
  <c r="F149" i="43"/>
  <c r="C149" i="43" s="1"/>
  <c r="O148" i="43"/>
  <c r="L148" i="43"/>
  <c r="J148" i="43"/>
  <c r="J147" i="43" s="1"/>
  <c r="L147" i="43" s="1"/>
  <c r="I148" i="43"/>
  <c r="F148" i="43"/>
  <c r="C148" i="43"/>
  <c r="O147" i="43"/>
  <c r="N147" i="43"/>
  <c r="M147" i="43"/>
  <c r="K147" i="43"/>
  <c r="H147" i="43"/>
  <c r="G147" i="43"/>
  <c r="I147" i="43" s="1"/>
  <c r="E147" i="43"/>
  <c r="D147" i="43"/>
  <c r="F147" i="43" s="1"/>
  <c r="O146" i="43"/>
  <c r="L146" i="43"/>
  <c r="I146" i="43"/>
  <c r="F146" i="43"/>
  <c r="C146" i="43" s="1"/>
  <c r="O145" i="43"/>
  <c r="L145" i="43"/>
  <c r="I145" i="43"/>
  <c r="F145" i="43"/>
  <c r="C145" i="43" s="1"/>
  <c r="O144" i="43"/>
  <c r="N144" i="43"/>
  <c r="M144" i="43"/>
  <c r="K144" i="43"/>
  <c r="J144" i="43"/>
  <c r="L144" i="43" s="1"/>
  <c r="H144" i="43"/>
  <c r="G144" i="43"/>
  <c r="I144" i="43" s="1"/>
  <c r="F144" i="43"/>
  <c r="E144" i="43"/>
  <c r="D144" i="43"/>
  <c r="O143" i="43"/>
  <c r="L143" i="43"/>
  <c r="I143" i="43"/>
  <c r="F143" i="43"/>
  <c r="C143" i="43" s="1"/>
  <c r="O142" i="43"/>
  <c r="L142" i="43"/>
  <c r="I142" i="43"/>
  <c r="F142" i="43"/>
  <c r="C142" i="43" s="1"/>
  <c r="O141" i="43"/>
  <c r="L141" i="43"/>
  <c r="I141" i="43"/>
  <c r="F141" i="43"/>
  <c r="C141" i="43" s="1"/>
  <c r="O140" i="43"/>
  <c r="L140" i="43"/>
  <c r="I140" i="43"/>
  <c r="F140" i="43"/>
  <c r="C140" i="43"/>
  <c r="O139" i="43"/>
  <c r="N139" i="43"/>
  <c r="M139" i="43"/>
  <c r="L139" i="43"/>
  <c r="K139" i="43"/>
  <c r="J139" i="43"/>
  <c r="H139" i="43"/>
  <c r="G139" i="43"/>
  <c r="I139" i="43" s="1"/>
  <c r="E139" i="43"/>
  <c r="D139" i="43"/>
  <c r="F139" i="43" s="1"/>
  <c r="C139" i="43" s="1"/>
  <c r="O138" i="43"/>
  <c r="M138" i="43"/>
  <c r="L138" i="43"/>
  <c r="I138" i="43"/>
  <c r="F138" i="43"/>
  <c r="C138" i="43" s="1"/>
  <c r="O137" i="43"/>
  <c r="L137" i="43"/>
  <c r="I137" i="43"/>
  <c r="F137" i="43"/>
  <c r="C137" i="43"/>
  <c r="O136" i="43"/>
  <c r="L136" i="43"/>
  <c r="I136" i="43"/>
  <c r="F136" i="43"/>
  <c r="C136" i="43" s="1"/>
  <c r="D136" i="43"/>
  <c r="D134" i="43" s="1"/>
  <c r="O135" i="43"/>
  <c r="L135" i="43"/>
  <c r="I135" i="43"/>
  <c r="F135" i="43"/>
  <c r="C135" i="43" s="1"/>
  <c r="O134" i="43"/>
  <c r="N134" i="43"/>
  <c r="N133" i="43" s="1"/>
  <c r="M134" i="43"/>
  <c r="M133" i="43" s="1"/>
  <c r="K134" i="43"/>
  <c r="K133" i="43" s="1"/>
  <c r="J134" i="43"/>
  <c r="J133" i="43" s="1"/>
  <c r="L133" i="43" s="1"/>
  <c r="H134" i="43"/>
  <c r="G134" i="43"/>
  <c r="G133" i="43" s="1"/>
  <c r="I133" i="43" s="1"/>
  <c r="E134" i="43"/>
  <c r="E133" i="43" s="1"/>
  <c r="H133" i="43"/>
  <c r="O132" i="43"/>
  <c r="L132" i="43"/>
  <c r="I132" i="43"/>
  <c r="F132" i="43"/>
  <c r="C132" i="43" s="1"/>
  <c r="N131" i="43"/>
  <c r="M131" i="43"/>
  <c r="O131" i="43" s="1"/>
  <c r="K131" i="43"/>
  <c r="J131" i="43"/>
  <c r="L131" i="43" s="1"/>
  <c r="I131" i="43"/>
  <c r="H131" i="43"/>
  <c r="G131" i="43"/>
  <c r="F131" i="43"/>
  <c r="C131" i="43" s="1"/>
  <c r="E131" i="43"/>
  <c r="D131" i="43"/>
  <c r="O130" i="43"/>
  <c r="L130" i="43"/>
  <c r="I130" i="43"/>
  <c r="F130" i="43"/>
  <c r="C130" i="43"/>
  <c r="O129" i="43"/>
  <c r="L129" i="43"/>
  <c r="I129" i="43"/>
  <c r="F129" i="43"/>
  <c r="C129" i="43" s="1"/>
  <c r="O128" i="43"/>
  <c r="L128" i="43"/>
  <c r="I128" i="43"/>
  <c r="F128" i="43"/>
  <c r="C128" i="43" s="1"/>
  <c r="O127" i="43"/>
  <c r="L127" i="43"/>
  <c r="I127" i="43"/>
  <c r="F127" i="43"/>
  <c r="C127" i="43" s="1"/>
  <c r="O126" i="43"/>
  <c r="L126" i="43"/>
  <c r="I126" i="43"/>
  <c r="F126" i="43"/>
  <c r="C126" i="43"/>
  <c r="O125" i="43"/>
  <c r="N125" i="43"/>
  <c r="M125" i="43"/>
  <c r="L125" i="43"/>
  <c r="K125" i="43"/>
  <c r="J125" i="43"/>
  <c r="H125" i="43"/>
  <c r="G125" i="43"/>
  <c r="I125" i="43" s="1"/>
  <c r="E125" i="43"/>
  <c r="D125" i="43"/>
  <c r="F125" i="43" s="1"/>
  <c r="O124" i="43"/>
  <c r="L124" i="43"/>
  <c r="I124" i="43"/>
  <c r="F124" i="43"/>
  <c r="C124" i="43" s="1"/>
  <c r="O123" i="43"/>
  <c r="L123" i="43"/>
  <c r="I123" i="43"/>
  <c r="F123" i="43"/>
  <c r="C123" i="43" s="1"/>
  <c r="O122" i="43"/>
  <c r="L122" i="43"/>
  <c r="I122" i="43"/>
  <c r="F122" i="43"/>
  <c r="C122" i="43"/>
  <c r="O121" i="43"/>
  <c r="L121" i="43"/>
  <c r="I121" i="43"/>
  <c r="F121" i="43"/>
  <c r="C121" i="43" s="1"/>
  <c r="O120" i="43"/>
  <c r="L120" i="43"/>
  <c r="I120" i="43"/>
  <c r="F120" i="43"/>
  <c r="C120" i="43" s="1"/>
  <c r="N119" i="43"/>
  <c r="M119" i="43"/>
  <c r="O119" i="43" s="1"/>
  <c r="K119" i="43"/>
  <c r="J119" i="43"/>
  <c r="L119" i="43" s="1"/>
  <c r="I119" i="43"/>
  <c r="H119" i="43"/>
  <c r="G119" i="43"/>
  <c r="F119" i="43"/>
  <c r="E119" i="43"/>
  <c r="D119" i="43"/>
  <c r="O118" i="43"/>
  <c r="L118" i="43"/>
  <c r="I118" i="43"/>
  <c r="F118" i="43"/>
  <c r="C118" i="43"/>
  <c r="O117" i="43"/>
  <c r="L117" i="43"/>
  <c r="I117" i="43"/>
  <c r="F117" i="43"/>
  <c r="C117" i="43" s="1"/>
  <c r="O116" i="43"/>
  <c r="L116" i="43"/>
  <c r="I116" i="43"/>
  <c r="F116" i="43"/>
  <c r="C116" i="43" s="1"/>
  <c r="N115" i="43"/>
  <c r="M115" i="43"/>
  <c r="O115" i="43" s="1"/>
  <c r="K115" i="43"/>
  <c r="J115" i="43"/>
  <c r="L115" i="43" s="1"/>
  <c r="I115" i="43"/>
  <c r="H115" i="43"/>
  <c r="G115" i="43"/>
  <c r="F115" i="43"/>
  <c r="E115" i="43"/>
  <c r="D115" i="43"/>
  <c r="O114" i="43"/>
  <c r="L114" i="43"/>
  <c r="I114" i="43"/>
  <c r="F114" i="43"/>
  <c r="C114" i="43"/>
  <c r="O113" i="43"/>
  <c r="L113" i="43"/>
  <c r="I113" i="43"/>
  <c r="F113" i="43"/>
  <c r="C113" i="43" s="1"/>
  <c r="O112" i="43"/>
  <c r="L112" i="43"/>
  <c r="I112" i="43"/>
  <c r="F112" i="43"/>
  <c r="C112" i="43" s="1"/>
  <c r="O111" i="43"/>
  <c r="L111" i="43"/>
  <c r="I111" i="43"/>
  <c r="F111" i="43"/>
  <c r="C111" i="43" s="1"/>
  <c r="O110" i="43"/>
  <c r="L110" i="43"/>
  <c r="I110" i="43"/>
  <c r="F110" i="43"/>
  <c r="C110" i="43"/>
  <c r="O109" i="43"/>
  <c r="L109" i="43"/>
  <c r="I109" i="43"/>
  <c r="F109" i="43"/>
  <c r="C109" i="43" s="1"/>
  <c r="O108" i="43"/>
  <c r="L108" i="43"/>
  <c r="I108" i="43"/>
  <c r="F108" i="43"/>
  <c r="C108" i="43" s="1"/>
  <c r="O107" i="43"/>
  <c r="L107" i="43"/>
  <c r="I107" i="43"/>
  <c r="F107" i="43"/>
  <c r="C107" i="43" s="1"/>
  <c r="O106" i="43"/>
  <c r="N106" i="43"/>
  <c r="M106" i="43"/>
  <c r="K106" i="43"/>
  <c r="J106" i="43"/>
  <c r="L106" i="43" s="1"/>
  <c r="H106" i="43"/>
  <c r="G106" i="43"/>
  <c r="I106" i="43" s="1"/>
  <c r="C106" i="43" s="1"/>
  <c r="F106" i="43"/>
  <c r="E106" i="43"/>
  <c r="D106" i="43"/>
  <c r="O105" i="43"/>
  <c r="L105" i="43"/>
  <c r="I105" i="43"/>
  <c r="F105" i="43"/>
  <c r="C105" i="43" s="1"/>
  <c r="O104" i="43"/>
  <c r="L104" i="43"/>
  <c r="I104" i="43"/>
  <c r="F104" i="43"/>
  <c r="C104" i="43" s="1"/>
  <c r="O103" i="43"/>
  <c r="L103" i="43"/>
  <c r="I103" i="43"/>
  <c r="F103" i="43"/>
  <c r="C103" i="43" s="1"/>
  <c r="O102" i="43"/>
  <c r="L102" i="43"/>
  <c r="I102" i="43"/>
  <c r="F102" i="43"/>
  <c r="C102" i="43"/>
  <c r="O101" i="43"/>
  <c r="L101" i="43"/>
  <c r="I101" i="43"/>
  <c r="F101" i="43"/>
  <c r="C101" i="43" s="1"/>
  <c r="O100" i="43"/>
  <c r="L100" i="43"/>
  <c r="I100" i="43"/>
  <c r="F100" i="43"/>
  <c r="C100" i="43" s="1"/>
  <c r="O99" i="43"/>
  <c r="L99" i="43"/>
  <c r="I99" i="43"/>
  <c r="F99" i="43"/>
  <c r="C99" i="43" s="1"/>
  <c r="O98" i="43"/>
  <c r="N98" i="43"/>
  <c r="M98" i="43"/>
  <c r="K98" i="43"/>
  <c r="J98" i="43"/>
  <c r="L98" i="43" s="1"/>
  <c r="H98" i="43"/>
  <c r="G98" i="43"/>
  <c r="I98" i="43" s="1"/>
  <c r="C98" i="43" s="1"/>
  <c r="F98" i="43"/>
  <c r="E98" i="43"/>
  <c r="D98" i="43"/>
  <c r="O97" i="43"/>
  <c r="L97" i="43"/>
  <c r="I97" i="43"/>
  <c r="F97" i="43"/>
  <c r="C97" i="43" s="1"/>
  <c r="O96" i="43"/>
  <c r="L96" i="43"/>
  <c r="I96" i="43"/>
  <c r="F96" i="43"/>
  <c r="C96" i="43" s="1"/>
  <c r="O95" i="43"/>
  <c r="L95" i="43"/>
  <c r="I95" i="43"/>
  <c r="F95" i="43"/>
  <c r="C95" i="43" s="1"/>
  <c r="O94" i="43"/>
  <c r="L94" i="43"/>
  <c r="I94" i="43"/>
  <c r="F94" i="43"/>
  <c r="C94" i="43"/>
  <c r="O93" i="43"/>
  <c r="L93" i="43"/>
  <c r="I93" i="43"/>
  <c r="F93" i="43"/>
  <c r="C93" i="43" s="1"/>
  <c r="N92" i="43"/>
  <c r="M92" i="43"/>
  <c r="O92" i="43" s="1"/>
  <c r="L92" i="43"/>
  <c r="K92" i="43"/>
  <c r="J92" i="43"/>
  <c r="I92" i="43"/>
  <c r="H92" i="43"/>
  <c r="G92" i="43"/>
  <c r="E92" i="43"/>
  <c r="D92" i="43"/>
  <c r="F92" i="43" s="1"/>
  <c r="C92" i="43" s="1"/>
  <c r="O91" i="43"/>
  <c r="L91" i="43"/>
  <c r="I91" i="43"/>
  <c r="F91" i="43"/>
  <c r="C91" i="43" s="1"/>
  <c r="O90" i="43"/>
  <c r="L90" i="43"/>
  <c r="I90" i="43"/>
  <c r="F90" i="43"/>
  <c r="C90" i="43"/>
  <c r="O89" i="43"/>
  <c r="L89" i="43"/>
  <c r="I89" i="43"/>
  <c r="F89" i="43"/>
  <c r="C89" i="43" s="1"/>
  <c r="O88" i="43"/>
  <c r="L88" i="43"/>
  <c r="I88" i="43"/>
  <c r="F88" i="43"/>
  <c r="C88" i="43" s="1"/>
  <c r="N87" i="43"/>
  <c r="N86" i="43" s="1"/>
  <c r="M87" i="43"/>
  <c r="M86" i="43" s="1"/>
  <c r="O86" i="43" s="1"/>
  <c r="K87" i="43"/>
  <c r="J87" i="43"/>
  <c r="J86" i="43" s="1"/>
  <c r="L86" i="43" s="1"/>
  <c r="I87" i="43"/>
  <c r="H87" i="43"/>
  <c r="H86" i="43" s="1"/>
  <c r="G87" i="43"/>
  <c r="F87" i="43"/>
  <c r="E87" i="43"/>
  <c r="E86" i="43" s="1"/>
  <c r="D87" i="43"/>
  <c r="D86" i="43" s="1"/>
  <c r="F86" i="43" s="1"/>
  <c r="K86" i="43"/>
  <c r="G86" i="43"/>
  <c r="O85" i="43"/>
  <c r="L85" i="43"/>
  <c r="I85" i="43"/>
  <c r="F85" i="43"/>
  <c r="C85" i="43" s="1"/>
  <c r="O84" i="43"/>
  <c r="L84" i="43"/>
  <c r="I84" i="43"/>
  <c r="F84" i="43"/>
  <c r="C84" i="43" s="1"/>
  <c r="N83" i="43"/>
  <c r="M83" i="43"/>
  <c r="O83" i="43" s="1"/>
  <c r="K83" i="43"/>
  <c r="J83" i="43"/>
  <c r="L83" i="43" s="1"/>
  <c r="I83" i="43"/>
  <c r="H83" i="43"/>
  <c r="G83" i="43"/>
  <c r="F83" i="43"/>
  <c r="E83" i="43"/>
  <c r="D83" i="43"/>
  <c r="O82" i="43"/>
  <c r="L82" i="43"/>
  <c r="I82" i="43"/>
  <c r="F82" i="43"/>
  <c r="C82" i="43"/>
  <c r="O81" i="43"/>
  <c r="L81" i="43"/>
  <c r="I81" i="43"/>
  <c r="F81" i="43"/>
  <c r="C81" i="43" s="1"/>
  <c r="N80" i="43"/>
  <c r="M80" i="43"/>
  <c r="M79" i="43" s="1"/>
  <c r="L80" i="43"/>
  <c r="K80" i="43"/>
  <c r="K79" i="43" s="1"/>
  <c r="J80" i="43"/>
  <c r="I80" i="43"/>
  <c r="H80" i="43"/>
  <c r="H79" i="43" s="1"/>
  <c r="H78" i="43" s="1"/>
  <c r="G80" i="43"/>
  <c r="G79" i="43" s="1"/>
  <c r="E80" i="43"/>
  <c r="E79" i="43" s="1"/>
  <c r="D80" i="43"/>
  <c r="D79" i="43" s="1"/>
  <c r="N79" i="43"/>
  <c r="N78" i="43" s="1"/>
  <c r="J79" i="43"/>
  <c r="O77" i="43"/>
  <c r="L77" i="43"/>
  <c r="I77" i="43"/>
  <c r="F77" i="43"/>
  <c r="C77" i="43" s="1"/>
  <c r="O76" i="43"/>
  <c r="L76" i="43"/>
  <c r="I76" i="43"/>
  <c r="F76" i="43"/>
  <c r="C76" i="43" s="1"/>
  <c r="O75" i="43"/>
  <c r="L75" i="43"/>
  <c r="I75" i="43"/>
  <c r="F75" i="43"/>
  <c r="C75" i="43" s="1"/>
  <c r="O74" i="43"/>
  <c r="L74" i="43"/>
  <c r="I74" i="43"/>
  <c r="F74" i="43"/>
  <c r="C74" i="43"/>
  <c r="O73" i="43"/>
  <c r="L73" i="43"/>
  <c r="G73" i="43"/>
  <c r="I73" i="43" s="1"/>
  <c r="F73" i="43"/>
  <c r="C73" i="43" s="1"/>
  <c r="N72" i="43"/>
  <c r="M72" i="43"/>
  <c r="O72" i="43" s="1"/>
  <c r="K72" i="43"/>
  <c r="J72" i="43"/>
  <c r="L72" i="43" s="1"/>
  <c r="H72" i="43"/>
  <c r="F72" i="43"/>
  <c r="E72" i="43"/>
  <c r="D72" i="43"/>
  <c r="O71" i="43"/>
  <c r="L71" i="43"/>
  <c r="I71" i="43"/>
  <c r="G71" i="43"/>
  <c r="F71" i="43"/>
  <c r="C71" i="43" s="1"/>
  <c r="D71" i="43"/>
  <c r="D70" i="43" s="1"/>
  <c r="F70" i="43" s="1"/>
  <c r="N70" i="43"/>
  <c r="M70" i="43"/>
  <c r="O70" i="43" s="1"/>
  <c r="K70" i="43"/>
  <c r="J70" i="43"/>
  <c r="L70" i="43" s="1"/>
  <c r="H70" i="43"/>
  <c r="E70" i="43"/>
  <c r="O69" i="43"/>
  <c r="L69" i="43"/>
  <c r="I69" i="43"/>
  <c r="F69" i="43"/>
  <c r="C69" i="43"/>
  <c r="O68" i="43"/>
  <c r="L68" i="43"/>
  <c r="G68" i="43"/>
  <c r="I68" i="43" s="1"/>
  <c r="F68" i="43"/>
  <c r="C68" i="43" s="1"/>
  <c r="O67" i="43"/>
  <c r="L67" i="43"/>
  <c r="I67" i="43"/>
  <c r="F67" i="43"/>
  <c r="D67" i="43"/>
  <c r="C67" i="43"/>
  <c r="O66" i="43"/>
  <c r="L66" i="43"/>
  <c r="I66" i="43"/>
  <c r="F66" i="43"/>
  <c r="C66" i="43" s="1"/>
  <c r="O65" i="43"/>
  <c r="L65" i="43"/>
  <c r="I65" i="43"/>
  <c r="F65" i="43"/>
  <c r="C65" i="43" s="1"/>
  <c r="O64" i="43"/>
  <c r="L64" i="43"/>
  <c r="I64" i="43"/>
  <c r="G64" i="43"/>
  <c r="G61" i="43" s="1"/>
  <c r="I61" i="43" s="1"/>
  <c r="F64" i="43"/>
  <c r="C64" i="43"/>
  <c r="O63" i="43"/>
  <c r="L63" i="43"/>
  <c r="I63" i="43"/>
  <c r="F63" i="43"/>
  <c r="C63" i="43" s="1"/>
  <c r="O62" i="43"/>
  <c r="L62" i="43"/>
  <c r="I62" i="43"/>
  <c r="F62" i="43"/>
  <c r="C62" i="43" s="1"/>
  <c r="N61" i="43"/>
  <c r="M61" i="43"/>
  <c r="O61" i="43" s="1"/>
  <c r="K61" i="43"/>
  <c r="J61" i="43"/>
  <c r="L61" i="43" s="1"/>
  <c r="H61" i="43"/>
  <c r="F61" i="43"/>
  <c r="E61" i="43"/>
  <c r="D61" i="43"/>
  <c r="O60" i="43"/>
  <c r="L60" i="43"/>
  <c r="I60" i="43"/>
  <c r="G60" i="43"/>
  <c r="F60" i="43"/>
  <c r="C60" i="43" s="1"/>
  <c r="D60" i="43"/>
  <c r="D58" i="43" s="1"/>
  <c r="O59" i="43"/>
  <c r="L59" i="43"/>
  <c r="I59" i="43"/>
  <c r="F59" i="43"/>
  <c r="C59" i="43" s="1"/>
  <c r="O58" i="43"/>
  <c r="N58" i="43"/>
  <c r="N57" i="43" s="1"/>
  <c r="N56" i="43" s="1"/>
  <c r="M58" i="43"/>
  <c r="M57" i="43" s="1"/>
  <c r="K58" i="43"/>
  <c r="K57" i="43" s="1"/>
  <c r="K56" i="43" s="1"/>
  <c r="J58" i="43"/>
  <c r="J57" i="43" s="1"/>
  <c r="H58" i="43"/>
  <c r="G58" i="43"/>
  <c r="G57" i="43" s="1"/>
  <c r="E58" i="43"/>
  <c r="E57" i="43" s="1"/>
  <c r="E56" i="43" s="1"/>
  <c r="H57" i="43"/>
  <c r="H56" i="43" s="1"/>
  <c r="O50" i="43"/>
  <c r="C50" i="43" s="1"/>
  <c r="O49" i="43"/>
  <c r="C49" i="43" s="1"/>
  <c r="N48" i="43"/>
  <c r="M48" i="43"/>
  <c r="O48" i="43" s="1"/>
  <c r="C48" i="43" s="1"/>
  <c r="L47" i="43"/>
  <c r="I47" i="43"/>
  <c r="F47" i="43"/>
  <c r="C47" i="43" s="1"/>
  <c r="K46" i="43"/>
  <c r="J46" i="43"/>
  <c r="L46" i="43" s="1"/>
  <c r="I46" i="43"/>
  <c r="H46" i="43"/>
  <c r="G46" i="43"/>
  <c r="F46" i="43"/>
  <c r="C46" i="43" s="1"/>
  <c r="E46" i="43"/>
  <c r="D46" i="43"/>
  <c r="F45" i="43"/>
  <c r="C45" i="43" s="1"/>
  <c r="L44" i="43"/>
  <c r="C44" i="43" s="1"/>
  <c r="L43" i="43"/>
  <c r="C43" i="43" s="1"/>
  <c r="L42" i="43"/>
  <c r="C42" i="43" s="1"/>
  <c r="L41" i="43"/>
  <c r="C41" i="43" s="1"/>
  <c r="K40" i="43"/>
  <c r="J40" i="43"/>
  <c r="L40" i="43" s="1"/>
  <c r="C40" i="43" s="1"/>
  <c r="L39" i="43"/>
  <c r="C39" i="43" s="1"/>
  <c r="L38" i="43"/>
  <c r="C38" i="43" s="1"/>
  <c r="K37" i="43"/>
  <c r="J37" i="43"/>
  <c r="L37" i="43" s="1"/>
  <c r="C37" i="43" s="1"/>
  <c r="L36" i="43"/>
  <c r="C36" i="43" s="1"/>
  <c r="L35" i="43"/>
  <c r="C35" i="43" s="1"/>
  <c r="K35" i="43"/>
  <c r="K30" i="43" s="1"/>
  <c r="J35" i="43"/>
  <c r="L34" i="43"/>
  <c r="C34" i="43" s="1"/>
  <c r="L33" i="43"/>
  <c r="C33" i="43" s="1"/>
  <c r="L32" i="43"/>
  <c r="C32" i="43" s="1"/>
  <c r="K31" i="43"/>
  <c r="J31" i="43"/>
  <c r="L31" i="43" s="1"/>
  <c r="C31" i="43" s="1"/>
  <c r="J30" i="43"/>
  <c r="F29" i="43"/>
  <c r="C29" i="43" s="1"/>
  <c r="I28" i="43"/>
  <c r="G28" i="43"/>
  <c r="F28" i="43"/>
  <c r="D28" i="43"/>
  <c r="C28" i="43"/>
  <c r="O27" i="43"/>
  <c r="M27" i="43"/>
  <c r="M25" i="43" s="1"/>
  <c r="J27" i="43"/>
  <c r="J25" i="43" s="1"/>
  <c r="I27" i="43"/>
  <c r="F27" i="43"/>
  <c r="O26" i="43"/>
  <c r="L26" i="43"/>
  <c r="I26" i="43"/>
  <c r="F26" i="43"/>
  <c r="C26" i="43"/>
  <c r="N25" i="43"/>
  <c r="N290" i="43" s="1"/>
  <c r="N289" i="43" s="1"/>
  <c r="K25" i="43"/>
  <c r="K290" i="43" s="1"/>
  <c r="K289" i="43" s="1"/>
  <c r="H25" i="43"/>
  <c r="H290" i="43" s="1"/>
  <c r="H289" i="43" s="1"/>
  <c r="G25" i="43"/>
  <c r="G290" i="43" s="1"/>
  <c r="E25" i="43"/>
  <c r="E290" i="43" s="1"/>
  <c r="E289" i="43" s="1"/>
  <c r="D25" i="43"/>
  <c r="D290" i="43" s="1"/>
  <c r="N24" i="43"/>
  <c r="E24" i="43"/>
  <c r="M56" i="43" l="1"/>
  <c r="O57" i="43"/>
  <c r="F79" i="43"/>
  <c r="M78" i="43"/>
  <c r="O78" i="43" s="1"/>
  <c r="O79" i="43"/>
  <c r="M290" i="43"/>
  <c r="O25" i="43"/>
  <c r="M24" i="43"/>
  <c r="O24" i="43" s="1"/>
  <c r="L30" i="43"/>
  <c r="C30" i="43" s="1"/>
  <c r="H55" i="43"/>
  <c r="E78" i="43"/>
  <c r="E55" i="43" s="1"/>
  <c r="C83" i="43"/>
  <c r="K55" i="43"/>
  <c r="K54" i="43" s="1"/>
  <c r="K53" i="43" s="1"/>
  <c r="F58" i="43"/>
  <c r="D57" i="43"/>
  <c r="C61" i="43"/>
  <c r="J78" i="43"/>
  <c r="L78" i="43" s="1"/>
  <c r="I79" i="43"/>
  <c r="G78" i="43"/>
  <c r="I78" i="43" s="1"/>
  <c r="K78" i="43"/>
  <c r="C115" i="43"/>
  <c r="C125" i="43"/>
  <c r="O133" i="43"/>
  <c r="C144" i="43"/>
  <c r="L168" i="43"/>
  <c r="C168" i="43" s="1"/>
  <c r="F176" i="43"/>
  <c r="H198" i="43"/>
  <c r="H197" i="43" s="1"/>
  <c r="L207" i="43"/>
  <c r="C207" i="43" s="1"/>
  <c r="G176" i="43"/>
  <c r="I176" i="43" s="1"/>
  <c r="I177" i="43"/>
  <c r="M176" i="43"/>
  <c r="O176" i="43" s="1"/>
  <c r="O177" i="43"/>
  <c r="L234" i="43"/>
  <c r="J290" i="43"/>
  <c r="J24" i="43"/>
  <c r="L25" i="43"/>
  <c r="L198" i="43"/>
  <c r="I57" i="43"/>
  <c r="N55" i="43"/>
  <c r="N54" i="43" s="1"/>
  <c r="N53" i="43" s="1"/>
  <c r="L57" i="43"/>
  <c r="J56" i="43"/>
  <c r="I86" i="43"/>
  <c r="C86" i="43" s="1"/>
  <c r="C119" i="43"/>
  <c r="D133" i="43"/>
  <c r="F133" i="43" s="1"/>
  <c r="C133" i="43" s="1"/>
  <c r="F134" i="43"/>
  <c r="C147" i="43"/>
  <c r="L177" i="43"/>
  <c r="J176" i="43"/>
  <c r="L176" i="43" s="1"/>
  <c r="C182" i="43"/>
  <c r="C190" i="43"/>
  <c r="C194" i="43"/>
  <c r="O198" i="43"/>
  <c r="N287" i="43"/>
  <c r="D289" i="43"/>
  <c r="F289" i="43" s="1"/>
  <c r="F290" i="43"/>
  <c r="I25" i="43"/>
  <c r="L27" i="43"/>
  <c r="C27" i="43" s="1"/>
  <c r="N288" i="43"/>
  <c r="L58" i="43"/>
  <c r="G72" i="43"/>
  <c r="F80" i="43"/>
  <c r="O87" i="43"/>
  <c r="L134" i="43"/>
  <c r="I169" i="43"/>
  <c r="L178" i="43"/>
  <c r="O191" i="43"/>
  <c r="O195" i="43"/>
  <c r="G199" i="43"/>
  <c r="O199" i="43"/>
  <c r="I208" i="43"/>
  <c r="L230" i="43"/>
  <c r="C230" i="43" s="1"/>
  <c r="C235" i="43"/>
  <c r="F236" i="43"/>
  <c r="D234" i="43"/>
  <c r="I236" i="43"/>
  <c r="O236" i="43"/>
  <c r="M234" i="43"/>
  <c r="J254" i="43"/>
  <c r="L254" i="43" s="1"/>
  <c r="L255" i="43"/>
  <c r="C255" i="43" s="1"/>
  <c r="C256" i="43"/>
  <c r="G261" i="43"/>
  <c r="I261" i="43" s="1"/>
  <c r="I262" i="43"/>
  <c r="O261" i="43"/>
  <c r="L278" i="43"/>
  <c r="C278" i="43" s="1"/>
  <c r="C283" i="43"/>
  <c r="O284" i="43"/>
  <c r="C70" i="44"/>
  <c r="N78" i="44"/>
  <c r="C119" i="44"/>
  <c r="F190" i="44"/>
  <c r="G24" i="43"/>
  <c r="K24" i="43"/>
  <c r="F25" i="43"/>
  <c r="C25" i="43" s="1"/>
  <c r="I58" i="43"/>
  <c r="L79" i="43"/>
  <c r="O80" i="43"/>
  <c r="L87" i="43"/>
  <c r="C87" i="43" s="1"/>
  <c r="I134" i="43"/>
  <c r="F169" i="43"/>
  <c r="C169" i="43" s="1"/>
  <c r="F177" i="43"/>
  <c r="C177" i="43" s="1"/>
  <c r="I178" i="43"/>
  <c r="C178" i="43" s="1"/>
  <c r="L191" i="43"/>
  <c r="C191" i="43" s="1"/>
  <c r="L195" i="43"/>
  <c r="C195" i="43" s="1"/>
  <c r="D199" i="43"/>
  <c r="L199" i="43"/>
  <c r="F208" i="43"/>
  <c r="C208" i="43" s="1"/>
  <c r="C231" i="43"/>
  <c r="G233" i="43"/>
  <c r="I233" i="43" s="1"/>
  <c r="E233" i="43"/>
  <c r="E197" i="43" s="1"/>
  <c r="L238" i="43"/>
  <c r="C238" i="43" s="1"/>
  <c r="I241" i="43"/>
  <c r="C241" i="43" s="1"/>
  <c r="I249" i="43"/>
  <c r="C259" i="43"/>
  <c r="C260" i="43"/>
  <c r="F261" i="43"/>
  <c r="C261" i="43" s="1"/>
  <c r="L266" i="43"/>
  <c r="C266" i="43" s="1"/>
  <c r="L274" i="43"/>
  <c r="C279" i="43"/>
  <c r="E287" i="43"/>
  <c r="L56" i="44"/>
  <c r="M56" i="44"/>
  <c r="O57" i="44"/>
  <c r="C72" i="44"/>
  <c r="E78" i="44"/>
  <c r="E55" i="44" s="1"/>
  <c r="L79" i="44"/>
  <c r="C92" i="44"/>
  <c r="C115" i="44"/>
  <c r="D24" i="43"/>
  <c r="F24" i="43" s="1"/>
  <c r="H24" i="43"/>
  <c r="G289" i="43"/>
  <c r="I289" i="43" s="1"/>
  <c r="I290" i="43"/>
  <c r="C239" i="43"/>
  <c r="C240" i="43"/>
  <c r="C243" i="43"/>
  <c r="C244" i="43"/>
  <c r="C252" i="43"/>
  <c r="F254" i="43"/>
  <c r="C254" i="43" s="1"/>
  <c r="C268" i="43"/>
  <c r="M271" i="43"/>
  <c r="O271" i="43" s="1"/>
  <c r="O272" i="43"/>
  <c r="C276" i="43"/>
  <c r="K287" i="43"/>
  <c r="N55" i="44"/>
  <c r="N54" i="44" s="1"/>
  <c r="N53" i="44" s="1"/>
  <c r="I58" i="44"/>
  <c r="G57" i="44"/>
  <c r="O86" i="44"/>
  <c r="C249" i="43"/>
  <c r="I274" i="43"/>
  <c r="C274" i="43" s="1"/>
  <c r="G272" i="43"/>
  <c r="H287" i="43"/>
  <c r="F57" i="44"/>
  <c r="D56" i="44"/>
  <c r="I79" i="44"/>
  <c r="O79" i="44"/>
  <c r="C86" i="44"/>
  <c r="O255" i="43"/>
  <c r="L262" i="43"/>
  <c r="F272" i="43"/>
  <c r="J272" i="43"/>
  <c r="F284" i="43"/>
  <c r="C284" i="43" s="1"/>
  <c r="J24" i="44"/>
  <c r="L24" i="44" s="1"/>
  <c r="N24" i="44"/>
  <c r="O24" i="44" s="1"/>
  <c r="I25" i="44"/>
  <c r="O290" i="44"/>
  <c r="M289" i="44"/>
  <c r="O289" i="44" s="1"/>
  <c r="F58" i="44"/>
  <c r="L80" i="44"/>
  <c r="I87" i="44"/>
  <c r="C129" i="44"/>
  <c r="C130" i="44"/>
  <c r="H133" i="44"/>
  <c r="H78" i="44" s="1"/>
  <c r="H55" i="44" s="1"/>
  <c r="I139" i="44"/>
  <c r="C139" i="44" s="1"/>
  <c r="G133" i="44"/>
  <c r="I133" i="44" s="1"/>
  <c r="L139" i="44"/>
  <c r="C145" i="44"/>
  <c r="C158" i="44"/>
  <c r="F169" i="44"/>
  <c r="D177" i="44"/>
  <c r="F178" i="44"/>
  <c r="C178" i="44" s="1"/>
  <c r="C181" i="44"/>
  <c r="C189" i="44"/>
  <c r="F199" i="44"/>
  <c r="F201" i="44"/>
  <c r="L201" i="44"/>
  <c r="J199" i="44"/>
  <c r="J207" i="44"/>
  <c r="L207" i="44" s="1"/>
  <c r="L208" i="44"/>
  <c r="O208" i="44"/>
  <c r="C217" i="44"/>
  <c r="H207" i="44"/>
  <c r="H198" i="44" s="1"/>
  <c r="C221" i="44"/>
  <c r="O249" i="44"/>
  <c r="C253" i="44"/>
  <c r="H261" i="44"/>
  <c r="I261" i="44" s="1"/>
  <c r="I262" i="44"/>
  <c r="I290" i="44"/>
  <c r="F46" i="45"/>
  <c r="D24" i="45"/>
  <c r="K78" i="45"/>
  <c r="C154" i="45"/>
  <c r="F191" i="45"/>
  <c r="E194" i="45"/>
  <c r="F194" i="45" s="1"/>
  <c r="F195" i="45"/>
  <c r="I230" i="45"/>
  <c r="G207" i="45"/>
  <c r="G234" i="45"/>
  <c r="G24" i="44"/>
  <c r="K24" i="44"/>
  <c r="F25" i="44"/>
  <c r="C25" i="44" s="1"/>
  <c r="L290" i="44"/>
  <c r="J289" i="44"/>
  <c r="L289" i="44" s="1"/>
  <c r="J30" i="44"/>
  <c r="L57" i="44"/>
  <c r="O58" i="44"/>
  <c r="F79" i="44"/>
  <c r="C79" i="44" s="1"/>
  <c r="I80" i="44"/>
  <c r="C80" i="44" s="1"/>
  <c r="F87" i="44"/>
  <c r="C87" i="44" s="1"/>
  <c r="D133" i="44"/>
  <c r="F133" i="44" s="1"/>
  <c r="F134" i="44"/>
  <c r="C134" i="44" s="1"/>
  <c r="C137" i="44"/>
  <c r="C141" i="44"/>
  <c r="C153" i="44"/>
  <c r="F154" i="44"/>
  <c r="C154" i="44" s="1"/>
  <c r="C157" i="44"/>
  <c r="I163" i="44"/>
  <c r="C163" i="44" s="1"/>
  <c r="C174" i="44"/>
  <c r="L176" i="44"/>
  <c r="M190" i="44"/>
  <c r="O190" i="44" s="1"/>
  <c r="L191" i="44"/>
  <c r="C193" i="44"/>
  <c r="F194" i="44"/>
  <c r="G198" i="44"/>
  <c r="I199" i="44"/>
  <c r="C206" i="44"/>
  <c r="C208" i="44"/>
  <c r="C225" i="44"/>
  <c r="C226" i="44"/>
  <c r="C241" i="44"/>
  <c r="C242" i="44"/>
  <c r="F255" i="44"/>
  <c r="D254" i="44"/>
  <c r="F254" i="44" s="1"/>
  <c r="E271" i="44"/>
  <c r="E197" i="44" s="1"/>
  <c r="K55" i="45"/>
  <c r="K54" i="45" s="1"/>
  <c r="K53" i="45" s="1"/>
  <c r="H133" i="45"/>
  <c r="D24" i="44"/>
  <c r="F24" i="44" s="1"/>
  <c r="H24" i="44"/>
  <c r="I289" i="44"/>
  <c r="N288" i="44"/>
  <c r="M168" i="44"/>
  <c r="O168" i="44" s="1"/>
  <c r="C168" i="44" s="1"/>
  <c r="O169" i="44"/>
  <c r="C173" i="44"/>
  <c r="M177" i="44"/>
  <c r="C185" i="44"/>
  <c r="C186" i="44"/>
  <c r="K194" i="44"/>
  <c r="L194" i="44" s="1"/>
  <c r="L195" i="44"/>
  <c r="O201" i="44"/>
  <c r="M199" i="44"/>
  <c r="C205" i="44"/>
  <c r="D207" i="44"/>
  <c r="C213" i="44"/>
  <c r="C214" i="44"/>
  <c r="L236" i="44"/>
  <c r="J234" i="44"/>
  <c r="C249" i="44"/>
  <c r="K254" i="44"/>
  <c r="L254" i="44" s="1"/>
  <c r="L255" i="44"/>
  <c r="E287" i="44"/>
  <c r="L284" i="44"/>
  <c r="L31" i="45"/>
  <c r="C31" i="45" s="1"/>
  <c r="K30" i="45"/>
  <c r="H79" i="45"/>
  <c r="I80" i="45"/>
  <c r="E86" i="45"/>
  <c r="F87" i="45"/>
  <c r="I98" i="45"/>
  <c r="G86" i="45"/>
  <c r="I134" i="45"/>
  <c r="G133" i="45"/>
  <c r="I133" i="45" s="1"/>
  <c r="G168" i="45"/>
  <c r="I168" i="45" s="1"/>
  <c r="I169" i="45"/>
  <c r="C169" i="45" s="1"/>
  <c r="G176" i="45"/>
  <c r="I176" i="45" s="1"/>
  <c r="I177" i="45"/>
  <c r="J177" i="45"/>
  <c r="L178" i="45"/>
  <c r="I201" i="45"/>
  <c r="G199" i="45"/>
  <c r="D289" i="44"/>
  <c r="F289" i="44" s="1"/>
  <c r="F290" i="44"/>
  <c r="O133" i="44"/>
  <c r="L144" i="44"/>
  <c r="C144" i="44" s="1"/>
  <c r="J133" i="44"/>
  <c r="L133" i="44" s="1"/>
  <c r="K198" i="44"/>
  <c r="I207" i="44"/>
  <c r="O230" i="44"/>
  <c r="C230" i="44" s="1"/>
  <c r="M207" i="44"/>
  <c r="O207" i="44" s="1"/>
  <c r="F234" i="44"/>
  <c r="C284" i="44"/>
  <c r="O57" i="45"/>
  <c r="I70" i="45"/>
  <c r="H70" i="45"/>
  <c r="I72" i="45"/>
  <c r="L106" i="45"/>
  <c r="C106" i="45" s="1"/>
  <c r="J86" i="45"/>
  <c r="L86" i="45" s="1"/>
  <c r="C178" i="45"/>
  <c r="H207" i="45"/>
  <c r="I208" i="45"/>
  <c r="H234" i="45"/>
  <c r="H233" i="45" s="1"/>
  <c r="I236" i="45"/>
  <c r="C149" i="44"/>
  <c r="C165" i="44"/>
  <c r="H176" i="44"/>
  <c r="I176" i="44" s="1"/>
  <c r="I187" i="44"/>
  <c r="C187" i="44" s="1"/>
  <c r="G190" i="44"/>
  <c r="I190" i="44" s="1"/>
  <c r="I191" i="44"/>
  <c r="C191" i="44" s="1"/>
  <c r="G194" i="44"/>
  <c r="I194" i="44" s="1"/>
  <c r="I195" i="44"/>
  <c r="C195" i="44" s="1"/>
  <c r="C209" i="44"/>
  <c r="I236" i="44"/>
  <c r="C236" i="44" s="1"/>
  <c r="G234" i="44"/>
  <c r="C237" i="44"/>
  <c r="G254" i="44"/>
  <c r="I254" i="44" s="1"/>
  <c r="I255" i="44"/>
  <c r="C265" i="44"/>
  <c r="C269" i="44"/>
  <c r="I291" i="44"/>
  <c r="E290" i="45"/>
  <c r="E289" i="45" s="1"/>
  <c r="E24" i="45"/>
  <c r="I46" i="45"/>
  <c r="D57" i="45"/>
  <c r="F58" i="45"/>
  <c r="C58" i="45" s="1"/>
  <c r="I58" i="45"/>
  <c r="I61" i="45"/>
  <c r="C64" i="45"/>
  <c r="C65" i="45"/>
  <c r="I68" i="45"/>
  <c r="C68" i="45" s="1"/>
  <c r="C71" i="45"/>
  <c r="H86" i="45"/>
  <c r="L98" i="45"/>
  <c r="C107" i="45"/>
  <c r="C123" i="45"/>
  <c r="D133" i="45"/>
  <c r="F133" i="45" s="1"/>
  <c r="J133" i="45"/>
  <c r="L133" i="45" s="1"/>
  <c r="L134" i="45"/>
  <c r="O134" i="45"/>
  <c r="C167" i="45"/>
  <c r="C171" i="45"/>
  <c r="L199" i="45"/>
  <c r="F201" i="45"/>
  <c r="C201" i="45" s="1"/>
  <c r="D199" i="45"/>
  <c r="C203" i="45"/>
  <c r="J207" i="45"/>
  <c r="C223" i="45"/>
  <c r="L230" i="45"/>
  <c r="C235" i="45"/>
  <c r="L238" i="45"/>
  <c r="C238" i="45" s="1"/>
  <c r="I241" i="45"/>
  <c r="C241" i="45" s="1"/>
  <c r="J254" i="45"/>
  <c r="L254" i="45" s="1"/>
  <c r="C254" i="45" s="1"/>
  <c r="C263" i="45"/>
  <c r="C264" i="45"/>
  <c r="L274" i="45"/>
  <c r="J272" i="45"/>
  <c r="C278" i="45"/>
  <c r="J290" i="45"/>
  <c r="G290" i="46"/>
  <c r="G24" i="46"/>
  <c r="I24" i="46" s="1"/>
  <c r="I25" i="46"/>
  <c r="L35" i="46"/>
  <c r="C35" i="46" s="1"/>
  <c r="J57" i="46"/>
  <c r="L58" i="46"/>
  <c r="C58" i="46" s="1"/>
  <c r="O70" i="46"/>
  <c r="C257" i="44"/>
  <c r="C258" i="44"/>
  <c r="M261" i="44"/>
  <c r="O261" i="44" s="1"/>
  <c r="I271" i="44"/>
  <c r="J271" i="44"/>
  <c r="L271" i="44" s="1"/>
  <c r="L272" i="44"/>
  <c r="F274" i="44"/>
  <c r="C274" i="44" s="1"/>
  <c r="D272" i="44"/>
  <c r="O274" i="44"/>
  <c r="M272" i="44"/>
  <c r="C277" i="44"/>
  <c r="F278" i="44"/>
  <c r="C278" i="44" s="1"/>
  <c r="F282" i="44"/>
  <c r="C282" i="44" s="1"/>
  <c r="N287" i="44"/>
  <c r="C293" i="44"/>
  <c r="C294" i="44"/>
  <c r="C291" i="44" s="1"/>
  <c r="C26" i="45"/>
  <c r="L35" i="45"/>
  <c r="C35" i="45" s="1"/>
  <c r="J30" i="45"/>
  <c r="L56" i="45"/>
  <c r="F61" i="45"/>
  <c r="C61" i="45" s="1"/>
  <c r="O79" i="45"/>
  <c r="C84" i="45"/>
  <c r="M86" i="45"/>
  <c r="O86" i="45" s="1"/>
  <c r="O87" i="45"/>
  <c r="C91" i="45"/>
  <c r="F92" i="45"/>
  <c r="C92" i="45" s="1"/>
  <c r="D86" i="45"/>
  <c r="F86" i="45" s="1"/>
  <c r="C95" i="45"/>
  <c r="C96" i="45"/>
  <c r="C100" i="45"/>
  <c r="C111" i="45"/>
  <c r="C112" i="45"/>
  <c r="C116" i="45"/>
  <c r="C120" i="45"/>
  <c r="O131" i="45"/>
  <c r="C131" i="45" s="1"/>
  <c r="C135" i="45"/>
  <c r="C136" i="45"/>
  <c r="C140" i="45"/>
  <c r="C148" i="45"/>
  <c r="C160" i="45"/>
  <c r="C164" i="45"/>
  <c r="F176" i="45"/>
  <c r="N176" i="45"/>
  <c r="O176" i="45" s="1"/>
  <c r="O187" i="45"/>
  <c r="C187" i="45" s="1"/>
  <c r="L190" i="45"/>
  <c r="M190" i="45"/>
  <c r="O190" i="45" s="1"/>
  <c r="O191" i="45"/>
  <c r="L194" i="45"/>
  <c r="M194" i="45"/>
  <c r="O194" i="45" s="1"/>
  <c r="O195" i="45"/>
  <c r="E197" i="45"/>
  <c r="M198" i="45"/>
  <c r="O199" i="45"/>
  <c r="O207" i="45"/>
  <c r="C216" i="45"/>
  <c r="C220" i="45"/>
  <c r="C227" i="45"/>
  <c r="C228" i="45"/>
  <c r="C232" i="45"/>
  <c r="C240" i="45"/>
  <c r="C244" i="45"/>
  <c r="D271" i="45"/>
  <c r="F271" i="45" s="1"/>
  <c r="F272" i="45"/>
  <c r="K287" i="45"/>
  <c r="I289" i="45"/>
  <c r="C291" i="45"/>
  <c r="C27" i="46"/>
  <c r="C28" i="46"/>
  <c r="G57" i="46"/>
  <c r="C60" i="46"/>
  <c r="F79" i="46"/>
  <c r="K79" i="46"/>
  <c r="L80" i="46"/>
  <c r="I262" i="45"/>
  <c r="G261" i="45"/>
  <c r="I261" i="45" s="1"/>
  <c r="F290" i="45"/>
  <c r="D290" i="46"/>
  <c r="F25" i="46"/>
  <c r="C25" i="46" s="1"/>
  <c r="L30" i="46"/>
  <c r="C30" i="46" s="1"/>
  <c r="J24" i="46"/>
  <c r="O48" i="46"/>
  <c r="C48" i="46" s="1"/>
  <c r="M24" i="46"/>
  <c r="O24" i="46" s="1"/>
  <c r="L72" i="46"/>
  <c r="J70" i="46"/>
  <c r="L70" i="46" s="1"/>
  <c r="D72" i="46"/>
  <c r="F76" i="46"/>
  <c r="C76" i="46" s="1"/>
  <c r="D261" i="44"/>
  <c r="F261" i="44" s="1"/>
  <c r="C261" i="44" s="1"/>
  <c r="F262" i="44"/>
  <c r="C262" i="44" s="1"/>
  <c r="C266" i="44"/>
  <c r="F289" i="45"/>
  <c r="M290" i="45"/>
  <c r="M24" i="45"/>
  <c r="O24" i="45" s="1"/>
  <c r="O25" i="45"/>
  <c r="C25" i="45" s="1"/>
  <c r="N55" i="45"/>
  <c r="H56" i="45"/>
  <c r="F72" i="45"/>
  <c r="D70" i="45"/>
  <c r="F70" i="45" s="1"/>
  <c r="C70" i="45" s="1"/>
  <c r="O72" i="45"/>
  <c r="M70" i="45"/>
  <c r="O70" i="45" s="1"/>
  <c r="C75" i="45"/>
  <c r="E78" i="45"/>
  <c r="J79" i="45"/>
  <c r="D79" i="45"/>
  <c r="F80" i="45"/>
  <c r="C80" i="45" s="1"/>
  <c r="C103" i="45"/>
  <c r="C127" i="45"/>
  <c r="O139" i="45"/>
  <c r="C139" i="45" s="1"/>
  <c r="M133" i="45"/>
  <c r="O133" i="45" s="1"/>
  <c r="C143" i="45"/>
  <c r="C144" i="45"/>
  <c r="C151" i="45"/>
  <c r="C155" i="45"/>
  <c r="C168" i="45"/>
  <c r="O177" i="45"/>
  <c r="C179" i="45"/>
  <c r="C183" i="45"/>
  <c r="H198" i="45"/>
  <c r="H197" i="45" s="1"/>
  <c r="D207" i="45"/>
  <c r="F207" i="45" s="1"/>
  <c r="F208" i="45"/>
  <c r="C208" i="45" s="1"/>
  <c r="C211" i="45"/>
  <c r="L234" i="45"/>
  <c r="F236" i="45"/>
  <c r="D234" i="45"/>
  <c r="O236" i="45"/>
  <c r="M234" i="45"/>
  <c r="C247" i="45"/>
  <c r="C251" i="45"/>
  <c r="M254" i="45"/>
  <c r="O254" i="45" s="1"/>
  <c r="O255" i="45"/>
  <c r="C255" i="45" s="1"/>
  <c r="N261" i="45"/>
  <c r="O261" i="45" s="1"/>
  <c r="O262" i="45"/>
  <c r="C267" i="45"/>
  <c r="N272" i="45"/>
  <c r="N271" i="45" s="1"/>
  <c r="C282" i="45"/>
  <c r="C283" i="45"/>
  <c r="F284" i="45"/>
  <c r="I284" i="45"/>
  <c r="F46" i="46"/>
  <c r="C46" i="46" s="1"/>
  <c r="F57" i="46"/>
  <c r="C69" i="46"/>
  <c r="I73" i="46"/>
  <c r="C73" i="46" s="1"/>
  <c r="G72" i="46"/>
  <c r="J261" i="45"/>
  <c r="L261" i="45" s="1"/>
  <c r="L262" i="45"/>
  <c r="L266" i="45"/>
  <c r="C266" i="45" s="1"/>
  <c r="I274" i="45"/>
  <c r="C274" i="45" s="1"/>
  <c r="G272" i="45"/>
  <c r="C279" i="45"/>
  <c r="I290" i="45"/>
  <c r="C299" i="45"/>
  <c r="K290" i="46"/>
  <c r="K289" i="46" s="1"/>
  <c r="K24" i="46"/>
  <c r="N57" i="46"/>
  <c r="L61" i="46"/>
  <c r="C61" i="46" s="1"/>
  <c r="C66" i="46"/>
  <c r="O72" i="46"/>
  <c r="C75" i="46"/>
  <c r="C82" i="46"/>
  <c r="H86" i="46"/>
  <c r="H78" i="46" s="1"/>
  <c r="C100" i="46"/>
  <c r="C145" i="46"/>
  <c r="J176" i="46"/>
  <c r="L176" i="46" s="1"/>
  <c r="H177" i="46"/>
  <c r="C182" i="46"/>
  <c r="I191" i="46"/>
  <c r="C191" i="46" s="1"/>
  <c r="O201" i="46"/>
  <c r="M199" i="46"/>
  <c r="N234" i="46"/>
  <c r="N233" i="46" s="1"/>
  <c r="O236" i="46"/>
  <c r="O249" i="46"/>
  <c r="M234" i="46"/>
  <c r="I272" i="46"/>
  <c r="H272" i="46"/>
  <c r="H271" i="46" s="1"/>
  <c r="I271" i="46" s="1"/>
  <c r="I274" i="46"/>
  <c r="L289" i="46"/>
  <c r="L79" i="47"/>
  <c r="E86" i="47"/>
  <c r="I134" i="47"/>
  <c r="G133" i="47"/>
  <c r="F139" i="47"/>
  <c r="C139" i="47" s="1"/>
  <c r="D133" i="47"/>
  <c r="K24" i="48"/>
  <c r="D86" i="46"/>
  <c r="F86" i="46" s="1"/>
  <c r="F87" i="46"/>
  <c r="C87" i="46" s="1"/>
  <c r="O133" i="46"/>
  <c r="K133" i="46"/>
  <c r="L133" i="46" s="1"/>
  <c r="L139" i="46"/>
  <c r="D177" i="46"/>
  <c r="F178" i="46"/>
  <c r="C178" i="46" s="1"/>
  <c r="O178" i="46"/>
  <c r="M177" i="46"/>
  <c r="G254" i="46"/>
  <c r="I254" i="46" s="1"/>
  <c r="I255" i="46"/>
  <c r="C255" i="46" s="1"/>
  <c r="N24" i="47"/>
  <c r="N290" i="47"/>
  <c r="N289" i="47" s="1"/>
  <c r="L57" i="47"/>
  <c r="J56" i="47"/>
  <c r="G79" i="46"/>
  <c r="I80" i="46"/>
  <c r="C80" i="46" s="1"/>
  <c r="J86" i="46"/>
  <c r="I98" i="46"/>
  <c r="C98" i="46" s="1"/>
  <c r="G86" i="46"/>
  <c r="I86" i="46" s="1"/>
  <c r="L98" i="46"/>
  <c r="C104" i="46"/>
  <c r="C115" i="46"/>
  <c r="I131" i="46"/>
  <c r="C131" i="46" s="1"/>
  <c r="O144" i="46"/>
  <c r="C144" i="46" s="1"/>
  <c r="N133" i="46"/>
  <c r="N78" i="46" s="1"/>
  <c r="K198" i="46"/>
  <c r="K197" i="46" s="1"/>
  <c r="I208" i="46"/>
  <c r="G207" i="46"/>
  <c r="I207" i="46" s="1"/>
  <c r="F219" i="46"/>
  <c r="D207" i="46"/>
  <c r="E234" i="46"/>
  <c r="E233" i="46" s="1"/>
  <c r="E197" i="46" s="1"/>
  <c r="E54" i="46" s="1"/>
  <c r="I284" i="46"/>
  <c r="M289" i="46"/>
  <c r="E290" i="47"/>
  <c r="E289" i="47" s="1"/>
  <c r="E24" i="47"/>
  <c r="F25" i="47"/>
  <c r="L163" i="47"/>
  <c r="J133" i="47"/>
  <c r="L133" i="47" s="1"/>
  <c r="M86" i="46"/>
  <c r="O86" i="46" s="1"/>
  <c r="M168" i="46"/>
  <c r="O168" i="46" s="1"/>
  <c r="C168" i="46" s="1"/>
  <c r="O169" i="46"/>
  <c r="D190" i="46"/>
  <c r="F190" i="46" s="1"/>
  <c r="G194" i="46"/>
  <c r="I194" i="46" s="1"/>
  <c r="C194" i="46" s="1"/>
  <c r="I195" i="46"/>
  <c r="C195" i="46" s="1"/>
  <c r="N207" i="46"/>
  <c r="O208" i="46"/>
  <c r="F234" i="46"/>
  <c r="I236" i="46"/>
  <c r="G234" i="46"/>
  <c r="C254" i="46"/>
  <c r="K30" i="47"/>
  <c r="L40" i="47"/>
  <c r="C40" i="47" s="1"/>
  <c r="I46" i="47"/>
  <c r="G24" i="47"/>
  <c r="I24" i="47" s="1"/>
  <c r="F191" i="47"/>
  <c r="C191" i="47" s="1"/>
  <c r="O191" i="47"/>
  <c r="N233" i="47"/>
  <c r="L284" i="47"/>
  <c r="H55" i="48"/>
  <c r="H54" i="48" s="1"/>
  <c r="F58" i="48"/>
  <c r="I80" i="48"/>
  <c r="G79" i="48"/>
  <c r="I234" i="48"/>
  <c r="D290" i="49"/>
  <c r="F25" i="49"/>
  <c r="D24" i="49"/>
  <c r="F24" i="49" s="1"/>
  <c r="J271" i="46"/>
  <c r="L271" i="46" s="1"/>
  <c r="L272" i="46"/>
  <c r="F274" i="46"/>
  <c r="C274" i="46" s="1"/>
  <c r="D272" i="46"/>
  <c r="O274" i="46"/>
  <c r="M272" i="46"/>
  <c r="C282" i="46"/>
  <c r="L25" i="47"/>
  <c r="J290" i="47"/>
  <c r="L35" i="47"/>
  <c r="C35" i="47" s="1"/>
  <c r="J30" i="47"/>
  <c r="M56" i="47"/>
  <c r="O57" i="47"/>
  <c r="K78" i="47"/>
  <c r="K55" i="47" s="1"/>
  <c r="K54" i="47" s="1"/>
  <c r="K53" i="47" s="1"/>
  <c r="O92" i="47"/>
  <c r="M86" i="47"/>
  <c r="O86" i="47" s="1"/>
  <c r="C147" i="47"/>
  <c r="J176" i="47"/>
  <c r="L176" i="47" s="1"/>
  <c r="L177" i="47"/>
  <c r="M177" i="47"/>
  <c r="O178" i="47"/>
  <c r="D194" i="47"/>
  <c r="F194" i="47" s="1"/>
  <c r="F195" i="47"/>
  <c r="C195" i="47" s="1"/>
  <c r="I195" i="47"/>
  <c r="O195" i="47"/>
  <c r="M194" i="47"/>
  <c r="O194" i="47" s="1"/>
  <c r="I201" i="47"/>
  <c r="G199" i="47"/>
  <c r="O234" i="47"/>
  <c r="F238" i="47"/>
  <c r="E261" i="47"/>
  <c r="F261" i="47" s="1"/>
  <c r="L30" i="48"/>
  <c r="C30" i="48" s="1"/>
  <c r="L72" i="48"/>
  <c r="C72" i="48" s="1"/>
  <c r="J70" i="48"/>
  <c r="L70" i="48" s="1"/>
  <c r="G86" i="48"/>
  <c r="I86" i="48" s="1"/>
  <c r="I87" i="48"/>
  <c r="L87" i="48"/>
  <c r="K290" i="49"/>
  <c r="K289" i="49" s="1"/>
  <c r="L25" i="49"/>
  <c r="L31" i="49"/>
  <c r="C31" i="49" s="1"/>
  <c r="J30" i="49"/>
  <c r="I58" i="49"/>
  <c r="G57" i="49"/>
  <c r="H133" i="46"/>
  <c r="I139" i="46"/>
  <c r="C139" i="46" s="1"/>
  <c r="G133" i="46"/>
  <c r="C181" i="46"/>
  <c r="C185" i="46"/>
  <c r="C189" i="46"/>
  <c r="C193" i="46"/>
  <c r="N198" i="46"/>
  <c r="N197" i="46" s="1"/>
  <c r="J207" i="46"/>
  <c r="L207" i="46" s="1"/>
  <c r="L208" i="46"/>
  <c r="I219" i="46"/>
  <c r="L236" i="46"/>
  <c r="J234" i="46"/>
  <c r="C273" i="46"/>
  <c r="C277" i="46"/>
  <c r="C281" i="46"/>
  <c r="E287" i="46"/>
  <c r="L284" i="46"/>
  <c r="O284" i="46"/>
  <c r="F46" i="47"/>
  <c r="C46" i="47" s="1"/>
  <c r="D24" i="47"/>
  <c r="F24" i="47" s="1"/>
  <c r="O48" i="47"/>
  <c r="C48" i="47" s="1"/>
  <c r="H56" i="47"/>
  <c r="I61" i="47"/>
  <c r="C61" i="47" s="1"/>
  <c r="G57" i="47"/>
  <c r="L61" i="47"/>
  <c r="I79" i="47"/>
  <c r="H86" i="47"/>
  <c r="H78" i="47" s="1"/>
  <c r="I87" i="47"/>
  <c r="F92" i="47"/>
  <c r="C92" i="47" s="1"/>
  <c r="C100" i="47"/>
  <c r="C130" i="47"/>
  <c r="L134" i="47"/>
  <c r="C140" i="47"/>
  <c r="C155" i="47"/>
  <c r="J168" i="47"/>
  <c r="L168" i="47" s="1"/>
  <c r="C168" i="47" s="1"/>
  <c r="L169" i="47"/>
  <c r="O169" i="47"/>
  <c r="D176" i="47"/>
  <c r="F176" i="47" s="1"/>
  <c r="F177" i="47"/>
  <c r="N199" i="47"/>
  <c r="N198" i="47" s="1"/>
  <c r="N197" i="47" s="1"/>
  <c r="O201" i="47"/>
  <c r="K207" i="47"/>
  <c r="L208" i="47"/>
  <c r="F236" i="47"/>
  <c r="D234" i="47"/>
  <c r="C246" i="47"/>
  <c r="D254" i="47"/>
  <c r="F254" i="47" s="1"/>
  <c r="F255" i="47"/>
  <c r="I255" i="47"/>
  <c r="O255" i="47"/>
  <c r="M254" i="47"/>
  <c r="O254" i="47" s="1"/>
  <c r="F262" i="47"/>
  <c r="L262" i="47"/>
  <c r="J261" i="47"/>
  <c r="L261" i="47" s="1"/>
  <c r="C298" i="47"/>
  <c r="N24" i="48"/>
  <c r="N290" i="48"/>
  <c r="N289" i="48" s="1"/>
  <c r="G61" i="48"/>
  <c r="I61" i="48" s="1"/>
  <c r="F73" i="48"/>
  <c r="C73" i="48" s="1"/>
  <c r="D79" i="48"/>
  <c r="M78" i="48"/>
  <c r="M55" i="48" s="1"/>
  <c r="N86" i="48"/>
  <c r="O86" i="48" s="1"/>
  <c r="N133" i="48"/>
  <c r="O139" i="48"/>
  <c r="C248" i="48"/>
  <c r="C251" i="48"/>
  <c r="N290" i="46"/>
  <c r="N289" i="46" s="1"/>
  <c r="C113" i="46"/>
  <c r="C114" i="46"/>
  <c r="C117" i="46"/>
  <c r="C118" i="46"/>
  <c r="C121" i="46"/>
  <c r="C122" i="46"/>
  <c r="C126" i="46"/>
  <c r="D133" i="46"/>
  <c r="F133" i="46" s="1"/>
  <c r="F134" i="46"/>
  <c r="C134" i="46" s="1"/>
  <c r="I134" i="46"/>
  <c r="C137" i="46"/>
  <c r="C138" i="46"/>
  <c r="C141" i="46"/>
  <c r="C142" i="46"/>
  <c r="C146" i="46"/>
  <c r="C149" i="46"/>
  <c r="C150" i="46"/>
  <c r="C161" i="46"/>
  <c r="C162" i="46"/>
  <c r="C165" i="46"/>
  <c r="C166" i="46"/>
  <c r="C169" i="46"/>
  <c r="C170" i="46"/>
  <c r="G198" i="46"/>
  <c r="I199" i="46"/>
  <c r="L201" i="46"/>
  <c r="C201" i="46" s="1"/>
  <c r="J199" i="46"/>
  <c r="C202" i="46"/>
  <c r="C209" i="46"/>
  <c r="C210" i="46"/>
  <c r="C217" i="46"/>
  <c r="C218" i="46"/>
  <c r="C221" i="46"/>
  <c r="C222" i="46"/>
  <c r="C229" i="46"/>
  <c r="F230" i="46"/>
  <c r="C230" i="46" s="1"/>
  <c r="O230" i="46"/>
  <c r="M207" i="46"/>
  <c r="O207" i="46" s="1"/>
  <c r="H233" i="46"/>
  <c r="H197" i="46" s="1"/>
  <c r="C237" i="46"/>
  <c r="F238" i="46"/>
  <c r="C238" i="46" s="1"/>
  <c r="O241" i="46"/>
  <c r="C241" i="46" s="1"/>
  <c r="C245" i="46"/>
  <c r="C246" i="46"/>
  <c r="C249" i="46"/>
  <c r="C250" i="46"/>
  <c r="D261" i="46"/>
  <c r="F261" i="46" s="1"/>
  <c r="C261" i="46" s="1"/>
  <c r="F262" i="46"/>
  <c r="C262" i="46" s="1"/>
  <c r="C265" i="46"/>
  <c r="F266" i="46"/>
  <c r="C266" i="46" s="1"/>
  <c r="C269" i="46"/>
  <c r="C270" i="46"/>
  <c r="O278" i="46"/>
  <c r="C278" i="46" s="1"/>
  <c r="C285" i="46"/>
  <c r="C286" i="46"/>
  <c r="C297" i="46"/>
  <c r="C291" i="46" s="1"/>
  <c r="C298" i="46"/>
  <c r="J24" i="47"/>
  <c r="M290" i="47"/>
  <c r="M24" i="47"/>
  <c r="O24" i="47" s="1"/>
  <c r="O25" i="47"/>
  <c r="N55" i="47"/>
  <c r="N54" i="47" s="1"/>
  <c r="N53" i="47" s="1"/>
  <c r="D57" i="47"/>
  <c r="F58" i="47"/>
  <c r="C58" i="47" s="1"/>
  <c r="C64" i="47"/>
  <c r="L70" i="47"/>
  <c r="I72" i="47"/>
  <c r="G70" i="47"/>
  <c r="I70" i="47" s="1"/>
  <c r="F80" i="47"/>
  <c r="D79" i="47"/>
  <c r="O80" i="47"/>
  <c r="M79" i="47"/>
  <c r="D86" i="47"/>
  <c r="F86" i="47" s="1"/>
  <c r="F87" i="47"/>
  <c r="C87" i="47" s="1"/>
  <c r="C90" i="47"/>
  <c r="I106" i="47"/>
  <c r="G86" i="47"/>
  <c r="C112" i="47"/>
  <c r="C115" i="47"/>
  <c r="F119" i="47"/>
  <c r="C119" i="47" s="1"/>
  <c r="C127" i="47"/>
  <c r="C131" i="47"/>
  <c r="C132" i="47"/>
  <c r="H133" i="47"/>
  <c r="C148" i="47"/>
  <c r="C172" i="47"/>
  <c r="H190" i="47"/>
  <c r="I190" i="47" s="1"/>
  <c r="D198" i="47"/>
  <c r="F199" i="47"/>
  <c r="C210" i="47"/>
  <c r="L230" i="47"/>
  <c r="C230" i="47" s="1"/>
  <c r="J207" i="47"/>
  <c r="L207" i="47" s="1"/>
  <c r="K234" i="47"/>
  <c r="K233" i="47" s="1"/>
  <c r="K287" i="47" s="1"/>
  <c r="L236" i="47"/>
  <c r="L241" i="47"/>
  <c r="C241" i="47" s="1"/>
  <c r="C270" i="47"/>
  <c r="O274" i="47"/>
  <c r="M272" i="47"/>
  <c r="F284" i="47"/>
  <c r="J290" i="48"/>
  <c r="J24" i="48"/>
  <c r="L24" i="48" s="1"/>
  <c r="C24" i="48" s="1"/>
  <c r="L25" i="48"/>
  <c r="N57" i="48"/>
  <c r="N56" i="48" s="1"/>
  <c r="O56" i="48" s="1"/>
  <c r="O61" i="48"/>
  <c r="C68" i="48"/>
  <c r="C82" i="48"/>
  <c r="D86" i="48"/>
  <c r="F86" i="48" s="1"/>
  <c r="C87" i="48"/>
  <c r="L92" i="48"/>
  <c r="C92" i="48" s="1"/>
  <c r="J86" i="48"/>
  <c r="L86" i="48" s="1"/>
  <c r="O144" i="48"/>
  <c r="M133" i="48"/>
  <c r="F194" i="48"/>
  <c r="D190" i="48"/>
  <c r="F83" i="49"/>
  <c r="E79" i="49"/>
  <c r="O98" i="49"/>
  <c r="M86" i="49"/>
  <c r="O86" i="49" s="1"/>
  <c r="K290" i="47"/>
  <c r="K289" i="47" s="1"/>
  <c r="C63" i="47"/>
  <c r="F72" i="47"/>
  <c r="C72" i="47" s="1"/>
  <c r="D70" i="47"/>
  <c r="F70" i="47" s="1"/>
  <c r="C70" i="47" s="1"/>
  <c r="L98" i="47"/>
  <c r="C98" i="47" s="1"/>
  <c r="C103" i="47"/>
  <c r="C123" i="47"/>
  <c r="M133" i="47"/>
  <c r="O133" i="47" s="1"/>
  <c r="C143" i="47"/>
  <c r="C151" i="47"/>
  <c r="I169" i="47"/>
  <c r="C169" i="47" s="1"/>
  <c r="C175" i="47"/>
  <c r="O199" i="47"/>
  <c r="L201" i="47"/>
  <c r="J199" i="47"/>
  <c r="O207" i="47"/>
  <c r="G207" i="47"/>
  <c r="I207" i="47" s="1"/>
  <c r="C207" i="47" s="1"/>
  <c r="I208" i="47"/>
  <c r="C208" i="47" s="1"/>
  <c r="C226" i="47"/>
  <c r="I236" i="47"/>
  <c r="G234" i="47"/>
  <c r="C242" i="47"/>
  <c r="L249" i="47"/>
  <c r="C249" i="47" s="1"/>
  <c r="N287" i="47"/>
  <c r="I284" i="47"/>
  <c r="C294" i="47"/>
  <c r="C291" i="47" s="1"/>
  <c r="C27" i="48"/>
  <c r="L31" i="48"/>
  <c r="C31" i="48" s="1"/>
  <c r="L37" i="48"/>
  <c r="C37" i="48" s="1"/>
  <c r="L46" i="48"/>
  <c r="C46" i="48" s="1"/>
  <c r="K57" i="48"/>
  <c r="K56" i="48" s="1"/>
  <c r="L61" i="48"/>
  <c r="J57" i="48"/>
  <c r="C66" i="48"/>
  <c r="D70" i="48"/>
  <c r="F70" i="48" s="1"/>
  <c r="C70" i="48" s="1"/>
  <c r="O72" i="48"/>
  <c r="C74" i="48"/>
  <c r="N78" i="48"/>
  <c r="C90" i="48"/>
  <c r="C94" i="48"/>
  <c r="C100" i="48"/>
  <c r="C131" i="48"/>
  <c r="L187" i="48"/>
  <c r="I191" i="48"/>
  <c r="G190" i="48"/>
  <c r="I190" i="48" s="1"/>
  <c r="J194" i="48"/>
  <c r="L194" i="48" s="1"/>
  <c r="L195" i="48"/>
  <c r="M207" i="48"/>
  <c r="O207" i="48" s="1"/>
  <c r="O208" i="48"/>
  <c r="F219" i="48"/>
  <c r="C235" i="48"/>
  <c r="N234" i="48"/>
  <c r="N233" i="48" s="1"/>
  <c r="D254" i="48"/>
  <c r="F254" i="48" s="1"/>
  <c r="F255" i="48"/>
  <c r="C255" i="48" s="1"/>
  <c r="O255" i="48"/>
  <c r="M254" i="48"/>
  <c r="O254" i="48" s="1"/>
  <c r="H287" i="48"/>
  <c r="I284" i="48"/>
  <c r="M133" i="49"/>
  <c r="O133" i="49" s="1"/>
  <c r="O134" i="49"/>
  <c r="D290" i="47"/>
  <c r="H289" i="47"/>
  <c r="I289" i="47" s="1"/>
  <c r="C75" i="47"/>
  <c r="O83" i="47"/>
  <c r="C83" i="47" s="1"/>
  <c r="C91" i="47"/>
  <c r="C99" i="47"/>
  <c r="L106" i="47"/>
  <c r="C111" i="47"/>
  <c r="O115" i="47"/>
  <c r="I125" i="47"/>
  <c r="C125" i="47" s="1"/>
  <c r="E133" i="47"/>
  <c r="E78" i="47" s="1"/>
  <c r="E55" i="47" s="1"/>
  <c r="F144" i="47"/>
  <c r="C144" i="47" s="1"/>
  <c r="L154" i="47"/>
  <c r="C154" i="47" s="1"/>
  <c r="C159" i="47"/>
  <c r="O163" i="47"/>
  <c r="C163" i="47" s="1"/>
  <c r="C171" i="47"/>
  <c r="C178" i="47"/>
  <c r="C179" i="47"/>
  <c r="C182" i="47"/>
  <c r="C183" i="47"/>
  <c r="O198" i="47"/>
  <c r="K198" i="47"/>
  <c r="K197" i="47" s="1"/>
  <c r="C203" i="47"/>
  <c r="C211" i="47"/>
  <c r="F219" i="47"/>
  <c r="C219" i="47" s="1"/>
  <c r="C223" i="47"/>
  <c r="O230" i="47"/>
  <c r="C235" i="47"/>
  <c r="H233" i="47"/>
  <c r="H197" i="47" s="1"/>
  <c r="O238" i="47"/>
  <c r="C247" i="47"/>
  <c r="C251" i="47"/>
  <c r="M261" i="47"/>
  <c r="O261" i="47" s="1"/>
  <c r="O262" i="47"/>
  <c r="O266" i="47"/>
  <c r="C266" i="47" s="1"/>
  <c r="F271" i="47"/>
  <c r="G271" i="47"/>
  <c r="I271" i="47" s="1"/>
  <c r="I272" i="47"/>
  <c r="F274" i="47"/>
  <c r="L274" i="47"/>
  <c r="J272" i="47"/>
  <c r="C275" i="47"/>
  <c r="C279" i="47"/>
  <c r="C282" i="47"/>
  <c r="C283" i="47"/>
  <c r="C299" i="47"/>
  <c r="G290" i="48"/>
  <c r="I25" i="48"/>
  <c r="C25" i="48" s="1"/>
  <c r="C26" i="48"/>
  <c r="L40" i="48"/>
  <c r="C40" i="48" s="1"/>
  <c r="O48" i="48"/>
  <c r="C48" i="48" s="1"/>
  <c r="M24" i="48"/>
  <c r="O24" i="48" s="1"/>
  <c r="O57" i="48"/>
  <c r="G57" i="48"/>
  <c r="I58" i="48"/>
  <c r="C63" i="48"/>
  <c r="F67" i="48"/>
  <c r="C67" i="48" s="1"/>
  <c r="D61" i="48"/>
  <c r="F61" i="48" s="1"/>
  <c r="C61" i="48" s="1"/>
  <c r="C71" i="48"/>
  <c r="C77" i="48"/>
  <c r="J79" i="48"/>
  <c r="L80" i="48"/>
  <c r="I83" i="48"/>
  <c r="C83" i="48" s="1"/>
  <c r="C89" i="48"/>
  <c r="C93" i="48"/>
  <c r="K133" i="48"/>
  <c r="K78" i="48" s="1"/>
  <c r="K287" i="48" s="1"/>
  <c r="L134" i="48"/>
  <c r="C144" i="48"/>
  <c r="G177" i="48"/>
  <c r="I178" i="48"/>
  <c r="C178" i="48" s="1"/>
  <c r="I182" i="48"/>
  <c r="C182" i="48" s="1"/>
  <c r="C187" i="48"/>
  <c r="N190" i="48"/>
  <c r="O190" i="48" s="1"/>
  <c r="O191" i="48"/>
  <c r="C195" i="48"/>
  <c r="I198" i="48"/>
  <c r="J198" i="48"/>
  <c r="L199" i="48"/>
  <c r="F201" i="48"/>
  <c r="C201" i="48" s="1"/>
  <c r="D199" i="48"/>
  <c r="O201" i="48"/>
  <c r="M199" i="48"/>
  <c r="F207" i="48"/>
  <c r="C207" i="48" s="1"/>
  <c r="F236" i="48"/>
  <c r="D234" i="48"/>
  <c r="O236" i="48"/>
  <c r="M234" i="48"/>
  <c r="L262" i="48"/>
  <c r="J261" i="48"/>
  <c r="L261" i="48" s="1"/>
  <c r="M78" i="49"/>
  <c r="O78" i="49" s="1"/>
  <c r="O79" i="49"/>
  <c r="H290" i="48"/>
  <c r="H289" i="48" s="1"/>
  <c r="G133" i="48"/>
  <c r="I133" i="48" s="1"/>
  <c r="I134" i="48"/>
  <c r="C134" i="48" s="1"/>
  <c r="L139" i="48"/>
  <c r="C139" i="48" s="1"/>
  <c r="J133" i="48"/>
  <c r="L133" i="48" s="1"/>
  <c r="E190" i="48"/>
  <c r="E55" i="48" s="1"/>
  <c r="J190" i="48"/>
  <c r="L190" i="48" s="1"/>
  <c r="L191" i="48"/>
  <c r="E198" i="48"/>
  <c r="E207" i="48"/>
  <c r="K233" i="48"/>
  <c r="K197" i="48" s="1"/>
  <c r="L238" i="48"/>
  <c r="C238" i="48" s="1"/>
  <c r="J234" i="48"/>
  <c r="I262" i="48"/>
  <c r="C262" i="48" s="1"/>
  <c r="G261" i="48"/>
  <c r="I261" i="48" s="1"/>
  <c r="C265" i="48"/>
  <c r="C282" i="48"/>
  <c r="F284" i="48"/>
  <c r="C284" i="48" s="1"/>
  <c r="N57" i="49"/>
  <c r="N56" i="49" s="1"/>
  <c r="N55" i="49" s="1"/>
  <c r="O58" i="49"/>
  <c r="O241" i="49"/>
  <c r="M234" i="49"/>
  <c r="J271" i="49"/>
  <c r="L271" i="49" s="1"/>
  <c r="L272" i="49"/>
  <c r="M290" i="48"/>
  <c r="C101" i="48"/>
  <c r="C113" i="48"/>
  <c r="C116" i="48"/>
  <c r="C117" i="48"/>
  <c r="C120" i="48"/>
  <c r="C121" i="48"/>
  <c r="C136" i="48"/>
  <c r="C137" i="48"/>
  <c r="C140" i="48"/>
  <c r="C141" i="48"/>
  <c r="C145" i="48"/>
  <c r="C148" i="48"/>
  <c r="C149" i="48"/>
  <c r="C160" i="48"/>
  <c r="C161" i="48"/>
  <c r="C164" i="48"/>
  <c r="C165" i="48"/>
  <c r="D168" i="48"/>
  <c r="F168" i="48" s="1"/>
  <c r="C168" i="48" s="1"/>
  <c r="F169" i="48"/>
  <c r="C169" i="48" s="1"/>
  <c r="I169" i="48"/>
  <c r="C172" i="48"/>
  <c r="C173" i="48"/>
  <c r="D177" i="48"/>
  <c r="K176" i="48"/>
  <c r="L176" i="48" s="1"/>
  <c r="C192" i="48"/>
  <c r="C193" i="48"/>
  <c r="N198" i="48"/>
  <c r="N197" i="48" s="1"/>
  <c r="F208" i="48"/>
  <c r="C208" i="48" s="1"/>
  <c r="C209" i="48"/>
  <c r="C217" i="48"/>
  <c r="O230" i="48"/>
  <c r="C242" i="48"/>
  <c r="C268" i="48"/>
  <c r="L274" i="48"/>
  <c r="J272" i="48"/>
  <c r="C278" i="48"/>
  <c r="F290" i="48"/>
  <c r="K30" i="49"/>
  <c r="L35" i="49"/>
  <c r="C35" i="49" s="1"/>
  <c r="F61" i="49"/>
  <c r="D57" i="49"/>
  <c r="F72" i="49"/>
  <c r="D70" i="49"/>
  <c r="F70" i="49" s="1"/>
  <c r="C70" i="49" s="1"/>
  <c r="I72" i="49"/>
  <c r="O72" i="49"/>
  <c r="M70" i="49"/>
  <c r="O70" i="49" s="1"/>
  <c r="J79" i="49"/>
  <c r="K78" i="49"/>
  <c r="K55" i="49" s="1"/>
  <c r="I86" i="49"/>
  <c r="C103" i="49"/>
  <c r="L106" i="49"/>
  <c r="C106" i="49" s="1"/>
  <c r="J86" i="49"/>
  <c r="L86" i="49" s="1"/>
  <c r="C107" i="49"/>
  <c r="L154" i="49"/>
  <c r="C154" i="49" s="1"/>
  <c r="J133" i="49"/>
  <c r="L133" i="49" s="1"/>
  <c r="L178" i="49"/>
  <c r="C178" i="49" s="1"/>
  <c r="J177" i="49"/>
  <c r="J207" i="49"/>
  <c r="L208" i="49"/>
  <c r="C208" i="49" s="1"/>
  <c r="C249" i="49"/>
  <c r="C216" i="48"/>
  <c r="L219" i="48"/>
  <c r="C223" i="48"/>
  <c r="L230" i="48"/>
  <c r="C230" i="48" s="1"/>
  <c r="I241" i="48"/>
  <c r="C241" i="48" s="1"/>
  <c r="C247" i="48"/>
  <c r="C259" i="48"/>
  <c r="M261" i="48"/>
  <c r="O261" i="48" s="1"/>
  <c r="L266" i="48"/>
  <c r="C266" i="48" s="1"/>
  <c r="I274" i="48"/>
  <c r="C274" i="48" s="1"/>
  <c r="G272" i="48"/>
  <c r="G290" i="49"/>
  <c r="G24" i="49"/>
  <c r="I24" i="49" s="1"/>
  <c r="I25" i="49"/>
  <c r="O48" i="49"/>
  <c r="C48" i="49" s="1"/>
  <c r="J57" i="49"/>
  <c r="L58" i="49"/>
  <c r="I61" i="49"/>
  <c r="H86" i="49"/>
  <c r="I87" i="49"/>
  <c r="C92" i="49"/>
  <c r="C118" i="49"/>
  <c r="F119" i="49"/>
  <c r="C119" i="49" s="1"/>
  <c r="E133" i="49"/>
  <c r="F134" i="49"/>
  <c r="C134" i="49" s="1"/>
  <c r="C142" i="49"/>
  <c r="C143" i="49"/>
  <c r="C146" i="49"/>
  <c r="F147" i="49"/>
  <c r="C147" i="49" s="1"/>
  <c r="I169" i="49"/>
  <c r="C169" i="49" s="1"/>
  <c r="G168" i="49"/>
  <c r="C220" i="48"/>
  <c r="C231" i="48"/>
  <c r="C243" i="48"/>
  <c r="I249" i="48"/>
  <c r="C249" i="48" s="1"/>
  <c r="L254" i="48"/>
  <c r="E261" i="48"/>
  <c r="F261" i="48" s="1"/>
  <c r="C261" i="48" s="1"/>
  <c r="C267" i="48"/>
  <c r="F272" i="48"/>
  <c r="O291" i="48"/>
  <c r="C295" i="48"/>
  <c r="C296" i="48"/>
  <c r="C291" i="48" s="1"/>
  <c r="C27" i="49"/>
  <c r="C28" i="49"/>
  <c r="C59" i="49"/>
  <c r="C60" i="49"/>
  <c r="C63" i="49"/>
  <c r="C64" i="49"/>
  <c r="D79" i="49"/>
  <c r="F80" i="49"/>
  <c r="C80" i="49" s="1"/>
  <c r="O83" i="49"/>
  <c r="K86" i="49"/>
  <c r="E86" i="49"/>
  <c r="F98" i="49"/>
  <c r="C98" i="49" s="1"/>
  <c r="C114" i="49"/>
  <c r="F115" i="49"/>
  <c r="C115" i="49" s="1"/>
  <c r="C138" i="49"/>
  <c r="F139" i="49"/>
  <c r="C139" i="49" s="1"/>
  <c r="D133" i="49"/>
  <c r="F133" i="49" s="1"/>
  <c r="C167" i="49"/>
  <c r="F199" i="49"/>
  <c r="E198" i="49"/>
  <c r="J24" i="49"/>
  <c r="N24" i="49"/>
  <c r="O24" i="49" s="1"/>
  <c r="O290" i="49"/>
  <c r="D86" i="49"/>
  <c r="F87" i="49"/>
  <c r="C87" i="49" s="1"/>
  <c r="C90" i="49"/>
  <c r="C91" i="49"/>
  <c r="C94" i="49"/>
  <c r="C95" i="49"/>
  <c r="C99" i="49"/>
  <c r="O106" i="49"/>
  <c r="C110" i="49"/>
  <c r="C111" i="49"/>
  <c r="C130" i="49"/>
  <c r="F131" i="49"/>
  <c r="C131" i="49" s="1"/>
  <c r="C135" i="49"/>
  <c r="O154" i="49"/>
  <c r="C158" i="49"/>
  <c r="C159" i="49"/>
  <c r="C175" i="49"/>
  <c r="M177" i="49"/>
  <c r="O178" i="49"/>
  <c r="O182" i="49"/>
  <c r="C182" i="49" s="1"/>
  <c r="F187" i="49"/>
  <c r="C187" i="49" s="1"/>
  <c r="L195" i="49"/>
  <c r="K198" i="49"/>
  <c r="C219" i="49"/>
  <c r="L219" i="49"/>
  <c r="C228" i="49"/>
  <c r="M289" i="49"/>
  <c r="O289" i="49" s="1"/>
  <c r="J289" i="49"/>
  <c r="L289" i="49" s="1"/>
  <c r="L290" i="49"/>
  <c r="L125" i="49"/>
  <c r="C125" i="49" s="1"/>
  <c r="H133" i="49"/>
  <c r="I133" i="49" s="1"/>
  <c r="I144" i="49"/>
  <c r="C144" i="49" s="1"/>
  <c r="J168" i="49"/>
  <c r="L168" i="49" s="1"/>
  <c r="L169" i="49"/>
  <c r="C174" i="49"/>
  <c r="C186" i="49"/>
  <c r="I199" i="49"/>
  <c r="N198" i="49"/>
  <c r="O207" i="49"/>
  <c r="G254" i="49"/>
  <c r="I255" i="49"/>
  <c r="F274" i="49"/>
  <c r="D272" i="49"/>
  <c r="K190" i="49"/>
  <c r="L190" i="49" s="1"/>
  <c r="G194" i="49"/>
  <c r="I195" i="49"/>
  <c r="C195" i="49" s="1"/>
  <c r="O201" i="49"/>
  <c r="M199" i="49"/>
  <c r="C212" i="49"/>
  <c r="H233" i="49"/>
  <c r="H197" i="49" s="1"/>
  <c r="N234" i="49"/>
  <c r="N233" i="49" s="1"/>
  <c r="O236" i="49"/>
  <c r="F241" i="49"/>
  <c r="C241" i="49" s="1"/>
  <c r="E234" i="49"/>
  <c r="E233" i="49" s="1"/>
  <c r="H261" i="49"/>
  <c r="I261" i="49" s="1"/>
  <c r="I262" i="49"/>
  <c r="C278" i="49"/>
  <c r="N287" i="49"/>
  <c r="O284" i="49"/>
  <c r="D190" i="49"/>
  <c r="F190" i="49" s="1"/>
  <c r="L199" i="49"/>
  <c r="C200" i="49"/>
  <c r="F201" i="49"/>
  <c r="G207" i="49"/>
  <c r="I207" i="49" s="1"/>
  <c r="O208" i="49"/>
  <c r="C216" i="49"/>
  <c r="C229" i="49"/>
  <c r="F230" i="49"/>
  <c r="C230" i="49" s="1"/>
  <c r="D207" i="49"/>
  <c r="L236" i="49"/>
  <c r="C236" i="49" s="1"/>
  <c r="J234" i="49"/>
  <c r="C237" i="49"/>
  <c r="C238" i="49"/>
  <c r="C245" i="49"/>
  <c r="K254" i="49"/>
  <c r="L255" i="49"/>
  <c r="C257" i="49"/>
  <c r="D261" i="49"/>
  <c r="F261" i="49" s="1"/>
  <c r="C261" i="49" s="1"/>
  <c r="F262" i="49"/>
  <c r="H272" i="49"/>
  <c r="H271" i="49" s="1"/>
  <c r="I274" i="49"/>
  <c r="L284" i="49"/>
  <c r="C284" i="49" s="1"/>
  <c r="M272" i="49"/>
  <c r="E54" i="44" l="1"/>
  <c r="E54" i="43"/>
  <c r="E288" i="46"/>
  <c r="E53" i="46"/>
  <c r="C262" i="49"/>
  <c r="K233" i="49"/>
  <c r="K287" i="49" s="1"/>
  <c r="L254" i="49"/>
  <c r="J233" i="49"/>
  <c r="L234" i="49"/>
  <c r="C201" i="49"/>
  <c r="M198" i="49"/>
  <c r="O199" i="49"/>
  <c r="C274" i="49"/>
  <c r="F86" i="49"/>
  <c r="C86" i="49" s="1"/>
  <c r="E197" i="49"/>
  <c r="I168" i="49"/>
  <c r="C168" i="49" s="1"/>
  <c r="G78" i="49"/>
  <c r="J56" i="49"/>
  <c r="L57" i="49"/>
  <c r="J176" i="49"/>
  <c r="L176" i="49" s="1"/>
  <c r="L177" i="49"/>
  <c r="C72" i="49"/>
  <c r="L272" i="48"/>
  <c r="J271" i="48"/>
  <c r="M289" i="48"/>
  <c r="O289" i="48" s="1"/>
  <c r="O290" i="48"/>
  <c r="O234" i="49"/>
  <c r="M233" i="49"/>
  <c r="O233" i="49" s="1"/>
  <c r="D233" i="49"/>
  <c r="F233" i="49" s="1"/>
  <c r="N287" i="48"/>
  <c r="C236" i="48"/>
  <c r="L198" i="48"/>
  <c r="G56" i="48"/>
  <c r="I57" i="48"/>
  <c r="I290" i="48"/>
  <c r="G289" i="48"/>
  <c r="I289" i="48" s="1"/>
  <c r="C274" i="47"/>
  <c r="I234" i="47"/>
  <c r="G233" i="47"/>
  <c r="I233" i="47" s="1"/>
  <c r="C83" i="49"/>
  <c r="O133" i="48"/>
  <c r="C133" i="48" s="1"/>
  <c r="J289" i="48"/>
  <c r="L289" i="48" s="1"/>
  <c r="L290" i="48"/>
  <c r="O272" i="47"/>
  <c r="M271" i="47"/>
  <c r="I86" i="47"/>
  <c r="G78" i="47"/>
  <c r="I78" i="47" s="1"/>
  <c r="C86" i="47"/>
  <c r="C80" i="47"/>
  <c r="D233" i="47"/>
  <c r="F234" i="47"/>
  <c r="I57" i="47"/>
  <c r="G56" i="47"/>
  <c r="I133" i="46"/>
  <c r="O57" i="49"/>
  <c r="L30" i="47"/>
  <c r="C30" i="47" s="1"/>
  <c r="N287" i="46"/>
  <c r="D289" i="49"/>
  <c r="F289" i="49" s="1"/>
  <c r="F290" i="49"/>
  <c r="G78" i="48"/>
  <c r="I78" i="48" s="1"/>
  <c r="I79" i="48"/>
  <c r="H288" i="48"/>
  <c r="H53" i="48"/>
  <c r="G233" i="46"/>
  <c r="I234" i="46"/>
  <c r="C219" i="46"/>
  <c r="L86" i="46"/>
  <c r="J78" i="46"/>
  <c r="M176" i="46"/>
  <c r="O176" i="46" s="1"/>
  <c r="O177" i="46"/>
  <c r="C86" i="46"/>
  <c r="F133" i="47"/>
  <c r="H176" i="46"/>
  <c r="I176" i="46" s="1"/>
  <c r="I177" i="46"/>
  <c r="N56" i="46"/>
  <c r="O57" i="46"/>
  <c r="F234" i="45"/>
  <c r="D233" i="45"/>
  <c r="C72" i="45"/>
  <c r="F72" i="46"/>
  <c r="D70" i="46"/>
  <c r="L24" i="46"/>
  <c r="C24" i="46" s="1"/>
  <c r="D289" i="46"/>
  <c r="F289" i="46" s="1"/>
  <c r="F290" i="46"/>
  <c r="C262" i="45"/>
  <c r="O272" i="45"/>
  <c r="M78" i="45"/>
  <c r="O78" i="45" s="1"/>
  <c r="M271" i="44"/>
  <c r="O272" i="44"/>
  <c r="M78" i="46"/>
  <c r="J289" i="45"/>
  <c r="L289" i="45" s="1"/>
  <c r="L290" i="45"/>
  <c r="L207" i="45"/>
  <c r="J198" i="45"/>
  <c r="K233" i="44"/>
  <c r="K197" i="44" s="1"/>
  <c r="I86" i="45"/>
  <c r="G78" i="45"/>
  <c r="F207" i="44"/>
  <c r="C207" i="44" s="1"/>
  <c r="D198" i="44"/>
  <c r="M176" i="44"/>
  <c r="O176" i="44" s="1"/>
  <c r="O177" i="44"/>
  <c r="L30" i="44"/>
  <c r="C30" i="44" s="1"/>
  <c r="I207" i="45"/>
  <c r="C191" i="45"/>
  <c r="J198" i="44"/>
  <c r="L199" i="44"/>
  <c r="C169" i="44"/>
  <c r="C58" i="44"/>
  <c r="D78" i="44"/>
  <c r="F78" i="44" s="1"/>
  <c r="M233" i="43"/>
  <c r="M287" i="43" s="1"/>
  <c r="O287" i="43" s="1"/>
  <c r="O234" i="43"/>
  <c r="C236" i="43"/>
  <c r="C80" i="43"/>
  <c r="L24" i="43"/>
  <c r="H54" i="43"/>
  <c r="O290" i="43"/>
  <c r="M289" i="43"/>
  <c r="O289" i="43" s="1"/>
  <c r="C79" i="43"/>
  <c r="M271" i="49"/>
  <c r="O272" i="49"/>
  <c r="I272" i="49"/>
  <c r="N197" i="49"/>
  <c r="N54" i="49" s="1"/>
  <c r="C199" i="49"/>
  <c r="C133" i="49"/>
  <c r="E233" i="48"/>
  <c r="E287" i="48" s="1"/>
  <c r="H78" i="49"/>
  <c r="H55" i="49" s="1"/>
  <c r="H54" i="49" s="1"/>
  <c r="G289" i="49"/>
  <c r="I289" i="49" s="1"/>
  <c r="I290" i="49"/>
  <c r="F57" i="49"/>
  <c r="D56" i="49"/>
  <c r="D176" i="48"/>
  <c r="F176" i="48" s="1"/>
  <c r="C176" i="48" s="1"/>
  <c r="F177" i="48"/>
  <c r="L234" i="48"/>
  <c r="J233" i="48"/>
  <c r="L233" i="48" s="1"/>
  <c r="E197" i="48"/>
  <c r="E54" i="48" s="1"/>
  <c r="M233" i="48"/>
  <c r="O234" i="48"/>
  <c r="F199" i="48"/>
  <c r="D198" i="48"/>
  <c r="G176" i="48"/>
  <c r="I176" i="48" s="1"/>
  <c r="I177" i="48"/>
  <c r="J78" i="48"/>
  <c r="L78" i="48" s="1"/>
  <c r="L79" i="48"/>
  <c r="D289" i="47"/>
  <c r="F289" i="47" s="1"/>
  <c r="F290" i="47"/>
  <c r="C191" i="48"/>
  <c r="K55" i="48"/>
  <c r="K54" i="48" s="1"/>
  <c r="C86" i="48"/>
  <c r="N55" i="48"/>
  <c r="N54" i="48" s="1"/>
  <c r="C106" i="47"/>
  <c r="O79" i="47"/>
  <c r="M78" i="47"/>
  <c r="O78" i="47" s="1"/>
  <c r="F79" i="48"/>
  <c r="C79" i="48" s="1"/>
  <c r="D78" i="48"/>
  <c r="F78" i="48" s="1"/>
  <c r="C262" i="47"/>
  <c r="C255" i="47"/>
  <c r="C236" i="47"/>
  <c r="G56" i="49"/>
  <c r="I57" i="49"/>
  <c r="M233" i="47"/>
  <c r="G198" i="47"/>
  <c r="I199" i="47"/>
  <c r="M176" i="47"/>
  <c r="O176" i="47" s="1"/>
  <c r="O177" i="47"/>
  <c r="F272" i="46"/>
  <c r="D271" i="46"/>
  <c r="C80" i="48"/>
  <c r="L234" i="47"/>
  <c r="C236" i="46"/>
  <c r="O289" i="46"/>
  <c r="C284" i="46"/>
  <c r="H287" i="47"/>
  <c r="H287" i="46"/>
  <c r="G70" i="46"/>
  <c r="I70" i="46" s="1"/>
  <c r="I72" i="46"/>
  <c r="C236" i="45"/>
  <c r="D78" i="45"/>
  <c r="F78" i="45" s="1"/>
  <c r="F79" i="45"/>
  <c r="M289" i="45"/>
  <c r="O289" i="45" s="1"/>
  <c r="O290" i="45"/>
  <c r="D78" i="46"/>
  <c r="F78" i="46" s="1"/>
  <c r="C86" i="45"/>
  <c r="J24" i="45"/>
  <c r="L30" i="45"/>
  <c r="C30" i="45" s="1"/>
  <c r="G233" i="44"/>
  <c r="I234" i="44"/>
  <c r="M56" i="45"/>
  <c r="J176" i="45"/>
  <c r="L176" i="45" s="1"/>
  <c r="C176" i="45" s="1"/>
  <c r="L177" i="45"/>
  <c r="C98" i="45"/>
  <c r="H78" i="45"/>
  <c r="H55" i="45" s="1"/>
  <c r="H54" i="45" s="1"/>
  <c r="I79" i="45"/>
  <c r="M233" i="44"/>
  <c r="O233" i="44" s="1"/>
  <c r="C254" i="44"/>
  <c r="C133" i="44"/>
  <c r="I24" i="44"/>
  <c r="C230" i="45"/>
  <c r="E190" i="45"/>
  <c r="E55" i="45" s="1"/>
  <c r="E54" i="45" s="1"/>
  <c r="M78" i="44"/>
  <c r="O78" i="44" s="1"/>
  <c r="G56" i="44"/>
  <c r="I57" i="44"/>
  <c r="J78" i="44"/>
  <c r="F199" i="43"/>
  <c r="D198" i="43"/>
  <c r="G198" i="43"/>
  <c r="I199" i="43"/>
  <c r="I72" i="43"/>
  <c r="C72" i="43" s="1"/>
  <c r="G70" i="43"/>
  <c r="C134" i="43"/>
  <c r="J289" i="43"/>
  <c r="L289" i="43" s="1"/>
  <c r="L290" i="43"/>
  <c r="C176" i="43"/>
  <c r="D56" i="43"/>
  <c r="F57" i="43"/>
  <c r="C57" i="43" s="1"/>
  <c r="K288" i="43"/>
  <c r="F207" i="49"/>
  <c r="D198" i="49"/>
  <c r="C255" i="49"/>
  <c r="K197" i="49"/>
  <c r="K54" i="49" s="1"/>
  <c r="J198" i="49"/>
  <c r="L207" i="49"/>
  <c r="C61" i="49"/>
  <c r="J271" i="47"/>
  <c r="L272" i="47"/>
  <c r="C272" i="47" s="1"/>
  <c r="C219" i="48"/>
  <c r="J198" i="47"/>
  <c r="L199" i="47"/>
  <c r="F190" i="48"/>
  <c r="C190" i="48" s="1"/>
  <c r="C199" i="47"/>
  <c r="D56" i="47"/>
  <c r="F57" i="47"/>
  <c r="C57" i="47" s="1"/>
  <c r="M289" i="47"/>
  <c r="O289" i="47" s="1"/>
  <c r="O290" i="47"/>
  <c r="J198" i="46"/>
  <c r="L199" i="46"/>
  <c r="C199" i="46" s="1"/>
  <c r="G197" i="46"/>
  <c r="I197" i="46" s="1"/>
  <c r="I198" i="46"/>
  <c r="C133" i="46"/>
  <c r="C254" i="47"/>
  <c r="C177" i="47"/>
  <c r="H55" i="47"/>
  <c r="H54" i="47" s="1"/>
  <c r="J233" i="46"/>
  <c r="L234" i="46"/>
  <c r="C58" i="49"/>
  <c r="K24" i="49"/>
  <c r="C261" i="47"/>
  <c r="J233" i="47"/>
  <c r="L233" i="47" s="1"/>
  <c r="C201" i="47"/>
  <c r="O56" i="47"/>
  <c r="L290" i="47"/>
  <c r="J289" i="47"/>
  <c r="L289" i="47" s="1"/>
  <c r="G233" i="48"/>
  <c r="D57" i="48"/>
  <c r="D190" i="47"/>
  <c r="F190" i="47" s="1"/>
  <c r="K288" i="47"/>
  <c r="K24" i="47"/>
  <c r="C25" i="47"/>
  <c r="O290" i="46"/>
  <c r="C208" i="46"/>
  <c r="G78" i="46"/>
  <c r="I78" i="46" s="1"/>
  <c r="I79" i="46"/>
  <c r="C79" i="46" s="1"/>
  <c r="E233" i="47"/>
  <c r="L56" i="47"/>
  <c r="I133" i="47"/>
  <c r="J78" i="47"/>
  <c r="L78" i="47" s="1"/>
  <c r="G190" i="46"/>
  <c r="I190" i="46" s="1"/>
  <c r="C190" i="46" s="1"/>
  <c r="G271" i="45"/>
  <c r="I272" i="45"/>
  <c r="C272" i="45" s="1"/>
  <c r="C284" i="45"/>
  <c r="M233" i="45"/>
  <c r="O234" i="45"/>
  <c r="C207" i="45"/>
  <c r="L79" i="45"/>
  <c r="J78" i="45"/>
  <c r="N54" i="45"/>
  <c r="L290" i="46"/>
  <c r="H287" i="45"/>
  <c r="F272" i="44"/>
  <c r="C272" i="44" s="1"/>
  <c r="D271" i="44"/>
  <c r="J271" i="45"/>
  <c r="L272" i="45"/>
  <c r="D198" i="45"/>
  <c r="F199" i="45"/>
  <c r="C199" i="45" s="1"/>
  <c r="C133" i="45"/>
  <c r="D56" i="45"/>
  <c r="F57" i="45"/>
  <c r="C57" i="45" s="1"/>
  <c r="I199" i="45"/>
  <c r="G198" i="45"/>
  <c r="C177" i="45"/>
  <c r="C87" i="45"/>
  <c r="M198" i="44"/>
  <c r="O199" i="44"/>
  <c r="C199" i="44" s="1"/>
  <c r="C255" i="44"/>
  <c r="G197" i="44"/>
  <c r="I198" i="44"/>
  <c r="K190" i="44"/>
  <c r="C195" i="45"/>
  <c r="F24" i="45"/>
  <c r="C201" i="44"/>
  <c r="F56" i="44"/>
  <c r="G271" i="43"/>
  <c r="I272" i="43"/>
  <c r="C272" i="43" s="1"/>
  <c r="H233" i="44"/>
  <c r="H287" i="44" s="1"/>
  <c r="O56" i="44"/>
  <c r="M55" i="44"/>
  <c r="I24" i="43"/>
  <c r="C24" i="43" s="1"/>
  <c r="C262" i="43"/>
  <c r="C290" i="43"/>
  <c r="J55" i="43"/>
  <c r="L56" i="43"/>
  <c r="J233" i="43"/>
  <c r="C58" i="43"/>
  <c r="H287" i="49"/>
  <c r="I194" i="49"/>
  <c r="C194" i="49" s="1"/>
  <c r="G190" i="49"/>
  <c r="I190" i="49" s="1"/>
  <c r="C190" i="49" s="1"/>
  <c r="D271" i="49"/>
  <c r="F272" i="49"/>
  <c r="C272" i="49" s="1"/>
  <c r="G233" i="49"/>
  <c r="I254" i="49"/>
  <c r="C254" i="49" s="1"/>
  <c r="G198" i="49"/>
  <c r="M176" i="49"/>
  <c r="O176" i="49" s="1"/>
  <c r="O177" i="49"/>
  <c r="L24" i="49"/>
  <c r="C24" i="49" s="1"/>
  <c r="D78" i="49"/>
  <c r="F79" i="49"/>
  <c r="C272" i="48"/>
  <c r="G271" i="48"/>
  <c r="I272" i="48"/>
  <c r="I271" i="49"/>
  <c r="L79" i="49"/>
  <c r="J78" i="49"/>
  <c r="L78" i="49" s="1"/>
  <c r="F234" i="49"/>
  <c r="C234" i="49" s="1"/>
  <c r="D233" i="48"/>
  <c r="F234" i="48"/>
  <c r="C234" i="48" s="1"/>
  <c r="M198" i="48"/>
  <c r="O199" i="48"/>
  <c r="C290" i="48"/>
  <c r="C289" i="48" s="1"/>
  <c r="C254" i="48"/>
  <c r="J56" i="48"/>
  <c r="L57" i="48"/>
  <c r="E78" i="49"/>
  <c r="C194" i="48"/>
  <c r="C284" i="47"/>
  <c r="D197" i="47"/>
  <c r="F198" i="47"/>
  <c r="D78" i="47"/>
  <c r="F78" i="47" s="1"/>
  <c r="C78" i="47" s="1"/>
  <c r="F79" i="47"/>
  <c r="C79" i="47" s="1"/>
  <c r="L24" i="47"/>
  <c r="C24" i="47" s="1"/>
  <c r="O78" i="48"/>
  <c r="C176" i="47"/>
  <c r="M56" i="49"/>
  <c r="L30" i="49"/>
  <c r="C30" i="49" s="1"/>
  <c r="C238" i="47"/>
  <c r="C194" i="47"/>
  <c r="N288" i="47"/>
  <c r="M271" i="46"/>
  <c r="O272" i="46"/>
  <c r="C25" i="49"/>
  <c r="C290" i="49" s="1"/>
  <c r="C289" i="49" s="1"/>
  <c r="C58" i="48"/>
  <c r="M190" i="47"/>
  <c r="O190" i="47" s="1"/>
  <c r="D233" i="46"/>
  <c r="F233" i="46" s="1"/>
  <c r="F207" i="46"/>
  <c r="C207" i="46" s="1"/>
  <c r="D198" i="46"/>
  <c r="K287" i="46"/>
  <c r="D176" i="46"/>
  <c r="F176" i="46" s="1"/>
  <c r="C176" i="46" s="1"/>
  <c r="F177" i="46"/>
  <c r="C177" i="46" s="1"/>
  <c r="C134" i="47"/>
  <c r="O234" i="46"/>
  <c r="C234" i="46" s="1"/>
  <c r="M233" i="46"/>
  <c r="O233" i="46" s="1"/>
  <c r="O199" i="46"/>
  <c r="M198" i="46"/>
  <c r="J233" i="45"/>
  <c r="L233" i="45" s="1"/>
  <c r="C290" i="46"/>
  <c r="C289" i="46" s="1"/>
  <c r="C261" i="45"/>
  <c r="K78" i="46"/>
  <c r="K55" i="46" s="1"/>
  <c r="K54" i="46" s="1"/>
  <c r="L79" i="46"/>
  <c r="G56" i="46"/>
  <c r="I57" i="46"/>
  <c r="C57" i="46" s="1"/>
  <c r="N233" i="45"/>
  <c r="N197" i="45" s="1"/>
  <c r="M197" i="45"/>
  <c r="O197" i="45" s="1"/>
  <c r="O198" i="45"/>
  <c r="J56" i="46"/>
  <c r="L57" i="46"/>
  <c r="G289" i="46"/>
  <c r="I289" i="46" s="1"/>
  <c r="I290" i="46"/>
  <c r="I56" i="45"/>
  <c r="D233" i="44"/>
  <c r="F233" i="44" s="1"/>
  <c r="C134" i="45"/>
  <c r="K288" i="45"/>
  <c r="K24" i="45"/>
  <c r="L234" i="44"/>
  <c r="C234" i="44" s="1"/>
  <c r="J233" i="44"/>
  <c r="L233" i="44" s="1"/>
  <c r="C24" i="44"/>
  <c r="O271" i="45"/>
  <c r="C194" i="44"/>
  <c r="C290" i="44"/>
  <c r="C289" i="44" s="1"/>
  <c r="I234" i="45"/>
  <c r="G233" i="45"/>
  <c r="I233" i="45" s="1"/>
  <c r="C194" i="45"/>
  <c r="C46" i="45"/>
  <c r="H197" i="44"/>
  <c r="H54" i="44" s="1"/>
  <c r="D176" i="44"/>
  <c r="F176" i="44" s="1"/>
  <c r="C176" i="44" s="1"/>
  <c r="F177" i="44"/>
  <c r="C177" i="44" s="1"/>
  <c r="L272" i="43"/>
  <c r="J271" i="43"/>
  <c r="G78" i="44"/>
  <c r="I78" i="44" s="1"/>
  <c r="C57" i="44"/>
  <c r="D233" i="43"/>
  <c r="F234" i="43"/>
  <c r="C234" i="43" s="1"/>
  <c r="C289" i="43"/>
  <c r="D78" i="43"/>
  <c r="F78" i="43" s="1"/>
  <c r="C78" i="43" s="1"/>
  <c r="M55" i="43"/>
  <c r="O56" i="43"/>
  <c r="E53" i="45" l="1"/>
  <c r="E288" i="45"/>
  <c r="N53" i="49"/>
  <c r="N288" i="49"/>
  <c r="H288" i="44"/>
  <c r="H53" i="44"/>
  <c r="K53" i="49"/>
  <c r="K288" i="49"/>
  <c r="H53" i="45"/>
  <c r="H288" i="45"/>
  <c r="E288" i="48"/>
  <c r="E53" i="48"/>
  <c r="L271" i="43"/>
  <c r="J287" i="43"/>
  <c r="L287" i="43" s="1"/>
  <c r="K53" i="46"/>
  <c r="K288" i="46"/>
  <c r="O198" i="46"/>
  <c r="M197" i="46"/>
  <c r="O197" i="46" s="1"/>
  <c r="D197" i="46"/>
  <c r="F197" i="46" s="1"/>
  <c r="F198" i="46"/>
  <c r="F233" i="48"/>
  <c r="C79" i="49"/>
  <c r="O198" i="44"/>
  <c r="M197" i="44"/>
  <c r="O197" i="44" s="1"/>
  <c r="I198" i="45"/>
  <c r="G197" i="45"/>
  <c r="I197" i="45" s="1"/>
  <c r="F56" i="45"/>
  <c r="D55" i="45"/>
  <c r="L78" i="45"/>
  <c r="J55" i="45"/>
  <c r="O233" i="45"/>
  <c r="M287" i="45"/>
  <c r="I271" i="45"/>
  <c r="G287" i="45"/>
  <c r="I287" i="45" s="1"/>
  <c r="D56" i="48"/>
  <c r="D287" i="48" s="1"/>
  <c r="F287" i="48" s="1"/>
  <c r="F57" i="48"/>
  <c r="C57" i="48" s="1"/>
  <c r="J197" i="49"/>
  <c r="L197" i="49" s="1"/>
  <c r="L198" i="49"/>
  <c r="C207" i="49"/>
  <c r="I70" i="43"/>
  <c r="C70" i="43" s="1"/>
  <c r="G56" i="43"/>
  <c r="I233" i="44"/>
  <c r="C233" i="44" s="1"/>
  <c r="G287" i="44"/>
  <c r="I287" i="44" s="1"/>
  <c r="C78" i="45"/>
  <c r="F271" i="46"/>
  <c r="G55" i="49"/>
  <c r="I56" i="49"/>
  <c r="C78" i="48"/>
  <c r="K53" i="48"/>
  <c r="K288" i="48"/>
  <c r="O233" i="48"/>
  <c r="M287" i="48"/>
  <c r="O287" i="48" s="1"/>
  <c r="C57" i="49"/>
  <c r="I78" i="45"/>
  <c r="G55" i="45"/>
  <c r="J197" i="45"/>
  <c r="L197" i="45" s="1"/>
  <c r="L198" i="45"/>
  <c r="O78" i="46"/>
  <c r="M55" i="46"/>
  <c r="N55" i="46"/>
  <c r="N54" i="46" s="1"/>
  <c r="O56" i="46"/>
  <c r="I233" i="46"/>
  <c r="C233" i="46" s="1"/>
  <c r="G287" i="46"/>
  <c r="I287" i="46" s="1"/>
  <c r="F233" i="47"/>
  <c r="D287" i="47"/>
  <c r="O198" i="49"/>
  <c r="M197" i="49"/>
  <c r="O197" i="49" s="1"/>
  <c r="O55" i="43"/>
  <c r="F233" i="43"/>
  <c r="D287" i="43"/>
  <c r="F287" i="43" s="1"/>
  <c r="C287" i="43" s="1"/>
  <c r="L56" i="46"/>
  <c r="J55" i="46"/>
  <c r="O56" i="49"/>
  <c r="M55" i="49"/>
  <c r="L56" i="48"/>
  <c r="J55" i="48"/>
  <c r="F78" i="49"/>
  <c r="G197" i="49"/>
  <c r="I197" i="49" s="1"/>
  <c r="I198" i="49"/>
  <c r="F271" i="49"/>
  <c r="D287" i="49"/>
  <c r="F287" i="49" s="1"/>
  <c r="L55" i="43"/>
  <c r="M54" i="44"/>
  <c r="O55" i="44"/>
  <c r="I271" i="43"/>
  <c r="G287" i="43"/>
  <c r="I287" i="43" s="1"/>
  <c r="I197" i="44"/>
  <c r="J287" i="44"/>
  <c r="L271" i="45"/>
  <c r="J287" i="45"/>
  <c r="L287" i="45" s="1"/>
  <c r="N287" i="45"/>
  <c r="J55" i="47"/>
  <c r="I233" i="48"/>
  <c r="G197" i="48"/>
  <c r="I197" i="48" s="1"/>
  <c r="L233" i="46"/>
  <c r="J287" i="46"/>
  <c r="L287" i="46" s="1"/>
  <c r="J287" i="47"/>
  <c r="L287" i="47" s="1"/>
  <c r="L271" i="47"/>
  <c r="D197" i="43"/>
  <c r="F197" i="43" s="1"/>
  <c r="F198" i="43"/>
  <c r="G55" i="44"/>
  <c r="I56" i="44"/>
  <c r="C56" i="44" s="1"/>
  <c r="C272" i="46"/>
  <c r="G197" i="47"/>
  <c r="I197" i="47" s="1"/>
  <c r="I198" i="47"/>
  <c r="F198" i="48"/>
  <c r="D197" i="48"/>
  <c r="F197" i="48" s="1"/>
  <c r="C177" i="48"/>
  <c r="F233" i="45"/>
  <c r="C233" i="45" s="1"/>
  <c r="D287" i="45"/>
  <c r="I56" i="47"/>
  <c r="G55" i="47"/>
  <c r="J197" i="48"/>
  <c r="L197" i="48" s="1"/>
  <c r="L56" i="49"/>
  <c r="J55" i="49"/>
  <c r="O55" i="48"/>
  <c r="E288" i="43"/>
  <c r="E53" i="43"/>
  <c r="E288" i="44"/>
  <c r="E53" i="44"/>
  <c r="G55" i="46"/>
  <c r="I56" i="46"/>
  <c r="M197" i="48"/>
  <c r="O198" i="48"/>
  <c r="I271" i="48"/>
  <c r="C271" i="48" s="1"/>
  <c r="G287" i="48"/>
  <c r="I287" i="48" s="1"/>
  <c r="F271" i="44"/>
  <c r="C271" i="44" s="1"/>
  <c r="D287" i="44"/>
  <c r="F287" i="44" s="1"/>
  <c r="E287" i="47"/>
  <c r="E197" i="47"/>
  <c r="E54" i="47" s="1"/>
  <c r="M55" i="47"/>
  <c r="H53" i="47"/>
  <c r="H288" i="47"/>
  <c r="L198" i="46"/>
  <c r="J197" i="46"/>
  <c r="L197" i="46" s="1"/>
  <c r="F56" i="47"/>
  <c r="D55" i="47"/>
  <c r="L198" i="47"/>
  <c r="J197" i="47"/>
  <c r="L197" i="47" s="1"/>
  <c r="C199" i="43"/>
  <c r="M55" i="45"/>
  <c r="O56" i="45"/>
  <c r="L24" i="45"/>
  <c r="C24" i="45" s="1"/>
  <c r="O233" i="47"/>
  <c r="M197" i="47"/>
  <c r="O197" i="47" s="1"/>
  <c r="N53" i="48"/>
  <c r="N288" i="48"/>
  <c r="C199" i="48"/>
  <c r="O271" i="49"/>
  <c r="M287" i="49"/>
  <c r="O287" i="49" s="1"/>
  <c r="H288" i="43"/>
  <c r="H53" i="43"/>
  <c r="C78" i="44"/>
  <c r="D197" i="44"/>
  <c r="F197" i="44" s="1"/>
  <c r="C197" i="44" s="1"/>
  <c r="F198" i="44"/>
  <c r="C198" i="44" s="1"/>
  <c r="O271" i="44"/>
  <c r="M287" i="44"/>
  <c r="O287" i="44" s="1"/>
  <c r="F70" i="46"/>
  <c r="C70" i="46" s="1"/>
  <c r="D56" i="46"/>
  <c r="C234" i="45"/>
  <c r="O271" i="47"/>
  <c r="M287" i="47"/>
  <c r="O287" i="47" s="1"/>
  <c r="G287" i="47"/>
  <c r="I287" i="47" s="1"/>
  <c r="L271" i="48"/>
  <c r="J287" i="48"/>
  <c r="L287" i="48" s="1"/>
  <c r="C177" i="49"/>
  <c r="I78" i="49"/>
  <c r="O271" i="46"/>
  <c r="M287" i="46"/>
  <c r="O287" i="46" s="1"/>
  <c r="C198" i="47"/>
  <c r="E55" i="49"/>
  <c r="E54" i="49" s="1"/>
  <c r="E287" i="49"/>
  <c r="I233" i="49"/>
  <c r="C233" i="49" s="1"/>
  <c r="G287" i="49"/>
  <c r="I287" i="49" s="1"/>
  <c r="L233" i="43"/>
  <c r="J197" i="43"/>
  <c r="L197" i="43" s="1"/>
  <c r="D55" i="44"/>
  <c r="L190" i="44"/>
  <c r="C190" i="44" s="1"/>
  <c r="K55" i="44"/>
  <c r="K54" i="44" s="1"/>
  <c r="F198" i="45"/>
  <c r="D197" i="45"/>
  <c r="F197" i="45" s="1"/>
  <c r="C197" i="45" s="1"/>
  <c r="N53" i="45"/>
  <c r="N288" i="45"/>
  <c r="C290" i="47"/>
  <c r="C289" i="47" s="1"/>
  <c r="C190" i="47"/>
  <c r="D197" i="49"/>
  <c r="F197" i="49" s="1"/>
  <c r="C197" i="49" s="1"/>
  <c r="F198" i="49"/>
  <c r="C198" i="49" s="1"/>
  <c r="D55" i="43"/>
  <c r="F56" i="43"/>
  <c r="G197" i="43"/>
  <c r="I197" i="43" s="1"/>
  <c r="I198" i="43"/>
  <c r="L78" i="44"/>
  <c r="J55" i="44"/>
  <c r="F190" i="45"/>
  <c r="C190" i="45" s="1"/>
  <c r="E287" i="45"/>
  <c r="C79" i="45"/>
  <c r="D55" i="49"/>
  <c r="F56" i="49"/>
  <c r="H288" i="49"/>
  <c r="H53" i="49"/>
  <c r="O233" i="43"/>
  <c r="M197" i="43"/>
  <c r="O197" i="43" s="1"/>
  <c r="J197" i="44"/>
  <c r="L197" i="44" s="1"/>
  <c r="L198" i="44"/>
  <c r="K287" i="44"/>
  <c r="C72" i="46"/>
  <c r="C133" i="47"/>
  <c r="L78" i="46"/>
  <c r="C78" i="46" s="1"/>
  <c r="C234" i="47"/>
  <c r="G55" i="48"/>
  <c r="I56" i="48"/>
  <c r="C176" i="49"/>
  <c r="L233" i="49"/>
  <c r="J287" i="49"/>
  <c r="L287" i="49" s="1"/>
  <c r="C290" i="45"/>
  <c r="C289" i="45" s="1"/>
  <c r="H55" i="46"/>
  <c r="H54" i="46" s="1"/>
  <c r="K53" i="44" l="1"/>
  <c r="K288" i="44"/>
  <c r="O55" i="45"/>
  <c r="M54" i="45"/>
  <c r="F55" i="47"/>
  <c r="D54" i="47"/>
  <c r="O197" i="48"/>
  <c r="M54" i="48"/>
  <c r="L55" i="46"/>
  <c r="J54" i="46"/>
  <c r="I55" i="48"/>
  <c r="G54" i="48"/>
  <c r="C56" i="49"/>
  <c r="F55" i="43"/>
  <c r="D54" i="43"/>
  <c r="C198" i="45"/>
  <c r="C56" i="47"/>
  <c r="L55" i="49"/>
  <c r="J54" i="49"/>
  <c r="G54" i="47"/>
  <c r="I55" i="47"/>
  <c r="C198" i="43"/>
  <c r="J54" i="47"/>
  <c r="L55" i="47"/>
  <c r="L287" i="44"/>
  <c r="C271" i="43"/>
  <c r="J54" i="43"/>
  <c r="M54" i="43"/>
  <c r="C233" i="47"/>
  <c r="N53" i="46"/>
  <c r="N288" i="46"/>
  <c r="C271" i="46"/>
  <c r="I56" i="43"/>
  <c r="C56" i="43" s="1"/>
  <c r="G55" i="43"/>
  <c r="C271" i="45"/>
  <c r="C197" i="46"/>
  <c r="E288" i="49"/>
  <c r="E53" i="49"/>
  <c r="D55" i="46"/>
  <c r="F56" i="46"/>
  <c r="C56" i="46" s="1"/>
  <c r="M54" i="47"/>
  <c r="O55" i="47"/>
  <c r="C197" i="48"/>
  <c r="C197" i="43"/>
  <c r="C78" i="49"/>
  <c r="M54" i="49"/>
  <c r="O55" i="49"/>
  <c r="M54" i="46"/>
  <c r="O55" i="46"/>
  <c r="G54" i="45"/>
  <c r="I55" i="45"/>
  <c r="O287" i="45"/>
  <c r="F55" i="45"/>
  <c r="C55" i="45" s="1"/>
  <c r="D54" i="45"/>
  <c r="C233" i="48"/>
  <c r="C287" i="48" s="1"/>
  <c r="H288" i="46"/>
  <c r="H53" i="46"/>
  <c r="E288" i="47"/>
  <c r="E53" i="47"/>
  <c r="C287" i="44"/>
  <c r="I55" i="46"/>
  <c r="G54" i="46"/>
  <c r="F287" i="45"/>
  <c r="C198" i="48"/>
  <c r="C271" i="47"/>
  <c r="C287" i="47" s="1"/>
  <c r="M53" i="44"/>
  <c r="O53" i="44" s="1"/>
  <c r="O54" i="44"/>
  <c r="M288" i="44"/>
  <c r="O288" i="44" s="1"/>
  <c r="C271" i="49"/>
  <c r="C287" i="49" s="1"/>
  <c r="J54" i="48"/>
  <c r="L55" i="48"/>
  <c r="C233" i="43"/>
  <c r="I55" i="49"/>
  <c r="G54" i="49"/>
  <c r="D55" i="48"/>
  <c r="F56" i="48"/>
  <c r="C56" i="48" s="1"/>
  <c r="C56" i="45"/>
  <c r="F197" i="47"/>
  <c r="C197" i="47" s="1"/>
  <c r="D54" i="49"/>
  <c r="F55" i="49"/>
  <c r="C55" i="49" s="1"/>
  <c r="L55" i="44"/>
  <c r="J54" i="44"/>
  <c r="D54" i="44"/>
  <c r="F55" i="44"/>
  <c r="G54" i="44"/>
  <c r="I55" i="44"/>
  <c r="F287" i="47"/>
  <c r="D287" i="46"/>
  <c r="F287" i="46" s="1"/>
  <c r="J54" i="45"/>
  <c r="L55" i="45"/>
  <c r="C198" i="46"/>
  <c r="L54" i="45" l="1"/>
  <c r="J53" i="45"/>
  <c r="L53" i="45" s="1"/>
  <c r="J288" i="45"/>
  <c r="L288" i="45" s="1"/>
  <c r="C55" i="44"/>
  <c r="D288" i="44"/>
  <c r="F288" i="44" s="1"/>
  <c r="D53" i="44"/>
  <c r="F53" i="44" s="1"/>
  <c r="F54" i="44"/>
  <c r="D54" i="48"/>
  <c r="F55" i="48"/>
  <c r="C55" i="48" s="1"/>
  <c r="J53" i="44"/>
  <c r="L53" i="44" s="1"/>
  <c r="L54" i="44"/>
  <c r="J288" i="44"/>
  <c r="L288" i="44" s="1"/>
  <c r="G288" i="49"/>
  <c r="I288" i="49" s="1"/>
  <c r="I54" i="49"/>
  <c r="G53" i="49"/>
  <c r="I53" i="49" s="1"/>
  <c r="J53" i="48"/>
  <c r="L53" i="48" s="1"/>
  <c r="L54" i="48"/>
  <c r="J288" i="48"/>
  <c r="L288" i="48" s="1"/>
  <c r="I54" i="46"/>
  <c r="G288" i="46"/>
  <c r="I288" i="46" s="1"/>
  <c r="G53" i="46"/>
  <c r="I53" i="46" s="1"/>
  <c r="D53" i="45"/>
  <c r="F53" i="45" s="1"/>
  <c r="F54" i="45"/>
  <c r="D288" i="45"/>
  <c r="F288" i="45" s="1"/>
  <c r="G288" i="45"/>
  <c r="I288" i="45" s="1"/>
  <c r="G53" i="45"/>
  <c r="I53" i="45" s="1"/>
  <c r="I54" i="45"/>
  <c r="M53" i="49"/>
  <c r="O53" i="49" s="1"/>
  <c r="O54" i="49"/>
  <c r="M288" i="49"/>
  <c r="O288" i="49" s="1"/>
  <c r="D54" i="46"/>
  <c r="F55" i="46"/>
  <c r="C55" i="46" s="1"/>
  <c r="C287" i="45"/>
  <c r="J53" i="43"/>
  <c r="L53" i="43" s="1"/>
  <c r="L54" i="43"/>
  <c r="J288" i="43"/>
  <c r="L288" i="43" s="1"/>
  <c r="J53" i="47"/>
  <c r="L53" i="47" s="1"/>
  <c r="L54" i="47"/>
  <c r="J288" i="47"/>
  <c r="L288" i="47" s="1"/>
  <c r="J53" i="49"/>
  <c r="L53" i="49" s="1"/>
  <c r="L54" i="49"/>
  <c r="J288" i="49"/>
  <c r="L288" i="49" s="1"/>
  <c r="D288" i="43"/>
  <c r="F288" i="43" s="1"/>
  <c r="F54" i="43"/>
  <c r="D53" i="43"/>
  <c r="F53" i="43" s="1"/>
  <c r="G288" i="44"/>
  <c r="I288" i="44" s="1"/>
  <c r="I54" i="44"/>
  <c r="G53" i="44"/>
  <c r="I53" i="44" s="1"/>
  <c r="I55" i="43"/>
  <c r="G54" i="43"/>
  <c r="C55" i="43"/>
  <c r="J53" i="46"/>
  <c r="L53" i="46" s="1"/>
  <c r="L54" i="46"/>
  <c r="J288" i="46"/>
  <c r="L288" i="46" s="1"/>
  <c r="D53" i="47"/>
  <c r="F53" i="47" s="1"/>
  <c r="C53" i="47" s="1"/>
  <c r="D288" i="47"/>
  <c r="F288" i="47" s="1"/>
  <c r="F54" i="47"/>
  <c r="M53" i="46"/>
  <c r="O53" i="46" s="1"/>
  <c r="O54" i="46"/>
  <c r="M288" i="46"/>
  <c r="O288" i="46" s="1"/>
  <c r="O54" i="47"/>
  <c r="M53" i="47"/>
  <c r="O53" i="47" s="1"/>
  <c r="M288" i="47"/>
  <c r="O288" i="47" s="1"/>
  <c r="C55" i="47"/>
  <c r="D288" i="49"/>
  <c r="F288" i="49" s="1"/>
  <c r="C288" i="49" s="1"/>
  <c r="F54" i="49"/>
  <c r="C54" i="49" s="1"/>
  <c r="D53" i="49"/>
  <c r="F53" i="49" s="1"/>
  <c r="C53" i="49" s="1"/>
  <c r="C287" i="46"/>
  <c r="M53" i="43"/>
  <c r="O53" i="43" s="1"/>
  <c r="O54" i="43"/>
  <c r="M288" i="43"/>
  <c r="O288" i="43" s="1"/>
  <c r="G288" i="47"/>
  <c r="I288" i="47" s="1"/>
  <c r="G53" i="47"/>
  <c r="I53" i="47" s="1"/>
  <c r="I54" i="47"/>
  <c r="G288" i="48"/>
  <c r="I288" i="48" s="1"/>
  <c r="G53" i="48"/>
  <c r="I53" i="48" s="1"/>
  <c r="I54" i="48"/>
  <c r="O54" i="48"/>
  <c r="M53" i="48"/>
  <c r="O53" i="48" s="1"/>
  <c r="M288" i="48"/>
  <c r="O288" i="48" s="1"/>
  <c r="O54" i="45"/>
  <c r="M288" i="45"/>
  <c r="O288" i="45" s="1"/>
  <c r="M53" i="45"/>
  <c r="O53" i="45" s="1"/>
  <c r="C288" i="47" l="1"/>
  <c r="C54" i="43"/>
  <c r="C288" i="45"/>
  <c r="D288" i="48"/>
  <c r="F288" i="48" s="1"/>
  <c r="C288" i="48" s="1"/>
  <c r="F54" i="48"/>
  <c r="C54" i="48" s="1"/>
  <c r="D53" i="48"/>
  <c r="F53" i="48" s="1"/>
  <c r="C53" i="48" s="1"/>
  <c r="D288" i="46"/>
  <c r="F288" i="46" s="1"/>
  <c r="C288" i="46" s="1"/>
  <c r="F54" i="46"/>
  <c r="C54" i="46" s="1"/>
  <c r="D53" i="46"/>
  <c r="F53" i="46" s="1"/>
  <c r="C53" i="46" s="1"/>
  <c r="G288" i="43"/>
  <c r="I288" i="43" s="1"/>
  <c r="C288" i="43" s="1"/>
  <c r="G53" i="43"/>
  <c r="I53" i="43" s="1"/>
  <c r="I54" i="43"/>
  <c r="C53" i="45"/>
  <c r="C53" i="44"/>
  <c r="C54" i="45"/>
  <c r="C54" i="44"/>
  <c r="C54" i="47"/>
  <c r="C53" i="43"/>
  <c r="C288" i="44"/>
  <c r="O299" i="42" l="1"/>
  <c r="L299" i="42"/>
  <c r="C299" i="42" s="1"/>
  <c r="I299" i="42"/>
  <c r="F299" i="42"/>
  <c r="O298" i="42"/>
  <c r="L298" i="42"/>
  <c r="I298" i="42"/>
  <c r="F298" i="42"/>
  <c r="C298" i="42"/>
  <c r="O297" i="42"/>
  <c r="L297" i="42"/>
  <c r="I297" i="42"/>
  <c r="F297" i="42"/>
  <c r="C297" i="42" s="1"/>
  <c r="O296" i="42"/>
  <c r="L296" i="42"/>
  <c r="I296" i="42"/>
  <c r="F296" i="42"/>
  <c r="C296" i="42" s="1"/>
  <c r="O295" i="42"/>
  <c r="L295" i="42"/>
  <c r="C295" i="42" s="1"/>
  <c r="I295" i="42"/>
  <c r="F295" i="42"/>
  <c r="O294" i="42"/>
  <c r="L294" i="42"/>
  <c r="I294" i="42"/>
  <c r="F294" i="42"/>
  <c r="C294" i="42"/>
  <c r="O293" i="42"/>
  <c r="L293" i="42"/>
  <c r="I293" i="42"/>
  <c r="F293" i="42"/>
  <c r="C293" i="42" s="1"/>
  <c r="O292" i="42"/>
  <c r="L292" i="42"/>
  <c r="I292" i="42"/>
  <c r="F292" i="42"/>
  <c r="C292" i="42" s="1"/>
  <c r="N291" i="42"/>
  <c r="M291" i="42"/>
  <c r="O291" i="42" s="1"/>
  <c r="K291" i="42"/>
  <c r="J291" i="42"/>
  <c r="L291" i="42" s="1"/>
  <c r="H291" i="42"/>
  <c r="G291" i="42"/>
  <c r="I291" i="42" s="1"/>
  <c r="F291" i="42"/>
  <c r="E291" i="42"/>
  <c r="D291" i="42"/>
  <c r="O286" i="42"/>
  <c r="L286" i="42"/>
  <c r="I286" i="42"/>
  <c r="F286" i="42"/>
  <c r="C286" i="42"/>
  <c r="O285" i="42"/>
  <c r="L285" i="42"/>
  <c r="I285" i="42"/>
  <c r="F285" i="42"/>
  <c r="C285" i="42" s="1"/>
  <c r="N284" i="42"/>
  <c r="M284" i="42"/>
  <c r="K284" i="42"/>
  <c r="J284" i="42"/>
  <c r="L284" i="42" s="1"/>
  <c r="I284" i="42"/>
  <c r="H284" i="42"/>
  <c r="G284" i="42"/>
  <c r="E284" i="42"/>
  <c r="D284" i="42"/>
  <c r="F284" i="42" s="1"/>
  <c r="O283" i="42"/>
  <c r="L283" i="42"/>
  <c r="I283" i="42"/>
  <c r="F283" i="42"/>
  <c r="C283" i="42" s="1"/>
  <c r="O282" i="42"/>
  <c r="N282" i="42"/>
  <c r="M282" i="42"/>
  <c r="K282" i="42"/>
  <c r="J282" i="42"/>
  <c r="L282" i="42" s="1"/>
  <c r="H282" i="42"/>
  <c r="G282" i="42"/>
  <c r="I282" i="42" s="1"/>
  <c r="E282" i="42"/>
  <c r="D282" i="42"/>
  <c r="F282" i="42" s="1"/>
  <c r="C282" i="42" s="1"/>
  <c r="O281" i="42"/>
  <c r="L281" i="42"/>
  <c r="I281" i="42"/>
  <c r="F281" i="42"/>
  <c r="C281" i="42" s="1"/>
  <c r="O280" i="42"/>
  <c r="L280" i="42"/>
  <c r="I280" i="42"/>
  <c r="F280" i="42"/>
  <c r="C280" i="42" s="1"/>
  <c r="O279" i="42"/>
  <c r="L279" i="42"/>
  <c r="I279" i="42"/>
  <c r="F279" i="42"/>
  <c r="C279" i="42" s="1"/>
  <c r="O278" i="42"/>
  <c r="N278" i="42"/>
  <c r="M278" i="42"/>
  <c r="K278" i="42"/>
  <c r="J278" i="42"/>
  <c r="L278" i="42" s="1"/>
  <c r="H278" i="42"/>
  <c r="G278" i="42"/>
  <c r="I278" i="42" s="1"/>
  <c r="E278" i="42"/>
  <c r="F278" i="42" s="1"/>
  <c r="D278" i="42"/>
  <c r="O277" i="42"/>
  <c r="L277" i="42"/>
  <c r="I277" i="42"/>
  <c r="F277" i="42"/>
  <c r="C277" i="42" s="1"/>
  <c r="O276" i="42"/>
  <c r="L276" i="42"/>
  <c r="I276" i="42"/>
  <c r="F276" i="42"/>
  <c r="C276" i="42" s="1"/>
  <c r="O275" i="42"/>
  <c r="L275" i="42"/>
  <c r="I275" i="42"/>
  <c r="F275" i="42"/>
  <c r="C275" i="42" s="1"/>
  <c r="O274" i="42"/>
  <c r="N274" i="42"/>
  <c r="M274" i="42"/>
  <c r="K274" i="42"/>
  <c r="K272" i="42" s="1"/>
  <c r="K271" i="42" s="1"/>
  <c r="J274" i="42"/>
  <c r="L274" i="42" s="1"/>
  <c r="H274" i="42"/>
  <c r="G274" i="42"/>
  <c r="I274" i="42" s="1"/>
  <c r="E274" i="42"/>
  <c r="F274" i="42" s="1"/>
  <c r="D274" i="42"/>
  <c r="O273" i="42"/>
  <c r="L273" i="42"/>
  <c r="I273" i="42"/>
  <c r="F273" i="42"/>
  <c r="C273" i="42" s="1"/>
  <c r="N272" i="42"/>
  <c r="M272" i="42"/>
  <c r="M271" i="42" s="1"/>
  <c r="O271" i="42" s="1"/>
  <c r="J272" i="42"/>
  <c r="L272" i="42" s="1"/>
  <c r="H272" i="42"/>
  <c r="E272" i="42"/>
  <c r="E271" i="42" s="1"/>
  <c r="F271" i="42" s="1"/>
  <c r="D272" i="42"/>
  <c r="F272" i="42" s="1"/>
  <c r="N271" i="42"/>
  <c r="J271" i="42"/>
  <c r="H271" i="42"/>
  <c r="D271" i="42"/>
  <c r="O270" i="42"/>
  <c r="L270" i="42"/>
  <c r="I270" i="42"/>
  <c r="F270" i="42"/>
  <c r="C270" i="42"/>
  <c r="O269" i="42"/>
  <c r="L269" i="42"/>
  <c r="I269" i="42"/>
  <c r="F269" i="42"/>
  <c r="C269" i="42" s="1"/>
  <c r="O268" i="42"/>
  <c r="L268" i="42"/>
  <c r="I268" i="42"/>
  <c r="F268" i="42"/>
  <c r="C268" i="42" s="1"/>
  <c r="O267" i="42"/>
  <c r="L267" i="42"/>
  <c r="I267" i="42"/>
  <c r="F267" i="42"/>
  <c r="C267" i="42" s="1"/>
  <c r="O266" i="42"/>
  <c r="N266" i="42"/>
  <c r="M266" i="42"/>
  <c r="K266" i="42"/>
  <c r="J266" i="42"/>
  <c r="L266" i="42" s="1"/>
  <c r="H266" i="42"/>
  <c r="G266" i="42"/>
  <c r="I266" i="42" s="1"/>
  <c r="C266" i="42" s="1"/>
  <c r="F266" i="42"/>
  <c r="E266" i="42"/>
  <c r="D266" i="42"/>
  <c r="O265" i="42"/>
  <c r="L265" i="42"/>
  <c r="I265" i="42"/>
  <c r="F265" i="42"/>
  <c r="C265" i="42" s="1"/>
  <c r="O264" i="42"/>
  <c r="L264" i="42"/>
  <c r="I264" i="42"/>
  <c r="F264" i="42"/>
  <c r="C264" i="42" s="1"/>
  <c r="O263" i="42"/>
  <c r="L263" i="42"/>
  <c r="I263" i="42"/>
  <c r="F263" i="42"/>
  <c r="C263" i="42" s="1"/>
  <c r="O262" i="42"/>
  <c r="N262" i="42"/>
  <c r="M262" i="42"/>
  <c r="K262" i="42"/>
  <c r="K261" i="42" s="1"/>
  <c r="L261" i="42" s="1"/>
  <c r="J262" i="42"/>
  <c r="L262" i="42" s="1"/>
  <c r="H262" i="42"/>
  <c r="G262" i="42"/>
  <c r="G261" i="42" s="1"/>
  <c r="I261" i="42" s="1"/>
  <c r="F262" i="42"/>
  <c r="E262" i="42"/>
  <c r="D262" i="42"/>
  <c r="O261" i="42"/>
  <c r="N261" i="42"/>
  <c r="M261" i="42"/>
  <c r="J261" i="42"/>
  <c r="H261" i="42"/>
  <c r="E261" i="42"/>
  <c r="D261" i="42"/>
  <c r="F261" i="42" s="1"/>
  <c r="O260" i="42"/>
  <c r="L260" i="42"/>
  <c r="I260" i="42"/>
  <c r="F260" i="42"/>
  <c r="C260" i="42" s="1"/>
  <c r="O259" i="42"/>
  <c r="L259" i="42"/>
  <c r="C259" i="42" s="1"/>
  <c r="I259" i="42"/>
  <c r="F259" i="42"/>
  <c r="O258" i="42"/>
  <c r="L258" i="42"/>
  <c r="I258" i="42"/>
  <c r="F258" i="42"/>
  <c r="C258" i="42"/>
  <c r="O257" i="42"/>
  <c r="L257" i="42"/>
  <c r="I257" i="42"/>
  <c r="F257" i="42"/>
  <c r="C257" i="42" s="1"/>
  <c r="O256" i="42"/>
  <c r="L256" i="42"/>
  <c r="I256" i="42"/>
  <c r="C256" i="42" s="1"/>
  <c r="F256" i="42"/>
  <c r="N255" i="42"/>
  <c r="N254" i="42" s="1"/>
  <c r="M255" i="42"/>
  <c r="O255" i="42" s="1"/>
  <c r="K255" i="42"/>
  <c r="J255" i="42"/>
  <c r="J254" i="42" s="1"/>
  <c r="H255" i="42"/>
  <c r="G255" i="42"/>
  <c r="I255" i="42" s="1"/>
  <c r="F255" i="42"/>
  <c r="E255" i="42"/>
  <c r="D255" i="42"/>
  <c r="M254" i="42"/>
  <c r="K254" i="42"/>
  <c r="H254" i="42"/>
  <c r="G254" i="42"/>
  <c r="I254" i="42" s="1"/>
  <c r="E254" i="42"/>
  <c r="D254" i="42"/>
  <c r="F254" i="42" s="1"/>
  <c r="O253" i="42"/>
  <c r="L253" i="42"/>
  <c r="I253" i="42"/>
  <c r="F253" i="42"/>
  <c r="C253" i="42" s="1"/>
  <c r="O252" i="42"/>
  <c r="L252" i="42"/>
  <c r="I252" i="42"/>
  <c r="C252" i="42" s="1"/>
  <c r="F252" i="42"/>
  <c r="O251" i="42"/>
  <c r="L251" i="42"/>
  <c r="C251" i="42" s="1"/>
  <c r="I251" i="42"/>
  <c r="F251" i="42"/>
  <c r="O250" i="42"/>
  <c r="L250" i="42"/>
  <c r="I250" i="42"/>
  <c r="F250" i="42"/>
  <c r="C250" i="42"/>
  <c r="N249" i="42"/>
  <c r="M249" i="42"/>
  <c r="O249" i="42" s="1"/>
  <c r="L249" i="42"/>
  <c r="K249" i="42"/>
  <c r="J249" i="42"/>
  <c r="H249" i="42"/>
  <c r="I249" i="42" s="1"/>
  <c r="G249" i="42"/>
  <c r="E249" i="42"/>
  <c r="D249" i="42"/>
  <c r="F249" i="42" s="1"/>
  <c r="O248" i="42"/>
  <c r="L248" i="42"/>
  <c r="I248" i="42"/>
  <c r="C248" i="42" s="1"/>
  <c r="F248" i="42"/>
  <c r="O247" i="42"/>
  <c r="L247" i="42"/>
  <c r="I247" i="42"/>
  <c r="F247" i="42"/>
  <c r="C247" i="42" s="1"/>
  <c r="O246" i="42"/>
  <c r="L246" i="42"/>
  <c r="I246" i="42"/>
  <c r="F246" i="42"/>
  <c r="C246" i="42"/>
  <c r="O245" i="42"/>
  <c r="L245" i="42"/>
  <c r="I245" i="42"/>
  <c r="F245" i="42"/>
  <c r="C245" i="42" s="1"/>
  <c r="O244" i="42"/>
  <c r="L244" i="42"/>
  <c r="I244" i="42"/>
  <c r="C244" i="42" s="1"/>
  <c r="F244" i="42"/>
  <c r="O243" i="42"/>
  <c r="L243" i="42"/>
  <c r="I243" i="42"/>
  <c r="F243" i="42"/>
  <c r="C243" i="42" s="1"/>
  <c r="O242" i="42"/>
  <c r="L242" i="42"/>
  <c r="I242" i="42"/>
  <c r="F242" i="42"/>
  <c r="C242" i="42"/>
  <c r="N241" i="42"/>
  <c r="M241" i="42"/>
  <c r="O241" i="42" s="1"/>
  <c r="L241" i="42"/>
  <c r="K241" i="42"/>
  <c r="J241" i="42"/>
  <c r="H241" i="42"/>
  <c r="I241" i="42" s="1"/>
  <c r="G241" i="42"/>
  <c r="E241" i="42"/>
  <c r="D241" i="42"/>
  <c r="D234" i="42" s="1"/>
  <c r="O240" i="42"/>
  <c r="L240" i="42"/>
  <c r="I240" i="42"/>
  <c r="C240" i="42" s="1"/>
  <c r="F240" i="42"/>
  <c r="O239" i="42"/>
  <c r="L239" i="42"/>
  <c r="I239" i="42"/>
  <c r="F239" i="42"/>
  <c r="C239" i="42" s="1"/>
  <c r="O238" i="42"/>
  <c r="N238" i="42"/>
  <c r="M238" i="42"/>
  <c r="K238" i="42"/>
  <c r="L238" i="42" s="1"/>
  <c r="J238" i="42"/>
  <c r="H238" i="42"/>
  <c r="G238" i="42"/>
  <c r="I238" i="42" s="1"/>
  <c r="E238" i="42"/>
  <c r="D238" i="42"/>
  <c r="F238" i="42" s="1"/>
  <c r="O237" i="42"/>
  <c r="L237" i="42"/>
  <c r="I237" i="42"/>
  <c r="F237" i="42"/>
  <c r="C237" i="42" s="1"/>
  <c r="N236" i="42"/>
  <c r="M236" i="42"/>
  <c r="O236" i="42" s="1"/>
  <c r="K236" i="42"/>
  <c r="J236" i="42"/>
  <c r="L236" i="42" s="1"/>
  <c r="I236" i="42"/>
  <c r="H236" i="42"/>
  <c r="G236" i="42"/>
  <c r="E236" i="42"/>
  <c r="F236" i="42" s="1"/>
  <c r="D236" i="42"/>
  <c r="O235" i="42"/>
  <c r="L235" i="42"/>
  <c r="C235" i="42" s="1"/>
  <c r="I235" i="42"/>
  <c r="F235" i="42"/>
  <c r="N234" i="42"/>
  <c r="K234" i="42"/>
  <c r="J234" i="42"/>
  <c r="L234" i="42" s="1"/>
  <c r="G234" i="42"/>
  <c r="G233" i="42" s="1"/>
  <c r="O232" i="42"/>
  <c r="L232" i="42"/>
  <c r="I232" i="42"/>
  <c r="F232" i="42"/>
  <c r="C232" i="42" s="1"/>
  <c r="O231" i="42"/>
  <c r="L231" i="42"/>
  <c r="C231" i="42" s="1"/>
  <c r="I231" i="42"/>
  <c r="F231" i="42"/>
  <c r="O230" i="42"/>
  <c r="N230" i="42"/>
  <c r="M230" i="42"/>
  <c r="K230" i="42"/>
  <c r="J230" i="42"/>
  <c r="L230" i="42" s="1"/>
  <c r="H230" i="42"/>
  <c r="G230" i="42"/>
  <c r="I230" i="42" s="1"/>
  <c r="E230" i="42"/>
  <c r="D230" i="42"/>
  <c r="F230" i="42" s="1"/>
  <c r="C230" i="42" s="1"/>
  <c r="O229" i="42"/>
  <c r="L229" i="42"/>
  <c r="I229" i="42"/>
  <c r="F229" i="42"/>
  <c r="C229" i="42" s="1"/>
  <c r="O228" i="42"/>
  <c r="L228" i="42"/>
  <c r="I228" i="42"/>
  <c r="C228" i="42" s="1"/>
  <c r="F228" i="42"/>
  <c r="O227" i="42"/>
  <c r="L227" i="42"/>
  <c r="I227" i="42"/>
  <c r="F227" i="42"/>
  <c r="C227" i="42" s="1"/>
  <c r="O226" i="42"/>
  <c r="L226" i="42"/>
  <c r="I226" i="42"/>
  <c r="F226" i="42"/>
  <c r="C226" i="42"/>
  <c r="O225" i="42"/>
  <c r="L225" i="42"/>
  <c r="I225" i="42"/>
  <c r="F225" i="42"/>
  <c r="C225" i="42" s="1"/>
  <c r="O224" i="42"/>
  <c r="L224" i="42"/>
  <c r="I224" i="42"/>
  <c r="C224" i="42" s="1"/>
  <c r="F224" i="42"/>
  <c r="O223" i="42"/>
  <c r="L223" i="42"/>
  <c r="C223" i="42" s="1"/>
  <c r="I223" i="42"/>
  <c r="F223" i="42"/>
  <c r="O222" i="42"/>
  <c r="L222" i="42"/>
  <c r="I222" i="42"/>
  <c r="F222" i="42"/>
  <c r="C222" i="42"/>
  <c r="O221" i="42"/>
  <c r="L221" i="42"/>
  <c r="I221" i="42"/>
  <c r="F221" i="42"/>
  <c r="C221" i="42" s="1"/>
  <c r="O220" i="42"/>
  <c r="L220" i="42"/>
  <c r="I220" i="42"/>
  <c r="C220" i="42" s="1"/>
  <c r="F220" i="42"/>
  <c r="N219" i="42"/>
  <c r="O219" i="42" s="1"/>
  <c r="M219" i="42"/>
  <c r="K219" i="42"/>
  <c r="J219" i="42"/>
  <c r="L219" i="42" s="1"/>
  <c r="H219" i="42"/>
  <c r="G219" i="42"/>
  <c r="I219" i="42" s="1"/>
  <c r="F219" i="42"/>
  <c r="E219" i="42"/>
  <c r="D219" i="42"/>
  <c r="O218" i="42"/>
  <c r="L218" i="42"/>
  <c r="I218" i="42"/>
  <c r="F218" i="42"/>
  <c r="C218" i="42"/>
  <c r="O217" i="42"/>
  <c r="L217" i="42"/>
  <c r="I217" i="42"/>
  <c r="F217" i="42"/>
  <c r="C217" i="42" s="1"/>
  <c r="O216" i="42"/>
  <c r="L216" i="42"/>
  <c r="I216" i="42"/>
  <c r="C216" i="42" s="1"/>
  <c r="F216" i="42"/>
  <c r="O215" i="42"/>
  <c r="L215" i="42"/>
  <c r="I215" i="42"/>
  <c r="F215" i="42"/>
  <c r="C215" i="42" s="1"/>
  <c r="O214" i="42"/>
  <c r="L214" i="42"/>
  <c r="I214" i="42"/>
  <c r="F214" i="42"/>
  <c r="C214" i="42"/>
  <c r="O213" i="42"/>
  <c r="L213" i="42"/>
  <c r="I213" i="42"/>
  <c r="F213" i="42"/>
  <c r="C213" i="42" s="1"/>
  <c r="O212" i="42"/>
  <c r="L212" i="42"/>
  <c r="I212" i="42"/>
  <c r="C212" i="42" s="1"/>
  <c r="F212" i="42"/>
  <c r="O211" i="42"/>
  <c r="L211" i="42"/>
  <c r="I211" i="42"/>
  <c r="F211" i="42"/>
  <c r="C211" i="42" s="1"/>
  <c r="O210" i="42"/>
  <c r="L210" i="42"/>
  <c r="I210" i="42"/>
  <c r="F210" i="42"/>
  <c r="C210" i="42"/>
  <c r="O209" i="42"/>
  <c r="L209" i="42"/>
  <c r="I209" i="42"/>
  <c r="F209" i="42"/>
  <c r="C209" i="42" s="1"/>
  <c r="N208" i="42"/>
  <c r="M208" i="42"/>
  <c r="O208" i="42" s="1"/>
  <c r="K208" i="42"/>
  <c r="J208" i="42"/>
  <c r="L208" i="42" s="1"/>
  <c r="H208" i="42"/>
  <c r="G208" i="42"/>
  <c r="I208" i="42" s="1"/>
  <c r="E208" i="42"/>
  <c r="D208" i="42"/>
  <c r="F208" i="42" s="1"/>
  <c r="N207" i="42"/>
  <c r="M207" i="42"/>
  <c r="O207" i="42" s="1"/>
  <c r="K207" i="42"/>
  <c r="J207" i="42"/>
  <c r="L207" i="42" s="1"/>
  <c r="H207" i="42"/>
  <c r="G207" i="42"/>
  <c r="I207" i="42" s="1"/>
  <c r="F207" i="42"/>
  <c r="E207" i="42"/>
  <c r="D207" i="42"/>
  <c r="O206" i="42"/>
  <c r="L206" i="42"/>
  <c r="I206" i="42"/>
  <c r="F206" i="42"/>
  <c r="C206" i="42"/>
  <c r="O205" i="42"/>
  <c r="L205" i="42"/>
  <c r="I205" i="42"/>
  <c r="F205" i="42"/>
  <c r="C205" i="42" s="1"/>
  <c r="O204" i="42"/>
  <c r="L204" i="42"/>
  <c r="I204" i="42"/>
  <c r="F204" i="42"/>
  <c r="C204" i="42" s="1"/>
  <c r="O203" i="42"/>
  <c r="L203" i="42"/>
  <c r="I203" i="42"/>
  <c r="F203" i="42"/>
  <c r="C203" i="42" s="1"/>
  <c r="O202" i="42"/>
  <c r="L202" i="42"/>
  <c r="I202" i="42"/>
  <c r="F202" i="42"/>
  <c r="C202" i="42"/>
  <c r="N201" i="42"/>
  <c r="M201" i="42"/>
  <c r="O201" i="42" s="1"/>
  <c r="K201" i="42"/>
  <c r="J201" i="42"/>
  <c r="L201" i="42" s="1"/>
  <c r="H201" i="42"/>
  <c r="G201" i="42"/>
  <c r="I201" i="42" s="1"/>
  <c r="E201" i="42"/>
  <c r="D201" i="42"/>
  <c r="F201" i="42" s="1"/>
  <c r="O200" i="42"/>
  <c r="L200" i="42"/>
  <c r="I200" i="42"/>
  <c r="F200" i="42"/>
  <c r="C200" i="42" s="1"/>
  <c r="N199" i="42"/>
  <c r="M199" i="42"/>
  <c r="O199" i="42" s="1"/>
  <c r="K199" i="42"/>
  <c r="J199" i="42"/>
  <c r="L199" i="42" s="1"/>
  <c r="H199" i="42"/>
  <c r="G199" i="42"/>
  <c r="I199" i="42" s="1"/>
  <c r="E199" i="42"/>
  <c r="D199" i="42"/>
  <c r="F199" i="42" s="1"/>
  <c r="N198" i="42"/>
  <c r="M198" i="42"/>
  <c r="O198" i="42" s="1"/>
  <c r="K198" i="42"/>
  <c r="J198" i="42"/>
  <c r="L198" i="42" s="1"/>
  <c r="H198" i="42"/>
  <c r="G198" i="42"/>
  <c r="I198" i="42" s="1"/>
  <c r="E198" i="42"/>
  <c r="D198" i="42"/>
  <c r="F198" i="42" s="1"/>
  <c r="O196" i="42"/>
  <c r="L196" i="42"/>
  <c r="I196" i="42"/>
  <c r="F196" i="42"/>
  <c r="C196" i="42"/>
  <c r="N195" i="42"/>
  <c r="M195" i="42"/>
  <c r="O195" i="42" s="1"/>
  <c r="K195" i="42"/>
  <c r="J195" i="42"/>
  <c r="L195" i="42" s="1"/>
  <c r="H195" i="42"/>
  <c r="I195" i="42" s="1"/>
  <c r="G195" i="42"/>
  <c r="E195" i="42"/>
  <c r="D195" i="42"/>
  <c r="F195" i="42" s="1"/>
  <c r="N194" i="42"/>
  <c r="M194" i="42"/>
  <c r="O194" i="42" s="1"/>
  <c r="K194" i="42"/>
  <c r="J194" i="42"/>
  <c r="L194" i="42" s="1"/>
  <c r="I194" i="42"/>
  <c r="H194" i="42"/>
  <c r="G194" i="42"/>
  <c r="E194" i="42"/>
  <c r="F194" i="42" s="1"/>
  <c r="D194" i="42"/>
  <c r="O193" i="42"/>
  <c r="L193" i="42"/>
  <c r="C193" i="42" s="1"/>
  <c r="I193" i="42"/>
  <c r="F193" i="42"/>
  <c r="O192" i="42"/>
  <c r="L192" i="42"/>
  <c r="I192" i="42"/>
  <c r="F192" i="42"/>
  <c r="C192" i="42"/>
  <c r="N191" i="42"/>
  <c r="M191" i="42"/>
  <c r="O191" i="42" s="1"/>
  <c r="K191" i="42"/>
  <c r="J191" i="42"/>
  <c r="L191" i="42" s="1"/>
  <c r="H191" i="42"/>
  <c r="G191" i="42"/>
  <c r="I191" i="42" s="1"/>
  <c r="E191" i="42"/>
  <c r="D191" i="42"/>
  <c r="F191" i="42" s="1"/>
  <c r="C191" i="42" s="1"/>
  <c r="N190" i="42"/>
  <c r="M190" i="42"/>
  <c r="O190" i="42" s="1"/>
  <c r="K190" i="42"/>
  <c r="J190" i="42"/>
  <c r="L190" i="42" s="1"/>
  <c r="H190" i="42"/>
  <c r="G190" i="42"/>
  <c r="I190" i="42" s="1"/>
  <c r="E190" i="42"/>
  <c r="F190" i="42" s="1"/>
  <c r="C190" i="42" s="1"/>
  <c r="D190" i="42"/>
  <c r="O189" i="42"/>
  <c r="L189" i="42"/>
  <c r="I189" i="42"/>
  <c r="F189" i="42"/>
  <c r="C189" i="42"/>
  <c r="O188" i="42"/>
  <c r="L188" i="42"/>
  <c r="I188" i="42"/>
  <c r="F188" i="42"/>
  <c r="C188" i="42" s="1"/>
  <c r="N187" i="42"/>
  <c r="M187" i="42"/>
  <c r="O187" i="42" s="1"/>
  <c r="K187" i="42"/>
  <c r="J187" i="42"/>
  <c r="L187" i="42" s="1"/>
  <c r="I187" i="42"/>
  <c r="H187" i="42"/>
  <c r="G187" i="42"/>
  <c r="E187" i="42"/>
  <c r="D187" i="42"/>
  <c r="F187" i="42" s="1"/>
  <c r="O186" i="42"/>
  <c r="L186" i="42"/>
  <c r="I186" i="42"/>
  <c r="F186" i="42"/>
  <c r="C186" i="42" s="1"/>
  <c r="O185" i="42"/>
  <c r="L185" i="42"/>
  <c r="I185" i="42"/>
  <c r="F185" i="42"/>
  <c r="C185" i="42"/>
  <c r="O184" i="42"/>
  <c r="L184" i="42"/>
  <c r="I184" i="42"/>
  <c r="F184" i="42"/>
  <c r="C184" i="42" s="1"/>
  <c r="O183" i="42"/>
  <c r="L183" i="42"/>
  <c r="I183" i="42"/>
  <c r="F183" i="42"/>
  <c r="C183" i="42" s="1"/>
  <c r="N182" i="42"/>
  <c r="M182" i="42"/>
  <c r="O182" i="42" s="1"/>
  <c r="K182" i="42"/>
  <c r="J182" i="42"/>
  <c r="L182" i="42" s="1"/>
  <c r="I182" i="42"/>
  <c r="H182" i="42"/>
  <c r="G182" i="42"/>
  <c r="E182" i="42"/>
  <c r="F182" i="42" s="1"/>
  <c r="C182" i="42" s="1"/>
  <c r="D182" i="42"/>
  <c r="O181" i="42"/>
  <c r="L181" i="42"/>
  <c r="I181" i="42"/>
  <c r="F181" i="42"/>
  <c r="C181" i="42"/>
  <c r="O180" i="42"/>
  <c r="L180" i="42"/>
  <c r="I180" i="42"/>
  <c r="F180" i="42"/>
  <c r="C180" i="42" s="1"/>
  <c r="O179" i="42"/>
  <c r="L179" i="42"/>
  <c r="I179" i="42"/>
  <c r="F179" i="42"/>
  <c r="C179" i="42" s="1"/>
  <c r="N178" i="42"/>
  <c r="M178" i="42"/>
  <c r="O178" i="42" s="1"/>
  <c r="K178" i="42"/>
  <c r="J178" i="42"/>
  <c r="L178" i="42" s="1"/>
  <c r="I178" i="42"/>
  <c r="H178" i="42"/>
  <c r="G178" i="42"/>
  <c r="F178" i="42"/>
  <c r="E178" i="42"/>
  <c r="D178" i="42"/>
  <c r="O177" i="42"/>
  <c r="N177" i="42"/>
  <c r="M177" i="42"/>
  <c r="K177" i="42"/>
  <c r="J177" i="42"/>
  <c r="H177" i="42"/>
  <c r="G177" i="42"/>
  <c r="I177" i="42" s="1"/>
  <c r="F177" i="42"/>
  <c r="E177" i="42"/>
  <c r="D177" i="42"/>
  <c r="O176" i="42"/>
  <c r="N176" i="42"/>
  <c r="M176" i="42"/>
  <c r="K176" i="42"/>
  <c r="J176" i="42"/>
  <c r="L176" i="42" s="1"/>
  <c r="H176" i="42"/>
  <c r="G176" i="42"/>
  <c r="I176" i="42" s="1"/>
  <c r="E176" i="42"/>
  <c r="F176" i="42" s="1"/>
  <c r="C176" i="42" s="1"/>
  <c r="D176" i="42"/>
  <c r="O175" i="42"/>
  <c r="L175" i="42"/>
  <c r="I175" i="42"/>
  <c r="F175" i="42"/>
  <c r="C175" i="42" s="1"/>
  <c r="O174" i="42"/>
  <c r="L174" i="42"/>
  <c r="I174" i="42"/>
  <c r="C174" i="42" s="1"/>
  <c r="F174" i="42"/>
  <c r="O173" i="42"/>
  <c r="L173" i="42"/>
  <c r="I173" i="42"/>
  <c r="F173" i="42"/>
  <c r="C173" i="42" s="1"/>
  <c r="O172" i="42"/>
  <c r="L172" i="42"/>
  <c r="I172" i="42"/>
  <c r="F172" i="42"/>
  <c r="C172" i="42"/>
  <c r="O171" i="42"/>
  <c r="L171" i="42"/>
  <c r="I171" i="42"/>
  <c r="F171" i="42"/>
  <c r="C171" i="42" s="1"/>
  <c r="O170" i="42"/>
  <c r="L170" i="42"/>
  <c r="I170" i="42"/>
  <c r="C170" i="42" s="1"/>
  <c r="F170" i="42"/>
  <c r="N169" i="42"/>
  <c r="N168" i="42" s="1"/>
  <c r="O168" i="42" s="1"/>
  <c r="M169" i="42"/>
  <c r="O169" i="42" s="1"/>
  <c r="K169" i="42"/>
  <c r="J169" i="42"/>
  <c r="J168" i="42" s="1"/>
  <c r="L168" i="42" s="1"/>
  <c r="H169" i="42"/>
  <c r="I169" i="42" s="1"/>
  <c r="G169" i="42"/>
  <c r="F169" i="42"/>
  <c r="E169" i="42"/>
  <c r="D169" i="42"/>
  <c r="D168" i="42" s="1"/>
  <c r="F168" i="42" s="1"/>
  <c r="M168" i="42"/>
  <c r="K168" i="42"/>
  <c r="G168" i="42"/>
  <c r="E168" i="42"/>
  <c r="O167" i="42"/>
  <c r="L167" i="42"/>
  <c r="I167" i="42"/>
  <c r="F167" i="42"/>
  <c r="C167" i="42" s="1"/>
  <c r="O166" i="42"/>
  <c r="L166" i="42"/>
  <c r="I166" i="42"/>
  <c r="C166" i="42" s="1"/>
  <c r="F166" i="42"/>
  <c r="O165" i="42"/>
  <c r="L165" i="42"/>
  <c r="I165" i="42"/>
  <c r="F165" i="42"/>
  <c r="C165" i="42" s="1"/>
  <c r="O164" i="42"/>
  <c r="L164" i="42"/>
  <c r="I164" i="42"/>
  <c r="F164" i="42"/>
  <c r="C164" i="42"/>
  <c r="N163" i="42"/>
  <c r="O163" i="42" s="1"/>
  <c r="M163" i="42"/>
  <c r="L163" i="42"/>
  <c r="K163" i="42"/>
  <c r="J163" i="42"/>
  <c r="H163" i="42"/>
  <c r="G163" i="42"/>
  <c r="I163" i="42" s="1"/>
  <c r="E163" i="42"/>
  <c r="D163" i="42"/>
  <c r="F163" i="42" s="1"/>
  <c r="O162" i="42"/>
  <c r="L162" i="42"/>
  <c r="I162" i="42"/>
  <c r="C162" i="42" s="1"/>
  <c r="F162" i="42"/>
  <c r="O161" i="42"/>
  <c r="L161" i="42"/>
  <c r="I161" i="42"/>
  <c r="F161" i="42"/>
  <c r="C161" i="42" s="1"/>
  <c r="O160" i="42"/>
  <c r="L160" i="42"/>
  <c r="I160" i="42"/>
  <c r="F160" i="42"/>
  <c r="C160" i="42"/>
  <c r="O159" i="42"/>
  <c r="L159" i="42"/>
  <c r="I159" i="42"/>
  <c r="F159" i="42"/>
  <c r="C159" i="42" s="1"/>
  <c r="O158" i="42"/>
  <c r="L158" i="42"/>
  <c r="I158" i="42"/>
  <c r="C158" i="42" s="1"/>
  <c r="F158" i="42"/>
  <c r="O157" i="42"/>
  <c r="L157" i="42"/>
  <c r="I157" i="42"/>
  <c r="F157" i="42"/>
  <c r="C157" i="42" s="1"/>
  <c r="O156" i="42"/>
  <c r="L156" i="42"/>
  <c r="I156" i="42"/>
  <c r="F156" i="42"/>
  <c r="C156" i="42"/>
  <c r="O155" i="42"/>
  <c r="L155" i="42"/>
  <c r="I155" i="42"/>
  <c r="F155" i="42"/>
  <c r="C155" i="42" s="1"/>
  <c r="N154" i="42"/>
  <c r="M154" i="42"/>
  <c r="O154" i="42" s="1"/>
  <c r="K154" i="42"/>
  <c r="L154" i="42" s="1"/>
  <c r="J154" i="42"/>
  <c r="I154" i="42"/>
  <c r="H154" i="42"/>
  <c r="G154" i="42"/>
  <c r="E154" i="42"/>
  <c r="D154" i="42"/>
  <c r="F154" i="42" s="1"/>
  <c r="O153" i="42"/>
  <c r="L153" i="42"/>
  <c r="I153" i="42"/>
  <c r="F153" i="42"/>
  <c r="C153" i="42" s="1"/>
  <c r="O152" i="42"/>
  <c r="L152" i="42"/>
  <c r="I152" i="42"/>
  <c r="F152" i="42"/>
  <c r="C152" i="42"/>
  <c r="O151" i="42"/>
  <c r="L151" i="42"/>
  <c r="I151" i="42"/>
  <c r="F151" i="42"/>
  <c r="C151" i="42" s="1"/>
  <c r="O150" i="42"/>
  <c r="L150" i="42"/>
  <c r="I150" i="42"/>
  <c r="C150" i="42" s="1"/>
  <c r="F150" i="42"/>
  <c r="O149" i="42"/>
  <c r="L149" i="42"/>
  <c r="I149" i="42"/>
  <c r="F149" i="42"/>
  <c r="C149" i="42" s="1"/>
  <c r="O148" i="42"/>
  <c r="L148" i="42"/>
  <c r="I148" i="42"/>
  <c r="F148" i="42"/>
  <c r="C148" i="42"/>
  <c r="N147" i="42"/>
  <c r="O147" i="42" s="1"/>
  <c r="M147" i="42"/>
  <c r="L147" i="42"/>
  <c r="K147" i="42"/>
  <c r="J147" i="42"/>
  <c r="H147" i="42"/>
  <c r="G147" i="42"/>
  <c r="I147" i="42" s="1"/>
  <c r="E147" i="42"/>
  <c r="D147" i="42"/>
  <c r="F147" i="42" s="1"/>
  <c r="O146" i="42"/>
  <c r="L146" i="42"/>
  <c r="I146" i="42"/>
  <c r="C146" i="42" s="1"/>
  <c r="F146" i="42"/>
  <c r="O145" i="42"/>
  <c r="L145" i="42"/>
  <c r="I145" i="42"/>
  <c r="F145" i="42"/>
  <c r="C145" i="42" s="1"/>
  <c r="O144" i="42"/>
  <c r="N144" i="42"/>
  <c r="M144" i="42"/>
  <c r="K144" i="42"/>
  <c r="J144" i="42"/>
  <c r="L144" i="42" s="1"/>
  <c r="H144" i="42"/>
  <c r="G144" i="42"/>
  <c r="I144" i="42" s="1"/>
  <c r="E144" i="42"/>
  <c r="F144" i="42" s="1"/>
  <c r="D144" i="42"/>
  <c r="O143" i="42"/>
  <c r="L143" i="42"/>
  <c r="I143" i="42"/>
  <c r="F143" i="42"/>
  <c r="C143" i="42" s="1"/>
  <c r="O142" i="42"/>
  <c r="L142" i="42"/>
  <c r="I142" i="42"/>
  <c r="C142" i="42" s="1"/>
  <c r="F142" i="42"/>
  <c r="O141" i="42"/>
  <c r="L141" i="42"/>
  <c r="I141" i="42"/>
  <c r="F141" i="42"/>
  <c r="C141" i="42" s="1"/>
  <c r="O140" i="42"/>
  <c r="L140" i="42"/>
  <c r="I140" i="42"/>
  <c r="F140" i="42"/>
  <c r="C140" i="42"/>
  <c r="N139" i="42"/>
  <c r="O139" i="42" s="1"/>
  <c r="M139" i="42"/>
  <c r="L139" i="42"/>
  <c r="K139" i="42"/>
  <c r="J139" i="42"/>
  <c r="H139" i="42"/>
  <c r="G139" i="42"/>
  <c r="I139" i="42" s="1"/>
  <c r="E139" i="42"/>
  <c r="D139" i="42"/>
  <c r="F139" i="42" s="1"/>
  <c r="C139" i="42" s="1"/>
  <c r="O138" i="42"/>
  <c r="L138" i="42"/>
  <c r="I138" i="42"/>
  <c r="C138" i="42" s="1"/>
  <c r="F138" i="42"/>
  <c r="O137" i="42"/>
  <c r="L137" i="42"/>
  <c r="I137" i="42"/>
  <c r="F137" i="42"/>
  <c r="C137" i="42" s="1"/>
  <c r="O136" i="42"/>
  <c r="L136" i="42"/>
  <c r="I136" i="42"/>
  <c r="F136" i="42"/>
  <c r="C136" i="42"/>
  <c r="O135" i="42"/>
  <c r="L135" i="42"/>
  <c r="I135" i="42"/>
  <c r="F135" i="42"/>
  <c r="C135" i="42" s="1"/>
  <c r="N134" i="42"/>
  <c r="M134" i="42"/>
  <c r="M133" i="42" s="1"/>
  <c r="O133" i="42" s="1"/>
  <c r="K134" i="42"/>
  <c r="L134" i="42" s="1"/>
  <c r="J134" i="42"/>
  <c r="I134" i="42"/>
  <c r="H134" i="42"/>
  <c r="G134" i="42"/>
  <c r="G133" i="42" s="1"/>
  <c r="I133" i="42" s="1"/>
  <c r="E134" i="42"/>
  <c r="E133" i="42" s="1"/>
  <c r="F133" i="42" s="1"/>
  <c r="D134" i="42"/>
  <c r="F134" i="42" s="1"/>
  <c r="N133" i="42"/>
  <c r="J133" i="42"/>
  <c r="H133" i="42"/>
  <c r="D133" i="42"/>
  <c r="O132" i="42"/>
  <c r="L132" i="42"/>
  <c r="I132" i="42"/>
  <c r="F132" i="42"/>
  <c r="C132" i="42"/>
  <c r="N131" i="42"/>
  <c r="O131" i="42" s="1"/>
  <c r="M131" i="42"/>
  <c r="L131" i="42"/>
  <c r="K131" i="42"/>
  <c r="J131" i="42"/>
  <c r="H131" i="42"/>
  <c r="G131" i="42"/>
  <c r="I131" i="42" s="1"/>
  <c r="E131" i="42"/>
  <c r="D131" i="42"/>
  <c r="F131" i="42" s="1"/>
  <c r="C131" i="42" s="1"/>
  <c r="O130" i="42"/>
  <c r="L130" i="42"/>
  <c r="I130" i="42"/>
  <c r="C130" i="42" s="1"/>
  <c r="F130" i="42"/>
  <c r="O129" i="42"/>
  <c r="L129" i="42"/>
  <c r="I129" i="42"/>
  <c r="F129" i="42"/>
  <c r="C129" i="42" s="1"/>
  <c r="O128" i="42"/>
  <c r="L128" i="42"/>
  <c r="I128" i="42"/>
  <c r="F128" i="42"/>
  <c r="C128" i="42"/>
  <c r="O127" i="42"/>
  <c r="L127" i="42"/>
  <c r="I127" i="42"/>
  <c r="F127" i="42"/>
  <c r="C127" i="42" s="1"/>
  <c r="O126" i="42"/>
  <c r="L126" i="42"/>
  <c r="I126" i="42"/>
  <c r="C126" i="42" s="1"/>
  <c r="F126" i="42"/>
  <c r="N125" i="42"/>
  <c r="M125" i="42"/>
  <c r="O125" i="42" s="1"/>
  <c r="K125" i="42"/>
  <c r="J125" i="42"/>
  <c r="L125" i="42" s="1"/>
  <c r="H125" i="42"/>
  <c r="I125" i="42" s="1"/>
  <c r="G125" i="42"/>
  <c r="F125" i="42"/>
  <c r="C125" i="42" s="1"/>
  <c r="E125" i="42"/>
  <c r="D125" i="42"/>
  <c r="O124" i="42"/>
  <c r="L124" i="42"/>
  <c r="I124" i="42"/>
  <c r="F124" i="42"/>
  <c r="C124" i="42"/>
  <c r="O123" i="42"/>
  <c r="L123" i="42"/>
  <c r="I123" i="42"/>
  <c r="F123" i="42"/>
  <c r="C123" i="42" s="1"/>
  <c r="O122" i="42"/>
  <c r="L122" i="42"/>
  <c r="I122" i="42"/>
  <c r="C122" i="42" s="1"/>
  <c r="F122" i="42"/>
  <c r="O121" i="42"/>
  <c r="L121" i="42"/>
  <c r="I121" i="42"/>
  <c r="F121" i="42"/>
  <c r="C121" i="42" s="1"/>
  <c r="O120" i="42"/>
  <c r="L120" i="42"/>
  <c r="I120" i="42"/>
  <c r="F120" i="42"/>
  <c r="C120" i="42"/>
  <c r="N119" i="42"/>
  <c r="O119" i="42" s="1"/>
  <c r="M119" i="42"/>
  <c r="L119" i="42"/>
  <c r="K119" i="42"/>
  <c r="J119" i="42"/>
  <c r="H119" i="42"/>
  <c r="G119" i="42"/>
  <c r="I119" i="42" s="1"/>
  <c r="E119" i="42"/>
  <c r="D119" i="42"/>
  <c r="F119" i="42" s="1"/>
  <c r="C119" i="42" s="1"/>
  <c r="O118" i="42"/>
  <c r="L118" i="42"/>
  <c r="I118" i="42"/>
  <c r="C118" i="42" s="1"/>
  <c r="F118" i="42"/>
  <c r="O117" i="42"/>
  <c r="L117" i="42"/>
  <c r="I117" i="42"/>
  <c r="F117" i="42"/>
  <c r="C117" i="42" s="1"/>
  <c r="O116" i="42"/>
  <c r="L116" i="42"/>
  <c r="I116" i="42"/>
  <c r="F116" i="42"/>
  <c r="C116" i="42"/>
  <c r="N115" i="42"/>
  <c r="O115" i="42" s="1"/>
  <c r="M115" i="42"/>
  <c r="L115" i="42"/>
  <c r="K115" i="42"/>
  <c r="J115" i="42"/>
  <c r="H115" i="42"/>
  <c r="G115" i="42"/>
  <c r="I115" i="42" s="1"/>
  <c r="E115" i="42"/>
  <c r="D115" i="42"/>
  <c r="F115" i="42" s="1"/>
  <c r="O114" i="42"/>
  <c r="L114" i="42"/>
  <c r="I114" i="42"/>
  <c r="C114" i="42" s="1"/>
  <c r="F114" i="42"/>
  <c r="O113" i="42"/>
  <c r="L113" i="42"/>
  <c r="I113" i="42"/>
  <c r="F113" i="42"/>
  <c r="C113" i="42" s="1"/>
  <c r="O112" i="42"/>
  <c r="L112" i="42"/>
  <c r="I112" i="42"/>
  <c r="F112" i="42"/>
  <c r="C112" i="42"/>
  <c r="O111" i="42"/>
  <c r="L111" i="42"/>
  <c r="I111" i="42"/>
  <c r="F111" i="42"/>
  <c r="C111" i="42" s="1"/>
  <c r="O110" i="42"/>
  <c r="L110" i="42"/>
  <c r="I110" i="42"/>
  <c r="C110" i="42" s="1"/>
  <c r="F110" i="42"/>
  <c r="O109" i="42"/>
  <c r="L109" i="42"/>
  <c r="I109" i="42"/>
  <c r="F109" i="42"/>
  <c r="C109" i="42" s="1"/>
  <c r="O108" i="42"/>
  <c r="L108" i="42"/>
  <c r="I108" i="42"/>
  <c r="F108" i="42"/>
  <c r="C108" i="42"/>
  <c r="O107" i="42"/>
  <c r="L107" i="42"/>
  <c r="I107" i="42"/>
  <c r="F107" i="42"/>
  <c r="C107" i="42" s="1"/>
  <c r="N106" i="42"/>
  <c r="M106" i="42"/>
  <c r="O106" i="42" s="1"/>
  <c r="K106" i="42"/>
  <c r="L106" i="42" s="1"/>
  <c r="J106" i="42"/>
  <c r="I106" i="42"/>
  <c r="H106" i="42"/>
  <c r="G106" i="42"/>
  <c r="E106" i="42"/>
  <c r="D106" i="42"/>
  <c r="F106" i="42" s="1"/>
  <c r="O105" i="42"/>
  <c r="L105" i="42"/>
  <c r="I105" i="42"/>
  <c r="F105" i="42"/>
  <c r="C105" i="42" s="1"/>
  <c r="O104" i="42"/>
  <c r="L104" i="42"/>
  <c r="I104" i="42"/>
  <c r="F104" i="42"/>
  <c r="C104" i="42"/>
  <c r="O103" i="42"/>
  <c r="L103" i="42"/>
  <c r="I103" i="42"/>
  <c r="F103" i="42"/>
  <c r="C103" i="42" s="1"/>
  <c r="O102" i="42"/>
  <c r="L102" i="42"/>
  <c r="I102" i="42"/>
  <c r="C102" i="42" s="1"/>
  <c r="F102" i="42"/>
  <c r="O101" i="42"/>
  <c r="L101" i="42"/>
  <c r="I101" i="42"/>
  <c r="F101" i="42"/>
  <c r="C101" i="42" s="1"/>
  <c r="O100" i="42"/>
  <c r="L100" i="42"/>
  <c r="I100" i="42"/>
  <c r="F100" i="42"/>
  <c r="C100" i="42"/>
  <c r="O99" i="42"/>
  <c r="L99" i="42"/>
  <c r="I99" i="42"/>
  <c r="F99" i="42"/>
  <c r="C99" i="42" s="1"/>
  <c r="N98" i="42"/>
  <c r="M98" i="42"/>
  <c r="O98" i="42" s="1"/>
  <c r="K98" i="42"/>
  <c r="L98" i="42" s="1"/>
  <c r="J98" i="42"/>
  <c r="I98" i="42"/>
  <c r="H98" i="42"/>
  <c r="G98" i="42"/>
  <c r="E98" i="42"/>
  <c r="D98" i="42"/>
  <c r="F98" i="42" s="1"/>
  <c r="O97" i="42"/>
  <c r="L97" i="42"/>
  <c r="I97" i="42"/>
  <c r="F97" i="42"/>
  <c r="C97" i="42" s="1"/>
  <c r="O96" i="42"/>
  <c r="L96" i="42"/>
  <c r="I96" i="42"/>
  <c r="F96" i="42"/>
  <c r="C96" i="42"/>
  <c r="O95" i="42"/>
  <c r="L95" i="42"/>
  <c r="I95" i="42"/>
  <c r="F95" i="42"/>
  <c r="C95" i="42" s="1"/>
  <c r="O94" i="42"/>
  <c r="L94" i="42"/>
  <c r="I94" i="42"/>
  <c r="C94" i="42" s="1"/>
  <c r="F94" i="42"/>
  <c r="O93" i="42"/>
  <c r="L93" i="42"/>
  <c r="I93" i="42"/>
  <c r="F93" i="42"/>
  <c r="C93" i="42" s="1"/>
  <c r="O92" i="42"/>
  <c r="N92" i="42"/>
  <c r="M92" i="42"/>
  <c r="K92" i="42"/>
  <c r="K86" i="42" s="1"/>
  <c r="J92" i="42"/>
  <c r="L92" i="42" s="1"/>
  <c r="H92" i="42"/>
  <c r="G92" i="42"/>
  <c r="I92" i="42" s="1"/>
  <c r="E92" i="42"/>
  <c r="F92" i="42" s="1"/>
  <c r="D92" i="42"/>
  <c r="O91" i="42"/>
  <c r="L91" i="42"/>
  <c r="I91" i="42"/>
  <c r="F91" i="42"/>
  <c r="C91" i="42" s="1"/>
  <c r="O90" i="42"/>
  <c r="L90" i="42"/>
  <c r="I90" i="42"/>
  <c r="C90" i="42" s="1"/>
  <c r="F90" i="42"/>
  <c r="O89" i="42"/>
  <c r="L89" i="42"/>
  <c r="I89" i="42"/>
  <c r="F89" i="42"/>
  <c r="C89" i="42" s="1"/>
  <c r="O88" i="42"/>
  <c r="L88" i="42"/>
  <c r="I88" i="42"/>
  <c r="F88" i="42"/>
  <c r="C88" i="42"/>
  <c r="N87" i="42"/>
  <c r="O87" i="42" s="1"/>
  <c r="M87" i="42"/>
  <c r="L87" i="42"/>
  <c r="K87" i="42"/>
  <c r="J87" i="42"/>
  <c r="J86" i="42" s="1"/>
  <c r="L86" i="42" s="1"/>
  <c r="H87" i="42"/>
  <c r="H86" i="42" s="1"/>
  <c r="G87" i="42"/>
  <c r="I87" i="42" s="1"/>
  <c r="E87" i="42"/>
  <c r="D87" i="42"/>
  <c r="D86" i="42" s="1"/>
  <c r="F86" i="42" s="1"/>
  <c r="M86" i="42"/>
  <c r="E86" i="42"/>
  <c r="O85" i="42"/>
  <c r="L85" i="42"/>
  <c r="I85" i="42"/>
  <c r="F85" i="42"/>
  <c r="C85" i="42" s="1"/>
  <c r="O84" i="42"/>
  <c r="L84" i="42"/>
  <c r="I84" i="42"/>
  <c r="F84" i="42"/>
  <c r="C84" i="42"/>
  <c r="N83" i="42"/>
  <c r="O83" i="42" s="1"/>
  <c r="M83" i="42"/>
  <c r="L83" i="42"/>
  <c r="K83" i="42"/>
  <c r="J83" i="42"/>
  <c r="H83" i="42"/>
  <c r="G83" i="42"/>
  <c r="I83" i="42" s="1"/>
  <c r="E83" i="42"/>
  <c r="D83" i="42"/>
  <c r="F83" i="42" s="1"/>
  <c r="C83" i="42" s="1"/>
  <c r="O82" i="42"/>
  <c r="L82" i="42"/>
  <c r="I82" i="42"/>
  <c r="C82" i="42" s="1"/>
  <c r="F82" i="42"/>
  <c r="O81" i="42"/>
  <c r="L81" i="42"/>
  <c r="I81" i="42"/>
  <c r="F81" i="42"/>
  <c r="C81" i="42" s="1"/>
  <c r="O80" i="42"/>
  <c r="N80" i="42"/>
  <c r="M80" i="42"/>
  <c r="M79" i="42" s="1"/>
  <c r="K80" i="42"/>
  <c r="K79" i="42" s="1"/>
  <c r="J80" i="42"/>
  <c r="L80" i="42" s="1"/>
  <c r="H80" i="42"/>
  <c r="G80" i="42"/>
  <c r="G79" i="42" s="1"/>
  <c r="E80" i="42"/>
  <c r="F80" i="42" s="1"/>
  <c r="D80" i="42"/>
  <c r="N79" i="42"/>
  <c r="J79" i="42"/>
  <c r="J78" i="42" s="1"/>
  <c r="H79" i="42"/>
  <c r="D79" i="42"/>
  <c r="O77" i="42"/>
  <c r="L77" i="42"/>
  <c r="I77" i="42"/>
  <c r="F77" i="42"/>
  <c r="C77" i="42" s="1"/>
  <c r="O76" i="42"/>
  <c r="L76" i="42"/>
  <c r="I76" i="42"/>
  <c r="F76" i="42"/>
  <c r="C76" i="42"/>
  <c r="O75" i="42"/>
  <c r="L75" i="42"/>
  <c r="I75" i="42"/>
  <c r="F75" i="42"/>
  <c r="C75" i="42" s="1"/>
  <c r="O74" i="42"/>
  <c r="L74" i="42"/>
  <c r="I74" i="42"/>
  <c r="C74" i="42" s="1"/>
  <c r="F74" i="42"/>
  <c r="O73" i="42"/>
  <c r="L73" i="42"/>
  <c r="I73" i="42"/>
  <c r="F73" i="42"/>
  <c r="C73" i="42" s="1"/>
  <c r="O72" i="42"/>
  <c r="N72" i="42"/>
  <c r="N70" i="42" s="1"/>
  <c r="M72" i="42"/>
  <c r="K72" i="42"/>
  <c r="K70" i="42" s="1"/>
  <c r="J72" i="42"/>
  <c r="L72" i="42" s="1"/>
  <c r="H72" i="42"/>
  <c r="G72" i="42"/>
  <c r="I72" i="42" s="1"/>
  <c r="E72" i="42"/>
  <c r="F72" i="42" s="1"/>
  <c r="D72" i="42"/>
  <c r="O71" i="42"/>
  <c r="L71" i="42"/>
  <c r="I71" i="42"/>
  <c r="F71" i="42"/>
  <c r="C71" i="42" s="1"/>
  <c r="M70" i="42"/>
  <c r="O70" i="42" s="1"/>
  <c r="H70" i="42"/>
  <c r="E70" i="42"/>
  <c r="D70" i="42"/>
  <c r="F70" i="42" s="1"/>
  <c r="O69" i="42"/>
  <c r="L69" i="42"/>
  <c r="I69" i="42"/>
  <c r="F69" i="42"/>
  <c r="C69" i="42" s="1"/>
  <c r="O68" i="42"/>
  <c r="L68" i="42"/>
  <c r="I68" i="42"/>
  <c r="F68" i="42"/>
  <c r="C68" i="42"/>
  <c r="O67" i="42"/>
  <c r="L67" i="42"/>
  <c r="I67" i="42"/>
  <c r="F67" i="42"/>
  <c r="C67" i="42" s="1"/>
  <c r="O66" i="42"/>
  <c r="L66" i="42"/>
  <c r="I66" i="42"/>
  <c r="C66" i="42" s="1"/>
  <c r="F66" i="42"/>
  <c r="O65" i="42"/>
  <c r="L65" i="42"/>
  <c r="I65" i="42"/>
  <c r="F65" i="42"/>
  <c r="C65" i="42" s="1"/>
  <c r="O64" i="42"/>
  <c r="L64" i="42"/>
  <c r="I64" i="42"/>
  <c r="F64" i="42"/>
  <c r="C64" i="42"/>
  <c r="O63" i="42"/>
  <c r="L63" i="42"/>
  <c r="I63" i="42"/>
  <c r="F63" i="42"/>
  <c r="C63" i="42" s="1"/>
  <c r="O62" i="42"/>
  <c r="L62" i="42"/>
  <c r="I62" i="42"/>
  <c r="C62" i="42" s="1"/>
  <c r="F62" i="42"/>
  <c r="N61" i="42"/>
  <c r="M61" i="42"/>
  <c r="O61" i="42" s="1"/>
  <c r="K61" i="42"/>
  <c r="J61" i="42"/>
  <c r="L61" i="42" s="1"/>
  <c r="I61" i="42"/>
  <c r="H61" i="42"/>
  <c r="G61" i="42"/>
  <c r="F61" i="42"/>
  <c r="E61" i="42"/>
  <c r="D61" i="42"/>
  <c r="O60" i="42"/>
  <c r="L60" i="42"/>
  <c r="I60" i="42"/>
  <c r="F60" i="42"/>
  <c r="C60" i="42"/>
  <c r="O59" i="42"/>
  <c r="L59" i="42"/>
  <c r="I59" i="42"/>
  <c r="F59" i="42"/>
  <c r="C59" i="42" s="1"/>
  <c r="N58" i="42"/>
  <c r="M58" i="42"/>
  <c r="L58" i="42"/>
  <c r="K58" i="42"/>
  <c r="K57" i="42" s="1"/>
  <c r="K56" i="42" s="1"/>
  <c r="J58" i="42"/>
  <c r="I58" i="42"/>
  <c r="H58" i="42"/>
  <c r="G58" i="42"/>
  <c r="G57" i="42" s="1"/>
  <c r="I57" i="42" s="1"/>
  <c r="E58" i="42"/>
  <c r="D58" i="42"/>
  <c r="F58" i="42" s="1"/>
  <c r="N57" i="42"/>
  <c r="J57" i="42"/>
  <c r="L57" i="42" s="1"/>
  <c r="H57" i="42"/>
  <c r="H56" i="42" s="1"/>
  <c r="F57" i="42"/>
  <c r="E57" i="42"/>
  <c r="E56" i="42" s="1"/>
  <c r="D57" i="42"/>
  <c r="D56" i="42" s="1"/>
  <c r="N56" i="42"/>
  <c r="O50" i="42"/>
  <c r="C50" i="42" s="1"/>
  <c r="O49" i="42"/>
  <c r="C49" i="42"/>
  <c r="O48" i="42"/>
  <c r="C48" i="42" s="1"/>
  <c r="N48" i="42"/>
  <c r="M48" i="42"/>
  <c r="L47" i="42"/>
  <c r="I47" i="42"/>
  <c r="F47" i="42"/>
  <c r="C47" i="42" s="1"/>
  <c r="L46" i="42"/>
  <c r="K46" i="42"/>
  <c r="J46" i="42"/>
  <c r="H46" i="42"/>
  <c r="H24" i="42" s="1"/>
  <c r="G46" i="42"/>
  <c r="I46" i="42" s="1"/>
  <c r="E46" i="42"/>
  <c r="D46" i="42"/>
  <c r="F46" i="42" s="1"/>
  <c r="F45" i="42"/>
  <c r="C45" i="42" s="1"/>
  <c r="L44" i="42"/>
  <c r="C44" i="42" s="1"/>
  <c r="L43" i="42"/>
  <c r="C43" i="42" s="1"/>
  <c r="L42" i="42"/>
  <c r="C42" i="42" s="1"/>
  <c r="L41" i="42"/>
  <c r="C41" i="42" s="1"/>
  <c r="L40" i="42"/>
  <c r="C40" i="42" s="1"/>
  <c r="K40" i="42"/>
  <c r="J40" i="42"/>
  <c r="L39" i="42"/>
  <c r="C39" i="42" s="1"/>
  <c r="L38" i="42"/>
  <c r="C38" i="42" s="1"/>
  <c r="L37" i="42"/>
  <c r="C37" i="42" s="1"/>
  <c r="K37" i="42"/>
  <c r="J37" i="42"/>
  <c r="L36" i="42"/>
  <c r="C36" i="42" s="1"/>
  <c r="K35" i="42"/>
  <c r="J35" i="42"/>
  <c r="L35" i="42" s="1"/>
  <c r="C35" i="42" s="1"/>
  <c r="L34" i="42"/>
  <c r="C34" i="42" s="1"/>
  <c r="L33" i="42"/>
  <c r="C33" i="42" s="1"/>
  <c r="L32" i="42"/>
  <c r="C32" i="42" s="1"/>
  <c r="L31" i="42"/>
  <c r="C31" i="42" s="1"/>
  <c r="K31" i="42"/>
  <c r="J31" i="42"/>
  <c r="K30" i="42"/>
  <c r="F29" i="42"/>
  <c r="C29" i="42" s="1"/>
  <c r="I28" i="42"/>
  <c r="F28" i="42"/>
  <c r="C28" i="42"/>
  <c r="O27" i="42"/>
  <c r="L27" i="42"/>
  <c r="I27" i="42"/>
  <c r="F27" i="42"/>
  <c r="C27" i="42" s="1"/>
  <c r="O26" i="42"/>
  <c r="L26" i="42"/>
  <c r="I26" i="42"/>
  <c r="F26" i="42"/>
  <c r="C26" i="42" s="1"/>
  <c r="N25" i="42"/>
  <c r="N290" i="42" s="1"/>
  <c r="N289" i="42" s="1"/>
  <c r="M25" i="42"/>
  <c r="M290" i="42" s="1"/>
  <c r="K25" i="42"/>
  <c r="K290" i="42" s="1"/>
  <c r="K289" i="42" s="1"/>
  <c r="J25" i="42"/>
  <c r="J290" i="42" s="1"/>
  <c r="I25" i="42"/>
  <c r="H25" i="42"/>
  <c r="H290" i="42" s="1"/>
  <c r="H289" i="42" s="1"/>
  <c r="G25" i="42"/>
  <c r="G290" i="42" s="1"/>
  <c r="F25" i="42"/>
  <c r="E25" i="42"/>
  <c r="E290" i="42" s="1"/>
  <c r="E289" i="42" s="1"/>
  <c r="D25" i="42"/>
  <c r="D290" i="42" s="1"/>
  <c r="K24" i="42"/>
  <c r="G24" i="42"/>
  <c r="I24" i="42" s="1"/>
  <c r="O299" i="41"/>
  <c r="L299" i="41"/>
  <c r="I299" i="41"/>
  <c r="F299" i="41"/>
  <c r="C299" i="41" s="1"/>
  <c r="O298" i="41"/>
  <c r="L298" i="41"/>
  <c r="I298" i="41"/>
  <c r="F298" i="41"/>
  <c r="C298" i="41" s="1"/>
  <c r="O297" i="41"/>
  <c r="L297" i="41"/>
  <c r="I297" i="41"/>
  <c r="F297" i="41"/>
  <c r="C297" i="41" s="1"/>
  <c r="O296" i="41"/>
  <c r="L296" i="41"/>
  <c r="I296" i="41"/>
  <c r="F296" i="41"/>
  <c r="C296" i="41"/>
  <c r="O295" i="41"/>
  <c r="L295" i="41"/>
  <c r="I295" i="41"/>
  <c r="F295" i="41"/>
  <c r="C295" i="41" s="1"/>
  <c r="O294" i="41"/>
  <c r="L294" i="41"/>
  <c r="I294" i="41"/>
  <c r="F294" i="41"/>
  <c r="C294" i="41" s="1"/>
  <c r="O293" i="41"/>
  <c r="L293" i="41"/>
  <c r="I293" i="41"/>
  <c r="F293" i="41"/>
  <c r="C293" i="41" s="1"/>
  <c r="O292" i="41"/>
  <c r="L292" i="41"/>
  <c r="I292" i="41"/>
  <c r="F292" i="41"/>
  <c r="C292" i="41"/>
  <c r="O291" i="41"/>
  <c r="N291" i="41"/>
  <c r="M291" i="41"/>
  <c r="L291" i="41"/>
  <c r="K291" i="41"/>
  <c r="J291" i="41"/>
  <c r="H291" i="41"/>
  <c r="G291" i="41"/>
  <c r="I291" i="41" s="1"/>
  <c r="E291" i="41"/>
  <c r="D291" i="41"/>
  <c r="F291" i="41" s="1"/>
  <c r="O286" i="41"/>
  <c r="L286" i="41"/>
  <c r="I286" i="41"/>
  <c r="F286" i="41"/>
  <c r="C286" i="41" s="1"/>
  <c r="O285" i="41"/>
  <c r="L285" i="41"/>
  <c r="I285" i="41"/>
  <c r="F285" i="41"/>
  <c r="C285" i="41" s="1"/>
  <c r="O284" i="41"/>
  <c r="N284" i="41"/>
  <c r="M284" i="41"/>
  <c r="K284" i="41"/>
  <c r="J284" i="41"/>
  <c r="H284" i="41"/>
  <c r="G284" i="41"/>
  <c r="F284" i="41"/>
  <c r="E284" i="41"/>
  <c r="D284" i="41"/>
  <c r="O283" i="41"/>
  <c r="L283" i="41"/>
  <c r="I283" i="41"/>
  <c r="F283" i="41"/>
  <c r="C283" i="41" s="1"/>
  <c r="N282" i="41"/>
  <c r="M282" i="41"/>
  <c r="O282" i="41" s="1"/>
  <c r="K282" i="41"/>
  <c r="L282" i="41" s="1"/>
  <c r="J282" i="41"/>
  <c r="I282" i="41"/>
  <c r="H282" i="41"/>
  <c r="G282" i="41"/>
  <c r="E282" i="41"/>
  <c r="D282" i="41"/>
  <c r="F282" i="41" s="1"/>
  <c r="C282" i="41" s="1"/>
  <c r="O281" i="41"/>
  <c r="L281" i="41"/>
  <c r="I281" i="41"/>
  <c r="F281" i="41"/>
  <c r="C281" i="41" s="1"/>
  <c r="O280" i="41"/>
  <c r="O278" i="41" s="1"/>
  <c r="L280" i="41"/>
  <c r="I280" i="41"/>
  <c r="F280" i="41"/>
  <c r="C280" i="41"/>
  <c r="O279" i="41"/>
  <c r="L279" i="41"/>
  <c r="I279" i="41"/>
  <c r="F279" i="41"/>
  <c r="C279" i="41" s="1"/>
  <c r="N278" i="41"/>
  <c r="M278" i="41"/>
  <c r="K278" i="41"/>
  <c r="L278" i="41" s="1"/>
  <c r="J278" i="41"/>
  <c r="I278" i="41"/>
  <c r="H278" i="41"/>
  <c r="G278" i="41"/>
  <c r="E278" i="41"/>
  <c r="D278" i="41"/>
  <c r="F278" i="41" s="1"/>
  <c r="O277" i="41"/>
  <c r="L277" i="41"/>
  <c r="I277" i="41"/>
  <c r="F277" i="41"/>
  <c r="C277" i="41" s="1"/>
  <c r="O276" i="41"/>
  <c r="L276" i="41"/>
  <c r="I276" i="41"/>
  <c r="F276" i="41"/>
  <c r="C276" i="41"/>
  <c r="O275" i="41"/>
  <c r="L275" i="41"/>
  <c r="I275" i="41"/>
  <c r="F275" i="41"/>
  <c r="C275" i="41" s="1"/>
  <c r="N274" i="41"/>
  <c r="M274" i="41"/>
  <c r="O274" i="41" s="1"/>
  <c r="K274" i="41"/>
  <c r="L274" i="41" s="1"/>
  <c r="J274" i="41"/>
  <c r="I274" i="41"/>
  <c r="H274" i="41"/>
  <c r="G274" i="41"/>
  <c r="E274" i="41"/>
  <c r="E272" i="41" s="1"/>
  <c r="E271" i="41" s="1"/>
  <c r="D274" i="41"/>
  <c r="F274" i="41" s="1"/>
  <c r="C274" i="41" s="1"/>
  <c r="O273" i="41"/>
  <c r="L273" i="41"/>
  <c r="I273" i="41"/>
  <c r="F273" i="41"/>
  <c r="C273" i="41" s="1"/>
  <c r="N272" i="41"/>
  <c r="K272" i="41"/>
  <c r="K271" i="41" s="1"/>
  <c r="L271" i="41" s="1"/>
  <c r="J272" i="41"/>
  <c r="L272" i="41" s="1"/>
  <c r="H272" i="41"/>
  <c r="G272" i="41"/>
  <c r="G271" i="41" s="1"/>
  <c r="I271" i="41" s="1"/>
  <c r="D272" i="41"/>
  <c r="F272" i="41" s="1"/>
  <c r="N271" i="41"/>
  <c r="J271" i="41"/>
  <c r="H271" i="41"/>
  <c r="D271" i="41"/>
  <c r="O270" i="41"/>
  <c r="L270" i="41"/>
  <c r="I270" i="41"/>
  <c r="C270" i="41" s="1"/>
  <c r="F270" i="41"/>
  <c r="O269" i="41"/>
  <c r="L269" i="41"/>
  <c r="C269" i="41" s="1"/>
  <c r="I269" i="41"/>
  <c r="F269" i="41"/>
  <c r="O268" i="41"/>
  <c r="L268" i="41"/>
  <c r="I268" i="41"/>
  <c r="F268" i="41"/>
  <c r="C268" i="41"/>
  <c r="O267" i="41"/>
  <c r="L267" i="41"/>
  <c r="I267" i="41"/>
  <c r="F267" i="41"/>
  <c r="C267" i="41" s="1"/>
  <c r="N266" i="41"/>
  <c r="M266" i="41"/>
  <c r="O266" i="41" s="1"/>
  <c r="K266" i="41"/>
  <c r="J266" i="41"/>
  <c r="L266" i="41" s="1"/>
  <c r="I266" i="41"/>
  <c r="H266" i="41"/>
  <c r="G266" i="41"/>
  <c r="E266" i="41"/>
  <c r="D266" i="41"/>
  <c r="F266" i="41" s="1"/>
  <c r="C266" i="41" s="1"/>
  <c r="O265" i="41"/>
  <c r="L265" i="41"/>
  <c r="I265" i="41"/>
  <c r="C265" i="41" s="1"/>
  <c r="F265" i="41"/>
  <c r="O264" i="41"/>
  <c r="L264" i="41"/>
  <c r="I264" i="41"/>
  <c r="F264" i="41"/>
  <c r="C264" i="41"/>
  <c r="O263" i="41"/>
  <c r="L263" i="41"/>
  <c r="I263" i="41"/>
  <c r="F263" i="41"/>
  <c r="C263" i="41" s="1"/>
  <c r="N262" i="41"/>
  <c r="M262" i="41"/>
  <c r="K262" i="41"/>
  <c r="J262" i="41"/>
  <c r="L262" i="41" s="1"/>
  <c r="I262" i="41"/>
  <c r="H262" i="41"/>
  <c r="G262" i="41"/>
  <c r="E262" i="41"/>
  <c r="E261" i="41" s="1"/>
  <c r="D262" i="41"/>
  <c r="N261" i="41"/>
  <c r="K261" i="41"/>
  <c r="J261" i="41"/>
  <c r="L261" i="41" s="1"/>
  <c r="H261" i="41"/>
  <c r="G261" i="41"/>
  <c r="I261" i="41" s="1"/>
  <c r="F261" i="41"/>
  <c r="D261" i="41"/>
  <c r="O260" i="41"/>
  <c r="L260" i="41"/>
  <c r="I260" i="41"/>
  <c r="F260" i="41"/>
  <c r="C260" i="41"/>
  <c r="O259" i="41"/>
  <c r="L259" i="41"/>
  <c r="I259" i="41"/>
  <c r="F259" i="41"/>
  <c r="C259" i="41" s="1"/>
  <c r="O258" i="41"/>
  <c r="L258" i="41"/>
  <c r="I258" i="41"/>
  <c r="F258" i="41"/>
  <c r="O257" i="41"/>
  <c r="L257" i="41"/>
  <c r="C257" i="41" s="1"/>
  <c r="I257" i="41"/>
  <c r="F257" i="41"/>
  <c r="O256" i="41"/>
  <c r="L256" i="41"/>
  <c r="I256" i="41"/>
  <c r="F256" i="41"/>
  <c r="C256" i="41"/>
  <c r="N255" i="41"/>
  <c r="M255" i="41"/>
  <c r="O255" i="41" s="1"/>
  <c r="L255" i="41"/>
  <c r="K255" i="41"/>
  <c r="J255" i="41"/>
  <c r="H255" i="41"/>
  <c r="G255" i="41"/>
  <c r="E255" i="41"/>
  <c r="D255" i="41"/>
  <c r="N254" i="41"/>
  <c r="M254" i="41"/>
  <c r="O254" i="41" s="1"/>
  <c r="K254" i="41"/>
  <c r="J254" i="41"/>
  <c r="L254" i="41" s="1"/>
  <c r="G254" i="41"/>
  <c r="E254" i="41"/>
  <c r="O253" i="41"/>
  <c r="L253" i="41"/>
  <c r="C253" i="41" s="1"/>
  <c r="I253" i="41"/>
  <c r="F253" i="41"/>
  <c r="O252" i="41"/>
  <c r="L252" i="41"/>
  <c r="I252" i="41"/>
  <c r="F252" i="41"/>
  <c r="C252" i="41"/>
  <c r="O251" i="41"/>
  <c r="L251" i="41"/>
  <c r="I251" i="41"/>
  <c r="F251" i="41"/>
  <c r="C251" i="41" s="1"/>
  <c r="O250" i="41"/>
  <c r="L250" i="41"/>
  <c r="I250" i="41"/>
  <c r="F250" i="41"/>
  <c r="C250" i="41" s="1"/>
  <c r="N249" i="41"/>
  <c r="M249" i="41"/>
  <c r="K249" i="41"/>
  <c r="J249" i="41"/>
  <c r="L249" i="41" s="1"/>
  <c r="H249" i="41"/>
  <c r="G249" i="41"/>
  <c r="I249" i="41" s="1"/>
  <c r="F249" i="41"/>
  <c r="E249" i="41"/>
  <c r="D249" i="41"/>
  <c r="O248" i="41"/>
  <c r="L248" i="41"/>
  <c r="I248" i="41"/>
  <c r="F248" i="41"/>
  <c r="C248" i="41"/>
  <c r="O247" i="41"/>
  <c r="L247" i="41"/>
  <c r="I247" i="41"/>
  <c r="F247" i="41"/>
  <c r="C247" i="41" s="1"/>
  <c r="O246" i="41"/>
  <c r="L246" i="41"/>
  <c r="I246" i="41"/>
  <c r="F246" i="41"/>
  <c r="O245" i="41"/>
  <c r="L245" i="41"/>
  <c r="I245" i="41"/>
  <c r="F245" i="41"/>
  <c r="O244" i="41"/>
  <c r="L244" i="41"/>
  <c r="I244" i="41"/>
  <c r="F244" i="41"/>
  <c r="C244" i="41"/>
  <c r="O243" i="41"/>
  <c r="L243" i="41"/>
  <c r="I243" i="41"/>
  <c r="F243" i="41"/>
  <c r="C243" i="41" s="1"/>
  <c r="O242" i="41"/>
  <c r="L242" i="41"/>
  <c r="I242" i="41"/>
  <c r="F242" i="41"/>
  <c r="N241" i="41"/>
  <c r="N234" i="41" s="1"/>
  <c r="N233" i="41" s="1"/>
  <c r="M241" i="41"/>
  <c r="K241" i="41"/>
  <c r="J241" i="41"/>
  <c r="L241" i="41" s="1"/>
  <c r="H241" i="41"/>
  <c r="G241" i="41"/>
  <c r="I241" i="41" s="1"/>
  <c r="F241" i="41"/>
  <c r="E241" i="41"/>
  <c r="D241" i="41"/>
  <c r="O240" i="41"/>
  <c r="L240" i="41"/>
  <c r="I240" i="41"/>
  <c r="F240" i="41"/>
  <c r="C240" i="41"/>
  <c r="O239" i="41"/>
  <c r="L239" i="41"/>
  <c r="I239" i="41"/>
  <c r="F239" i="41"/>
  <c r="C239" i="41" s="1"/>
  <c r="N238" i="41"/>
  <c r="M238" i="41"/>
  <c r="O238" i="41" s="1"/>
  <c r="K238" i="41"/>
  <c r="J238" i="41"/>
  <c r="L238" i="41" s="1"/>
  <c r="I238" i="41"/>
  <c r="H238" i="41"/>
  <c r="G238" i="41"/>
  <c r="E238" i="41"/>
  <c r="D238" i="41"/>
  <c r="O237" i="41"/>
  <c r="L237" i="41"/>
  <c r="I237" i="41"/>
  <c r="F237" i="41"/>
  <c r="O236" i="41"/>
  <c r="N236" i="41"/>
  <c r="M236" i="41"/>
  <c r="K236" i="41"/>
  <c r="J236" i="41"/>
  <c r="H236" i="41"/>
  <c r="G236" i="41"/>
  <c r="I236" i="41" s="1"/>
  <c r="E236" i="41"/>
  <c r="D236" i="41"/>
  <c r="F236" i="41" s="1"/>
  <c r="O235" i="41"/>
  <c r="L235" i="41"/>
  <c r="I235" i="41"/>
  <c r="F235" i="41"/>
  <c r="C235" i="41" s="1"/>
  <c r="M234" i="41"/>
  <c r="K234" i="41"/>
  <c r="K233" i="41" s="1"/>
  <c r="H234" i="41"/>
  <c r="G234" i="41"/>
  <c r="G233" i="41" s="1"/>
  <c r="F234" i="41"/>
  <c r="E234" i="41"/>
  <c r="E233" i="41" s="1"/>
  <c r="D234" i="41"/>
  <c r="O232" i="41"/>
  <c r="L232" i="41"/>
  <c r="I232" i="41"/>
  <c r="F232" i="41"/>
  <c r="C232" i="41" s="1"/>
  <c r="O231" i="41"/>
  <c r="L231" i="41"/>
  <c r="I231" i="41"/>
  <c r="F231" i="41"/>
  <c r="C231" i="41" s="1"/>
  <c r="O230" i="41"/>
  <c r="N230" i="41"/>
  <c r="M230" i="41"/>
  <c r="K230" i="41"/>
  <c r="J230" i="41"/>
  <c r="L230" i="41" s="1"/>
  <c r="H230" i="41"/>
  <c r="G230" i="41"/>
  <c r="I230" i="41" s="1"/>
  <c r="C230" i="41" s="1"/>
  <c r="F230" i="41"/>
  <c r="E230" i="41"/>
  <c r="D230" i="41"/>
  <c r="O229" i="41"/>
  <c r="L229" i="41"/>
  <c r="I229" i="41"/>
  <c r="F229" i="41"/>
  <c r="C229" i="41" s="1"/>
  <c r="O228" i="41"/>
  <c r="L228" i="41"/>
  <c r="I228" i="41"/>
  <c r="F228" i="41"/>
  <c r="C228" i="41" s="1"/>
  <c r="O227" i="41"/>
  <c r="L227" i="41"/>
  <c r="I227" i="41"/>
  <c r="F227" i="41"/>
  <c r="C227" i="41" s="1"/>
  <c r="O226" i="41"/>
  <c r="L226" i="41"/>
  <c r="I226" i="41"/>
  <c r="F226" i="41"/>
  <c r="C226" i="41"/>
  <c r="O225" i="41"/>
  <c r="L225" i="41"/>
  <c r="I225" i="41"/>
  <c r="F225" i="41"/>
  <c r="C225" i="41" s="1"/>
  <c r="O224" i="41"/>
  <c r="L224" i="41"/>
  <c r="I224" i="41"/>
  <c r="F224" i="41"/>
  <c r="C224" i="41" s="1"/>
  <c r="O223" i="41"/>
  <c r="L223" i="41"/>
  <c r="I223" i="41"/>
  <c r="F223" i="41"/>
  <c r="C223" i="41" s="1"/>
  <c r="O222" i="41"/>
  <c r="L222" i="41"/>
  <c r="I222" i="41"/>
  <c r="F222" i="41"/>
  <c r="C222" i="41"/>
  <c r="O221" i="41"/>
  <c r="L221" i="41"/>
  <c r="I221" i="41"/>
  <c r="F221" i="41"/>
  <c r="C221" i="41" s="1"/>
  <c r="D221" i="41"/>
  <c r="D219" i="41" s="1"/>
  <c r="F219" i="41" s="1"/>
  <c r="O220" i="41"/>
  <c r="L220" i="41"/>
  <c r="I220" i="41"/>
  <c r="F220" i="41"/>
  <c r="C220" i="41" s="1"/>
  <c r="O219" i="41"/>
  <c r="N219" i="41"/>
  <c r="M219" i="41"/>
  <c r="K219" i="41"/>
  <c r="J219" i="41"/>
  <c r="L219" i="41" s="1"/>
  <c r="H219" i="41"/>
  <c r="G219" i="41"/>
  <c r="I219" i="41" s="1"/>
  <c r="E219" i="41"/>
  <c r="O218" i="41"/>
  <c r="L218" i="41"/>
  <c r="I218" i="41"/>
  <c r="F218" i="41"/>
  <c r="C218" i="41" s="1"/>
  <c r="O217" i="41"/>
  <c r="L217" i="41"/>
  <c r="I217" i="41"/>
  <c r="F217" i="41"/>
  <c r="C217" i="41" s="1"/>
  <c r="O216" i="41"/>
  <c r="L216" i="41"/>
  <c r="I216" i="41"/>
  <c r="F216" i="41"/>
  <c r="C216" i="41" s="1"/>
  <c r="O215" i="41"/>
  <c r="L215" i="41"/>
  <c r="I215" i="41"/>
  <c r="F215" i="41"/>
  <c r="C215" i="41"/>
  <c r="O214" i="41"/>
  <c r="L214" i="41"/>
  <c r="I214" i="41"/>
  <c r="F214" i="41"/>
  <c r="C214" i="41" s="1"/>
  <c r="O213" i="41"/>
  <c r="L213" i="41"/>
  <c r="I213" i="41"/>
  <c r="F213" i="41"/>
  <c r="C213" i="41" s="1"/>
  <c r="O212" i="41"/>
  <c r="L212" i="41"/>
  <c r="I212" i="41"/>
  <c r="F212" i="41"/>
  <c r="C212" i="41" s="1"/>
  <c r="O211" i="41"/>
  <c r="L211" i="41"/>
  <c r="I211" i="41"/>
  <c r="F211" i="41"/>
  <c r="C211" i="41"/>
  <c r="O210" i="41"/>
  <c r="L210" i="41"/>
  <c r="I210" i="41"/>
  <c r="F210" i="41"/>
  <c r="C210" i="41" s="1"/>
  <c r="O209" i="41"/>
  <c r="L209" i="41"/>
  <c r="I209" i="41"/>
  <c r="F209" i="41"/>
  <c r="C209" i="41" s="1"/>
  <c r="N208" i="41"/>
  <c r="N207" i="41" s="1"/>
  <c r="M208" i="41"/>
  <c r="M207" i="41" s="1"/>
  <c r="K208" i="41"/>
  <c r="J208" i="41"/>
  <c r="J207" i="41" s="1"/>
  <c r="L207" i="41" s="1"/>
  <c r="I208" i="41"/>
  <c r="H208" i="41"/>
  <c r="H207" i="41" s="1"/>
  <c r="G208" i="41"/>
  <c r="F208" i="41"/>
  <c r="E208" i="41"/>
  <c r="E207" i="41" s="1"/>
  <c r="D208" i="41"/>
  <c r="D207" i="41" s="1"/>
  <c r="K207" i="41"/>
  <c r="G207" i="41"/>
  <c r="I207" i="41" s="1"/>
  <c r="O206" i="41"/>
  <c r="L206" i="41"/>
  <c r="I206" i="41"/>
  <c r="F206" i="41"/>
  <c r="C206" i="41" s="1"/>
  <c r="O205" i="41"/>
  <c r="L205" i="41"/>
  <c r="I205" i="41"/>
  <c r="F205" i="41"/>
  <c r="C205" i="41" s="1"/>
  <c r="O204" i="41"/>
  <c r="L204" i="41"/>
  <c r="I204" i="41"/>
  <c r="F204" i="41"/>
  <c r="C204" i="41" s="1"/>
  <c r="O203" i="41"/>
  <c r="L203" i="41"/>
  <c r="I203" i="41"/>
  <c r="F203" i="41"/>
  <c r="C203" i="41"/>
  <c r="O202" i="41"/>
  <c r="L202" i="41"/>
  <c r="I202" i="41"/>
  <c r="F202" i="41"/>
  <c r="C202" i="41" s="1"/>
  <c r="N201" i="41"/>
  <c r="M201" i="41"/>
  <c r="O201" i="41" s="1"/>
  <c r="L201" i="41"/>
  <c r="K201" i="41"/>
  <c r="J201" i="41"/>
  <c r="I201" i="41"/>
  <c r="H201" i="41"/>
  <c r="H199" i="41" s="1"/>
  <c r="H198" i="41" s="1"/>
  <c r="G201" i="41"/>
  <c r="E201" i="41"/>
  <c r="E199" i="41" s="1"/>
  <c r="D201" i="41"/>
  <c r="F201" i="41" s="1"/>
  <c r="C201" i="41" s="1"/>
  <c r="O200" i="41"/>
  <c r="L200" i="41"/>
  <c r="I200" i="41"/>
  <c r="F200" i="41"/>
  <c r="C200" i="41" s="1"/>
  <c r="N199" i="41"/>
  <c r="N198" i="41" s="1"/>
  <c r="N197" i="41" s="1"/>
  <c r="K199" i="41"/>
  <c r="K198" i="41" s="1"/>
  <c r="J199" i="41"/>
  <c r="G199" i="41"/>
  <c r="G198" i="41" s="1"/>
  <c r="O196" i="41"/>
  <c r="L196" i="41"/>
  <c r="I196" i="41"/>
  <c r="F196" i="41"/>
  <c r="C196" i="41" s="1"/>
  <c r="O195" i="41"/>
  <c r="N195" i="41"/>
  <c r="N194" i="41" s="1"/>
  <c r="M195" i="41"/>
  <c r="M194" i="41" s="1"/>
  <c r="K195" i="41"/>
  <c r="K194" i="41" s="1"/>
  <c r="J195" i="41"/>
  <c r="J194" i="41" s="1"/>
  <c r="L194" i="41" s="1"/>
  <c r="H195" i="41"/>
  <c r="G195" i="41"/>
  <c r="G194" i="41" s="1"/>
  <c r="I194" i="41" s="1"/>
  <c r="F195" i="41"/>
  <c r="E195" i="41"/>
  <c r="E194" i="41" s="1"/>
  <c r="D195" i="41"/>
  <c r="H194" i="41"/>
  <c r="D194" i="41"/>
  <c r="O193" i="41"/>
  <c r="L193" i="41"/>
  <c r="I193" i="41"/>
  <c r="F193" i="41"/>
  <c r="C193" i="41" s="1"/>
  <c r="O192" i="41"/>
  <c r="L192" i="41"/>
  <c r="I192" i="41"/>
  <c r="F192" i="41"/>
  <c r="C192" i="41" s="1"/>
  <c r="O191" i="41"/>
  <c r="N191" i="41"/>
  <c r="N190" i="41" s="1"/>
  <c r="M191" i="41"/>
  <c r="M190" i="41" s="1"/>
  <c r="K191" i="41"/>
  <c r="K190" i="41" s="1"/>
  <c r="J191" i="41"/>
  <c r="J190" i="41" s="1"/>
  <c r="L190" i="41" s="1"/>
  <c r="H191" i="41"/>
  <c r="G191" i="41"/>
  <c r="G190" i="41" s="1"/>
  <c r="I190" i="41" s="1"/>
  <c r="F191" i="41"/>
  <c r="E191" i="41"/>
  <c r="E190" i="41" s="1"/>
  <c r="D191" i="41"/>
  <c r="H190" i="41"/>
  <c r="D190" i="41"/>
  <c r="O189" i="41"/>
  <c r="L189" i="41"/>
  <c r="I189" i="41"/>
  <c r="F189" i="41"/>
  <c r="C189" i="41" s="1"/>
  <c r="O188" i="41"/>
  <c r="L188" i="41"/>
  <c r="I188" i="41"/>
  <c r="F188" i="41"/>
  <c r="C188" i="41" s="1"/>
  <c r="O187" i="41"/>
  <c r="N187" i="41"/>
  <c r="M187" i="41"/>
  <c r="K187" i="41"/>
  <c r="J187" i="41"/>
  <c r="L187" i="41" s="1"/>
  <c r="C187" i="41" s="1"/>
  <c r="H187" i="41"/>
  <c r="G187" i="41"/>
  <c r="I187" i="41" s="1"/>
  <c r="F187" i="41"/>
  <c r="E187" i="41"/>
  <c r="D187" i="41"/>
  <c r="O186" i="41"/>
  <c r="L186" i="41"/>
  <c r="I186" i="41"/>
  <c r="F186" i="41"/>
  <c r="C186" i="41" s="1"/>
  <c r="O185" i="41"/>
  <c r="L185" i="41"/>
  <c r="I185" i="41"/>
  <c r="F185" i="41"/>
  <c r="O184" i="41"/>
  <c r="L184" i="41"/>
  <c r="I184" i="41"/>
  <c r="F184" i="41"/>
  <c r="O183" i="41"/>
  <c r="L183" i="41"/>
  <c r="I183" i="41"/>
  <c r="F183" i="41"/>
  <c r="C183" i="41"/>
  <c r="O182" i="41"/>
  <c r="N182" i="41"/>
  <c r="M182" i="41"/>
  <c r="L182" i="41"/>
  <c r="K182" i="41"/>
  <c r="J182" i="41"/>
  <c r="H182" i="41"/>
  <c r="G182" i="41"/>
  <c r="E182" i="41"/>
  <c r="D182" i="41"/>
  <c r="F182" i="41" s="1"/>
  <c r="O181" i="41"/>
  <c r="L181" i="41"/>
  <c r="I181" i="41"/>
  <c r="F181" i="41"/>
  <c r="O180" i="41"/>
  <c r="L180" i="41"/>
  <c r="I180" i="41"/>
  <c r="F180" i="41"/>
  <c r="C180" i="41" s="1"/>
  <c r="O179" i="41"/>
  <c r="L179" i="41"/>
  <c r="I179" i="41"/>
  <c r="F179" i="41"/>
  <c r="C179" i="41"/>
  <c r="O178" i="41"/>
  <c r="N178" i="41"/>
  <c r="M178" i="41"/>
  <c r="L178" i="41"/>
  <c r="K178" i="41"/>
  <c r="K177" i="41" s="1"/>
  <c r="J178" i="41"/>
  <c r="H178" i="41"/>
  <c r="H177" i="41" s="1"/>
  <c r="H176" i="41" s="1"/>
  <c r="G178" i="41"/>
  <c r="G177" i="41" s="1"/>
  <c r="G176" i="41" s="1"/>
  <c r="E178" i="41"/>
  <c r="D178" i="41"/>
  <c r="N177" i="41"/>
  <c r="M177" i="41"/>
  <c r="J177" i="41"/>
  <c r="I177" i="41"/>
  <c r="E177" i="41"/>
  <c r="E176" i="41" s="1"/>
  <c r="N176" i="41"/>
  <c r="J176" i="41"/>
  <c r="O175" i="41"/>
  <c r="L175" i="41"/>
  <c r="I175" i="41"/>
  <c r="F175" i="41"/>
  <c r="C175" i="41"/>
  <c r="O174" i="41"/>
  <c r="L174" i="41"/>
  <c r="I174" i="41"/>
  <c r="F174" i="41"/>
  <c r="C174" i="41" s="1"/>
  <c r="O173" i="41"/>
  <c r="L173" i="41"/>
  <c r="I173" i="41"/>
  <c r="F173" i="41"/>
  <c r="O172" i="41"/>
  <c r="L172" i="41"/>
  <c r="I172" i="41"/>
  <c r="C172" i="41" s="1"/>
  <c r="F172" i="41"/>
  <c r="O171" i="41"/>
  <c r="L171" i="41"/>
  <c r="I171" i="41"/>
  <c r="F171" i="41"/>
  <c r="C171" i="41"/>
  <c r="O170" i="41"/>
  <c r="L170" i="41"/>
  <c r="I170" i="41"/>
  <c r="F170" i="41"/>
  <c r="C170" i="41" s="1"/>
  <c r="N169" i="41"/>
  <c r="M169" i="41"/>
  <c r="K169" i="41"/>
  <c r="J169" i="41"/>
  <c r="L169" i="41" s="1"/>
  <c r="I169" i="41"/>
  <c r="H169" i="41"/>
  <c r="G169" i="41"/>
  <c r="E169" i="41"/>
  <c r="E168" i="41" s="1"/>
  <c r="D169" i="41"/>
  <c r="N168" i="41"/>
  <c r="K168" i="41"/>
  <c r="J168" i="41"/>
  <c r="L168" i="41" s="1"/>
  <c r="H168" i="41"/>
  <c r="G168" i="41"/>
  <c r="I168" i="41" s="1"/>
  <c r="F168" i="41"/>
  <c r="D168" i="41"/>
  <c r="O167" i="41"/>
  <c r="L167" i="41"/>
  <c r="I167" i="41"/>
  <c r="F167" i="41"/>
  <c r="C167" i="41"/>
  <c r="O166" i="41"/>
  <c r="L166" i="41"/>
  <c r="I166" i="41"/>
  <c r="F166" i="41"/>
  <c r="C166" i="41" s="1"/>
  <c r="O165" i="41"/>
  <c r="L165" i="41"/>
  <c r="I165" i="41"/>
  <c r="C165" i="41" s="1"/>
  <c r="F165" i="41"/>
  <c r="O164" i="41"/>
  <c r="L164" i="41"/>
  <c r="I164" i="41"/>
  <c r="F164" i="41"/>
  <c r="O163" i="41"/>
  <c r="N163" i="41"/>
  <c r="M163" i="41"/>
  <c r="K163" i="41"/>
  <c r="L163" i="41" s="1"/>
  <c r="J163" i="41"/>
  <c r="H163" i="41"/>
  <c r="G163" i="41"/>
  <c r="I163" i="41" s="1"/>
  <c r="E163" i="41"/>
  <c r="D163" i="41"/>
  <c r="F163" i="41" s="1"/>
  <c r="C163" i="41" s="1"/>
  <c r="O162" i="41"/>
  <c r="L162" i="41"/>
  <c r="I162" i="41"/>
  <c r="F162" i="41"/>
  <c r="C162" i="41" s="1"/>
  <c r="O161" i="41"/>
  <c r="L161" i="41"/>
  <c r="I161" i="41"/>
  <c r="C161" i="41" s="1"/>
  <c r="F161" i="41"/>
  <c r="O160" i="41"/>
  <c r="L160" i="41"/>
  <c r="I160" i="41"/>
  <c r="F160" i="41"/>
  <c r="C160" i="41" s="1"/>
  <c r="O159" i="41"/>
  <c r="L159" i="41"/>
  <c r="I159" i="41"/>
  <c r="F159" i="41"/>
  <c r="C159" i="41"/>
  <c r="O158" i="41"/>
  <c r="L158" i="41"/>
  <c r="I158" i="41"/>
  <c r="F158" i="41"/>
  <c r="C158" i="41" s="1"/>
  <c r="O157" i="41"/>
  <c r="L157" i="41"/>
  <c r="I157" i="41"/>
  <c r="C157" i="41" s="1"/>
  <c r="F157" i="41"/>
  <c r="O156" i="41"/>
  <c r="L156" i="41"/>
  <c r="I156" i="41"/>
  <c r="F156" i="41"/>
  <c r="O155" i="41"/>
  <c r="L155" i="41"/>
  <c r="I155" i="41"/>
  <c r="F155" i="41"/>
  <c r="C155" i="41"/>
  <c r="N154" i="41"/>
  <c r="M154" i="41"/>
  <c r="O154" i="41" s="1"/>
  <c r="L154" i="41"/>
  <c r="K154" i="41"/>
  <c r="J154" i="41"/>
  <c r="H154" i="41"/>
  <c r="G154" i="41"/>
  <c r="E154" i="41"/>
  <c r="D154" i="41"/>
  <c r="F154" i="41" s="1"/>
  <c r="O153" i="41"/>
  <c r="L153" i="41"/>
  <c r="I153" i="41"/>
  <c r="C153" i="41" s="1"/>
  <c r="F153" i="41"/>
  <c r="O152" i="41"/>
  <c r="L152" i="41"/>
  <c r="I152" i="41"/>
  <c r="F152" i="41"/>
  <c r="C152" i="41" s="1"/>
  <c r="O151" i="41"/>
  <c r="L151" i="41"/>
  <c r="I151" i="41"/>
  <c r="F151" i="41"/>
  <c r="C151" i="41"/>
  <c r="O150" i="41"/>
  <c r="L150" i="41"/>
  <c r="I150" i="41"/>
  <c r="F150" i="41"/>
  <c r="C150" i="41" s="1"/>
  <c r="O149" i="41"/>
  <c r="L149" i="41"/>
  <c r="I149" i="41"/>
  <c r="C149" i="41" s="1"/>
  <c r="F149" i="41"/>
  <c r="O148" i="41"/>
  <c r="L148" i="41"/>
  <c r="C148" i="41" s="1"/>
  <c r="I148" i="41"/>
  <c r="F148" i="41"/>
  <c r="O147" i="41"/>
  <c r="N147" i="41"/>
  <c r="M147" i="41"/>
  <c r="K147" i="41"/>
  <c r="L147" i="41" s="1"/>
  <c r="J147" i="41"/>
  <c r="H147" i="41"/>
  <c r="G147" i="41"/>
  <c r="I147" i="41" s="1"/>
  <c r="E147" i="41"/>
  <c r="D147" i="41"/>
  <c r="F147" i="41" s="1"/>
  <c r="C147" i="41" s="1"/>
  <c r="O146" i="41"/>
  <c r="L146" i="41"/>
  <c r="I146" i="41"/>
  <c r="F146" i="41"/>
  <c r="C146" i="41" s="1"/>
  <c r="O145" i="41"/>
  <c r="L145" i="41"/>
  <c r="I145" i="41"/>
  <c r="C145" i="41" s="1"/>
  <c r="F145" i="41"/>
  <c r="N144" i="41"/>
  <c r="O144" i="41" s="1"/>
  <c r="M144" i="41"/>
  <c r="K144" i="41"/>
  <c r="J144" i="41"/>
  <c r="L144" i="41" s="1"/>
  <c r="H144" i="41"/>
  <c r="G144" i="41"/>
  <c r="I144" i="41" s="1"/>
  <c r="F144" i="41"/>
  <c r="E144" i="41"/>
  <c r="D144" i="41"/>
  <c r="O143" i="41"/>
  <c r="L143" i="41"/>
  <c r="I143" i="41"/>
  <c r="F143" i="41"/>
  <c r="C143" i="41"/>
  <c r="O142" i="41"/>
  <c r="L142" i="41"/>
  <c r="I142" i="41"/>
  <c r="F142" i="41"/>
  <c r="C142" i="41" s="1"/>
  <c r="O141" i="41"/>
  <c r="L141" i="41"/>
  <c r="I141" i="41"/>
  <c r="C141" i="41" s="1"/>
  <c r="F141" i="41"/>
  <c r="O140" i="41"/>
  <c r="L140" i="41"/>
  <c r="I140" i="41"/>
  <c r="F140" i="41"/>
  <c r="C140" i="41" s="1"/>
  <c r="O139" i="41"/>
  <c r="N139" i="41"/>
  <c r="M139" i="41"/>
  <c r="K139" i="41"/>
  <c r="L139" i="41" s="1"/>
  <c r="J139" i="41"/>
  <c r="H139" i="41"/>
  <c r="G139" i="41"/>
  <c r="I139" i="41" s="1"/>
  <c r="E139" i="41"/>
  <c r="D139" i="41"/>
  <c r="F139" i="41" s="1"/>
  <c r="C139" i="41" s="1"/>
  <c r="O138" i="41"/>
  <c r="L138" i="41"/>
  <c r="I138" i="41"/>
  <c r="F138" i="41"/>
  <c r="C138" i="41" s="1"/>
  <c r="O137" i="41"/>
  <c r="L137" i="41"/>
  <c r="I137" i="41"/>
  <c r="C137" i="41" s="1"/>
  <c r="F137" i="41"/>
  <c r="O136" i="41"/>
  <c r="L136" i="41"/>
  <c r="C136" i="41" s="1"/>
  <c r="I136" i="41"/>
  <c r="F136" i="41"/>
  <c r="O135" i="41"/>
  <c r="L135" i="41"/>
  <c r="I135" i="41"/>
  <c r="F135" i="41"/>
  <c r="C135" i="41"/>
  <c r="N134" i="41"/>
  <c r="M134" i="41"/>
  <c r="O134" i="41" s="1"/>
  <c r="L134" i="41"/>
  <c r="K134" i="41"/>
  <c r="J134" i="41"/>
  <c r="H134" i="41"/>
  <c r="I134" i="41" s="1"/>
  <c r="G134" i="41"/>
  <c r="E134" i="41"/>
  <c r="D134" i="41"/>
  <c r="F134" i="41" s="1"/>
  <c r="C134" i="41" s="1"/>
  <c r="M133" i="41"/>
  <c r="K133" i="41"/>
  <c r="J133" i="41"/>
  <c r="H133" i="41"/>
  <c r="E133" i="41"/>
  <c r="D133" i="41"/>
  <c r="F133" i="41" s="1"/>
  <c r="O132" i="41"/>
  <c r="L132" i="41"/>
  <c r="I132" i="41"/>
  <c r="F132" i="41"/>
  <c r="C132" i="41" s="1"/>
  <c r="N131" i="41"/>
  <c r="M131" i="41"/>
  <c r="O131" i="41" s="1"/>
  <c r="K131" i="41"/>
  <c r="J131" i="41"/>
  <c r="L131" i="41" s="1"/>
  <c r="I131" i="41"/>
  <c r="H131" i="41"/>
  <c r="G131" i="41"/>
  <c r="F131" i="41"/>
  <c r="C131" i="41" s="1"/>
  <c r="E131" i="41"/>
  <c r="D131" i="41"/>
  <c r="O130" i="41"/>
  <c r="L130" i="41"/>
  <c r="I130" i="41"/>
  <c r="F130" i="41"/>
  <c r="C130" i="41"/>
  <c r="O129" i="41"/>
  <c r="L129" i="41"/>
  <c r="I129" i="41"/>
  <c r="F129" i="41"/>
  <c r="C129" i="41" s="1"/>
  <c r="O128" i="41"/>
  <c r="L128" i="41"/>
  <c r="I128" i="41"/>
  <c r="F128" i="41"/>
  <c r="C128" i="41" s="1"/>
  <c r="O127" i="41"/>
  <c r="L127" i="41"/>
  <c r="I127" i="41"/>
  <c r="F127" i="41"/>
  <c r="C127" i="41" s="1"/>
  <c r="O126" i="41"/>
  <c r="L126" i="41"/>
  <c r="I126" i="41"/>
  <c r="F126" i="41"/>
  <c r="C126" i="41"/>
  <c r="O125" i="41"/>
  <c r="N125" i="41"/>
  <c r="M125" i="41"/>
  <c r="L125" i="41"/>
  <c r="K125" i="41"/>
  <c r="J125" i="41"/>
  <c r="H125" i="41"/>
  <c r="G125" i="41"/>
  <c r="I125" i="41" s="1"/>
  <c r="E125" i="41"/>
  <c r="D125" i="41"/>
  <c r="F125" i="41" s="1"/>
  <c r="O124" i="41"/>
  <c r="L124" i="41"/>
  <c r="I124" i="41"/>
  <c r="F124" i="41"/>
  <c r="C124" i="41" s="1"/>
  <c r="O123" i="41"/>
  <c r="L123" i="41"/>
  <c r="I123" i="41"/>
  <c r="F123" i="41"/>
  <c r="C123" i="41" s="1"/>
  <c r="O122" i="41"/>
  <c r="L122" i="41"/>
  <c r="I122" i="41"/>
  <c r="F122" i="41"/>
  <c r="C122" i="41"/>
  <c r="O121" i="41"/>
  <c r="L121" i="41"/>
  <c r="I121" i="41"/>
  <c r="F121" i="41"/>
  <c r="C121" i="41" s="1"/>
  <c r="O120" i="41"/>
  <c r="L120" i="41"/>
  <c r="I120" i="41"/>
  <c r="F120" i="41"/>
  <c r="C120" i="41" s="1"/>
  <c r="N119" i="41"/>
  <c r="M119" i="41"/>
  <c r="O119" i="41" s="1"/>
  <c r="K119" i="41"/>
  <c r="J119" i="41"/>
  <c r="L119" i="41" s="1"/>
  <c r="I119" i="41"/>
  <c r="H119" i="41"/>
  <c r="G119" i="41"/>
  <c r="F119" i="41"/>
  <c r="C119" i="41" s="1"/>
  <c r="E119" i="41"/>
  <c r="D119" i="41"/>
  <c r="O118" i="41"/>
  <c r="L118" i="41"/>
  <c r="I118" i="41"/>
  <c r="F118" i="41"/>
  <c r="C118" i="41"/>
  <c r="O117" i="41"/>
  <c r="L117" i="41"/>
  <c r="I117" i="41"/>
  <c r="F117" i="41"/>
  <c r="C117" i="41" s="1"/>
  <c r="O116" i="41"/>
  <c r="L116" i="41"/>
  <c r="I116" i="41"/>
  <c r="F116" i="41"/>
  <c r="C116" i="41" s="1"/>
  <c r="N115" i="41"/>
  <c r="M115" i="41"/>
  <c r="O115" i="41" s="1"/>
  <c r="K115" i="41"/>
  <c r="J115" i="41"/>
  <c r="L115" i="41" s="1"/>
  <c r="I115" i="41"/>
  <c r="H115" i="41"/>
  <c r="G115" i="41"/>
  <c r="F115" i="41"/>
  <c r="E115" i="41"/>
  <c r="D115" i="41"/>
  <c r="O114" i="41"/>
  <c r="L114" i="41"/>
  <c r="I114" i="41"/>
  <c r="F114" i="41"/>
  <c r="C114" i="41"/>
  <c r="O113" i="41"/>
  <c r="L113" i="41"/>
  <c r="I113" i="41"/>
  <c r="F113" i="41"/>
  <c r="C113" i="41" s="1"/>
  <c r="O112" i="41"/>
  <c r="L112" i="41"/>
  <c r="I112" i="41"/>
  <c r="F112" i="41"/>
  <c r="C112" i="41" s="1"/>
  <c r="O111" i="41"/>
  <c r="L111" i="41"/>
  <c r="I111" i="41"/>
  <c r="F111" i="41"/>
  <c r="C111" i="41" s="1"/>
  <c r="O110" i="41"/>
  <c r="L110" i="41"/>
  <c r="I110" i="41"/>
  <c r="F110" i="41"/>
  <c r="C110" i="41"/>
  <c r="O109" i="41"/>
  <c r="L109" i="41"/>
  <c r="I109" i="41"/>
  <c r="F109" i="41"/>
  <c r="C109" i="41" s="1"/>
  <c r="O108" i="41"/>
  <c r="L108" i="41"/>
  <c r="I108" i="41"/>
  <c r="F108" i="41"/>
  <c r="C108" i="41" s="1"/>
  <c r="O107" i="41"/>
  <c r="L107" i="41"/>
  <c r="I107" i="41"/>
  <c r="F107" i="41"/>
  <c r="C107" i="41" s="1"/>
  <c r="O106" i="41"/>
  <c r="N106" i="41"/>
  <c r="M106" i="41"/>
  <c r="K106" i="41"/>
  <c r="J106" i="41"/>
  <c r="L106" i="41" s="1"/>
  <c r="H106" i="41"/>
  <c r="G106" i="41"/>
  <c r="I106" i="41" s="1"/>
  <c r="F106" i="41"/>
  <c r="E106" i="41"/>
  <c r="D106" i="41"/>
  <c r="O105" i="41"/>
  <c r="L105" i="41"/>
  <c r="I105" i="41"/>
  <c r="F105" i="41"/>
  <c r="C105" i="41" s="1"/>
  <c r="O104" i="41"/>
  <c r="L104" i="41"/>
  <c r="I104" i="41"/>
  <c r="F104" i="41"/>
  <c r="C104" i="41" s="1"/>
  <c r="O103" i="41"/>
  <c r="L103" i="41"/>
  <c r="I103" i="41"/>
  <c r="C103" i="41" s="1"/>
  <c r="F103" i="41"/>
  <c r="O102" i="41"/>
  <c r="L102" i="41"/>
  <c r="I102" i="41"/>
  <c r="F102" i="41"/>
  <c r="C102" i="41"/>
  <c r="O101" i="41"/>
  <c r="L101" i="41"/>
  <c r="I101" i="41"/>
  <c r="F101" i="41"/>
  <c r="C101" i="41" s="1"/>
  <c r="O100" i="41"/>
  <c r="L100" i="41"/>
  <c r="I100" i="41"/>
  <c r="F100" i="41"/>
  <c r="C100" i="41" s="1"/>
  <c r="O99" i="41"/>
  <c r="L99" i="41"/>
  <c r="I99" i="41"/>
  <c r="C99" i="41" s="1"/>
  <c r="F99" i="41"/>
  <c r="O98" i="41"/>
  <c r="N98" i="41"/>
  <c r="M98" i="41"/>
  <c r="K98" i="41"/>
  <c r="J98" i="41"/>
  <c r="L98" i="41" s="1"/>
  <c r="H98" i="41"/>
  <c r="G98" i="41"/>
  <c r="I98" i="41" s="1"/>
  <c r="C98" i="41" s="1"/>
  <c r="F98" i="41"/>
  <c r="E98" i="41"/>
  <c r="D98" i="41"/>
  <c r="O97" i="41"/>
  <c r="L97" i="41"/>
  <c r="I97" i="41"/>
  <c r="F97" i="41"/>
  <c r="C97" i="41" s="1"/>
  <c r="O96" i="41"/>
  <c r="L96" i="41"/>
  <c r="I96" i="41"/>
  <c r="F96" i="41"/>
  <c r="C96" i="41" s="1"/>
  <c r="O95" i="41"/>
  <c r="L95" i="41"/>
  <c r="I95" i="41"/>
  <c r="C95" i="41" s="1"/>
  <c r="F95" i="41"/>
  <c r="O94" i="41"/>
  <c r="L94" i="41"/>
  <c r="I94" i="41"/>
  <c r="F94" i="41"/>
  <c r="C94" i="41"/>
  <c r="O93" i="41"/>
  <c r="L93" i="41"/>
  <c r="I93" i="41"/>
  <c r="F93" i="41"/>
  <c r="C93" i="41" s="1"/>
  <c r="N92" i="41"/>
  <c r="M92" i="41"/>
  <c r="O92" i="41" s="1"/>
  <c r="L92" i="41"/>
  <c r="K92" i="41"/>
  <c r="J92" i="41"/>
  <c r="I92" i="41"/>
  <c r="H92" i="41"/>
  <c r="H86" i="41" s="1"/>
  <c r="G92" i="41"/>
  <c r="E92" i="41"/>
  <c r="D92" i="41"/>
  <c r="F92" i="41" s="1"/>
  <c r="C92" i="41" s="1"/>
  <c r="O91" i="41"/>
  <c r="L91" i="41"/>
  <c r="I91" i="41"/>
  <c r="C91" i="41" s="1"/>
  <c r="F91" i="41"/>
  <c r="O90" i="41"/>
  <c r="L90" i="41"/>
  <c r="I90" i="41"/>
  <c r="F90" i="41"/>
  <c r="C90" i="41"/>
  <c r="O89" i="41"/>
  <c r="L89" i="41"/>
  <c r="I89" i="41"/>
  <c r="F89" i="41"/>
  <c r="C89" i="41" s="1"/>
  <c r="O88" i="41"/>
  <c r="L88" i="41"/>
  <c r="I88" i="41"/>
  <c r="F88" i="41"/>
  <c r="C88" i="41" s="1"/>
  <c r="N87" i="41"/>
  <c r="N86" i="41" s="1"/>
  <c r="M87" i="41"/>
  <c r="M86" i="41" s="1"/>
  <c r="K87" i="41"/>
  <c r="J87" i="41"/>
  <c r="J86" i="41" s="1"/>
  <c r="L86" i="41" s="1"/>
  <c r="I87" i="41"/>
  <c r="H87" i="41"/>
  <c r="G87" i="41"/>
  <c r="F87" i="41"/>
  <c r="E87" i="41"/>
  <c r="E86" i="41" s="1"/>
  <c r="D87" i="41"/>
  <c r="K86" i="41"/>
  <c r="G86" i="41"/>
  <c r="I86" i="41" s="1"/>
  <c r="O85" i="41"/>
  <c r="L85" i="41"/>
  <c r="I85" i="41"/>
  <c r="F85" i="41"/>
  <c r="C85" i="41" s="1"/>
  <c r="O84" i="41"/>
  <c r="L84" i="41"/>
  <c r="I84" i="41"/>
  <c r="F84" i="41"/>
  <c r="C84" i="41" s="1"/>
  <c r="N83" i="41"/>
  <c r="M83" i="41"/>
  <c r="O83" i="41" s="1"/>
  <c r="K83" i="41"/>
  <c r="J83" i="41"/>
  <c r="L83" i="41" s="1"/>
  <c r="I83" i="41"/>
  <c r="H83" i="41"/>
  <c r="G83" i="41"/>
  <c r="F83" i="41"/>
  <c r="C83" i="41" s="1"/>
  <c r="E83" i="41"/>
  <c r="D83" i="41"/>
  <c r="O82" i="41"/>
  <c r="L82" i="41"/>
  <c r="I82" i="41"/>
  <c r="F82" i="41"/>
  <c r="C82" i="41"/>
  <c r="O81" i="41"/>
  <c r="L81" i="41"/>
  <c r="I81" i="41"/>
  <c r="F81" i="41"/>
  <c r="C81" i="41" s="1"/>
  <c r="N80" i="41"/>
  <c r="M80" i="41"/>
  <c r="M79" i="41" s="1"/>
  <c r="L80" i="41"/>
  <c r="K80" i="41"/>
  <c r="J80" i="41"/>
  <c r="I80" i="41"/>
  <c r="H80" i="41"/>
  <c r="H79" i="41" s="1"/>
  <c r="G80" i="41"/>
  <c r="E80" i="41"/>
  <c r="E79" i="41" s="1"/>
  <c r="D80" i="41"/>
  <c r="D79" i="41" s="1"/>
  <c r="N79" i="41"/>
  <c r="K79" i="41"/>
  <c r="J79" i="41"/>
  <c r="J78" i="41" s="1"/>
  <c r="L78" i="41" s="1"/>
  <c r="G79" i="41"/>
  <c r="K78" i="41"/>
  <c r="O77" i="41"/>
  <c r="L77" i="41"/>
  <c r="I77" i="41"/>
  <c r="F77" i="41"/>
  <c r="C77" i="41" s="1"/>
  <c r="O76" i="41"/>
  <c r="L76" i="41"/>
  <c r="I76" i="41"/>
  <c r="F76" i="41"/>
  <c r="C76" i="41" s="1"/>
  <c r="D76" i="41"/>
  <c r="O75" i="41"/>
  <c r="L75" i="41"/>
  <c r="I75" i="41"/>
  <c r="F75" i="41"/>
  <c r="C75" i="41"/>
  <c r="O74" i="41"/>
  <c r="L74" i="41"/>
  <c r="I74" i="41"/>
  <c r="F74" i="41"/>
  <c r="C74" i="41" s="1"/>
  <c r="O73" i="41"/>
  <c r="L73" i="41"/>
  <c r="I73" i="41"/>
  <c r="F73" i="41"/>
  <c r="C73" i="41" s="1"/>
  <c r="D73" i="41"/>
  <c r="O72" i="41"/>
  <c r="N72" i="41"/>
  <c r="M72" i="41"/>
  <c r="K72" i="41"/>
  <c r="J72" i="41"/>
  <c r="L72" i="41" s="1"/>
  <c r="H72" i="41"/>
  <c r="G72" i="41"/>
  <c r="I72" i="41" s="1"/>
  <c r="C72" i="41" s="1"/>
  <c r="F72" i="41"/>
  <c r="E72" i="41"/>
  <c r="D72" i="41"/>
  <c r="O71" i="41"/>
  <c r="L71" i="41"/>
  <c r="G71" i="41"/>
  <c r="I71" i="41" s="1"/>
  <c r="F71" i="41"/>
  <c r="C71" i="41" s="1"/>
  <c r="D71" i="41"/>
  <c r="O70" i="41"/>
  <c r="N70" i="41"/>
  <c r="M70" i="41"/>
  <c r="K70" i="41"/>
  <c r="J70" i="41"/>
  <c r="L70" i="41" s="1"/>
  <c r="H70" i="41"/>
  <c r="G70" i="41"/>
  <c r="I70" i="41" s="1"/>
  <c r="F70" i="41"/>
  <c r="E70" i="41"/>
  <c r="D70" i="41"/>
  <c r="O69" i="41"/>
  <c r="L69" i="41"/>
  <c r="I69" i="41"/>
  <c r="F69" i="41"/>
  <c r="C69" i="41" s="1"/>
  <c r="O68" i="41"/>
  <c r="L68" i="41"/>
  <c r="I68" i="41"/>
  <c r="G68" i="41"/>
  <c r="D68" i="41"/>
  <c r="F68" i="41" s="1"/>
  <c r="C68" i="41" s="1"/>
  <c r="O67" i="41"/>
  <c r="L67" i="41"/>
  <c r="I67" i="41"/>
  <c r="F67" i="41"/>
  <c r="C67" i="41" s="1"/>
  <c r="D67" i="41"/>
  <c r="O66" i="41"/>
  <c r="L66" i="41"/>
  <c r="I66" i="41"/>
  <c r="D66" i="41"/>
  <c r="F66" i="41" s="1"/>
  <c r="C66" i="41" s="1"/>
  <c r="O65" i="41"/>
  <c r="L65" i="41"/>
  <c r="I65" i="41"/>
  <c r="F65" i="41"/>
  <c r="C65" i="41" s="1"/>
  <c r="O64" i="41"/>
  <c r="L64" i="41"/>
  <c r="I64" i="41"/>
  <c r="F64" i="41"/>
  <c r="C64" i="41" s="1"/>
  <c r="O63" i="41"/>
  <c r="L63" i="41"/>
  <c r="I63" i="41"/>
  <c r="C63" i="41" s="1"/>
  <c r="F63" i="41"/>
  <c r="O62" i="41"/>
  <c r="L62" i="41"/>
  <c r="I62" i="41"/>
  <c r="F62" i="41"/>
  <c r="C62" i="41"/>
  <c r="O61" i="41"/>
  <c r="N61" i="41"/>
  <c r="M61" i="41"/>
  <c r="L61" i="41"/>
  <c r="K61" i="41"/>
  <c r="K57" i="41" s="1"/>
  <c r="K56" i="41" s="1"/>
  <c r="J61" i="41"/>
  <c r="H61" i="41"/>
  <c r="G61" i="41"/>
  <c r="I61" i="41" s="1"/>
  <c r="E61" i="41"/>
  <c r="D61" i="41"/>
  <c r="F61" i="41" s="1"/>
  <c r="O60" i="41"/>
  <c r="L60" i="41"/>
  <c r="I60" i="41"/>
  <c r="G60" i="41"/>
  <c r="G58" i="41" s="1"/>
  <c r="D60" i="41"/>
  <c r="F60" i="41" s="1"/>
  <c r="C60" i="41" s="1"/>
  <c r="O59" i="41"/>
  <c r="L59" i="41"/>
  <c r="I59" i="41"/>
  <c r="F59" i="41"/>
  <c r="C59" i="41" s="1"/>
  <c r="N58" i="41"/>
  <c r="M58" i="41"/>
  <c r="M57" i="41" s="1"/>
  <c r="L58" i="41"/>
  <c r="K58" i="41"/>
  <c r="J58" i="41"/>
  <c r="H58" i="41"/>
  <c r="H57" i="41" s="1"/>
  <c r="H56" i="41" s="1"/>
  <c r="E58" i="41"/>
  <c r="E57" i="41" s="1"/>
  <c r="E56" i="41" s="1"/>
  <c r="D58" i="41"/>
  <c r="D57" i="41" s="1"/>
  <c r="N57" i="41"/>
  <c r="N56" i="41" s="1"/>
  <c r="J57" i="41"/>
  <c r="J56" i="41" s="1"/>
  <c r="O50" i="41"/>
  <c r="C50" i="41" s="1"/>
  <c r="O49" i="41"/>
  <c r="C49" i="41"/>
  <c r="O48" i="41"/>
  <c r="C48" i="41" s="1"/>
  <c r="N48" i="41"/>
  <c r="N24" i="41" s="1"/>
  <c r="M48" i="41"/>
  <c r="L47" i="41"/>
  <c r="I47" i="41"/>
  <c r="C47" i="41" s="1"/>
  <c r="F47" i="41"/>
  <c r="L46" i="41"/>
  <c r="K46" i="41"/>
  <c r="J46" i="41"/>
  <c r="H46" i="41"/>
  <c r="G46" i="41"/>
  <c r="I46" i="41" s="1"/>
  <c r="E46" i="41"/>
  <c r="D46" i="41"/>
  <c r="F46" i="41" s="1"/>
  <c r="F45" i="41"/>
  <c r="C45" i="41"/>
  <c r="L44" i="41"/>
  <c r="C44" i="41" s="1"/>
  <c r="L43" i="41"/>
  <c r="C43" i="41"/>
  <c r="L42" i="41"/>
  <c r="C42" i="41" s="1"/>
  <c r="L41" i="41"/>
  <c r="C41" i="41"/>
  <c r="L40" i="41"/>
  <c r="C40" i="41" s="1"/>
  <c r="K40" i="41"/>
  <c r="J40" i="41"/>
  <c r="L39" i="41"/>
  <c r="C39" i="41" s="1"/>
  <c r="L38" i="41"/>
  <c r="C38" i="41"/>
  <c r="L37" i="41"/>
  <c r="C37" i="41" s="1"/>
  <c r="K37" i="41"/>
  <c r="J37" i="41"/>
  <c r="L36" i="41"/>
  <c r="C36" i="41" s="1"/>
  <c r="K35" i="41"/>
  <c r="J35" i="41"/>
  <c r="L35" i="41" s="1"/>
  <c r="C35" i="41" s="1"/>
  <c r="L34" i="41"/>
  <c r="C34" i="41"/>
  <c r="L33" i="41"/>
  <c r="C33" i="41" s="1"/>
  <c r="L32" i="41"/>
  <c r="C32" i="41"/>
  <c r="L31" i="41"/>
  <c r="C31" i="41" s="1"/>
  <c r="K31" i="41"/>
  <c r="J31" i="41"/>
  <c r="K30" i="41"/>
  <c r="F29" i="41"/>
  <c r="C29" i="41" s="1"/>
  <c r="G28" i="41"/>
  <c r="I28" i="41" s="1"/>
  <c r="F28" i="41"/>
  <c r="D28" i="41"/>
  <c r="O27" i="41"/>
  <c r="L27" i="41"/>
  <c r="I27" i="41"/>
  <c r="C27" i="41" s="1"/>
  <c r="F27" i="41"/>
  <c r="O26" i="41"/>
  <c r="L26" i="41"/>
  <c r="I26" i="41"/>
  <c r="F26" i="41"/>
  <c r="C26" i="41"/>
  <c r="O25" i="41"/>
  <c r="N25" i="41"/>
  <c r="N290" i="41" s="1"/>
  <c r="N289" i="41" s="1"/>
  <c r="M25" i="41"/>
  <c r="M290" i="41" s="1"/>
  <c r="L25" i="41"/>
  <c r="K25" i="41"/>
  <c r="K290" i="41" s="1"/>
  <c r="K289" i="41" s="1"/>
  <c r="J25" i="41"/>
  <c r="J290" i="41" s="1"/>
  <c r="H25" i="41"/>
  <c r="H290" i="41" s="1"/>
  <c r="H289" i="41" s="1"/>
  <c r="G25" i="41"/>
  <c r="G290" i="41" s="1"/>
  <c r="E25" i="41"/>
  <c r="E290" i="41" s="1"/>
  <c r="E289" i="41" s="1"/>
  <c r="D25" i="41"/>
  <c r="D290" i="41" s="1"/>
  <c r="M24" i="41"/>
  <c r="O24" i="41" s="1"/>
  <c r="E24" i="41"/>
  <c r="O299" i="40"/>
  <c r="L299" i="40"/>
  <c r="I299" i="40"/>
  <c r="C299" i="40" s="1"/>
  <c r="F299" i="40"/>
  <c r="O298" i="40"/>
  <c r="L298" i="40"/>
  <c r="I298" i="40"/>
  <c r="F298" i="40"/>
  <c r="C298" i="40"/>
  <c r="O297" i="40"/>
  <c r="L297" i="40"/>
  <c r="I297" i="40"/>
  <c r="F297" i="40"/>
  <c r="C297" i="40" s="1"/>
  <c r="O296" i="40"/>
  <c r="L296" i="40"/>
  <c r="I296" i="40"/>
  <c r="F296" i="40"/>
  <c r="C296" i="40" s="1"/>
  <c r="O295" i="40"/>
  <c r="L295" i="40"/>
  <c r="I295" i="40"/>
  <c r="C295" i="40" s="1"/>
  <c r="F295" i="40"/>
  <c r="O294" i="40"/>
  <c r="L294" i="40"/>
  <c r="I294" i="40"/>
  <c r="F294" i="40"/>
  <c r="C294" i="40"/>
  <c r="O293" i="40"/>
  <c r="L293" i="40"/>
  <c r="I293" i="40"/>
  <c r="F293" i="40"/>
  <c r="C293" i="40" s="1"/>
  <c r="O292" i="40"/>
  <c r="L292" i="40"/>
  <c r="I292" i="40"/>
  <c r="F292" i="40"/>
  <c r="C292" i="40" s="1"/>
  <c r="N291" i="40"/>
  <c r="M291" i="40"/>
  <c r="O291" i="40" s="1"/>
  <c r="K291" i="40"/>
  <c r="J291" i="40"/>
  <c r="L291" i="40" s="1"/>
  <c r="I291" i="40"/>
  <c r="H291" i="40"/>
  <c r="G291" i="40"/>
  <c r="F291" i="40"/>
  <c r="E291" i="40"/>
  <c r="D291" i="40"/>
  <c r="O286" i="40"/>
  <c r="L286" i="40"/>
  <c r="I286" i="40"/>
  <c r="F286" i="40"/>
  <c r="C286" i="40"/>
  <c r="O285" i="40"/>
  <c r="L285" i="40"/>
  <c r="I285" i="40"/>
  <c r="F285" i="40"/>
  <c r="C285" i="40" s="1"/>
  <c r="N284" i="40"/>
  <c r="M284" i="40"/>
  <c r="L284" i="40"/>
  <c r="K284" i="40"/>
  <c r="J284" i="40"/>
  <c r="I284" i="40"/>
  <c r="H284" i="40"/>
  <c r="G284" i="40"/>
  <c r="E284" i="40"/>
  <c r="D284" i="40"/>
  <c r="O283" i="40"/>
  <c r="L283" i="40"/>
  <c r="I283" i="40"/>
  <c r="C283" i="40" s="1"/>
  <c r="F283" i="40"/>
  <c r="O282" i="40"/>
  <c r="N282" i="40"/>
  <c r="M282" i="40"/>
  <c r="K282" i="40"/>
  <c r="J282" i="40"/>
  <c r="L282" i="40" s="1"/>
  <c r="H282" i="40"/>
  <c r="G282" i="40"/>
  <c r="I282" i="40" s="1"/>
  <c r="F282" i="40"/>
  <c r="E282" i="40"/>
  <c r="D282" i="40"/>
  <c r="O281" i="40"/>
  <c r="L281" i="40"/>
  <c r="I281" i="40"/>
  <c r="F281" i="40"/>
  <c r="C281" i="40" s="1"/>
  <c r="O280" i="40"/>
  <c r="L280" i="40"/>
  <c r="I280" i="40"/>
  <c r="F280" i="40"/>
  <c r="C280" i="40" s="1"/>
  <c r="O279" i="40"/>
  <c r="L279" i="40"/>
  <c r="I279" i="40"/>
  <c r="C279" i="40" s="1"/>
  <c r="F279" i="40"/>
  <c r="O278" i="40"/>
  <c r="N278" i="40"/>
  <c r="M278" i="40"/>
  <c r="K278" i="40"/>
  <c r="J278" i="40"/>
  <c r="L278" i="40" s="1"/>
  <c r="H278" i="40"/>
  <c r="G278" i="40"/>
  <c r="I278" i="40" s="1"/>
  <c r="C278" i="40" s="1"/>
  <c r="F278" i="40"/>
  <c r="E278" i="40"/>
  <c r="D278" i="40"/>
  <c r="O277" i="40"/>
  <c r="L277" i="40"/>
  <c r="I277" i="40"/>
  <c r="F277" i="40"/>
  <c r="C277" i="40" s="1"/>
  <c r="O276" i="40"/>
  <c r="L276" i="40"/>
  <c r="I276" i="40"/>
  <c r="F276" i="40"/>
  <c r="C276" i="40" s="1"/>
  <c r="O275" i="40"/>
  <c r="L275" i="40"/>
  <c r="I275" i="40"/>
  <c r="C275" i="40" s="1"/>
  <c r="F275" i="40"/>
  <c r="O274" i="40"/>
  <c r="N274" i="40"/>
  <c r="N272" i="40" s="1"/>
  <c r="N271" i="40" s="1"/>
  <c r="M274" i="40"/>
  <c r="K274" i="40"/>
  <c r="K272" i="40" s="1"/>
  <c r="K271" i="40" s="1"/>
  <c r="J274" i="40"/>
  <c r="L274" i="40" s="1"/>
  <c r="H274" i="40"/>
  <c r="G274" i="40"/>
  <c r="I274" i="40" s="1"/>
  <c r="F274" i="40"/>
  <c r="E274" i="40"/>
  <c r="D274" i="40"/>
  <c r="O273" i="40"/>
  <c r="L273" i="40"/>
  <c r="I273" i="40"/>
  <c r="F273" i="40"/>
  <c r="C273" i="40" s="1"/>
  <c r="M272" i="40"/>
  <c r="M271" i="40" s="1"/>
  <c r="H272" i="40"/>
  <c r="H271" i="40" s="1"/>
  <c r="E272" i="40"/>
  <c r="E271" i="40" s="1"/>
  <c r="D272" i="40"/>
  <c r="D271" i="40" s="1"/>
  <c r="F271" i="40" s="1"/>
  <c r="O270" i="40"/>
  <c r="L270" i="40"/>
  <c r="I270" i="40"/>
  <c r="F270" i="40"/>
  <c r="C270" i="40"/>
  <c r="O269" i="40"/>
  <c r="L269" i="40"/>
  <c r="I269" i="40"/>
  <c r="F269" i="40"/>
  <c r="C269" i="40" s="1"/>
  <c r="O268" i="40"/>
  <c r="L268" i="40"/>
  <c r="I268" i="40"/>
  <c r="F268" i="40"/>
  <c r="C268" i="40" s="1"/>
  <c r="O267" i="40"/>
  <c r="L267" i="40"/>
  <c r="I267" i="40"/>
  <c r="C267" i="40" s="1"/>
  <c r="F267" i="40"/>
  <c r="O266" i="40"/>
  <c r="N266" i="40"/>
  <c r="M266" i="40"/>
  <c r="K266" i="40"/>
  <c r="J266" i="40"/>
  <c r="L266" i="40" s="1"/>
  <c r="H266" i="40"/>
  <c r="G266" i="40"/>
  <c r="I266" i="40" s="1"/>
  <c r="C266" i="40" s="1"/>
  <c r="F266" i="40"/>
  <c r="E266" i="40"/>
  <c r="D266" i="40"/>
  <c r="O265" i="40"/>
  <c r="L265" i="40"/>
  <c r="I265" i="40"/>
  <c r="F265" i="40"/>
  <c r="C265" i="40" s="1"/>
  <c r="O264" i="40"/>
  <c r="L264" i="40"/>
  <c r="I264" i="40"/>
  <c r="F264" i="40"/>
  <c r="C264" i="40" s="1"/>
  <c r="O263" i="40"/>
  <c r="L263" i="40"/>
  <c r="I263" i="40"/>
  <c r="C263" i="40" s="1"/>
  <c r="F263" i="40"/>
  <c r="O262" i="40"/>
  <c r="N262" i="40"/>
  <c r="N261" i="40" s="1"/>
  <c r="O261" i="40" s="1"/>
  <c r="M262" i="40"/>
  <c r="K262" i="40"/>
  <c r="K261" i="40" s="1"/>
  <c r="J262" i="40"/>
  <c r="J261" i="40" s="1"/>
  <c r="L261" i="40" s="1"/>
  <c r="H262" i="40"/>
  <c r="G262" i="40"/>
  <c r="G261" i="40" s="1"/>
  <c r="I261" i="40" s="1"/>
  <c r="F262" i="40"/>
  <c r="E262" i="40"/>
  <c r="D262" i="40"/>
  <c r="M261" i="40"/>
  <c r="H261" i="40"/>
  <c r="E261" i="40"/>
  <c r="D261" i="40"/>
  <c r="F261" i="40" s="1"/>
  <c r="O260" i="40"/>
  <c r="L260" i="40"/>
  <c r="I260" i="40"/>
  <c r="F260" i="40"/>
  <c r="C260" i="40" s="1"/>
  <c r="O259" i="40"/>
  <c r="L259" i="40"/>
  <c r="I259" i="40"/>
  <c r="C259" i="40" s="1"/>
  <c r="F259" i="40"/>
  <c r="O258" i="40"/>
  <c r="L258" i="40"/>
  <c r="I258" i="40"/>
  <c r="F258" i="40"/>
  <c r="C258" i="40"/>
  <c r="O257" i="40"/>
  <c r="L257" i="40"/>
  <c r="I257" i="40"/>
  <c r="F257" i="40"/>
  <c r="C257" i="40" s="1"/>
  <c r="O256" i="40"/>
  <c r="L256" i="40"/>
  <c r="I256" i="40"/>
  <c r="F256" i="40"/>
  <c r="C256" i="40" s="1"/>
  <c r="N255" i="40"/>
  <c r="N254" i="40" s="1"/>
  <c r="M255" i="40"/>
  <c r="M254" i="40" s="1"/>
  <c r="O254" i="40" s="1"/>
  <c r="K255" i="40"/>
  <c r="J255" i="40"/>
  <c r="J254" i="40" s="1"/>
  <c r="L254" i="40" s="1"/>
  <c r="I255" i="40"/>
  <c r="H255" i="40"/>
  <c r="G255" i="40"/>
  <c r="F255" i="40"/>
  <c r="E255" i="40"/>
  <c r="E254" i="40" s="1"/>
  <c r="F254" i="40" s="1"/>
  <c r="C254" i="40" s="1"/>
  <c r="D255" i="40"/>
  <c r="K254" i="40"/>
  <c r="H254" i="40"/>
  <c r="G254" i="40"/>
  <c r="I254" i="40" s="1"/>
  <c r="D254" i="40"/>
  <c r="O253" i="40"/>
  <c r="L253" i="40"/>
  <c r="I253" i="40"/>
  <c r="F253" i="40"/>
  <c r="C253" i="40" s="1"/>
  <c r="O252" i="40"/>
  <c r="L252" i="40"/>
  <c r="I252" i="40"/>
  <c r="F252" i="40"/>
  <c r="O251" i="40"/>
  <c r="L251" i="40"/>
  <c r="I251" i="40"/>
  <c r="C251" i="40" s="1"/>
  <c r="F251" i="40"/>
  <c r="O250" i="40"/>
  <c r="L250" i="40"/>
  <c r="I250" i="40"/>
  <c r="F250" i="40"/>
  <c r="C250" i="40"/>
  <c r="O249" i="40"/>
  <c r="N249" i="40"/>
  <c r="M249" i="40"/>
  <c r="L249" i="40"/>
  <c r="K249" i="40"/>
  <c r="J249" i="40"/>
  <c r="H249" i="40"/>
  <c r="G249" i="40"/>
  <c r="I249" i="40" s="1"/>
  <c r="E249" i="40"/>
  <c r="D249" i="40"/>
  <c r="F249" i="40" s="1"/>
  <c r="C249" i="40" s="1"/>
  <c r="O248" i="40"/>
  <c r="L248" i="40"/>
  <c r="I248" i="40"/>
  <c r="F248" i="40"/>
  <c r="C248" i="40" s="1"/>
  <c r="O247" i="40"/>
  <c r="L247" i="40"/>
  <c r="I247" i="40"/>
  <c r="C247" i="40" s="1"/>
  <c r="F247" i="40"/>
  <c r="O246" i="40"/>
  <c r="L246" i="40"/>
  <c r="I246" i="40"/>
  <c r="F246" i="40"/>
  <c r="C246" i="40"/>
  <c r="O245" i="40"/>
  <c r="L245" i="40"/>
  <c r="I245" i="40"/>
  <c r="F245" i="40"/>
  <c r="C245" i="40" s="1"/>
  <c r="O244" i="40"/>
  <c r="L244" i="40"/>
  <c r="I244" i="40"/>
  <c r="F244" i="40"/>
  <c r="O243" i="40"/>
  <c r="L243" i="40"/>
  <c r="I243" i="40"/>
  <c r="F243" i="40"/>
  <c r="O242" i="40"/>
  <c r="L242" i="40"/>
  <c r="I242" i="40"/>
  <c r="F242" i="40"/>
  <c r="C242" i="40"/>
  <c r="O241" i="40"/>
  <c r="N241" i="40"/>
  <c r="M241" i="40"/>
  <c r="L241" i="40"/>
  <c r="K241" i="40"/>
  <c r="J241" i="40"/>
  <c r="H241" i="40"/>
  <c r="G241" i="40"/>
  <c r="I241" i="40" s="1"/>
  <c r="E241" i="40"/>
  <c r="D241" i="40"/>
  <c r="F241" i="40" s="1"/>
  <c r="C241" i="40" s="1"/>
  <c r="O240" i="40"/>
  <c r="L240" i="40"/>
  <c r="I240" i="40"/>
  <c r="F240" i="40"/>
  <c r="C240" i="40" s="1"/>
  <c r="O239" i="40"/>
  <c r="L239" i="40"/>
  <c r="I239" i="40"/>
  <c r="F239" i="40"/>
  <c r="C239" i="40" s="1"/>
  <c r="O238" i="40"/>
  <c r="N238" i="40"/>
  <c r="M238" i="40"/>
  <c r="K238" i="40"/>
  <c r="J238" i="40"/>
  <c r="H238" i="40"/>
  <c r="G238" i="40"/>
  <c r="I238" i="40" s="1"/>
  <c r="F238" i="40"/>
  <c r="E238" i="40"/>
  <c r="D238" i="40"/>
  <c r="O237" i="40"/>
  <c r="L237" i="40"/>
  <c r="I237" i="40"/>
  <c r="F237" i="40"/>
  <c r="C237" i="40" s="1"/>
  <c r="N236" i="40"/>
  <c r="M236" i="40"/>
  <c r="L236" i="40"/>
  <c r="K236" i="40"/>
  <c r="J236" i="40"/>
  <c r="I236" i="40"/>
  <c r="H236" i="40"/>
  <c r="H234" i="40" s="1"/>
  <c r="H233" i="40" s="1"/>
  <c r="G236" i="40"/>
  <c r="E236" i="40"/>
  <c r="E234" i="40" s="1"/>
  <c r="E233" i="40" s="1"/>
  <c r="D236" i="40"/>
  <c r="O235" i="40"/>
  <c r="L235" i="40"/>
  <c r="I235" i="40"/>
  <c r="F235" i="40"/>
  <c r="N234" i="40"/>
  <c r="N233" i="40" s="1"/>
  <c r="K234" i="40"/>
  <c r="K233" i="40" s="1"/>
  <c r="J234" i="40"/>
  <c r="O232" i="40"/>
  <c r="L232" i="40"/>
  <c r="I232" i="40"/>
  <c r="F232" i="40"/>
  <c r="C232" i="40" s="1"/>
  <c r="O231" i="40"/>
  <c r="L231" i="40"/>
  <c r="I231" i="40"/>
  <c r="F231" i="40"/>
  <c r="O230" i="40"/>
  <c r="N230" i="40"/>
  <c r="M230" i="40"/>
  <c r="K230" i="40"/>
  <c r="K207" i="40" s="1"/>
  <c r="J230" i="40"/>
  <c r="L230" i="40" s="1"/>
  <c r="H230" i="40"/>
  <c r="G230" i="40"/>
  <c r="F230" i="40"/>
  <c r="E230" i="40"/>
  <c r="D230" i="40"/>
  <c r="O229" i="40"/>
  <c r="L229" i="40"/>
  <c r="I229" i="40"/>
  <c r="F229" i="40"/>
  <c r="C229" i="40" s="1"/>
  <c r="O228" i="40"/>
  <c r="L228" i="40"/>
  <c r="I228" i="40"/>
  <c r="F228" i="40"/>
  <c r="O227" i="40"/>
  <c r="L227" i="40"/>
  <c r="I227" i="40"/>
  <c r="F227" i="40"/>
  <c r="O226" i="40"/>
  <c r="L226" i="40"/>
  <c r="I226" i="40"/>
  <c r="F226" i="40"/>
  <c r="C226" i="40"/>
  <c r="O225" i="40"/>
  <c r="L225" i="40"/>
  <c r="I225" i="40"/>
  <c r="F225" i="40"/>
  <c r="C225" i="40" s="1"/>
  <c r="O224" i="40"/>
  <c r="L224" i="40"/>
  <c r="I224" i="40"/>
  <c r="F224" i="40"/>
  <c r="C224" i="40" s="1"/>
  <c r="O223" i="40"/>
  <c r="L223" i="40"/>
  <c r="I223" i="40"/>
  <c r="F223" i="40"/>
  <c r="O222" i="40"/>
  <c r="L222" i="40"/>
  <c r="C222" i="40" s="1"/>
  <c r="I222" i="40"/>
  <c r="F222" i="40"/>
  <c r="O221" i="40"/>
  <c r="L221" i="40"/>
  <c r="I221" i="40"/>
  <c r="F221" i="40"/>
  <c r="C221" i="40"/>
  <c r="O220" i="40"/>
  <c r="L220" i="40"/>
  <c r="I220" i="40"/>
  <c r="F220" i="40"/>
  <c r="C220" i="40" s="1"/>
  <c r="N219" i="40"/>
  <c r="M219" i="40"/>
  <c r="O219" i="40" s="1"/>
  <c r="K219" i="40"/>
  <c r="J219" i="40"/>
  <c r="L219" i="40" s="1"/>
  <c r="I219" i="40"/>
  <c r="H219" i="40"/>
  <c r="G219" i="40"/>
  <c r="F219" i="40"/>
  <c r="C219" i="40" s="1"/>
  <c r="E219" i="40"/>
  <c r="D219" i="40"/>
  <c r="O218" i="40"/>
  <c r="L218" i="40"/>
  <c r="C218" i="40" s="1"/>
  <c r="I218" i="40"/>
  <c r="F218" i="40"/>
  <c r="O217" i="40"/>
  <c r="L217" i="40"/>
  <c r="I217" i="40"/>
  <c r="F217" i="40"/>
  <c r="C217" i="40"/>
  <c r="O216" i="40"/>
  <c r="L216" i="40"/>
  <c r="I216" i="40"/>
  <c r="F216" i="40"/>
  <c r="C216" i="40" s="1"/>
  <c r="O215" i="40"/>
  <c r="L215" i="40"/>
  <c r="I215" i="40"/>
  <c r="F215" i="40"/>
  <c r="C215" i="40" s="1"/>
  <c r="O214" i="40"/>
  <c r="L214" i="40"/>
  <c r="C214" i="40" s="1"/>
  <c r="I214" i="40"/>
  <c r="F214" i="40"/>
  <c r="O213" i="40"/>
  <c r="L213" i="40"/>
  <c r="I213" i="40"/>
  <c r="F213" i="40"/>
  <c r="C213" i="40"/>
  <c r="O212" i="40"/>
  <c r="L212" i="40"/>
  <c r="I212" i="40"/>
  <c r="F212" i="40"/>
  <c r="C212" i="40" s="1"/>
  <c r="O211" i="40"/>
  <c r="L211" i="40"/>
  <c r="I211" i="40"/>
  <c r="F211" i="40"/>
  <c r="O210" i="40"/>
  <c r="L210" i="40"/>
  <c r="C210" i="40" s="1"/>
  <c r="I210" i="40"/>
  <c r="F210" i="40"/>
  <c r="O209" i="40"/>
  <c r="L209" i="40"/>
  <c r="I209" i="40"/>
  <c r="F209" i="40"/>
  <c r="C209" i="40"/>
  <c r="N208" i="40"/>
  <c r="M208" i="40"/>
  <c r="O208" i="40" s="1"/>
  <c r="L208" i="40"/>
  <c r="K208" i="40"/>
  <c r="J208" i="40"/>
  <c r="H208" i="40"/>
  <c r="H207" i="40" s="1"/>
  <c r="G208" i="40"/>
  <c r="E208" i="40"/>
  <c r="D208" i="40"/>
  <c r="N207" i="40"/>
  <c r="M207" i="40"/>
  <c r="O207" i="40" s="1"/>
  <c r="E207" i="40"/>
  <c r="O206" i="40"/>
  <c r="L206" i="40"/>
  <c r="C206" i="40" s="1"/>
  <c r="I206" i="40"/>
  <c r="F206" i="40"/>
  <c r="O205" i="40"/>
  <c r="L205" i="40"/>
  <c r="I205" i="40"/>
  <c r="F205" i="40"/>
  <c r="C205" i="40"/>
  <c r="O204" i="40"/>
  <c r="L204" i="40"/>
  <c r="I204" i="40"/>
  <c r="F204" i="40"/>
  <c r="C204" i="40" s="1"/>
  <c r="O203" i="40"/>
  <c r="L203" i="40"/>
  <c r="I203" i="40"/>
  <c r="F203" i="40"/>
  <c r="O202" i="40"/>
  <c r="L202" i="40"/>
  <c r="C202" i="40" s="1"/>
  <c r="I202" i="40"/>
  <c r="F202" i="40"/>
  <c r="O201" i="40"/>
  <c r="N201" i="40"/>
  <c r="M201" i="40"/>
  <c r="K201" i="40"/>
  <c r="K199" i="40" s="1"/>
  <c r="K198" i="40" s="1"/>
  <c r="K197" i="40" s="1"/>
  <c r="J201" i="40"/>
  <c r="H201" i="40"/>
  <c r="H199" i="40" s="1"/>
  <c r="G201" i="40"/>
  <c r="E201" i="40"/>
  <c r="D201" i="40"/>
  <c r="O200" i="40"/>
  <c r="L200" i="40"/>
  <c r="I200" i="40"/>
  <c r="F200" i="40"/>
  <c r="C200" i="40" s="1"/>
  <c r="N199" i="40"/>
  <c r="N198" i="40" s="1"/>
  <c r="N197" i="40" s="1"/>
  <c r="M199" i="40"/>
  <c r="J199" i="40"/>
  <c r="E199" i="40"/>
  <c r="E198" i="40" s="1"/>
  <c r="E197" i="40"/>
  <c r="O196" i="40"/>
  <c r="L196" i="40"/>
  <c r="C196" i="40" s="1"/>
  <c r="I196" i="40"/>
  <c r="F196" i="40"/>
  <c r="O195" i="40"/>
  <c r="N195" i="40"/>
  <c r="M195" i="40"/>
  <c r="K195" i="40"/>
  <c r="L195" i="40" s="1"/>
  <c r="J195" i="40"/>
  <c r="H195" i="40"/>
  <c r="G195" i="40"/>
  <c r="I195" i="40" s="1"/>
  <c r="E195" i="40"/>
  <c r="D195" i="40"/>
  <c r="F195" i="40" s="1"/>
  <c r="N194" i="40"/>
  <c r="M194" i="40"/>
  <c r="O194" i="40" s="1"/>
  <c r="J194" i="40"/>
  <c r="H194" i="40"/>
  <c r="E194" i="40"/>
  <c r="D194" i="40"/>
  <c r="F194" i="40" s="1"/>
  <c r="O193" i="40"/>
  <c r="L193" i="40"/>
  <c r="I193" i="40"/>
  <c r="C193" i="40" s="1"/>
  <c r="F193" i="40"/>
  <c r="O192" i="40"/>
  <c r="L192" i="40"/>
  <c r="C192" i="40" s="1"/>
  <c r="I192" i="40"/>
  <c r="F192" i="40"/>
  <c r="O191" i="40"/>
  <c r="N191" i="40"/>
  <c r="M191" i="40"/>
  <c r="K191" i="40"/>
  <c r="L191" i="40" s="1"/>
  <c r="J191" i="40"/>
  <c r="H191" i="40"/>
  <c r="G191" i="40"/>
  <c r="I191" i="40" s="1"/>
  <c r="E191" i="40"/>
  <c r="D191" i="40"/>
  <c r="F191" i="40" s="1"/>
  <c r="C191" i="40" s="1"/>
  <c r="N190" i="40"/>
  <c r="M190" i="40"/>
  <c r="O190" i="40" s="1"/>
  <c r="J190" i="40"/>
  <c r="H190" i="40"/>
  <c r="E190" i="40"/>
  <c r="D190" i="40"/>
  <c r="F190" i="40" s="1"/>
  <c r="O189" i="40"/>
  <c r="L189" i="40"/>
  <c r="I189" i="40"/>
  <c r="C189" i="40" s="1"/>
  <c r="F189" i="40"/>
  <c r="O188" i="40"/>
  <c r="L188" i="40"/>
  <c r="C188" i="40" s="1"/>
  <c r="I188" i="40"/>
  <c r="F188" i="40"/>
  <c r="O187" i="40"/>
  <c r="N187" i="40"/>
  <c r="M187" i="40"/>
  <c r="K187" i="40"/>
  <c r="L187" i="40" s="1"/>
  <c r="J187" i="40"/>
  <c r="H187" i="40"/>
  <c r="G187" i="40"/>
  <c r="I187" i="40" s="1"/>
  <c r="E187" i="40"/>
  <c r="D187" i="40"/>
  <c r="F187" i="40" s="1"/>
  <c r="O186" i="40"/>
  <c r="L186" i="40"/>
  <c r="I186" i="40"/>
  <c r="F186" i="40"/>
  <c r="C186" i="40" s="1"/>
  <c r="O185" i="40"/>
  <c r="L185" i="40"/>
  <c r="I185" i="40"/>
  <c r="C185" i="40" s="1"/>
  <c r="F185" i="40"/>
  <c r="O184" i="40"/>
  <c r="L184" i="40"/>
  <c r="C184" i="40" s="1"/>
  <c r="I184" i="40"/>
  <c r="F184" i="40"/>
  <c r="O183" i="40"/>
  <c r="L183" i="40"/>
  <c r="I183" i="40"/>
  <c r="F183" i="40"/>
  <c r="C183" i="40"/>
  <c r="N182" i="40"/>
  <c r="M182" i="40"/>
  <c r="O182" i="40" s="1"/>
  <c r="L182" i="40"/>
  <c r="K182" i="40"/>
  <c r="J182" i="40"/>
  <c r="H182" i="40"/>
  <c r="I182" i="40" s="1"/>
  <c r="G182" i="40"/>
  <c r="E182" i="40"/>
  <c r="D182" i="40"/>
  <c r="F182" i="40" s="1"/>
  <c r="O181" i="40"/>
  <c r="L181" i="40"/>
  <c r="I181" i="40"/>
  <c r="C181" i="40" s="1"/>
  <c r="F181" i="40"/>
  <c r="O180" i="40"/>
  <c r="L180" i="40"/>
  <c r="C180" i="40" s="1"/>
  <c r="I180" i="40"/>
  <c r="F180" i="40"/>
  <c r="O179" i="40"/>
  <c r="L179" i="40"/>
  <c r="I179" i="40"/>
  <c r="F179" i="40"/>
  <c r="C179" i="40"/>
  <c r="N178" i="40"/>
  <c r="M178" i="40"/>
  <c r="O178" i="40" s="1"/>
  <c r="L178" i="40"/>
  <c r="K178" i="40"/>
  <c r="J178" i="40"/>
  <c r="H178" i="40"/>
  <c r="I178" i="40" s="1"/>
  <c r="G178" i="40"/>
  <c r="E178" i="40"/>
  <c r="D178" i="40"/>
  <c r="F178" i="40" s="1"/>
  <c r="N177" i="40"/>
  <c r="M177" i="40"/>
  <c r="O177" i="40" s="1"/>
  <c r="K177" i="40"/>
  <c r="J177" i="40"/>
  <c r="L177" i="40" s="1"/>
  <c r="G177" i="40"/>
  <c r="E177" i="40"/>
  <c r="E176" i="40" s="1"/>
  <c r="N176" i="40"/>
  <c r="J176" i="40"/>
  <c r="O175" i="40"/>
  <c r="L175" i="40"/>
  <c r="I175" i="40"/>
  <c r="F175" i="40"/>
  <c r="C175" i="40"/>
  <c r="O174" i="40"/>
  <c r="L174" i="40"/>
  <c r="I174" i="40"/>
  <c r="F174" i="40"/>
  <c r="C174" i="40" s="1"/>
  <c r="O173" i="40"/>
  <c r="L173" i="40"/>
  <c r="I173" i="40"/>
  <c r="C173" i="40" s="1"/>
  <c r="F173" i="40"/>
  <c r="O172" i="40"/>
  <c r="L172" i="40"/>
  <c r="C172" i="40" s="1"/>
  <c r="I172" i="40"/>
  <c r="F172" i="40"/>
  <c r="O171" i="40"/>
  <c r="L171" i="40"/>
  <c r="I171" i="40"/>
  <c r="F171" i="40"/>
  <c r="C171" i="40"/>
  <c r="O170" i="40"/>
  <c r="L170" i="40"/>
  <c r="I170" i="40"/>
  <c r="F170" i="40"/>
  <c r="C170" i="40" s="1"/>
  <c r="N169" i="40"/>
  <c r="M169" i="40"/>
  <c r="O169" i="40" s="1"/>
  <c r="K169" i="40"/>
  <c r="J169" i="40"/>
  <c r="L169" i="40" s="1"/>
  <c r="I169" i="40"/>
  <c r="H169" i="40"/>
  <c r="G169" i="40"/>
  <c r="E169" i="40"/>
  <c r="F169" i="40" s="1"/>
  <c r="C169" i="40" s="1"/>
  <c r="D169" i="40"/>
  <c r="N168" i="40"/>
  <c r="K168" i="40"/>
  <c r="J168" i="40"/>
  <c r="L168" i="40" s="1"/>
  <c r="H168" i="40"/>
  <c r="G168" i="40"/>
  <c r="I168" i="40" s="1"/>
  <c r="D168" i="40"/>
  <c r="O167" i="40"/>
  <c r="L167" i="40"/>
  <c r="I167" i="40"/>
  <c r="F167" i="40"/>
  <c r="C167" i="40"/>
  <c r="O166" i="40"/>
  <c r="L166" i="40"/>
  <c r="I166" i="40"/>
  <c r="F166" i="40"/>
  <c r="C166" i="40" s="1"/>
  <c r="O165" i="40"/>
  <c r="L165" i="40"/>
  <c r="I165" i="40"/>
  <c r="C165" i="40" s="1"/>
  <c r="F165" i="40"/>
  <c r="O164" i="40"/>
  <c r="L164" i="40"/>
  <c r="C164" i="40" s="1"/>
  <c r="I164" i="40"/>
  <c r="F164" i="40"/>
  <c r="O163" i="40"/>
  <c r="N163" i="40"/>
  <c r="M163" i="40"/>
  <c r="K163" i="40"/>
  <c r="L163" i="40" s="1"/>
  <c r="J163" i="40"/>
  <c r="H163" i="40"/>
  <c r="G163" i="40"/>
  <c r="I163" i="40" s="1"/>
  <c r="E163" i="40"/>
  <c r="D163" i="40"/>
  <c r="F163" i="40" s="1"/>
  <c r="O162" i="40"/>
  <c r="L162" i="40"/>
  <c r="I162" i="40"/>
  <c r="F162" i="40"/>
  <c r="C162" i="40" s="1"/>
  <c r="O161" i="40"/>
  <c r="L161" i="40"/>
  <c r="I161" i="40"/>
  <c r="C161" i="40" s="1"/>
  <c r="F161" i="40"/>
  <c r="O160" i="40"/>
  <c r="L160" i="40"/>
  <c r="C160" i="40" s="1"/>
  <c r="I160" i="40"/>
  <c r="F160" i="40"/>
  <c r="O159" i="40"/>
  <c r="L159" i="40"/>
  <c r="I159" i="40"/>
  <c r="F159" i="40"/>
  <c r="C159" i="40"/>
  <c r="O158" i="40"/>
  <c r="L158" i="40"/>
  <c r="I158" i="40"/>
  <c r="F158" i="40"/>
  <c r="C158" i="40" s="1"/>
  <c r="O157" i="40"/>
  <c r="J157" i="40"/>
  <c r="I157" i="40"/>
  <c r="F157" i="40"/>
  <c r="O156" i="40"/>
  <c r="L156" i="40"/>
  <c r="I156" i="40"/>
  <c r="F156" i="40"/>
  <c r="C156" i="40"/>
  <c r="O155" i="40"/>
  <c r="L155" i="40"/>
  <c r="I155" i="40"/>
  <c r="F155" i="40"/>
  <c r="C155" i="40" s="1"/>
  <c r="N154" i="40"/>
  <c r="M154" i="40"/>
  <c r="O154" i="40" s="1"/>
  <c r="K154" i="40"/>
  <c r="I154" i="40"/>
  <c r="H154" i="40"/>
  <c r="G154" i="40"/>
  <c r="E154" i="40"/>
  <c r="F154" i="40" s="1"/>
  <c r="D154" i="40"/>
  <c r="O153" i="40"/>
  <c r="L153" i="40"/>
  <c r="C153" i="40" s="1"/>
  <c r="I153" i="40"/>
  <c r="F153" i="40"/>
  <c r="O152" i="40"/>
  <c r="L152" i="40"/>
  <c r="I152" i="40"/>
  <c r="F152" i="40"/>
  <c r="C152" i="40"/>
  <c r="O151" i="40"/>
  <c r="L151" i="40"/>
  <c r="I151" i="40"/>
  <c r="F151" i="40"/>
  <c r="C151" i="40" s="1"/>
  <c r="O150" i="40"/>
  <c r="L150" i="40"/>
  <c r="I150" i="40"/>
  <c r="C150" i="40" s="1"/>
  <c r="F150" i="40"/>
  <c r="O149" i="40"/>
  <c r="L149" i="40"/>
  <c r="C149" i="40" s="1"/>
  <c r="I149" i="40"/>
  <c r="F149" i="40"/>
  <c r="O148" i="40"/>
  <c r="L148" i="40"/>
  <c r="I148" i="40"/>
  <c r="F148" i="40"/>
  <c r="C148" i="40"/>
  <c r="N147" i="40"/>
  <c r="M147" i="40"/>
  <c r="O147" i="40" s="1"/>
  <c r="L147" i="40"/>
  <c r="K147" i="40"/>
  <c r="J147" i="40"/>
  <c r="H147" i="40"/>
  <c r="I147" i="40" s="1"/>
  <c r="G147" i="40"/>
  <c r="E147" i="40"/>
  <c r="D147" i="40"/>
  <c r="F147" i="40" s="1"/>
  <c r="O146" i="40"/>
  <c r="L146" i="40"/>
  <c r="I146" i="40"/>
  <c r="C146" i="40" s="1"/>
  <c r="F146" i="40"/>
  <c r="O145" i="40"/>
  <c r="L145" i="40"/>
  <c r="C145" i="40" s="1"/>
  <c r="I145" i="40"/>
  <c r="F145" i="40"/>
  <c r="O144" i="40"/>
  <c r="N144" i="40"/>
  <c r="M144" i="40"/>
  <c r="K144" i="40"/>
  <c r="J144" i="40"/>
  <c r="H144" i="40"/>
  <c r="G144" i="40"/>
  <c r="E144" i="40"/>
  <c r="D144" i="40"/>
  <c r="F144" i="40" s="1"/>
  <c r="O143" i="40"/>
  <c r="L143" i="40"/>
  <c r="I143" i="40"/>
  <c r="F143" i="40"/>
  <c r="C143" i="40" s="1"/>
  <c r="O142" i="40"/>
  <c r="L142" i="40"/>
  <c r="I142" i="40"/>
  <c r="C142" i="40" s="1"/>
  <c r="F142" i="40"/>
  <c r="O141" i="40"/>
  <c r="L141" i="40"/>
  <c r="C141" i="40" s="1"/>
  <c r="I141" i="40"/>
  <c r="F141" i="40"/>
  <c r="O140" i="40"/>
  <c r="L140" i="40"/>
  <c r="I140" i="40"/>
  <c r="F140" i="40"/>
  <c r="C140" i="40"/>
  <c r="N139" i="40"/>
  <c r="M139" i="40"/>
  <c r="O139" i="40" s="1"/>
  <c r="L139" i="40"/>
  <c r="K139" i="40"/>
  <c r="J139" i="40"/>
  <c r="H139" i="40"/>
  <c r="G139" i="40"/>
  <c r="E139" i="40"/>
  <c r="D139" i="40"/>
  <c r="O138" i="40"/>
  <c r="L138" i="40"/>
  <c r="I138" i="40"/>
  <c r="C138" i="40" s="1"/>
  <c r="F138" i="40"/>
  <c r="O137" i="40"/>
  <c r="L137" i="40"/>
  <c r="C137" i="40" s="1"/>
  <c r="I137" i="40"/>
  <c r="F137" i="40"/>
  <c r="O136" i="40"/>
  <c r="L136" i="40"/>
  <c r="I136" i="40"/>
  <c r="F136" i="40"/>
  <c r="C136" i="40"/>
  <c r="O135" i="40"/>
  <c r="L135" i="40"/>
  <c r="I135" i="40"/>
  <c r="F135" i="40"/>
  <c r="C135" i="40" s="1"/>
  <c r="N134" i="40"/>
  <c r="M134" i="40"/>
  <c r="K134" i="40"/>
  <c r="J134" i="40"/>
  <c r="L134" i="40" s="1"/>
  <c r="I134" i="40"/>
  <c r="H134" i="40"/>
  <c r="G134" i="40"/>
  <c r="E134" i="40"/>
  <c r="D134" i="40"/>
  <c r="N133" i="40"/>
  <c r="O132" i="40"/>
  <c r="L132" i="40"/>
  <c r="I132" i="40"/>
  <c r="F132" i="40"/>
  <c r="C132" i="40"/>
  <c r="N131" i="40"/>
  <c r="M131" i="40"/>
  <c r="O131" i="40" s="1"/>
  <c r="L131" i="40"/>
  <c r="K131" i="40"/>
  <c r="J131" i="40"/>
  <c r="H131" i="40"/>
  <c r="I131" i="40" s="1"/>
  <c r="G131" i="40"/>
  <c r="E131" i="40"/>
  <c r="D131" i="40"/>
  <c r="F131" i="40" s="1"/>
  <c r="O130" i="40"/>
  <c r="L130" i="40"/>
  <c r="I130" i="40"/>
  <c r="C130" i="40" s="1"/>
  <c r="F130" i="40"/>
  <c r="O129" i="40"/>
  <c r="L129" i="40"/>
  <c r="C129" i="40" s="1"/>
  <c r="I129" i="40"/>
  <c r="F129" i="40"/>
  <c r="O128" i="40"/>
  <c r="L128" i="40"/>
  <c r="I128" i="40"/>
  <c r="F128" i="40"/>
  <c r="C128" i="40"/>
  <c r="O127" i="40"/>
  <c r="L127" i="40"/>
  <c r="I127" i="40"/>
  <c r="F127" i="40"/>
  <c r="C127" i="40" s="1"/>
  <c r="O126" i="40"/>
  <c r="L126" i="40"/>
  <c r="I126" i="40"/>
  <c r="C126" i="40" s="1"/>
  <c r="F126" i="40"/>
  <c r="N125" i="40"/>
  <c r="M125" i="40"/>
  <c r="K125" i="40"/>
  <c r="J125" i="40"/>
  <c r="H125" i="40"/>
  <c r="G125" i="40"/>
  <c r="I125" i="40" s="1"/>
  <c r="F125" i="40"/>
  <c r="E125" i="40"/>
  <c r="D125" i="40"/>
  <c r="O124" i="40"/>
  <c r="L124" i="40"/>
  <c r="I124" i="40"/>
  <c r="F124" i="40"/>
  <c r="C124" i="40"/>
  <c r="O123" i="40"/>
  <c r="L123" i="40"/>
  <c r="I123" i="40"/>
  <c r="F123" i="40"/>
  <c r="C123" i="40" s="1"/>
  <c r="O122" i="40"/>
  <c r="L122" i="40"/>
  <c r="I122" i="40"/>
  <c r="C122" i="40" s="1"/>
  <c r="F122" i="40"/>
  <c r="O121" i="40"/>
  <c r="L121" i="40"/>
  <c r="C121" i="40" s="1"/>
  <c r="I121" i="40"/>
  <c r="F121" i="40"/>
  <c r="O120" i="40"/>
  <c r="L120" i="40"/>
  <c r="I120" i="40"/>
  <c r="F120" i="40"/>
  <c r="C120" i="40"/>
  <c r="N119" i="40"/>
  <c r="M119" i="40"/>
  <c r="O119" i="40" s="1"/>
  <c r="L119" i="40"/>
  <c r="K119" i="40"/>
  <c r="J119" i="40"/>
  <c r="H119" i="40"/>
  <c r="I119" i="40" s="1"/>
  <c r="G119" i="40"/>
  <c r="E119" i="40"/>
  <c r="D119" i="40"/>
  <c r="F119" i="40" s="1"/>
  <c r="O118" i="40"/>
  <c r="L118" i="40"/>
  <c r="I118" i="40"/>
  <c r="C118" i="40" s="1"/>
  <c r="F118" i="40"/>
  <c r="O117" i="40"/>
  <c r="L117" i="40"/>
  <c r="C117" i="40" s="1"/>
  <c r="I117" i="40"/>
  <c r="F117" i="40"/>
  <c r="O116" i="40"/>
  <c r="L116" i="40"/>
  <c r="I116" i="40"/>
  <c r="F116" i="40"/>
  <c r="C116" i="40"/>
  <c r="N115" i="40"/>
  <c r="M115" i="40"/>
  <c r="O115" i="40" s="1"/>
  <c r="L115" i="40"/>
  <c r="K115" i="40"/>
  <c r="J115" i="40"/>
  <c r="H115" i="40"/>
  <c r="I115" i="40" s="1"/>
  <c r="G115" i="40"/>
  <c r="E115" i="40"/>
  <c r="D115" i="40"/>
  <c r="F115" i="40" s="1"/>
  <c r="O114" i="40"/>
  <c r="L114" i="40"/>
  <c r="I114" i="40"/>
  <c r="C114" i="40" s="1"/>
  <c r="F114" i="40"/>
  <c r="O113" i="40"/>
  <c r="L113" i="40"/>
  <c r="C113" i="40" s="1"/>
  <c r="I113" i="40"/>
  <c r="F113" i="40"/>
  <c r="O112" i="40"/>
  <c r="L112" i="40"/>
  <c r="I112" i="40"/>
  <c r="F112" i="40"/>
  <c r="C112" i="40"/>
  <c r="O111" i="40"/>
  <c r="L111" i="40"/>
  <c r="I111" i="40"/>
  <c r="F111" i="40"/>
  <c r="C111" i="40" s="1"/>
  <c r="O110" i="40"/>
  <c r="L110" i="40"/>
  <c r="I110" i="40"/>
  <c r="C110" i="40" s="1"/>
  <c r="F110" i="40"/>
  <c r="O109" i="40"/>
  <c r="L109" i="40"/>
  <c r="C109" i="40" s="1"/>
  <c r="I109" i="40"/>
  <c r="F109" i="40"/>
  <c r="O108" i="40"/>
  <c r="L108" i="40"/>
  <c r="I108" i="40"/>
  <c r="F108" i="40"/>
  <c r="C108" i="40"/>
  <c r="O107" i="40"/>
  <c r="L107" i="40"/>
  <c r="I107" i="40"/>
  <c r="F107" i="40"/>
  <c r="C107" i="40" s="1"/>
  <c r="N106" i="40"/>
  <c r="M106" i="40"/>
  <c r="O106" i="40" s="1"/>
  <c r="K106" i="40"/>
  <c r="J106" i="40"/>
  <c r="L106" i="40" s="1"/>
  <c r="I106" i="40"/>
  <c r="H106" i="40"/>
  <c r="G106" i="40"/>
  <c r="E106" i="40"/>
  <c r="F106" i="40" s="1"/>
  <c r="D106" i="40"/>
  <c r="O105" i="40"/>
  <c r="L105" i="40"/>
  <c r="C105" i="40" s="1"/>
  <c r="I105" i="40"/>
  <c r="F105" i="40"/>
  <c r="O104" i="40"/>
  <c r="L104" i="40"/>
  <c r="I104" i="40"/>
  <c r="F104" i="40"/>
  <c r="C104" i="40"/>
  <c r="O103" i="40"/>
  <c r="L103" i="40"/>
  <c r="I103" i="40"/>
  <c r="F103" i="40"/>
  <c r="C103" i="40" s="1"/>
  <c r="O102" i="40"/>
  <c r="L102" i="40"/>
  <c r="I102" i="40"/>
  <c r="C102" i="40" s="1"/>
  <c r="F102" i="40"/>
  <c r="O101" i="40"/>
  <c r="L101" i="40"/>
  <c r="C101" i="40" s="1"/>
  <c r="I101" i="40"/>
  <c r="F101" i="40"/>
  <c r="O100" i="40"/>
  <c r="L100" i="40"/>
  <c r="I100" i="40"/>
  <c r="F100" i="40"/>
  <c r="C100" i="40"/>
  <c r="O99" i="40"/>
  <c r="L99" i="40"/>
  <c r="I99" i="40"/>
  <c r="F99" i="40"/>
  <c r="C99" i="40" s="1"/>
  <c r="N98" i="40"/>
  <c r="M98" i="40"/>
  <c r="O98" i="40" s="1"/>
  <c r="K98" i="40"/>
  <c r="J98" i="40"/>
  <c r="L98" i="40" s="1"/>
  <c r="I98" i="40"/>
  <c r="H98" i="40"/>
  <c r="G98" i="40"/>
  <c r="E98" i="40"/>
  <c r="F98" i="40" s="1"/>
  <c r="D98" i="40"/>
  <c r="O97" i="40"/>
  <c r="L97" i="40"/>
  <c r="C97" i="40" s="1"/>
  <c r="I97" i="40"/>
  <c r="F97" i="40"/>
  <c r="O96" i="40"/>
  <c r="L96" i="40"/>
  <c r="I96" i="40"/>
  <c r="F96" i="40"/>
  <c r="C96" i="40"/>
  <c r="O95" i="40"/>
  <c r="L95" i="40"/>
  <c r="I95" i="40"/>
  <c r="F95" i="40"/>
  <c r="C95" i="40" s="1"/>
  <c r="O94" i="40"/>
  <c r="L94" i="40"/>
  <c r="I94" i="40"/>
  <c r="C94" i="40" s="1"/>
  <c r="F94" i="40"/>
  <c r="O93" i="40"/>
  <c r="L93" i="40"/>
  <c r="C93" i="40" s="1"/>
  <c r="I93" i="40"/>
  <c r="F93" i="40"/>
  <c r="O92" i="40"/>
  <c r="N92" i="40"/>
  <c r="M92" i="40"/>
  <c r="K92" i="40"/>
  <c r="J92" i="40"/>
  <c r="H92" i="40"/>
  <c r="G92" i="40"/>
  <c r="E92" i="40"/>
  <c r="D92" i="40"/>
  <c r="F92" i="40" s="1"/>
  <c r="O91" i="40"/>
  <c r="L91" i="40"/>
  <c r="I91" i="40"/>
  <c r="F91" i="40"/>
  <c r="C91" i="40" s="1"/>
  <c r="O90" i="40"/>
  <c r="L90" i="40"/>
  <c r="I90" i="40"/>
  <c r="C90" i="40" s="1"/>
  <c r="F90" i="40"/>
  <c r="O89" i="40"/>
  <c r="L89" i="40"/>
  <c r="C89" i="40" s="1"/>
  <c r="I89" i="40"/>
  <c r="F89" i="40"/>
  <c r="O88" i="40"/>
  <c r="L88" i="40"/>
  <c r="I88" i="40"/>
  <c r="F88" i="40"/>
  <c r="C88" i="40"/>
  <c r="N87" i="40"/>
  <c r="M87" i="40"/>
  <c r="O87" i="40" s="1"/>
  <c r="L87" i="40"/>
  <c r="K87" i="40"/>
  <c r="J87" i="40"/>
  <c r="H87" i="40"/>
  <c r="G87" i="40"/>
  <c r="E87" i="40"/>
  <c r="D87" i="40"/>
  <c r="O85" i="40"/>
  <c r="L85" i="40"/>
  <c r="C85" i="40" s="1"/>
  <c r="I85" i="40"/>
  <c r="F85" i="40"/>
  <c r="O84" i="40"/>
  <c r="L84" i="40"/>
  <c r="I84" i="40"/>
  <c r="F84" i="40"/>
  <c r="C84" i="40"/>
  <c r="N83" i="40"/>
  <c r="M83" i="40"/>
  <c r="O83" i="40" s="1"/>
  <c r="L83" i="40"/>
  <c r="K83" i="40"/>
  <c r="J83" i="40"/>
  <c r="H83" i="40"/>
  <c r="I83" i="40" s="1"/>
  <c r="G83" i="40"/>
  <c r="E83" i="40"/>
  <c r="D83" i="40"/>
  <c r="F83" i="40" s="1"/>
  <c r="O82" i="40"/>
  <c r="L82" i="40"/>
  <c r="I82" i="40"/>
  <c r="C82" i="40" s="1"/>
  <c r="F82" i="40"/>
  <c r="O81" i="40"/>
  <c r="L81" i="40"/>
  <c r="C81" i="40" s="1"/>
  <c r="I81" i="40"/>
  <c r="F81" i="40"/>
  <c r="O80" i="40"/>
  <c r="N80" i="40"/>
  <c r="M80" i="40"/>
  <c r="K80" i="40"/>
  <c r="J80" i="40"/>
  <c r="H80" i="40"/>
  <c r="G80" i="40"/>
  <c r="E80" i="40"/>
  <c r="D80" i="40"/>
  <c r="F80" i="40" s="1"/>
  <c r="N79" i="40"/>
  <c r="M79" i="40"/>
  <c r="O79" i="40" s="1"/>
  <c r="J79" i="40"/>
  <c r="H79" i="40"/>
  <c r="E79" i="40"/>
  <c r="D79" i="40"/>
  <c r="O77" i="40"/>
  <c r="L77" i="40"/>
  <c r="C77" i="40" s="1"/>
  <c r="I77" i="40"/>
  <c r="F77" i="40"/>
  <c r="O76" i="40"/>
  <c r="L76" i="40"/>
  <c r="I76" i="40"/>
  <c r="F76" i="40"/>
  <c r="C76" i="40"/>
  <c r="O75" i="40"/>
  <c r="L75" i="40"/>
  <c r="I75" i="40"/>
  <c r="F75" i="40"/>
  <c r="C75" i="40" s="1"/>
  <c r="O74" i="40"/>
  <c r="L74" i="40"/>
  <c r="I74" i="40"/>
  <c r="C74" i="40" s="1"/>
  <c r="F74" i="40"/>
  <c r="O73" i="40"/>
  <c r="L73" i="40"/>
  <c r="G73" i="40"/>
  <c r="I73" i="40" s="1"/>
  <c r="D73" i="40"/>
  <c r="N72" i="40"/>
  <c r="N70" i="40" s="1"/>
  <c r="M72" i="40"/>
  <c r="K72" i="40"/>
  <c r="J72" i="40"/>
  <c r="L72" i="40" s="1"/>
  <c r="I72" i="40"/>
  <c r="H72" i="40"/>
  <c r="G72" i="40"/>
  <c r="E72" i="40"/>
  <c r="E70" i="40" s="1"/>
  <c r="O71" i="40"/>
  <c r="L71" i="40"/>
  <c r="C71" i="40" s="1"/>
  <c r="I71" i="40"/>
  <c r="F71" i="40"/>
  <c r="K70" i="40"/>
  <c r="K56" i="40" s="1"/>
  <c r="H70" i="40"/>
  <c r="G70" i="40"/>
  <c r="I70" i="40" s="1"/>
  <c r="O69" i="40"/>
  <c r="L69" i="40"/>
  <c r="I69" i="40"/>
  <c r="F69" i="40"/>
  <c r="C69" i="40" s="1"/>
  <c r="O68" i="40"/>
  <c r="L68" i="40"/>
  <c r="I68" i="40"/>
  <c r="C68" i="40" s="1"/>
  <c r="F68" i="40"/>
  <c r="O67" i="40"/>
  <c r="L67" i="40"/>
  <c r="I67" i="40"/>
  <c r="F67" i="40"/>
  <c r="C67" i="40"/>
  <c r="O66" i="40"/>
  <c r="L66" i="40"/>
  <c r="I66" i="40"/>
  <c r="F66" i="40"/>
  <c r="C66" i="40" s="1"/>
  <c r="O65" i="40"/>
  <c r="L65" i="40"/>
  <c r="I65" i="40"/>
  <c r="F65" i="40"/>
  <c r="O64" i="40"/>
  <c r="L64" i="40"/>
  <c r="I64" i="40"/>
  <c r="C64" i="40" s="1"/>
  <c r="D64" i="40"/>
  <c r="F64" i="40" s="1"/>
  <c r="O63" i="40"/>
  <c r="L63" i="40"/>
  <c r="I63" i="40"/>
  <c r="F63" i="40"/>
  <c r="C63" i="40" s="1"/>
  <c r="O62" i="40"/>
  <c r="L62" i="40"/>
  <c r="I62" i="40"/>
  <c r="F62" i="40"/>
  <c r="N61" i="40"/>
  <c r="N57" i="40" s="1"/>
  <c r="N56" i="40" s="1"/>
  <c r="M61" i="40"/>
  <c r="K61" i="40"/>
  <c r="J61" i="40"/>
  <c r="L61" i="40" s="1"/>
  <c r="I61" i="40"/>
  <c r="H61" i="40"/>
  <c r="G61" i="40"/>
  <c r="E61" i="40"/>
  <c r="O60" i="40"/>
  <c r="L60" i="40"/>
  <c r="C60" i="40" s="1"/>
  <c r="I60" i="40"/>
  <c r="F60" i="40"/>
  <c r="O59" i="40"/>
  <c r="L59" i="40"/>
  <c r="I59" i="40"/>
  <c r="F59" i="40"/>
  <c r="C59" i="40"/>
  <c r="N58" i="40"/>
  <c r="M58" i="40"/>
  <c r="O58" i="40" s="1"/>
  <c r="L58" i="40"/>
  <c r="K58" i="40"/>
  <c r="J58" i="40"/>
  <c r="I58" i="40"/>
  <c r="H58" i="40"/>
  <c r="H57" i="40" s="1"/>
  <c r="H56" i="40" s="1"/>
  <c r="G58" i="40"/>
  <c r="E58" i="40"/>
  <c r="D58" i="40"/>
  <c r="K57" i="40"/>
  <c r="J57" i="40"/>
  <c r="L57" i="40" s="1"/>
  <c r="I57" i="40"/>
  <c r="G57" i="40"/>
  <c r="E57" i="40"/>
  <c r="E56" i="40" s="1"/>
  <c r="O50" i="40"/>
  <c r="C50" i="40"/>
  <c r="O49" i="40"/>
  <c r="C49" i="40"/>
  <c r="N48" i="40"/>
  <c r="O48" i="40" s="1"/>
  <c r="C48" i="40" s="1"/>
  <c r="M48" i="40"/>
  <c r="L47" i="40"/>
  <c r="I47" i="40"/>
  <c r="F47" i="40"/>
  <c r="K46" i="40"/>
  <c r="L46" i="40" s="1"/>
  <c r="J46" i="40"/>
  <c r="H46" i="40"/>
  <c r="H24" i="40" s="1"/>
  <c r="G46" i="40"/>
  <c r="E46" i="40"/>
  <c r="D46" i="40"/>
  <c r="F46" i="40" s="1"/>
  <c r="F45" i="40"/>
  <c r="C45" i="40"/>
  <c r="J44" i="40"/>
  <c r="J40" i="40" s="1"/>
  <c r="L40" i="40" s="1"/>
  <c r="C40" i="40" s="1"/>
  <c r="L43" i="40"/>
  <c r="C43" i="40"/>
  <c r="L42" i="40"/>
  <c r="C42" i="40" s="1"/>
  <c r="L41" i="40"/>
  <c r="C41" i="40"/>
  <c r="K40" i="40"/>
  <c r="L39" i="40"/>
  <c r="C39" i="40" s="1"/>
  <c r="L38" i="40"/>
  <c r="C38" i="40"/>
  <c r="L37" i="40"/>
  <c r="C37" i="40" s="1"/>
  <c r="K37" i="40"/>
  <c r="J37" i="40"/>
  <c r="L36" i="40"/>
  <c r="C36" i="40" s="1"/>
  <c r="K35" i="40"/>
  <c r="K30" i="40" s="1"/>
  <c r="J35" i="40"/>
  <c r="L34" i="40"/>
  <c r="C34" i="40"/>
  <c r="L33" i="40"/>
  <c r="C33" i="40" s="1"/>
  <c r="L32" i="40"/>
  <c r="C32" i="40"/>
  <c r="L31" i="40"/>
  <c r="C31" i="40" s="1"/>
  <c r="K31" i="40"/>
  <c r="J31" i="40"/>
  <c r="F29" i="40"/>
  <c r="C29" i="40" s="1"/>
  <c r="I28" i="40"/>
  <c r="F28" i="40"/>
  <c r="C28" i="40" s="1"/>
  <c r="O27" i="40"/>
  <c r="L27" i="40"/>
  <c r="I27" i="40"/>
  <c r="F27" i="40"/>
  <c r="O26" i="40"/>
  <c r="L26" i="40"/>
  <c r="I26" i="40"/>
  <c r="C26" i="40" s="1"/>
  <c r="F26" i="40"/>
  <c r="O25" i="40"/>
  <c r="N25" i="40"/>
  <c r="M25" i="40"/>
  <c r="M290" i="40" s="1"/>
  <c r="K25" i="40"/>
  <c r="K290" i="40" s="1"/>
  <c r="K289" i="40" s="1"/>
  <c r="J25" i="40"/>
  <c r="H25" i="40"/>
  <c r="H290" i="40" s="1"/>
  <c r="H289" i="40" s="1"/>
  <c r="G25" i="40"/>
  <c r="G24" i="40" s="1"/>
  <c r="F25" i="40"/>
  <c r="E25" i="40"/>
  <c r="E290" i="40" s="1"/>
  <c r="E289" i="40" s="1"/>
  <c r="D25" i="40"/>
  <c r="D290" i="40" s="1"/>
  <c r="M24" i="40"/>
  <c r="K24" i="40"/>
  <c r="E24" i="40"/>
  <c r="D24" i="40"/>
  <c r="O299" i="39"/>
  <c r="L299" i="39"/>
  <c r="I299" i="39"/>
  <c r="F299" i="39"/>
  <c r="O298" i="39"/>
  <c r="L298" i="39"/>
  <c r="I298" i="39"/>
  <c r="C298" i="39" s="1"/>
  <c r="F298" i="39"/>
  <c r="O297" i="39"/>
  <c r="L297" i="39"/>
  <c r="I297" i="39"/>
  <c r="F297" i="39"/>
  <c r="C297" i="39"/>
  <c r="O296" i="39"/>
  <c r="L296" i="39"/>
  <c r="I296" i="39"/>
  <c r="F296" i="39"/>
  <c r="C296" i="39" s="1"/>
  <c r="O295" i="39"/>
  <c r="L295" i="39"/>
  <c r="I295" i="39"/>
  <c r="F295" i="39"/>
  <c r="O294" i="39"/>
  <c r="L294" i="39"/>
  <c r="I294" i="39"/>
  <c r="C294" i="39" s="1"/>
  <c r="F294" i="39"/>
  <c r="O293" i="39"/>
  <c r="L293" i="39"/>
  <c r="I293" i="39"/>
  <c r="F293" i="39"/>
  <c r="C293" i="39" s="1"/>
  <c r="O292" i="39"/>
  <c r="L292" i="39"/>
  <c r="I292" i="39"/>
  <c r="F292" i="39"/>
  <c r="C292" i="39"/>
  <c r="N291" i="39"/>
  <c r="M291" i="39"/>
  <c r="O291" i="39" s="1"/>
  <c r="K291" i="39"/>
  <c r="J291" i="39"/>
  <c r="L291" i="39" s="1"/>
  <c r="I291" i="39"/>
  <c r="H291" i="39"/>
  <c r="G291" i="39"/>
  <c r="E291" i="39"/>
  <c r="F291" i="39" s="1"/>
  <c r="D291" i="39"/>
  <c r="O286" i="39"/>
  <c r="L286" i="39"/>
  <c r="I286" i="39"/>
  <c r="F286" i="39"/>
  <c r="C286" i="39"/>
  <c r="O285" i="39"/>
  <c r="L285" i="39"/>
  <c r="I285" i="39"/>
  <c r="F285" i="39"/>
  <c r="C285" i="39" s="1"/>
  <c r="N284" i="39"/>
  <c r="M284" i="39"/>
  <c r="K284" i="39"/>
  <c r="L284" i="39" s="1"/>
  <c r="J284" i="39"/>
  <c r="I284" i="39"/>
  <c r="H284" i="39"/>
  <c r="G284" i="39"/>
  <c r="E284" i="39"/>
  <c r="D284" i="39"/>
  <c r="F284" i="39" s="1"/>
  <c r="O283" i="39"/>
  <c r="L283" i="39"/>
  <c r="I283" i="39"/>
  <c r="F283" i="39"/>
  <c r="C283" i="39" s="1"/>
  <c r="O282" i="39"/>
  <c r="N282" i="39"/>
  <c r="M282" i="39"/>
  <c r="K282" i="39"/>
  <c r="J282" i="39"/>
  <c r="L282" i="39" s="1"/>
  <c r="H282" i="39"/>
  <c r="G282" i="39"/>
  <c r="I282" i="39" s="1"/>
  <c r="E282" i="39"/>
  <c r="F282" i="39" s="1"/>
  <c r="D282" i="39"/>
  <c r="O281" i="39"/>
  <c r="L281" i="39"/>
  <c r="I281" i="39"/>
  <c r="F281" i="39"/>
  <c r="C281" i="39" s="1"/>
  <c r="O280" i="39"/>
  <c r="L280" i="39"/>
  <c r="I280" i="39"/>
  <c r="C280" i="39" s="1"/>
  <c r="F280" i="39"/>
  <c r="O279" i="39"/>
  <c r="L279" i="39"/>
  <c r="I279" i="39"/>
  <c r="F279" i="39"/>
  <c r="C279" i="39" s="1"/>
  <c r="O278" i="39"/>
  <c r="N278" i="39"/>
  <c r="M278" i="39"/>
  <c r="K278" i="39"/>
  <c r="J278" i="39"/>
  <c r="L278" i="39" s="1"/>
  <c r="H278" i="39"/>
  <c r="G278" i="39"/>
  <c r="I278" i="39" s="1"/>
  <c r="E278" i="39"/>
  <c r="F278" i="39" s="1"/>
  <c r="C278" i="39" s="1"/>
  <c r="D278" i="39"/>
  <c r="O277" i="39"/>
  <c r="L277" i="39"/>
  <c r="I277" i="39"/>
  <c r="F277" i="39"/>
  <c r="C277" i="39" s="1"/>
  <c r="O276" i="39"/>
  <c r="L276" i="39"/>
  <c r="I276" i="39"/>
  <c r="C276" i="39" s="1"/>
  <c r="F276" i="39"/>
  <c r="O275" i="39"/>
  <c r="L275" i="39"/>
  <c r="I275" i="39"/>
  <c r="F275" i="39"/>
  <c r="C275" i="39" s="1"/>
  <c r="O274" i="39"/>
  <c r="N274" i="39"/>
  <c r="N272" i="39" s="1"/>
  <c r="N271" i="39" s="1"/>
  <c r="M274" i="39"/>
  <c r="K274" i="39"/>
  <c r="K272" i="39" s="1"/>
  <c r="K271" i="39" s="1"/>
  <c r="J274" i="39"/>
  <c r="L274" i="39" s="1"/>
  <c r="H274" i="39"/>
  <c r="G274" i="39"/>
  <c r="I274" i="39" s="1"/>
  <c r="E274" i="39"/>
  <c r="F274" i="39" s="1"/>
  <c r="D274" i="39"/>
  <c r="O273" i="39"/>
  <c r="L273" i="39"/>
  <c r="I273" i="39"/>
  <c r="F273" i="39"/>
  <c r="C273" i="39" s="1"/>
  <c r="M272" i="39"/>
  <c r="M271" i="39" s="1"/>
  <c r="O271" i="39" s="1"/>
  <c r="H272" i="39"/>
  <c r="E272" i="39"/>
  <c r="E271" i="39" s="1"/>
  <c r="F271" i="39" s="1"/>
  <c r="D272" i="39"/>
  <c r="F272" i="39" s="1"/>
  <c r="H271" i="39"/>
  <c r="D271" i="39"/>
  <c r="O270" i="39"/>
  <c r="L270" i="39"/>
  <c r="I270" i="39"/>
  <c r="F270" i="39"/>
  <c r="C270" i="39"/>
  <c r="O269" i="39"/>
  <c r="L269" i="39"/>
  <c r="I269" i="39"/>
  <c r="F269" i="39"/>
  <c r="C269" i="39" s="1"/>
  <c r="O268" i="39"/>
  <c r="L268" i="39"/>
  <c r="I268" i="39"/>
  <c r="C268" i="39" s="1"/>
  <c r="F268" i="39"/>
  <c r="O267" i="39"/>
  <c r="L267" i="39"/>
  <c r="I267" i="39"/>
  <c r="F267" i="39"/>
  <c r="C267" i="39" s="1"/>
  <c r="O266" i="39"/>
  <c r="N266" i="39"/>
  <c r="M266" i="39"/>
  <c r="K266" i="39"/>
  <c r="J266" i="39"/>
  <c r="L266" i="39" s="1"/>
  <c r="H266" i="39"/>
  <c r="G266" i="39"/>
  <c r="I266" i="39" s="1"/>
  <c r="E266" i="39"/>
  <c r="F266" i="39" s="1"/>
  <c r="D266" i="39"/>
  <c r="O265" i="39"/>
  <c r="L265" i="39"/>
  <c r="I265" i="39"/>
  <c r="F265" i="39"/>
  <c r="C265" i="39" s="1"/>
  <c r="O264" i="39"/>
  <c r="L264" i="39"/>
  <c r="I264" i="39"/>
  <c r="C264" i="39" s="1"/>
  <c r="F264" i="39"/>
  <c r="O263" i="39"/>
  <c r="L263" i="39"/>
  <c r="I263" i="39"/>
  <c r="F263" i="39"/>
  <c r="C263" i="39" s="1"/>
  <c r="O262" i="39"/>
  <c r="N262" i="39"/>
  <c r="M262" i="39"/>
  <c r="M261" i="39" s="1"/>
  <c r="O261" i="39" s="1"/>
  <c r="K262" i="39"/>
  <c r="K261" i="39" s="1"/>
  <c r="L261" i="39" s="1"/>
  <c r="J262" i="39"/>
  <c r="L262" i="39" s="1"/>
  <c r="H262" i="39"/>
  <c r="G262" i="39"/>
  <c r="G261" i="39" s="1"/>
  <c r="I261" i="39" s="1"/>
  <c r="E262" i="39"/>
  <c r="F262" i="39" s="1"/>
  <c r="D262" i="39"/>
  <c r="N261" i="39"/>
  <c r="J261" i="39"/>
  <c r="H261" i="39"/>
  <c r="D261" i="39"/>
  <c r="O260" i="39"/>
  <c r="L260" i="39"/>
  <c r="I260" i="39"/>
  <c r="C260" i="39" s="1"/>
  <c r="F260" i="39"/>
  <c r="O259" i="39"/>
  <c r="L259" i="39"/>
  <c r="I259" i="39"/>
  <c r="F259" i="39"/>
  <c r="C259" i="39" s="1"/>
  <c r="O258" i="39"/>
  <c r="L258" i="39"/>
  <c r="I258" i="39"/>
  <c r="F258" i="39"/>
  <c r="C258" i="39"/>
  <c r="O257" i="39"/>
  <c r="L257" i="39"/>
  <c r="I257" i="39"/>
  <c r="F257" i="39"/>
  <c r="C257" i="39" s="1"/>
  <c r="O256" i="39"/>
  <c r="L256" i="39"/>
  <c r="I256" i="39"/>
  <c r="C256" i="39" s="1"/>
  <c r="F256" i="39"/>
  <c r="N255" i="39"/>
  <c r="N254" i="39" s="1"/>
  <c r="O254" i="39" s="1"/>
  <c r="M255" i="39"/>
  <c r="O255" i="39" s="1"/>
  <c r="K255" i="39"/>
  <c r="J255" i="39"/>
  <c r="J254" i="39" s="1"/>
  <c r="L254" i="39" s="1"/>
  <c r="H255" i="39"/>
  <c r="I255" i="39" s="1"/>
  <c r="G255" i="39"/>
  <c r="F255" i="39"/>
  <c r="E255" i="39"/>
  <c r="D255" i="39"/>
  <c r="D254" i="39" s="1"/>
  <c r="F254" i="39" s="1"/>
  <c r="M254" i="39"/>
  <c r="K254" i="39"/>
  <c r="G254" i="39"/>
  <c r="E254" i="39"/>
  <c r="O253" i="39"/>
  <c r="L253" i="39"/>
  <c r="I253" i="39"/>
  <c r="F253" i="39"/>
  <c r="C253" i="39" s="1"/>
  <c r="O252" i="39"/>
  <c r="L252" i="39"/>
  <c r="I252" i="39"/>
  <c r="C252" i="39" s="1"/>
  <c r="F252" i="39"/>
  <c r="O251" i="39"/>
  <c r="L251" i="39"/>
  <c r="I251" i="39"/>
  <c r="F251" i="39"/>
  <c r="C251" i="39" s="1"/>
  <c r="O250" i="39"/>
  <c r="L250" i="39"/>
  <c r="I250" i="39"/>
  <c r="F250" i="39"/>
  <c r="C250" i="39"/>
  <c r="N249" i="39"/>
  <c r="M249" i="39"/>
  <c r="O249" i="39" s="1"/>
  <c r="L249" i="39"/>
  <c r="K249" i="39"/>
  <c r="J249" i="39"/>
  <c r="H249" i="39"/>
  <c r="G249" i="39"/>
  <c r="I249" i="39" s="1"/>
  <c r="E249" i="39"/>
  <c r="D249" i="39"/>
  <c r="F249" i="39" s="1"/>
  <c r="O248" i="39"/>
  <c r="L248" i="39"/>
  <c r="I248" i="39"/>
  <c r="C248" i="39" s="1"/>
  <c r="F248" i="39"/>
  <c r="O247" i="39"/>
  <c r="L247" i="39"/>
  <c r="I247" i="39"/>
  <c r="F247" i="39"/>
  <c r="C247" i="39" s="1"/>
  <c r="O246" i="39"/>
  <c r="L246" i="39"/>
  <c r="I246" i="39"/>
  <c r="F246" i="39"/>
  <c r="C246" i="39"/>
  <c r="O245" i="39"/>
  <c r="L245" i="39"/>
  <c r="I245" i="39"/>
  <c r="F245" i="39"/>
  <c r="C245" i="39" s="1"/>
  <c r="O244" i="39"/>
  <c r="L244" i="39"/>
  <c r="I244" i="39"/>
  <c r="C244" i="39" s="1"/>
  <c r="F244" i="39"/>
  <c r="O243" i="39"/>
  <c r="L243" i="39"/>
  <c r="I243" i="39"/>
  <c r="F243" i="39"/>
  <c r="C243" i="39" s="1"/>
  <c r="O242" i="39"/>
  <c r="L242" i="39"/>
  <c r="I242" i="39"/>
  <c r="F242" i="39"/>
  <c r="C242" i="39"/>
  <c r="N241" i="39"/>
  <c r="O241" i="39" s="1"/>
  <c r="M241" i="39"/>
  <c r="L241" i="39"/>
  <c r="K241" i="39"/>
  <c r="J241" i="39"/>
  <c r="J234" i="39" s="1"/>
  <c r="H241" i="39"/>
  <c r="H234" i="39" s="1"/>
  <c r="G241" i="39"/>
  <c r="I241" i="39" s="1"/>
  <c r="E241" i="39"/>
  <c r="D241" i="39"/>
  <c r="F241" i="39" s="1"/>
  <c r="C241" i="39" s="1"/>
  <c r="O240" i="39"/>
  <c r="L240" i="39"/>
  <c r="I240" i="39"/>
  <c r="C240" i="39" s="1"/>
  <c r="F240" i="39"/>
  <c r="O239" i="39"/>
  <c r="L239" i="39"/>
  <c r="I239" i="39"/>
  <c r="F239" i="39"/>
  <c r="C239" i="39" s="1"/>
  <c r="O238" i="39"/>
  <c r="N238" i="39"/>
  <c r="M238" i="39"/>
  <c r="K238" i="39"/>
  <c r="J238" i="39"/>
  <c r="L238" i="39" s="1"/>
  <c r="H238" i="39"/>
  <c r="G238" i="39"/>
  <c r="I238" i="39" s="1"/>
  <c r="E238" i="39"/>
  <c r="D238" i="39"/>
  <c r="F238" i="39" s="1"/>
  <c r="O237" i="39"/>
  <c r="L237" i="39"/>
  <c r="I237" i="39"/>
  <c r="F237" i="39"/>
  <c r="C237" i="39" s="1"/>
  <c r="N236" i="39"/>
  <c r="M236" i="39"/>
  <c r="O236" i="39" s="1"/>
  <c r="K236" i="39"/>
  <c r="J236" i="39"/>
  <c r="L236" i="39" s="1"/>
  <c r="I236" i="39"/>
  <c r="H236" i="39"/>
  <c r="G236" i="39"/>
  <c r="E236" i="39"/>
  <c r="E234" i="39" s="1"/>
  <c r="D236" i="39"/>
  <c r="F236" i="39" s="1"/>
  <c r="O235" i="39"/>
  <c r="L235" i="39"/>
  <c r="I235" i="39"/>
  <c r="F235" i="39"/>
  <c r="C235" i="39" s="1"/>
  <c r="K234" i="39"/>
  <c r="G234" i="39"/>
  <c r="G233" i="39" s="1"/>
  <c r="O232" i="39"/>
  <c r="L232" i="39"/>
  <c r="I232" i="39"/>
  <c r="C232" i="39" s="1"/>
  <c r="F232" i="39"/>
  <c r="O231" i="39"/>
  <c r="L231" i="39"/>
  <c r="I231" i="39"/>
  <c r="F231" i="39"/>
  <c r="C231" i="39" s="1"/>
  <c r="O230" i="39"/>
  <c r="N230" i="39"/>
  <c r="M230" i="39"/>
  <c r="K230" i="39"/>
  <c r="J230" i="39"/>
  <c r="L230" i="39" s="1"/>
  <c r="H230" i="39"/>
  <c r="G230" i="39"/>
  <c r="I230" i="39" s="1"/>
  <c r="E230" i="39"/>
  <c r="D230" i="39"/>
  <c r="F230" i="39" s="1"/>
  <c r="O229" i="39"/>
  <c r="L229" i="39"/>
  <c r="I229" i="39"/>
  <c r="F229" i="39"/>
  <c r="C229" i="39" s="1"/>
  <c r="O228" i="39"/>
  <c r="L228" i="39"/>
  <c r="I228" i="39"/>
  <c r="C228" i="39" s="1"/>
  <c r="F228" i="39"/>
  <c r="O227" i="39"/>
  <c r="L227" i="39"/>
  <c r="I227" i="39"/>
  <c r="F227" i="39"/>
  <c r="C227" i="39" s="1"/>
  <c r="O226" i="39"/>
  <c r="L226" i="39"/>
  <c r="I226" i="39"/>
  <c r="F226" i="39"/>
  <c r="C226" i="39"/>
  <c r="O225" i="39"/>
  <c r="L225" i="39"/>
  <c r="I225" i="39"/>
  <c r="F225" i="39"/>
  <c r="C225" i="39" s="1"/>
  <c r="O224" i="39"/>
  <c r="L224" i="39"/>
  <c r="I224" i="39"/>
  <c r="C224" i="39" s="1"/>
  <c r="F224" i="39"/>
  <c r="O223" i="39"/>
  <c r="L223" i="39"/>
  <c r="I223" i="39"/>
  <c r="F223" i="39"/>
  <c r="C223" i="39" s="1"/>
  <c r="O222" i="39"/>
  <c r="L222" i="39"/>
  <c r="I222" i="39"/>
  <c r="F222" i="39"/>
  <c r="C222" i="39"/>
  <c r="O221" i="39"/>
  <c r="L221" i="39"/>
  <c r="I221" i="39"/>
  <c r="F221" i="39"/>
  <c r="C221" i="39" s="1"/>
  <c r="O220" i="39"/>
  <c r="L220" i="39"/>
  <c r="I220" i="39"/>
  <c r="C220" i="39" s="1"/>
  <c r="F220" i="39"/>
  <c r="N219" i="39"/>
  <c r="M219" i="39"/>
  <c r="O219" i="39" s="1"/>
  <c r="K219" i="39"/>
  <c r="J219" i="39"/>
  <c r="L219" i="39" s="1"/>
  <c r="H219" i="39"/>
  <c r="G219" i="39"/>
  <c r="I219" i="39" s="1"/>
  <c r="F219" i="39"/>
  <c r="E219" i="39"/>
  <c r="D219" i="39"/>
  <c r="O218" i="39"/>
  <c r="L218" i="39"/>
  <c r="I218" i="39"/>
  <c r="F218" i="39"/>
  <c r="C218" i="39"/>
  <c r="O217" i="39"/>
  <c r="L217" i="39"/>
  <c r="I217" i="39"/>
  <c r="F217" i="39"/>
  <c r="C217" i="39" s="1"/>
  <c r="O216" i="39"/>
  <c r="L216" i="39"/>
  <c r="I216" i="39"/>
  <c r="C216" i="39" s="1"/>
  <c r="F216" i="39"/>
  <c r="O215" i="39"/>
  <c r="L215" i="39"/>
  <c r="I215" i="39"/>
  <c r="F215" i="39"/>
  <c r="C215" i="39" s="1"/>
  <c r="O214" i="39"/>
  <c r="L214" i="39"/>
  <c r="I214" i="39"/>
  <c r="F214" i="39"/>
  <c r="C214" i="39"/>
  <c r="O213" i="39"/>
  <c r="L213" i="39"/>
  <c r="I213" i="39"/>
  <c r="F213" i="39"/>
  <c r="C213" i="39" s="1"/>
  <c r="O212" i="39"/>
  <c r="L212" i="39"/>
  <c r="I212" i="39"/>
  <c r="C212" i="39" s="1"/>
  <c r="F212" i="39"/>
  <c r="O211" i="39"/>
  <c r="L211" i="39"/>
  <c r="I211" i="39"/>
  <c r="F211" i="39"/>
  <c r="C211" i="39" s="1"/>
  <c r="O210" i="39"/>
  <c r="L210" i="39"/>
  <c r="I210" i="39"/>
  <c r="F210" i="39"/>
  <c r="C210" i="39"/>
  <c r="O209" i="39"/>
  <c r="L209" i="39"/>
  <c r="I209" i="39"/>
  <c r="F209" i="39"/>
  <c r="C209" i="39" s="1"/>
  <c r="N208" i="39"/>
  <c r="M208" i="39"/>
  <c r="M207" i="39" s="1"/>
  <c r="K208" i="39"/>
  <c r="K207" i="39" s="1"/>
  <c r="K198" i="39" s="1"/>
  <c r="J208" i="39"/>
  <c r="L208" i="39" s="1"/>
  <c r="I208" i="39"/>
  <c r="H208" i="39"/>
  <c r="G208" i="39"/>
  <c r="G207" i="39" s="1"/>
  <c r="E208" i="39"/>
  <c r="E207" i="39" s="1"/>
  <c r="D208" i="39"/>
  <c r="F208" i="39" s="1"/>
  <c r="N207" i="39"/>
  <c r="J207" i="39"/>
  <c r="L207" i="39" s="1"/>
  <c r="H207" i="39"/>
  <c r="D207" i="39"/>
  <c r="O206" i="39"/>
  <c r="L206" i="39"/>
  <c r="I206" i="39"/>
  <c r="F206" i="39"/>
  <c r="C206" i="39"/>
  <c r="O205" i="39"/>
  <c r="L205" i="39"/>
  <c r="I205" i="39"/>
  <c r="F205" i="39"/>
  <c r="C205" i="39" s="1"/>
  <c r="O204" i="39"/>
  <c r="L204" i="39"/>
  <c r="I204" i="39"/>
  <c r="C204" i="39" s="1"/>
  <c r="F204" i="39"/>
  <c r="O203" i="39"/>
  <c r="L203" i="39"/>
  <c r="I203" i="39"/>
  <c r="F203" i="39"/>
  <c r="C203" i="39" s="1"/>
  <c r="O202" i="39"/>
  <c r="L202" i="39"/>
  <c r="I202" i="39"/>
  <c r="F202" i="39"/>
  <c r="C202" i="39"/>
  <c r="N201" i="39"/>
  <c r="O201" i="39" s="1"/>
  <c r="M201" i="39"/>
  <c r="L201" i="39"/>
  <c r="K201" i="39"/>
  <c r="J201" i="39"/>
  <c r="H201" i="39"/>
  <c r="H199" i="39" s="1"/>
  <c r="G201" i="39"/>
  <c r="I201" i="39" s="1"/>
  <c r="E201" i="39"/>
  <c r="D201" i="39"/>
  <c r="F201" i="39" s="1"/>
  <c r="C201" i="39" s="1"/>
  <c r="O200" i="39"/>
  <c r="L200" i="39"/>
  <c r="I200" i="39"/>
  <c r="C200" i="39" s="1"/>
  <c r="F200" i="39"/>
  <c r="N199" i="39"/>
  <c r="N198" i="39" s="1"/>
  <c r="M199" i="39"/>
  <c r="O199" i="39" s="1"/>
  <c r="K199" i="39"/>
  <c r="J199" i="39"/>
  <c r="J198" i="39" s="1"/>
  <c r="G199" i="39"/>
  <c r="E199" i="39"/>
  <c r="O196" i="39"/>
  <c r="L196" i="39"/>
  <c r="I196" i="39"/>
  <c r="C196" i="39" s="1"/>
  <c r="F196" i="39"/>
  <c r="N195" i="39"/>
  <c r="N194" i="39" s="1"/>
  <c r="O194" i="39" s="1"/>
  <c r="M195" i="39"/>
  <c r="O195" i="39" s="1"/>
  <c r="K195" i="39"/>
  <c r="J195" i="39"/>
  <c r="J194" i="39" s="1"/>
  <c r="L194" i="39" s="1"/>
  <c r="H195" i="39"/>
  <c r="I195" i="39" s="1"/>
  <c r="G195" i="39"/>
  <c r="F195" i="39"/>
  <c r="E195" i="39"/>
  <c r="D195" i="39"/>
  <c r="D194" i="39" s="1"/>
  <c r="F194" i="39" s="1"/>
  <c r="M194" i="39"/>
  <c r="K194" i="39"/>
  <c r="G194" i="39"/>
  <c r="E194" i="39"/>
  <c r="O193" i="39"/>
  <c r="L193" i="39"/>
  <c r="I193" i="39"/>
  <c r="F193" i="39"/>
  <c r="C193" i="39" s="1"/>
  <c r="O192" i="39"/>
  <c r="L192" i="39"/>
  <c r="I192" i="39"/>
  <c r="C192" i="39" s="1"/>
  <c r="F192" i="39"/>
  <c r="N191" i="39"/>
  <c r="N190" i="39" s="1"/>
  <c r="O190" i="39" s="1"/>
  <c r="M191" i="39"/>
  <c r="O191" i="39" s="1"/>
  <c r="K191" i="39"/>
  <c r="J191" i="39"/>
  <c r="J190" i="39" s="1"/>
  <c r="L190" i="39" s="1"/>
  <c r="H191" i="39"/>
  <c r="I191" i="39" s="1"/>
  <c r="G191" i="39"/>
  <c r="F191" i="39"/>
  <c r="E191" i="39"/>
  <c r="D191" i="39"/>
  <c r="D190" i="39" s="1"/>
  <c r="F190" i="39" s="1"/>
  <c r="M190" i="39"/>
  <c r="K190" i="39"/>
  <c r="G190" i="39"/>
  <c r="E190" i="39"/>
  <c r="O189" i="39"/>
  <c r="L189" i="39"/>
  <c r="I189" i="39"/>
  <c r="F189" i="39"/>
  <c r="C189" i="39" s="1"/>
  <c r="O188" i="39"/>
  <c r="L188" i="39"/>
  <c r="I188" i="39"/>
  <c r="C188" i="39" s="1"/>
  <c r="F188" i="39"/>
  <c r="N187" i="39"/>
  <c r="N176" i="39" s="1"/>
  <c r="M187" i="39"/>
  <c r="O187" i="39" s="1"/>
  <c r="K187" i="39"/>
  <c r="J187" i="39"/>
  <c r="L187" i="39" s="1"/>
  <c r="H187" i="39"/>
  <c r="G187" i="39"/>
  <c r="I187" i="39" s="1"/>
  <c r="F187" i="39"/>
  <c r="E187" i="39"/>
  <c r="D187" i="39"/>
  <c r="O186" i="39"/>
  <c r="L186" i="39"/>
  <c r="I186" i="39"/>
  <c r="F186" i="39"/>
  <c r="C186" i="39"/>
  <c r="O185" i="39"/>
  <c r="L185" i="39"/>
  <c r="I185" i="39"/>
  <c r="F185" i="39"/>
  <c r="C185" i="39" s="1"/>
  <c r="O184" i="39"/>
  <c r="L184" i="39"/>
  <c r="I184" i="39"/>
  <c r="C184" i="39" s="1"/>
  <c r="F184" i="39"/>
  <c r="O183" i="39"/>
  <c r="L183" i="39"/>
  <c r="I183" i="39"/>
  <c r="F183" i="39"/>
  <c r="C183" i="39" s="1"/>
  <c r="O182" i="39"/>
  <c r="N182" i="39"/>
  <c r="M182" i="39"/>
  <c r="K182" i="39"/>
  <c r="J182" i="39"/>
  <c r="L182" i="39" s="1"/>
  <c r="H182" i="39"/>
  <c r="G182" i="39"/>
  <c r="I182" i="39" s="1"/>
  <c r="E182" i="39"/>
  <c r="D182" i="39"/>
  <c r="F182" i="39" s="1"/>
  <c r="O181" i="39"/>
  <c r="L181" i="39"/>
  <c r="I181" i="39"/>
  <c r="F181" i="39"/>
  <c r="C181" i="39" s="1"/>
  <c r="O180" i="39"/>
  <c r="L180" i="39"/>
  <c r="I180" i="39"/>
  <c r="C180" i="39" s="1"/>
  <c r="F180" i="39"/>
  <c r="O179" i="39"/>
  <c r="L179" i="39"/>
  <c r="I179" i="39"/>
  <c r="F179" i="39"/>
  <c r="C179" i="39" s="1"/>
  <c r="O178" i="39"/>
  <c r="N178" i="39"/>
  <c r="M178" i="39"/>
  <c r="K178" i="39"/>
  <c r="K177" i="39" s="1"/>
  <c r="J178" i="39"/>
  <c r="L178" i="39" s="1"/>
  <c r="H178" i="39"/>
  <c r="G178" i="39"/>
  <c r="G177" i="39" s="1"/>
  <c r="E178" i="39"/>
  <c r="D178" i="39"/>
  <c r="F178" i="39" s="1"/>
  <c r="N177" i="39"/>
  <c r="M177" i="39"/>
  <c r="O177" i="39" s="1"/>
  <c r="J177" i="39"/>
  <c r="H177" i="39"/>
  <c r="H176" i="39" s="1"/>
  <c r="E177" i="39"/>
  <c r="D177" i="39"/>
  <c r="D176" i="39" s="1"/>
  <c r="F176" i="39" s="1"/>
  <c r="M176" i="39"/>
  <c r="E176" i="39"/>
  <c r="O175" i="39"/>
  <c r="L175" i="39"/>
  <c r="I175" i="39"/>
  <c r="F175" i="39"/>
  <c r="C175" i="39" s="1"/>
  <c r="O174" i="39"/>
  <c r="L174" i="39"/>
  <c r="I174" i="39"/>
  <c r="F174" i="39"/>
  <c r="C174" i="39"/>
  <c r="O173" i="39"/>
  <c r="L173" i="39"/>
  <c r="I173" i="39"/>
  <c r="F173" i="39"/>
  <c r="C173" i="39" s="1"/>
  <c r="O172" i="39"/>
  <c r="L172" i="39"/>
  <c r="I172" i="39"/>
  <c r="C172" i="39" s="1"/>
  <c r="F172" i="39"/>
  <c r="O171" i="39"/>
  <c r="L171" i="39"/>
  <c r="C171" i="39" s="1"/>
  <c r="I171" i="39"/>
  <c r="F171" i="39"/>
  <c r="O170" i="39"/>
  <c r="L170" i="39"/>
  <c r="I170" i="39"/>
  <c r="F170" i="39"/>
  <c r="C170" i="39"/>
  <c r="N169" i="39"/>
  <c r="M169" i="39"/>
  <c r="O169" i="39" s="1"/>
  <c r="L169" i="39"/>
  <c r="K169" i="39"/>
  <c r="J169" i="39"/>
  <c r="H169" i="39"/>
  <c r="H168" i="39" s="1"/>
  <c r="I168" i="39" s="1"/>
  <c r="G169" i="39"/>
  <c r="E169" i="39"/>
  <c r="D169" i="39"/>
  <c r="D168" i="39" s="1"/>
  <c r="F168" i="39" s="1"/>
  <c r="N168" i="39"/>
  <c r="M168" i="39"/>
  <c r="O168" i="39" s="1"/>
  <c r="K168" i="39"/>
  <c r="J168" i="39"/>
  <c r="L168" i="39" s="1"/>
  <c r="G168" i="39"/>
  <c r="E168" i="39"/>
  <c r="O167" i="39"/>
  <c r="L167" i="39"/>
  <c r="C167" i="39" s="1"/>
  <c r="I167" i="39"/>
  <c r="F167" i="39"/>
  <c r="O166" i="39"/>
  <c r="L166" i="39"/>
  <c r="I166" i="39"/>
  <c r="F166" i="39"/>
  <c r="C166" i="39"/>
  <c r="O165" i="39"/>
  <c r="L165" i="39"/>
  <c r="I165" i="39"/>
  <c r="F165" i="39"/>
  <c r="C165" i="39" s="1"/>
  <c r="O164" i="39"/>
  <c r="L164" i="39"/>
  <c r="I164" i="39"/>
  <c r="F164" i="39"/>
  <c r="C164" i="39" s="1"/>
  <c r="N163" i="39"/>
  <c r="M163" i="39"/>
  <c r="O163" i="39" s="1"/>
  <c r="K163" i="39"/>
  <c r="J163" i="39"/>
  <c r="L163" i="39" s="1"/>
  <c r="H163" i="39"/>
  <c r="G163" i="39"/>
  <c r="I163" i="39" s="1"/>
  <c r="F163" i="39"/>
  <c r="C163" i="39" s="1"/>
  <c r="E163" i="39"/>
  <c r="D163" i="39"/>
  <c r="O162" i="39"/>
  <c r="L162" i="39"/>
  <c r="I162" i="39"/>
  <c r="F162" i="39"/>
  <c r="C162" i="39"/>
  <c r="O161" i="39"/>
  <c r="L161" i="39"/>
  <c r="I161" i="39"/>
  <c r="F161" i="39"/>
  <c r="C161" i="39" s="1"/>
  <c r="O160" i="39"/>
  <c r="L160" i="39"/>
  <c r="I160" i="39"/>
  <c r="F160" i="39"/>
  <c r="C160" i="39" s="1"/>
  <c r="O159" i="39"/>
  <c r="L159" i="39"/>
  <c r="C159" i="39" s="1"/>
  <c r="I159" i="39"/>
  <c r="F159" i="39"/>
  <c r="O158" i="39"/>
  <c r="L158" i="39"/>
  <c r="I158" i="39"/>
  <c r="F158" i="39"/>
  <c r="C158" i="39"/>
  <c r="O157" i="39"/>
  <c r="L157" i="39"/>
  <c r="I157" i="39"/>
  <c r="F157" i="39"/>
  <c r="C157" i="39" s="1"/>
  <c r="O156" i="39"/>
  <c r="L156" i="39"/>
  <c r="I156" i="39"/>
  <c r="C156" i="39" s="1"/>
  <c r="F156" i="39"/>
  <c r="O155" i="39"/>
  <c r="L155" i="39"/>
  <c r="I155" i="39"/>
  <c r="F155" i="39"/>
  <c r="C155" i="39" s="1"/>
  <c r="O154" i="39"/>
  <c r="N154" i="39"/>
  <c r="M154" i="39"/>
  <c r="K154" i="39"/>
  <c r="L154" i="39" s="1"/>
  <c r="J154" i="39"/>
  <c r="H154" i="39"/>
  <c r="G154" i="39"/>
  <c r="I154" i="39" s="1"/>
  <c r="E154" i="39"/>
  <c r="D154" i="39"/>
  <c r="F154" i="39" s="1"/>
  <c r="O153" i="39"/>
  <c r="L153" i="39"/>
  <c r="I153" i="39"/>
  <c r="F153" i="39"/>
  <c r="C153" i="39" s="1"/>
  <c r="O152" i="39"/>
  <c r="L152" i="39"/>
  <c r="I152" i="39"/>
  <c r="C152" i="39" s="1"/>
  <c r="F152" i="39"/>
  <c r="O151" i="39"/>
  <c r="L151" i="39"/>
  <c r="I151" i="39"/>
  <c r="F151" i="39"/>
  <c r="C151" i="39" s="1"/>
  <c r="O150" i="39"/>
  <c r="L150" i="39"/>
  <c r="I150" i="39"/>
  <c r="F150" i="39"/>
  <c r="C150" i="39"/>
  <c r="O149" i="39"/>
  <c r="L149" i="39"/>
  <c r="I149" i="39"/>
  <c r="F149" i="39"/>
  <c r="C149" i="39" s="1"/>
  <c r="O148" i="39"/>
  <c r="L148" i="39"/>
  <c r="I148" i="39"/>
  <c r="C148" i="39" s="1"/>
  <c r="F148" i="39"/>
  <c r="N147" i="39"/>
  <c r="O147" i="39" s="1"/>
  <c r="M147" i="39"/>
  <c r="K147" i="39"/>
  <c r="J147" i="39"/>
  <c r="L147" i="39" s="1"/>
  <c r="H147" i="39"/>
  <c r="G147" i="39"/>
  <c r="I147" i="39" s="1"/>
  <c r="F147" i="39"/>
  <c r="E147" i="39"/>
  <c r="D147" i="39"/>
  <c r="O146" i="39"/>
  <c r="L146" i="39"/>
  <c r="I146" i="39"/>
  <c r="F146" i="39"/>
  <c r="C146" i="39"/>
  <c r="O145" i="39"/>
  <c r="L145" i="39"/>
  <c r="I145" i="39"/>
  <c r="F145" i="39"/>
  <c r="C145" i="39" s="1"/>
  <c r="N144" i="39"/>
  <c r="M144" i="39"/>
  <c r="O144" i="39" s="1"/>
  <c r="K144" i="39"/>
  <c r="J144" i="39"/>
  <c r="L144" i="39" s="1"/>
  <c r="I144" i="39"/>
  <c r="H144" i="39"/>
  <c r="G144" i="39"/>
  <c r="E144" i="39"/>
  <c r="F144" i="39" s="1"/>
  <c r="C144" i="39" s="1"/>
  <c r="D144" i="39"/>
  <c r="O143" i="39"/>
  <c r="L143" i="39"/>
  <c r="C143" i="39" s="1"/>
  <c r="I143" i="39"/>
  <c r="F143" i="39"/>
  <c r="O142" i="39"/>
  <c r="L142" i="39"/>
  <c r="I142" i="39"/>
  <c r="F142" i="39"/>
  <c r="C142" i="39"/>
  <c r="O141" i="39"/>
  <c r="L141" i="39"/>
  <c r="I141" i="39"/>
  <c r="F141" i="39"/>
  <c r="C141" i="39" s="1"/>
  <c r="O140" i="39"/>
  <c r="L140" i="39"/>
  <c r="I140" i="39"/>
  <c r="C140" i="39" s="1"/>
  <c r="F140" i="39"/>
  <c r="N139" i="39"/>
  <c r="N133" i="39" s="1"/>
  <c r="M139" i="39"/>
  <c r="K139" i="39"/>
  <c r="J139" i="39"/>
  <c r="L139" i="39" s="1"/>
  <c r="H139" i="39"/>
  <c r="G139" i="39"/>
  <c r="I139" i="39" s="1"/>
  <c r="F139" i="39"/>
  <c r="E139" i="39"/>
  <c r="D139" i="39"/>
  <c r="O138" i="39"/>
  <c r="L138" i="39"/>
  <c r="I138" i="39"/>
  <c r="F138" i="39"/>
  <c r="C138" i="39"/>
  <c r="O137" i="39"/>
  <c r="L137" i="39"/>
  <c r="I137" i="39"/>
  <c r="F137" i="39"/>
  <c r="C137" i="39" s="1"/>
  <c r="O136" i="39"/>
  <c r="L136" i="39"/>
  <c r="I136" i="39"/>
  <c r="C136" i="39" s="1"/>
  <c r="F136" i="39"/>
  <c r="O135" i="39"/>
  <c r="L135" i="39"/>
  <c r="I135" i="39"/>
  <c r="F135" i="39"/>
  <c r="C135" i="39" s="1"/>
  <c r="O134" i="39"/>
  <c r="N134" i="39"/>
  <c r="M134" i="39"/>
  <c r="K134" i="39"/>
  <c r="K133" i="39" s="1"/>
  <c r="J134" i="39"/>
  <c r="H134" i="39"/>
  <c r="G134" i="39"/>
  <c r="G133" i="39" s="1"/>
  <c r="I133" i="39" s="1"/>
  <c r="E134" i="39"/>
  <c r="D134" i="39"/>
  <c r="F134" i="39" s="1"/>
  <c r="H133" i="39"/>
  <c r="D133" i="39"/>
  <c r="O132" i="39"/>
  <c r="L132" i="39"/>
  <c r="I132" i="39"/>
  <c r="C132" i="39" s="1"/>
  <c r="F132" i="39"/>
  <c r="N131" i="39"/>
  <c r="O131" i="39" s="1"/>
  <c r="M131" i="39"/>
  <c r="K131" i="39"/>
  <c r="J131" i="39"/>
  <c r="L131" i="39" s="1"/>
  <c r="H131" i="39"/>
  <c r="G131" i="39"/>
  <c r="I131" i="39" s="1"/>
  <c r="F131" i="39"/>
  <c r="E131" i="39"/>
  <c r="D131" i="39"/>
  <c r="O130" i="39"/>
  <c r="L130" i="39"/>
  <c r="I130" i="39"/>
  <c r="F130" i="39"/>
  <c r="C130" i="39"/>
  <c r="O129" i="39"/>
  <c r="L129" i="39"/>
  <c r="I129" i="39"/>
  <c r="F129" i="39"/>
  <c r="C129" i="39" s="1"/>
  <c r="O128" i="39"/>
  <c r="L128" i="39"/>
  <c r="I128" i="39"/>
  <c r="C128" i="39" s="1"/>
  <c r="F128" i="39"/>
  <c r="O127" i="39"/>
  <c r="L127" i="39"/>
  <c r="I127" i="39"/>
  <c r="F127" i="39"/>
  <c r="C127" i="39" s="1"/>
  <c r="O126" i="39"/>
  <c r="L126" i="39"/>
  <c r="I126" i="39"/>
  <c r="F126" i="39"/>
  <c r="C126" i="39"/>
  <c r="N125" i="39"/>
  <c r="M125" i="39"/>
  <c r="O125" i="39" s="1"/>
  <c r="L125" i="39"/>
  <c r="K125" i="39"/>
  <c r="J125" i="39"/>
  <c r="H125" i="39"/>
  <c r="I125" i="39" s="1"/>
  <c r="G125" i="39"/>
  <c r="E125" i="39"/>
  <c r="D125" i="39"/>
  <c r="F125" i="39" s="1"/>
  <c r="O124" i="39"/>
  <c r="L124" i="39"/>
  <c r="I124" i="39"/>
  <c r="C124" i="39" s="1"/>
  <c r="F124" i="39"/>
  <c r="O123" i="39"/>
  <c r="L123" i="39"/>
  <c r="I123" i="39"/>
  <c r="F123" i="39"/>
  <c r="C123" i="39" s="1"/>
  <c r="O122" i="39"/>
  <c r="L122" i="39"/>
  <c r="I122" i="39"/>
  <c r="F122" i="39"/>
  <c r="C122" i="39"/>
  <c r="O121" i="39"/>
  <c r="L121" i="39"/>
  <c r="I121" i="39"/>
  <c r="F121" i="39"/>
  <c r="C121" i="39" s="1"/>
  <c r="O120" i="39"/>
  <c r="L120" i="39"/>
  <c r="I120" i="39"/>
  <c r="C120" i="39" s="1"/>
  <c r="F120" i="39"/>
  <c r="N119" i="39"/>
  <c r="O119" i="39" s="1"/>
  <c r="M119" i="39"/>
  <c r="K119" i="39"/>
  <c r="J119" i="39"/>
  <c r="L119" i="39" s="1"/>
  <c r="H119" i="39"/>
  <c r="G119" i="39"/>
  <c r="I119" i="39" s="1"/>
  <c r="F119" i="39"/>
  <c r="E119" i="39"/>
  <c r="D119" i="39"/>
  <c r="O118" i="39"/>
  <c r="L118" i="39"/>
  <c r="I118" i="39"/>
  <c r="F118" i="39"/>
  <c r="C118" i="39"/>
  <c r="O117" i="39"/>
  <c r="L117" i="39"/>
  <c r="I117" i="39"/>
  <c r="F117" i="39"/>
  <c r="C117" i="39" s="1"/>
  <c r="O116" i="39"/>
  <c r="L116" i="39"/>
  <c r="I116" i="39"/>
  <c r="C116" i="39" s="1"/>
  <c r="F116" i="39"/>
  <c r="N115" i="39"/>
  <c r="O115" i="39" s="1"/>
  <c r="M115" i="39"/>
  <c r="K115" i="39"/>
  <c r="J115" i="39"/>
  <c r="L115" i="39" s="1"/>
  <c r="H115" i="39"/>
  <c r="G115" i="39"/>
  <c r="I115" i="39" s="1"/>
  <c r="F115" i="39"/>
  <c r="E115" i="39"/>
  <c r="D115" i="39"/>
  <c r="O114" i="39"/>
  <c r="L114" i="39"/>
  <c r="I114" i="39"/>
  <c r="F114" i="39"/>
  <c r="C114" i="39"/>
  <c r="O113" i="39"/>
  <c r="L113" i="39"/>
  <c r="I113" i="39"/>
  <c r="F113" i="39"/>
  <c r="C113" i="39" s="1"/>
  <c r="O112" i="39"/>
  <c r="L112" i="39"/>
  <c r="I112" i="39"/>
  <c r="C112" i="39" s="1"/>
  <c r="F112" i="39"/>
  <c r="O111" i="39"/>
  <c r="L111" i="39"/>
  <c r="I111" i="39"/>
  <c r="F111" i="39"/>
  <c r="C111" i="39" s="1"/>
  <c r="O110" i="39"/>
  <c r="L110" i="39"/>
  <c r="I110" i="39"/>
  <c r="F110" i="39"/>
  <c r="C110" i="39"/>
  <c r="O109" i="39"/>
  <c r="L109" i="39"/>
  <c r="I109" i="39"/>
  <c r="F109" i="39"/>
  <c r="C109" i="39" s="1"/>
  <c r="O108" i="39"/>
  <c r="L108" i="39"/>
  <c r="I108" i="39"/>
  <c r="C108" i="39" s="1"/>
  <c r="F108" i="39"/>
  <c r="O107" i="39"/>
  <c r="L107" i="39"/>
  <c r="I107" i="39"/>
  <c r="F107" i="39"/>
  <c r="C107" i="39" s="1"/>
  <c r="O106" i="39"/>
  <c r="N106" i="39"/>
  <c r="M106" i="39"/>
  <c r="K106" i="39"/>
  <c r="L106" i="39" s="1"/>
  <c r="J106" i="39"/>
  <c r="H106" i="39"/>
  <c r="G106" i="39"/>
  <c r="I106" i="39" s="1"/>
  <c r="C106" i="39" s="1"/>
  <c r="E106" i="39"/>
  <c r="D106" i="39"/>
  <c r="F106" i="39" s="1"/>
  <c r="O105" i="39"/>
  <c r="L105" i="39"/>
  <c r="I105" i="39"/>
  <c r="F105" i="39"/>
  <c r="C105" i="39" s="1"/>
  <c r="O104" i="39"/>
  <c r="L104" i="39"/>
  <c r="I104" i="39"/>
  <c r="C104" i="39" s="1"/>
  <c r="F104" i="39"/>
  <c r="O103" i="39"/>
  <c r="L103" i="39"/>
  <c r="C103" i="39" s="1"/>
  <c r="I103" i="39"/>
  <c r="F103" i="39"/>
  <c r="O102" i="39"/>
  <c r="L102" i="39"/>
  <c r="I102" i="39"/>
  <c r="F102" i="39"/>
  <c r="C102" i="39"/>
  <c r="O101" i="39"/>
  <c r="L101" i="39"/>
  <c r="I101" i="39"/>
  <c r="F101" i="39"/>
  <c r="C101" i="39" s="1"/>
  <c r="O100" i="39"/>
  <c r="L100" i="39"/>
  <c r="I100" i="39"/>
  <c r="C100" i="39" s="1"/>
  <c r="F100" i="39"/>
  <c r="O99" i="39"/>
  <c r="L99" i="39"/>
  <c r="C99" i="39" s="1"/>
  <c r="I99" i="39"/>
  <c r="F99" i="39"/>
  <c r="O98" i="39"/>
  <c r="N98" i="39"/>
  <c r="M98" i="39"/>
  <c r="K98" i="39"/>
  <c r="J98" i="39"/>
  <c r="H98" i="39"/>
  <c r="G98" i="39"/>
  <c r="I98" i="39" s="1"/>
  <c r="E98" i="39"/>
  <c r="D98" i="39"/>
  <c r="F98" i="39" s="1"/>
  <c r="O97" i="39"/>
  <c r="L97" i="39"/>
  <c r="I97" i="39"/>
  <c r="F97" i="39"/>
  <c r="C97" i="39" s="1"/>
  <c r="O96" i="39"/>
  <c r="L96" i="39"/>
  <c r="I96" i="39"/>
  <c r="C96" i="39" s="1"/>
  <c r="F96" i="39"/>
  <c r="O95" i="39"/>
  <c r="L95" i="39"/>
  <c r="C95" i="39" s="1"/>
  <c r="I95" i="39"/>
  <c r="F95" i="39"/>
  <c r="O94" i="39"/>
  <c r="L94" i="39"/>
  <c r="I94" i="39"/>
  <c r="F94" i="39"/>
  <c r="C94" i="39"/>
  <c r="O93" i="39"/>
  <c r="L93" i="39"/>
  <c r="I93" i="39"/>
  <c r="F93" i="39"/>
  <c r="C93" i="39" s="1"/>
  <c r="O92" i="39"/>
  <c r="N92" i="39"/>
  <c r="M92" i="39"/>
  <c r="K92" i="39"/>
  <c r="K86" i="39" s="1"/>
  <c r="J92" i="39"/>
  <c r="H92" i="39"/>
  <c r="G92" i="39"/>
  <c r="I92" i="39" s="1"/>
  <c r="E92" i="39"/>
  <c r="D92" i="39"/>
  <c r="F92" i="39" s="1"/>
  <c r="O91" i="39"/>
  <c r="L91" i="39"/>
  <c r="I91" i="39"/>
  <c r="F91" i="39"/>
  <c r="C91" i="39" s="1"/>
  <c r="O90" i="39"/>
  <c r="L90" i="39"/>
  <c r="I90" i="39"/>
  <c r="F90" i="39"/>
  <c r="C90" i="39" s="1"/>
  <c r="O89" i="39"/>
  <c r="L89" i="39"/>
  <c r="C89" i="39" s="1"/>
  <c r="I89" i="39"/>
  <c r="F89" i="39"/>
  <c r="O88" i="39"/>
  <c r="L88" i="39"/>
  <c r="I88" i="39"/>
  <c r="F88" i="39"/>
  <c r="C88" i="39"/>
  <c r="N87" i="39"/>
  <c r="M87" i="39"/>
  <c r="O87" i="39" s="1"/>
  <c r="L87" i="39"/>
  <c r="K87" i="39"/>
  <c r="J87" i="39"/>
  <c r="H87" i="39"/>
  <c r="H86" i="39" s="1"/>
  <c r="G87" i="39"/>
  <c r="E87" i="39"/>
  <c r="D87" i="39"/>
  <c r="D86" i="39" s="1"/>
  <c r="F86" i="39" s="1"/>
  <c r="N86" i="39"/>
  <c r="M86" i="39"/>
  <c r="O86" i="39" s="1"/>
  <c r="J86" i="39"/>
  <c r="E86" i="39"/>
  <c r="O85" i="39"/>
  <c r="L85" i="39"/>
  <c r="C85" i="39" s="1"/>
  <c r="I85" i="39"/>
  <c r="F85" i="39"/>
  <c r="O84" i="39"/>
  <c r="L84" i="39"/>
  <c r="I84" i="39"/>
  <c r="F84" i="39"/>
  <c r="C84" i="39"/>
  <c r="N83" i="39"/>
  <c r="M83" i="39"/>
  <c r="O83" i="39" s="1"/>
  <c r="L83" i="39"/>
  <c r="K83" i="39"/>
  <c r="J83" i="39"/>
  <c r="H83" i="39"/>
  <c r="I83" i="39" s="1"/>
  <c r="G83" i="39"/>
  <c r="E83" i="39"/>
  <c r="D83" i="39"/>
  <c r="F83" i="39" s="1"/>
  <c r="C83" i="39" s="1"/>
  <c r="O82" i="39"/>
  <c r="L82" i="39"/>
  <c r="I82" i="39"/>
  <c r="F82" i="39"/>
  <c r="C82" i="39" s="1"/>
  <c r="O81" i="39"/>
  <c r="L81" i="39"/>
  <c r="C81" i="39" s="1"/>
  <c r="I81" i="39"/>
  <c r="F81" i="39"/>
  <c r="O80" i="39"/>
  <c r="N80" i="39"/>
  <c r="M80" i="39"/>
  <c r="K80" i="39"/>
  <c r="K79" i="39" s="1"/>
  <c r="J80" i="39"/>
  <c r="H80" i="39"/>
  <c r="G80" i="39"/>
  <c r="G79" i="39" s="1"/>
  <c r="E80" i="39"/>
  <c r="D80" i="39"/>
  <c r="F80" i="39" s="1"/>
  <c r="N79" i="39"/>
  <c r="M79" i="39"/>
  <c r="O79" i="39" s="1"/>
  <c r="J79" i="39"/>
  <c r="H79" i="39"/>
  <c r="E79" i="39"/>
  <c r="D79" i="39"/>
  <c r="D78" i="39" s="1"/>
  <c r="N78" i="39"/>
  <c r="O77" i="39"/>
  <c r="L77" i="39"/>
  <c r="C77" i="39" s="1"/>
  <c r="I77" i="39"/>
  <c r="F77" i="39"/>
  <c r="O76" i="39"/>
  <c r="L76" i="39"/>
  <c r="I76" i="39"/>
  <c r="D76" i="39"/>
  <c r="F76" i="39" s="1"/>
  <c r="C76" i="39" s="1"/>
  <c r="O75" i="39"/>
  <c r="L75" i="39"/>
  <c r="I75" i="39"/>
  <c r="F75" i="39"/>
  <c r="C75" i="39" s="1"/>
  <c r="O74" i="39"/>
  <c r="L74" i="39"/>
  <c r="C74" i="39" s="1"/>
  <c r="I74" i="39"/>
  <c r="F74" i="39"/>
  <c r="O73" i="39"/>
  <c r="L73" i="39"/>
  <c r="I73" i="39"/>
  <c r="F73" i="39"/>
  <c r="C73" i="39"/>
  <c r="N72" i="39"/>
  <c r="M72" i="39"/>
  <c r="O72" i="39" s="1"/>
  <c r="L72" i="39"/>
  <c r="K72" i="39"/>
  <c r="J72" i="39"/>
  <c r="H72" i="39"/>
  <c r="H70" i="39" s="1"/>
  <c r="H56" i="39" s="1"/>
  <c r="G72" i="39"/>
  <c r="E72" i="39"/>
  <c r="E70" i="39" s="1"/>
  <c r="E56" i="39" s="1"/>
  <c r="D72" i="39"/>
  <c r="F72" i="39" s="1"/>
  <c r="O71" i="39"/>
  <c r="L71" i="39"/>
  <c r="I71" i="39"/>
  <c r="F71" i="39"/>
  <c r="C71" i="39" s="1"/>
  <c r="N70" i="39"/>
  <c r="K70" i="39"/>
  <c r="J70" i="39"/>
  <c r="L70" i="39" s="1"/>
  <c r="G70" i="39"/>
  <c r="O69" i="39"/>
  <c r="L69" i="39"/>
  <c r="I69" i="39"/>
  <c r="F69" i="39"/>
  <c r="C69" i="39"/>
  <c r="O68" i="39"/>
  <c r="L68" i="39"/>
  <c r="I68" i="39"/>
  <c r="F68" i="39"/>
  <c r="C68" i="39" s="1"/>
  <c r="O67" i="39"/>
  <c r="L67" i="39"/>
  <c r="I67" i="39"/>
  <c r="C67" i="39" s="1"/>
  <c r="F67" i="39"/>
  <c r="O66" i="39"/>
  <c r="L66" i="39"/>
  <c r="C66" i="39" s="1"/>
  <c r="I66" i="39"/>
  <c r="F66" i="39"/>
  <c r="O65" i="39"/>
  <c r="L65" i="39"/>
  <c r="I65" i="39"/>
  <c r="F65" i="39"/>
  <c r="C65" i="39"/>
  <c r="O64" i="39"/>
  <c r="L64" i="39"/>
  <c r="I64" i="39"/>
  <c r="F64" i="39"/>
  <c r="C64" i="39" s="1"/>
  <c r="O63" i="39"/>
  <c r="L63" i="39"/>
  <c r="I63" i="39"/>
  <c r="C63" i="39" s="1"/>
  <c r="F63" i="39"/>
  <c r="O62" i="39"/>
  <c r="L62" i="39"/>
  <c r="C62" i="39" s="1"/>
  <c r="I62" i="39"/>
  <c r="F62" i="39"/>
  <c r="O61" i="39"/>
  <c r="N61" i="39"/>
  <c r="M61" i="39"/>
  <c r="K61" i="39"/>
  <c r="L61" i="39" s="1"/>
  <c r="J61" i="39"/>
  <c r="H61" i="39"/>
  <c r="G61" i="39"/>
  <c r="I61" i="39" s="1"/>
  <c r="E61" i="39"/>
  <c r="D61" i="39"/>
  <c r="F61" i="39" s="1"/>
  <c r="O60" i="39"/>
  <c r="L60" i="39"/>
  <c r="I60" i="39"/>
  <c r="F60" i="39"/>
  <c r="C60" i="39" s="1"/>
  <c r="O59" i="39"/>
  <c r="L59" i="39"/>
  <c r="I59" i="39"/>
  <c r="C59" i="39" s="1"/>
  <c r="F59" i="39"/>
  <c r="N58" i="39"/>
  <c r="N57" i="39" s="1"/>
  <c r="M58" i="39"/>
  <c r="K58" i="39"/>
  <c r="J58" i="39"/>
  <c r="J57" i="39" s="1"/>
  <c r="H58" i="39"/>
  <c r="G58" i="39"/>
  <c r="I58" i="39" s="1"/>
  <c r="F58" i="39"/>
  <c r="E58" i="39"/>
  <c r="D58" i="39"/>
  <c r="M57" i="39"/>
  <c r="K57" i="39"/>
  <c r="K56" i="39" s="1"/>
  <c r="H57" i="39"/>
  <c r="G57" i="39"/>
  <c r="G56" i="39" s="1"/>
  <c r="E57" i="39"/>
  <c r="D57" i="39"/>
  <c r="F57" i="39" s="1"/>
  <c r="O50" i="39"/>
  <c r="C50" i="39" s="1"/>
  <c r="O49" i="39"/>
  <c r="C49" i="39"/>
  <c r="N48" i="39"/>
  <c r="M48" i="39"/>
  <c r="L47" i="39"/>
  <c r="I47" i="39"/>
  <c r="F47" i="39"/>
  <c r="C47" i="39"/>
  <c r="K46" i="39"/>
  <c r="J46" i="39"/>
  <c r="L46" i="39" s="1"/>
  <c r="I46" i="39"/>
  <c r="H46" i="39"/>
  <c r="G46" i="39"/>
  <c r="E46" i="39"/>
  <c r="F46" i="39" s="1"/>
  <c r="C46" i="39" s="1"/>
  <c r="D46" i="39"/>
  <c r="F45" i="39"/>
  <c r="C45" i="39"/>
  <c r="L44" i="39"/>
  <c r="C44" i="39" s="1"/>
  <c r="L43" i="39"/>
  <c r="C43" i="39"/>
  <c r="L42" i="39"/>
  <c r="C42" i="39" s="1"/>
  <c r="L41" i="39"/>
  <c r="C41" i="39"/>
  <c r="K40" i="39"/>
  <c r="J40" i="39"/>
  <c r="L40" i="39" s="1"/>
  <c r="C40" i="39" s="1"/>
  <c r="L39" i="39"/>
  <c r="C39" i="39" s="1"/>
  <c r="L38" i="39"/>
  <c r="C38" i="39"/>
  <c r="K37" i="39"/>
  <c r="J37" i="39"/>
  <c r="L37" i="39" s="1"/>
  <c r="C37" i="39" s="1"/>
  <c r="L36" i="39"/>
  <c r="C36" i="39" s="1"/>
  <c r="K35" i="39"/>
  <c r="K30" i="39" s="1"/>
  <c r="J35" i="39"/>
  <c r="L34" i="39"/>
  <c r="C34" i="39"/>
  <c r="L33" i="39"/>
  <c r="C33" i="39" s="1"/>
  <c r="L32" i="39"/>
  <c r="C32" i="39"/>
  <c r="K31" i="39"/>
  <c r="J31" i="39"/>
  <c r="L31" i="39" s="1"/>
  <c r="C31" i="39" s="1"/>
  <c r="J30" i="39"/>
  <c r="F29" i="39"/>
  <c r="C29" i="39" s="1"/>
  <c r="I28" i="39"/>
  <c r="F28" i="39"/>
  <c r="C28" i="39" s="1"/>
  <c r="O27" i="39"/>
  <c r="L27" i="39"/>
  <c r="I27" i="39"/>
  <c r="C27" i="39" s="1"/>
  <c r="F27" i="39"/>
  <c r="O26" i="39"/>
  <c r="L26" i="39"/>
  <c r="C26" i="39" s="1"/>
  <c r="I26" i="39"/>
  <c r="F26" i="39"/>
  <c r="O25" i="39"/>
  <c r="N25" i="39"/>
  <c r="N290" i="39" s="1"/>
  <c r="N289" i="39" s="1"/>
  <c r="M25" i="39"/>
  <c r="M290" i="39" s="1"/>
  <c r="K25" i="39"/>
  <c r="K290" i="39" s="1"/>
  <c r="K289" i="39" s="1"/>
  <c r="J25" i="39"/>
  <c r="J290" i="39" s="1"/>
  <c r="H25" i="39"/>
  <c r="H290" i="39" s="1"/>
  <c r="H289" i="39" s="1"/>
  <c r="G25" i="39"/>
  <c r="G290" i="39" s="1"/>
  <c r="E25" i="39"/>
  <c r="E290" i="39" s="1"/>
  <c r="E289" i="39" s="1"/>
  <c r="D25" i="39"/>
  <c r="D290" i="39" s="1"/>
  <c r="N24" i="39"/>
  <c r="M24" i="39"/>
  <c r="O24" i="39" s="1"/>
  <c r="J24" i="39"/>
  <c r="H24" i="39"/>
  <c r="E24" i="39"/>
  <c r="D24" i="39"/>
  <c r="F24" i="39" s="1"/>
  <c r="O299" i="38"/>
  <c r="L299" i="38"/>
  <c r="I299" i="38"/>
  <c r="C299" i="38" s="1"/>
  <c r="F299" i="38"/>
  <c r="O298" i="38"/>
  <c r="L298" i="38"/>
  <c r="C298" i="38" s="1"/>
  <c r="I298" i="38"/>
  <c r="F298" i="38"/>
  <c r="O297" i="38"/>
  <c r="L297" i="38"/>
  <c r="I297" i="38"/>
  <c r="F297" i="38"/>
  <c r="C297" i="38"/>
  <c r="O296" i="38"/>
  <c r="L296" i="38"/>
  <c r="I296" i="38"/>
  <c r="F296" i="38"/>
  <c r="C296" i="38" s="1"/>
  <c r="O295" i="38"/>
  <c r="L295" i="38"/>
  <c r="I295" i="38"/>
  <c r="C295" i="38" s="1"/>
  <c r="F295" i="38"/>
  <c r="O294" i="38"/>
  <c r="L294" i="38"/>
  <c r="C294" i="38" s="1"/>
  <c r="I294" i="38"/>
  <c r="F294" i="38"/>
  <c r="O293" i="38"/>
  <c r="L293" i="38"/>
  <c r="I293" i="38"/>
  <c r="F293" i="38"/>
  <c r="C293" i="38"/>
  <c r="O292" i="38"/>
  <c r="L292" i="38"/>
  <c r="I292" i="38"/>
  <c r="F292" i="38"/>
  <c r="C292" i="38" s="1"/>
  <c r="N291" i="38"/>
  <c r="M291" i="38"/>
  <c r="O291" i="38" s="1"/>
  <c r="K291" i="38"/>
  <c r="J291" i="38"/>
  <c r="L291" i="38" s="1"/>
  <c r="I291" i="38"/>
  <c r="H291" i="38"/>
  <c r="G291" i="38"/>
  <c r="E291" i="38"/>
  <c r="F291" i="38" s="1"/>
  <c r="D291" i="38"/>
  <c r="O286" i="38"/>
  <c r="L286" i="38"/>
  <c r="I286" i="38"/>
  <c r="F286" i="38"/>
  <c r="C286" i="38" s="1"/>
  <c r="O285" i="38"/>
  <c r="L285" i="38"/>
  <c r="I285" i="38"/>
  <c r="F285" i="38"/>
  <c r="C285" i="38"/>
  <c r="N284" i="38"/>
  <c r="O284" i="38" s="1"/>
  <c r="M284" i="38"/>
  <c r="L284" i="38"/>
  <c r="K284" i="38"/>
  <c r="J284" i="38"/>
  <c r="H284" i="38"/>
  <c r="G284" i="38"/>
  <c r="E284" i="38"/>
  <c r="D284" i="38"/>
  <c r="O283" i="38"/>
  <c r="L283" i="38"/>
  <c r="I283" i="38"/>
  <c r="C283" i="38" s="1"/>
  <c r="F283" i="38"/>
  <c r="N282" i="38"/>
  <c r="M282" i="38"/>
  <c r="O282" i="38" s="1"/>
  <c r="K282" i="38"/>
  <c r="J282" i="38"/>
  <c r="L282" i="38" s="1"/>
  <c r="H282" i="38"/>
  <c r="I282" i="38" s="1"/>
  <c r="G282" i="38"/>
  <c r="F282" i="38"/>
  <c r="E282" i="38"/>
  <c r="D282" i="38"/>
  <c r="O281" i="38"/>
  <c r="L281" i="38"/>
  <c r="I281" i="38"/>
  <c r="F281" i="38"/>
  <c r="C281" i="38"/>
  <c r="O280" i="38"/>
  <c r="L280" i="38"/>
  <c r="I280" i="38"/>
  <c r="F280" i="38"/>
  <c r="C280" i="38" s="1"/>
  <c r="O279" i="38"/>
  <c r="O278" i="38" s="1"/>
  <c r="L279" i="38"/>
  <c r="I279" i="38"/>
  <c r="C279" i="38" s="1"/>
  <c r="F279" i="38"/>
  <c r="N278" i="38"/>
  <c r="M278" i="38"/>
  <c r="K278" i="38"/>
  <c r="J278" i="38"/>
  <c r="L278" i="38" s="1"/>
  <c r="H278" i="38"/>
  <c r="I278" i="38" s="1"/>
  <c r="G278" i="38"/>
  <c r="F278" i="38"/>
  <c r="E278" i="38"/>
  <c r="D278" i="38"/>
  <c r="O277" i="38"/>
  <c r="L277" i="38"/>
  <c r="I277" i="38"/>
  <c r="F277" i="38"/>
  <c r="C277" i="38"/>
  <c r="O276" i="38"/>
  <c r="L276" i="38"/>
  <c r="I276" i="38"/>
  <c r="F276" i="38"/>
  <c r="C276" i="38" s="1"/>
  <c r="O275" i="38"/>
  <c r="L275" i="38"/>
  <c r="I275" i="38"/>
  <c r="F275" i="38"/>
  <c r="C275" i="38" s="1"/>
  <c r="N274" i="38"/>
  <c r="N272" i="38" s="1"/>
  <c r="M274" i="38"/>
  <c r="O274" i="38" s="1"/>
  <c r="K274" i="38"/>
  <c r="J274" i="38"/>
  <c r="L274" i="38" s="1"/>
  <c r="H274" i="38"/>
  <c r="I274" i="38" s="1"/>
  <c r="G274" i="38"/>
  <c r="F274" i="38"/>
  <c r="E274" i="38"/>
  <c r="D274" i="38"/>
  <c r="O273" i="38"/>
  <c r="L273" i="38"/>
  <c r="I273" i="38"/>
  <c r="F273" i="38"/>
  <c r="C273" i="38"/>
  <c r="M272" i="38"/>
  <c r="K272" i="38"/>
  <c r="H272" i="38"/>
  <c r="H271" i="38" s="1"/>
  <c r="G272" i="38"/>
  <c r="I272" i="38" s="1"/>
  <c r="E272" i="38"/>
  <c r="D272" i="38"/>
  <c r="D271" i="38" s="1"/>
  <c r="F271" i="38" s="1"/>
  <c r="M271" i="38"/>
  <c r="K271" i="38"/>
  <c r="G271" i="38"/>
  <c r="E271" i="38"/>
  <c r="O270" i="38"/>
  <c r="L270" i="38"/>
  <c r="I270" i="38"/>
  <c r="F270" i="38"/>
  <c r="C270" i="38" s="1"/>
  <c r="O269" i="38"/>
  <c r="L269" i="38"/>
  <c r="I269" i="38"/>
  <c r="F269" i="38"/>
  <c r="C269" i="38"/>
  <c r="O268" i="38"/>
  <c r="L268" i="38"/>
  <c r="I268" i="38"/>
  <c r="F268" i="38"/>
  <c r="C268" i="38" s="1"/>
  <c r="O267" i="38"/>
  <c r="L267" i="38"/>
  <c r="I267" i="38"/>
  <c r="F267" i="38"/>
  <c r="C267" i="38" s="1"/>
  <c r="N266" i="38"/>
  <c r="M266" i="38"/>
  <c r="O266" i="38" s="1"/>
  <c r="K266" i="38"/>
  <c r="J266" i="38"/>
  <c r="L266" i="38" s="1"/>
  <c r="I266" i="38"/>
  <c r="H266" i="38"/>
  <c r="G266" i="38"/>
  <c r="F266" i="38"/>
  <c r="E266" i="38"/>
  <c r="D266" i="38"/>
  <c r="O265" i="38"/>
  <c r="L265" i="38"/>
  <c r="I265" i="38"/>
  <c r="F265" i="38"/>
  <c r="C265" i="38"/>
  <c r="O264" i="38"/>
  <c r="L264" i="38"/>
  <c r="I264" i="38"/>
  <c r="F264" i="38"/>
  <c r="C264" i="38" s="1"/>
  <c r="O263" i="38"/>
  <c r="L263" i="38"/>
  <c r="I263" i="38"/>
  <c r="F263" i="38"/>
  <c r="C263" i="38" s="1"/>
  <c r="N262" i="38"/>
  <c r="N261" i="38" s="1"/>
  <c r="M262" i="38"/>
  <c r="O262" i="38" s="1"/>
  <c r="K262" i="38"/>
  <c r="J262" i="38"/>
  <c r="J261" i="38" s="1"/>
  <c r="I262" i="38"/>
  <c r="H262" i="38"/>
  <c r="G262" i="38"/>
  <c r="F262" i="38"/>
  <c r="E262" i="38"/>
  <c r="D262" i="38"/>
  <c r="M261" i="38"/>
  <c r="K261" i="38"/>
  <c r="H261" i="38"/>
  <c r="G261" i="38"/>
  <c r="I261" i="38" s="1"/>
  <c r="F261" i="38"/>
  <c r="E261" i="38"/>
  <c r="D261" i="38"/>
  <c r="O260" i="38"/>
  <c r="L260" i="38"/>
  <c r="I260" i="38"/>
  <c r="F260" i="38"/>
  <c r="C260" i="38" s="1"/>
  <c r="O259" i="38"/>
  <c r="L259" i="38"/>
  <c r="I259" i="38"/>
  <c r="F259" i="38"/>
  <c r="C259" i="38" s="1"/>
  <c r="O258" i="38"/>
  <c r="L258" i="38"/>
  <c r="I258" i="38"/>
  <c r="F258" i="38"/>
  <c r="C258" i="38" s="1"/>
  <c r="O257" i="38"/>
  <c r="L257" i="38"/>
  <c r="I257" i="38"/>
  <c r="F257" i="38"/>
  <c r="C257" i="38"/>
  <c r="O256" i="38"/>
  <c r="L256" i="38"/>
  <c r="I256" i="38"/>
  <c r="F256" i="38"/>
  <c r="C256" i="38" s="1"/>
  <c r="N255" i="38"/>
  <c r="M255" i="38"/>
  <c r="M254" i="38" s="1"/>
  <c r="L255" i="38"/>
  <c r="K255" i="38"/>
  <c r="K254" i="38" s="1"/>
  <c r="J255" i="38"/>
  <c r="I255" i="38"/>
  <c r="H255" i="38"/>
  <c r="G255" i="38"/>
  <c r="E255" i="38"/>
  <c r="E254" i="38" s="1"/>
  <c r="D255" i="38"/>
  <c r="F255" i="38" s="1"/>
  <c r="N254" i="38"/>
  <c r="J254" i="38"/>
  <c r="L254" i="38" s="1"/>
  <c r="H254" i="38"/>
  <c r="I254" i="38" s="1"/>
  <c r="G254" i="38"/>
  <c r="D254" i="38"/>
  <c r="O253" i="38"/>
  <c r="L253" i="38"/>
  <c r="I253" i="38"/>
  <c r="F253" i="38"/>
  <c r="C253" i="38"/>
  <c r="O252" i="38"/>
  <c r="L252" i="38"/>
  <c r="I252" i="38"/>
  <c r="F252" i="38"/>
  <c r="C252" i="38" s="1"/>
  <c r="O251" i="38"/>
  <c r="L251" i="38"/>
  <c r="I251" i="38"/>
  <c r="C251" i="38" s="1"/>
  <c r="F251" i="38"/>
  <c r="O250" i="38"/>
  <c r="L250" i="38"/>
  <c r="I250" i="38"/>
  <c r="F250" i="38"/>
  <c r="C250" i="38" s="1"/>
  <c r="O249" i="38"/>
  <c r="N249" i="38"/>
  <c r="M249" i="38"/>
  <c r="K249" i="38"/>
  <c r="J249" i="38"/>
  <c r="L249" i="38" s="1"/>
  <c r="H249" i="38"/>
  <c r="G249" i="38"/>
  <c r="I249" i="38" s="1"/>
  <c r="E249" i="38"/>
  <c r="F249" i="38" s="1"/>
  <c r="C249" i="38" s="1"/>
  <c r="D249" i="38"/>
  <c r="O248" i="38"/>
  <c r="L248" i="38"/>
  <c r="I248" i="38"/>
  <c r="F248" i="38"/>
  <c r="C248" i="38" s="1"/>
  <c r="O247" i="38"/>
  <c r="L247" i="38"/>
  <c r="I247" i="38"/>
  <c r="C247" i="38" s="1"/>
  <c r="F247" i="38"/>
  <c r="O246" i="38"/>
  <c r="L246" i="38"/>
  <c r="I246" i="38"/>
  <c r="F246" i="38"/>
  <c r="C246" i="38" s="1"/>
  <c r="O245" i="38"/>
  <c r="L245" i="38"/>
  <c r="I245" i="38"/>
  <c r="F245" i="38"/>
  <c r="C245" i="38"/>
  <c r="O244" i="38"/>
  <c r="L244" i="38"/>
  <c r="I244" i="38"/>
  <c r="F244" i="38"/>
  <c r="C244" i="38" s="1"/>
  <c r="O243" i="38"/>
  <c r="L243" i="38"/>
  <c r="I243" i="38"/>
  <c r="C243" i="38" s="1"/>
  <c r="F243" i="38"/>
  <c r="O242" i="38"/>
  <c r="L242" i="38"/>
  <c r="I242" i="38"/>
  <c r="F242" i="38"/>
  <c r="C242" i="38" s="1"/>
  <c r="O241" i="38"/>
  <c r="N241" i="38"/>
  <c r="M241" i="38"/>
  <c r="K241" i="38"/>
  <c r="J241" i="38"/>
  <c r="L241" i="38" s="1"/>
  <c r="H241" i="38"/>
  <c r="G241" i="38"/>
  <c r="I241" i="38" s="1"/>
  <c r="E241" i="38"/>
  <c r="F241" i="38" s="1"/>
  <c r="D241" i="38"/>
  <c r="O240" i="38"/>
  <c r="L240" i="38"/>
  <c r="I240" i="38"/>
  <c r="F240" i="38"/>
  <c r="C240" i="38" s="1"/>
  <c r="O239" i="38"/>
  <c r="L239" i="38"/>
  <c r="I239" i="38"/>
  <c r="F239" i="38"/>
  <c r="C239" i="38" s="1"/>
  <c r="N238" i="38"/>
  <c r="M238" i="38"/>
  <c r="O238" i="38" s="1"/>
  <c r="K238" i="38"/>
  <c r="J238" i="38"/>
  <c r="L238" i="38" s="1"/>
  <c r="I238" i="38"/>
  <c r="H238" i="38"/>
  <c r="G238" i="38"/>
  <c r="E238" i="38"/>
  <c r="F238" i="38" s="1"/>
  <c r="D238" i="38"/>
  <c r="O237" i="38"/>
  <c r="L237" i="38"/>
  <c r="I237" i="38"/>
  <c r="F237" i="38"/>
  <c r="C237" i="38"/>
  <c r="O236" i="38"/>
  <c r="N236" i="38"/>
  <c r="M236" i="38"/>
  <c r="L236" i="38"/>
  <c r="K236" i="38"/>
  <c r="K234" i="38" s="1"/>
  <c r="J236" i="38"/>
  <c r="H236" i="38"/>
  <c r="G236" i="38"/>
  <c r="I236" i="38" s="1"/>
  <c r="E236" i="38"/>
  <c r="D236" i="38"/>
  <c r="F236" i="38" s="1"/>
  <c r="O235" i="38"/>
  <c r="L235" i="38"/>
  <c r="I235" i="38"/>
  <c r="F235" i="38"/>
  <c r="C235" i="38" s="1"/>
  <c r="N234" i="38"/>
  <c r="M234" i="38"/>
  <c r="O234" i="38" s="1"/>
  <c r="J234" i="38"/>
  <c r="L234" i="38" s="1"/>
  <c r="I234" i="38"/>
  <c r="H234" i="38"/>
  <c r="G234" i="38"/>
  <c r="F234" i="38"/>
  <c r="E234" i="38"/>
  <c r="D234" i="38"/>
  <c r="D233" i="38" s="1"/>
  <c r="H233" i="38"/>
  <c r="G233" i="38"/>
  <c r="I233" i="38" s="1"/>
  <c r="O232" i="38"/>
  <c r="L232" i="38"/>
  <c r="I232" i="38"/>
  <c r="F232" i="38"/>
  <c r="C232" i="38" s="1"/>
  <c r="O231" i="38"/>
  <c r="L231" i="38"/>
  <c r="I231" i="38"/>
  <c r="F231" i="38"/>
  <c r="C231" i="38" s="1"/>
  <c r="N230" i="38"/>
  <c r="M230" i="38"/>
  <c r="O230" i="38" s="1"/>
  <c r="K230" i="38"/>
  <c r="J230" i="38"/>
  <c r="L230" i="38" s="1"/>
  <c r="I230" i="38"/>
  <c r="H230" i="38"/>
  <c r="G230" i="38"/>
  <c r="E230" i="38"/>
  <c r="F230" i="38" s="1"/>
  <c r="D230" i="38"/>
  <c r="O229" i="38"/>
  <c r="L229" i="38"/>
  <c r="I229" i="38"/>
  <c r="F229" i="38"/>
  <c r="C229" i="38"/>
  <c r="O228" i="38"/>
  <c r="L228" i="38"/>
  <c r="I228" i="38"/>
  <c r="F228" i="38"/>
  <c r="C228" i="38" s="1"/>
  <c r="O227" i="38"/>
  <c r="L227" i="38"/>
  <c r="I227" i="38"/>
  <c r="F227" i="38"/>
  <c r="C227" i="38" s="1"/>
  <c r="O226" i="38"/>
  <c r="L226" i="38"/>
  <c r="I226" i="38"/>
  <c r="F226" i="38"/>
  <c r="C226" i="38" s="1"/>
  <c r="O225" i="38"/>
  <c r="L225" i="38"/>
  <c r="I225" i="38"/>
  <c r="F225" i="38"/>
  <c r="C225" i="38"/>
  <c r="O224" i="38"/>
  <c r="L224" i="38"/>
  <c r="I224" i="38"/>
  <c r="F224" i="38"/>
  <c r="C224" i="38" s="1"/>
  <c r="O223" i="38"/>
  <c r="L223" i="38"/>
  <c r="I223" i="38"/>
  <c r="F223" i="38"/>
  <c r="C223" i="38" s="1"/>
  <c r="O222" i="38"/>
  <c r="L222" i="38"/>
  <c r="I222" i="38"/>
  <c r="F222" i="38"/>
  <c r="C222" i="38" s="1"/>
  <c r="O221" i="38"/>
  <c r="L221" i="38"/>
  <c r="I221" i="38"/>
  <c r="F221" i="38"/>
  <c r="C221" i="38"/>
  <c r="O220" i="38"/>
  <c r="L220" i="38"/>
  <c r="I220" i="38"/>
  <c r="F220" i="38"/>
  <c r="C220" i="38" s="1"/>
  <c r="N219" i="38"/>
  <c r="M219" i="38"/>
  <c r="O219" i="38" s="1"/>
  <c r="K219" i="38"/>
  <c r="J219" i="38"/>
  <c r="L219" i="38" s="1"/>
  <c r="I219" i="38"/>
  <c r="H219" i="38"/>
  <c r="G219" i="38"/>
  <c r="E219" i="38"/>
  <c r="D219" i="38"/>
  <c r="F219" i="38" s="1"/>
  <c r="O218" i="38"/>
  <c r="L218" i="38"/>
  <c r="I218" i="38"/>
  <c r="C218" i="38" s="1"/>
  <c r="F218" i="38"/>
  <c r="O217" i="38"/>
  <c r="L217" i="38"/>
  <c r="I217" i="38"/>
  <c r="F217" i="38"/>
  <c r="C217" i="38"/>
  <c r="O216" i="38"/>
  <c r="L216" i="38"/>
  <c r="I216" i="38"/>
  <c r="F216" i="38"/>
  <c r="C216" i="38" s="1"/>
  <c r="O215" i="38"/>
  <c r="L215" i="38"/>
  <c r="I215" i="38"/>
  <c r="F215" i="38"/>
  <c r="C215" i="38" s="1"/>
  <c r="O214" i="38"/>
  <c r="L214" i="38"/>
  <c r="I214" i="38"/>
  <c r="C214" i="38" s="1"/>
  <c r="F214" i="38"/>
  <c r="O213" i="38"/>
  <c r="L213" i="38"/>
  <c r="I213" i="38"/>
  <c r="F213" i="38"/>
  <c r="C213" i="38"/>
  <c r="O212" i="38"/>
  <c r="L212" i="38"/>
  <c r="I212" i="38"/>
  <c r="F212" i="38"/>
  <c r="C212" i="38" s="1"/>
  <c r="O211" i="38"/>
  <c r="L211" i="38"/>
  <c r="I211" i="38"/>
  <c r="F211" i="38"/>
  <c r="C211" i="38" s="1"/>
  <c r="O210" i="38"/>
  <c r="L210" i="38"/>
  <c r="I210" i="38"/>
  <c r="C210" i="38" s="1"/>
  <c r="F210" i="38"/>
  <c r="O209" i="38"/>
  <c r="L209" i="38"/>
  <c r="I209" i="38"/>
  <c r="F209" i="38"/>
  <c r="C209" i="38"/>
  <c r="O208" i="38"/>
  <c r="N208" i="38"/>
  <c r="M208" i="38"/>
  <c r="K208" i="38"/>
  <c r="L208" i="38" s="1"/>
  <c r="J208" i="38"/>
  <c r="H208" i="38"/>
  <c r="G208" i="38"/>
  <c r="I208" i="38" s="1"/>
  <c r="E208" i="38"/>
  <c r="D208" i="38"/>
  <c r="F208" i="38" s="1"/>
  <c r="N207" i="38"/>
  <c r="M207" i="38"/>
  <c r="O207" i="38" s="1"/>
  <c r="K207" i="38"/>
  <c r="J207" i="38"/>
  <c r="L207" i="38" s="1"/>
  <c r="H207" i="38"/>
  <c r="I207" i="38" s="1"/>
  <c r="G207" i="38"/>
  <c r="E207" i="38"/>
  <c r="D207" i="38"/>
  <c r="F207" i="38" s="1"/>
  <c r="O206" i="38"/>
  <c r="L206" i="38"/>
  <c r="I206" i="38"/>
  <c r="C206" i="38" s="1"/>
  <c r="F206" i="38"/>
  <c r="O205" i="38"/>
  <c r="L205" i="38"/>
  <c r="I205" i="38"/>
  <c r="F205" i="38"/>
  <c r="C205" i="38"/>
  <c r="O204" i="38"/>
  <c r="L204" i="38"/>
  <c r="I204" i="38"/>
  <c r="F204" i="38"/>
  <c r="C204" i="38" s="1"/>
  <c r="O203" i="38"/>
  <c r="L203" i="38"/>
  <c r="I203" i="38"/>
  <c r="F203" i="38"/>
  <c r="C203" i="38" s="1"/>
  <c r="O202" i="38"/>
  <c r="L202" i="38"/>
  <c r="I202" i="38"/>
  <c r="C202" i="38" s="1"/>
  <c r="F202" i="38"/>
  <c r="N201" i="38"/>
  <c r="O201" i="38" s="1"/>
  <c r="M201" i="38"/>
  <c r="K201" i="38"/>
  <c r="J201" i="38"/>
  <c r="L201" i="38" s="1"/>
  <c r="H201" i="38"/>
  <c r="G201" i="38"/>
  <c r="I201" i="38" s="1"/>
  <c r="F201" i="38"/>
  <c r="E201" i="38"/>
  <c r="D201" i="38"/>
  <c r="O200" i="38"/>
  <c r="L200" i="38"/>
  <c r="I200" i="38"/>
  <c r="F200" i="38"/>
  <c r="C200" i="38" s="1"/>
  <c r="N199" i="38"/>
  <c r="M199" i="38"/>
  <c r="O199" i="38" s="1"/>
  <c r="K199" i="38"/>
  <c r="J199" i="38"/>
  <c r="L199" i="38" s="1"/>
  <c r="H199" i="38"/>
  <c r="I199" i="38" s="1"/>
  <c r="G199" i="38"/>
  <c r="E199" i="38"/>
  <c r="D199" i="38"/>
  <c r="F199" i="38" s="1"/>
  <c r="C199" i="38" s="1"/>
  <c r="N198" i="38"/>
  <c r="M198" i="38"/>
  <c r="O198" i="38" s="1"/>
  <c r="K198" i="38"/>
  <c r="J198" i="38"/>
  <c r="L198" i="38" s="1"/>
  <c r="H198" i="38"/>
  <c r="G198" i="38"/>
  <c r="I198" i="38" s="1"/>
  <c r="F198" i="38"/>
  <c r="C198" i="38" s="1"/>
  <c r="E198" i="38"/>
  <c r="D198" i="38"/>
  <c r="G197" i="38"/>
  <c r="O196" i="38"/>
  <c r="L196" i="38"/>
  <c r="I196" i="38"/>
  <c r="F196" i="38"/>
  <c r="C196" i="38" s="1"/>
  <c r="N195" i="38"/>
  <c r="M195" i="38"/>
  <c r="O195" i="38" s="1"/>
  <c r="K195" i="38"/>
  <c r="J195" i="38"/>
  <c r="L195" i="38" s="1"/>
  <c r="I195" i="38"/>
  <c r="H195" i="38"/>
  <c r="G195" i="38"/>
  <c r="E195" i="38"/>
  <c r="F195" i="38" s="1"/>
  <c r="D195" i="38"/>
  <c r="N194" i="38"/>
  <c r="O194" i="38" s="1"/>
  <c r="M194" i="38"/>
  <c r="K194" i="38"/>
  <c r="J194" i="38"/>
  <c r="L194" i="38" s="1"/>
  <c r="H194" i="38"/>
  <c r="G194" i="38"/>
  <c r="I194" i="38" s="1"/>
  <c r="F194" i="38"/>
  <c r="E194" i="38"/>
  <c r="D194" i="38"/>
  <c r="O193" i="38"/>
  <c r="L193" i="38"/>
  <c r="I193" i="38"/>
  <c r="F193" i="38"/>
  <c r="C193" i="38"/>
  <c r="O192" i="38"/>
  <c r="L192" i="38"/>
  <c r="I192" i="38"/>
  <c r="F192" i="38"/>
  <c r="C192" i="38" s="1"/>
  <c r="N191" i="38"/>
  <c r="M191" i="38"/>
  <c r="O191" i="38" s="1"/>
  <c r="K191" i="38"/>
  <c r="J191" i="38"/>
  <c r="L191" i="38" s="1"/>
  <c r="I191" i="38"/>
  <c r="H191" i="38"/>
  <c r="G191" i="38"/>
  <c r="E191" i="38"/>
  <c r="F191" i="38" s="1"/>
  <c r="D191" i="38"/>
  <c r="N190" i="38"/>
  <c r="O190" i="38" s="1"/>
  <c r="M190" i="38"/>
  <c r="K190" i="38"/>
  <c r="J190" i="38"/>
  <c r="L190" i="38" s="1"/>
  <c r="H190" i="38"/>
  <c r="G190" i="38"/>
  <c r="I190" i="38" s="1"/>
  <c r="F190" i="38"/>
  <c r="E190" i="38"/>
  <c r="D190" i="38"/>
  <c r="O189" i="38"/>
  <c r="L189" i="38"/>
  <c r="I189" i="38"/>
  <c r="F189" i="38"/>
  <c r="C189" i="38"/>
  <c r="O188" i="38"/>
  <c r="L188" i="38"/>
  <c r="I188" i="38"/>
  <c r="F188" i="38"/>
  <c r="C188" i="38" s="1"/>
  <c r="N187" i="38"/>
  <c r="M187" i="38"/>
  <c r="O187" i="38" s="1"/>
  <c r="K187" i="38"/>
  <c r="J187" i="38"/>
  <c r="L187" i="38" s="1"/>
  <c r="H187" i="38"/>
  <c r="G187" i="38"/>
  <c r="I187" i="38" s="1"/>
  <c r="E187" i="38"/>
  <c r="D187" i="38"/>
  <c r="F187" i="38" s="1"/>
  <c r="C187" i="38" s="1"/>
  <c r="O186" i="38"/>
  <c r="L186" i="38"/>
  <c r="I186" i="38"/>
  <c r="F186" i="38"/>
  <c r="C186" i="38" s="1"/>
  <c r="O185" i="38"/>
  <c r="L185" i="38"/>
  <c r="I185" i="38"/>
  <c r="F185" i="38"/>
  <c r="C185" i="38"/>
  <c r="O184" i="38"/>
  <c r="L184" i="38"/>
  <c r="I184" i="38"/>
  <c r="F184" i="38"/>
  <c r="C184" i="38" s="1"/>
  <c r="O183" i="38"/>
  <c r="L183" i="38"/>
  <c r="I183" i="38"/>
  <c r="C183" i="38" s="1"/>
  <c r="F183" i="38"/>
  <c r="N182" i="38"/>
  <c r="O182" i="38" s="1"/>
  <c r="M182" i="38"/>
  <c r="K182" i="38"/>
  <c r="J182" i="38"/>
  <c r="L182" i="38" s="1"/>
  <c r="H182" i="38"/>
  <c r="G182" i="38"/>
  <c r="I182" i="38" s="1"/>
  <c r="E182" i="38"/>
  <c r="D182" i="38"/>
  <c r="F182" i="38" s="1"/>
  <c r="O181" i="38"/>
  <c r="L181" i="38"/>
  <c r="I181" i="38"/>
  <c r="F181" i="38"/>
  <c r="C181" i="38"/>
  <c r="O180" i="38"/>
  <c r="L180" i="38"/>
  <c r="I180" i="38"/>
  <c r="F180" i="38"/>
  <c r="C180" i="38" s="1"/>
  <c r="O179" i="38"/>
  <c r="L179" i="38"/>
  <c r="I179" i="38"/>
  <c r="C179" i="38" s="1"/>
  <c r="F179" i="38"/>
  <c r="N178" i="38"/>
  <c r="N177" i="38" s="1"/>
  <c r="N176" i="38" s="1"/>
  <c r="M178" i="38"/>
  <c r="K178" i="38"/>
  <c r="J178" i="38"/>
  <c r="J177" i="38" s="1"/>
  <c r="H178" i="38"/>
  <c r="G178" i="38"/>
  <c r="I178" i="38" s="1"/>
  <c r="E178" i="38"/>
  <c r="D178" i="38"/>
  <c r="F178" i="38" s="1"/>
  <c r="M177" i="38"/>
  <c r="O177" i="38" s="1"/>
  <c r="K177" i="38"/>
  <c r="K176" i="38" s="1"/>
  <c r="H177" i="38"/>
  <c r="G177" i="38"/>
  <c r="G176" i="38" s="1"/>
  <c r="I176" i="38" s="1"/>
  <c r="E177" i="38"/>
  <c r="D177" i="38"/>
  <c r="F177" i="38" s="1"/>
  <c r="M176" i="38"/>
  <c r="H176" i="38"/>
  <c r="E176" i="38"/>
  <c r="D176" i="38"/>
  <c r="F176" i="38" s="1"/>
  <c r="O175" i="38"/>
  <c r="L175" i="38"/>
  <c r="I175" i="38"/>
  <c r="F175" i="38"/>
  <c r="C175" i="38"/>
  <c r="O174" i="38"/>
  <c r="L174" i="38"/>
  <c r="I174" i="38"/>
  <c r="F174" i="38"/>
  <c r="C174" i="38" s="1"/>
  <c r="O173" i="38"/>
  <c r="L173" i="38"/>
  <c r="I173" i="38"/>
  <c r="F173" i="38"/>
  <c r="C173" i="38" s="1"/>
  <c r="O172" i="38"/>
  <c r="L172" i="38"/>
  <c r="I172" i="38"/>
  <c r="F172" i="38"/>
  <c r="C172" i="38" s="1"/>
  <c r="O171" i="38"/>
  <c r="L171" i="38"/>
  <c r="I171" i="38"/>
  <c r="F171" i="38"/>
  <c r="C171" i="38"/>
  <c r="O170" i="38"/>
  <c r="L170" i="38"/>
  <c r="I170" i="38"/>
  <c r="F170" i="38"/>
  <c r="C170" i="38" s="1"/>
  <c r="N169" i="38"/>
  <c r="M169" i="38"/>
  <c r="O169" i="38" s="1"/>
  <c r="K169" i="38"/>
  <c r="K168" i="38" s="1"/>
  <c r="K78" i="38" s="1"/>
  <c r="J169" i="38"/>
  <c r="H169" i="38"/>
  <c r="I169" i="38" s="1"/>
  <c r="G169" i="38"/>
  <c r="G168" i="38" s="1"/>
  <c r="E169" i="38"/>
  <c r="D169" i="38"/>
  <c r="F169" i="38" s="1"/>
  <c r="N168" i="38"/>
  <c r="M168" i="38"/>
  <c r="O168" i="38" s="1"/>
  <c r="J168" i="38"/>
  <c r="L168" i="38" s="1"/>
  <c r="H168" i="38"/>
  <c r="F168" i="38"/>
  <c r="E168" i="38"/>
  <c r="D168" i="38"/>
  <c r="O167" i="38"/>
  <c r="L167" i="38"/>
  <c r="I167" i="38"/>
  <c r="F167" i="38"/>
  <c r="C167" i="38"/>
  <c r="O166" i="38"/>
  <c r="L166" i="38"/>
  <c r="I166" i="38"/>
  <c r="F166" i="38"/>
  <c r="C166" i="38" s="1"/>
  <c r="O165" i="38"/>
  <c r="L165" i="38"/>
  <c r="I165" i="38"/>
  <c r="F165" i="38"/>
  <c r="C165" i="38" s="1"/>
  <c r="O164" i="38"/>
  <c r="L164" i="38"/>
  <c r="I164" i="38"/>
  <c r="F164" i="38"/>
  <c r="C164" i="38" s="1"/>
  <c r="O163" i="38"/>
  <c r="N163" i="38"/>
  <c r="M163" i="38"/>
  <c r="K163" i="38"/>
  <c r="J163" i="38"/>
  <c r="L163" i="38" s="1"/>
  <c r="H163" i="38"/>
  <c r="G163" i="38"/>
  <c r="I163" i="38" s="1"/>
  <c r="F163" i="38"/>
  <c r="E163" i="38"/>
  <c r="D163" i="38"/>
  <c r="O162" i="38"/>
  <c r="L162" i="38"/>
  <c r="I162" i="38"/>
  <c r="F162" i="38"/>
  <c r="C162" i="38" s="1"/>
  <c r="O161" i="38"/>
  <c r="L161" i="38"/>
  <c r="I161" i="38"/>
  <c r="F161" i="38"/>
  <c r="C161" i="38" s="1"/>
  <c r="O160" i="38"/>
  <c r="L160" i="38"/>
  <c r="I160" i="38"/>
  <c r="F160" i="38"/>
  <c r="C160" i="38" s="1"/>
  <c r="O159" i="38"/>
  <c r="L159" i="38"/>
  <c r="I159" i="38"/>
  <c r="F159" i="38"/>
  <c r="C159" i="38"/>
  <c r="O158" i="38"/>
  <c r="L158" i="38"/>
  <c r="I158" i="38"/>
  <c r="F158" i="38"/>
  <c r="C158" i="38" s="1"/>
  <c r="O157" i="38"/>
  <c r="L157" i="38"/>
  <c r="I157" i="38"/>
  <c r="F157" i="38"/>
  <c r="C157" i="38" s="1"/>
  <c r="O156" i="38"/>
  <c r="L156" i="38"/>
  <c r="I156" i="38"/>
  <c r="F156" i="38"/>
  <c r="C156" i="38" s="1"/>
  <c r="O155" i="38"/>
  <c r="L155" i="38"/>
  <c r="I155" i="38"/>
  <c r="F155" i="38"/>
  <c r="C155" i="38"/>
  <c r="N154" i="38"/>
  <c r="O154" i="38" s="1"/>
  <c r="M154" i="38"/>
  <c r="K154" i="38"/>
  <c r="J154" i="38"/>
  <c r="L154" i="38" s="1"/>
  <c r="H154" i="38"/>
  <c r="G154" i="38"/>
  <c r="I154" i="38" s="1"/>
  <c r="E154" i="38"/>
  <c r="D154" i="38"/>
  <c r="F154" i="38" s="1"/>
  <c r="O153" i="38"/>
  <c r="L153" i="38"/>
  <c r="I153" i="38"/>
  <c r="F153" i="38"/>
  <c r="C153" i="38" s="1"/>
  <c r="O152" i="38"/>
  <c r="L152" i="38"/>
  <c r="I152" i="38"/>
  <c r="F152" i="38"/>
  <c r="C152" i="38" s="1"/>
  <c r="O151" i="38"/>
  <c r="L151" i="38"/>
  <c r="I151" i="38"/>
  <c r="F151" i="38"/>
  <c r="C151" i="38"/>
  <c r="O150" i="38"/>
  <c r="L150" i="38"/>
  <c r="I150" i="38"/>
  <c r="F150" i="38"/>
  <c r="C150" i="38" s="1"/>
  <c r="O149" i="38"/>
  <c r="L149" i="38"/>
  <c r="I149" i="38"/>
  <c r="F149" i="38"/>
  <c r="C149" i="38" s="1"/>
  <c r="O148" i="38"/>
  <c r="L148" i="38"/>
  <c r="I148" i="38"/>
  <c r="F148" i="38"/>
  <c r="C148" i="38" s="1"/>
  <c r="N147" i="38"/>
  <c r="M147" i="38"/>
  <c r="O147" i="38" s="1"/>
  <c r="K147" i="38"/>
  <c r="J147" i="38"/>
  <c r="L147" i="38" s="1"/>
  <c r="H147" i="38"/>
  <c r="G147" i="38"/>
  <c r="I147" i="38" s="1"/>
  <c r="F147" i="38"/>
  <c r="E147" i="38"/>
  <c r="D147" i="38"/>
  <c r="O146" i="38"/>
  <c r="L146" i="38"/>
  <c r="I146" i="38"/>
  <c r="F146" i="38"/>
  <c r="C146" i="38"/>
  <c r="O145" i="38"/>
  <c r="L145" i="38"/>
  <c r="I145" i="38"/>
  <c r="F145" i="38"/>
  <c r="C145" i="38" s="1"/>
  <c r="N144" i="38"/>
  <c r="M144" i="38"/>
  <c r="O144" i="38" s="1"/>
  <c r="K144" i="38"/>
  <c r="J144" i="38"/>
  <c r="L144" i="38" s="1"/>
  <c r="I144" i="38"/>
  <c r="H144" i="38"/>
  <c r="G144" i="38"/>
  <c r="E144" i="38"/>
  <c r="D144" i="38"/>
  <c r="F144" i="38" s="1"/>
  <c r="O143" i="38"/>
  <c r="L143" i="38"/>
  <c r="I143" i="38"/>
  <c r="C143" i="38" s="1"/>
  <c r="F143" i="38"/>
  <c r="O142" i="38"/>
  <c r="L142" i="38"/>
  <c r="I142" i="38"/>
  <c r="F142" i="38"/>
  <c r="C142" i="38"/>
  <c r="O141" i="38"/>
  <c r="L141" i="38"/>
  <c r="I141" i="38"/>
  <c r="F141" i="38"/>
  <c r="C141" i="38" s="1"/>
  <c r="O140" i="38"/>
  <c r="L140" i="38"/>
  <c r="I140" i="38"/>
  <c r="F140" i="38"/>
  <c r="C140" i="38" s="1"/>
  <c r="N139" i="38"/>
  <c r="M139" i="38"/>
  <c r="O139" i="38" s="1"/>
  <c r="K139" i="38"/>
  <c r="J139" i="38"/>
  <c r="L139" i="38" s="1"/>
  <c r="I139" i="38"/>
  <c r="H139" i="38"/>
  <c r="G139" i="38"/>
  <c r="F139" i="38"/>
  <c r="C139" i="38" s="1"/>
  <c r="E139" i="38"/>
  <c r="D139" i="38"/>
  <c r="O138" i="38"/>
  <c r="L138" i="38"/>
  <c r="I138" i="38"/>
  <c r="F138" i="38"/>
  <c r="C138" i="38"/>
  <c r="O137" i="38"/>
  <c r="L137" i="38"/>
  <c r="I137" i="38"/>
  <c r="F137" i="38"/>
  <c r="C137" i="38" s="1"/>
  <c r="O136" i="38"/>
  <c r="L136" i="38"/>
  <c r="I136" i="38"/>
  <c r="F136" i="38"/>
  <c r="C136" i="38" s="1"/>
  <c r="O135" i="38"/>
  <c r="L135" i="38"/>
  <c r="I135" i="38"/>
  <c r="C135" i="38" s="1"/>
  <c r="F135" i="38"/>
  <c r="O134" i="38"/>
  <c r="N134" i="38"/>
  <c r="M134" i="38"/>
  <c r="K134" i="38"/>
  <c r="J134" i="38"/>
  <c r="L134" i="38" s="1"/>
  <c r="H134" i="38"/>
  <c r="G134" i="38"/>
  <c r="I134" i="38" s="1"/>
  <c r="E134" i="38"/>
  <c r="D134" i="38"/>
  <c r="F134" i="38" s="1"/>
  <c r="C134" i="38" s="1"/>
  <c r="N133" i="38"/>
  <c r="M133" i="38"/>
  <c r="O133" i="38" s="1"/>
  <c r="K133" i="38"/>
  <c r="J133" i="38"/>
  <c r="L133" i="38" s="1"/>
  <c r="H133" i="38"/>
  <c r="G133" i="38"/>
  <c r="I133" i="38" s="1"/>
  <c r="E133" i="38"/>
  <c r="D133" i="38"/>
  <c r="F133" i="38" s="1"/>
  <c r="C133" i="38" s="1"/>
  <c r="O132" i="38"/>
  <c r="L132" i="38"/>
  <c r="C132" i="38" s="1"/>
  <c r="I132" i="38"/>
  <c r="F132" i="38"/>
  <c r="O131" i="38"/>
  <c r="N131" i="38"/>
  <c r="M131" i="38"/>
  <c r="K131" i="38"/>
  <c r="J131" i="38"/>
  <c r="L131" i="38" s="1"/>
  <c r="H131" i="38"/>
  <c r="G131" i="38"/>
  <c r="I131" i="38" s="1"/>
  <c r="E131" i="38"/>
  <c r="D131" i="38"/>
  <c r="F131" i="38" s="1"/>
  <c r="O130" i="38"/>
  <c r="L130" i="38"/>
  <c r="I130" i="38"/>
  <c r="F130" i="38"/>
  <c r="C130" i="38" s="1"/>
  <c r="O129" i="38"/>
  <c r="L129" i="38"/>
  <c r="I129" i="38"/>
  <c r="F129" i="38"/>
  <c r="C129" i="38" s="1"/>
  <c r="O128" i="38"/>
  <c r="L128" i="38"/>
  <c r="C128" i="38" s="1"/>
  <c r="I128" i="38"/>
  <c r="F128" i="38"/>
  <c r="O127" i="38"/>
  <c r="L127" i="38"/>
  <c r="I127" i="38"/>
  <c r="F127" i="38"/>
  <c r="C127" i="38"/>
  <c r="O126" i="38"/>
  <c r="L126" i="38"/>
  <c r="I126" i="38"/>
  <c r="F126" i="38"/>
  <c r="C126" i="38" s="1"/>
  <c r="N125" i="38"/>
  <c r="M125" i="38"/>
  <c r="O125" i="38" s="1"/>
  <c r="K125" i="38"/>
  <c r="J125" i="38"/>
  <c r="L125" i="38" s="1"/>
  <c r="H125" i="38"/>
  <c r="G125" i="38"/>
  <c r="I125" i="38" s="1"/>
  <c r="E125" i="38"/>
  <c r="D125" i="38"/>
  <c r="F125" i="38" s="1"/>
  <c r="O124" i="38"/>
  <c r="L124" i="38"/>
  <c r="I124" i="38"/>
  <c r="F124" i="38"/>
  <c r="C124" i="38" s="1"/>
  <c r="O123" i="38"/>
  <c r="L123" i="38"/>
  <c r="I123" i="38"/>
  <c r="F123" i="38"/>
  <c r="C123" i="38"/>
  <c r="O122" i="38"/>
  <c r="L122" i="38"/>
  <c r="I122" i="38"/>
  <c r="F122" i="38"/>
  <c r="C122" i="38" s="1"/>
  <c r="O121" i="38"/>
  <c r="L121" i="38"/>
  <c r="I121" i="38"/>
  <c r="F121" i="38"/>
  <c r="C121" i="38" s="1"/>
  <c r="O120" i="38"/>
  <c r="L120" i="38"/>
  <c r="I120" i="38"/>
  <c r="F120" i="38"/>
  <c r="C120" i="38" s="1"/>
  <c r="O119" i="38"/>
  <c r="N119" i="38"/>
  <c r="M119" i="38"/>
  <c r="K119" i="38"/>
  <c r="J119" i="38"/>
  <c r="L119" i="38" s="1"/>
  <c r="H119" i="38"/>
  <c r="G119" i="38"/>
  <c r="I119" i="38" s="1"/>
  <c r="F119" i="38"/>
  <c r="E119" i="38"/>
  <c r="D119" i="38"/>
  <c r="O118" i="38"/>
  <c r="L118" i="38"/>
  <c r="I118" i="38"/>
  <c r="F118" i="38"/>
  <c r="C118" i="38" s="1"/>
  <c r="O117" i="38"/>
  <c r="L117" i="38"/>
  <c r="I117" i="38"/>
  <c r="F117" i="38"/>
  <c r="C117" i="38" s="1"/>
  <c r="O116" i="38"/>
  <c r="L116" i="38"/>
  <c r="I116" i="38"/>
  <c r="F116" i="38"/>
  <c r="C116" i="38" s="1"/>
  <c r="O115" i="38"/>
  <c r="N115" i="38"/>
  <c r="M115" i="38"/>
  <c r="K115" i="38"/>
  <c r="J115" i="38"/>
  <c r="L115" i="38" s="1"/>
  <c r="H115" i="38"/>
  <c r="G115" i="38"/>
  <c r="I115" i="38" s="1"/>
  <c r="C115" i="38" s="1"/>
  <c r="F115" i="38"/>
  <c r="E115" i="38"/>
  <c r="D115" i="38"/>
  <c r="O114" i="38"/>
  <c r="L114" i="38"/>
  <c r="I114" i="38"/>
  <c r="F114" i="38"/>
  <c r="C114" i="38" s="1"/>
  <c r="O113" i="38"/>
  <c r="L113" i="38"/>
  <c r="I113" i="38"/>
  <c r="F113" i="38"/>
  <c r="C113" i="38" s="1"/>
  <c r="O112" i="38"/>
  <c r="L112" i="38"/>
  <c r="I112" i="38"/>
  <c r="F112" i="38"/>
  <c r="C112" i="38" s="1"/>
  <c r="O111" i="38"/>
  <c r="L111" i="38"/>
  <c r="I111" i="38"/>
  <c r="F111" i="38"/>
  <c r="C111" i="38"/>
  <c r="O110" i="38"/>
  <c r="L110" i="38"/>
  <c r="I110" i="38"/>
  <c r="F110" i="38"/>
  <c r="C110" i="38" s="1"/>
  <c r="O109" i="38"/>
  <c r="L109" i="38"/>
  <c r="I109" i="38"/>
  <c r="F109" i="38"/>
  <c r="C109" i="38"/>
  <c r="O108" i="38"/>
  <c r="L108" i="38"/>
  <c r="I108" i="38"/>
  <c r="F108" i="38"/>
  <c r="C108" i="38" s="1"/>
  <c r="O107" i="38"/>
  <c r="L107" i="38"/>
  <c r="I107" i="38"/>
  <c r="F107" i="38"/>
  <c r="C107" i="38"/>
  <c r="N106" i="38"/>
  <c r="M106" i="38"/>
  <c r="O106" i="38" s="1"/>
  <c r="K106" i="38"/>
  <c r="J106" i="38"/>
  <c r="L106" i="38" s="1"/>
  <c r="H106" i="38"/>
  <c r="G106" i="38"/>
  <c r="I106" i="38" s="1"/>
  <c r="E106" i="38"/>
  <c r="D106" i="38"/>
  <c r="F106" i="38" s="1"/>
  <c r="O105" i="38"/>
  <c r="L105" i="38"/>
  <c r="I105" i="38"/>
  <c r="C105" i="38" s="1"/>
  <c r="F105" i="38"/>
  <c r="O104" i="38"/>
  <c r="L104" i="38"/>
  <c r="I104" i="38"/>
  <c r="F104" i="38"/>
  <c r="C104" i="38" s="1"/>
  <c r="O103" i="38"/>
  <c r="L103" i="38"/>
  <c r="I103" i="38"/>
  <c r="F103" i="38"/>
  <c r="C103" i="38"/>
  <c r="O102" i="38"/>
  <c r="L102" i="38"/>
  <c r="I102" i="38"/>
  <c r="F102" i="38"/>
  <c r="C102" i="38" s="1"/>
  <c r="O101" i="38"/>
  <c r="L101" i="38"/>
  <c r="I101" i="38"/>
  <c r="C101" i="38" s="1"/>
  <c r="F101" i="38"/>
  <c r="O100" i="38"/>
  <c r="L100" i="38"/>
  <c r="I100" i="38"/>
  <c r="F100" i="38"/>
  <c r="C100" i="38" s="1"/>
  <c r="O99" i="38"/>
  <c r="L99" i="38"/>
  <c r="I99" i="38"/>
  <c r="C99" i="38" s="1"/>
  <c r="F99" i="38"/>
  <c r="N98" i="38"/>
  <c r="M98" i="38"/>
  <c r="O98" i="38" s="1"/>
  <c r="K98" i="38"/>
  <c r="J98" i="38"/>
  <c r="L98" i="38" s="1"/>
  <c r="H98" i="38"/>
  <c r="G98" i="38"/>
  <c r="I98" i="38" s="1"/>
  <c r="E98" i="38"/>
  <c r="D98" i="38"/>
  <c r="F98" i="38" s="1"/>
  <c r="C98" i="38" s="1"/>
  <c r="O97" i="38"/>
  <c r="L97" i="38"/>
  <c r="I97" i="38"/>
  <c r="F97" i="38"/>
  <c r="C97" i="38"/>
  <c r="O96" i="38"/>
  <c r="L96" i="38"/>
  <c r="I96" i="38"/>
  <c r="F96" i="38"/>
  <c r="C96" i="38" s="1"/>
  <c r="O95" i="38"/>
  <c r="L95" i="38"/>
  <c r="I95" i="38"/>
  <c r="C95" i="38" s="1"/>
  <c r="F95" i="38"/>
  <c r="O94" i="38"/>
  <c r="L94" i="38"/>
  <c r="I94" i="38"/>
  <c r="F94" i="38"/>
  <c r="C94" i="38" s="1"/>
  <c r="O93" i="38"/>
  <c r="L93" i="38"/>
  <c r="I93" i="38"/>
  <c r="F93" i="38"/>
  <c r="C93" i="38"/>
  <c r="N92" i="38"/>
  <c r="O92" i="38" s="1"/>
  <c r="M92" i="38"/>
  <c r="K92" i="38"/>
  <c r="J92" i="38"/>
  <c r="L92" i="38" s="1"/>
  <c r="H92" i="38"/>
  <c r="G92" i="38"/>
  <c r="I92" i="38" s="1"/>
  <c r="E92" i="38"/>
  <c r="D92" i="38"/>
  <c r="F92" i="38" s="1"/>
  <c r="O91" i="38"/>
  <c r="L91" i="38"/>
  <c r="I91" i="38"/>
  <c r="C91" i="38" s="1"/>
  <c r="F91" i="38"/>
  <c r="O90" i="38"/>
  <c r="L90" i="38"/>
  <c r="I90" i="38"/>
  <c r="F90" i="38"/>
  <c r="C90" i="38" s="1"/>
  <c r="O89" i="38"/>
  <c r="L89" i="38"/>
  <c r="I89" i="38"/>
  <c r="F89" i="38"/>
  <c r="C89" i="38"/>
  <c r="O88" i="38"/>
  <c r="L88" i="38"/>
  <c r="I88" i="38"/>
  <c r="F88" i="38"/>
  <c r="C88" i="38" s="1"/>
  <c r="N87" i="38"/>
  <c r="M87" i="38"/>
  <c r="O87" i="38" s="1"/>
  <c r="K87" i="38"/>
  <c r="L87" i="38" s="1"/>
  <c r="J87" i="38"/>
  <c r="H87" i="38"/>
  <c r="G87" i="38"/>
  <c r="I87" i="38" s="1"/>
  <c r="E87" i="38"/>
  <c r="D87" i="38"/>
  <c r="F87" i="38" s="1"/>
  <c r="N86" i="38"/>
  <c r="M86" i="38"/>
  <c r="O86" i="38" s="1"/>
  <c r="K86" i="38"/>
  <c r="J86" i="38"/>
  <c r="L86" i="38" s="1"/>
  <c r="H86" i="38"/>
  <c r="G86" i="38"/>
  <c r="I86" i="38" s="1"/>
  <c r="F86" i="38"/>
  <c r="E86" i="38"/>
  <c r="D86" i="38"/>
  <c r="O85" i="38"/>
  <c r="L85" i="38"/>
  <c r="I85" i="38"/>
  <c r="F85" i="38"/>
  <c r="C85" i="38"/>
  <c r="O84" i="38"/>
  <c r="L84" i="38"/>
  <c r="I84" i="38"/>
  <c r="F84" i="38"/>
  <c r="C84" i="38" s="1"/>
  <c r="N83" i="38"/>
  <c r="M83" i="38"/>
  <c r="O83" i="38" s="1"/>
  <c r="K83" i="38"/>
  <c r="J83" i="38"/>
  <c r="L83" i="38" s="1"/>
  <c r="H83" i="38"/>
  <c r="G83" i="38"/>
  <c r="I83" i="38" s="1"/>
  <c r="E83" i="38"/>
  <c r="D83" i="38"/>
  <c r="F83" i="38" s="1"/>
  <c r="C83" i="38" s="1"/>
  <c r="O82" i="38"/>
  <c r="L82" i="38"/>
  <c r="I82" i="38"/>
  <c r="F82" i="38"/>
  <c r="C82" i="38" s="1"/>
  <c r="O81" i="38"/>
  <c r="L81" i="38"/>
  <c r="I81" i="38"/>
  <c r="F81" i="38"/>
  <c r="C81" i="38"/>
  <c r="O80" i="38"/>
  <c r="N80" i="38"/>
  <c r="M80" i="38"/>
  <c r="K80" i="38"/>
  <c r="L80" i="38" s="1"/>
  <c r="J80" i="38"/>
  <c r="H80" i="38"/>
  <c r="G80" i="38"/>
  <c r="I80" i="38" s="1"/>
  <c r="E80" i="38"/>
  <c r="D80" i="38"/>
  <c r="F80" i="38" s="1"/>
  <c r="N79" i="38"/>
  <c r="M79" i="38"/>
  <c r="O79" i="38" s="1"/>
  <c r="K79" i="38"/>
  <c r="J79" i="38"/>
  <c r="L79" i="38" s="1"/>
  <c r="H79" i="38"/>
  <c r="I79" i="38" s="1"/>
  <c r="G79" i="38"/>
  <c r="E79" i="38"/>
  <c r="D79" i="38"/>
  <c r="F79" i="38" s="1"/>
  <c r="N78" i="38"/>
  <c r="M78" i="38"/>
  <c r="O78" i="38" s="1"/>
  <c r="J78" i="38"/>
  <c r="L78" i="38" s="1"/>
  <c r="H78" i="38"/>
  <c r="E78" i="38"/>
  <c r="F78" i="38" s="1"/>
  <c r="D78" i="38"/>
  <c r="O77" i="38"/>
  <c r="L77" i="38"/>
  <c r="C77" i="38" s="1"/>
  <c r="I77" i="38"/>
  <c r="F77" i="38"/>
  <c r="O76" i="38"/>
  <c r="L76" i="38"/>
  <c r="I76" i="38"/>
  <c r="F76" i="38"/>
  <c r="C76" i="38"/>
  <c r="O75" i="38"/>
  <c r="L75" i="38"/>
  <c r="I75" i="38"/>
  <c r="F75" i="38"/>
  <c r="C75" i="38" s="1"/>
  <c r="O74" i="38"/>
  <c r="L74" i="38"/>
  <c r="I74" i="38"/>
  <c r="C74" i="38" s="1"/>
  <c r="F74" i="38"/>
  <c r="O73" i="38"/>
  <c r="L73" i="38"/>
  <c r="I73" i="38"/>
  <c r="F73" i="38"/>
  <c r="C73" i="38"/>
  <c r="N72" i="38"/>
  <c r="M72" i="38"/>
  <c r="O72" i="38" s="1"/>
  <c r="K72" i="38"/>
  <c r="L72" i="38" s="1"/>
  <c r="J72" i="38"/>
  <c r="H72" i="38"/>
  <c r="G72" i="38"/>
  <c r="I72" i="38" s="1"/>
  <c r="E72" i="38"/>
  <c r="D72" i="38"/>
  <c r="F72" i="38" s="1"/>
  <c r="O71" i="38"/>
  <c r="L71" i="38"/>
  <c r="I71" i="38"/>
  <c r="F71" i="38"/>
  <c r="C71" i="38" s="1"/>
  <c r="N70" i="38"/>
  <c r="M70" i="38"/>
  <c r="O70" i="38" s="1"/>
  <c r="K70" i="38"/>
  <c r="J70" i="38"/>
  <c r="L70" i="38" s="1"/>
  <c r="I70" i="38"/>
  <c r="H70" i="38"/>
  <c r="G70" i="38"/>
  <c r="E70" i="38"/>
  <c r="O69" i="38"/>
  <c r="L69" i="38"/>
  <c r="I69" i="38"/>
  <c r="F69" i="38"/>
  <c r="C69" i="38"/>
  <c r="O68" i="38"/>
  <c r="L68" i="38"/>
  <c r="I68" i="38"/>
  <c r="F68" i="38"/>
  <c r="C68" i="38" s="1"/>
  <c r="O67" i="38"/>
  <c r="L67" i="38"/>
  <c r="I67" i="38"/>
  <c r="F67" i="38"/>
  <c r="C67" i="38" s="1"/>
  <c r="O66" i="38"/>
  <c r="L66" i="38"/>
  <c r="I66" i="38"/>
  <c r="C66" i="38" s="1"/>
  <c r="F66" i="38"/>
  <c r="O65" i="38"/>
  <c r="L65" i="38"/>
  <c r="I65" i="38"/>
  <c r="F65" i="38"/>
  <c r="C65" i="38"/>
  <c r="O64" i="38"/>
  <c r="L64" i="38"/>
  <c r="I64" i="38"/>
  <c r="F64" i="38"/>
  <c r="C64" i="38" s="1"/>
  <c r="O63" i="38"/>
  <c r="L63" i="38"/>
  <c r="I63" i="38"/>
  <c r="F63" i="38"/>
  <c r="C63" i="38" s="1"/>
  <c r="O62" i="38"/>
  <c r="L62" i="38"/>
  <c r="I62" i="38"/>
  <c r="C62" i="38" s="1"/>
  <c r="F62" i="38"/>
  <c r="O61" i="38"/>
  <c r="N61" i="38"/>
  <c r="M61" i="38"/>
  <c r="K61" i="38"/>
  <c r="J61" i="38"/>
  <c r="L61" i="38" s="1"/>
  <c r="H61" i="38"/>
  <c r="G61" i="38"/>
  <c r="I61" i="38" s="1"/>
  <c r="E61" i="38"/>
  <c r="D61" i="38"/>
  <c r="F61" i="38" s="1"/>
  <c r="O60" i="38"/>
  <c r="L60" i="38"/>
  <c r="I60" i="38"/>
  <c r="F60" i="38"/>
  <c r="C60" i="38" s="1"/>
  <c r="O59" i="38"/>
  <c r="L59" i="38"/>
  <c r="I59" i="38"/>
  <c r="F59" i="38"/>
  <c r="C59" i="38" s="1"/>
  <c r="N58" i="38"/>
  <c r="M58" i="38"/>
  <c r="M57" i="38" s="1"/>
  <c r="K58" i="38"/>
  <c r="J58" i="38"/>
  <c r="L58" i="38" s="1"/>
  <c r="H58" i="38"/>
  <c r="G58" i="38"/>
  <c r="I58" i="38" s="1"/>
  <c r="F58" i="38"/>
  <c r="E58" i="38"/>
  <c r="D58" i="38"/>
  <c r="N57" i="38"/>
  <c r="N56" i="38" s="1"/>
  <c r="K57" i="38"/>
  <c r="J57" i="38"/>
  <c r="J56" i="38" s="1"/>
  <c r="H57" i="38"/>
  <c r="G57" i="38"/>
  <c r="I57" i="38" s="1"/>
  <c r="E57" i="38"/>
  <c r="D57" i="38"/>
  <c r="F57" i="38" s="1"/>
  <c r="K56" i="38"/>
  <c r="K55" i="38" s="1"/>
  <c r="H56" i="38"/>
  <c r="G56" i="38"/>
  <c r="E56" i="38"/>
  <c r="H55" i="38"/>
  <c r="E55" i="38"/>
  <c r="O50" i="38"/>
  <c r="C50" i="38" s="1"/>
  <c r="O49" i="38"/>
  <c r="C49" i="38"/>
  <c r="O48" i="38"/>
  <c r="N48" i="38"/>
  <c r="M48" i="38"/>
  <c r="C48" i="38"/>
  <c r="L47" i="38"/>
  <c r="I47" i="38"/>
  <c r="F47" i="38"/>
  <c r="C47" i="38"/>
  <c r="L46" i="38"/>
  <c r="K46" i="38"/>
  <c r="J46" i="38"/>
  <c r="I46" i="38"/>
  <c r="H46" i="38"/>
  <c r="G46" i="38"/>
  <c r="E46" i="38"/>
  <c r="D46" i="38"/>
  <c r="F46" i="38" s="1"/>
  <c r="C46" i="38" s="1"/>
  <c r="F45" i="38"/>
  <c r="C45" i="38"/>
  <c r="L44" i="38"/>
  <c r="C44" i="38" s="1"/>
  <c r="L43" i="38"/>
  <c r="C43" i="38"/>
  <c r="L42" i="38"/>
  <c r="C42" i="38" s="1"/>
  <c r="L41" i="38"/>
  <c r="C41" i="38"/>
  <c r="K40" i="38"/>
  <c r="J40" i="38"/>
  <c r="L40" i="38" s="1"/>
  <c r="C40" i="38" s="1"/>
  <c r="L39" i="38"/>
  <c r="C39" i="38" s="1"/>
  <c r="L38" i="38"/>
  <c r="C38" i="38" s="1"/>
  <c r="K37" i="38"/>
  <c r="J37" i="38"/>
  <c r="L37" i="38" s="1"/>
  <c r="C37" i="38" s="1"/>
  <c r="L36" i="38"/>
  <c r="C36" i="38" s="1"/>
  <c r="K35" i="38"/>
  <c r="K30" i="38" s="1"/>
  <c r="J35" i="38"/>
  <c r="L35" i="38" s="1"/>
  <c r="C35" i="38" s="1"/>
  <c r="L34" i="38"/>
  <c r="C34" i="38" s="1"/>
  <c r="L33" i="38"/>
  <c r="C33" i="38" s="1"/>
  <c r="L32" i="38"/>
  <c r="C32" i="38" s="1"/>
  <c r="K31" i="38"/>
  <c r="J31" i="38"/>
  <c r="L31" i="38" s="1"/>
  <c r="C31" i="38" s="1"/>
  <c r="J30" i="38"/>
  <c r="L30" i="38" s="1"/>
  <c r="C30" i="38" s="1"/>
  <c r="F29" i="38"/>
  <c r="C29" i="38" s="1"/>
  <c r="I28" i="38"/>
  <c r="C28" i="38" s="1"/>
  <c r="F28" i="38"/>
  <c r="O27" i="38"/>
  <c r="L27" i="38"/>
  <c r="I27" i="38"/>
  <c r="F27" i="38"/>
  <c r="C27" i="38" s="1"/>
  <c r="O26" i="38"/>
  <c r="L26" i="38"/>
  <c r="I26" i="38"/>
  <c r="F26" i="38"/>
  <c r="C26" i="38"/>
  <c r="N25" i="38"/>
  <c r="N290" i="38" s="1"/>
  <c r="N289" i="38" s="1"/>
  <c r="M25" i="38"/>
  <c r="M290" i="38" s="1"/>
  <c r="L25" i="38"/>
  <c r="K25" i="38"/>
  <c r="K290" i="38" s="1"/>
  <c r="K289" i="38" s="1"/>
  <c r="J25" i="38"/>
  <c r="J290" i="38" s="1"/>
  <c r="H25" i="38"/>
  <c r="H24" i="38" s="1"/>
  <c r="G25" i="38"/>
  <c r="I25" i="38" s="1"/>
  <c r="E25" i="38"/>
  <c r="E290" i="38" s="1"/>
  <c r="E289" i="38" s="1"/>
  <c r="D25" i="38"/>
  <c r="D24" i="38" s="1"/>
  <c r="F24" i="38" s="1"/>
  <c r="M24" i="38"/>
  <c r="G24" i="38"/>
  <c r="I24" i="38" s="1"/>
  <c r="E24" i="38"/>
  <c r="O299" i="37"/>
  <c r="L299" i="37"/>
  <c r="I299" i="37"/>
  <c r="F299" i="37"/>
  <c r="C299" i="37" s="1"/>
  <c r="O298" i="37"/>
  <c r="L298" i="37"/>
  <c r="I298" i="37"/>
  <c r="F298" i="37"/>
  <c r="C298" i="37"/>
  <c r="O297" i="37"/>
  <c r="L297" i="37"/>
  <c r="I297" i="37"/>
  <c r="F297" i="37"/>
  <c r="C297" i="37" s="1"/>
  <c r="O296" i="37"/>
  <c r="L296" i="37"/>
  <c r="I296" i="37"/>
  <c r="C296" i="37" s="1"/>
  <c r="F296" i="37"/>
  <c r="O295" i="37"/>
  <c r="L295" i="37"/>
  <c r="I295" i="37"/>
  <c r="F295" i="37"/>
  <c r="C295" i="37" s="1"/>
  <c r="O294" i="37"/>
  <c r="L294" i="37"/>
  <c r="I294" i="37"/>
  <c r="F294" i="37"/>
  <c r="C294" i="37"/>
  <c r="O293" i="37"/>
  <c r="L293" i="37"/>
  <c r="I293" i="37"/>
  <c r="F293" i="37"/>
  <c r="C293" i="37" s="1"/>
  <c r="O292" i="37"/>
  <c r="L292" i="37"/>
  <c r="I292" i="37"/>
  <c r="C292" i="37" s="1"/>
  <c r="F292" i="37"/>
  <c r="N291" i="37"/>
  <c r="M291" i="37"/>
  <c r="O291" i="37" s="1"/>
  <c r="K291" i="37"/>
  <c r="J291" i="37"/>
  <c r="L291" i="37" s="1"/>
  <c r="H291" i="37"/>
  <c r="G291" i="37"/>
  <c r="I291" i="37" s="1"/>
  <c r="F291" i="37"/>
  <c r="E291" i="37"/>
  <c r="D291" i="37"/>
  <c r="O286" i="37"/>
  <c r="L286" i="37"/>
  <c r="I286" i="37"/>
  <c r="F286" i="37"/>
  <c r="C286" i="37"/>
  <c r="O285" i="37"/>
  <c r="L285" i="37"/>
  <c r="I285" i="37"/>
  <c r="F285" i="37"/>
  <c r="C285" i="37" s="1"/>
  <c r="N284" i="37"/>
  <c r="M284" i="37"/>
  <c r="K284" i="37"/>
  <c r="J284" i="37"/>
  <c r="L284" i="37" s="1"/>
  <c r="H284" i="37"/>
  <c r="G284" i="37"/>
  <c r="E284" i="37"/>
  <c r="D284" i="37"/>
  <c r="O283" i="37"/>
  <c r="L283" i="37"/>
  <c r="I283" i="37"/>
  <c r="F283" i="37"/>
  <c r="C283" i="37" s="1"/>
  <c r="N282" i="37"/>
  <c r="M282" i="37"/>
  <c r="O282" i="37" s="1"/>
  <c r="K282" i="37"/>
  <c r="J282" i="37"/>
  <c r="L282" i="37" s="1"/>
  <c r="H282" i="37"/>
  <c r="G282" i="37"/>
  <c r="I282" i="37" s="1"/>
  <c r="E282" i="37"/>
  <c r="F282" i="37" s="1"/>
  <c r="C282" i="37" s="1"/>
  <c r="D282" i="37"/>
  <c r="O281" i="37"/>
  <c r="L281" i="37"/>
  <c r="I281" i="37"/>
  <c r="F281" i="37"/>
  <c r="C281" i="37" s="1"/>
  <c r="O280" i="37"/>
  <c r="L280" i="37"/>
  <c r="I280" i="37"/>
  <c r="F280" i="37"/>
  <c r="C280" i="37" s="1"/>
  <c r="O279" i="37"/>
  <c r="L279" i="37"/>
  <c r="I279" i="37"/>
  <c r="F279" i="37"/>
  <c r="C279" i="37" s="1"/>
  <c r="O278" i="37"/>
  <c r="N278" i="37"/>
  <c r="M278" i="37"/>
  <c r="K278" i="37"/>
  <c r="J278" i="37"/>
  <c r="L278" i="37" s="1"/>
  <c r="H278" i="37"/>
  <c r="G278" i="37"/>
  <c r="I278" i="37" s="1"/>
  <c r="E278" i="37"/>
  <c r="F278" i="37" s="1"/>
  <c r="D278" i="37"/>
  <c r="O277" i="37"/>
  <c r="L277" i="37"/>
  <c r="I277" i="37"/>
  <c r="F277" i="37"/>
  <c r="C277" i="37" s="1"/>
  <c r="O276" i="37"/>
  <c r="L276" i="37"/>
  <c r="I276" i="37"/>
  <c r="C276" i="37" s="1"/>
  <c r="F276" i="37"/>
  <c r="O275" i="37"/>
  <c r="L275" i="37"/>
  <c r="I275" i="37"/>
  <c r="F275" i="37"/>
  <c r="C275" i="37" s="1"/>
  <c r="N274" i="37"/>
  <c r="M274" i="37"/>
  <c r="O274" i="37" s="1"/>
  <c r="K274" i="37"/>
  <c r="J274" i="37"/>
  <c r="L274" i="37" s="1"/>
  <c r="H274" i="37"/>
  <c r="G274" i="37"/>
  <c r="I274" i="37" s="1"/>
  <c r="E274" i="37"/>
  <c r="F274" i="37" s="1"/>
  <c r="D274" i="37"/>
  <c r="O273" i="37"/>
  <c r="L273" i="37"/>
  <c r="I273" i="37"/>
  <c r="F273" i="37"/>
  <c r="C273" i="37" s="1"/>
  <c r="N272" i="37"/>
  <c r="M272" i="37"/>
  <c r="O272" i="37" s="1"/>
  <c r="K272" i="37"/>
  <c r="J272" i="37"/>
  <c r="J271" i="37" s="1"/>
  <c r="L271" i="37" s="1"/>
  <c r="I272" i="37"/>
  <c r="H272" i="37"/>
  <c r="G272" i="37"/>
  <c r="F272" i="37"/>
  <c r="E272" i="37"/>
  <c r="E271" i="37" s="1"/>
  <c r="F271" i="37" s="1"/>
  <c r="D272" i="37"/>
  <c r="N271" i="37"/>
  <c r="K271" i="37"/>
  <c r="H271" i="37"/>
  <c r="G271" i="37"/>
  <c r="I271" i="37" s="1"/>
  <c r="D271" i="37"/>
  <c r="O270" i="37"/>
  <c r="L270" i="37"/>
  <c r="I270" i="37"/>
  <c r="F270" i="37"/>
  <c r="C270" i="37" s="1"/>
  <c r="O269" i="37"/>
  <c r="L269" i="37"/>
  <c r="I269" i="37"/>
  <c r="F269" i="37"/>
  <c r="C269" i="37" s="1"/>
  <c r="O268" i="37"/>
  <c r="L268" i="37"/>
  <c r="I268" i="37"/>
  <c r="C268" i="37" s="1"/>
  <c r="F268" i="37"/>
  <c r="O267" i="37"/>
  <c r="L267" i="37"/>
  <c r="I267" i="37"/>
  <c r="F267" i="37"/>
  <c r="C267" i="37"/>
  <c r="O266" i="37"/>
  <c r="N266" i="37"/>
  <c r="M266" i="37"/>
  <c r="L266" i="37"/>
  <c r="K266" i="37"/>
  <c r="J266" i="37"/>
  <c r="H266" i="37"/>
  <c r="G266" i="37"/>
  <c r="I266" i="37" s="1"/>
  <c r="E266" i="37"/>
  <c r="D266" i="37"/>
  <c r="F266" i="37" s="1"/>
  <c r="O265" i="37"/>
  <c r="L265" i="37"/>
  <c r="I265" i="37"/>
  <c r="F265" i="37"/>
  <c r="C265" i="37" s="1"/>
  <c r="O264" i="37"/>
  <c r="L264" i="37"/>
  <c r="I264" i="37"/>
  <c r="C264" i="37" s="1"/>
  <c r="F264" i="37"/>
  <c r="O263" i="37"/>
  <c r="L263" i="37"/>
  <c r="I263" i="37"/>
  <c r="F263" i="37"/>
  <c r="C263" i="37"/>
  <c r="O262" i="37"/>
  <c r="N262" i="37"/>
  <c r="M262" i="37"/>
  <c r="L262" i="37"/>
  <c r="K262" i="37"/>
  <c r="K261" i="37" s="1"/>
  <c r="L261" i="37" s="1"/>
  <c r="J262" i="37"/>
  <c r="H262" i="37"/>
  <c r="H261" i="37" s="1"/>
  <c r="G262" i="37"/>
  <c r="I262" i="37" s="1"/>
  <c r="E262" i="37"/>
  <c r="D262" i="37"/>
  <c r="D261" i="37" s="1"/>
  <c r="F261" i="37" s="1"/>
  <c r="N261" i="37"/>
  <c r="M261" i="37"/>
  <c r="O261" i="37" s="1"/>
  <c r="J261" i="37"/>
  <c r="E261" i="37"/>
  <c r="O260" i="37"/>
  <c r="L260" i="37"/>
  <c r="I260" i="37"/>
  <c r="C260" i="37" s="1"/>
  <c r="F260" i="37"/>
  <c r="O259" i="37"/>
  <c r="L259" i="37"/>
  <c r="I259" i="37"/>
  <c r="F259" i="37"/>
  <c r="C259" i="37"/>
  <c r="O258" i="37"/>
  <c r="L258" i="37"/>
  <c r="I258" i="37"/>
  <c r="F258" i="37"/>
  <c r="C258" i="37" s="1"/>
  <c r="O257" i="37"/>
  <c r="L257" i="37"/>
  <c r="I257" i="37"/>
  <c r="F257" i="37"/>
  <c r="C257" i="37" s="1"/>
  <c r="O256" i="37"/>
  <c r="L256" i="37"/>
  <c r="I256" i="37"/>
  <c r="C256" i="37" s="1"/>
  <c r="F256" i="37"/>
  <c r="O255" i="37"/>
  <c r="N255" i="37"/>
  <c r="N254" i="37" s="1"/>
  <c r="O254" i="37" s="1"/>
  <c r="M255" i="37"/>
  <c r="K255" i="37"/>
  <c r="K254" i="37" s="1"/>
  <c r="J255" i="37"/>
  <c r="L255" i="37" s="1"/>
  <c r="H255" i="37"/>
  <c r="G255" i="37"/>
  <c r="G254" i="37" s="1"/>
  <c r="I254" i="37" s="1"/>
  <c r="F255" i="37"/>
  <c r="E255" i="37"/>
  <c r="D255" i="37"/>
  <c r="M254" i="37"/>
  <c r="H254" i="37"/>
  <c r="E254" i="37"/>
  <c r="D254" i="37"/>
  <c r="F254" i="37" s="1"/>
  <c r="O253" i="37"/>
  <c r="L253" i="37"/>
  <c r="I253" i="37"/>
  <c r="F253" i="37"/>
  <c r="C253" i="37" s="1"/>
  <c r="O252" i="37"/>
  <c r="L252" i="37"/>
  <c r="I252" i="37"/>
  <c r="C252" i="37" s="1"/>
  <c r="F252" i="37"/>
  <c r="O251" i="37"/>
  <c r="L251" i="37"/>
  <c r="I251" i="37"/>
  <c r="F251" i="37"/>
  <c r="C251" i="37"/>
  <c r="O250" i="37"/>
  <c r="L250" i="37"/>
  <c r="I250" i="37"/>
  <c r="F250" i="37"/>
  <c r="C250" i="37" s="1"/>
  <c r="N249" i="37"/>
  <c r="M249" i="37"/>
  <c r="O249" i="37" s="1"/>
  <c r="L249" i="37"/>
  <c r="K249" i="37"/>
  <c r="J249" i="37"/>
  <c r="I249" i="37"/>
  <c r="H249" i="37"/>
  <c r="G249" i="37"/>
  <c r="E249" i="37"/>
  <c r="D249" i="37"/>
  <c r="F249" i="37" s="1"/>
  <c r="C249" i="37" s="1"/>
  <c r="O248" i="37"/>
  <c r="L248" i="37"/>
  <c r="I248" i="37"/>
  <c r="C248" i="37" s="1"/>
  <c r="F248" i="37"/>
  <c r="O247" i="37"/>
  <c r="L247" i="37"/>
  <c r="I247" i="37"/>
  <c r="F247" i="37"/>
  <c r="C247" i="37"/>
  <c r="O246" i="37"/>
  <c r="L246" i="37"/>
  <c r="I246" i="37"/>
  <c r="F246" i="37"/>
  <c r="C246" i="37" s="1"/>
  <c r="O245" i="37"/>
  <c r="L245" i="37"/>
  <c r="I245" i="37"/>
  <c r="F245" i="37"/>
  <c r="C245" i="37" s="1"/>
  <c r="O244" i="37"/>
  <c r="L244" i="37"/>
  <c r="I244" i="37"/>
  <c r="C244" i="37" s="1"/>
  <c r="F244" i="37"/>
  <c r="O243" i="37"/>
  <c r="L243" i="37"/>
  <c r="I243" i="37"/>
  <c r="F243" i="37"/>
  <c r="C243" i="37"/>
  <c r="O242" i="37"/>
  <c r="L242" i="37"/>
  <c r="I242" i="37"/>
  <c r="F242" i="37"/>
  <c r="C242" i="37" s="1"/>
  <c r="N241" i="37"/>
  <c r="M241" i="37"/>
  <c r="O241" i="37" s="1"/>
  <c r="L241" i="37"/>
  <c r="K241" i="37"/>
  <c r="J241" i="37"/>
  <c r="I241" i="37"/>
  <c r="H241" i="37"/>
  <c r="G241" i="37"/>
  <c r="E241" i="37"/>
  <c r="D241" i="37"/>
  <c r="F241" i="37" s="1"/>
  <c r="C241" i="37" s="1"/>
  <c r="O240" i="37"/>
  <c r="L240" i="37"/>
  <c r="I240" i="37"/>
  <c r="C240" i="37" s="1"/>
  <c r="F240" i="37"/>
  <c r="O239" i="37"/>
  <c r="L239" i="37"/>
  <c r="I239" i="37"/>
  <c r="F239" i="37"/>
  <c r="C239" i="37"/>
  <c r="O238" i="37"/>
  <c r="N238" i="37"/>
  <c r="M238" i="37"/>
  <c r="L238" i="37"/>
  <c r="K238" i="37"/>
  <c r="J238" i="37"/>
  <c r="H238" i="37"/>
  <c r="G238" i="37"/>
  <c r="I238" i="37" s="1"/>
  <c r="E238" i="37"/>
  <c r="D238" i="37"/>
  <c r="F238" i="37" s="1"/>
  <c r="O237" i="37"/>
  <c r="L237" i="37"/>
  <c r="I237" i="37"/>
  <c r="F237" i="37"/>
  <c r="C237" i="37" s="1"/>
  <c r="N236" i="37"/>
  <c r="N234" i="37" s="1"/>
  <c r="N233" i="37" s="1"/>
  <c r="M236" i="37"/>
  <c r="O236" i="37" s="1"/>
  <c r="K236" i="37"/>
  <c r="J236" i="37"/>
  <c r="L236" i="37" s="1"/>
  <c r="I236" i="37"/>
  <c r="H236" i="37"/>
  <c r="G236" i="37"/>
  <c r="F236" i="37"/>
  <c r="E236" i="37"/>
  <c r="E234" i="37" s="1"/>
  <c r="E233" i="37" s="1"/>
  <c r="D236" i="37"/>
  <c r="O235" i="37"/>
  <c r="L235" i="37"/>
  <c r="I235" i="37"/>
  <c r="F235" i="37"/>
  <c r="C235" i="37"/>
  <c r="K234" i="37"/>
  <c r="K233" i="37" s="1"/>
  <c r="H234" i="37"/>
  <c r="H233" i="37" s="1"/>
  <c r="G234" i="37"/>
  <c r="I234" i="37" s="1"/>
  <c r="D234" i="37"/>
  <c r="D233" i="37" s="1"/>
  <c r="O232" i="37"/>
  <c r="L232" i="37"/>
  <c r="I232" i="37"/>
  <c r="C232" i="37" s="1"/>
  <c r="F232" i="37"/>
  <c r="O231" i="37"/>
  <c r="L231" i="37"/>
  <c r="I231" i="37"/>
  <c r="F231" i="37"/>
  <c r="C231" i="37"/>
  <c r="O230" i="37"/>
  <c r="N230" i="37"/>
  <c r="M230" i="37"/>
  <c r="L230" i="37"/>
  <c r="K230" i="37"/>
  <c r="J230" i="37"/>
  <c r="H230" i="37"/>
  <c r="H207" i="37" s="1"/>
  <c r="G230" i="37"/>
  <c r="I230" i="37" s="1"/>
  <c r="E230" i="37"/>
  <c r="D230" i="37"/>
  <c r="D207" i="37" s="1"/>
  <c r="O229" i="37"/>
  <c r="L229" i="37"/>
  <c r="I229" i="37"/>
  <c r="F229" i="37"/>
  <c r="C229" i="37" s="1"/>
  <c r="O228" i="37"/>
  <c r="L228" i="37"/>
  <c r="I228" i="37"/>
  <c r="C228" i="37" s="1"/>
  <c r="F228" i="37"/>
  <c r="O227" i="37"/>
  <c r="L227" i="37"/>
  <c r="I227" i="37"/>
  <c r="F227" i="37"/>
  <c r="C227" i="37"/>
  <c r="O226" i="37"/>
  <c r="L226" i="37"/>
  <c r="I226" i="37"/>
  <c r="F226" i="37"/>
  <c r="C226" i="37" s="1"/>
  <c r="O225" i="37"/>
  <c r="L225" i="37"/>
  <c r="I225" i="37"/>
  <c r="F225" i="37"/>
  <c r="C225" i="37" s="1"/>
  <c r="O224" i="37"/>
  <c r="L224" i="37"/>
  <c r="I224" i="37"/>
  <c r="C224" i="37" s="1"/>
  <c r="F224" i="37"/>
  <c r="O223" i="37"/>
  <c r="L223" i="37"/>
  <c r="I223" i="37"/>
  <c r="F223" i="37"/>
  <c r="C223" i="37"/>
  <c r="O222" i="37"/>
  <c r="L222" i="37"/>
  <c r="I222" i="37"/>
  <c r="F222" i="37"/>
  <c r="C222" i="37" s="1"/>
  <c r="O221" i="37"/>
  <c r="L221" i="37"/>
  <c r="I221" i="37"/>
  <c r="F221" i="37"/>
  <c r="C221" i="37" s="1"/>
  <c r="O220" i="37"/>
  <c r="L220" i="37"/>
  <c r="I220" i="37"/>
  <c r="C220" i="37" s="1"/>
  <c r="F220" i="37"/>
  <c r="O219" i="37"/>
  <c r="N219" i="37"/>
  <c r="M219" i="37"/>
  <c r="K219" i="37"/>
  <c r="J219" i="37"/>
  <c r="L219" i="37" s="1"/>
  <c r="H219" i="37"/>
  <c r="G219" i="37"/>
  <c r="I219" i="37" s="1"/>
  <c r="F219" i="37"/>
  <c r="E219" i="37"/>
  <c r="D219" i="37"/>
  <c r="O218" i="37"/>
  <c r="L218" i="37"/>
  <c r="I218" i="37"/>
  <c r="F218" i="37"/>
  <c r="C218" i="37" s="1"/>
  <c r="O217" i="37"/>
  <c r="L217" i="37"/>
  <c r="I217" i="37"/>
  <c r="F217" i="37"/>
  <c r="C217" i="37" s="1"/>
  <c r="O216" i="37"/>
  <c r="L216" i="37"/>
  <c r="I216" i="37"/>
  <c r="C216" i="37" s="1"/>
  <c r="F216" i="37"/>
  <c r="O215" i="37"/>
  <c r="L215" i="37"/>
  <c r="I215" i="37"/>
  <c r="F215" i="37"/>
  <c r="C215" i="37"/>
  <c r="O214" i="37"/>
  <c r="L214" i="37"/>
  <c r="I214" i="37"/>
  <c r="F214" i="37"/>
  <c r="C214" i="37" s="1"/>
  <c r="O213" i="37"/>
  <c r="L213" i="37"/>
  <c r="I213" i="37"/>
  <c r="F213" i="37"/>
  <c r="C213" i="37" s="1"/>
  <c r="O212" i="37"/>
  <c r="L212" i="37"/>
  <c r="I212" i="37"/>
  <c r="C212" i="37" s="1"/>
  <c r="F212" i="37"/>
  <c r="O211" i="37"/>
  <c r="L211" i="37"/>
  <c r="I211" i="37"/>
  <c r="F211" i="37"/>
  <c r="C211" i="37"/>
  <c r="O210" i="37"/>
  <c r="L210" i="37"/>
  <c r="I210" i="37"/>
  <c r="F210" i="37"/>
  <c r="C210" i="37" s="1"/>
  <c r="O209" i="37"/>
  <c r="L209" i="37"/>
  <c r="I209" i="37"/>
  <c r="F209" i="37"/>
  <c r="C209" i="37" s="1"/>
  <c r="N208" i="37"/>
  <c r="N207" i="37" s="1"/>
  <c r="M208" i="37"/>
  <c r="O208" i="37" s="1"/>
  <c r="K208" i="37"/>
  <c r="J208" i="37"/>
  <c r="J207" i="37" s="1"/>
  <c r="L207" i="37" s="1"/>
  <c r="I208" i="37"/>
  <c r="H208" i="37"/>
  <c r="G208" i="37"/>
  <c r="F208" i="37"/>
  <c r="E208" i="37"/>
  <c r="E207" i="37" s="1"/>
  <c r="D208" i="37"/>
  <c r="K207" i="37"/>
  <c r="G207" i="37"/>
  <c r="I207" i="37" s="1"/>
  <c r="O206" i="37"/>
  <c r="L206" i="37"/>
  <c r="I206" i="37"/>
  <c r="F206" i="37"/>
  <c r="C206" i="37" s="1"/>
  <c r="O205" i="37"/>
  <c r="L205" i="37"/>
  <c r="I205" i="37"/>
  <c r="F205" i="37"/>
  <c r="C205" i="37" s="1"/>
  <c r="O204" i="37"/>
  <c r="L204" i="37"/>
  <c r="I204" i="37"/>
  <c r="C204" i="37" s="1"/>
  <c r="F204" i="37"/>
  <c r="O203" i="37"/>
  <c r="L203" i="37"/>
  <c r="I203" i="37"/>
  <c r="F203" i="37"/>
  <c r="C203" i="37"/>
  <c r="O202" i="37"/>
  <c r="L202" i="37"/>
  <c r="I202" i="37"/>
  <c r="F202" i="37"/>
  <c r="C202" i="37" s="1"/>
  <c r="N201" i="37"/>
  <c r="M201" i="37"/>
  <c r="O201" i="37" s="1"/>
  <c r="L201" i="37"/>
  <c r="K201" i="37"/>
  <c r="J201" i="37"/>
  <c r="I201" i="37"/>
  <c r="H201" i="37"/>
  <c r="H199" i="37" s="1"/>
  <c r="H198" i="37" s="1"/>
  <c r="H197" i="37" s="1"/>
  <c r="G201" i="37"/>
  <c r="E201" i="37"/>
  <c r="E199" i="37" s="1"/>
  <c r="E198" i="37" s="1"/>
  <c r="E197" i="37" s="1"/>
  <c r="D201" i="37"/>
  <c r="F201" i="37" s="1"/>
  <c r="C201" i="37" s="1"/>
  <c r="O200" i="37"/>
  <c r="L200" i="37"/>
  <c r="I200" i="37"/>
  <c r="C200" i="37" s="1"/>
  <c r="F200" i="37"/>
  <c r="N199" i="37"/>
  <c r="N198" i="37" s="1"/>
  <c r="N197" i="37" s="1"/>
  <c r="K199" i="37"/>
  <c r="K198" i="37" s="1"/>
  <c r="K197" i="37" s="1"/>
  <c r="J199" i="37"/>
  <c r="L199" i="37" s="1"/>
  <c r="G199" i="37"/>
  <c r="G198" i="37" s="1"/>
  <c r="O196" i="37"/>
  <c r="L196" i="37"/>
  <c r="I196" i="37"/>
  <c r="C196" i="37" s="1"/>
  <c r="F196" i="37"/>
  <c r="O195" i="37"/>
  <c r="N195" i="37"/>
  <c r="N194" i="37" s="1"/>
  <c r="O194" i="37" s="1"/>
  <c r="M195" i="37"/>
  <c r="K195" i="37"/>
  <c r="K194" i="37" s="1"/>
  <c r="J195" i="37"/>
  <c r="L195" i="37" s="1"/>
  <c r="H195" i="37"/>
  <c r="G195" i="37"/>
  <c r="G194" i="37" s="1"/>
  <c r="I194" i="37" s="1"/>
  <c r="F195" i="37"/>
  <c r="E195" i="37"/>
  <c r="D195" i="37"/>
  <c r="M194" i="37"/>
  <c r="H194" i="37"/>
  <c r="E194" i="37"/>
  <c r="D194" i="37"/>
  <c r="F194" i="37" s="1"/>
  <c r="O193" i="37"/>
  <c r="L193" i="37"/>
  <c r="I193" i="37"/>
  <c r="F193" i="37"/>
  <c r="C193" i="37" s="1"/>
  <c r="O192" i="37"/>
  <c r="L192" i="37"/>
  <c r="I192" i="37"/>
  <c r="C192" i="37" s="1"/>
  <c r="F192" i="37"/>
  <c r="O191" i="37"/>
  <c r="N191" i="37"/>
  <c r="M191" i="37"/>
  <c r="K191" i="37"/>
  <c r="K190" i="37" s="1"/>
  <c r="J191" i="37"/>
  <c r="L191" i="37" s="1"/>
  <c r="H191" i="37"/>
  <c r="G191" i="37"/>
  <c r="G190" i="37" s="1"/>
  <c r="I190" i="37" s="1"/>
  <c r="F191" i="37"/>
  <c r="E191" i="37"/>
  <c r="D191" i="37"/>
  <c r="M190" i="37"/>
  <c r="H190" i="37"/>
  <c r="E190" i="37"/>
  <c r="D190" i="37"/>
  <c r="F190" i="37" s="1"/>
  <c r="O189" i="37"/>
  <c r="L189" i="37"/>
  <c r="I189" i="37"/>
  <c r="F189" i="37"/>
  <c r="C189" i="37" s="1"/>
  <c r="O188" i="37"/>
  <c r="L188" i="37"/>
  <c r="I188" i="37"/>
  <c r="C188" i="37" s="1"/>
  <c r="F188" i="37"/>
  <c r="O187" i="37"/>
  <c r="N187" i="37"/>
  <c r="M187" i="37"/>
  <c r="K187" i="37"/>
  <c r="J187" i="37"/>
  <c r="L187" i="37" s="1"/>
  <c r="H187" i="37"/>
  <c r="G187" i="37"/>
  <c r="I187" i="37" s="1"/>
  <c r="C187" i="37" s="1"/>
  <c r="F187" i="37"/>
  <c r="E187" i="37"/>
  <c r="D187" i="37"/>
  <c r="O186" i="37"/>
  <c r="L186" i="37"/>
  <c r="I186" i="37"/>
  <c r="F186" i="37"/>
  <c r="C186" i="37" s="1"/>
  <c r="O185" i="37"/>
  <c r="L185" i="37"/>
  <c r="I185" i="37"/>
  <c r="F185" i="37"/>
  <c r="C185" i="37" s="1"/>
  <c r="O184" i="37"/>
  <c r="L184" i="37"/>
  <c r="I184" i="37"/>
  <c r="C184" i="37" s="1"/>
  <c r="F184" i="37"/>
  <c r="O183" i="37"/>
  <c r="L183" i="37"/>
  <c r="I183" i="37"/>
  <c r="F183" i="37"/>
  <c r="C183" i="37"/>
  <c r="O182" i="37"/>
  <c r="N182" i="37"/>
  <c r="M182" i="37"/>
  <c r="L182" i="37"/>
  <c r="K182" i="37"/>
  <c r="J182" i="37"/>
  <c r="H182" i="37"/>
  <c r="G182" i="37"/>
  <c r="I182" i="37" s="1"/>
  <c r="E182" i="37"/>
  <c r="D182" i="37"/>
  <c r="F182" i="37" s="1"/>
  <c r="O181" i="37"/>
  <c r="L181" i="37"/>
  <c r="I181" i="37"/>
  <c r="F181" i="37"/>
  <c r="C181" i="37" s="1"/>
  <c r="O180" i="37"/>
  <c r="L180" i="37"/>
  <c r="I180" i="37"/>
  <c r="C180" i="37" s="1"/>
  <c r="F180" i="37"/>
  <c r="O179" i="37"/>
  <c r="L179" i="37"/>
  <c r="I179" i="37"/>
  <c r="F179" i="37"/>
  <c r="C179" i="37"/>
  <c r="O178" i="37"/>
  <c r="N178" i="37"/>
  <c r="M178" i="37"/>
  <c r="L178" i="37"/>
  <c r="K178" i="37"/>
  <c r="K177" i="37" s="1"/>
  <c r="J178" i="37"/>
  <c r="H178" i="37"/>
  <c r="H177" i="37" s="1"/>
  <c r="H176" i="37" s="1"/>
  <c r="G178" i="37"/>
  <c r="I178" i="37" s="1"/>
  <c r="E178" i="37"/>
  <c r="D178" i="37"/>
  <c r="D177" i="37" s="1"/>
  <c r="N177" i="37"/>
  <c r="M177" i="37"/>
  <c r="M176" i="37" s="1"/>
  <c r="O176" i="37" s="1"/>
  <c r="J177" i="37"/>
  <c r="E177" i="37"/>
  <c r="E176" i="37" s="1"/>
  <c r="N176" i="37"/>
  <c r="J176" i="37"/>
  <c r="O175" i="37"/>
  <c r="L175" i="37"/>
  <c r="I175" i="37"/>
  <c r="F175" i="37"/>
  <c r="C175" i="37"/>
  <c r="O174" i="37"/>
  <c r="L174" i="37"/>
  <c r="I174" i="37"/>
  <c r="F174" i="37"/>
  <c r="C174" i="37" s="1"/>
  <c r="O173" i="37"/>
  <c r="L173" i="37"/>
  <c r="I173" i="37"/>
  <c r="F173" i="37"/>
  <c r="C173" i="37" s="1"/>
  <c r="O172" i="37"/>
  <c r="L172" i="37"/>
  <c r="I172" i="37"/>
  <c r="C172" i="37" s="1"/>
  <c r="F172" i="37"/>
  <c r="O171" i="37"/>
  <c r="L171" i="37"/>
  <c r="I171" i="37"/>
  <c r="F171" i="37"/>
  <c r="C171" i="37"/>
  <c r="O170" i="37"/>
  <c r="L170" i="37"/>
  <c r="I170" i="37"/>
  <c r="F170" i="37"/>
  <c r="C170" i="37" s="1"/>
  <c r="N169" i="37"/>
  <c r="M169" i="37"/>
  <c r="M168" i="37" s="1"/>
  <c r="O168" i="37" s="1"/>
  <c r="K169" i="37"/>
  <c r="J169" i="37"/>
  <c r="L169" i="37" s="1"/>
  <c r="I169" i="37"/>
  <c r="H169" i="37"/>
  <c r="G169" i="37"/>
  <c r="E169" i="37"/>
  <c r="E168" i="37" s="1"/>
  <c r="F168" i="37" s="1"/>
  <c r="D169" i="37"/>
  <c r="F169" i="37" s="1"/>
  <c r="N168" i="37"/>
  <c r="K168" i="37"/>
  <c r="J168" i="37"/>
  <c r="L168" i="37" s="1"/>
  <c r="H168" i="37"/>
  <c r="G168" i="37"/>
  <c r="I168" i="37" s="1"/>
  <c r="D168" i="37"/>
  <c r="O167" i="37"/>
  <c r="L167" i="37"/>
  <c r="I167" i="37"/>
  <c r="F167" i="37"/>
  <c r="C167" i="37"/>
  <c r="O166" i="37"/>
  <c r="L166" i="37"/>
  <c r="I166" i="37"/>
  <c r="F166" i="37"/>
  <c r="C166" i="37" s="1"/>
  <c r="O165" i="37"/>
  <c r="L165" i="37"/>
  <c r="I165" i="37"/>
  <c r="F165" i="37"/>
  <c r="C165" i="37" s="1"/>
  <c r="O164" i="37"/>
  <c r="L164" i="37"/>
  <c r="I164" i="37"/>
  <c r="F164" i="37"/>
  <c r="C164" i="37" s="1"/>
  <c r="O163" i="37"/>
  <c r="N163" i="37"/>
  <c r="M163" i="37"/>
  <c r="K163" i="37"/>
  <c r="J163" i="37"/>
  <c r="L163" i="37" s="1"/>
  <c r="H163" i="37"/>
  <c r="G163" i="37"/>
  <c r="I163" i="37" s="1"/>
  <c r="C163" i="37" s="1"/>
  <c r="F163" i="37"/>
  <c r="E163" i="37"/>
  <c r="D163" i="37"/>
  <c r="O162" i="37"/>
  <c r="L162" i="37"/>
  <c r="I162" i="37"/>
  <c r="F162" i="37"/>
  <c r="C162" i="37" s="1"/>
  <c r="O161" i="37"/>
  <c r="L161" i="37"/>
  <c r="I161" i="37"/>
  <c r="F161" i="37"/>
  <c r="C161" i="37" s="1"/>
  <c r="O160" i="37"/>
  <c r="L160" i="37"/>
  <c r="I160" i="37"/>
  <c r="F160" i="37"/>
  <c r="C160" i="37" s="1"/>
  <c r="O159" i="37"/>
  <c r="L159" i="37"/>
  <c r="I159" i="37"/>
  <c r="F159" i="37"/>
  <c r="C159" i="37"/>
  <c r="O158" i="37"/>
  <c r="L158" i="37"/>
  <c r="I158" i="37"/>
  <c r="F158" i="37"/>
  <c r="C158" i="37" s="1"/>
  <c r="O157" i="37"/>
  <c r="L157" i="37"/>
  <c r="I157" i="37"/>
  <c r="F157" i="37"/>
  <c r="C157" i="37" s="1"/>
  <c r="O156" i="37"/>
  <c r="L156" i="37"/>
  <c r="I156" i="37"/>
  <c r="F156" i="37"/>
  <c r="C156" i="37" s="1"/>
  <c r="O155" i="37"/>
  <c r="L155" i="37"/>
  <c r="I155" i="37"/>
  <c r="F155" i="37"/>
  <c r="C155" i="37"/>
  <c r="N154" i="37"/>
  <c r="O154" i="37" s="1"/>
  <c r="M154" i="37"/>
  <c r="L154" i="37"/>
  <c r="K154" i="37"/>
  <c r="J154" i="37"/>
  <c r="H154" i="37"/>
  <c r="G154" i="37"/>
  <c r="I154" i="37" s="1"/>
  <c r="E154" i="37"/>
  <c r="D154" i="37"/>
  <c r="F154" i="37" s="1"/>
  <c r="O153" i="37"/>
  <c r="L153" i="37"/>
  <c r="I153" i="37"/>
  <c r="F153" i="37"/>
  <c r="C153" i="37" s="1"/>
  <c r="O152" i="37"/>
  <c r="L152" i="37"/>
  <c r="I152" i="37"/>
  <c r="F152" i="37"/>
  <c r="C152" i="37" s="1"/>
  <c r="O151" i="37"/>
  <c r="L151" i="37"/>
  <c r="I151" i="37"/>
  <c r="F151" i="37"/>
  <c r="C151" i="37"/>
  <c r="O150" i="37"/>
  <c r="L150" i="37"/>
  <c r="I150" i="37"/>
  <c r="F150" i="37"/>
  <c r="C150" i="37" s="1"/>
  <c r="O149" i="37"/>
  <c r="L149" i="37"/>
  <c r="I149" i="37"/>
  <c r="D149" i="37"/>
  <c r="F149" i="37" s="1"/>
  <c r="C149" i="37" s="1"/>
  <c r="O148" i="37"/>
  <c r="L148" i="37"/>
  <c r="I148" i="37"/>
  <c r="F148" i="37"/>
  <c r="C148" i="37"/>
  <c r="O147" i="37"/>
  <c r="N147" i="37"/>
  <c r="M147" i="37"/>
  <c r="L147" i="37"/>
  <c r="K147" i="37"/>
  <c r="J147" i="37"/>
  <c r="H147" i="37"/>
  <c r="G147" i="37"/>
  <c r="I147" i="37" s="1"/>
  <c r="E147" i="37"/>
  <c r="D147" i="37"/>
  <c r="F147" i="37" s="1"/>
  <c r="O146" i="37"/>
  <c r="L146" i="37"/>
  <c r="I146" i="37"/>
  <c r="F146" i="37"/>
  <c r="C146" i="37" s="1"/>
  <c r="O145" i="37"/>
  <c r="L145" i="37"/>
  <c r="I145" i="37"/>
  <c r="F145" i="37"/>
  <c r="C145" i="37" s="1"/>
  <c r="O144" i="37"/>
  <c r="N144" i="37"/>
  <c r="M144" i="37"/>
  <c r="K144" i="37"/>
  <c r="K133" i="37" s="1"/>
  <c r="J144" i="37"/>
  <c r="L144" i="37" s="1"/>
  <c r="H144" i="37"/>
  <c r="G144" i="37"/>
  <c r="G133" i="37" s="1"/>
  <c r="F144" i="37"/>
  <c r="E144" i="37"/>
  <c r="D144" i="37"/>
  <c r="O143" i="37"/>
  <c r="L143" i="37"/>
  <c r="I143" i="37"/>
  <c r="F143" i="37"/>
  <c r="C143" i="37" s="1"/>
  <c r="O142" i="37"/>
  <c r="L142" i="37"/>
  <c r="I142" i="37"/>
  <c r="F142" i="37"/>
  <c r="C142" i="37" s="1"/>
  <c r="O141" i="37"/>
  <c r="L141" i="37"/>
  <c r="I141" i="37"/>
  <c r="F141" i="37"/>
  <c r="C141" i="37" s="1"/>
  <c r="O140" i="37"/>
  <c r="L140" i="37"/>
  <c r="I140" i="37"/>
  <c r="F140" i="37"/>
  <c r="C140" i="37"/>
  <c r="N139" i="37"/>
  <c r="M139" i="37"/>
  <c r="O139" i="37" s="1"/>
  <c r="L139" i="37"/>
  <c r="K139" i="37"/>
  <c r="J139" i="37"/>
  <c r="H139" i="37"/>
  <c r="H133" i="37" s="1"/>
  <c r="G139" i="37"/>
  <c r="I139" i="37" s="1"/>
  <c r="E139" i="37"/>
  <c r="D139" i="37"/>
  <c r="F139" i="37" s="1"/>
  <c r="C139" i="37" s="1"/>
  <c r="O138" i="37"/>
  <c r="L138" i="37"/>
  <c r="I138" i="37"/>
  <c r="F138" i="37"/>
  <c r="C138" i="37" s="1"/>
  <c r="O137" i="37"/>
  <c r="L137" i="37"/>
  <c r="I137" i="37"/>
  <c r="F137" i="37"/>
  <c r="C137" i="37" s="1"/>
  <c r="O136" i="37"/>
  <c r="L136" i="37"/>
  <c r="I136" i="37"/>
  <c r="F136" i="37"/>
  <c r="C136" i="37"/>
  <c r="O135" i="37"/>
  <c r="L135" i="37"/>
  <c r="I135" i="37"/>
  <c r="F135" i="37"/>
  <c r="C135" i="37" s="1"/>
  <c r="N134" i="37"/>
  <c r="M134" i="37"/>
  <c r="M133" i="37" s="1"/>
  <c r="K134" i="37"/>
  <c r="L134" i="37" s="1"/>
  <c r="J134" i="37"/>
  <c r="I134" i="37"/>
  <c r="H134" i="37"/>
  <c r="G134" i="37"/>
  <c r="E134" i="37"/>
  <c r="E133" i="37" s="1"/>
  <c r="E78" i="37" s="1"/>
  <c r="D134" i="37"/>
  <c r="F134" i="37" s="1"/>
  <c r="N133" i="37"/>
  <c r="J133" i="37"/>
  <c r="L133" i="37" s="1"/>
  <c r="O132" i="37"/>
  <c r="L132" i="37"/>
  <c r="I132" i="37"/>
  <c r="F132" i="37"/>
  <c r="C132" i="37"/>
  <c r="O131" i="37"/>
  <c r="N131" i="37"/>
  <c r="M131" i="37"/>
  <c r="L131" i="37"/>
  <c r="K131" i="37"/>
  <c r="J131" i="37"/>
  <c r="H131" i="37"/>
  <c r="G131" i="37"/>
  <c r="I131" i="37" s="1"/>
  <c r="E131" i="37"/>
  <c r="D131" i="37"/>
  <c r="F131" i="37" s="1"/>
  <c r="O130" i="37"/>
  <c r="L130" i="37"/>
  <c r="I130" i="37"/>
  <c r="F130" i="37"/>
  <c r="C130" i="37" s="1"/>
  <c r="O129" i="37"/>
  <c r="L129" i="37"/>
  <c r="I129" i="37"/>
  <c r="F129" i="37"/>
  <c r="C129" i="37" s="1"/>
  <c r="O128" i="37"/>
  <c r="L128" i="37"/>
  <c r="I128" i="37"/>
  <c r="F128" i="37"/>
  <c r="C128" i="37"/>
  <c r="O127" i="37"/>
  <c r="L127" i="37"/>
  <c r="I127" i="37"/>
  <c r="F127" i="37"/>
  <c r="C127" i="37" s="1"/>
  <c r="O126" i="37"/>
  <c r="L126" i="37"/>
  <c r="I126" i="37"/>
  <c r="F126" i="37"/>
  <c r="C126" i="37" s="1"/>
  <c r="N125" i="37"/>
  <c r="N86" i="37" s="1"/>
  <c r="N78" i="37" s="1"/>
  <c r="M125" i="37"/>
  <c r="O125" i="37" s="1"/>
  <c r="K125" i="37"/>
  <c r="J125" i="37"/>
  <c r="J86" i="37" s="1"/>
  <c r="H125" i="37"/>
  <c r="G125" i="37"/>
  <c r="I125" i="37" s="1"/>
  <c r="F125" i="37"/>
  <c r="E125" i="37"/>
  <c r="D125" i="37"/>
  <c r="O124" i="37"/>
  <c r="L124" i="37"/>
  <c r="I124" i="37"/>
  <c r="F124" i="37"/>
  <c r="C124" i="37"/>
  <c r="O123" i="37"/>
  <c r="L123" i="37"/>
  <c r="I123" i="37"/>
  <c r="F123" i="37"/>
  <c r="C123" i="37" s="1"/>
  <c r="O122" i="37"/>
  <c r="L122" i="37"/>
  <c r="I122" i="37"/>
  <c r="F122" i="37"/>
  <c r="C122" i="37" s="1"/>
  <c r="O121" i="37"/>
  <c r="L121" i="37"/>
  <c r="I121" i="37"/>
  <c r="C121" i="37" s="1"/>
  <c r="F121" i="37"/>
  <c r="O120" i="37"/>
  <c r="L120" i="37"/>
  <c r="I120" i="37"/>
  <c r="F120" i="37"/>
  <c r="C120" i="37"/>
  <c r="N119" i="37"/>
  <c r="M119" i="37"/>
  <c r="O119" i="37" s="1"/>
  <c r="L119" i="37"/>
  <c r="K119" i="37"/>
  <c r="J119" i="37"/>
  <c r="H119" i="37"/>
  <c r="G119" i="37"/>
  <c r="I119" i="37" s="1"/>
  <c r="E119" i="37"/>
  <c r="D119" i="37"/>
  <c r="F119" i="37" s="1"/>
  <c r="O118" i="37"/>
  <c r="L118" i="37"/>
  <c r="I118" i="37"/>
  <c r="F118" i="37"/>
  <c r="C118" i="37" s="1"/>
  <c r="O117" i="37"/>
  <c r="L117" i="37"/>
  <c r="C117" i="37" s="1"/>
  <c r="I117" i="37"/>
  <c r="F117" i="37"/>
  <c r="O116" i="37"/>
  <c r="L116" i="37"/>
  <c r="I116" i="37"/>
  <c r="F116" i="37"/>
  <c r="C116" i="37"/>
  <c r="N115" i="37"/>
  <c r="M115" i="37"/>
  <c r="O115" i="37" s="1"/>
  <c r="L115" i="37"/>
  <c r="K115" i="37"/>
  <c r="J115" i="37"/>
  <c r="H115" i="37"/>
  <c r="G115" i="37"/>
  <c r="I115" i="37" s="1"/>
  <c r="E115" i="37"/>
  <c r="D115" i="37"/>
  <c r="F115" i="37" s="1"/>
  <c r="O114" i="37"/>
  <c r="L114" i="37"/>
  <c r="I114" i="37"/>
  <c r="F114" i="37"/>
  <c r="C114" i="37" s="1"/>
  <c r="O113" i="37"/>
  <c r="L113" i="37"/>
  <c r="C113" i="37" s="1"/>
  <c r="I113" i="37"/>
  <c r="F113" i="37"/>
  <c r="O112" i="37"/>
  <c r="L112" i="37"/>
  <c r="I112" i="37"/>
  <c r="F112" i="37"/>
  <c r="C112" i="37"/>
  <c r="O111" i="37"/>
  <c r="L111" i="37"/>
  <c r="I111" i="37"/>
  <c r="F111" i="37"/>
  <c r="C111" i="37" s="1"/>
  <c r="O110" i="37"/>
  <c r="L110" i="37"/>
  <c r="I110" i="37"/>
  <c r="F110" i="37"/>
  <c r="C110" i="37" s="1"/>
  <c r="O109" i="37"/>
  <c r="L109" i="37"/>
  <c r="C109" i="37" s="1"/>
  <c r="I109" i="37"/>
  <c r="F109" i="37"/>
  <c r="O108" i="37"/>
  <c r="L108" i="37"/>
  <c r="I108" i="37"/>
  <c r="F108" i="37"/>
  <c r="C108" i="37"/>
  <c r="O107" i="37"/>
  <c r="L107" i="37"/>
  <c r="I107" i="37"/>
  <c r="F107" i="37"/>
  <c r="C107" i="37" s="1"/>
  <c r="N106" i="37"/>
  <c r="M106" i="37"/>
  <c r="O106" i="37" s="1"/>
  <c r="K106" i="37"/>
  <c r="J106" i="37"/>
  <c r="L106" i="37" s="1"/>
  <c r="I106" i="37"/>
  <c r="H106" i="37"/>
  <c r="G106" i="37"/>
  <c r="E106" i="37"/>
  <c r="F106" i="37" s="1"/>
  <c r="C106" i="37" s="1"/>
  <c r="D106" i="37"/>
  <c r="O105" i="37"/>
  <c r="L105" i="37"/>
  <c r="C105" i="37" s="1"/>
  <c r="I105" i="37"/>
  <c r="F105" i="37"/>
  <c r="O104" i="37"/>
  <c r="L104" i="37"/>
  <c r="I104" i="37"/>
  <c r="F104" i="37"/>
  <c r="C104" i="37"/>
  <c r="O103" i="37"/>
  <c r="L103" i="37"/>
  <c r="I103" i="37"/>
  <c r="F103" i="37"/>
  <c r="C103" i="37" s="1"/>
  <c r="O102" i="37"/>
  <c r="L102" i="37"/>
  <c r="I102" i="37"/>
  <c r="F102" i="37"/>
  <c r="C102" i="37" s="1"/>
  <c r="O101" i="37"/>
  <c r="L101" i="37"/>
  <c r="C101" i="37" s="1"/>
  <c r="I101" i="37"/>
  <c r="F101" i="37"/>
  <c r="O100" i="37"/>
  <c r="L100" i="37"/>
  <c r="I100" i="37"/>
  <c r="F100" i="37"/>
  <c r="C100" i="37"/>
  <c r="O99" i="37"/>
  <c r="L99" i="37"/>
  <c r="I99" i="37"/>
  <c r="F99" i="37"/>
  <c r="C99" i="37" s="1"/>
  <c r="N98" i="37"/>
  <c r="M98" i="37"/>
  <c r="O98" i="37" s="1"/>
  <c r="K98" i="37"/>
  <c r="J98" i="37"/>
  <c r="L98" i="37" s="1"/>
  <c r="I98" i="37"/>
  <c r="H98" i="37"/>
  <c r="G98" i="37"/>
  <c r="E98" i="37"/>
  <c r="D98" i="37"/>
  <c r="F98" i="37" s="1"/>
  <c r="C98" i="37" s="1"/>
  <c r="O97" i="37"/>
  <c r="L97" i="37"/>
  <c r="I97" i="37"/>
  <c r="C97" i="37" s="1"/>
  <c r="F97" i="37"/>
  <c r="O96" i="37"/>
  <c r="L96" i="37"/>
  <c r="I96" i="37"/>
  <c r="F96" i="37"/>
  <c r="C96" i="37"/>
  <c r="O95" i="37"/>
  <c r="L95" i="37"/>
  <c r="I95" i="37"/>
  <c r="F95" i="37"/>
  <c r="C95" i="37" s="1"/>
  <c r="O94" i="37"/>
  <c r="L94" i="37"/>
  <c r="I94" i="37"/>
  <c r="F94" i="37"/>
  <c r="C94" i="37" s="1"/>
  <c r="O93" i="37"/>
  <c r="L93" i="37"/>
  <c r="C93" i="37" s="1"/>
  <c r="I93" i="37"/>
  <c r="F93" i="37"/>
  <c r="O92" i="37"/>
  <c r="N92" i="37"/>
  <c r="M92" i="37"/>
  <c r="K92" i="37"/>
  <c r="K86" i="37" s="1"/>
  <c r="J92" i="37"/>
  <c r="L92" i="37" s="1"/>
  <c r="H92" i="37"/>
  <c r="G92" i="37"/>
  <c r="I92" i="37" s="1"/>
  <c r="E92" i="37"/>
  <c r="D92" i="37"/>
  <c r="F92" i="37" s="1"/>
  <c r="O91" i="37"/>
  <c r="L91" i="37"/>
  <c r="I91" i="37"/>
  <c r="F91" i="37"/>
  <c r="C91" i="37" s="1"/>
  <c r="O90" i="37"/>
  <c r="L90" i="37"/>
  <c r="I90" i="37"/>
  <c r="F90" i="37"/>
  <c r="C90" i="37" s="1"/>
  <c r="O89" i="37"/>
  <c r="L89" i="37"/>
  <c r="I89" i="37"/>
  <c r="F89" i="37"/>
  <c r="C89" i="37" s="1"/>
  <c r="O88" i="37"/>
  <c r="L88" i="37"/>
  <c r="I88" i="37"/>
  <c r="F88" i="37"/>
  <c r="C88" i="37"/>
  <c r="O87" i="37"/>
  <c r="N87" i="37"/>
  <c r="M87" i="37"/>
  <c r="L87" i="37"/>
  <c r="K87" i="37"/>
  <c r="J87" i="37"/>
  <c r="H87" i="37"/>
  <c r="H86" i="37" s="1"/>
  <c r="G87" i="37"/>
  <c r="I87" i="37" s="1"/>
  <c r="E87" i="37"/>
  <c r="D87" i="37"/>
  <c r="D86" i="37" s="1"/>
  <c r="F86" i="37" s="1"/>
  <c r="M86" i="37"/>
  <c r="O86" i="37" s="1"/>
  <c r="E86" i="37"/>
  <c r="O85" i="37"/>
  <c r="L85" i="37"/>
  <c r="I85" i="37"/>
  <c r="F85" i="37"/>
  <c r="C85" i="37" s="1"/>
  <c r="O84" i="37"/>
  <c r="L84" i="37"/>
  <c r="I84" i="37"/>
  <c r="F84" i="37"/>
  <c r="C84" i="37"/>
  <c r="N83" i="37"/>
  <c r="M83" i="37"/>
  <c r="O83" i="37" s="1"/>
  <c r="L83" i="37"/>
  <c r="K83" i="37"/>
  <c r="J83" i="37"/>
  <c r="H83" i="37"/>
  <c r="I83" i="37" s="1"/>
  <c r="G83" i="37"/>
  <c r="E83" i="37"/>
  <c r="D83" i="37"/>
  <c r="F83" i="37" s="1"/>
  <c r="C83" i="37" s="1"/>
  <c r="O82" i="37"/>
  <c r="L82" i="37"/>
  <c r="I82" i="37"/>
  <c r="C82" i="37" s="1"/>
  <c r="F82" i="37"/>
  <c r="O81" i="37"/>
  <c r="L81" i="37"/>
  <c r="I81" i="37"/>
  <c r="F81" i="37"/>
  <c r="C81" i="37" s="1"/>
  <c r="O80" i="37"/>
  <c r="N80" i="37"/>
  <c r="M80" i="37"/>
  <c r="K80" i="37"/>
  <c r="L80" i="37" s="1"/>
  <c r="J80" i="37"/>
  <c r="H80" i="37"/>
  <c r="G80" i="37"/>
  <c r="G79" i="37" s="1"/>
  <c r="E80" i="37"/>
  <c r="D80" i="37"/>
  <c r="F80" i="37" s="1"/>
  <c r="N79" i="37"/>
  <c r="M79" i="37"/>
  <c r="O79" i="37" s="1"/>
  <c r="J79" i="37"/>
  <c r="H79" i="37"/>
  <c r="H78" i="37" s="1"/>
  <c r="E79" i="37"/>
  <c r="D79" i="37"/>
  <c r="O77" i="37"/>
  <c r="L77" i="37"/>
  <c r="C77" i="37" s="1"/>
  <c r="I77" i="37"/>
  <c r="F77" i="37"/>
  <c r="O76" i="37"/>
  <c r="L76" i="37"/>
  <c r="I76" i="37"/>
  <c r="F76" i="37"/>
  <c r="C76" i="37"/>
  <c r="O75" i="37"/>
  <c r="L75" i="37"/>
  <c r="I75" i="37"/>
  <c r="F75" i="37"/>
  <c r="C75" i="37" s="1"/>
  <c r="O74" i="37"/>
  <c r="L74" i="37"/>
  <c r="I74" i="37"/>
  <c r="C74" i="37" s="1"/>
  <c r="F74" i="37"/>
  <c r="O73" i="37"/>
  <c r="L73" i="37"/>
  <c r="I73" i="37"/>
  <c r="F73" i="37"/>
  <c r="C73" i="37" s="1"/>
  <c r="O72" i="37"/>
  <c r="N72" i="37"/>
  <c r="M72" i="37"/>
  <c r="K72" i="37"/>
  <c r="L72" i="37" s="1"/>
  <c r="J72" i="37"/>
  <c r="H72" i="37"/>
  <c r="G72" i="37"/>
  <c r="I72" i="37" s="1"/>
  <c r="E72" i="37"/>
  <c r="D72" i="37"/>
  <c r="F72" i="37" s="1"/>
  <c r="O71" i="37"/>
  <c r="L71" i="37"/>
  <c r="G71" i="37"/>
  <c r="I71" i="37" s="1"/>
  <c r="D71" i="37"/>
  <c r="F71" i="37" s="1"/>
  <c r="O70" i="37"/>
  <c r="N70" i="37"/>
  <c r="M70" i="37"/>
  <c r="K70" i="37"/>
  <c r="L70" i="37" s="1"/>
  <c r="J70" i="37"/>
  <c r="H70" i="37"/>
  <c r="G70" i="37"/>
  <c r="I70" i="37" s="1"/>
  <c r="E70" i="37"/>
  <c r="D70" i="37"/>
  <c r="F70" i="37" s="1"/>
  <c r="O69" i="37"/>
  <c r="L69" i="37"/>
  <c r="I69" i="37"/>
  <c r="F69" i="37"/>
  <c r="C69" i="37" s="1"/>
  <c r="O68" i="37"/>
  <c r="L68" i="37"/>
  <c r="I68" i="37"/>
  <c r="G68" i="37"/>
  <c r="F68" i="37"/>
  <c r="D68" i="37"/>
  <c r="C68" i="37"/>
  <c r="O67" i="37"/>
  <c r="L67" i="37"/>
  <c r="I67" i="37"/>
  <c r="F67" i="37"/>
  <c r="C67" i="37" s="1"/>
  <c r="D67" i="37"/>
  <c r="O66" i="37"/>
  <c r="L66" i="37"/>
  <c r="I66" i="37"/>
  <c r="F66" i="37"/>
  <c r="C66" i="37" s="1"/>
  <c r="O65" i="37"/>
  <c r="L65" i="37"/>
  <c r="I65" i="37"/>
  <c r="F65" i="37"/>
  <c r="C65" i="37"/>
  <c r="O64" i="37"/>
  <c r="L64" i="37"/>
  <c r="I64" i="37"/>
  <c r="F64" i="37"/>
  <c r="C64" i="37" s="1"/>
  <c r="O63" i="37"/>
  <c r="L63" i="37"/>
  <c r="I63" i="37"/>
  <c r="C63" i="37" s="1"/>
  <c r="F63" i="37"/>
  <c r="O62" i="37"/>
  <c r="L62" i="37"/>
  <c r="I62" i="37"/>
  <c r="F62" i="37"/>
  <c r="C62" i="37" s="1"/>
  <c r="O61" i="37"/>
  <c r="N61" i="37"/>
  <c r="M61" i="37"/>
  <c r="K61" i="37"/>
  <c r="K57" i="37" s="1"/>
  <c r="K56" i="37" s="1"/>
  <c r="J61" i="37"/>
  <c r="L61" i="37" s="1"/>
  <c r="H61" i="37"/>
  <c r="G61" i="37"/>
  <c r="I61" i="37" s="1"/>
  <c r="E61" i="37"/>
  <c r="D61" i="37"/>
  <c r="F61" i="37" s="1"/>
  <c r="C61" i="37" s="1"/>
  <c r="O60" i="37"/>
  <c r="L60" i="37"/>
  <c r="G60" i="37"/>
  <c r="I60" i="37" s="1"/>
  <c r="D60" i="37"/>
  <c r="F60" i="37" s="1"/>
  <c r="C60" i="37" s="1"/>
  <c r="O59" i="37"/>
  <c r="L59" i="37"/>
  <c r="I59" i="37"/>
  <c r="F59" i="37"/>
  <c r="C59" i="37"/>
  <c r="N58" i="37"/>
  <c r="M58" i="37"/>
  <c r="O58" i="37" s="1"/>
  <c r="L58" i="37"/>
  <c r="K58" i="37"/>
  <c r="J58" i="37"/>
  <c r="H58" i="37"/>
  <c r="H57" i="37" s="1"/>
  <c r="H56" i="37" s="1"/>
  <c r="H55" i="37" s="1"/>
  <c r="H54" i="37" s="1"/>
  <c r="E58" i="37"/>
  <c r="D58" i="37"/>
  <c r="D57" i="37" s="1"/>
  <c r="N57" i="37"/>
  <c r="M57" i="37"/>
  <c r="M56" i="37" s="1"/>
  <c r="J57" i="37"/>
  <c r="L57" i="37" s="1"/>
  <c r="E57" i="37"/>
  <c r="E56" i="37" s="1"/>
  <c r="E55" i="37" s="1"/>
  <c r="E54" i="37" s="1"/>
  <c r="N56" i="37"/>
  <c r="J56" i="37"/>
  <c r="O50" i="37"/>
  <c r="C50" i="37"/>
  <c r="O49" i="37"/>
  <c r="C49" i="37" s="1"/>
  <c r="N48" i="37"/>
  <c r="N24" i="37" s="1"/>
  <c r="M48" i="37"/>
  <c r="L47" i="37"/>
  <c r="I47" i="37"/>
  <c r="F47" i="37"/>
  <c r="C47" i="37" s="1"/>
  <c r="K46" i="37"/>
  <c r="J46" i="37"/>
  <c r="L46" i="37" s="1"/>
  <c r="H46" i="37"/>
  <c r="G46" i="37"/>
  <c r="I46" i="37" s="1"/>
  <c r="E46" i="37"/>
  <c r="D46" i="37"/>
  <c r="F46" i="37" s="1"/>
  <c r="F45" i="37"/>
  <c r="C45" i="37" s="1"/>
  <c r="L44" i="37"/>
  <c r="C44" i="37"/>
  <c r="L43" i="37"/>
  <c r="C43" i="37" s="1"/>
  <c r="L42" i="37"/>
  <c r="C42" i="37"/>
  <c r="L41" i="37"/>
  <c r="C41" i="37" s="1"/>
  <c r="K40" i="37"/>
  <c r="J40" i="37"/>
  <c r="L40" i="37" s="1"/>
  <c r="C40" i="37" s="1"/>
  <c r="L39" i="37"/>
  <c r="C39" i="37"/>
  <c r="L38" i="37"/>
  <c r="C38" i="37" s="1"/>
  <c r="K37" i="37"/>
  <c r="J37" i="37"/>
  <c r="L37" i="37" s="1"/>
  <c r="C37" i="37" s="1"/>
  <c r="L36" i="37"/>
  <c r="C36" i="37"/>
  <c r="K35" i="37"/>
  <c r="J35" i="37"/>
  <c r="L35" i="37" s="1"/>
  <c r="C35" i="37" s="1"/>
  <c r="L34" i="37"/>
  <c r="C34" i="37" s="1"/>
  <c r="L33" i="37"/>
  <c r="C33" i="37"/>
  <c r="L32" i="37"/>
  <c r="C32" i="37" s="1"/>
  <c r="K31" i="37"/>
  <c r="J31" i="37"/>
  <c r="L31" i="37" s="1"/>
  <c r="C31" i="37" s="1"/>
  <c r="K30" i="37"/>
  <c r="J30" i="37"/>
  <c r="F29" i="37"/>
  <c r="C29" i="37"/>
  <c r="I28" i="37"/>
  <c r="G28" i="37"/>
  <c r="D28" i="37"/>
  <c r="F28" i="37" s="1"/>
  <c r="C28" i="37" s="1"/>
  <c r="O27" i="37"/>
  <c r="L27" i="37"/>
  <c r="I27" i="37"/>
  <c r="F27" i="37"/>
  <c r="C27" i="37" s="1"/>
  <c r="O26" i="37"/>
  <c r="L26" i="37"/>
  <c r="C26" i="37" s="1"/>
  <c r="I26" i="37"/>
  <c r="F26" i="37"/>
  <c r="O25" i="37"/>
  <c r="N25" i="37"/>
  <c r="N290" i="37" s="1"/>
  <c r="N289" i="37" s="1"/>
  <c r="M25" i="37"/>
  <c r="M290" i="37" s="1"/>
  <c r="K25" i="37"/>
  <c r="K290" i="37" s="1"/>
  <c r="K289" i="37" s="1"/>
  <c r="J25" i="37"/>
  <c r="J290" i="37" s="1"/>
  <c r="H25" i="37"/>
  <c r="H290" i="37" s="1"/>
  <c r="H289" i="37" s="1"/>
  <c r="G25" i="37"/>
  <c r="G290" i="37" s="1"/>
  <c r="E25" i="37"/>
  <c r="E290" i="37" s="1"/>
  <c r="E289" i="37" s="1"/>
  <c r="D25" i="37"/>
  <c r="D290" i="37" s="1"/>
  <c r="M24" i="37"/>
  <c r="H24" i="37"/>
  <c r="E24" i="37"/>
  <c r="D24" i="37"/>
  <c r="F24" i="37" s="1"/>
  <c r="O299" i="36"/>
  <c r="L299" i="36"/>
  <c r="I299" i="36"/>
  <c r="F299" i="36"/>
  <c r="C299" i="36" s="1"/>
  <c r="O298" i="36"/>
  <c r="L298" i="36"/>
  <c r="C298" i="36" s="1"/>
  <c r="I298" i="36"/>
  <c r="F298" i="36"/>
  <c r="O297" i="36"/>
  <c r="L297" i="36"/>
  <c r="I297" i="36"/>
  <c r="F297" i="36"/>
  <c r="C297" i="36"/>
  <c r="O296" i="36"/>
  <c r="L296" i="36"/>
  <c r="I296" i="36"/>
  <c r="F296" i="36"/>
  <c r="C296" i="36" s="1"/>
  <c r="O295" i="36"/>
  <c r="L295" i="36"/>
  <c r="I295" i="36"/>
  <c r="F295" i="36"/>
  <c r="C295" i="36" s="1"/>
  <c r="O294" i="36"/>
  <c r="L294" i="36"/>
  <c r="C294" i="36" s="1"/>
  <c r="I294" i="36"/>
  <c r="F294" i="36"/>
  <c r="O293" i="36"/>
  <c r="L293" i="36"/>
  <c r="I293" i="36"/>
  <c r="F293" i="36"/>
  <c r="C293" i="36"/>
  <c r="O292" i="36"/>
  <c r="L292" i="36"/>
  <c r="I292" i="36"/>
  <c r="F292" i="36"/>
  <c r="C292" i="36" s="1"/>
  <c r="C291" i="36" s="1"/>
  <c r="N291" i="36"/>
  <c r="M291" i="36"/>
  <c r="O291" i="36" s="1"/>
  <c r="K291" i="36"/>
  <c r="J291" i="36"/>
  <c r="L291" i="36" s="1"/>
  <c r="I291" i="36"/>
  <c r="H291" i="36"/>
  <c r="G291" i="36"/>
  <c r="E291" i="36"/>
  <c r="D291" i="36"/>
  <c r="F291" i="36" s="1"/>
  <c r="O286" i="36"/>
  <c r="L286" i="36"/>
  <c r="I286" i="36"/>
  <c r="F286" i="36"/>
  <c r="C286" i="36" s="1"/>
  <c r="O285" i="36"/>
  <c r="L285" i="36"/>
  <c r="I285" i="36"/>
  <c r="F285" i="36"/>
  <c r="C285" i="36"/>
  <c r="N284" i="36"/>
  <c r="M284" i="36"/>
  <c r="L284" i="36"/>
  <c r="K284" i="36"/>
  <c r="J284" i="36"/>
  <c r="H284" i="36"/>
  <c r="G284" i="36"/>
  <c r="I284" i="36" s="1"/>
  <c r="E284" i="36"/>
  <c r="D284" i="36"/>
  <c r="O283" i="36"/>
  <c r="L283" i="36"/>
  <c r="I283" i="36"/>
  <c r="F283" i="36"/>
  <c r="C283" i="36" s="1"/>
  <c r="N282" i="36"/>
  <c r="M282" i="36"/>
  <c r="O282" i="36" s="1"/>
  <c r="K282" i="36"/>
  <c r="J282" i="36"/>
  <c r="L282" i="36" s="1"/>
  <c r="I282" i="36"/>
  <c r="H282" i="36"/>
  <c r="G282" i="36"/>
  <c r="F282" i="36"/>
  <c r="E282" i="36"/>
  <c r="D282" i="36"/>
  <c r="O281" i="36"/>
  <c r="L281" i="36"/>
  <c r="I281" i="36"/>
  <c r="F281" i="36"/>
  <c r="C281" i="36"/>
  <c r="O280" i="36"/>
  <c r="L280" i="36"/>
  <c r="I280" i="36"/>
  <c r="F280" i="36"/>
  <c r="C280" i="36" s="1"/>
  <c r="O279" i="36"/>
  <c r="O278" i="36" s="1"/>
  <c r="L279" i="36"/>
  <c r="I279" i="36"/>
  <c r="F279" i="36"/>
  <c r="C279" i="36" s="1"/>
  <c r="N278" i="36"/>
  <c r="M278" i="36"/>
  <c r="K278" i="36"/>
  <c r="J278" i="36"/>
  <c r="L278" i="36" s="1"/>
  <c r="I278" i="36"/>
  <c r="H278" i="36"/>
  <c r="G278" i="36"/>
  <c r="F278" i="36"/>
  <c r="C278" i="36" s="1"/>
  <c r="E278" i="36"/>
  <c r="D278" i="36"/>
  <c r="O277" i="36"/>
  <c r="L277" i="36"/>
  <c r="I277" i="36"/>
  <c r="F277" i="36"/>
  <c r="C277" i="36"/>
  <c r="O276" i="36"/>
  <c r="L276" i="36"/>
  <c r="I276" i="36"/>
  <c r="F276" i="36"/>
  <c r="C276" i="36" s="1"/>
  <c r="O275" i="36"/>
  <c r="L275" i="36"/>
  <c r="I275" i="36"/>
  <c r="F275" i="36"/>
  <c r="C275" i="36" s="1"/>
  <c r="N274" i="36"/>
  <c r="N272" i="36" s="1"/>
  <c r="N271" i="36" s="1"/>
  <c r="M274" i="36"/>
  <c r="O274" i="36" s="1"/>
  <c r="K274" i="36"/>
  <c r="J274" i="36"/>
  <c r="L274" i="36" s="1"/>
  <c r="H274" i="36"/>
  <c r="G274" i="36"/>
  <c r="I274" i="36" s="1"/>
  <c r="F274" i="36"/>
  <c r="C274" i="36" s="1"/>
  <c r="E274" i="36"/>
  <c r="D274" i="36"/>
  <c r="O273" i="36"/>
  <c r="L273" i="36"/>
  <c r="I273" i="36"/>
  <c r="F273" i="36"/>
  <c r="C273" i="36"/>
  <c r="M272" i="36"/>
  <c r="O272" i="36" s="1"/>
  <c r="K272" i="36"/>
  <c r="H272" i="36"/>
  <c r="H271" i="36" s="1"/>
  <c r="G272" i="36"/>
  <c r="I272" i="36" s="1"/>
  <c r="E272" i="36"/>
  <c r="D272" i="36"/>
  <c r="D271" i="36" s="1"/>
  <c r="F271" i="36" s="1"/>
  <c r="M271" i="36"/>
  <c r="K271" i="36"/>
  <c r="E271" i="36"/>
  <c r="O270" i="36"/>
  <c r="L270" i="36"/>
  <c r="I270" i="36"/>
  <c r="C270" i="36" s="1"/>
  <c r="F270" i="36"/>
  <c r="O269" i="36"/>
  <c r="L269" i="36"/>
  <c r="I269" i="36"/>
  <c r="F269" i="36"/>
  <c r="C269" i="36"/>
  <c r="O268" i="36"/>
  <c r="L268" i="36"/>
  <c r="I268" i="36"/>
  <c r="F268" i="36"/>
  <c r="C268" i="36" s="1"/>
  <c r="O267" i="36"/>
  <c r="L267" i="36"/>
  <c r="I267" i="36"/>
  <c r="F267" i="36"/>
  <c r="C267" i="36" s="1"/>
  <c r="N266" i="36"/>
  <c r="M266" i="36"/>
  <c r="O266" i="36" s="1"/>
  <c r="K266" i="36"/>
  <c r="J266" i="36"/>
  <c r="L266" i="36" s="1"/>
  <c r="H266" i="36"/>
  <c r="G266" i="36"/>
  <c r="I266" i="36" s="1"/>
  <c r="F266" i="36"/>
  <c r="C266" i="36" s="1"/>
  <c r="E266" i="36"/>
  <c r="D266" i="36"/>
  <c r="O265" i="36"/>
  <c r="L265" i="36"/>
  <c r="I265" i="36"/>
  <c r="F265" i="36"/>
  <c r="C265" i="36"/>
  <c r="O264" i="36"/>
  <c r="L264" i="36"/>
  <c r="I264" i="36"/>
  <c r="F264" i="36"/>
  <c r="C264" i="36" s="1"/>
  <c r="O263" i="36"/>
  <c r="L263" i="36"/>
  <c r="I263" i="36"/>
  <c r="F263" i="36"/>
  <c r="C263" i="36" s="1"/>
  <c r="N262" i="36"/>
  <c r="N261" i="36" s="1"/>
  <c r="M262" i="36"/>
  <c r="O262" i="36" s="1"/>
  <c r="K262" i="36"/>
  <c r="J262" i="36"/>
  <c r="J261" i="36" s="1"/>
  <c r="L261" i="36" s="1"/>
  <c r="H262" i="36"/>
  <c r="G262" i="36"/>
  <c r="I262" i="36" s="1"/>
  <c r="F262" i="36"/>
  <c r="E262" i="36"/>
  <c r="E261" i="36" s="1"/>
  <c r="D262" i="36"/>
  <c r="K261" i="36"/>
  <c r="H261" i="36"/>
  <c r="G261" i="36"/>
  <c r="I261" i="36" s="1"/>
  <c r="D261" i="36"/>
  <c r="F261" i="36" s="1"/>
  <c r="O260" i="36"/>
  <c r="L260" i="36"/>
  <c r="I260" i="36"/>
  <c r="F260" i="36"/>
  <c r="C260" i="36" s="1"/>
  <c r="O259" i="36"/>
  <c r="L259" i="36"/>
  <c r="I259" i="36"/>
  <c r="F259" i="36"/>
  <c r="C259" i="36" s="1"/>
  <c r="O258" i="36"/>
  <c r="L258" i="36"/>
  <c r="I258" i="36"/>
  <c r="C258" i="36" s="1"/>
  <c r="F258" i="36"/>
  <c r="O257" i="36"/>
  <c r="L257" i="36"/>
  <c r="I257" i="36"/>
  <c r="F257" i="36"/>
  <c r="C257" i="36"/>
  <c r="O256" i="36"/>
  <c r="L256" i="36"/>
  <c r="I256" i="36"/>
  <c r="F256" i="36"/>
  <c r="C256" i="36" s="1"/>
  <c r="N255" i="36"/>
  <c r="M255" i="36"/>
  <c r="M254" i="36" s="1"/>
  <c r="K255" i="36"/>
  <c r="J255" i="36"/>
  <c r="L255" i="36" s="1"/>
  <c r="I255" i="36"/>
  <c r="H255" i="36"/>
  <c r="H254" i="36" s="1"/>
  <c r="G255" i="36"/>
  <c r="E255" i="36"/>
  <c r="E254" i="36" s="1"/>
  <c r="E233" i="36" s="1"/>
  <c r="D255" i="36"/>
  <c r="F255" i="36" s="1"/>
  <c r="N254" i="36"/>
  <c r="K254" i="36"/>
  <c r="J254" i="36"/>
  <c r="L254" i="36" s="1"/>
  <c r="G254" i="36"/>
  <c r="I254" i="36" s="1"/>
  <c r="O253" i="36"/>
  <c r="L253" i="36"/>
  <c r="I253" i="36"/>
  <c r="F253" i="36"/>
  <c r="C253" i="36"/>
  <c r="O252" i="36"/>
  <c r="L252" i="36"/>
  <c r="I252" i="36"/>
  <c r="F252" i="36"/>
  <c r="C252" i="36" s="1"/>
  <c r="O251" i="36"/>
  <c r="L251" i="36"/>
  <c r="I251" i="36"/>
  <c r="F251" i="36"/>
  <c r="C251" i="36" s="1"/>
  <c r="O250" i="36"/>
  <c r="L250" i="36"/>
  <c r="I250" i="36"/>
  <c r="C250" i="36" s="1"/>
  <c r="F250" i="36"/>
  <c r="O249" i="36"/>
  <c r="N249" i="36"/>
  <c r="M249" i="36"/>
  <c r="K249" i="36"/>
  <c r="J249" i="36"/>
  <c r="L249" i="36" s="1"/>
  <c r="H249" i="36"/>
  <c r="G249" i="36"/>
  <c r="I249" i="36" s="1"/>
  <c r="E249" i="36"/>
  <c r="D249" i="36"/>
  <c r="F249" i="36" s="1"/>
  <c r="C249" i="36" s="1"/>
  <c r="O248" i="36"/>
  <c r="L248" i="36"/>
  <c r="I248" i="36"/>
  <c r="F248" i="36"/>
  <c r="C248" i="36" s="1"/>
  <c r="O247" i="36"/>
  <c r="L247" i="36"/>
  <c r="I247" i="36"/>
  <c r="F247" i="36"/>
  <c r="C247" i="36" s="1"/>
  <c r="O246" i="36"/>
  <c r="L246" i="36"/>
  <c r="I246" i="36"/>
  <c r="C246" i="36" s="1"/>
  <c r="F246" i="36"/>
  <c r="O245" i="36"/>
  <c r="L245" i="36"/>
  <c r="I245" i="36"/>
  <c r="F245" i="36"/>
  <c r="C245" i="36"/>
  <c r="O244" i="36"/>
  <c r="L244" i="36"/>
  <c r="I244" i="36"/>
  <c r="F244" i="36"/>
  <c r="C244" i="36" s="1"/>
  <c r="O243" i="36"/>
  <c r="L243" i="36"/>
  <c r="I243" i="36"/>
  <c r="F243" i="36"/>
  <c r="C243" i="36" s="1"/>
  <c r="O242" i="36"/>
  <c r="L242" i="36"/>
  <c r="C242" i="36" s="1"/>
  <c r="I242" i="36"/>
  <c r="F242" i="36"/>
  <c r="O241" i="36"/>
  <c r="N241" i="36"/>
  <c r="M241" i="36"/>
  <c r="K241" i="36"/>
  <c r="L241" i="36" s="1"/>
  <c r="J241" i="36"/>
  <c r="H241" i="36"/>
  <c r="G241" i="36"/>
  <c r="G234" i="36" s="1"/>
  <c r="E241" i="36"/>
  <c r="D241" i="36"/>
  <c r="F241" i="36" s="1"/>
  <c r="O240" i="36"/>
  <c r="L240" i="36"/>
  <c r="I240" i="36"/>
  <c r="F240" i="36"/>
  <c r="C240" i="36" s="1"/>
  <c r="O239" i="36"/>
  <c r="L239" i="36"/>
  <c r="I239" i="36"/>
  <c r="F239" i="36"/>
  <c r="C239" i="36" s="1"/>
  <c r="N238" i="36"/>
  <c r="O238" i="36" s="1"/>
  <c r="M238" i="36"/>
  <c r="K238" i="36"/>
  <c r="J238" i="36"/>
  <c r="L238" i="36" s="1"/>
  <c r="H238" i="36"/>
  <c r="G238" i="36"/>
  <c r="I238" i="36" s="1"/>
  <c r="F238" i="36"/>
  <c r="E238" i="36"/>
  <c r="D238" i="36"/>
  <c r="O237" i="36"/>
  <c r="L237" i="36"/>
  <c r="I237" i="36"/>
  <c r="F237" i="36"/>
  <c r="C237" i="36"/>
  <c r="N236" i="36"/>
  <c r="M236" i="36"/>
  <c r="O236" i="36" s="1"/>
  <c r="L236" i="36"/>
  <c r="K236" i="36"/>
  <c r="J236" i="36"/>
  <c r="H236" i="36"/>
  <c r="H234" i="36" s="1"/>
  <c r="H233" i="36" s="1"/>
  <c r="G236" i="36"/>
  <c r="I236" i="36" s="1"/>
  <c r="E236" i="36"/>
  <c r="D236" i="36"/>
  <c r="F236" i="36" s="1"/>
  <c r="C236" i="36" s="1"/>
  <c r="O235" i="36"/>
  <c r="L235" i="36"/>
  <c r="I235" i="36"/>
  <c r="F235" i="36"/>
  <c r="C235" i="36" s="1"/>
  <c r="N234" i="36"/>
  <c r="N233" i="36" s="1"/>
  <c r="M234" i="36"/>
  <c r="O234" i="36" s="1"/>
  <c r="J234" i="36"/>
  <c r="J233" i="36" s="1"/>
  <c r="E234" i="36"/>
  <c r="O232" i="36"/>
  <c r="L232" i="36"/>
  <c r="I232" i="36"/>
  <c r="F232" i="36"/>
  <c r="C232" i="36" s="1"/>
  <c r="O231" i="36"/>
  <c r="L231" i="36"/>
  <c r="I231" i="36"/>
  <c r="F231" i="36"/>
  <c r="C231" i="36" s="1"/>
  <c r="N230" i="36"/>
  <c r="N207" i="36" s="1"/>
  <c r="N198" i="36" s="1"/>
  <c r="N197" i="36" s="1"/>
  <c r="M230" i="36"/>
  <c r="O230" i="36" s="1"/>
  <c r="K230" i="36"/>
  <c r="J230" i="36"/>
  <c r="J207" i="36" s="1"/>
  <c r="H230" i="36"/>
  <c r="G230" i="36"/>
  <c r="I230" i="36" s="1"/>
  <c r="F230" i="36"/>
  <c r="E230" i="36"/>
  <c r="D230" i="36"/>
  <c r="O229" i="36"/>
  <c r="L229" i="36"/>
  <c r="I229" i="36"/>
  <c r="F229" i="36"/>
  <c r="C229" i="36"/>
  <c r="O228" i="36"/>
  <c r="L228" i="36"/>
  <c r="I228" i="36"/>
  <c r="F228" i="36"/>
  <c r="C228" i="36" s="1"/>
  <c r="O227" i="36"/>
  <c r="L227" i="36"/>
  <c r="I227" i="36"/>
  <c r="F227" i="36"/>
  <c r="C227" i="36" s="1"/>
  <c r="O226" i="36"/>
  <c r="L226" i="36"/>
  <c r="I226" i="36"/>
  <c r="F226" i="36"/>
  <c r="C226" i="36" s="1"/>
  <c r="O225" i="36"/>
  <c r="L225" i="36"/>
  <c r="I225" i="36"/>
  <c r="F225" i="36"/>
  <c r="C225" i="36"/>
  <c r="O224" i="36"/>
  <c r="L224" i="36"/>
  <c r="I224" i="36"/>
  <c r="F224" i="36"/>
  <c r="C224" i="36" s="1"/>
  <c r="O223" i="36"/>
  <c r="L223" i="36"/>
  <c r="I223" i="36"/>
  <c r="C223" i="36" s="1"/>
  <c r="F223" i="36"/>
  <c r="O222" i="36"/>
  <c r="L222" i="36"/>
  <c r="I222" i="36"/>
  <c r="F222" i="36"/>
  <c r="C222" i="36" s="1"/>
  <c r="O221" i="36"/>
  <c r="L221" i="36"/>
  <c r="I221" i="36"/>
  <c r="F221" i="36"/>
  <c r="C221" i="36"/>
  <c r="O220" i="36"/>
  <c r="L220" i="36"/>
  <c r="I220" i="36"/>
  <c r="F220" i="36"/>
  <c r="C220" i="36" s="1"/>
  <c r="N219" i="36"/>
  <c r="M219" i="36"/>
  <c r="O219" i="36" s="1"/>
  <c r="K219" i="36"/>
  <c r="J219" i="36"/>
  <c r="L219" i="36" s="1"/>
  <c r="I219" i="36"/>
  <c r="H219" i="36"/>
  <c r="G219" i="36"/>
  <c r="E219" i="36"/>
  <c r="D219" i="36"/>
  <c r="F219" i="36" s="1"/>
  <c r="O218" i="36"/>
  <c r="L218" i="36"/>
  <c r="I218" i="36"/>
  <c r="F218" i="36"/>
  <c r="C218" i="36" s="1"/>
  <c r="O217" i="36"/>
  <c r="L217" i="36"/>
  <c r="I217" i="36"/>
  <c r="F217" i="36"/>
  <c r="C217" i="36"/>
  <c r="O216" i="36"/>
  <c r="L216" i="36"/>
  <c r="I216" i="36"/>
  <c r="F216" i="36"/>
  <c r="C216" i="36" s="1"/>
  <c r="O215" i="36"/>
  <c r="L215" i="36"/>
  <c r="I215" i="36"/>
  <c r="F215" i="36"/>
  <c r="C215" i="36" s="1"/>
  <c r="O214" i="36"/>
  <c r="L214" i="36"/>
  <c r="I214" i="36"/>
  <c r="F214" i="36"/>
  <c r="C214" i="36" s="1"/>
  <c r="O213" i="36"/>
  <c r="L213" i="36"/>
  <c r="I213" i="36"/>
  <c r="F213" i="36"/>
  <c r="C213" i="36"/>
  <c r="O212" i="36"/>
  <c r="L212" i="36"/>
  <c r="I212" i="36"/>
  <c r="F212" i="36"/>
  <c r="C212" i="36" s="1"/>
  <c r="O211" i="36"/>
  <c r="L211" i="36"/>
  <c r="I211" i="36"/>
  <c r="F211" i="36"/>
  <c r="C211" i="36" s="1"/>
  <c r="O210" i="36"/>
  <c r="L210" i="36"/>
  <c r="I210" i="36"/>
  <c r="F210" i="36"/>
  <c r="C210" i="36" s="1"/>
  <c r="O209" i="36"/>
  <c r="L209" i="36"/>
  <c r="I209" i="36"/>
  <c r="F209" i="36"/>
  <c r="C209" i="36"/>
  <c r="N208" i="36"/>
  <c r="M208" i="36"/>
  <c r="O208" i="36" s="1"/>
  <c r="L208" i="36"/>
  <c r="K208" i="36"/>
  <c r="J208" i="36"/>
  <c r="H208" i="36"/>
  <c r="H207" i="36" s="1"/>
  <c r="G208" i="36"/>
  <c r="I208" i="36" s="1"/>
  <c r="E208" i="36"/>
  <c r="D208" i="36"/>
  <c r="D207" i="36" s="1"/>
  <c r="F207" i="36" s="1"/>
  <c r="M207" i="36"/>
  <c r="K207" i="36"/>
  <c r="G207" i="36"/>
  <c r="E207" i="36"/>
  <c r="O206" i="36"/>
  <c r="L206" i="36"/>
  <c r="I206" i="36"/>
  <c r="F206" i="36"/>
  <c r="C206" i="36" s="1"/>
  <c r="O205" i="36"/>
  <c r="L205" i="36"/>
  <c r="I205" i="36"/>
  <c r="F205" i="36"/>
  <c r="C205" i="36"/>
  <c r="O204" i="36"/>
  <c r="L204" i="36"/>
  <c r="I204" i="36"/>
  <c r="F204" i="36"/>
  <c r="C204" i="36" s="1"/>
  <c r="O203" i="36"/>
  <c r="L203" i="36"/>
  <c r="I203" i="36"/>
  <c r="C203" i="36" s="1"/>
  <c r="F203" i="36"/>
  <c r="O202" i="36"/>
  <c r="L202" i="36"/>
  <c r="C202" i="36" s="1"/>
  <c r="I202" i="36"/>
  <c r="F202" i="36"/>
  <c r="O201" i="36"/>
  <c r="N201" i="36"/>
  <c r="M201" i="36"/>
  <c r="K201" i="36"/>
  <c r="K199" i="36" s="1"/>
  <c r="K198" i="36" s="1"/>
  <c r="J201" i="36"/>
  <c r="L201" i="36" s="1"/>
  <c r="H201" i="36"/>
  <c r="G201" i="36"/>
  <c r="I201" i="36" s="1"/>
  <c r="E201" i="36"/>
  <c r="D201" i="36"/>
  <c r="F201" i="36" s="1"/>
  <c r="C201" i="36" s="1"/>
  <c r="O200" i="36"/>
  <c r="L200" i="36"/>
  <c r="I200" i="36"/>
  <c r="F200" i="36"/>
  <c r="C200" i="36" s="1"/>
  <c r="N199" i="36"/>
  <c r="M199" i="36"/>
  <c r="M198" i="36" s="1"/>
  <c r="J199" i="36"/>
  <c r="L199" i="36" s="1"/>
  <c r="H199" i="36"/>
  <c r="E199" i="36"/>
  <c r="E198" i="36" s="1"/>
  <c r="E197" i="36" s="1"/>
  <c r="D199" i="36"/>
  <c r="F199" i="36" s="1"/>
  <c r="O196" i="36"/>
  <c r="L196" i="36"/>
  <c r="I196" i="36"/>
  <c r="F196" i="36"/>
  <c r="C196" i="36" s="1"/>
  <c r="N195" i="36"/>
  <c r="M195" i="36"/>
  <c r="M194" i="36" s="1"/>
  <c r="O194" i="36" s="1"/>
  <c r="K195" i="36"/>
  <c r="J195" i="36"/>
  <c r="L195" i="36" s="1"/>
  <c r="I195" i="36"/>
  <c r="H195" i="36"/>
  <c r="G195" i="36"/>
  <c r="E195" i="36"/>
  <c r="E194" i="36" s="1"/>
  <c r="F194" i="36" s="1"/>
  <c r="D195" i="36"/>
  <c r="F195" i="36" s="1"/>
  <c r="N194" i="36"/>
  <c r="K194" i="36"/>
  <c r="J194" i="36"/>
  <c r="L194" i="36" s="1"/>
  <c r="H194" i="36"/>
  <c r="G194" i="36"/>
  <c r="I194" i="36" s="1"/>
  <c r="D194" i="36"/>
  <c r="O193" i="36"/>
  <c r="L193" i="36"/>
  <c r="I193" i="36"/>
  <c r="F193" i="36"/>
  <c r="C193" i="36"/>
  <c r="O192" i="36"/>
  <c r="L192" i="36"/>
  <c r="I192" i="36"/>
  <c r="F192" i="36"/>
  <c r="C192" i="36" s="1"/>
  <c r="N191" i="36"/>
  <c r="M191" i="36"/>
  <c r="M190" i="36" s="1"/>
  <c r="O190" i="36" s="1"/>
  <c r="K191" i="36"/>
  <c r="J191" i="36"/>
  <c r="L191" i="36" s="1"/>
  <c r="I191" i="36"/>
  <c r="H191" i="36"/>
  <c r="G191" i="36"/>
  <c r="E191" i="36"/>
  <c r="F191" i="36" s="1"/>
  <c r="D191" i="36"/>
  <c r="N190" i="36"/>
  <c r="K190" i="36"/>
  <c r="J190" i="36"/>
  <c r="L190" i="36" s="1"/>
  <c r="H190" i="36"/>
  <c r="G190" i="36"/>
  <c r="I190" i="36" s="1"/>
  <c r="D190" i="36"/>
  <c r="O189" i="36"/>
  <c r="L189" i="36"/>
  <c r="I189" i="36"/>
  <c r="F189" i="36"/>
  <c r="C189" i="36"/>
  <c r="O188" i="36"/>
  <c r="L188" i="36"/>
  <c r="I188" i="36"/>
  <c r="F188" i="36"/>
  <c r="C188" i="36" s="1"/>
  <c r="N187" i="36"/>
  <c r="M187" i="36"/>
  <c r="M176" i="36" s="1"/>
  <c r="K187" i="36"/>
  <c r="J187" i="36"/>
  <c r="L187" i="36" s="1"/>
  <c r="I187" i="36"/>
  <c r="H187" i="36"/>
  <c r="G187" i="36"/>
  <c r="E187" i="36"/>
  <c r="E176" i="36" s="1"/>
  <c r="D187" i="36"/>
  <c r="F187" i="36" s="1"/>
  <c r="O186" i="36"/>
  <c r="L186" i="36"/>
  <c r="I186" i="36"/>
  <c r="F186" i="36"/>
  <c r="C186" i="36" s="1"/>
  <c r="O185" i="36"/>
  <c r="L185" i="36"/>
  <c r="I185" i="36"/>
  <c r="F185" i="36"/>
  <c r="C185" i="36"/>
  <c r="O184" i="36"/>
  <c r="L184" i="36"/>
  <c r="I184" i="36"/>
  <c r="F184" i="36"/>
  <c r="C184" i="36" s="1"/>
  <c r="O183" i="36"/>
  <c r="L183" i="36"/>
  <c r="I183" i="36"/>
  <c r="C183" i="36" s="1"/>
  <c r="F183" i="36"/>
  <c r="N182" i="36"/>
  <c r="M182" i="36"/>
  <c r="O182" i="36" s="1"/>
  <c r="K182" i="36"/>
  <c r="J182" i="36"/>
  <c r="L182" i="36" s="1"/>
  <c r="H182" i="36"/>
  <c r="G182" i="36"/>
  <c r="I182" i="36" s="1"/>
  <c r="F182" i="36"/>
  <c r="E182" i="36"/>
  <c r="D182" i="36"/>
  <c r="O181" i="36"/>
  <c r="L181" i="36"/>
  <c r="I181" i="36"/>
  <c r="F181" i="36"/>
  <c r="C181" i="36"/>
  <c r="O180" i="36"/>
  <c r="L180" i="36"/>
  <c r="I180" i="36"/>
  <c r="F180" i="36"/>
  <c r="C180" i="36" s="1"/>
  <c r="O179" i="36"/>
  <c r="L179" i="36"/>
  <c r="I179" i="36"/>
  <c r="C179" i="36" s="1"/>
  <c r="F179" i="36"/>
  <c r="N178" i="36"/>
  <c r="O178" i="36" s="1"/>
  <c r="M178" i="36"/>
  <c r="K178" i="36"/>
  <c r="J178" i="36"/>
  <c r="J177" i="36" s="1"/>
  <c r="H178" i="36"/>
  <c r="G178" i="36"/>
  <c r="I178" i="36" s="1"/>
  <c r="F178" i="36"/>
  <c r="E178" i="36"/>
  <c r="D178" i="36"/>
  <c r="M177" i="36"/>
  <c r="K177" i="36"/>
  <c r="K176" i="36" s="1"/>
  <c r="H177" i="36"/>
  <c r="G177" i="36"/>
  <c r="G176" i="36" s="1"/>
  <c r="I176" i="36" s="1"/>
  <c r="E177" i="36"/>
  <c r="D177" i="36"/>
  <c r="F177" i="36" s="1"/>
  <c r="H176" i="36"/>
  <c r="D176" i="36"/>
  <c r="O175" i="36"/>
  <c r="L175" i="36"/>
  <c r="I175" i="36"/>
  <c r="C175" i="36" s="1"/>
  <c r="F175" i="36"/>
  <c r="O174" i="36"/>
  <c r="L174" i="36"/>
  <c r="C174" i="36" s="1"/>
  <c r="I174" i="36"/>
  <c r="F174" i="36"/>
  <c r="O173" i="36"/>
  <c r="L173" i="36"/>
  <c r="I173" i="36"/>
  <c r="F173" i="36"/>
  <c r="C173" i="36"/>
  <c r="O172" i="36"/>
  <c r="L172" i="36"/>
  <c r="I172" i="36"/>
  <c r="F172" i="36"/>
  <c r="C172" i="36" s="1"/>
  <c r="O171" i="36"/>
  <c r="L171" i="36"/>
  <c r="I171" i="36"/>
  <c r="F171" i="36"/>
  <c r="C171" i="36" s="1"/>
  <c r="O170" i="36"/>
  <c r="L170" i="36"/>
  <c r="C170" i="36" s="1"/>
  <c r="I170" i="36"/>
  <c r="F170" i="36"/>
  <c r="O169" i="36"/>
  <c r="N169" i="36"/>
  <c r="M169" i="36"/>
  <c r="K169" i="36"/>
  <c r="L169" i="36" s="1"/>
  <c r="J169" i="36"/>
  <c r="H169" i="36"/>
  <c r="G169" i="36"/>
  <c r="G168" i="36" s="1"/>
  <c r="I168" i="36" s="1"/>
  <c r="E169" i="36"/>
  <c r="D169" i="36"/>
  <c r="F169" i="36" s="1"/>
  <c r="N168" i="36"/>
  <c r="M168" i="36"/>
  <c r="O168" i="36" s="1"/>
  <c r="J168" i="36"/>
  <c r="H168" i="36"/>
  <c r="E168" i="36"/>
  <c r="D168" i="36"/>
  <c r="F168" i="36" s="1"/>
  <c r="O167" i="36"/>
  <c r="L167" i="36"/>
  <c r="I167" i="36"/>
  <c r="C167" i="36" s="1"/>
  <c r="F167" i="36"/>
  <c r="O166" i="36"/>
  <c r="L166" i="36"/>
  <c r="C166" i="36" s="1"/>
  <c r="I166" i="36"/>
  <c r="F166" i="36"/>
  <c r="O165" i="36"/>
  <c r="L165" i="36"/>
  <c r="I165" i="36"/>
  <c r="F165" i="36"/>
  <c r="C165" i="36"/>
  <c r="O164" i="36"/>
  <c r="L164" i="36"/>
  <c r="I164" i="36"/>
  <c r="F164" i="36"/>
  <c r="C164" i="36" s="1"/>
  <c r="N163" i="36"/>
  <c r="M163" i="36"/>
  <c r="O163" i="36" s="1"/>
  <c r="K163" i="36"/>
  <c r="J163" i="36"/>
  <c r="L163" i="36" s="1"/>
  <c r="I163" i="36"/>
  <c r="H163" i="36"/>
  <c r="G163" i="36"/>
  <c r="E163" i="36"/>
  <c r="D163" i="36"/>
  <c r="F163" i="36" s="1"/>
  <c r="O162" i="36"/>
  <c r="L162" i="36"/>
  <c r="C162" i="36" s="1"/>
  <c r="I162" i="36"/>
  <c r="F162" i="36"/>
  <c r="O161" i="36"/>
  <c r="L161" i="36"/>
  <c r="I161" i="36"/>
  <c r="F161" i="36"/>
  <c r="C161" i="36"/>
  <c r="O160" i="36"/>
  <c r="L160" i="36"/>
  <c r="I160" i="36"/>
  <c r="F160" i="36"/>
  <c r="C160" i="36" s="1"/>
  <c r="O159" i="36"/>
  <c r="L159" i="36"/>
  <c r="I159" i="36"/>
  <c r="F159" i="36"/>
  <c r="C159" i="36" s="1"/>
  <c r="O158" i="36"/>
  <c r="L158" i="36"/>
  <c r="C158" i="36" s="1"/>
  <c r="I158" i="36"/>
  <c r="F158" i="36"/>
  <c r="O157" i="36"/>
  <c r="L157" i="36"/>
  <c r="I157" i="36"/>
  <c r="F157" i="36"/>
  <c r="C157" i="36"/>
  <c r="O156" i="36"/>
  <c r="L156" i="36"/>
  <c r="I156" i="36"/>
  <c r="F156" i="36"/>
  <c r="C156" i="36" s="1"/>
  <c r="O155" i="36"/>
  <c r="L155" i="36"/>
  <c r="I155" i="36"/>
  <c r="C155" i="36" s="1"/>
  <c r="F155" i="36"/>
  <c r="N154" i="36"/>
  <c r="M154" i="36"/>
  <c r="O154" i="36" s="1"/>
  <c r="K154" i="36"/>
  <c r="J154" i="36"/>
  <c r="L154" i="36" s="1"/>
  <c r="H154" i="36"/>
  <c r="G154" i="36"/>
  <c r="I154" i="36" s="1"/>
  <c r="F154" i="36"/>
  <c r="C154" i="36" s="1"/>
  <c r="E154" i="36"/>
  <c r="D154" i="36"/>
  <c r="O153" i="36"/>
  <c r="L153" i="36"/>
  <c r="I153" i="36"/>
  <c r="F153" i="36"/>
  <c r="C153" i="36"/>
  <c r="O152" i="36"/>
  <c r="L152" i="36"/>
  <c r="I152" i="36"/>
  <c r="F152" i="36"/>
  <c r="C152" i="36" s="1"/>
  <c r="O151" i="36"/>
  <c r="L151" i="36"/>
  <c r="I151" i="36"/>
  <c r="C151" i="36" s="1"/>
  <c r="F151" i="36"/>
  <c r="O150" i="36"/>
  <c r="L150" i="36"/>
  <c r="I150" i="36"/>
  <c r="F150" i="36"/>
  <c r="C150" i="36" s="1"/>
  <c r="O149" i="36"/>
  <c r="L149" i="36"/>
  <c r="I149" i="36"/>
  <c r="F149" i="36"/>
  <c r="C149" i="36"/>
  <c r="O148" i="36"/>
  <c r="L148" i="36"/>
  <c r="I148" i="36"/>
  <c r="F148" i="36"/>
  <c r="C148" i="36" s="1"/>
  <c r="N147" i="36"/>
  <c r="M147" i="36"/>
  <c r="O147" i="36" s="1"/>
  <c r="K147" i="36"/>
  <c r="J147" i="36"/>
  <c r="L147" i="36" s="1"/>
  <c r="I147" i="36"/>
  <c r="H147" i="36"/>
  <c r="G147" i="36"/>
  <c r="E147" i="36"/>
  <c r="D147" i="36"/>
  <c r="F147" i="36" s="1"/>
  <c r="O146" i="36"/>
  <c r="L146" i="36"/>
  <c r="I146" i="36"/>
  <c r="F146" i="36"/>
  <c r="C146" i="36" s="1"/>
  <c r="O145" i="36"/>
  <c r="L145" i="36"/>
  <c r="I145" i="36"/>
  <c r="F145" i="36"/>
  <c r="C145" i="36"/>
  <c r="O144" i="36"/>
  <c r="N144" i="36"/>
  <c r="M144" i="36"/>
  <c r="L144" i="36"/>
  <c r="K144" i="36"/>
  <c r="J144" i="36"/>
  <c r="H144" i="36"/>
  <c r="H133" i="36" s="1"/>
  <c r="G144" i="36"/>
  <c r="I144" i="36" s="1"/>
  <c r="E144" i="36"/>
  <c r="D144" i="36"/>
  <c r="D133" i="36" s="1"/>
  <c r="F133" i="36" s="1"/>
  <c r="O143" i="36"/>
  <c r="L143" i="36"/>
  <c r="I143" i="36"/>
  <c r="F143" i="36"/>
  <c r="C143" i="36" s="1"/>
  <c r="O142" i="36"/>
  <c r="L142" i="36"/>
  <c r="I142" i="36"/>
  <c r="C142" i="36" s="1"/>
  <c r="F142" i="36"/>
  <c r="O141" i="36"/>
  <c r="L141" i="36"/>
  <c r="I141" i="36"/>
  <c r="F141" i="36"/>
  <c r="C141" i="36"/>
  <c r="O140" i="36"/>
  <c r="L140" i="36"/>
  <c r="I140" i="36"/>
  <c r="F140" i="36"/>
  <c r="C140" i="36" s="1"/>
  <c r="N139" i="36"/>
  <c r="M139" i="36"/>
  <c r="O139" i="36" s="1"/>
  <c r="L139" i="36"/>
  <c r="K139" i="36"/>
  <c r="J139" i="36"/>
  <c r="I139" i="36"/>
  <c r="H139" i="36"/>
  <c r="G139" i="36"/>
  <c r="E139" i="36"/>
  <c r="E133" i="36" s="1"/>
  <c r="D139" i="36"/>
  <c r="F139" i="36" s="1"/>
  <c r="C139" i="36" s="1"/>
  <c r="O138" i="36"/>
  <c r="L138" i="36"/>
  <c r="I138" i="36"/>
  <c r="C138" i="36" s="1"/>
  <c r="F138" i="36"/>
  <c r="O137" i="36"/>
  <c r="L137" i="36"/>
  <c r="I137" i="36"/>
  <c r="F137" i="36"/>
  <c r="C137" i="36"/>
  <c r="O136" i="36"/>
  <c r="L136" i="36"/>
  <c r="I136" i="36"/>
  <c r="F136" i="36"/>
  <c r="C136" i="36" s="1"/>
  <c r="O135" i="36"/>
  <c r="L135" i="36"/>
  <c r="I135" i="36"/>
  <c r="F135" i="36"/>
  <c r="C135" i="36" s="1"/>
  <c r="N134" i="36"/>
  <c r="N133" i="36" s="1"/>
  <c r="M134" i="36"/>
  <c r="O134" i="36" s="1"/>
  <c r="K134" i="36"/>
  <c r="J134" i="36"/>
  <c r="J133" i="36" s="1"/>
  <c r="L133" i="36" s="1"/>
  <c r="H134" i="36"/>
  <c r="G134" i="36"/>
  <c r="I134" i="36" s="1"/>
  <c r="F134" i="36"/>
  <c r="E134" i="36"/>
  <c r="D134" i="36"/>
  <c r="K133" i="36"/>
  <c r="G133" i="36"/>
  <c r="I133" i="36" s="1"/>
  <c r="O132" i="36"/>
  <c r="L132" i="36"/>
  <c r="I132" i="36"/>
  <c r="F132" i="36"/>
  <c r="C132" i="36" s="1"/>
  <c r="N131" i="36"/>
  <c r="M131" i="36"/>
  <c r="O131" i="36" s="1"/>
  <c r="K131" i="36"/>
  <c r="L131" i="36" s="1"/>
  <c r="J131" i="36"/>
  <c r="I131" i="36"/>
  <c r="H131" i="36"/>
  <c r="G131" i="36"/>
  <c r="E131" i="36"/>
  <c r="D131" i="36"/>
  <c r="O130" i="36"/>
  <c r="L130" i="36"/>
  <c r="I130" i="36"/>
  <c r="F130" i="36"/>
  <c r="O129" i="36"/>
  <c r="L129" i="36"/>
  <c r="I129" i="36"/>
  <c r="F129" i="36"/>
  <c r="C129" i="36"/>
  <c r="O128" i="36"/>
  <c r="L128" i="36"/>
  <c r="I128" i="36"/>
  <c r="F128" i="36"/>
  <c r="C128" i="36" s="1"/>
  <c r="O127" i="36"/>
  <c r="L127" i="36"/>
  <c r="I127" i="36"/>
  <c r="C127" i="36" s="1"/>
  <c r="F127" i="36"/>
  <c r="O126" i="36"/>
  <c r="L126" i="36"/>
  <c r="I126" i="36"/>
  <c r="F126" i="36"/>
  <c r="O125" i="36"/>
  <c r="N125" i="36"/>
  <c r="M125" i="36"/>
  <c r="K125" i="36"/>
  <c r="J125" i="36"/>
  <c r="H125" i="36"/>
  <c r="G125" i="36"/>
  <c r="I125" i="36" s="1"/>
  <c r="E125" i="36"/>
  <c r="F125" i="36" s="1"/>
  <c r="D125" i="36"/>
  <c r="O124" i="36"/>
  <c r="L124" i="36"/>
  <c r="I124" i="36"/>
  <c r="F124" i="36"/>
  <c r="C124" i="36" s="1"/>
  <c r="O123" i="36"/>
  <c r="L123" i="36"/>
  <c r="I123" i="36"/>
  <c r="F123" i="36"/>
  <c r="C123" i="36" s="1"/>
  <c r="O122" i="36"/>
  <c r="L122" i="36"/>
  <c r="I122" i="36"/>
  <c r="F122" i="36"/>
  <c r="C122" i="36" s="1"/>
  <c r="O121" i="36"/>
  <c r="L121" i="36"/>
  <c r="I121" i="36"/>
  <c r="F121" i="36"/>
  <c r="C121" i="36"/>
  <c r="O120" i="36"/>
  <c r="L120" i="36"/>
  <c r="I120" i="36"/>
  <c r="F120" i="36"/>
  <c r="C120" i="36" s="1"/>
  <c r="N119" i="36"/>
  <c r="M119" i="36"/>
  <c r="O119" i="36" s="1"/>
  <c r="K119" i="36"/>
  <c r="J119" i="36"/>
  <c r="L119" i="36" s="1"/>
  <c r="I119" i="36"/>
  <c r="H119" i="36"/>
  <c r="G119" i="36"/>
  <c r="E119" i="36"/>
  <c r="D119" i="36"/>
  <c r="F119" i="36" s="1"/>
  <c r="C119" i="36" s="1"/>
  <c r="O118" i="36"/>
  <c r="L118" i="36"/>
  <c r="C118" i="36" s="1"/>
  <c r="I118" i="36"/>
  <c r="F118" i="36"/>
  <c r="O117" i="36"/>
  <c r="L117" i="36"/>
  <c r="I117" i="36"/>
  <c r="F117" i="36"/>
  <c r="C117" i="36"/>
  <c r="O116" i="36"/>
  <c r="L116" i="36"/>
  <c r="I116" i="36"/>
  <c r="F116" i="36"/>
  <c r="C116" i="36" s="1"/>
  <c r="N115" i="36"/>
  <c r="M115" i="36"/>
  <c r="O115" i="36" s="1"/>
  <c r="K115" i="36"/>
  <c r="J115" i="36"/>
  <c r="L115" i="36" s="1"/>
  <c r="I115" i="36"/>
  <c r="H115" i="36"/>
  <c r="G115" i="36"/>
  <c r="E115" i="36"/>
  <c r="D115" i="36"/>
  <c r="F115" i="36" s="1"/>
  <c r="C115" i="36" s="1"/>
  <c r="O114" i="36"/>
  <c r="L114" i="36"/>
  <c r="I114" i="36"/>
  <c r="F114" i="36"/>
  <c r="C114" i="36" s="1"/>
  <c r="O113" i="36"/>
  <c r="L113" i="36"/>
  <c r="I113" i="36"/>
  <c r="F113" i="36"/>
  <c r="C113" i="36"/>
  <c r="O112" i="36"/>
  <c r="L112" i="36"/>
  <c r="I112" i="36"/>
  <c r="F112" i="36"/>
  <c r="C112" i="36" s="1"/>
  <c r="O111" i="36"/>
  <c r="L111" i="36"/>
  <c r="I111" i="36"/>
  <c r="F111" i="36"/>
  <c r="O110" i="36"/>
  <c r="L110" i="36"/>
  <c r="I110" i="36"/>
  <c r="F110" i="36"/>
  <c r="O109" i="36"/>
  <c r="L109" i="36"/>
  <c r="I109" i="36"/>
  <c r="C109" i="36" s="1"/>
  <c r="F109" i="36"/>
  <c r="O108" i="36"/>
  <c r="L108" i="36"/>
  <c r="I108" i="36"/>
  <c r="F108" i="36"/>
  <c r="C108" i="36" s="1"/>
  <c r="O107" i="36"/>
  <c r="L107" i="36"/>
  <c r="I107" i="36"/>
  <c r="F107" i="36"/>
  <c r="C107" i="36"/>
  <c r="N106" i="36"/>
  <c r="M106" i="36"/>
  <c r="O106" i="36" s="1"/>
  <c r="L106" i="36"/>
  <c r="K106" i="36"/>
  <c r="J106" i="36"/>
  <c r="H106" i="36"/>
  <c r="I106" i="36" s="1"/>
  <c r="G106" i="36"/>
  <c r="E106" i="36"/>
  <c r="D106" i="36"/>
  <c r="F106" i="36" s="1"/>
  <c r="C106" i="36" s="1"/>
  <c r="O105" i="36"/>
  <c r="L105" i="36"/>
  <c r="I105" i="36"/>
  <c r="C105" i="36" s="1"/>
  <c r="F105" i="36"/>
  <c r="O104" i="36"/>
  <c r="L104" i="36"/>
  <c r="I104" i="36"/>
  <c r="F104" i="36"/>
  <c r="C104" i="36" s="1"/>
  <c r="O103" i="36"/>
  <c r="L103" i="36"/>
  <c r="I103" i="36"/>
  <c r="F103" i="36"/>
  <c r="C103" i="36"/>
  <c r="O102" i="36"/>
  <c r="L102" i="36"/>
  <c r="I102" i="36"/>
  <c r="F102" i="36"/>
  <c r="C102" i="36" s="1"/>
  <c r="O101" i="36"/>
  <c r="L101" i="36"/>
  <c r="I101" i="36"/>
  <c r="C101" i="36" s="1"/>
  <c r="F101" i="36"/>
  <c r="O100" i="36"/>
  <c r="L100" i="36"/>
  <c r="I100" i="36"/>
  <c r="F100" i="36"/>
  <c r="C100" i="36" s="1"/>
  <c r="O99" i="36"/>
  <c r="L99" i="36"/>
  <c r="I99" i="36"/>
  <c r="F99" i="36"/>
  <c r="C99" i="36"/>
  <c r="N98" i="36"/>
  <c r="M98" i="36"/>
  <c r="O98" i="36" s="1"/>
  <c r="L98" i="36"/>
  <c r="K98" i="36"/>
  <c r="J98" i="36"/>
  <c r="H98" i="36"/>
  <c r="I98" i="36" s="1"/>
  <c r="G98" i="36"/>
  <c r="E98" i="36"/>
  <c r="D98" i="36"/>
  <c r="F98" i="36" s="1"/>
  <c r="O97" i="36"/>
  <c r="L97" i="36"/>
  <c r="I97" i="36"/>
  <c r="C97" i="36" s="1"/>
  <c r="F97" i="36"/>
  <c r="O96" i="36"/>
  <c r="L96" i="36"/>
  <c r="I96" i="36"/>
  <c r="F96" i="36"/>
  <c r="C96" i="36" s="1"/>
  <c r="O95" i="36"/>
  <c r="L95" i="36"/>
  <c r="I95" i="36"/>
  <c r="F95" i="36"/>
  <c r="C95" i="36"/>
  <c r="O94" i="36"/>
  <c r="L94" i="36"/>
  <c r="I94" i="36"/>
  <c r="F94" i="36"/>
  <c r="C94" i="36" s="1"/>
  <c r="O93" i="36"/>
  <c r="L93" i="36"/>
  <c r="I93" i="36"/>
  <c r="C93" i="36" s="1"/>
  <c r="F93" i="36"/>
  <c r="N92" i="36"/>
  <c r="N86" i="36" s="1"/>
  <c r="M92" i="36"/>
  <c r="K92" i="36"/>
  <c r="J92" i="36"/>
  <c r="L92" i="36" s="1"/>
  <c r="H92" i="36"/>
  <c r="G92" i="36"/>
  <c r="I92" i="36" s="1"/>
  <c r="F92" i="36"/>
  <c r="E92" i="36"/>
  <c r="D92" i="36"/>
  <c r="O91" i="36"/>
  <c r="L91" i="36"/>
  <c r="I91" i="36"/>
  <c r="F91" i="36"/>
  <c r="C91" i="36"/>
  <c r="O90" i="36"/>
  <c r="L90" i="36"/>
  <c r="I90" i="36"/>
  <c r="F90" i="36"/>
  <c r="C90" i="36" s="1"/>
  <c r="O89" i="36"/>
  <c r="L89" i="36"/>
  <c r="I89" i="36"/>
  <c r="C89" i="36" s="1"/>
  <c r="F89" i="36"/>
  <c r="O88" i="36"/>
  <c r="L88" i="36"/>
  <c r="I88" i="36"/>
  <c r="F88" i="36"/>
  <c r="C88" i="36" s="1"/>
  <c r="O87" i="36"/>
  <c r="N87" i="36"/>
  <c r="M87" i="36"/>
  <c r="K87" i="36"/>
  <c r="K86" i="36" s="1"/>
  <c r="J87" i="36"/>
  <c r="H87" i="36"/>
  <c r="G87" i="36"/>
  <c r="G86" i="36" s="1"/>
  <c r="I86" i="36" s="1"/>
  <c r="E87" i="36"/>
  <c r="D87" i="36"/>
  <c r="F87" i="36" s="1"/>
  <c r="M86" i="36"/>
  <c r="O86" i="36" s="1"/>
  <c r="H86" i="36"/>
  <c r="E86" i="36"/>
  <c r="D86" i="36"/>
  <c r="F86" i="36" s="1"/>
  <c r="O85" i="36"/>
  <c r="L85" i="36"/>
  <c r="I85" i="36"/>
  <c r="C85" i="36" s="1"/>
  <c r="F85" i="36"/>
  <c r="O84" i="36"/>
  <c r="L84" i="36"/>
  <c r="I84" i="36"/>
  <c r="F84" i="36"/>
  <c r="C84" i="36" s="1"/>
  <c r="O83" i="36"/>
  <c r="N83" i="36"/>
  <c r="M83" i="36"/>
  <c r="K83" i="36"/>
  <c r="L83" i="36" s="1"/>
  <c r="J83" i="36"/>
  <c r="H83" i="36"/>
  <c r="G83" i="36"/>
  <c r="I83" i="36" s="1"/>
  <c r="E83" i="36"/>
  <c r="D83" i="36"/>
  <c r="F83" i="36" s="1"/>
  <c r="C83" i="36" s="1"/>
  <c r="O82" i="36"/>
  <c r="L82" i="36"/>
  <c r="I82" i="36"/>
  <c r="F82" i="36"/>
  <c r="C82" i="36" s="1"/>
  <c r="O81" i="36"/>
  <c r="L81" i="36"/>
  <c r="I81" i="36"/>
  <c r="C81" i="36" s="1"/>
  <c r="F81" i="36"/>
  <c r="N80" i="36"/>
  <c r="N79" i="36" s="1"/>
  <c r="M80" i="36"/>
  <c r="K80" i="36"/>
  <c r="J80" i="36"/>
  <c r="J79" i="36" s="1"/>
  <c r="H80" i="36"/>
  <c r="G80" i="36"/>
  <c r="I80" i="36" s="1"/>
  <c r="F80" i="36"/>
  <c r="E80" i="36"/>
  <c r="D80" i="36"/>
  <c r="M79" i="36"/>
  <c r="K79" i="36"/>
  <c r="H79" i="36"/>
  <c r="G79" i="36"/>
  <c r="G78" i="36" s="1"/>
  <c r="I78" i="36" s="1"/>
  <c r="E79" i="36"/>
  <c r="D79" i="36"/>
  <c r="F79" i="36" s="1"/>
  <c r="H78" i="36"/>
  <c r="E78" i="36"/>
  <c r="D78" i="36"/>
  <c r="F78" i="36" s="1"/>
  <c r="O77" i="36"/>
  <c r="L77" i="36"/>
  <c r="I77" i="36"/>
  <c r="C77" i="36" s="1"/>
  <c r="F77" i="36"/>
  <c r="O76" i="36"/>
  <c r="L76" i="36"/>
  <c r="C76" i="36" s="1"/>
  <c r="I76" i="36"/>
  <c r="F76" i="36"/>
  <c r="O75" i="36"/>
  <c r="L75" i="36"/>
  <c r="I75" i="36"/>
  <c r="F75" i="36"/>
  <c r="C75" i="36"/>
  <c r="O74" i="36"/>
  <c r="L74" i="36"/>
  <c r="I74" i="36"/>
  <c r="F74" i="36"/>
  <c r="C74" i="36" s="1"/>
  <c r="O73" i="36"/>
  <c r="L73" i="36"/>
  <c r="I73" i="36"/>
  <c r="C73" i="36" s="1"/>
  <c r="F73" i="36"/>
  <c r="N72" i="36"/>
  <c r="N70" i="36" s="1"/>
  <c r="N56" i="36" s="1"/>
  <c r="M72" i="36"/>
  <c r="K72" i="36"/>
  <c r="K70" i="36" s="1"/>
  <c r="K56" i="36" s="1"/>
  <c r="J72" i="36"/>
  <c r="L72" i="36" s="1"/>
  <c r="H72" i="36"/>
  <c r="G72" i="36"/>
  <c r="I72" i="36" s="1"/>
  <c r="F72" i="36"/>
  <c r="E72" i="36"/>
  <c r="D72" i="36"/>
  <c r="O71" i="36"/>
  <c r="L71" i="36"/>
  <c r="I71" i="36"/>
  <c r="F71" i="36"/>
  <c r="C71" i="36"/>
  <c r="M70" i="36"/>
  <c r="H70" i="36"/>
  <c r="E70" i="36"/>
  <c r="D70" i="36"/>
  <c r="F70" i="36" s="1"/>
  <c r="O69" i="36"/>
  <c r="L69" i="36"/>
  <c r="I69" i="36"/>
  <c r="C69" i="36" s="1"/>
  <c r="F69" i="36"/>
  <c r="O68" i="36"/>
  <c r="L68" i="36"/>
  <c r="I68" i="36"/>
  <c r="F68" i="36"/>
  <c r="C68" i="36" s="1"/>
  <c r="O67" i="36"/>
  <c r="L67" i="36"/>
  <c r="I67" i="36"/>
  <c r="F67" i="36"/>
  <c r="C67" i="36"/>
  <c r="O66" i="36"/>
  <c r="L66" i="36"/>
  <c r="I66" i="36"/>
  <c r="F66" i="36"/>
  <c r="C66" i="36" s="1"/>
  <c r="O65" i="36"/>
  <c r="L65" i="36"/>
  <c r="I65" i="36"/>
  <c r="C65" i="36" s="1"/>
  <c r="F65" i="36"/>
  <c r="O64" i="36"/>
  <c r="L64" i="36"/>
  <c r="I64" i="36"/>
  <c r="F64" i="36"/>
  <c r="C64" i="36" s="1"/>
  <c r="O63" i="36"/>
  <c r="L63" i="36"/>
  <c r="I63" i="36"/>
  <c r="F63" i="36"/>
  <c r="C63" i="36"/>
  <c r="O62" i="36"/>
  <c r="L62" i="36"/>
  <c r="I62" i="36"/>
  <c r="F62" i="36"/>
  <c r="C62" i="36" s="1"/>
  <c r="N61" i="36"/>
  <c r="M61" i="36"/>
  <c r="O61" i="36" s="1"/>
  <c r="K61" i="36"/>
  <c r="J61" i="36"/>
  <c r="L61" i="36" s="1"/>
  <c r="I61" i="36"/>
  <c r="H61" i="36"/>
  <c r="G61" i="36"/>
  <c r="E61" i="36"/>
  <c r="F61" i="36" s="1"/>
  <c r="D61" i="36"/>
  <c r="O60" i="36"/>
  <c r="L60" i="36"/>
  <c r="I60" i="36"/>
  <c r="F60" i="36"/>
  <c r="C60" i="36" s="1"/>
  <c r="O59" i="36"/>
  <c r="L59" i="36"/>
  <c r="I59" i="36"/>
  <c r="F59" i="36"/>
  <c r="C59" i="36"/>
  <c r="N58" i="36"/>
  <c r="M58" i="36"/>
  <c r="O58" i="36" s="1"/>
  <c r="L58" i="36"/>
  <c r="K58" i="36"/>
  <c r="J58" i="36"/>
  <c r="H58" i="36"/>
  <c r="H57" i="36" s="1"/>
  <c r="G58" i="36"/>
  <c r="E58" i="36"/>
  <c r="D58" i="36"/>
  <c r="D57" i="36" s="1"/>
  <c r="N57" i="36"/>
  <c r="M57" i="36"/>
  <c r="M56" i="36" s="1"/>
  <c r="K57" i="36"/>
  <c r="J57" i="36"/>
  <c r="L57" i="36" s="1"/>
  <c r="G57" i="36"/>
  <c r="E57" i="36"/>
  <c r="E56" i="36" s="1"/>
  <c r="O50" i="36"/>
  <c r="C50" i="36"/>
  <c r="O49" i="36"/>
  <c r="C49" i="36"/>
  <c r="N48" i="36"/>
  <c r="M48" i="36"/>
  <c r="L47" i="36"/>
  <c r="I47" i="36"/>
  <c r="C47" i="36" s="1"/>
  <c r="F47" i="36"/>
  <c r="K46" i="36"/>
  <c r="L46" i="36" s="1"/>
  <c r="J46" i="36"/>
  <c r="H46" i="36"/>
  <c r="G46" i="36"/>
  <c r="I46" i="36" s="1"/>
  <c r="E46" i="36"/>
  <c r="D46" i="36"/>
  <c r="F46" i="36" s="1"/>
  <c r="F45" i="36"/>
  <c r="C45" i="36"/>
  <c r="L44" i="36"/>
  <c r="C44" i="36"/>
  <c r="L43" i="36"/>
  <c r="C43" i="36"/>
  <c r="L42" i="36"/>
  <c r="C42" i="36"/>
  <c r="L41" i="36"/>
  <c r="C41" i="36"/>
  <c r="K40" i="36"/>
  <c r="L40" i="36" s="1"/>
  <c r="C40" i="36" s="1"/>
  <c r="J40" i="36"/>
  <c r="L39" i="36"/>
  <c r="C39" i="36"/>
  <c r="L38" i="36"/>
  <c r="C38" i="36"/>
  <c r="K37" i="36"/>
  <c r="L37" i="36" s="1"/>
  <c r="C37" i="36" s="1"/>
  <c r="J37" i="36"/>
  <c r="L36" i="36"/>
  <c r="C36" i="36"/>
  <c r="K35" i="36"/>
  <c r="J35" i="36"/>
  <c r="L35" i="36" s="1"/>
  <c r="C35" i="36" s="1"/>
  <c r="L34" i="36"/>
  <c r="C34" i="36"/>
  <c r="L33" i="36"/>
  <c r="C33" i="36"/>
  <c r="L32" i="36"/>
  <c r="C32" i="36"/>
  <c r="K31" i="36"/>
  <c r="L31" i="36" s="1"/>
  <c r="C31" i="36" s="1"/>
  <c r="J31" i="36"/>
  <c r="K30" i="36"/>
  <c r="F29" i="36"/>
  <c r="C29" i="36"/>
  <c r="I28" i="36"/>
  <c r="F28" i="36"/>
  <c r="C28" i="36"/>
  <c r="O27" i="36"/>
  <c r="L27" i="36"/>
  <c r="I27" i="36"/>
  <c r="F27" i="36"/>
  <c r="C27" i="36"/>
  <c r="O26" i="36"/>
  <c r="L26" i="36"/>
  <c r="I26" i="36"/>
  <c r="F26" i="36"/>
  <c r="C26" i="36" s="1"/>
  <c r="N25" i="36"/>
  <c r="N290" i="36" s="1"/>
  <c r="N289" i="36" s="1"/>
  <c r="M25" i="36"/>
  <c r="M290" i="36" s="1"/>
  <c r="K25" i="36"/>
  <c r="K290" i="36" s="1"/>
  <c r="K289" i="36" s="1"/>
  <c r="J25" i="36"/>
  <c r="J290" i="36" s="1"/>
  <c r="I25" i="36"/>
  <c r="H25" i="36"/>
  <c r="H290" i="36" s="1"/>
  <c r="H289" i="36" s="1"/>
  <c r="G25" i="36"/>
  <c r="G290" i="36" s="1"/>
  <c r="E25" i="36"/>
  <c r="E290" i="36" s="1"/>
  <c r="E289" i="36" s="1"/>
  <c r="D25" i="36"/>
  <c r="D290" i="36" s="1"/>
  <c r="N24" i="36"/>
  <c r="K24" i="36"/>
  <c r="H24" i="36"/>
  <c r="G24" i="36"/>
  <c r="I24" i="36" s="1"/>
  <c r="D24" i="36"/>
  <c r="O299" i="35"/>
  <c r="L299" i="35"/>
  <c r="I299" i="35"/>
  <c r="F299" i="35"/>
  <c r="C299" i="35"/>
  <c r="O298" i="35"/>
  <c r="L298" i="35"/>
  <c r="I298" i="35"/>
  <c r="F298" i="35"/>
  <c r="C298" i="35" s="1"/>
  <c r="O297" i="35"/>
  <c r="L297" i="35"/>
  <c r="I297" i="35"/>
  <c r="C297" i="35" s="1"/>
  <c r="F297" i="35"/>
  <c r="O296" i="35"/>
  <c r="L296" i="35"/>
  <c r="C296" i="35" s="1"/>
  <c r="I296" i="35"/>
  <c r="F296" i="35"/>
  <c r="O295" i="35"/>
  <c r="L295" i="35"/>
  <c r="I295" i="35"/>
  <c r="F295" i="35"/>
  <c r="C295" i="35"/>
  <c r="O294" i="35"/>
  <c r="L294" i="35"/>
  <c r="I294" i="35"/>
  <c r="F294" i="35"/>
  <c r="C294" i="35" s="1"/>
  <c r="O293" i="35"/>
  <c r="L293" i="35"/>
  <c r="I293" i="35"/>
  <c r="C293" i="35" s="1"/>
  <c r="F293" i="35"/>
  <c r="O292" i="35"/>
  <c r="L292" i="35"/>
  <c r="C292" i="35" s="1"/>
  <c r="I292" i="35"/>
  <c r="F292" i="35"/>
  <c r="O291" i="35"/>
  <c r="N291" i="35"/>
  <c r="M291" i="35"/>
  <c r="K291" i="35"/>
  <c r="L291" i="35" s="1"/>
  <c r="J291" i="35"/>
  <c r="H291" i="35"/>
  <c r="G291" i="35"/>
  <c r="I291" i="35" s="1"/>
  <c r="E291" i="35"/>
  <c r="D291" i="35"/>
  <c r="F291" i="35" s="1"/>
  <c r="O286" i="35"/>
  <c r="L286" i="35"/>
  <c r="I286" i="35"/>
  <c r="F286" i="35"/>
  <c r="C286" i="35" s="1"/>
  <c r="O285" i="35"/>
  <c r="L285" i="35"/>
  <c r="I285" i="35"/>
  <c r="C285" i="35" s="1"/>
  <c r="F285" i="35"/>
  <c r="N284" i="35"/>
  <c r="M284" i="35"/>
  <c r="K284" i="35"/>
  <c r="J284" i="35"/>
  <c r="H284" i="35"/>
  <c r="G284" i="35"/>
  <c r="I284" i="35" s="1"/>
  <c r="F284" i="35"/>
  <c r="E284" i="35"/>
  <c r="D284" i="35"/>
  <c r="O283" i="35"/>
  <c r="L283" i="35"/>
  <c r="I283" i="35"/>
  <c r="F283" i="35"/>
  <c r="C283" i="35"/>
  <c r="N282" i="35"/>
  <c r="M282" i="35"/>
  <c r="O282" i="35" s="1"/>
  <c r="L282" i="35"/>
  <c r="K282" i="35"/>
  <c r="J282" i="35"/>
  <c r="H282" i="35"/>
  <c r="I282" i="35" s="1"/>
  <c r="G282" i="35"/>
  <c r="E282" i="35"/>
  <c r="D282" i="35"/>
  <c r="F282" i="35" s="1"/>
  <c r="C282" i="35" s="1"/>
  <c r="O281" i="35"/>
  <c r="L281" i="35"/>
  <c r="I281" i="35"/>
  <c r="C281" i="35" s="1"/>
  <c r="F281" i="35"/>
  <c r="O280" i="35"/>
  <c r="L280" i="35"/>
  <c r="C280" i="35" s="1"/>
  <c r="I280" i="35"/>
  <c r="F280" i="35"/>
  <c r="O279" i="35"/>
  <c r="O278" i="35" s="1"/>
  <c r="L279" i="35"/>
  <c r="I279" i="35"/>
  <c r="F279" i="35"/>
  <c r="C279" i="35"/>
  <c r="N278" i="35"/>
  <c r="M278" i="35"/>
  <c r="L278" i="35"/>
  <c r="K278" i="35"/>
  <c r="J278" i="35"/>
  <c r="H278" i="35"/>
  <c r="I278" i="35" s="1"/>
  <c r="G278" i="35"/>
  <c r="E278" i="35"/>
  <c r="D278" i="35"/>
  <c r="F278" i="35" s="1"/>
  <c r="C278" i="35" s="1"/>
  <c r="O277" i="35"/>
  <c r="L277" i="35"/>
  <c r="I277" i="35"/>
  <c r="C277" i="35" s="1"/>
  <c r="F277" i="35"/>
  <c r="O276" i="35"/>
  <c r="L276" i="35"/>
  <c r="C276" i="35" s="1"/>
  <c r="I276" i="35"/>
  <c r="F276" i="35"/>
  <c r="O275" i="35"/>
  <c r="L275" i="35"/>
  <c r="I275" i="35"/>
  <c r="F275" i="35"/>
  <c r="C275" i="35"/>
  <c r="N274" i="35"/>
  <c r="M274" i="35"/>
  <c r="O274" i="35" s="1"/>
  <c r="L274" i="35"/>
  <c r="K274" i="35"/>
  <c r="J274" i="35"/>
  <c r="H274" i="35"/>
  <c r="I274" i="35" s="1"/>
  <c r="G274" i="35"/>
  <c r="E274" i="35"/>
  <c r="E272" i="35" s="1"/>
  <c r="D274" i="35"/>
  <c r="F274" i="35" s="1"/>
  <c r="C274" i="35" s="1"/>
  <c r="O273" i="35"/>
  <c r="L273" i="35"/>
  <c r="I273" i="35"/>
  <c r="C273" i="35" s="1"/>
  <c r="F273" i="35"/>
  <c r="N272" i="35"/>
  <c r="N271" i="35" s="1"/>
  <c r="K272" i="35"/>
  <c r="J272" i="35"/>
  <c r="J271" i="35" s="1"/>
  <c r="L271" i="35" s="1"/>
  <c r="H272" i="35"/>
  <c r="G272" i="35"/>
  <c r="I272" i="35" s="1"/>
  <c r="D272" i="35"/>
  <c r="K271" i="35"/>
  <c r="H271" i="35"/>
  <c r="G271" i="35"/>
  <c r="I271" i="35" s="1"/>
  <c r="D271" i="35"/>
  <c r="O270" i="35"/>
  <c r="L270" i="35"/>
  <c r="I270" i="35"/>
  <c r="F270" i="35"/>
  <c r="C270" i="35" s="1"/>
  <c r="O269" i="35"/>
  <c r="L269" i="35"/>
  <c r="I269" i="35"/>
  <c r="C269" i="35" s="1"/>
  <c r="F269" i="35"/>
  <c r="O268" i="35"/>
  <c r="L268" i="35"/>
  <c r="C268" i="35" s="1"/>
  <c r="I268" i="35"/>
  <c r="F268" i="35"/>
  <c r="O267" i="35"/>
  <c r="L267" i="35"/>
  <c r="I267" i="35"/>
  <c r="F267" i="35"/>
  <c r="C267" i="35"/>
  <c r="N266" i="35"/>
  <c r="M266" i="35"/>
  <c r="O266" i="35" s="1"/>
  <c r="L266" i="35"/>
  <c r="K266" i="35"/>
  <c r="J266" i="35"/>
  <c r="H266" i="35"/>
  <c r="I266" i="35" s="1"/>
  <c r="G266" i="35"/>
  <c r="E266" i="35"/>
  <c r="D266" i="35"/>
  <c r="F266" i="35" s="1"/>
  <c r="C266" i="35" s="1"/>
  <c r="O265" i="35"/>
  <c r="L265" i="35"/>
  <c r="I265" i="35"/>
  <c r="C265" i="35" s="1"/>
  <c r="F265" i="35"/>
  <c r="O264" i="35"/>
  <c r="L264" i="35"/>
  <c r="C264" i="35" s="1"/>
  <c r="I264" i="35"/>
  <c r="F264" i="35"/>
  <c r="O263" i="35"/>
  <c r="L263" i="35"/>
  <c r="I263" i="35"/>
  <c r="F263" i="35"/>
  <c r="C263" i="35"/>
  <c r="N262" i="35"/>
  <c r="M262" i="35"/>
  <c r="O262" i="35" s="1"/>
  <c r="L262" i="35"/>
  <c r="K262" i="35"/>
  <c r="J262" i="35"/>
  <c r="H262" i="35"/>
  <c r="H261" i="35" s="1"/>
  <c r="I261" i="35" s="1"/>
  <c r="G262" i="35"/>
  <c r="E262" i="35"/>
  <c r="D262" i="35"/>
  <c r="D261" i="35" s="1"/>
  <c r="F261" i="35" s="1"/>
  <c r="N261" i="35"/>
  <c r="M261" i="35"/>
  <c r="O261" i="35" s="1"/>
  <c r="K261" i="35"/>
  <c r="J261" i="35"/>
  <c r="L261" i="35" s="1"/>
  <c r="G261" i="35"/>
  <c r="E261" i="35"/>
  <c r="O260" i="35"/>
  <c r="L260" i="35"/>
  <c r="C260" i="35" s="1"/>
  <c r="I260" i="35"/>
  <c r="F260" i="35"/>
  <c r="O259" i="35"/>
  <c r="L259" i="35"/>
  <c r="I259" i="35"/>
  <c r="F259" i="35"/>
  <c r="C259" i="35"/>
  <c r="O258" i="35"/>
  <c r="L258" i="35"/>
  <c r="I258" i="35"/>
  <c r="F258" i="35"/>
  <c r="C258" i="35" s="1"/>
  <c r="O257" i="35"/>
  <c r="L257" i="35"/>
  <c r="I257" i="35"/>
  <c r="C257" i="35" s="1"/>
  <c r="F257" i="35"/>
  <c r="O256" i="35"/>
  <c r="L256" i="35"/>
  <c r="C256" i="35" s="1"/>
  <c r="I256" i="35"/>
  <c r="F256" i="35"/>
  <c r="O255" i="35"/>
  <c r="N255" i="35"/>
  <c r="M255" i="35"/>
  <c r="K255" i="35"/>
  <c r="K254" i="35" s="1"/>
  <c r="L254" i="35" s="1"/>
  <c r="J255" i="35"/>
  <c r="H255" i="35"/>
  <c r="G255" i="35"/>
  <c r="G254" i="35" s="1"/>
  <c r="I254" i="35" s="1"/>
  <c r="E255" i="35"/>
  <c r="D255" i="35"/>
  <c r="F255" i="35" s="1"/>
  <c r="N254" i="35"/>
  <c r="M254" i="35"/>
  <c r="O254" i="35" s="1"/>
  <c r="J254" i="35"/>
  <c r="H254" i="35"/>
  <c r="E254" i="35"/>
  <c r="D254" i="35"/>
  <c r="F254" i="35" s="1"/>
  <c r="C254" i="35" s="1"/>
  <c r="O253" i="35"/>
  <c r="L253" i="35"/>
  <c r="I253" i="35"/>
  <c r="C253" i="35" s="1"/>
  <c r="F253" i="35"/>
  <c r="O252" i="35"/>
  <c r="L252" i="35"/>
  <c r="C252" i="35" s="1"/>
  <c r="I252" i="35"/>
  <c r="F252" i="35"/>
  <c r="O251" i="35"/>
  <c r="L251" i="35"/>
  <c r="I251" i="35"/>
  <c r="F251" i="35"/>
  <c r="C251" i="35"/>
  <c r="O250" i="35"/>
  <c r="L250" i="35"/>
  <c r="I250" i="35"/>
  <c r="F250" i="35"/>
  <c r="C250" i="35" s="1"/>
  <c r="N249" i="35"/>
  <c r="M249" i="35"/>
  <c r="O249" i="35" s="1"/>
  <c r="K249" i="35"/>
  <c r="J249" i="35"/>
  <c r="L249" i="35" s="1"/>
  <c r="I249" i="35"/>
  <c r="H249" i="35"/>
  <c r="G249" i="35"/>
  <c r="E249" i="35"/>
  <c r="F249" i="35" s="1"/>
  <c r="C249" i="35" s="1"/>
  <c r="D249" i="35"/>
  <c r="O248" i="35"/>
  <c r="L248" i="35"/>
  <c r="C248" i="35" s="1"/>
  <c r="I248" i="35"/>
  <c r="F248" i="35"/>
  <c r="O247" i="35"/>
  <c r="L247" i="35"/>
  <c r="I247" i="35"/>
  <c r="F247" i="35"/>
  <c r="C247" i="35"/>
  <c r="O246" i="35"/>
  <c r="L246" i="35"/>
  <c r="I246" i="35"/>
  <c r="F246" i="35"/>
  <c r="C246" i="35" s="1"/>
  <c r="O245" i="35"/>
  <c r="L245" i="35"/>
  <c r="I245" i="35"/>
  <c r="C245" i="35" s="1"/>
  <c r="F245" i="35"/>
  <c r="O244" i="35"/>
  <c r="L244" i="35"/>
  <c r="C244" i="35" s="1"/>
  <c r="I244" i="35"/>
  <c r="F244" i="35"/>
  <c r="O243" i="35"/>
  <c r="L243" i="35"/>
  <c r="I243" i="35"/>
  <c r="F243" i="35"/>
  <c r="C243" i="35"/>
  <c r="O242" i="35"/>
  <c r="L242" i="35"/>
  <c r="I242" i="35"/>
  <c r="F242" i="35"/>
  <c r="C242" i="35" s="1"/>
  <c r="N241" i="35"/>
  <c r="M241" i="35"/>
  <c r="O241" i="35" s="1"/>
  <c r="K241" i="35"/>
  <c r="J241" i="35"/>
  <c r="L241" i="35" s="1"/>
  <c r="I241" i="35"/>
  <c r="H241" i="35"/>
  <c r="G241" i="35"/>
  <c r="E241" i="35"/>
  <c r="F241" i="35" s="1"/>
  <c r="C241" i="35" s="1"/>
  <c r="D241" i="35"/>
  <c r="O240" i="35"/>
  <c r="L240" i="35"/>
  <c r="C240" i="35" s="1"/>
  <c r="I240" i="35"/>
  <c r="F240" i="35"/>
  <c r="O239" i="35"/>
  <c r="L239" i="35"/>
  <c r="I239" i="35"/>
  <c r="F239" i="35"/>
  <c r="C239" i="35"/>
  <c r="N238" i="35"/>
  <c r="M238" i="35"/>
  <c r="O238" i="35" s="1"/>
  <c r="L238" i="35"/>
  <c r="K238" i="35"/>
  <c r="J238" i="35"/>
  <c r="H238" i="35"/>
  <c r="I238" i="35" s="1"/>
  <c r="G238" i="35"/>
  <c r="E238" i="35"/>
  <c r="D238" i="35"/>
  <c r="F238" i="35" s="1"/>
  <c r="O237" i="35"/>
  <c r="L237" i="35"/>
  <c r="I237" i="35"/>
  <c r="C237" i="35" s="1"/>
  <c r="F237" i="35"/>
  <c r="N236" i="35"/>
  <c r="N234" i="35" s="1"/>
  <c r="N233" i="35" s="1"/>
  <c r="M236" i="35"/>
  <c r="K236" i="35"/>
  <c r="K234" i="35" s="1"/>
  <c r="K233" i="35" s="1"/>
  <c r="J236" i="35"/>
  <c r="L236" i="35" s="1"/>
  <c r="H236" i="35"/>
  <c r="G236" i="35"/>
  <c r="I236" i="35" s="1"/>
  <c r="F236" i="35"/>
  <c r="E236" i="35"/>
  <c r="D236" i="35"/>
  <c r="O235" i="35"/>
  <c r="L235" i="35"/>
  <c r="I235" i="35"/>
  <c r="F235" i="35"/>
  <c r="C235" i="35"/>
  <c r="M234" i="35"/>
  <c r="H234" i="35"/>
  <c r="H233" i="35" s="1"/>
  <c r="E234" i="35"/>
  <c r="D234" i="35"/>
  <c r="D233" i="35" s="1"/>
  <c r="F233" i="35" s="1"/>
  <c r="M233" i="35"/>
  <c r="E233" i="35"/>
  <c r="O232" i="35"/>
  <c r="L232" i="35"/>
  <c r="C232" i="35" s="1"/>
  <c r="I232" i="35"/>
  <c r="F232" i="35"/>
  <c r="O231" i="35"/>
  <c r="L231" i="35"/>
  <c r="I231" i="35"/>
  <c r="F231" i="35"/>
  <c r="C231" i="35"/>
  <c r="N230" i="35"/>
  <c r="M230" i="35"/>
  <c r="O230" i="35" s="1"/>
  <c r="L230" i="35"/>
  <c r="K230" i="35"/>
  <c r="J230" i="35"/>
  <c r="H230" i="35"/>
  <c r="I230" i="35" s="1"/>
  <c r="G230" i="35"/>
  <c r="E230" i="35"/>
  <c r="D230" i="35"/>
  <c r="F230" i="35" s="1"/>
  <c r="O229" i="35"/>
  <c r="L229" i="35"/>
  <c r="I229" i="35"/>
  <c r="C229" i="35" s="1"/>
  <c r="F229" i="35"/>
  <c r="O228" i="35"/>
  <c r="L228" i="35"/>
  <c r="C228" i="35" s="1"/>
  <c r="I228" i="35"/>
  <c r="F228" i="35"/>
  <c r="O227" i="35"/>
  <c r="L227" i="35"/>
  <c r="I227" i="35"/>
  <c r="F227" i="35"/>
  <c r="C227" i="35"/>
  <c r="O226" i="35"/>
  <c r="L226" i="35"/>
  <c r="I226" i="35"/>
  <c r="F226" i="35"/>
  <c r="C226" i="35" s="1"/>
  <c r="O225" i="35"/>
  <c r="L225" i="35"/>
  <c r="I225" i="35"/>
  <c r="C225" i="35" s="1"/>
  <c r="F225" i="35"/>
  <c r="O224" i="35"/>
  <c r="L224" i="35"/>
  <c r="C224" i="35" s="1"/>
  <c r="I224" i="35"/>
  <c r="F224" i="35"/>
  <c r="O223" i="35"/>
  <c r="L223" i="35"/>
  <c r="I223" i="35"/>
  <c r="F223" i="35"/>
  <c r="C223" i="35"/>
  <c r="O222" i="35"/>
  <c r="L222" i="35"/>
  <c r="I222" i="35"/>
  <c r="F222" i="35"/>
  <c r="C222" i="35" s="1"/>
  <c r="O221" i="35"/>
  <c r="L221" i="35"/>
  <c r="I221" i="35"/>
  <c r="C221" i="35" s="1"/>
  <c r="F221" i="35"/>
  <c r="O220" i="35"/>
  <c r="L220" i="35"/>
  <c r="C220" i="35" s="1"/>
  <c r="I220" i="35"/>
  <c r="F220" i="35"/>
  <c r="O219" i="35"/>
  <c r="N219" i="35"/>
  <c r="M219" i="35"/>
  <c r="K219" i="35"/>
  <c r="L219" i="35" s="1"/>
  <c r="J219" i="35"/>
  <c r="H219" i="35"/>
  <c r="G219" i="35"/>
  <c r="I219" i="35" s="1"/>
  <c r="E219" i="35"/>
  <c r="D219" i="35"/>
  <c r="F219" i="35" s="1"/>
  <c r="C219" i="35" s="1"/>
  <c r="O218" i="35"/>
  <c r="L218" i="35"/>
  <c r="I218" i="35"/>
  <c r="F218" i="35"/>
  <c r="C218" i="35" s="1"/>
  <c r="O217" i="35"/>
  <c r="L217" i="35"/>
  <c r="I217" i="35"/>
  <c r="C217" i="35" s="1"/>
  <c r="F217" i="35"/>
  <c r="O216" i="35"/>
  <c r="L216" i="35"/>
  <c r="C216" i="35" s="1"/>
  <c r="I216" i="35"/>
  <c r="F216" i="35"/>
  <c r="O215" i="35"/>
  <c r="L215" i="35"/>
  <c r="I215" i="35"/>
  <c r="F215" i="35"/>
  <c r="C215" i="35"/>
  <c r="O214" i="35"/>
  <c r="L214" i="35"/>
  <c r="I214" i="35"/>
  <c r="F214" i="35"/>
  <c r="C214" i="35" s="1"/>
  <c r="O213" i="35"/>
  <c r="L213" i="35"/>
  <c r="I213" i="35"/>
  <c r="C213" i="35" s="1"/>
  <c r="F213" i="35"/>
  <c r="O212" i="35"/>
  <c r="L212" i="35"/>
  <c r="C212" i="35" s="1"/>
  <c r="I212" i="35"/>
  <c r="F212" i="35"/>
  <c r="O211" i="35"/>
  <c r="L211" i="35"/>
  <c r="I211" i="35"/>
  <c r="F211" i="35"/>
  <c r="C211" i="35"/>
  <c r="O210" i="35"/>
  <c r="L210" i="35"/>
  <c r="I210" i="35"/>
  <c r="F210" i="35"/>
  <c r="C210" i="35" s="1"/>
  <c r="O209" i="35"/>
  <c r="L209" i="35"/>
  <c r="I209" i="35"/>
  <c r="C209" i="35" s="1"/>
  <c r="F209" i="35"/>
  <c r="N208" i="35"/>
  <c r="N207" i="35" s="1"/>
  <c r="O207" i="35" s="1"/>
  <c r="M208" i="35"/>
  <c r="K208" i="35"/>
  <c r="J208" i="35"/>
  <c r="J207" i="35" s="1"/>
  <c r="L207" i="35" s="1"/>
  <c r="H208" i="35"/>
  <c r="G208" i="35"/>
  <c r="I208" i="35" s="1"/>
  <c r="F208" i="35"/>
  <c r="E208" i="35"/>
  <c r="D208" i="35"/>
  <c r="M207" i="35"/>
  <c r="K207" i="35"/>
  <c r="H207" i="35"/>
  <c r="G207" i="35"/>
  <c r="I207" i="35" s="1"/>
  <c r="E207" i="35"/>
  <c r="D207" i="35"/>
  <c r="F207" i="35" s="1"/>
  <c r="O206" i="35"/>
  <c r="L206" i="35"/>
  <c r="I206" i="35"/>
  <c r="F206" i="35"/>
  <c r="C206" i="35" s="1"/>
  <c r="O205" i="35"/>
  <c r="L205" i="35"/>
  <c r="I205" i="35"/>
  <c r="C205" i="35" s="1"/>
  <c r="F205" i="35"/>
  <c r="O204" i="35"/>
  <c r="L204" i="35"/>
  <c r="C204" i="35" s="1"/>
  <c r="I204" i="35"/>
  <c r="F204" i="35"/>
  <c r="O203" i="35"/>
  <c r="L203" i="35"/>
  <c r="I203" i="35"/>
  <c r="F203" i="35"/>
  <c r="C203" i="35"/>
  <c r="O202" i="35"/>
  <c r="L202" i="35"/>
  <c r="I202" i="35"/>
  <c r="F202" i="35"/>
  <c r="C202" i="35" s="1"/>
  <c r="N201" i="35"/>
  <c r="N199" i="35" s="1"/>
  <c r="N198" i="35" s="1"/>
  <c r="M201" i="35"/>
  <c r="O201" i="35" s="1"/>
  <c r="K201" i="35"/>
  <c r="J201" i="35"/>
  <c r="L201" i="35" s="1"/>
  <c r="I201" i="35"/>
  <c r="H201" i="35"/>
  <c r="G201" i="35"/>
  <c r="E201" i="35"/>
  <c r="E199" i="35" s="1"/>
  <c r="E198" i="35" s="1"/>
  <c r="D201" i="35"/>
  <c r="O200" i="35"/>
  <c r="L200" i="35"/>
  <c r="C200" i="35" s="1"/>
  <c r="I200" i="35"/>
  <c r="F200" i="35"/>
  <c r="K199" i="35"/>
  <c r="K198" i="35" s="1"/>
  <c r="K197" i="35" s="1"/>
  <c r="H199" i="35"/>
  <c r="G199" i="35"/>
  <c r="G198" i="35" s="1"/>
  <c r="D199" i="35"/>
  <c r="H198" i="35"/>
  <c r="H197" i="35" s="1"/>
  <c r="D198" i="35"/>
  <c r="D197" i="35" s="1"/>
  <c r="O196" i="35"/>
  <c r="L196" i="35"/>
  <c r="C196" i="35" s="1"/>
  <c r="I196" i="35"/>
  <c r="F196" i="35"/>
  <c r="O195" i="35"/>
  <c r="N195" i="35"/>
  <c r="M195" i="35"/>
  <c r="K195" i="35"/>
  <c r="K194" i="35" s="1"/>
  <c r="L194" i="35" s="1"/>
  <c r="J195" i="35"/>
  <c r="H195" i="35"/>
  <c r="G195" i="35"/>
  <c r="G194" i="35" s="1"/>
  <c r="I194" i="35" s="1"/>
  <c r="E195" i="35"/>
  <c r="D195" i="35"/>
  <c r="F195" i="35" s="1"/>
  <c r="N194" i="35"/>
  <c r="M194" i="35"/>
  <c r="O194" i="35" s="1"/>
  <c r="J194" i="35"/>
  <c r="H194" i="35"/>
  <c r="E194" i="35"/>
  <c r="D194" i="35"/>
  <c r="F194" i="35" s="1"/>
  <c r="C194" i="35" s="1"/>
  <c r="O193" i="35"/>
  <c r="L193" i="35"/>
  <c r="I193" i="35"/>
  <c r="C193" i="35" s="1"/>
  <c r="F193" i="35"/>
  <c r="O192" i="35"/>
  <c r="L192" i="35"/>
  <c r="C192" i="35" s="1"/>
  <c r="I192" i="35"/>
  <c r="F192" i="35"/>
  <c r="O191" i="35"/>
  <c r="N191" i="35"/>
  <c r="M191" i="35"/>
  <c r="K191" i="35"/>
  <c r="K190" i="35" s="1"/>
  <c r="J191" i="35"/>
  <c r="H191" i="35"/>
  <c r="G191" i="35"/>
  <c r="E191" i="35"/>
  <c r="D191" i="35"/>
  <c r="F191" i="35" s="1"/>
  <c r="N190" i="35"/>
  <c r="M190" i="35"/>
  <c r="O190" i="35" s="1"/>
  <c r="J190" i="35"/>
  <c r="H190" i="35"/>
  <c r="E190" i="35"/>
  <c r="D190" i="35"/>
  <c r="F190" i="35" s="1"/>
  <c r="O189" i="35"/>
  <c r="L189" i="35"/>
  <c r="I189" i="35"/>
  <c r="C189" i="35" s="1"/>
  <c r="F189" i="35"/>
  <c r="O188" i="35"/>
  <c r="L188" i="35"/>
  <c r="C188" i="35" s="1"/>
  <c r="I188" i="35"/>
  <c r="F188" i="35"/>
  <c r="O187" i="35"/>
  <c r="N187" i="35"/>
  <c r="M187" i="35"/>
  <c r="K187" i="35"/>
  <c r="L187" i="35" s="1"/>
  <c r="J187" i="35"/>
  <c r="H187" i="35"/>
  <c r="G187" i="35"/>
  <c r="I187" i="35" s="1"/>
  <c r="E187" i="35"/>
  <c r="D187" i="35"/>
  <c r="F187" i="35" s="1"/>
  <c r="C187" i="35" s="1"/>
  <c r="O186" i="35"/>
  <c r="L186" i="35"/>
  <c r="I186" i="35"/>
  <c r="F186" i="35"/>
  <c r="C186" i="35" s="1"/>
  <c r="O185" i="35"/>
  <c r="L185" i="35"/>
  <c r="I185" i="35"/>
  <c r="C185" i="35" s="1"/>
  <c r="F185" i="35"/>
  <c r="O184" i="35"/>
  <c r="L184" i="35"/>
  <c r="C184" i="35" s="1"/>
  <c r="I184" i="35"/>
  <c r="F184" i="35"/>
  <c r="O183" i="35"/>
  <c r="L183" i="35"/>
  <c r="I183" i="35"/>
  <c r="F183" i="35"/>
  <c r="C183" i="35"/>
  <c r="N182" i="35"/>
  <c r="M182" i="35"/>
  <c r="O182" i="35" s="1"/>
  <c r="L182" i="35"/>
  <c r="K182" i="35"/>
  <c r="J182" i="35"/>
  <c r="H182" i="35"/>
  <c r="I182" i="35" s="1"/>
  <c r="G182" i="35"/>
  <c r="E182" i="35"/>
  <c r="D182" i="35"/>
  <c r="F182" i="35" s="1"/>
  <c r="C182" i="35" s="1"/>
  <c r="O181" i="35"/>
  <c r="L181" i="35"/>
  <c r="I181" i="35"/>
  <c r="C181" i="35" s="1"/>
  <c r="F181" i="35"/>
  <c r="O180" i="35"/>
  <c r="L180" i="35"/>
  <c r="C180" i="35" s="1"/>
  <c r="I180" i="35"/>
  <c r="F180" i="35"/>
  <c r="O179" i="35"/>
  <c r="L179" i="35"/>
  <c r="I179" i="35"/>
  <c r="F179" i="35"/>
  <c r="C179" i="35"/>
  <c r="N178" i="35"/>
  <c r="M178" i="35"/>
  <c r="O178" i="35" s="1"/>
  <c r="L178" i="35"/>
  <c r="K178" i="35"/>
  <c r="J178" i="35"/>
  <c r="H178" i="35"/>
  <c r="H177" i="35" s="1"/>
  <c r="G178" i="35"/>
  <c r="E178" i="35"/>
  <c r="D178" i="35"/>
  <c r="D177" i="35" s="1"/>
  <c r="N177" i="35"/>
  <c r="M177" i="35"/>
  <c r="M176" i="35" s="1"/>
  <c r="O176" i="35" s="1"/>
  <c r="K177" i="35"/>
  <c r="J177" i="35"/>
  <c r="L177" i="35" s="1"/>
  <c r="G177" i="35"/>
  <c r="E177" i="35"/>
  <c r="E176" i="35" s="1"/>
  <c r="N176" i="35"/>
  <c r="K176" i="35"/>
  <c r="J176" i="35"/>
  <c r="L176" i="35" s="1"/>
  <c r="G176" i="35"/>
  <c r="O175" i="35"/>
  <c r="L175" i="35"/>
  <c r="I175" i="35"/>
  <c r="F175" i="35"/>
  <c r="C175" i="35"/>
  <c r="O174" i="35"/>
  <c r="L174" i="35"/>
  <c r="I174" i="35"/>
  <c r="F174" i="35"/>
  <c r="C174" i="35" s="1"/>
  <c r="O173" i="35"/>
  <c r="L173" i="35"/>
  <c r="I173" i="35"/>
  <c r="C173" i="35" s="1"/>
  <c r="F173" i="35"/>
  <c r="O172" i="35"/>
  <c r="L172" i="35"/>
  <c r="C172" i="35" s="1"/>
  <c r="I172" i="35"/>
  <c r="F172" i="35"/>
  <c r="O171" i="35"/>
  <c r="L171" i="35"/>
  <c r="I171" i="35"/>
  <c r="F171" i="35"/>
  <c r="C171" i="35"/>
  <c r="O170" i="35"/>
  <c r="L170" i="35"/>
  <c r="I170" i="35"/>
  <c r="F170" i="35"/>
  <c r="C170" i="35" s="1"/>
  <c r="N169" i="35"/>
  <c r="M169" i="35"/>
  <c r="M168" i="35" s="1"/>
  <c r="K169" i="35"/>
  <c r="J169" i="35"/>
  <c r="L169" i="35" s="1"/>
  <c r="I169" i="35"/>
  <c r="H169" i="35"/>
  <c r="G169" i="35"/>
  <c r="E169" i="35"/>
  <c r="E168" i="35" s="1"/>
  <c r="D169" i="35"/>
  <c r="N168" i="35"/>
  <c r="K168" i="35"/>
  <c r="J168" i="35"/>
  <c r="L168" i="35" s="1"/>
  <c r="H168" i="35"/>
  <c r="G168" i="35"/>
  <c r="I168" i="35" s="1"/>
  <c r="D168" i="35"/>
  <c r="O167" i="35"/>
  <c r="L167" i="35"/>
  <c r="I167" i="35"/>
  <c r="F167" i="35"/>
  <c r="C167" i="35"/>
  <c r="O166" i="35"/>
  <c r="L166" i="35"/>
  <c r="I166" i="35"/>
  <c r="F166" i="35"/>
  <c r="C166" i="35" s="1"/>
  <c r="O165" i="35"/>
  <c r="L165" i="35"/>
  <c r="I165" i="35"/>
  <c r="C165" i="35" s="1"/>
  <c r="F165" i="35"/>
  <c r="O164" i="35"/>
  <c r="L164" i="35"/>
  <c r="C164" i="35" s="1"/>
  <c r="I164" i="35"/>
  <c r="F164" i="35"/>
  <c r="O163" i="35"/>
  <c r="N163" i="35"/>
  <c r="M163" i="35"/>
  <c r="K163" i="35"/>
  <c r="L163" i="35" s="1"/>
  <c r="J163" i="35"/>
  <c r="H163" i="35"/>
  <c r="G163" i="35"/>
  <c r="I163" i="35" s="1"/>
  <c r="E163" i="35"/>
  <c r="D163" i="35"/>
  <c r="F163" i="35" s="1"/>
  <c r="O162" i="35"/>
  <c r="L162" i="35"/>
  <c r="I162" i="35"/>
  <c r="F162" i="35"/>
  <c r="C162" i="35" s="1"/>
  <c r="O161" i="35"/>
  <c r="L161" i="35"/>
  <c r="I161" i="35"/>
  <c r="C161" i="35" s="1"/>
  <c r="F161" i="35"/>
  <c r="O160" i="35"/>
  <c r="L160" i="35"/>
  <c r="C160" i="35" s="1"/>
  <c r="I160" i="35"/>
  <c r="F160" i="35"/>
  <c r="O159" i="35"/>
  <c r="L159" i="35"/>
  <c r="I159" i="35"/>
  <c r="F159" i="35"/>
  <c r="C159" i="35"/>
  <c r="O158" i="35"/>
  <c r="L158" i="35"/>
  <c r="I158" i="35"/>
  <c r="F158" i="35"/>
  <c r="C158" i="35" s="1"/>
  <c r="O157" i="35"/>
  <c r="L157" i="35"/>
  <c r="I157" i="35"/>
  <c r="C157" i="35" s="1"/>
  <c r="F157" i="35"/>
  <c r="O156" i="35"/>
  <c r="L156" i="35"/>
  <c r="C156" i="35" s="1"/>
  <c r="I156" i="35"/>
  <c r="F156" i="35"/>
  <c r="O155" i="35"/>
  <c r="L155" i="35"/>
  <c r="I155" i="35"/>
  <c r="F155" i="35"/>
  <c r="C155" i="35"/>
  <c r="N154" i="35"/>
  <c r="M154" i="35"/>
  <c r="O154" i="35" s="1"/>
  <c r="L154" i="35"/>
  <c r="K154" i="35"/>
  <c r="J154" i="35"/>
  <c r="H154" i="35"/>
  <c r="I154" i="35" s="1"/>
  <c r="G154" i="35"/>
  <c r="E154" i="35"/>
  <c r="D154" i="35"/>
  <c r="F154" i="35" s="1"/>
  <c r="C154" i="35" s="1"/>
  <c r="O153" i="35"/>
  <c r="L153" i="35"/>
  <c r="I153" i="35"/>
  <c r="C153" i="35" s="1"/>
  <c r="F153" i="35"/>
  <c r="O152" i="35"/>
  <c r="L152" i="35"/>
  <c r="C152" i="35" s="1"/>
  <c r="I152" i="35"/>
  <c r="F152" i="35"/>
  <c r="O151" i="35"/>
  <c r="L151" i="35"/>
  <c r="I151" i="35"/>
  <c r="F151" i="35"/>
  <c r="C151" i="35"/>
  <c r="O150" i="35"/>
  <c r="L150" i="35"/>
  <c r="I150" i="35"/>
  <c r="F150" i="35"/>
  <c r="C150" i="35" s="1"/>
  <c r="O149" i="35"/>
  <c r="L149" i="35"/>
  <c r="I149" i="35"/>
  <c r="C149" i="35" s="1"/>
  <c r="F149" i="35"/>
  <c r="O148" i="35"/>
  <c r="L148" i="35"/>
  <c r="C148" i="35" s="1"/>
  <c r="I148" i="35"/>
  <c r="F148" i="35"/>
  <c r="O147" i="35"/>
  <c r="N147" i="35"/>
  <c r="M147" i="35"/>
  <c r="K147" i="35"/>
  <c r="L147" i="35" s="1"/>
  <c r="J147" i="35"/>
  <c r="H147" i="35"/>
  <c r="G147" i="35"/>
  <c r="I147" i="35" s="1"/>
  <c r="E147" i="35"/>
  <c r="D147" i="35"/>
  <c r="F147" i="35" s="1"/>
  <c r="O146" i="35"/>
  <c r="L146" i="35"/>
  <c r="I146" i="35"/>
  <c r="F146" i="35"/>
  <c r="C146" i="35" s="1"/>
  <c r="O145" i="35"/>
  <c r="L145" i="35"/>
  <c r="I145" i="35"/>
  <c r="C145" i="35" s="1"/>
  <c r="F145" i="35"/>
  <c r="N144" i="35"/>
  <c r="O144" i="35" s="1"/>
  <c r="M144" i="35"/>
  <c r="K144" i="35"/>
  <c r="J144" i="35"/>
  <c r="L144" i="35" s="1"/>
  <c r="H144" i="35"/>
  <c r="G144" i="35"/>
  <c r="I144" i="35" s="1"/>
  <c r="F144" i="35"/>
  <c r="E144" i="35"/>
  <c r="D144" i="35"/>
  <c r="O143" i="35"/>
  <c r="L143" i="35"/>
  <c r="I143" i="35"/>
  <c r="F143" i="35"/>
  <c r="C143" i="35"/>
  <c r="O142" i="35"/>
  <c r="L142" i="35"/>
  <c r="I142" i="35"/>
  <c r="F142" i="35"/>
  <c r="C142" i="35" s="1"/>
  <c r="O141" i="35"/>
  <c r="L141" i="35"/>
  <c r="I141" i="35"/>
  <c r="C141" i="35" s="1"/>
  <c r="F141" i="35"/>
  <c r="O140" i="35"/>
  <c r="L140" i="35"/>
  <c r="C140" i="35" s="1"/>
  <c r="I140" i="35"/>
  <c r="F140" i="35"/>
  <c r="O139" i="35"/>
  <c r="N139" i="35"/>
  <c r="M139" i="35"/>
  <c r="K139" i="35"/>
  <c r="L139" i="35" s="1"/>
  <c r="J139" i="35"/>
  <c r="H139" i="35"/>
  <c r="G139" i="35"/>
  <c r="I139" i="35" s="1"/>
  <c r="E139" i="35"/>
  <c r="D139" i="35"/>
  <c r="F139" i="35" s="1"/>
  <c r="O138" i="35"/>
  <c r="L138" i="35"/>
  <c r="I138" i="35"/>
  <c r="F138" i="35"/>
  <c r="C138" i="35" s="1"/>
  <c r="O137" i="35"/>
  <c r="L137" i="35"/>
  <c r="I137" i="35"/>
  <c r="F137" i="35"/>
  <c r="C137" i="35" s="1"/>
  <c r="O136" i="35"/>
  <c r="L136" i="35"/>
  <c r="C136" i="35" s="1"/>
  <c r="I136" i="35"/>
  <c r="F136" i="35"/>
  <c r="O135" i="35"/>
  <c r="L135" i="35"/>
  <c r="I135" i="35"/>
  <c r="F135" i="35"/>
  <c r="C135" i="35"/>
  <c r="N134" i="35"/>
  <c r="M134" i="35"/>
  <c r="O134" i="35" s="1"/>
  <c r="L134" i="35"/>
  <c r="K134" i="35"/>
  <c r="J134" i="35"/>
  <c r="H134" i="35"/>
  <c r="H133" i="35" s="1"/>
  <c r="G134" i="35"/>
  <c r="E134" i="35"/>
  <c r="D134" i="35"/>
  <c r="D133" i="35" s="1"/>
  <c r="N133" i="35"/>
  <c r="M133" i="35"/>
  <c r="O133" i="35" s="1"/>
  <c r="K133" i="35"/>
  <c r="J133" i="35"/>
  <c r="L133" i="35" s="1"/>
  <c r="G133" i="35"/>
  <c r="E133" i="35"/>
  <c r="O132" i="35"/>
  <c r="L132" i="35"/>
  <c r="C132" i="35" s="1"/>
  <c r="I132" i="35"/>
  <c r="F132" i="35"/>
  <c r="O131" i="35"/>
  <c r="N131" i="35"/>
  <c r="M131" i="35"/>
  <c r="K131" i="35"/>
  <c r="L131" i="35" s="1"/>
  <c r="J131" i="35"/>
  <c r="H131" i="35"/>
  <c r="G131" i="35"/>
  <c r="I131" i="35" s="1"/>
  <c r="E131" i="35"/>
  <c r="D131" i="35"/>
  <c r="F131" i="35" s="1"/>
  <c r="O130" i="35"/>
  <c r="L130" i="35"/>
  <c r="I130" i="35"/>
  <c r="F130" i="35"/>
  <c r="C130" i="35" s="1"/>
  <c r="O129" i="35"/>
  <c r="L129" i="35"/>
  <c r="I129" i="35"/>
  <c r="C129" i="35" s="1"/>
  <c r="F129" i="35"/>
  <c r="O128" i="35"/>
  <c r="L128" i="35"/>
  <c r="C128" i="35" s="1"/>
  <c r="I128" i="35"/>
  <c r="F128" i="35"/>
  <c r="O127" i="35"/>
  <c r="L127" i="35"/>
  <c r="I127" i="35"/>
  <c r="F127" i="35"/>
  <c r="C127" i="35"/>
  <c r="O126" i="35"/>
  <c r="L126" i="35"/>
  <c r="I126" i="35"/>
  <c r="F126" i="35"/>
  <c r="C126" i="35" s="1"/>
  <c r="N125" i="35"/>
  <c r="M125" i="35"/>
  <c r="O125" i="35" s="1"/>
  <c r="K125" i="35"/>
  <c r="J125" i="35"/>
  <c r="L125" i="35" s="1"/>
  <c r="I125" i="35"/>
  <c r="H125" i="35"/>
  <c r="G125" i="35"/>
  <c r="E125" i="35"/>
  <c r="F125" i="35" s="1"/>
  <c r="D125" i="35"/>
  <c r="O124" i="35"/>
  <c r="L124" i="35"/>
  <c r="C124" i="35" s="1"/>
  <c r="I124" i="35"/>
  <c r="F124" i="35"/>
  <c r="O123" i="35"/>
  <c r="L123" i="35"/>
  <c r="I123" i="35"/>
  <c r="F123" i="35"/>
  <c r="C123" i="35"/>
  <c r="O122" i="35"/>
  <c r="L122" i="35"/>
  <c r="I122" i="35"/>
  <c r="F122" i="35"/>
  <c r="C122" i="35" s="1"/>
  <c r="O121" i="35"/>
  <c r="L121" i="35"/>
  <c r="I121" i="35"/>
  <c r="F121" i="35"/>
  <c r="C121" i="35" s="1"/>
  <c r="O120" i="35"/>
  <c r="L120" i="35"/>
  <c r="C120" i="35" s="1"/>
  <c r="I120" i="35"/>
  <c r="F120" i="35"/>
  <c r="O119" i="35"/>
  <c r="N119" i="35"/>
  <c r="M119" i="35"/>
  <c r="K119" i="35"/>
  <c r="L119" i="35" s="1"/>
  <c r="J119" i="35"/>
  <c r="H119" i="35"/>
  <c r="G119" i="35"/>
  <c r="I119" i="35" s="1"/>
  <c r="E119" i="35"/>
  <c r="D119" i="35"/>
  <c r="F119" i="35" s="1"/>
  <c r="O118" i="35"/>
  <c r="L118" i="35"/>
  <c r="I118" i="35"/>
  <c r="F118" i="35"/>
  <c r="C118" i="35" s="1"/>
  <c r="O117" i="35"/>
  <c r="L117" i="35"/>
  <c r="I117" i="35"/>
  <c r="C117" i="35" s="1"/>
  <c r="F117" i="35"/>
  <c r="O116" i="35"/>
  <c r="L116" i="35"/>
  <c r="I116" i="35"/>
  <c r="F116" i="35"/>
  <c r="C116" i="35" s="1"/>
  <c r="O115" i="35"/>
  <c r="N115" i="35"/>
  <c r="M115" i="35"/>
  <c r="K115" i="35"/>
  <c r="L115" i="35" s="1"/>
  <c r="J115" i="35"/>
  <c r="H115" i="35"/>
  <c r="G115" i="35"/>
  <c r="I115" i="35" s="1"/>
  <c r="E115" i="35"/>
  <c r="D115" i="35"/>
  <c r="F115" i="35" s="1"/>
  <c r="O114" i="35"/>
  <c r="L114" i="35"/>
  <c r="I114" i="35"/>
  <c r="F114" i="35"/>
  <c r="C114" i="35" s="1"/>
  <c r="O113" i="35"/>
  <c r="L113" i="35"/>
  <c r="I113" i="35"/>
  <c r="C113" i="35" s="1"/>
  <c r="F113" i="35"/>
  <c r="O112" i="35"/>
  <c r="L112" i="35"/>
  <c r="C112" i="35" s="1"/>
  <c r="I112" i="35"/>
  <c r="F112" i="35"/>
  <c r="O111" i="35"/>
  <c r="L111" i="35"/>
  <c r="I111" i="35"/>
  <c r="F111" i="35"/>
  <c r="C111" i="35"/>
  <c r="O110" i="35"/>
  <c r="L110" i="35"/>
  <c r="I110" i="35"/>
  <c r="F110" i="35"/>
  <c r="C110" i="35" s="1"/>
  <c r="O109" i="35"/>
  <c r="L109" i="35"/>
  <c r="I109" i="35"/>
  <c r="C109" i="35" s="1"/>
  <c r="F109" i="35"/>
  <c r="O108" i="35"/>
  <c r="L108" i="35"/>
  <c r="I108" i="35"/>
  <c r="F108" i="35"/>
  <c r="C108" i="35" s="1"/>
  <c r="O107" i="35"/>
  <c r="L107" i="35"/>
  <c r="I107" i="35"/>
  <c r="F107" i="35"/>
  <c r="C107" i="35"/>
  <c r="N106" i="35"/>
  <c r="M106" i="35"/>
  <c r="O106" i="35" s="1"/>
  <c r="K106" i="35"/>
  <c r="J106" i="35"/>
  <c r="L106" i="35" s="1"/>
  <c r="H106" i="35"/>
  <c r="I106" i="35" s="1"/>
  <c r="G106" i="35"/>
  <c r="E106" i="35"/>
  <c r="D106" i="35"/>
  <c r="F106" i="35" s="1"/>
  <c r="O105" i="35"/>
  <c r="L105" i="35"/>
  <c r="I105" i="35"/>
  <c r="C105" i="35" s="1"/>
  <c r="F105" i="35"/>
  <c r="O104" i="35"/>
  <c r="L104" i="35"/>
  <c r="I104" i="35"/>
  <c r="F104" i="35"/>
  <c r="C104" i="35" s="1"/>
  <c r="O103" i="35"/>
  <c r="L103" i="35"/>
  <c r="I103" i="35"/>
  <c r="F103" i="35"/>
  <c r="C103" i="35"/>
  <c r="O102" i="35"/>
  <c r="L102" i="35"/>
  <c r="I102" i="35"/>
  <c r="F102" i="35"/>
  <c r="C102" i="35" s="1"/>
  <c r="O101" i="35"/>
  <c r="L101" i="35"/>
  <c r="I101" i="35"/>
  <c r="C101" i="35" s="1"/>
  <c r="F101" i="35"/>
  <c r="O100" i="35"/>
  <c r="L100" i="35"/>
  <c r="I100" i="35"/>
  <c r="F100" i="35"/>
  <c r="C100" i="35" s="1"/>
  <c r="O99" i="35"/>
  <c r="L99" i="35"/>
  <c r="I99" i="35"/>
  <c r="F99" i="35"/>
  <c r="C99" i="35"/>
  <c r="N98" i="35"/>
  <c r="M98" i="35"/>
  <c r="O98" i="35" s="1"/>
  <c r="L98" i="35"/>
  <c r="K98" i="35"/>
  <c r="J98" i="35"/>
  <c r="H98" i="35"/>
  <c r="I98" i="35" s="1"/>
  <c r="G98" i="35"/>
  <c r="E98" i="35"/>
  <c r="D98" i="35"/>
  <c r="F98" i="35" s="1"/>
  <c r="C98" i="35" s="1"/>
  <c r="O97" i="35"/>
  <c r="L97" i="35"/>
  <c r="I97" i="35"/>
  <c r="C97" i="35" s="1"/>
  <c r="F97" i="35"/>
  <c r="O96" i="35"/>
  <c r="L96" i="35"/>
  <c r="I96" i="35"/>
  <c r="F96" i="35"/>
  <c r="C96" i="35" s="1"/>
  <c r="O95" i="35"/>
  <c r="L95" i="35"/>
  <c r="I95" i="35"/>
  <c r="F95" i="35"/>
  <c r="C95" i="35"/>
  <c r="O94" i="35"/>
  <c r="L94" i="35"/>
  <c r="I94" i="35"/>
  <c r="F94" i="35"/>
  <c r="C94" i="35" s="1"/>
  <c r="O93" i="35"/>
  <c r="L93" i="35"/>
  <c r="I93" i="35"/>
  <c r="C93" i="35" s="1"/>
  <c r="F93" i="35"/>
  <c r="N92" i="35"/>
  <c r="O92" i="35" s="1"/>
  <c r="M92" i="35"/>
  <c r="K92" i="35"/>
  <c r="J92" i="35"/>
  <c r="L92" i="35" s="1"/>
  <c r="H92" i="35"/>
  <c r="G92" i="35"/>
  <c r="I92" i="35" s="1"/>
  <c r="F92" i="35"/>
  <c r="C92" i="35" s="1"/>
  <c r="E92" i="35"/>
  <c r="D92" i="35"/>
  <c r="O91" i="35"/>
  <c r="L91" i="35"/>
  <c r="I91" i="35"/>
  <c r="F91" i="35"/>
  <c r="C91" i="35"/>
  <c r="O90" i="35"/>
  <c r="L90" i="35"/>
  <c r="I90" i="35"/>
  <c r="F90" i="35"/>
  <c r="C90" i="35" s="1"/>
  <c r="O89" i="35"/>
  <c r="L89" i="35"/>
  <c r="I89" i="35"/>
  <c r="C89" i="35" s="1"/>
  <c r="F89" i="35"/>
  <c r="O88" i="35"/>
  <c r="L88" i="35"/>
  <c r="C88" i="35" s="1"/>
  <c r="I88" i="35"/>
  <c r="F88" i="35"/>
  <c r="O87" i="35"/>
  <c r="N87" i="35"/>
  <c r="M87" i="35"/>
  <c r="K87" i="35"/>
  <c r="L87" i="35" s="1"/>
  <c r="J87" i="35"/>
  <c r="H87" i="35"/>
  <c r="G87" i="35"/>
  <c r="I87" i="35" s="1"/>
  <c r="E87" i="35"/>
  <c r="D87" i="35"/>
  <c r="F87" i="35" s="1"/>
  <c r="C87" i="35" s="1"/>
  <c r="N86" i="35"/>
  <c r="M86" i="35"/>
  <c r="O86" i="35" s="1"/>
  <c r="K86" i="35"/>
  <c r="J86" i="35"/>
  <c r="L86" i="35" s="1"/>
  <c r="H86" i="35"/>
  <c r="G86" i="35"/>
  <c r="I86" i="35" s="1"/>
  <c r="F86" i="35"/>
  <c r="E86" i="35"/>
  <c r="D86" i="35"/>
  <c r="O85" i="35"/>
  <c r="L85" i="35"/>
  <c r="I85" i="35"/>
  <c r="F85" i="35"/>
  <c r="C85" i="35"/>
  <c r="O84" i="35"/>
  <c r="L84" i="35"/>
  <c r="I84" i="35"/>
  <c r="F84" i="35"/>
  <c r="C84" i="35" s="1"/>
  <c r="N83" i="35"/>
  <c r="M83" i="35"/>
  <c r="O83" i="35" s="1"/>
  <c r="K83" i="35"/>
  <c r="L83" i="35" s="1"/>
  <c r="J83" i="35"/>
  <c r="I83" i="35"/>
  <c r="H83" i="35"/>
  <c r="G83" i="35"/>
  <c r="E83" i="35"/>
  <c r="D83" i="35"/>
  <c r="F83" i="35" s="1"/>
  <c r="O82" i="35"/>
  <c r="L82" i="35"/>
  <c r="I82" i="35"/>
  <c r="F82" i="35"/>
  <c r="C82" i="35" s="1"/>
  <c r="O81" i="35"/>
  <c r="L81" i="35"/>
  <c r="I81" i="35"/>
  <c r="F81" i="35"/>
  <c r="C81" i="35"/>
  <c r="O80" i="35"/>
  <c r="N80" i="35"/>
  <c r="M80" i="35"/>
  <c r="L80" i="35"/>
  <c r="K80" i="35"/>
  <c r="J80" i="35"/>
  <c r="H80" i="35"/>
  <c r="G80" i="35"/>
  <c r="I80" i="35" s="1"/>
  <c r="E80" i="35"/>
  <c r="D80" i="35"/>
  <c r="F80" i="35" s="1"/>
  <c r="N79" i="35"/>
  <c r="M79" i="35"/>
  <c r="O79" i="35" s="1"/>
  <c r="K79" i="35"/>
  <c r="L79" i="35" s="1"/>
  <c r="J79" i="35"/>
  <c r="I79" i="35"/>
  <c r="H79" i="35"/>
  <c r="G79" i="35"/>
  <c r="E79" i="35"/>
  <c r="D79" i="35"/>
  <c r="F79" i="35" s="1"/>
  <c r="N78" i="35"/>
  <c r="K78" i="35"/>
  <c r="J78" i="35"/>
  <c r="L78" i="35" s="1"/>
  <c r="G78" i="35"/>
  <c r="O77" i="35"/>
  <c r="L77" i="35"/>
  <c r="I77" i="35"/>
  <c r="F77" i="35"/>
  <c r="C77" i="35"/>
  <c r="O76" i="35"/>
  <c r="L76" i="35"/>
  <c r="I76" i="35"/>
  <c r="F76" i="35"/>
  <c r="C76" i="35" s="1"/>
  <c r="D76" i="35"/>
  <c r="O75" i="35"/>
  <c r="L75" i="35"/>
  <c r="I75" i="35"/>
  <c r="F75" i="35"/>
  <c r="C75" i="35" s="1"/>
  <c r="O74" i="35"/>
  <c r="L74" i="35"/>
  <c r="I74" i="35"/>
  <c r="F74" i="35"/>
  <c r="C74" i="35"/>
  <c r="O73" i="35"/>
  <c r="L73" i="35"/>
  <c r="I73" i="35"/>
  <c r="F73" i="35"/>
  <c r="C73" i="35" s="1"/>
  <c r="N72" i="35"/>
  <c r="M72" i="35"/>
  <c r="O72" i="35" s="1"/>
  <c r="K72" i="35"/>
  <c r="L72" i="35" s="1"/>
  <c r="J72" i="35"/>
  <c r="H72" i="35"/>
  <c r="G72" i="35"/>
  <c r="I72" i="35" s="1"/>
  <c r="E72" i="35"/>
  <c r="D72" i="35"/>
  <c r="F72" i="35" s="1"/>
  <c r="O71" i="35"/>
  <c r="L71" i="35"/>
  <c r="I71" i="35"/>
  <c r="F71" i="35"/>
  <c r="C71" i="35" s="1"/>
  <c r="N70" i="35"/>
  <c r="O70" i="35" s="1"/>
  <c r="M70" i="35"/>
  <c r="K70" i="35"/>
  <c r="J70" i="35"/>
  <c r="L70" i="35" s="1"/>
  <c r="H70" i="35"/>
  <c r="G70" i="35"/>
  <c r="I70" i="35" s="1"/>
  <c r="C70" i="35" s="1"/>
  <c r="F70" i="35"/>
  <c r="E70" i="35"/>
  <c r="D70" i="35"/>
  <c r="O69" i="35"/>
  <c r="L69" i="35"/>
  <c r="I69" i="35"/>
  <c r="F69" i="35"/>
  <c r="C69" i="35" s="1"/>
  <c r="D69" i="35"/>
  <c r="O68" i="35"/>
  <c r="L68" i="35"/>
  <c r="I68" i="35"/>
  <c r="F68" i="35"/>
  <c r="C68" i="35" s="1"/>
  <c r="O67" i="35"/>
  <c r="L67" i="35"/>
  <c r="I67" i="35"/>
  <c r="F67" i="35"/>
  <c r="C67" i="35"/>
  <c r="O66" i="35"/>
  <c r="L66" i="35"/>
  <c r="I66" i="35"/>
  <c r="F66" i="35"/>
  <c r="C66" i="35" s="1"/>
  <c r="O65" i="35"/>
  <c r="L65" i="35"/>
  <c r="I65" i="35"/>
  <c r="F65" i="35"/>
  <c r="C65" i="35" s="1"/>
  <c r="O64" i="35"/>
  <c r="L64" i="35"/>
  <c r="I64" i="35"/>
  <c r="F64" i="35"/>
  <c r="C64" i="35" s="1"/>
  <c r="O63" i="35"/>
  <c r="L63" i="35"/>
  <c r="I63" i="35"/>
  <c r="F63" i="35"/>
  <c r="C63" i="35"/>
  <c r="O62" i="35"/>
  <c r="L62" i="35"/>
  <c r="I62" i="35"/>
  <c r="F62" i="35"/>
  <c r="C62" i="35" s="1"/>
  <c r="N61" i="35"/>
  <c r="M61" i="35"/>
  <c r="O61" i="35" s="1"/>
  <c r="L61" i="35"/>
  <c r="K61" i="35"/>
  <c r="J61" i="35"/>
  <c r="I61" i="35"/>
  <c r="H61" i="35"/>
  <c r="G61" i="35"/>
  <c r="E61" i="35"/>
  <c r="D61" i="35"/>
  <c r="F61" i="35" s="1"/>
  <c r="C61" i="35" s="1"/>
  <c r="O60" i="35"/>
  <c r="L60" i="35"/>
  <c r="I60" i="35"/>
  <c r="F60" i="35"/>
  <c r="C60" i="35" s="1"/>
  <c r="O59" i="35"/>
  <c r="L59" i="35"/>
  <c r="I59" i="35"/>
  <c r="F59" i="35"/>
  <c r="C59" i="35"/>
  <c r="O58" i="35"/>
  <c r="N58" i="35"/>
  <c r="M58" i="35"/>
  <c r="L58" i="35"/>
  <c r="K58" i="35"/>
  <c r="J58" i="35"/>
  <c r="H58" i="35"/>
  <c r="G58" i="35"/>
  <c r="I58" i="35" s="1"/>
  <c r="E58" i="35"/>
  <c r="D58" i="35"/>
  <c r="F58" i="35" s="1"/>
  <c r="N57" i="35"/>
  <c r="M57" i="35"/>
  <c r="O57" i="35" s="1"/>
  <c r="K57" i="35"/>
  <c r="J57" i="35"/>
  <c r="L57" i="35" s="1"/>
  <c r="I57" i="35"/>
  <c r="H57" i="35"/>
  <c r="G57" i="35"/>
  <c r="E57" i="35"/>
  <c r="D57" i="35"/>
  <c r="F57" i="35" s="1"/>
  <c r="C57" i="35" s="1"/>
  <c r="N56" i="35"/>
  <c r="M56" i="35"/>
  <c r="O56" i="35" s="1"/>
  <c r="K56" i="35"/>
  <c r="J56" i="35"/>
  <c r="L56" i="35" s="1"/>
  <c r="I56" i="35"/>
  <c r="H56" i="35"/>
  <c r="G56" i="35"/>
  <c r="E56" i="35"/>
  <c r="F56" i="35" s="1"/>
  <c r="C56" i="35" s="1"/>
  <c r="D56" i="35"/>
  <c r="N55" i="35"/>
  <c r="J55" i="35"/>
  <c r="O50" i="35"/>
  <c r="C50" i="35"/>
  <c r="O49" i="35"/>
  <c r="C49" i="35" s="1"/>
  <c r="N48" i="35"/>
  <c r="M48" i="35"/>
  <c r="L47" i="35"/>
  <c r="I47" i="35"/>
  <c r="F47" i="35"/>
  <c r="C47" i="35" s="1"/>
  <c r="K46" i="35"/>
  <c r="J46" i="35"/>
  <c r="L46" i="35" s="1"/>
  <c r="H46" i="35"/>
  <c r="G46" i="35"/>
  <c r="I46" i="35" s="1"/>
  <c r="F46" i="35"/>
  <c r="E46" i="35"/>
  <c r="D46" i="35"/>
  <c r="F45" i="35"/>
  <c r="C45" i="35" s="1"/>
  <c r="L44" i="35"/>
  <c r="C44" i="35"/>
  <c r="L43" i="35"/>
  <c r="C43" i="35" s="1"/>
  <c r="L42" i="35"/>
  <c r="C42" i="35"/>
  <c r="L41" i="35"/>
  <c r="C41" i="35" s="1"/>
  <c r="K40" i="35"/>
  <c r="J40" i="35"/>
  <c r="L40" i="35" s="1"/>
  <c r="C40" i="35" s="1"/>
  <c r="L39" i="35"/>
  <c r="C39" i="35"/>
  <c r="L38" i="35"/>
  <c r="C38" i="35" s="1"/>
  <c r="K37" i="35"/>
  <c r="J37" i="35"/>
  <c r="L37" i="35" s="1"/>
  <c r="C37" i="35" s="1"/>
  <c r="L36" i="35"/>
  <c r="C36" i="35"/>
  <c r="L35" i="35"/>
  <c r="K35" i="35"/>
  <c r="J35" i="35"/>
  <c r="C35" i="35"/>
  <c r="L34" i="35"/>
  <c r="C34" i="35" s="1"/>
  <c r="L33" i="35"/>
  <c r="C33" i="35"/>
  <c r="L32" i="35"/>
  <c r="C32" i="35" s="1"/>
  <c r="K31" i="35"/>
  <c r="J31" i="35"/>
  <c r="L31" i="35" s="1"/>
  <c r="C31" i="35" s="1"/>
  <c r="K30" i="35"/>
  <c r="J30" i="35"/>
  <c r="L30" i="35" s="1"/>
  <c r="C30" i="35" s="1"/>
  <c r="F29" i="35"/>
  <c r="C29" i="35"/>
  <c r="I28" i="35"/>
  <c r="C28" i="35" s="1"/>
  <c r="F28" i="35"/>
  <c r="O27" i="35"/>
  <c r="L27" i="35"/>
  <c r="C27" i="35" s="1"/>
  <c r="I27" i="35"/>
  <c r="F27" i="35"/>
  <c r="O26" i="35"/>
  <c r="L26" i="35"/>
  <c r="I26" i="35"/>
  <c r="F26" i="35"/>
  <c r="C26" i="35"/>
  <c r="N25" i="35"/>
  <c r="N290" i="35" s="1"/>
  <c r="N289" i="35" s="1"/>
  <c r="M25" i="35"/>
  <c r="M290" i="35" s="1"/>
  <c r="L25" i="35"/>
  <c r="K25" i="35"/>
  <c r="K290" i="35" s="1"/>
  <c r="K289" i="35" s="1"/>
  <c r="J25" i="35"/>
  <c r="J290" i="35" s="1"/>
  <c r="H25" i="35"/>
  <c r="I25" i="35" s="1"/>
  <c r="G25" i="35"/>
  <c r="G290" i="35" s="1"/>
  <c r="E25" i="35"/>
  <c r="E290" i="35" s="1"/>
  <c r="E289" i="35" s="1"/>
  <c r="D25" i="35"/>
  <c r="F25" i="35" s="1"/>
  <c r="N24" i="35"/>
  <c r="M24" i="35"/>
  <c r="O24" i="35" s="1"/>
  <c r="K24" i="35"/>
  <c r="J24" i="35"/>
  <c r="L24" i="35" s="1"/>
  <c r="G24" i="35"/>
  <c r="E24" i="35"/>
  <c r="O299" i="34"/>
  <c r="L299" i="34"/>
  <c r="C299" i="34" s="1"/>
  <c r="I299" i="34"/>
  <c r="F299" i="34"/>
  <c r="O298" i="34"/>
  <c r="L298" i="34"/>
  <c r="I298" i="34"/>
  <c r="F298" i="34"/>
  <c r="C298" i="34"/>
  <c r="O297" i="34"/>
  <c r="L297" i="34"/>
  <c r="I297" i="34"/>
  <c r="F297" i="34"/>
  <c r="C297" i="34" s="1"/>
  <c r="O296" i="34"/>
  <c r="L296" i="34"/>
  <c r="I296" i="34"/>
  <c r="F296" i="34"/>
  <c r="C296" i="34" s="1"/>
  <c r="O295" i="34"/>
  <c r="L295" i="34"/>
  <c r="C295" i="34" s="1"/>
  <c r="I295" i="34"/>
  <c r="F295" i="34"/>
  <c r="O294" i="34"/>
  <c r="L294" i="34"/>
  <c r="I294" i="34"/>
  <c r="F294" i="34"/>
  <c r="C294" i="34"/>
  <c r="O293" i="34"/>
  <c r="L293" i="34"/>
  <c r="I293" i="34"/>
  <c r="F293" i="34"/>
  <c r="C293" i="34" s="1"/>
  <c r="O292" i="34"/>
  <c r="L292" i="34"/>
  <c r="I292" i="34"/>
  <c r="F292" i="34"/>
  <c r="C292" i="34" s="1"/>
  <c r="C291" i="34" s="1"/>
  <c r="N291" i="34"/>
  <c r="M291" i="34"/>
  <c r="O291" i="34" s="1"/>
  <c r="K291" i="34"/>
  <c r="J291" i="34"/>
  <c r="L291" i="34" s="1"/>
  <c r="H291" i="34"/>
  <c r="G291" i="34"/>
  <c r="I291" i="34" s="1"/>
  <c r="F291" i="34"/>
  <c r="E291" i="34"/>
  <c r="D291" i="34"/>
  <c r="O286" i="34"/>
  <c r="L286" i="34"/>
  <c r="I286" i="34"/>
  <c r="F286" i="34"/>
  <c r="C286" i="34" s="1"/>
  <c r="O285" i="34"/>
  <c r="L285" i="34"/>
  <c r="I285" i="34"/>
  <c r="F285" i="34"/>
  <c r="C285" i="34" s="1"/>
  <c r="N284" i="34"/>
  <c r="M284" i="34"/>
  <c r="O284" i="34" s="1"/>
  <c r="K284" i="34"/>
  <c r="J284" i="34"/>
  <c r="I284" i="34"/>
  <c r="H284" i="34"/>
  <c r="G284" i="34"/>
  <c r="F284" i="34"/>
  <c r="E284" i="34"/>
  <c r="D284" i="34"/>
  <c r="O283" i="34"/>
  <c r="L283" i="34"/>
  <c r="I283" i="34"/>
  <c r="F283" i="34"/>
  <c r="C283" i="34"/>
  <c r="O282" i="34"/>
  <c r="N282" i="34"/>
  <c r="M282" i="34"/>
  <c r="L282" i="34"/>
  <c r="K282" i="34"/>
  <c r="J282" i="34"/>
  <c r="H282" i="34"/>
  <c r="G282" i="34"/>
  <c r="I282" i="34" s="1"/>
  <c r="E282" i="34"/>
  <c r="D282" i="34"/>
  <c r="F282" i="34" s="1"/>
  <c r="O281" i="34"/>
  <c r="L281" i="34"/>
  <c r="I281" i="34"/>
  <c r="F281" i="34"/>
  <c r="C281" i="34" s="1"/>
  <c r="O280" i="34"/>
  <c r="L280" i="34"/>
  <c r="I280" i="34"/>
  <c r="F280" i="34"/>
  <c r="C280" i="34" s="1"/>
  <c r="O279" i="34"/>
  <c r="O278" i="34" s="1"/>
  <c r="L279" i="34"/>
  <c r="I279" i="34"/>
  <c r="F279" i="34"/>
  <c r="C279" i="34"/>
  <c r="N278" i="34"/>
  <c r="M278" i="34"/>
  <c r="L278" i="34"/>
  <c r="K278" i="34"/>
  <c r="J278" i="34"/>
  <c r="H278" i="34"/>
  <c r="G278" i="34"/>
  <c r="I278" i="34" s="1"/>
  <c r="E278" i="34"/>
  <c r="D278" i="34"/>
  <c r="F278" i="34" s="1"/>
  <c r="C278" i="34" s="1"/>
  <c r="O277" i="34"/>
  <c r="L277" i="34"/>
  <c r="I277" i="34"/>
  <c r="C277" i="34" s="1"/>
  <c r="F277" i="34"/>
  <c r="O276" i="34"/>
  <c r="L276" i="34"/>
  <c r="I276" i="34"/>
  <c r="F276" i="34"/>
  <c r="C276" i="34" s="1"/>
  <c r="O275" i="34"/>
  <c r="L275" i="34"/>
  <c r="I275" i="34"/>
  <c r="F275" i="34"/>
  <c r="C275" i="34"/>
  <c r="N274" i="34"/>
  <c r="O274" i="34" s="1"/>
  <c r="M274" i="34"/>
  <c r="L274" i="34"/>
  <c r="K274" i="34"/>
  <c r="J274" i="34"/>
  <c r="H274" i="34"/>
  <c r="G274" i="34"/>
  <c r="I274" i="34" s="1"/>
  <c r="E274" i="34"/>
  <c r="D274" i="34"/>
  <c r="F274" i="34" s="1"/>
  <c r="O273" i="34"/>
  <c r="L273" i="34"/>
  <c r="I273" i="34"/>
  <c r="C273" i="34" s="1"/>
  <c r="F273" i="34"/>
  <c r="N272" i="34"/>
  <c r="M272" i="34"/>
  <c r="O272" i="34" s="1"/>
  <c r="K272" i="34"/>
  <c r="J272" i="34"/>
  <c r="L272" i="34" s="1"/>
  <c r="H272" i="34"/>
  <c r="G272" i="34"/>
  <c r="I272" i="34" s="1"/>
  <c r="F272" i="34"/>
  <c r="E272" i="34"/>
  <c r="D272" i="34"/>
  <c r="O271" i="34"/>
  <c r="N271" i="34"/>
  <c r="M271" i="34"/>
  <c r="K271" i="34"/>
  <c r="J271" i="34"/>
  <c r="L271" i="34" s="1"/>
  <c r="H271" i="34"/>
  <c r="G271" i="34"/>
  <c r="I271" i="34" s="1"/>
  <c r="E271" i="34"/>
  <c r="D271" i="34"/>
  <c r="F271" i="34" s="1"/>
  <c r="C271" i="34" s="1"/>
  <c r="O270" i="34"/>
  <c r="L270" i="34"/>
  <c r="I270" i="34"/>
  <c r="F270" i="34"/>
  <c r="C270" i="34" s="1"/>
  <c r="O269" i="34"/>
  <c r="L269" i="34"/>
  <c r="I269" i="34"/>
  <c r="C269" i="34" s="1"/>
  <c r="F269" i="34"/>
  <c r="O268" i="34"/>
  <c r="L268" i="34"/>
  <c r="I268" i="34"/>
  <c r="F268" i="34"/>
  <c r="C268" i="34" s="1"/>
  <c r="O267" i="34"/>
  <c r="L267" i="34"/>
  <c r="I267" i="34"/>
  <c r="F267" i="34"/>
  <c r="C267" i="34"/>
  <c r="N266" i="34"/>
  <c r="M266" i="34"/>
  <c r="O266" i="34" s="1"/>
  <c r="K266" i="34"/>
  <c r="J266" i="34"/>
  <c r="L266" i="34" s="1"/>
  <c r="H266" i="34"/>
  <c r="I266" i="34" s="1"/>
  <c r="G266" i="34"/>
  <c r="E266" i="34"/>
  <c r="D266" i="34"/>
  <c r="F266" i="34" s="1"/>
  <c r="O265" i="34"/>
  <c r="L265" i="34"/>
  <c r="I265" i="34"/>
  <c r="C265" i="34" s="1"/>
  <c r="F265" i="34"/>
  <c r="O264" i="34"/>
  <c r="L264" i="34"/>
  <c r="I264" i="34"/>
  <c r="F264" i="34"/>
  <c r="C264" i="34" s="1"/>
  <c r="O263" i="34"/>
  <c r="L263" i="34"/>
  <c r="I263" i="34"/>
  <c r="C263" i="34" s="1"/>
  <c r="F263" i="34"/>
  <c r="N262" i="34"/>
  <c r="M262" i="34"/>
  <c r="O262" i="34" s="1"/>
  <c r="K262" i="34"/>
  <c r="J262" i="34"/>
  <c r="L262" i="34" s="1"/>
  <c r="H262" i="34"/>
  <c r="I262" i="34" s="1"/>
  <c r="G262" i="34"/>
  <c r="E262" i="34"/>
  <c r="D262" i="34"/>
  <c r="F262" i="34" s="1"/>
  <c r="N261" i="34"/>
  <c r="M261" i="34"/>
  <c r="O261" i="34" s="1"/>
  <c r="K261" i="34"/>
  <c r="J261" i="34"/>
  <c r="L261" i="34" s="1"/>
  <c r="H261" i="34"/>
  <c r="G261" i="34"/>
  <c r="I261" i="34" s="1"/>
  <c r="E261" i="34"/>
  <c r="F261" i="34" s="1"/>
  <c r="C261" i="34" s="1"/>
  <c r="D261" i="34"/>
  <c r="O260" i="34"/>
  <c r="L260" i="34"/>
  <c r="I260" i="34"/>
  <c r="F260" i="34"/>
  <c r="C260" i="34"/>
  <c r="O259" i="34"/>
  <c r="L259" i="34"/>
  <c r="I259" i="34"/>
  <c r="F259" i="34"/>
  <c r="C259" i="34" s="1"/>
  <c r="O258" i="34"/>
  <c r="L258" i="34"/>
  <c r="I258" i="34"/>
  <c r="F258" i="34"/>
  <c r="C258" i="34" s="1"/>
  <c r="O257" i="34"/>
  <c r="L257" i="34"/>
  <c r="I257" i="34"/>
  <c r="F257" i="34"/>
  <c r="C257" i="34" s="1"/>
  <c r="O256" i="34"/>
  <c r="L256" i="34"/>
  <c r="I256" i="34"/>
  <c r="F256" i="34"/>
  <c r="C256" i="34"/>
  <c r="N255" i="34"/>
  <c r="M255" i="34"/>
  <c r="O255" i="34" s="1"/>
  <c r="K255" i="34"/>
  <c r="J255" i="34"/>
  <c r="L255" i="34" s="1"/>
  <c r="H255" i="34"/>
  <c r="G255" i="34"/>
  <c r="I255" i="34" s="1"/>
  <c r="E255" i="34"/>
  <c r="D255" i="34"/>
  <c r="F255" i="34" s="1"/>
  <c r="N254" i="34"/>
  <c r="M254" i="34"/>
  <c r="O254" i="34" s="1"/>
  <c r="K254" i="34"/>
  <c r="J254" i="34"/>
  <c r="L254" i="34" s="1"/>
  <c r="H254" i="34"/>
  <c r="G254" i="34"/>
  <c r="I254" i="34" s="1"/>
  <c r="E254" i="34"/>
  <c r="D254" i="34"/>
  <c r="F254" i="34" s="1"/>
  <c r="O253" i="34"/>
  <c r="L253" i="34"/>
  <c r="I253" i="34"/>
  <c r="F253" i="34"/>
  <c r="C253" i="34" s="1"/>
  <c r="O252" i="34"/>
  <c r="L252" i="34"/>
  <c r="I252" i="34"/>
  <c r="F252" i="34"/>
  <c r="C252" i="34"/>
  <c r="O251" i="34"/>
  <c r="L251" i="34"/>
  <c r="I251" i="34"/>
  <c r="F251" i="34"/>
  <c r="C251" i="34" s="1"/>
  <c r="O250" i="34"/>
  <c r="L250" i="34"/>
  <c r="I250" i="34"/>
  <c r="C250" i="34" s="1"/>
  <c r="F250" i="34"/>
  <c r="N249" i="34"/>
  <c r="M249" i="34"/>
  <c r="O249" i="34" s="1"/>
  <c r="K249" i="34"/>
  <c r="J249" i="34"/>
  <c r="L249" i="34" s="1"/>
  <c r="H249" i="34"/>
  <c r="I249" i="34" s="1"/>
  <c r="G249" i="34"/>
  <c r="E249" i="34"/>
  <c r="D249" i="34"/>
  <c r="F249" i="34" s="1"/>
  <c r="C249" i="34" s="1"/>
  <c r="O248" i="34"/>
  <c r="L248" i="34"/>
  <c r="I248" i="34"/>
  <c r="F248" i="34"/>
  <c r="C248" i="34"/>
  <c r="O247" i="34"/>
  <c r="L247" i="34"/>
  <c r="I247" i="34"/>
  <c r="F247" i="34"/>
  <c r="C247" i="34" s="1"/>
  <c r="O246" i="34"/>
  <c r="L246" i="34"/>
  <c r="I246" i="34"/>
  <c r="F246" i="34"/>
  <c r="C246" i="34" s="1"/>
  <c r="O245" i="34"/>
  <c r="L245" i="34"/>
  <c r="I245" i="34"/>
  <c r="F245" i="34"/>
  <c r="C245" i="34" s="1"/>
  <c r="O244" i="34"/>
  <c r="L244" i="34"/>
  <c r="I244" i="34"/>
  <c r="F244" i="34"/>
  <c r="C244" i="34"/>
  <c r="O243" i="34"/>
  <c r="L243" i="34"/>
  <c r="I243" i="34"/>
  <c r="F243" i="34"/>
  <c r="C243" i="34" s="1"/>
  <c r="O242" i="34"/>
  <c r="L242" i="34"/>
  <c r="I242" i="34"/>
  <c r="F242" i="34"/>
  <c r="C242" i="34" s="1"/>
  <c r="N241" i="34"/>
  <c r="M241" i="34"/>
  <c r="O241" i="34" s="1"/>
  <c r="K241" i="34"/>
  <c r="J241" i="34"/>
  <c r="L241" i="34" s="1"/>
  <c r="I241" i="34"/>
  <c r="H241" i="34"/>
  <c r="G241" i="34"/>
  <c r="E241" i="34"/>
  <c r="D241" i="34"/>
  <c r="F241" i="34" s="1"/>
  <c r="O240" i="34"/>
  <c r="L240" i="34"/>
  <c r="I240" i="34"/>
  <c r="F240" i="34"/>
  <c r="C240" i="34"/>
  <c r="O239" i="34"/>
  <c r="L239" i="34"/>
  <c r="I239" i="34"/>
  <c r="F239" i="34"/>
  <c r="C239" i="34" s="1"/>
  <c r="N238" i="34"/>
  <c r="M238" i="34"/>
  <c r="O238" i="34" s="1"/>
  <c r="K238" i="34"/>
  <c r="J238" i="34"/>
  <c r="L238" i="34" s="1"/>
  <c r="H238" i="34"/>
  <c r="I238" i="34" s="1"/>
  <c r="G238" i="34"/>
  <c r="E238" i="34"/>
  <c r="D238" i="34"/>
  <c r="F238" i="34" s="1"/>
  <c r="C238" i="34" s="1"/>
  <c r="O237" i="34"/>
  <c r="L237" i="34"/>
  <c r="I237" i="34"/>
  <c r="C237" i="34" s="1"/>
  <c r="F237" i="34"/>
  <c r="N236" i="34"/>
  <c r="O236" i="34" s="1"/>
  <c r="M236" i="34"/>
  <c r="K236" i="34"/>
  <c r="J236" i="34"/>
  <c r="L236" i="34" s="1"/>
  <c r="H236" i="34"/>
  <c r="G236" i="34"/>
  <c r="I236" i="34" s="1"/>
  <c r="F236" i="34"/>
  <c r="E236" i="34"/>
  <c r="D236" i="34"/>
  <c r="O235" i="34"/>
  <c r="L235" i="34"/>
  <c r="I235" i="34"/>
  <c r="F235" i="34"/>
  <c r="C235" i="34" s="1"/>
  <c r="N234" i="34"/>
  <c r="M234" i="34"/>
  <c r="O234" i="34" s="1"/>
  <c r="K234" i="34"/>
  <c r="J234" i="34"/>
  <c r="L234" i="34" s="1"/>
  <c r="I234" i="34"/>
  <c r="H234" i="34"/>
  <c r="G234" i="34"/>
  <c r="E234" i="34"/>
  <c r="D234" i="34"/>
  <c r="F234" i="34" s="1"/>
  <c r="C234" i="34" s="1"/>
  <c r="N233" i="34"/>
  <c r="M233" i="34"/>
  <c r="O233" i="34" s="1"/>
  <c r="K233" i="34"/>
  <c r="J233" i="34"/>
  <c r="L233" i="34" s="1"/>
  <c r="H233" i="34"/>
  <c r="G233" i="34"/>
  <c r="I233" i="34" s="1"/>
  <c r="F233" i="34"/>
  <c r="E233" i="34"/>
  <c r="D233" i="34"/>
  <c r="O232" i="34"/>
  <c r="L232" i="34"/>
  <c r="I232" i="34"/>
  <c r="F232" i="34"/>
  <c r="C232" i="34"/>
  <c r="O231" i="34"/>
  <c r="L231" i="34"/>
  <c r="I231" i="34"/>
  <c r="F231" i="34"/>
  <c r="C231" i="34" s="1"/>
  <c r="N230" i="34"/>
  <c r="M230" i="34"/>
  <c r="O230" i="34" s="1"/>
  <c r="K230" i="34"/>
  <c r="J230" i="34"/>
  <c r="L230" i="34" s="1"/>
  <c r="I230" i="34"/>
  <c r="H230" i="34"/>
  <c r="G230" i="34"/>
  <c r="E230" i="34"/>
  <c r="D230" i="34"/>
  <c r="F230" i="34" s="1"/>
  <c r="O229" i="34"/>
  <c r="L229" i="34"/>
  <c r="I229" i="34"/>
  <c r="F229" i="34"/>
  <c r="C229" i="34"/>
  <c r="O228" i="34"/>
  <c r="L228" i="34"/>
  <c r="I228" i="34"/>
  <c r="F228" i="34"/>
  <c r="C228" i="34" s="1"/>
  <c r="O227" i="34"/>
  <c r="L227" i="34"/>
  <c r="I227" i="34"/>
  <c r="F227" i="34"/>
  <c r="C227" i="34" s="1"/>
  <c r="O226" i="34"/>
  <c r="L226" i="34"/>
  <c r="I226" i="34"/>
  <c r="F226" i="34"/>
  <c r="C226" i="34" s="1"/>
  <c r="O225" i="34"/>
  <c r="L225" i="34"/>
  <c r="I225" i="34"/>
  <c r="F225" i="34"/>
  <c r="C225" i="34"/>
  <c r="O224" i="34"/>
  <c r="L224" i="34"/>
  <c r="I224" i="34"/>
  <c r="F224" i="34"/>
  <c r="C224" i="34"/>
  <c r="O223" i="34"/>
  <c r="L223" i="34"/>
  <c r="I223" i="34"/>
  <c r="F223" i="34"/>
  <c r="C223" i="34"/>
  <c r="O222" i="34"/>
  <c r="L222" i="34"/>
  <c r="I222" i="34"/>
  <c r="F222" i="34"/>
  <c r="C222" i="34" s="1"/>
  <c r="O221" i="34"/>
  <c r="L221" i="34"/>
  <c r="I221" i="34"/>
  <c r="C221" i="34" s="1"/>
  <c r="F221" i="34"/>
  <c r="O220" i="34"/>
  <c r="L220" i="34"/>
  <c r="I220" i="34"/>
  <c r="F220" i="34"/>
  <c r="C220" i="34" s="1"/>
  <c r="N219" i="34"/>
  <c r="M219" i="34"/>
  <c r="O219" i="34" s="1"/>
  <c r="K219" i="34"/>
  <c r="J219" i="34"/>
  <c r="L219" i="34" s="1"/>
  <c r="H219" i="34"/>
  <c r="G219" i="34"/>
  <c r="I219" i="34" s="1"/>
  <c r="E219" i="34"/>
  <c r="D219" i="34"/>
  <c r="F219" i="34" s="1"/>
  <c r="C219" i="34" s="1"/>
  <c r="O218" i="34"/>
  <c r="L218" i="34"/>
  <c r="I218" i="34"/>
  <c r="F218" i="34"/>
  <c r="C218" i="34" s="1"/>
  <c r="O217" i="34"/>
  <c r="L217" i="34"/>
  <c r="I217" i="34"/>
  <c r="C217" i="34" s="1"/>
  <c r="F217" i="34"/>
  <c r="O216" i="34"/>
  <c r="L216" i="34"/>
  <c r="I216" i="34"/>
  <c r="F216" i="34"/>
  <c r="C216" i="34" s="1"/>
  <c r="O215" i="34"/>
  <c r="L215" i="34"/>
  <c r="I215" i="34"/>
  <c r="F215" i="34"/>
  <c r="C215" i="34"/>
  <c r="O214" i="34"/>
  <c r="L214" i="34"/>
  <c r="I214" i="34"/>
  <c r="F214" i="34"/>
  <c r="C214" i="34" s="1"/>
  <c r="O213" i="34"/>
  <c r="L213" i="34"/>
  <c r="I213" i="34"/>
  <c r="F213" i="34"/>
  <c r="C213" i="34"/>
  <c r="O212" i="34"/>
  <c r="L212" i="34"/>
  <c r="I212" i="34"/>
  <c r="F212" i="34"/>
  <c r="C212" i="34" s="1"/>
  <c r="O211" i="34"/>
  <c r="L211" i="34"/>
  <c r="I211" i="34"/>
  <c r="F211" i="34"/>
  <c r="C211" i="34" s="1"/>
  <c r="O210" i="34"/>
  <c r="L210" i="34"/>
  <c r="I210" i="34"/>
  <c r="F210" i="34"/>
  <c r="C210" i="34" s="1"/>
  <c r="O209" i="34"/>
  <c r="L209" i="34"/>
  <c r="I209" i="34"/>
  <c r="F209" i="34"/>
  <c r="C209" i="34"/>
  <c r="N208" i="34"/>
  <c r="O208" i="34" s="1"/>
  <c r="M208" i="34"/>
  <c r="K208" i="34"/>
  <c r="J208" i="34"/>
  <c r="J207" i="34" s="1"/>
  <c r="H208" i="34"/>
  <c r="H207" i="34" s="1"/>
  <c r="H198" i="34" s="1"/>
  <c r="H197" i="34" s="1"/>
  <c r="G208" i="34"/>
  <c r="I208" i="34" s="1"/>
  <c r="E208" i="34"/>
  <c r="D208" i="34"/>
  <c r="D207" i="34" s="1"/>
  <c r="M207" i="34"/>
  <c r="K207" i="34"/>
  <c r="G207" i="34"/>
  <c r="E207" i="34"/>
  <c r="O206" i="34"/>
  <c r="L206" i="34"/>
  <c r="I206" i="34"/>
  <c r="F206" i="34"/>
  <c r="C206" i="34" s="1"/>
  <c r="O205" i="34"/>
  <c r="L205" i="34"/>
  <c r="I205" i="34"/>
  <c r="F205" i="34"/>
  <c r="C205" i="34"/>
  <c r="O204" i="34"/>
  <c r="L204" i="34"/>
  <c r="I204" i="34"/>
  <c r="F204" i="34"/>
  <c r="C204" i="34" s="1"/>
  <c r="O203" i="34"/>
  <c r="L203" i="34"/>
  <c r="I203" i="34"/>
  <c r="C203" i="34" s="1"/>
  <c r="F203" i="34"/>
  <c r="O202" i="34"/>
  <c r="L202" i="34"/>
  <c r="I202" i="34"/>
  <c r="F202" i="34"/>
  <c r="C202" i="34" s="1"/>
  <c r="O201" i="34"/>
  <c r="N201" i="34"/>
  <c r="M201" i="34"/>
  <c r="K201" i="34"/>
  <c r="J201" i="34"/>
  <c r="L201" i="34" s="1"/>
  <c r="H201" i="34"/>
  <c r="G201" i="34"/>
  <c r="I201" i="34" s="1"/>
  <c r="E201" i="34"/>
  <c r="F201" i="34" s="1"/>
  <c r="D201" i="34"/>
  <c r="O200" i="34"/>
  <c r="L200" i="34"/>
  <c r="I200" i="34"/>
  <c r="F200" i="34"/>
  <c r="C200" i="34" s="1"/>
  <c r="N199" i="34"/>
  <c r="M199" i="34"/>
  <c r="O199" i="34" s="1"/>
  <c r="K199" i="34"/>
  <c r="J199" i="34"/>
  <c r="L199" i="34" s="1"/>
  <c r="H199" i="34"/>
  <c r="G199" i="34"/>
  <c r="I199" i="34" s="1"/>
  <c r="E199" i="34"/>
  <c r="E198" i="34" s="1"/>
  <c r="E197" i="34" s="1"/>
  <c r="D199" i="34"/>
  <c r="F199" i="34" s="1"/>
  <c r="M198" i="34"/>
  <c r="K198" i="34"/>
  <c r="G198" i="34"/>
  <c r="I198" i="34" s="1"/>
  <c r="M197" i="34"/>
  <c r="K197" i="34"/>
  <c r="G197" i="34"/>
  <c r="I197" i="34" s="1"/>
  <c r="O196" i="34"/>
  <c r="L196" i="34"/>
  <c r="I196" i="34"/>
  <c r="F196" i="34"/>
  <c r="C196" i="34" s="1"/>
  <c r="N195" i="34"/>
  <c r="M195" i="34"/>
  <c r="M194" i="34" s="1"/>
  <c r="O194" i="34" s="1"/>
  <c r="K195" i="34"/>
  <c r="J195" i="34"/>
  <c r="L195" i="34" s="1"/>
  <c r="I195" i="34"/>
  <c r="H195" i="34"/>
  <c r="G195" i="34"/>
  <c r="E195" i="34"/>
  <c r="D195" i="34"/>
  <c r="F195" i="34" s="1"/>
  <c r="N194" i="34"/>
  <c r="K194" i="34"/>
  <c r="J194" i="34"/>
  <c r="L194" i="34" s="1"/>
  <c r="H194" i="34"/>
  <c r="G194" i="34"/>
  <c r="I194" i="34" s="1"/>
  <c r="F194" i="34"/>
  <c r="E194" i="34"/>
  <c r="D194" i="34"/>
  <c r="O193" i="34"/>
  <c r="L193" i="34"/>
  <c r="I193" i="34"/>
  <c r="F193" i="34"/>
  <c r="C193" i="34"/>
  <c r="O192" i="34"/>
  <c r="L192" i="34"/>
  <c r="I192" i="34"/>
  <c r="F192" i="34"/>
  <c r="C192" i="34" s="1"/>
  <c r="N191" i="34"/>
  <c r="M191" i="34"/>
  <c r="O191" i="34" s="1"/>
  <c r="K191" i="34"/>
  <c r="J191" i="34"/>
  <c r="L191" i="34" s="1"/>
  <c r="H191" i="34"/>
  <c r="G191" i="34"/>
  <c r="I191" i="34" s="1"/>
  <c r="E191" i="34"/>
  <c r="E190" i="34" s="1"/>
  <c r="D191" i="34"/>
  <c r="N190" i="34"/>
  <c r="L190" i="34"/>
  <c r="K190" i="34"/>
  <c r="J190" i="34"/>
  <c r="H190" i="34"/>
  <c r="G190" i="34"/>
  <c r="I190" i="34" s="1"/>
  <c r="D190" i="34"/>
  <c r="F190" i="34" s="1"/>
  <c r="O189" i="34"/>
  <c r="L189" i="34"/>
  <c r="I189" i="34"/>
  <c r="C189" i="34" s="1"/>
  <c r="F189" i="34"/>
  <c r="O188" i="34"/>
  <c r="L188" i="34"/>
  <c r="I188" i="34"/>
  <c r="F188" i="34"/>
  <c r="C188" i="34" s="1"/>
  <c r="O187" i="34"/>
  <c r="N187" i="34"/>
  <c r="M187" i="34"/>
  <c r="K187" i="34"/>
  <c r="J187" i="34"/>
  <c r="L187" i="34" s="1"/>
  <c r="H187" i="34"/>
  <c r="G187" i="34"/>
  <c r="I187" i="34" s="1"/>
  <c r="E187" i="34"/>
  <c r="F187" i="34" s="1"/>
  <c r="D187" i="34"/>
  <c r="O186" i="34"/>
  <c r="L186" i="34"/>
  <c r="I186" i="34"/>
  <c r="F186" i="34"/>
  <c r="C186" i="34" s="1"/>
  <c r="O185" i="34"/>
  <c r="L185" i="34"/>
  <c r="I185" i="34"/>
  <c r="C185" i="34" s="1"/>
  <c r="F185" i="34"/>
  <c r="O184" i="34"/>
  <c r="L184" i="34"/>
  <c r="I184" i="34"/>
  <c r="F184" i="34"/>
  <c r="C184" i="34" s="1"/>
  <c r="O183" i="34"/>
  <c r="L183" i="34"/>
  <c r="I183" i="34"/>
  <c r="F183" i="34"/>
  <c r="C183" i="34"/>
  <c r="N182" i="34"/>
  <c r="O182" i="34" s="1"/>
  <c r="M182" i="34"/>
  <c r="L182" i="34"/>
  <c r="K182" i="34"/>
  <c r="J182" i="34"/>
  <c r="H182" i="34"/>
  <c r="G182" i="34"/>
  <c r="I182" i="34" s="1"/>
  <c r="E182" i="34"/>
  <c r="D182" i="34"/>
  <c r="F182" i="34" s="1"/>
  <c r="C182" i="34" s="1"/>
  <c r="O181" i="34"/>
  <c r="L181" i="34"/>
  <c r="I181" i="34"/>
  <c r="C181" i="34" s="1"/>
  <c r="F181" i="34"/>
  <c r="O180" i="34"/>
  <c r="L180" i="34"/>
  <c r="I180" i="34"/>
  <c r="F180" i="34"/>
  <c r="C180" i="34" s="1"/>
  <c r="O179" i="34"/>
  <c r="L179" i="34"/>
  <c r="I179" i="34"/>
  <c r="F179" i="34"/>
  <c r="C179" i="34"/>
  <c r="N178" i="34"/>
  <c r="O178" i="34" s="1"/>
  <c r="M178" i="34"/>
  <c r="L178" i="34"/>
  <c r="K178" i="34"/>
  <c r="J178" i="34"/>
  <c r="J177" i="34" s="1"/>
  <c r="H178" i="34"/>
  <c r="H177" i="34" s="1"/>
  <c r="G178" i="34"/>
  <c r="I178" i="34" s="1"/>
  <c r="E178" i="34"/>
  <c r="D178" i="34"/>
  <c r="D177" i="34" s="1"/>
  <c r="M177" i="34"/>
  <c r="M176" i="34" s="1"/>
  <c r="K177" i="34"/>
  <c r="K176" i="34" s="1"/>
  <c r="G177" i="34"/>
  <c r="G176" i="34" s="1"/>
  <c r="E177" i="34"/>
  <c r="E176" i="34" s="1"/>
  <c r="O175" i="34"/>
  <c r="L175" i="34"/>
  <c r="I175" i="34"/>
  <c r="F175" i="34"/>
  <c r="C175" i="34"/>
  <c r="O174" i="34"/>
  <c r="L174" i="34"/>
  <c r="I174" i="34"/>
  <c r="F174" i="34"/>
  <c r="C174" i="34" s="1"/>
  <c r="O173" i="34"/>
  <c r="L173" i="34"/>
  <c r="I173" i="34"/>
  <c r="C173" i="34" s="1"/>
  <c r="F173" i="34"/>
  <c r="O172" i="34"/>
  <c r="L172" i="34"/>
  <c r="I172" i="34"/>
  <c r="F172" i="34"/>
  <c r="C172" i="34" s="1"/>
  <c r="O171" i="34"/>
  <c r="L171" i="34"/>
  <c r="I171" i="34"/>
  <c r="F171" i="34"/>
  <c r="C171" i="34"/>
  <c r="O170" i="34"/>
  <c r="L170" i="34"/>
  <c r="I170" i="34"/>
  <c r="F170" i="34"/>
  <c r="C170" i="34" s="1"/>
  <c r="N169" i="34"/>
  <c r="M169" i="34"/>
  <c r="M168" i="34" s="1"/>
  <c r="O168" i="34" s="1"/>
  <c r="K169" i="34"/>
  <c r="L169" i="34" s="1"/>
  <c r="J169" i="34"/>
  <c r="I169" i="34"/>
  <c r="H169" i="34"/>
  <c r="G169" i="34"/>
  <c r="G168" i="34" s="1"/>
  <c r="I168" i="34" s="1"/>
  <c r="E169" i="34"/>
  <c r="E168" i="34" s="1"/>
  <c r="F168" i="34" s="1"/>
  <c r="D169" i="34"/>
  <c r="F169" i="34" s="1"/>
  <c r="N168" i="34"/>
  <c r="J168" i="34"/>
  <c r="H168" i="34"/>
  <c r="D168" i="34"/>
  <c r="O167" i="34"/>
  <c r="L167" i="34"/>
  <c r="I167" i="34"/>
  <c r="F167" i="34"/>
  <c r="C167" i="34"/>
  <c r="O166" i="34"/>
  <c r="L166" i="34"/>
  <c r="I166" i="34"/>
  <c r="F166" i="34"/>
  <c r="C166" i="34" s="1"/>
  <c r="O165" i="34"/>
  <c r="L165" i="34"/>
  <c r="I165" i="34"/>
  <c r="C165" i="34" s="1"/>
  <c r="F165" i="34"/>
  <c r="O164" i="34"/>
  <c r="L164" i="34"/>
  <c r="I164" i="34"/>
  <c r="F164" i="34"/>
  <c r="C164" i="34" s="1"/>
  <c r="O163" i="34"/>
  <c r="N163" i="34"/>
  <c r="M163" i="34"/>
  <c r="K163" i="34"/>
  <c r="J163" i="34"/>
  <c r="L163" i="34" s="1"/>
  <c r="H163" i="34"/>
  <c r="G163" i="34"/>
  <c r="I163" i="34" s="1"/>
  <c r="E163" i="34"/>
  <c r="F163" i="34" s="1"/>
  <c r="C163" i="34" s="1"/>
  <c r="D163" i="34"/>
  <c r="O162" i="34"/>
  <c r="L162" i="34"/>
  <c r="I162" i="34"/>
  <c r="F162" i="34"/>
  <c r="C162" i="34" s="1"/>
  <c r="O161" i="34"/>
  <c r="L161" i="34"/>
  <c r="I161" i="34"/>
  <c r="C161" i="34" s="1"/>
  <c r="F161" i="34"/>
  <c r="O160" i="34"/>
  <c r="L160" i="34"/>
  <c r="I160" i="34"/>
  <c r="F160" i="34"/>
  <c r="C160" i="34" s="1"/>
  <c r="O159" i="34"/>
  <c r="L159" i="34"/>
  <c r="I159" i="34"/>
  <c r="F159" i="34"/>
  <c r="C159" i="34"/>
  <c r="O158" i="34"/>
  <c r="L158" i="34"/>
  <c r="I158" i="34"/>
  <c r="F158" i="34"/>
  <c r="C158" i="34" s="1"/>
  <c r="O157" i="34"/>
  <c r="L157" i="34"/>
  <c r="I157" i="34"/>
  <c r="C157" i="34" s="1"/>
  <c r="F157" i="34"/>
  <c r="O156" i="34"/>
  <c r="L156" i="34"/>
  <c r="I156" i="34"/>
  <c r="F156" i="34"/>
  <c r="C156" i="34" s="1"/>
  <c r="O155" i="34"/>
  <c r="L155" i="34"/>
  <c r="I155" i="34"/>
  <c r="F155" i="34"/>
  <c r="C155" i="34"/>
  <c r="N154" i="34"/>
  <c r="O154" i="34" s="1"/>
  <c r="M154" i="34"/>
  <c r="L154" i="34"/>
  <c r="K154" i="34"/>
  <c r="J154" i="34"/>
  <c r="H154" i="34"/>
  <c r="G154" i="34"/>
  <c r="I154" i="34" s="1"/>
  <c r="E154" i="34"/>
  <c r="D154" i="34"/>
  <c r="F154" i="34" s="1"/>
  <c r="O153" i="34"/>
  <c r="L153" i="34"/>
  <c r="I153" i="34"/>
  <c r="C153" i="34" s="1"/>
  <c r="F153" i="34"/>
  <c r="O152" i="34"/>
  <c r="L152" i="34"/>
  <c r="I152" i="34"/>
  <c r="F152" i="34"/>
  <c r="C152" i="34" s="1"/>
  <c r="O151" i="34"/>
  <c r="L151" i="34"/>
  <c r="I151" i="34"/>
  <c r="F151" i="34"/>
  <c r="C151" i="34"/>
  <c r="O150" i="34"/>
  <c r="L150" i="34"/>
  <c r="I150" i="34"/>
  <c r="F150" i="34"/>
  <c r="C150" i="34" s="1"/>
  <c r="O149" i="34"/>
  <c r="L149" i="34"/>
  <c r="I149" i="34"/>
  <c r="C149" i="34" s="1"/>
  <c r="F149" i="34"/>
  <c r="O148" i="34"/>
  <c r="L148" i="34"/>
  <c r="I148" i="34"/>
  <c r="F148" i="34"/>
  <c r="C148" i="34" s="1"/>
  <c r="O147" i="34"/>
  <c r="N147" i="34"/>
  <c r="M147" i="34"/>
  <c r="K147" i="34"/>
  <c r="J147" i="34"/>
  <c r="L147" i="34" s="1"/>
  <c r="H147" i="34"/>
  <c r="G147" i="34"/>
  <c r="I147" i="34" s="1"/>
  <c r="E147" i="34"/>
  <c r="F147" i="34" s="1"/>
  <c r="D147" i="34"/>
  <c r="O146" i="34"/>
  <c r="L146" i="34"/>
  <c r="I146" i="34"/>
  <c r="F146" i="34"/>
  <c r="C146" i="34" s="1"/>
  <c r="O145" i="34"/>
  <c r="L145" i="34"/>
  <c r="I145" i="34"/>
  <c r="C145" i="34" s="1"/>
  <c r="F145" i="34"/>
  <c r="N144" i="34"/>
  <c r="M144" i="34"/>
  <c r="O144" i="34" s="1"/>
  <c r="K144" i="34"/>
  <c r="J144" i="34"/>
  <c r="L144" i="34" s="1"/>
  <c r="H144" i="34"/>
  <c r="I144" i="34" s="1"/>
  <c r="G144" i="34"/>
  <c r="F144" i="34"/>
  <c r="E144" i="34"/>
  <c r="D144" i="34"/>
  <c r="O143" i="34"/>
  <c r="L143" i="34"/>
  <c r="I143" i="34"/>
  <c r="F143" i="34"/>
  <c r="C143" i="34"/>
  <c r="O142" i="34"/>
  <c r="L142" i="34"/>
  <c r="I142" i="34"/>
  <c r="F142" i="34"/>
  <c r="C142" i="34" s="1"/>
  <c r="O141" i="34"/>
  <c r="L141" i="34"/>
  <c r="I141" i="34"/>
  <c r="C141" i="34" s="1"/>
  <c r="F141" i="34"/>
  <c r="O140" i="34"/>
  <c r="L140" i="34"/>
  <c r="I140" i="34"/>
  <c r="F140" i="34"/>
  <c r="C140" i="34" s="1"/>
  <c r="O139" i="34"/>
  <c r="N139" i="34"/>
  <c r="M139" i="34"/>
  <c r="K139" i="34"/>
  <c r="K133" i="34" s="1"/>
  <c r="J139" i="34"/>
  <c r="L139" i="34" s="1"/>
  <c r="H139" i="34"/>
  <c r="G139" i="34"/>
  <c r="I139" i="34" s="1"/>
  <c r="E139" i="34"/>
  <c r="F139" i="34" s="1"/>
  <c r="C139" i="34" s="1"/>
  <c r="D139" i="34"/>
  <c r="O138" i="34"/>
  <c r="L138" i="34"/>
  <c r="I138" i="34"/>
  <c r="F138" i="34"/>
  <c r="C138" i="34" s="1"/>
  <c r="O137" i="34"/>
  <c r="L137" i="34"/>
  <c r="I137" i="34"/>
  <c r="C137" i="34" s="1"/>
  <c r="F137" i="34"/>
  <c r="O136" i="34"/>
  <c r="L136" i="34"/>
  <c r="I136" i="34"/>
  <c r="F136" i="34"/>
  <c r="C136" i="34" s="1"/>
  <c r="O135" i="34"/>
  <c r="L135" i="34"/>
  <c r="I135" i="34"/>
  <c r="F135" i="34"/>
  <c r="C135" i="34"/>
  <c r="N134" i="34"/>
  <c r="O134" i="34" s="1"/>
  <c r="M134" i="34"/>
  <c r="L134" i="34"/>
  <c r="K134" i="34"/>
  <c r="J134" i="34"/>
  <c r="J133" i="34" s="1"/>
  <c r="H134" i="34"/>
  <c r="H133" i="34" s="1"/>
  <c r="G134" i="34"/>
  <c r="I134" i="34" s="1"/>
  <c r="E134" i="34"/>
  <c r="D134" i="34"/>
  <c r="D133" i="34" s="1"/>
  <c r="F133" i="34" s="1"/>
  <c r="M133" i="34"/>
  <c r="E133" i="34"/>
  <c r="O132" i="34"/>
  <c r="L132" i="34"/>
  <c r="I132" i="34"/>
  <c r="F132" i="34"/>
  <c r="C132" i="34" s="1"/>
  <c r="O131" i="34"/>
  <c r="N131" i="34"/>
  <c r="M131" i="34"/>
  <c r="K131" i="34"/>
  <c r="J131" i="34"/>
  <c r="L131" i="34" s="1"/>
  <c r="H131" i="34"/>
  <c r="G131" i="34"/>
  <c r="I131" i="34" s="1"/>
  <c r="E131" i="34"/>
  <c r="F131" i="34" s="1"/>
  <c r="D131" i="34"/>
  <c r="O130" i="34"/>
  <c r="L130" i="34"/>
  <c r="I130" i="34"/>
  <c r="F130" i="34"/>
  <c r="C130" i="34" s="1"/>
  <c r="O129" i="34"/>
  <c r="L129" i="34"/>
  <c r="I129" i="34"/>
  <c r="C129" i="34" s="1"/>
  <c r="F129" i="34"/>
  <c r="O128" i="34"/>
  <c r="L128" i="34"/>
  <c r="I128" i="34"/>
  <c r="F128" i="34"/>
  <c r="C128" i="34" s="1"/>
  <c r="O127" i="34"/>
  <c r="L127" i="34"/>
  <c r="I127" i="34"/>
  <c r="F127" i="34"/>
  <c r="C127" i="34"/>
  <c r="O126" i="34"/>
  <c r="L126" i="34"/>
  <c r="I126" i="34"/>
  <c r="F126" i="34"/>
  <c r="C126" i="34" s="1"/>
  <c r="N125" i="34"/>
  <c r="M125" i="34"/>
  <c r="O125" i="34" s="1"/>
  <c r="K125" i="34"/>
  <c r="L125" i="34" s="1"/>
  <c r="J125" i="34"/>
  <c r="I125" i="34"/>
  <c r="H125" i="34"/>
  <c r="G125" i="34"/>
  <c r="E125" i="34"/>
  <c r="D125" i="34"/>
  <c r="F125" i="34" s="1"/>
  <c r="O124" i="34"/>
  <c r="L124" i="34"/>
  <c r="I124" i="34"/>
  <c r="F124" i="34"/>
  <c r="C124" i="34" s="1"/>
  <c r="O123" i="34"/>
  <c r="L123" i="34"/>
  <c r="I123" i="34"/>
  <c r="F123" i="34"/>
  <c r="C123" i="34"/>
  <c r="O122" i="34"/>
  <c r="L122" i="34"/>
  <c r="I122" i="34"/>
  <c r="F122" i="34"/>
  <c r="C122" i="34" s="1"/>
  <c r="O121" i="34"/>
  <c r="L121" i="34"/>
  <c r="I121" i="34"/>
  <c r="C121" i="34" s="1"/>
  <c r="F121" i="34"/>
  <c r="O120" i="34"/>
  <c r="L120" i="34"/>
  <c r="I120" i="34"/>
  <c r="F120" i="34"/>
  <c r="C120" i="34" s="1"/>
  <c r="O119" i="34"/>
  <c r="N119" i="34"/>
  <c r="M119" i="34"/>
  <c r="K119" i="34"/>
  <c r="J119" i="34"/>
  <c r="L119" i="34" s="1"/>
  <c r="H119" i="34"/>
  <c r="G119" i="34"/>
  <c r="I119" i="34" s="1"/>
  <c r="E119" i="34"/>
  <c r="F119" i="34" s="1"/>
  <c r="D119" i="34"/>
  <c r="O118" i="34"/>
  <c r="L118" i="34"/>
  <c r="I118" i="34"/>
  <c r="F118" i="34"/>
  <c r="C118" i="34" s="1"/>
  <c r="O117" i="34"/>
  <c r="L117" i="34"/>
  <c r="I117" i="34"/>
  <c r="C117" i="34" s="1"/>
  <c r="F117" i="34"/>
  <c r="O116" i="34"/>
  <c r="L116" i="34"/>
  <c r="I116" i="34"/>
  <c r="F116" i="34"/>
  <c r="C116" i="34" s="1"/>
  <c r="O115" i="34"/>
  <c r="N115" i="34"/>
  <c r="M115" i="34"/>
  <c r="K115" i="34"/>
  <c r="J115" i="34"/>
  <c r="L115" i="34" s="1"/>
  <c r="H115" i="34"/>
  <c r="G115" i="34"/>
  <c r="I115" i="34" s="1"/>
  <c r="E115" i="34"/>
  <c r="F115" i="34" s="1"/>
  <c r="C115" i="34" s="1"/>
  <c r="D115" i="34"/>
  <c r="O114" i="34"/>
  <c r="L114" i="34"/>
  <c r="I114" i="34"/>
  <c r="F114" i="34"/>
  <c r="C114" i="34" s="1"/>
  <c r="O113" i="34"/>
  <c r="L113" i="34"/>
  <c r="I113" i="34"/>
  <c r="C113" i="34" s="1"/>
  <c r="F113" i="34"/>
  <c r="O112" i="34"/>
  <c r="L112" i="34"/>
  <c r="I112" i="34"/>
  <c r="F112" i="34"/>
  <c r="C112" i="34" s="1"/>
  <c r="O111" i="34"/>
  <c r="L111" i="34"/>
  <c r="I111" i="34"/>
  <c r="F111" i="34"/>
  <c r="C111" i="34"/>
  <c r="O110" i="34"/>
  <c r="L110" i="34"/>
  <c r="I110" i="34"/>
  <c r="F110" i="34"/>
  <c r="C110" i="34" s="1"/>
  <c r="O109" i="34"/>
  <c r="L109" i="34"/>
  <c r="I109" i="34"/>
  <c r="C109" i="34" s="1"/>
  <c r="F109" i="34"/>
  <c r="O108" i="34"/>
  <c r="L108" i="34"/>
  <c r="I108" i="34"/>
  <c r="F108" i="34"/>
  <c r="C108" i="34" s="1"/>
  <c r="O107" i="34"/>
  <c r="L107" i="34"/>
  <c r="I107" i="34"/>
  <c r="F107" i="34"/>
  <c r="C107" i="34"/>
  <c r="N106" i="34"/>
  <c r="O106" i="34" s="1"/>
  <c r="M106" i="34"/>
  <c r="L106" i="34"/>
  <c r="K106" i="34"/>
  <c r="J106" i="34"/>
  <c r="H106" i="34"/>
  <c r="G106" i="34"/>
  <c r="I106" i="34" s="1"/>
  <c r="E106" i="34"/>
  <c r="D106" i="34"/>
  <c r="F106" i="34" s="1"/>
  <c r="C106" i="34" s="1"/>
  <c r="O105" i="34"/>
  <c r="L105" i="34"/>
  <c r="I105" i="34"/>
  <c r="C105" i="34" s="1"/>
  <c r="F105" i="34"/>
  <c r="O104" i="34"/>
  <c r="L104" i="34"/>
  <c r="I104" i="34"/>
  <c r="F104" i="34"/>
  <c r="C104" i="34" s="1"/>
  <c r="O103" i="34"/>
  <c r="L103" i="34"/>
  <c r="I103" i="34"/>
  <c r="F103" i="34"/>
  <c r="C103" i="34"/>
  <c r="O102" i="34"/>
  <c r="L102" i="34"/>
  <c r="I102" i="34"/>
  <c r="F102" i="34"/>
  <c r="C102" i="34" s="1"/>
  <c r="O101" i="34"/>
  <c r="L101" i="34"/>
  <c r="I101" i="34"/>
  <c r="C101" i="34" s="1"/>
  <c r="F101" i="34"/>
  <c r="O100" i="34"/>
  <c r="L100" i="34"/>
  <c r="I100" i="34"/>
  <c r="F100" i="34"/>
  <c r="C100" i="34" s="1"/>
  <c r="O99" i="34"/>
  <c r="L99" i="34"/>
  <c r="I99" i="34"/>
  <c r="F99" i="34"/>
  <c r="C99" i="34"/>
  <c r="N98" i="34"/>
  <c r="O98" i="34" s="1"/>
  <c r="M98" i="34"/>
  <c r="L98" i="34"/>
  <c r="K98" i="34"/>
  <c r="J98" i="34"/>
  <c r="H98" i="34"/>
  <c r="G98" i="34"/>
  <c r="I98" i="34" s="1"/>
  <c r="E98" i="34"/>
  <c r="D98" i="34"/>
  <c r="F98" i="34" s="1"/>
  <c r="O97" i="34"/>
  <c r="L97" i="34"/>
  <c r="I97" i="34"/>
  <c r="F97" i="34"/>
  <c r="C97" i="34" s="1"/>
  <c r="O96" i="34"/>
  <c r="L96" i="34"/>
  <c r="I96" i="34"/>
  <c r="F96" i="34"/>
  <c r="C96" i="34" s="1"/>
  <c r="O95" i="34"/>
  <c r="L95" i="34"/>
  <c r="I95" i="34"/>
  <c r="F95" i="34"/>
  <c r="C95" i="34"/>
  <c r="O94" i="34"/>
  <c r="L94" i="34"/>
  <c r="I94" i="34"/>
  <c r="F94" i="34"/>
  <c r="C94" i="34" s="1"/>
  <c r="O93" i="34"/>
  <c r="L93" i="34"/>
  <c r="I93" i="34"/>
  <c r="F93" i="34"/>
  <c r="C93" i="34" s="1"/>
  <c r="N92" i="34"/>
  <c r="N86" i="34" s="1"/>
  <c r="M92" i="34"/>
  <c r="O92" i="34" s="1"/>
  <c r="K92" i="34"/>
  <c r="J92" i="34"/>
  <c r="L92" i="34" s="1"/>
  <c r="H92" i="34"/>
  <c r="I92" i="34" s="1"/>
  <c r="G92" i="34"/>
  <c r="F92" i="34"/>
  <c r="E92" i="34"/>
  <c r="D92" i="34"/>
  <c r="O91" i="34"/>
  <c r="L91" i="34"/>
  <c r="I91" i="34"/>
  <c r="F91" i="34"/>
  <c r="C91" i="34"/>
  <c r="O90" i="34"/>
  <c r="L90" i="34"/>
  <c r="I90" i="34"/>
  <c r="F90" i="34"/>
  <c r="C90" i="34" s="1"/>
  <c r="O89" i="34"/>
  <c r="L89" i="34"/>
  <c r="I89" i="34"/>
  <c r="C89" i="34" s="1"/>
  <c r="F89" i="34"/>
  <c r="O88" i="34"/>
  <c r="L88" i="34"/>
  <c r="I88" i="34"/>
  <c r="F88" i="34"/>
  <c r="C88" i="34" s="1"/>
  <c r="O87" i="34"/>
  <c r="N87" i="34"/>
  <c r="M87" i="34"/>
  <c r="M86" i="34" s="1"/>
  <c r="O86" i="34" s="1"/>
  <c r="K87" i="34"/>
  <c r="K86" i="34" s="1"/>
  <c r="J87" i="34"/>
  <c r="L87" i="34" s="1"/>
  <c r="H87" i="34"/>
  <c r="G87" i="34"/>
  <c r="G86" i="34" s="1"/>
  <c r="I86" i="34" s="1"/>
  <c r="E87" i="34"/>
  <c r="F87" i="34" s="1"/>
  <c r="D87" i="34"/>
  <c r="H86" i="34"/>
  <c r="D86" i="34"/>
  <c r="O85" i="34"/>
  <c r="L85" i="34"/>
  <c r="I85" i="34"/>
  <c r="F85" i="34"/>
  <c r="C85" i="34" s="1"/>
  <c r="O84" i="34"/>
  <c r="L84" i="34"/>
  <c r="I84" i="34"/>
  <c r="F84" i="34"/>
  <c r="C84" i="34" s="1"/>
  <c r="O83" i="34"/>
  <c r="N83" i="34"/>
  <c r="M83" i="34"/>
  <c r="K83" i="34"/>
  <c r="J83" i="34"/>
  <c r="L83" i="34" s="1"/>
  <c r="H83" i="34"/>
  <c r="G83" i="34"/>
  <c r="I83" i="34" s="1"/>
  <c r="C83" i="34" s="1"/>
  <c r="F83" i="34"/>
  <c r="E83" i="34"/>
  <c r="D83" i="34"/>
  <c r="O82" i="34"/>
  <c r="L82" i="34"/>
  <c r="I82" i="34"/>
  <c r="F82" i="34"/>
  <c r="C82" i="34" s="1"/>
  <c r="O81" i="34"/>
  <c r="L81" i="34"/>
  <c r="I81" i="34"/>
  <c r="F81" i="34"/>
  <c r="C81" i="34" s="1"/>
  <c r="N80" i="34"/>
  <c r="N79" i="34" s="1"/>
  <c r="M80" i="34"/>
  <c r="O80" i="34" s="1"/>
  <c r="K80" i="34"/>
  <c r="J80" i="34"/>
  <c r="J79" i="34" s="1"/>
  <c r="I80" i="34"/>
  <c r="H80" i="34"/>
  <c r="H79" i="34" s="1"/>
  <c r="H78" i="34" s="1"/>
  <c r="G80" i="34"/>
  <c r="F80" i="34"/>
  <c r="E80" i="34"/>
  <c r="D80" i="34"/>
  <c r="D79" i="34" s="1"/>
  <c r="M79" i="34"/>
  <c r="M78" i="34" s="1"/>
  <c r="K79" i="34"/>
  <c r="G79" i="34"/>
  <c r="E79" i="34"/>
  <c r="O77" i="34"/>
  <c r="L77" i="34"/>
  <c r="I77" i="34"/>
  <c r="F77" i="34"/>
  <c r="C77" i="34" s="1"/>
  <c r="O76" i="34"/>
  <c r="L76" i="34"/>
  <c r="I76" i="34"/>
  <c r="F76" i="34"/>
  <c r="C76" i="34" s="1"/>
  <c r="O75" i="34"/>
  <c r="L75" i="34"/>
  <c r="I75" i="34"/>
  <c r="F75" i="34"/>
  <c r="C75" i="34"/>
  <c r="O74" i="34"/>
  <c r="L74" i="34"/>
  <c r="I74" i="34"/>
  <c r="F74" i="34"/>
  <c r="C74" i="34" s="1"/>
  <c r="O73" i="34"/>
  <c r="L73" i="34"/>
  <c r="I73" i="34"/>
  <c r="F73" i="34"/>
  <c r="C73" i="34" s="1"/>
  <c r="N72" i="34"/>
  <c r="N70" i="34" s="1"/>
  <c r="M72" i="34"/>
  <c r="O72" i="34" s="1"/>
  <c r="K72" i="34"/>
  <c r="J72" i="34"/>
  <c r="L72" i="34" s="1"/>
  <c r="I72" i="34"/>
  <c r="H72" i="34"/>
  <c r="G72" i="34"/>
  <c r="F72" i="34"/>
  <c r="E72" i="34"/>
  <c r="E70" i="34" s="1"/>
  <c r="D72" i="34"/>
  <c r="O71" i="34"/>
  <c r="L71" i="34"/>
  <c r="I71" i="34"/>
  <c r="F71" i="34"/>
  <c r="C71" i="34"/>
  <c r="K70" i="34"/>
  <c r="H70" i="34"/>
  <c r="G70" i="34"/>
  <c r="I70" i="34" s="1"/>
  <c r="D70" i="34"/>
  <c r="F70" i="34" s="1"/>
  <c r="O69" i="34"/>
  <c r="L69" i="34"/>
  <c r="I69" i="34"/>
  <c r="F69" i="34"/>
  <c r="C69" i="34" s="1"/>
  <c r="O68" i="34"/>
  <c r="L68" i="34"/>
  <c r="I68" i="34"/>
  <c r="F68" i="34"/>
  <c r="C68" i="34" s="1"/>
  <c r="O67" i="34"/>
  <c r="L67" i="34"/>
  <c r="I67" i="34"/>
  <c r="F67" i="34"/>
  <c r="C67" i="34"/>
  <c r="O66" i="34"/>
  <c r="L66" i="34"/>
  <c r="I66" i="34"/>
  <c r="F66" i="34"/>
  <c r="C66" i="34" s="1"/>
  <c r="O65" i="34"/>
  <c r="L65" i="34"/>
  <c r="I65" i="34"/>
  <c r="F65" i="34"/>
  <c r="C65" i="34" s="1"/>
  <c r="O64" i="34"/>
  <c r="L64" i="34"/>
  <c r="I64" i="34"/>
  <c r="F64" i="34"/>
  <c r="C64" i="34" s="1"/>
  <c r="O63" i="34"/>
  <c r="L63" i="34"/>
  <c r="I63" i="34"/>
  <c r="F63" i="34"/>
  <c r="C63" i="34"/>
  <c r="O62" i="34"/>
  <c r="L62" i="34"/>
  <c r="I62" i="34"/>
  <c r="F62" i="34"/>
  <c r="C62" i="34" s="1"/>
  <c r="N61" i="34"/>
  <c r="M61" i="34"/>
  <c r="O61" i="34" s="1"/>
  <c r="K61" i="34"/>
  <c r="L61" i="34" s="1"/>
  <c r="J61" i="34"/>
  <c r="I61" i="34"/>
  <c r="H61" i="34"/>
  <c r="G61" i="34"/>
  <c r="E61" i="34"/>
  <c r="D61" i="34"/>
  <c r="F61" i="34" s="1"/>
  <c r="C61" i="34" s="1"/>
  <c r="O60" i="34"/>
  <c r="L60" i="34"/>
  <c r="I60" i="34"/>
  <c r="F60" i="34"/>
  <c r="C60" i="34" s="1"/>
  <c r="O59" i="34"/>
  <c r="L59" i="34"/>
  <c r="I59" i="34"/>
  <c r="F59" i="34"/>
  <c r="C59" i="34"/>
  <c r="O58" i="34"/>
  <c r="N58" i="34"/>
  <c r="N57" i="34" s="1"/>
  <c r="N56" i="34" s="1"/>
  <c r="M58" i="34"/>
  <c r="L58" i="34"/>
  <c r="K58" i="34"/>
  <c r="J58" i="34"/>
  <c r="J57" i="34" s="1"/>
  <c r="H58" i="34"/>
  <c r="H57" i="34" s="1"/>
  <c r="G58" i="34"/>
  <c r="I58" i="34" s="1"/>
  <c r="E58" i="34"/>
  <c r="D58" i="34"/>
  <c r="D57" i="34" s="1"/>
  <c r="M57" i="34"/>
  <c r="K57" i="34"/>
  <c r="K56" i="34" s="1"/>
  <c r="G57" i="34"/>
  <c r="G56" i="34" s="1"/>
  <c r="E57" i="34"/>
  <c r="E56" i="34" s="1"/>
  <c r="O50" i="34"/>
  <c r="C50" i="34"/>
  <c r="O49" i="34"/>
  <c r="C49" i="34" s="1"/>
  <c r="N48" i="34"/>
  <c r="M48" i="34"/>
  <c r="O48" i="34" s="1"/>
  <c r="C48" i="34" s="1"/>
  <c r="L47" i="34"/>
  <c r="I47" i="34"/>
  <c r="F47" i="34"/>
  <c r="C47" i="34" s="1"/>
  <c r="K46" i="34"/>
  <c r="J46" i="34"/>
  <c r="L46" i="34" s="1"/>
  <c r="H46" i="34"/>
  <c r="G46" i="34"/>
  <c r="I46" i="34" s="1"/>
  <c r="F46" i="34"/>
  <c r="E46" i="34"/>
  <c r="D46" i="34"/>
  <c r="F45" i="34"/>
  <c r="C45" i="34" s="1"/>
  <c r="L44" i="34"/>
  <c r="C44" i="34"/>
  <c r="L43" i="34"/>
  <c r="C43" i="34" s="1"/>
  <c r="L42" i="34"/>
  <c r="C42" i="34"/>
  <c r="L41" i="34"/>
  <c r="C41" i="34" s="1"/>
  <c r="K40" i="34"/>
  <c r="J40" i="34"/>
  <c r="L40" i="34" s="1"/>
  <c r="C40" i="34" s="1"/>
  <c r="L39" i="34"/>
  <c r="C39" i="34"/>
  <c r="L38" i="34"/>
  <c r="C38" i="34" s="1"/>
  <c r="K37" i="34"/>
  <c r="J37" i="34"/>
  <c r="L37" i="34" s="1"/>
  <c r="C37" i="34" s="1"/>
  <c r="L36" i="34"/>
  <c r="C36" i="34"/>
  <c r="L35" i="34"/>
  <c r="K35" i="34"/>
  <c r="J35" i="34"/>
  <c r="C35" i="34"/>
  <c r="L34" i="34"/>
  <c r="C34" i="34" s="1"/>
  <c r="L33" i="34"/>
  <c r="C33" i="34"/>
  <c r="L32" i="34"/>
  <c r="C32" i="34" s="1"/>
  <c r="K31" i="34"/>
  <c r="J31" i="34"/>
  <c r="L31" i="34" s="1"/>
  <c r="C31" i="34" s="1"/>
  <c r="K30" i="34"/>
  <c r="J30" i="34"/>
  <c r="L30" i="34" s="1"/>
  <c r="C30" i="34" s="1"/>
  <c r="F29" i="34"/>
  <c r="C29" i="34"/>
  <c r="I28" i="34"/>
  <c r="F28" i="34"/>
  <c r="C28" i="34" s="1"/>
  <c r="O27" i="34"/>
  <c r="L27" i="34"/>
  <c r="I27" i="34"/>
  <c r="F27" i="34"/>
  <c r="C27" i="34"/>
  <c r="O26" i="34"/>
  <c r="L26" i="34"/>
  <c r="I26" i="34"/>
  <c r="F26" i="34"/>
  <c r="C26" i="34" s="1"/>
  <c r="N25" i="34"/>
  <c r="N290" i="34" s="1"/>
  <c r="N289" i="34" s="1"/>
  <c r="M25" i="34"/>
  <c r="M290" i="34" s="1"/>
  <c r="L25" i="34"/>
  <c r="K25" i="34"/>
  <c r="K290" i="34" s="1"/>
  <c r="K289" i="34" s="1"/>
  <c r="J25" i="34"/>
  <c r="J290" i="34" s="1"/>
  <c r="I25" i="34"/>
  <c r="H25" i="34"/>
  <c r="H290" i="34" s="1"/>
  <c r="H289" i="34" s="1"/>
  <c r="G25" i="34"/>
  <c r="G290" i="34" s="1"/>
  <c r="E25" i="34"/>
  <c r="E290" i="34" s="1"/>
  <c r="E289" i="34" s="1"/>
  <c r="D25" i="34"/>
  <c r="D290" i="34" s="1"/>
  <c r="N24" i="34"/>
  <c r="J24" i="34"/>
  <c r="H24" i="34"/>
  <c r="D24" i="34"/>
  <c r="O299" i="33"/>
  <c r="L299" i="33"/>
  <c r="I299" i="33"/>
  <c r="F299" i="33"/>
  <c r="C299" i="33"/>
  <c r="O298" i="33"/>
  <c r="L298" i="33"/>
  <c r="I298" i="33"/>
  <c r="F298" i="33"/>
  <c r="C298" i="33" s="1"/>
  <c r="O297" i="33"/>
  <c r="L297" i="33"/>
  <c r="I297" i="33"/>
  <c r="F297" i="33"/>
  <c r="C297" i="33" s="1"/>
  <c r="O296" i="33"/>
  <c r="L296" i="33"/>
  <c r="I296" i="33"/>
  <c r="F296" i="33"/>
  <c r="C296" i="33" s="1"/>
  <c r="O295" i="33"/>
  <c r="L295" i="33"/>
  <c r="I295" i="33"/>
  <c r="F295" i="33"/>
  <c r="C295" i="33"/>
  <c r="O294" i="33"/>
  <c r="L294" i="33"/>
  <c r="I294" i="33"/>
  <c r="F294" i="33"/>
  <c r="C294" i="33" s="1"/>
  <c r="O293" i="33"/>
  <c r="L293" i="33"/>
  <c r="I293" i="33"/>
  <c r="F293" i="33"/>
  <c r="C293" i="33" s="1"/>
  <c r="O292" i="33"/>
  <c r="L292" i="33"/>
  <c r="I292" i="33"/>
  <c r="F292" i="33"/>
  <c r="C292" i="33" s="1"/>
  <c r="O291" i="33"/>
  <c r="N291" i="33"/>
  <c r="M291" i="33"/>
  <c r="K291" i="33"/>
  <c r="J291" i="33"/>
  <c r="L291" i="33" s="1"/>
  <c r="H291" i="33"/>
  <c r="G291" i="33"/>
  <c r="I291" i="33" s="1"/>
  <c r="F291" i="33"/>
  <c r="E291" i="33"/>
  <c r="D291" i="33"/>
  <c r="O286" i="33"/>
  <c r="L286" i="33"/>
  <c r="I286" i="33"/>
  <c r="F286" i="33"/>
  <c r="C286" i="33" s="1"/>
  <c r="O285" i="33"/>
  <c r="L285" i="33"/>
  <c r="I285" i="33"/>
  <c r="F285" i="33"/>
  <c r="C285" i="33" s="1"/>
  <c r="N284" i="33"/>
  <c r="M284" i="33"/>
  <c r="K284" i="33"/>
  <c r="J284" i="33"/>
  <c r="I284" i="33"/>
  <c r="H284" i="33"/>
  <c r="G284" i="33"/>
  <c r="F284" i="33"/>
  <c r="E284" i="33"/>
  <c r="D284" i="33"/>
  <c r="O283" i="33"/>
  <c r="L283" i="33"/>
  <c r="I283" i="33"/>
  <c r="F283" i="33"/>
  <c r="C283" i="33"/>
  <c r="O282" i="33"/>
  <c r="N282" i="33"/>
  <c r="M282" i="33"/>
  <c r="L282" i="33"/>
  <c r="K282" i="33"/>
  <c r="J282" i="33"/>
  <c r="H282" i="33"/>
  <c r="G282" i="33"/>
  <c r="I282" i="33" s="1"/>
  <c r="E282" i="33"/>
  <c r="D282" i="33"/>
  <c r="F282" i="33" s="1"/>
  <c r="O281" i="33"/>
  <c r="L281" i="33"/>
  <c r="I281" i="33"/>
  <c r="F281" i="33"/>
  <c r="C281" i="33" s="1"/>
  <c r="O280" i="33"/>
  <c r="L280" i="33"/>
  <c r="I280" i="33"/>
  <c r="F280" i="33"/>
  <c r="C280" i="33" s="1"/>
  <c r="O279" i="33"/>
  <c r="O278" i="33" s="1"/>
  <c r="L279" i="33"/>
  <c r="I279" i="33"/>
  <c r="F279" i="33"/>
  <c r="C279" i="33"/>
  <c r="N278" i="33"/>
  <c r="M278" i="33"/>
  <c r="L278" i="33"/>
  <c r="K278" i="33"/>
  <c r="J278" i="33"/>
  <c r="H278" i="33"/>
  <c r="G278" i="33"/>
  <c r="I278" i="33" s="1"/>
  <c r="E278" i="33"/>
  <c r="D278" i="33"/>
  <c r="F278" i="33" s="1"/>
  <c r="C278" i="33" s="1"/>
  <c r="O277" i="33"/>
  <c r="L277" i="33"/>
  <c r="I277" i="33"/>
  <c r="F277" i="33"/>
  <c r="C277" i="33" s="1"/>
  <c r="O276" i="33"/>
  <c r="L276" i="33"/>
  <c r="I276" i="33"/>
  <c r="F276" i="33"/>
  <c r="C276" i="33" s="1"/>
  <c r="O275" i="33"/>
  <c r="L275" i="33"/>
  <c r="I275" i="33"/>
  <c r="F275" i="33"/>
  <c r="C275" i="33"/>
  <c r="O274" i="33"/>
  <c r="N274" i="33"/>
  <c r="M274" i="33"/>
  <c r="L274" i="33"/>
  <c r="K274" i="33"/>
  <c r="J274" i="33"/>
  <c r="H274" i="33"/>
  <c r="H272" i="33" s="1"/>
  <c r="H271" i="33" s="1"/>
  <c r="G274" i="33"/>
  <c r="I274" i="33" s="1"/>
  <c r="E274" i="33"/>
  <c r="D274" i="33"/>
  <c r="F274" i="33" s="1"/>
  <c r="O273" i="33"/>
  <c r="L273" i="33"/>
  <c r="I273" i="33"/>
  <c r="F273" i="33"/>
  <c r="C273" i="33" s="1"/>
  <c r="N272" i="33"/>
  <c r="N271" i="33" s="1"/>
  <c r="O271" i="33" s="1"/>
  <c r="M272" i="33"/>
  <c r="O272" i="33" s="1"/>
  <c r="K272" i="33"/>
  <c r="J272" i="33"/>
  <c r="J271" i="33" s="1"/>
  <c r="L271" i="33" s="1"/>
  <c r="G272" i="33"/>
  <c r="I272" i="33" s="1"/>
  <c r="E272" i="33"/>
  <c r="M271" i="33"/>
  <c r="K271" i="33"/>
  <c r="G271" i="33"/>
  <c r="E271" i="33"/>
  <c r="O270" i="33"/>
  <c r="L270" i="33"/>
  <c r="I270" i="33"/>
  <c r="F270" i="33"/>
  <c r="C270" i="33" s="1"/>
  <c r="O269" i="33"/>
  <c r="L269" i="33"/>
  <c r="I269" i="33"/>
  <c r="F269" i="33"/>
  <c r="C269" i="33" s="1"/>
  <c r="O268" i="33"/>
  <c r="L268" i="33"/>
  <c r="C268" i="33" s="1"/>
  <c r="I268" i="33"/>
  <c r="F268" i="33"/>
  <c r="O267" i="33"/>
  <c r="L267" i="33"/>
  <c r="I267" i="33"/>
  <c r="F267" i="33"/>
  <c r="C267" i="33"/>
  <c r="N266" i="33"/>
  <c r="M266" i="33"/>
  <c r="O266" i="33" s="1"/>
  <c r="L266" i="33"/>
  <c r="K266" i="33"/>
  <c r="J266" i="33"/>
  <c r="H266" i="33"/>
  <c r="G266" i="33"/>
  <c r="I266" i="33" s="1"/>
  <c r="E266" i="33"/>
  <c r="D266" i="33"/>
  <c r="F266" i="33" s="1"/>
  <c r="O265" i="33"/>
  <c r="L265" i="33"/>
  <c r="I265" i="33"/>
  <c r="C265" i="33" s="1"/>
  <c r="F265" i="33"/>
  <c r="O264" i="33"/>
  <c r="L264" i="33"/>
  <c r="I264" i="33"/>
  <c r="F264" i="33"/>
  <c r="C264" i="33" s="1"/>
  <c r="O263" i="33"/>
  <c r="L263" i="33"/>
  <c r="I263" i="33"/>
  <c r="F263" i="33"/>
  <c r="C263" i="33"/>
  <c r="N262" i="33"/>
  <c r="M262" i="33"/>
  <c r="O262" i="33" s="1"/>
  <c r="L262" i="33"/>
  <c r="K262" i="33"/>
  <c r="J262" i="33"/>
  <c r="H262" i="33"/>
  <c r="H261" i="33" s="1"/>
  <c r="I261" i="33" s="1"/>
  <c r="G262" i="33"/>
  <c r="I262" i="33" s="1"/>
  <c r="E262" i="33"/>
  <c r="D262" i="33"/>
  <c r="D261" i="33" s="1"/>
  <c r="F261" i="33" s="1"/>
  <c r="N261" i="33"/>
  <c r="M261" i="33"/>
  <c r="O261" i="33" s="1"/>
  <c r="K261" i="33"/>
  <c r="J261" i="33"/>
  <c r="L261" i="33" s="1"/>
  <c r="G261" i="33"/>
  <c r="E261" i="33"/>
  <c r="O260" i="33"/>
  <c r="L260" i="33"/>
  <c r="C260" i="33" s="1"/>
  <c r="I260" i="33"/>
  <c r="F260" i="33"/>
  <c r="O259" i="33"/>
  <c r="L259" i="33"/>
  <c r="I259" i="33"/>
  <c r="F259" i="33"/>
  <c r="C259" i="33"/>
  <c r="O258" i="33"/>
  <c r="L258" i="33"/>
  <c r="I258" i="33"/>
  <c r="F258" i="33"/>
  <c r="C258" i="33" s="1"/>
  <c r="O257" i="33"/>
  <c r="L257" i="33"/>
  <c r="I257" i="33"/>
  <c r="F257" i="33"/>
  <c r="C257" i="33" s="1"/>
  <c r="O256" i="33"/>
  <c r="L256" i="33"/>
  <c r="C256" i="33" s="1"/>
  <c r="I256" i="33"/>
  <c r="F256" i="33"/>
  <c r="O255" i="33"/>
  <c r="N255" i="33"/>
  <c r="M255" i="33"/>
  <c r="K255" i="33"/>
  <c r="K254" i="33" s="1"/>
  <c r="J255" i="33"/>
  <c r="L255" i="33" s="1"/>
  <c r="H255" i="33"/>
  <c r="G255" i="33"/>
  <c r="G254" i="33" s="1"/>
  <c r="E255" i="33"/>
  <c r="D255" i="33"/>
  <c r="F255" i="33" s="1"/>
  <c r="N254" i="33"/>
  <c r="M254" i="33"/>
  <c r="O254" i="33" s="1"/>
  <c r="J254" i="33"/>
  <c r="H254" i="33"/>
  <c r="E254" i="33"/>
  <c r="D254" i="33"/>
  <c r="F254" i="33" s="1"/>
  <c r="O253" i="33"/>
  <c r="L253" i="33"/>
  <c r="I253" i="33"/>
  <c r="C253" i="33" s="1"/>
  <c r="F253" i="33"/>
  <c r="O252" i="33"/>
  <c r="L252" i="33"/>
  <c r="I252" i="33"/>
  <c r="F252" i="33"/>
  <c r="C252" i="33" s="1"/>
  <c r="O251" i="33"/>
  <c r="L251" i="33"/>
  <c r="I251" i="33"/>
  <c r="F251" i="33"/>
  <c r="C251" i="33"/>
  <c r="O250" i="33"/>
  <c r="L250" i="33"/>
  <c r="I250" i="33"/>
  <c r="F250" i="33"/>
  <c r="C250" i="33" s="1"/>
  <c r="N249" i="33"/>
  <c r="M249" i="33"/>
  <c r="O249" i="33" s="1"/>
  <c r="K249" i="33"/>
  <c r="J249" i="33"/>
  <c r="L249" i="33" s="1"/>
  <c r="I249" i="33"/>
  <c r="H249" i="33"/>
  <c r="G249" i="33"/>
  <c r="E249" i="33"/>
  <c r="D249" i="33"/>
  <c r="F249" i="33" s="1"/>
  <c r="O248" i="33"/>
  <c r="L248" i="33"/>
  <c r="I248" i="33"/>
  <c r="F248" i="33"/>
  <c r="C248" i="33" s="1"/>
  <c r="O247" i="33"/>
  <c r="L247" i="33"/>
  <c r="I247" i="33"/>
  <c r="F247" i="33"/>
  <c r="C247" i="33"/>
  <c r="O246" i="33"/>
  <c r="L246" i="33"/>
  <c r="I246" i="33"/>
  <c r="F246" i="33"/>
  <c r="C246" i="33" s="1"/>
  <c r="O245" i="33"/>
  <c r="L245" i="33"/>
  <c r="I245" i="33"/>
  <c r="F245" i="33"/>
  <c r="C245" i="33" s="1"/>
  <c r="O244" i="33"/>
  <c r="L244" i="33"/>
  <c r="I244" i="33"/>
  <c r="F244" i="33"/>
  <c r="C244" i="33" s="1"/>
  <c r="O243" i="33"/>
  <c r="L243" i="33"/>
  <c r="I243" i="33"/>
  <c r="F243" i="33"/>
  <c r="C243" i="33"/>
  <c r="O242" i="33"/>
  <c r="L242" i="33"/>
  <c r="I242" i="33"/>
  <c r="F242" i="33"/>
  <c r="C242" i="33" s="1"/>
  <c r="N241" i="33"/>
  <c r="M241" i="33"/>
  <c r="O241" i="33" s="1"/>
  <c r="K241" i="33"/>
  <c r="J241" i="33"/>
  <c r="L241" i="33" s="1"/>
  <c r="I241" i="33"/>
  <c r="H241" i="33"/>
  <c r="G241" i="33"/>
  <c r="E241" i="33"/>
  <c r="E234" i="33" s="1"/>
  <c r="E233" i="33" s="1"/>
  <c r="D241" i="33"/>
  <c r="F241" i="33" s="1"/>
  <c r="C241" i="33" s="1"/>
  <c r="O240" i="33"/>
  <c r="L240" i="33"/>
  <c r="I240" i="33"/>
  <c r="F240" i="33"/>
  <c r="C240" i="33" s="1"/>
  <c r="O239" i="33"/>
  <c r="L239" i="33"/>
  <c r="I239" i="33"/>
  <c r="F239" i="33"/>
  <c r="C239" i="33"/>
  <c r="N238" i="33"/>
  <c r="M238" i="33"/>
  <c r="O238" i="33" s="1"/>
  <c r="L238" i="33"/>
  <c r="K238" i="33"/>
  <c r="J238" i="33"/>
  <c r="H238" i="33"/>
  <c r="G238" i="33"/>
  <c r="I238" i="33" s="1"/>
  <c r="E238" i="33"/>
  <c r="D238" i="33"/>
  <c r="F238" i="33" s="1"/>
  <c r="O237" i="33"/>
  <c r="L237" i="33"/>
  <c r="I237" i="33"/>
  <c r="C237" i="33" s="1"/>
  <c r="F237" i="33"/>
  <c r="N236" i="33"/>
  <c r="N234" i="33" s="1"/>
  <c r="N233" i="33" s="1"/>
  <c r="M236" i="33"/>
  <c r="O236" i="33" s="1"/>
  <c r="K236" i="33"/>
  <c r="J236" i="33"/>
  <c r="L236" i="33" s="1"/>
  <c r="H236" i="33"/>
  <c r="G236" i="33"/>
  <c r="I236" i="33" s="1"/>
  <c r="F236" i="33"/>
  <c r="E236" i="33"/>
  <c r="D236" i="33"/>
  <c r="O235" i="33"/>
  <c r="L235" i="33"/>
  <c r="I235" i="33"/>
  <c r="F235" i="33"/>
  <c r="C235" i="33"/>
  <c r="K234" i="33"/>
  <c r="H234" i="33"/>
  <c r="H233" i="33" s="1"/>
  <c r="G234" i="33"/>
  <c r="I234" i="33" s="1"/>
  <c r="D234" i="33"/>
  <c r="D233" i="33" s="1"/>
  <c r="F233" i="33" s="1"/>
  <c r="O232" i="33"/>
  <c r="L232" i="33"/>
  <c r="C232" i="33" s="1"/>
  <c r="I232" i="33"/>
  <c r="F232" i="33"/>
  <c r="O231" i="33"/>
  <c r="L231" i="33"/>
  <c r="I231" i="33"/>
  <c r="F231" i="33"/>
  <c r="C231" i="33"/>
  <c r="N230" i="33"/>
  <c r="M230" i="33"/>
  <c r="O230" i="33" s="1"/>
  <c r="L230" i="33"/>
  <c r="K230" i="33"/>
  <c r="J230" i="33"/>
  <c r="H230" i="33"/>
  <c r="G230" i="33"/>
  <c r="I230" i="33" s="1"/>
  <c r="E230" i="33"/>
  <c r="D230" i="33"/>
  <c r="F230" i="33" s="1"/>
  <c r="O229" i="33"/>
  <c r="L229" i="33"/>
  <c r="I229" i="33"/>
  <c r="F229" i="33"/>
  <c r="C229" i="33" s="1"/>
  <c r="O228" i="33"/>
  <c r="L228" i="33"/>
  <c r="C228" i="33" s="1"/>
  <c r="I228" i="33"/>
  <c r="F228" i="33"/>
  <c r="O227" i="33"/>
  <c r="L227" i="33"/>
  <c r="I227" i="33"/>
  <c r="F227" i="33"/>
  <c r="C227" i="33"/>
  <c r="O226" i="33"/>
  <c r="L226" i="33"/>
  <c r="I226" i="33"/>
  <c r="F226" i="33"/>
  <c r="C226" i="33" s="1"/>
  <c r="O225" i="33"/>
  <c r="L225" i="33"/>
  <c r="I225" i="33"/>
  <c r="F225" i="33"/>
  <c r="C225" i="33" s="1"/>
  <c r="O224" i="33"/>
  <c r="L224" i="33"/>
  <c r="I224" i="33"/>
  <c r="C224" i="33" s="1"/>
  <c r="F224" i="33"/>
  <c r="O223" i="33"/>
  <c r="L223" i="33"/>
  <c r="I223" i="33"/>
  <c r="F223" i="33"/>
  <c r="C223" i="33"/>
  <c r="O222" i="33"/>
  <c r="L222" i="33"/>
  <c r="I222" i="33"/>
  <c r="F222" i="33"/>
  <c r="C222" i="33" s="1"/>
  <c r="O221" i="33"/>
  <c r="L221" i="33"/>
  <c r="I221" i="33"/>
  <c r="F221" i="33"/>
  <c r="C221" i="33" s="1"/>
  <c r="O220" i="33"/>
  <c r="L220" i="33"/>
  <c r="I220" i="33"/>
  <c r="C220" i="33" s="1"/>
  <c r="F220" i="33"/>
  <c r="O219" i="33"/>
  <c r="N219" i="33"/>
  <c r="M219" i="33"/>
  <c r="K219" i="33"/>
  <c r="J219" i="33"/>
  <c r="L219" i="33" s="1"/>
  <c r="H219" i="33"/>
  <c r="G219" i="33"/>
  <c r="I219" i="33" s="1"/>
  <c r="E219" i="33"/>
  <c r="D219" i="33"/>
  <c r="F219" i="33" s="1"/>
  <c r="O218" i="33"/>
  <c r="L218" i="33"/>
  <c r="I218" i="33"/>
  <c r="F218" i="33"/>
  <c r="C218" i="33" s="1"/>
  <c r="O217" i="33"/>
  <c r="L217" i="33"/>
  <c r="I217" i="33"/>
  <c r="F217" i="33"/>
  <c r="C217" i="33" s="1"/>
  <c r="O216" i="33"/>
  <c r="L216" i="33"/>
  <c r="C216" i="33" s="1"/>
  <c r="I216" i="33"/>
  <c r="F216" i="33"/>
  <c r="O215" i="33"/>
  <c r="L215" i="33"/>
  <c r="I215" i="33"/>
  <c r="F215" i="33"/>
  <c r="C215" i="33"/>
  <c r="O214" i="33"/>
  <c r="L214" i="33"/>
  <c r="I214" i="33"/>
  <c r="F214" i="33"/>
  <c r="C214" i="33" s="1"/>
  <c r="O213" i="33"/>
  <c r="L213" i="33"/>
  <c r="I213" i="33"/>
  <c r="F213" i="33"/>
  <c r="C213" i="33" s="1"/>
  <c r="O212" i="33"/>
  <c r="L212" i="33"/>
  <c r="I212" i="33"/>
  <c r="C212" i="33" s="1"/>
  <c r="F212" i="33"/>
  <c r="O211" i="33"/>
  <c r="L211" i="33"/>
  <c r="I211" i="33"/>
  <c r="F211" i="33"/>
  <c r="C211" i="33"/>
  <c r="O210" i="33"/>
  <c r="L210" i="33"/>
  <c r="I210" i="33"/>
  <c r="F210" i="33"/>
  <c r="C210" i="33" s="1"/>
  <c r="O209" i="33"/>
  <c r="L209" i="33"/>
  <c r="I209" i="33"/>
  <c r="C209" i="33" s="1"/>
  <c r="F209" i="33"/>
  <c r="N208" i="33"/>
  <c r="N207" i="33" s="1"/>
  <c r="O207" i="33" s="1"/>
  <c r="M208" i="33"/>
  <c r="O208" i="33" s="1"/>
  <c r="K208" i="33"/>
  <c r="J208" i="33"/>
  <c r="J207" i="33" s="1"/>
  <c r="L207" i="33" s="1"/>
  <c r="H208" i="33"/>
  <c r="G208" i="33"/>
  <c r="I208" i="33" s="1"/>
  <c r="F208" i="33"/>
  <c r="E208" i="33"/>
  <c r="D208" i="33"/>
  <c r="M207" i="33"/>
  <c r="K207" i="33"/>
  <c r="H207" i="33"/>
  <c r="G207" i="33"/>
  <c r="I207" i="33" s="1"/>
  <c r="E207" i="33"/>
  <c r="D207" i="33"/>
  <c r="F207" i="33" s="1"/>
  <c r="O206" i="33"/>
  <c r="L206" i="33"/>
  <c r="I206" i="33"/>
  <c r="F206" i="33"/>
  <c r="C206" i="33" s="1"/>
  <c r="O205" i="33"/>
  <c r="L205" i="33"/>
  <c r="I205" i="33"/>
  <c r="C205" i="33" s="1"/>
  <c r="F205" i="33"/>
  <c r="O204" i="33"/>
  <c r="L204" i="33"/>
  <c r="C204" i="33" s="1"/>
  <c r="I204" i="33"/>
  <c r="F204" i="33"/>
  <c r="O203" i="33"/>
  <c r="L203" i="33"/>
  <c r="I203" i="33"/>
  <c r="F203" i="33"/>
  <c r="C203" i="33"/>
  <c r="O202" i="33"/>
  <c r="L202" i="33"/>
  <c r="I202" i="33"/>
  <c r="F202" i="33"/>
  <c r="C202" i="33" s="1"/>
  <c r="N201" i="33"/>
  <c r="N199" i="33" s="1"/>
  <c r="N198" i="33" s="1"/>
  <c r="N197" i="33" s="1"/>
  <c r="N54" i="33" s="1"/>
  <c r="N53" i="33" s="1"/>
  <c r="M201" i="33"/>
  <c r="O201" i="33" s="1"/>
  <c r="K201" i="33"/>
  <c r="J201" i="33"/>
  <c r="L201" i="33" s="1"/>
  <c r="I201" i="33"/>
  <c r="H201" i="33"/>
  <c r="G201" i="33"/>
  <c r="E201" i="33"/>
  <c r="E199" i="33" s="1"/>
  <c r="E198" i="33" s="1"/>
  <c r="E197" i="33" s="1"/>
  <c r="D201" i="33"/>
  <c r="O200" i="33"/>
  <c r="L200" i="33"/>
  <c r="C200" i="33" s="1"/>
  <c r="I200" i="33"/>
  <c r="F200" i="33"/>
  <c r="K199" i="33"/>
  <c r="K198" i="33" s="1"/>
  <c r="H199" i="33"/>
  <c r="G199" i="33"/>
  <c r="G198" i="33" s="1"/>
  <c r="D199" i="33"/>
  <c r="F199" i="33" s="1"/>
  <c r="H198" i="33"/>
  <c r="H197" i="33" s="1"/>
  <c r="D198" i="33"/>
  <c r="O196" i="33"/>
  <c r="L196" i="33"/>
  <c r="C196" i="33" s="1"/>
  <c r="I196" i="33"/>
  <c r="F196" i="33"/>
  <c r="O195" i="33"/>
  <c r="N195" i="33"/>
  <c r="M195" i="33"/>
  <c r="K195" i="33"/>
  <c r="K194" i="33" s="1"/>
  <c r="L194" i="33" s="1"/>
  <c r="J195" i="33"/>
  <c r="H195" i="33"/>
  <c r="G195" i="33"/>
  <c r="G194" i="33" s="1"/>
  <c r="I194" i="33" s="1"/>
  <c r="E195" i="33"/>
  <c r="D195" i="33"/>
  <c r="F195" i="33" s="1"/>
  <c r="N194" i="33"/>
  <c r="M194" i="33"/>
  <c r="O194" i="33" s="1"/>
  <c r="J194" i="33"/>
  <c r="H194" i="33"/>
  <c r="E194" i="33"/>
  <c r="D194" i="33"/>
  <c r="F194" i="33" s="1"/>
  <c r="O193" i="33"/>
  <c r="L193" i="33"/>
  <c r="I193" i="33"/>
  <c r="C193" i="33" s="1"/>
  <c r="F193" i="33"/>
  <c r="O192" i="33"/>
  <c r="L192" i="33"/>
  <c r="C192" i="33" s="1"/>
  <c r="I192" i="33"/>
  <c r="F192" i="33"/>
  <c r="O191" i="33"/>
  <c r="N191" i="33"/>
  <c r="M191" i="33"/>
  <c r="K191" i="33"/>
  <c r="J191" i="33"/>
  <c r="H191" i="33"/>
  <c r="G191" i="33"/>
  <c r="G190" i="33" s="1"/>
  <c r="E191" i="33"/>
  <c r="D191" i="33"/>
  <c r="F191" i="33" s="1"/>
  <c r="N190" i="33"/>
  <c r="M190" i="33"/>
  <c r="O190" i="33" s="1"/>
  <c r="J190" i="33"/>
  <c r="H190" i="33"/>
  <c r="E190" i="33"/>
  <c r="D190" i="33"/>
  <c r="F190" i="33" s="1"/>
  <c r="O189" i="33"/>
  <c r="L189" i="33"/>
  <c r="I189" i="33"/>
  <c r="C189" i="33" s="1"/>
  <c r="F189" i="33"/>
  <c r="O188" i="33"/>
  <c r="L188" i="33"/>
  <c r="C188" i="33" s="1"/>
  <c r="I188" i="33"/>
  <c r="F188" i="33"/>
  <c r="O187" i="33"/>
  <c r="N187" i="33"/>
  <c r="M187" i="33"/>
  <c r="K187" i="33"/>
  <c r="L187" i="33" s="1"/>
  <c r="J187" i="33"/>
  <c r="H187" i="33"/>
  <c r="G187" i="33"/>
  <c r="I187" i="33" s="1"/>
  <c r="E187" i="33"/>
  <c r="D187" i="33"/>
  <c r="F187" i="33" s="1"/>
  <c r="O186" i="33"/>
  <c r="L186" i="33"/>
  <c r="I186" i="33"/>
  <c r="F186" i="33"/>
  <c r="C186" i="33" s="1"/>
  <c r="O185" i="33"/>
  <c r="L185" i="33"/>
  <c r="I185" i="33"/>
  <c r="C185" i="33" s="1"/>
  <c r="F185" i="33"/>
  <c r="O184" i="33"/>
  <c r="L184" i="33"/>
  <c r="C184" i="33" s="1"/>
  <c r="I184" i="33"/>
  <c r="F184" i="33"/>
  <c r="O183" i="33"/>
  <c r="L183" i="33"/>
  <c r="I183" i="33"/>
  <c r="F183" i="33"/>
  <c r="C183" i="33"/>
  <c r="N182" i="33"/>
  <c r="M182" i="33"/>
  <c r="O182" i="33" s="1"/>
  <c r="L182" i="33"/>
  <c r="K182" i="33"/>
  <c r="J182" i="33"/>
  <c r="H182" i="33"/>
  <c r="I182" i="33" s="1"/>
  <c r="G182" i="33"/>
  <c r="E182" i="33"/>
  <c r="D182" i="33"/>
  <c r="F182" i="33" s="1"/>
  <c r="O181" i="33"/>
  <c r="L181" i="33"/>
  <c r="I181" i="33"/>
  <c r="C181" i="33" s="1"/>
  <c r="F181" i="33"/>
  <c r="O180" i="33"/>
  <c r="L180" i="33"/>
  <c r="I180" i="33"/>
  <c r="F180" i="33"/>
  <c r="C180" i="33" s="1"/>
  <c r="O179" i="33"/>
  <c r="L179" i="33"/>
  <c r="I179" i="33"/>
  <c r="F179" i="33"/>
  <c r="C179" i="33"/>
  <c r="N178" i="33"/>
  <c r="M178" i="33"/>
  <c r="O178" i="33" s="1"/>
  <c r="L178" i="33"/>
  <c r="K178" i="33"/>
  <c r="J178" i="33"/>
  <c r="H178" i="33"/>
  <c r="H177" i="33" s="1"/>
  <c r="G178" i="33"/>
  <c r="E178" i="33"/>
  <c r="D178" i="33"/>
  <c r="D177" i="33" s="1"/>
  <c r="N177" i="33"/>
  <c r="M177" i="33"/>
  <c r="M176" i="33" s="1"/>
  <c r="O176" i="33" s="1"/>
  <c r="K177" i="33"/>
  <c r="J177" i="33"/>
  <c r="L177" i="33" s="1"/>
  <c r="G177" i="33"/>
  <c r="E177" i="33"/>
  <c r="E176" i="33" s="1"/>
  <c r="N176" i="33"/>
  <c r="K176" i="33"/>
  <c r="J176" i="33"/>
  <c r="L176" i="33" s="1"/>
  <c r="G176" i="33"/>
  <c r="O175" i="33"/>
  <c r="L175" i="33"/>
  <c r="I175" i="33"/>
  <c r="F175" i="33"/>
  <c r="C175" i="33"/>
  <c r="O174" i="33"/>
  <c r="L174" i="33"/>
  <c r="I174" i="33"/>
  <c r="F174" i="33"/>
  <c r="C174" i="33" s="1"/>
  <c r="O173" i="33"/>
  <c r="L173" i="33"/>
  <c r="I173" i="33"/>
  <c r="C173" i="33" s="1"/>
  <c r="F173" i="33"/>
  <c r="O172" i="33"/>
  <c r="L172" i="33"/>
  <c r="C172" i="33" s="1"/>
  <c r="I172" i="33"/>
  <c r="F172" i="33"/>
  <c r="O171" i="33"/>
  <c r="L171" i="33"/>
  <c r="I171" i="33"/>
  <c r="F171" i="33"/>
  <c r="C171" i="33"/>
  <c r="O170" i="33"/>
  <c r="L170" i="33"/>
  <c r="I170" i="33"/>
  <c r="F170" i="33"/>
  <c r="C170" i="33" s="1"/>
  <c r="N169" i="33"/>
  <c r="M169" i="33"/>
  <c r="M168" i="33" s="1"/>
  <c r="K169" i="33"/>
  <c r="J169" i="33"/>
  <c r="L169" i="33" s="1"/>
  <c r="I169" i="33"/>
  <c r="H169" i="33"/>
  <c r="G169" i="33"/>
  <c r="E169" i="33"/>
  <c r="E168" i="33" s="1"/>
  <c r="D169" i="33"/>
  <c r="N168" i="33"/>
  <c r="K168" i="33"/>
  <c r="J168" i="33"/>
  <c r="L168" i="33" s="1"/>
  <c r="H168" i="33"/>
  <c r="G168" i="33"/>
  <c r="I168" i="33" s="1"/>
  <c r="D168" i="33"/>
  <c r="O167" i="33"/>
  <c r="L167" i="33"/>
  <c r="I167" i="33"/>
  <c r="F167" i="33"/>
  <c r="C167" i="33"/>
  <c r="O166" i="33"/>
  <c r="L166" i="33"/>
  <c r="I166" i="33"/>
  <c r="F166" i="33"/>
  <c r="C166" i="33" s="1"/>
  <c r="O165" i="33"/>
  <c r="L165" i="33"/>
  <c r="I165" i="33"/>
  <c r="C165" i="33" s="1"/>
  <c r="F165" i="33"/>
  <c r="O164" i="33"/>
  <c r="L164" i="33"/>
  <c r="C164" i="33" s="1"/>
  <c r="I164" i="33"/>
  <c r="F164" i="33"/>
  <c r="O163" i="33"/>
  <c r="N163" i="33"/>
  <c r="M163" i="33"/>
  <c r="K163" i="33"/>
  <c r="L163" i="33" s="1"/>
  <c r="J163" i="33"/>
  <c r="H163" i="33"/>
  <c r="G163" i="33"/>
  <c r="I163" i="33" s="1"/>
  <c r="E163" i="33"/>
  <c r="D163" i="33"/>
  <c r="F163" i="33" s="1"/>
  <c r="O162" i="33"/>
  <c r="L162" i="33"/>
  <c r="I162" i="33"/>
  <c r="F162" i="33"/>
  <c r="C162" i="33" s="1"/>
  <c r="O161" i="33"/>
  <c r="L161" i="33"/>
  <c r="I161" i="33"/>
  <c r="C161" i="33" s="1"/>
  <c r="F161" i="33"/>
  <c r="O160" i="33"/>
  <c r="L160" i="33"/>
  <c r="C160" i="33" s="1"/>
  <c r="I160" i="33"/>
  <c r="F160" i="33"/>
  <c r="O159" i="33"/>
  <c r="L159" i="33"/>
  <c r="I159" i="33"/>
  <c r="F159" i="33"/>
  <c r="C159" i="33"/>
  <c r="O158" i="33"/>
  <c r="L158" i="33"/>
  <c r="I158" i="33"/>
  <c r="F158" i="33"/>
  <c r="C158" i="33" s="1"/>
  <c r="O157" i="33"/>
  <c r="L157" i="33"/>
  <c r="I157" i="33"/>
  <c r="C157" i="33" s="1"/>
  <c r="F157" i="33"/>
  <c r="O156" i="33"/>
  <c r="L156" i="33"/>
  <c r="C156" i="33" s="1"/>
  <c r="I156" i="33"/>
  <c r="F156" i="33"/>
  <c r="O155" i="33"/>
  <c r="L155" i="33"/>
  <c r="I155" i="33"/>
  <c r="F155" i="33"/>
  <c r="C155" i="33"/>
  <c r="N154" i="33"/>
  <c r="M154" i="33"/>
  <c r="O154" i="33" s="1"/>
  <c r="L154" i="33"/>
  <c r="K154" i="33"/>
  <c r="J154" i="33"/>
  <c r="H154" i="33"/>
  <c r="I154" i="33" s="1"/>
  <c r="G154" i="33"/>
  <c r="E154" i="33"/>
  <c r="D154" i="33"/>
  <c r="F154" i="33" s="1"/>
  <c r="O153" i="33"/>
  <c r="L153" i="33"/>
  <c r="I153" i="33"/>
  <c r="C153" i="33" s="1"/>
  <c r="F153" i="33"/>
  <c r="O152" i="33"/>
  <c r="L152" i="33"/>
  <c r="C152" i="33" s="1"/>
  <c r="I152" i="33"/>
  <c r="F152" i="33"/>
  <c r="O151" i="33"/>
  <c r="L151" i="33"/>
  <c r="I151" i="33"/>
  <c r="F151" i="33"/>
  <c r="C151" i="33"/>
  <c r="O150" i="33"/>
  <c r="L150" i="33"/>
  <c r="I150" i="33"/>
  <c r="F150" i="33"/>
  <c r="C150" i="33" s="1"/>
  <c r="O149" i="33"/>
  <c r="L149" i="33"/>
  <c r="I149" i="33"/>
  <c r="C149" i="33" s="1"/>
  <c r="F149" i="33"/>
  <c r="O148" i="33"/>
  <c r="L148" i="33"/>
  <c r="I148" i="33"/>
  <c r="F148" i="33"/>
  <c r="C148" i="33" s="1"/>
  <c r="N147" i="33"/>
  <c r="M147" i="33"/>
  <c r="O147" i="33" s="1"/>
  <c r="K147" i="33"/>
  <c r="L147" i="33" s="1"/>
  <c r="J147" i="33"/>
  <c r="H147" i="33"/>
  <c r="G147" i="33"/>
  <c r="I147" i="33" s="1"/>
  <c r="E147" i="33"/>
  <c r="D147" i="33"/>
  <c r="F147" i="33" s="1"/>
  <c r="O146" i="33"/>
  <c r="L146" i="33"/>
  <c r="I146" i="33"/>
  <c r="F146" i="33"/>
  <c r="C146" i="33" s="1"/>
  <c r="O145" i="33"/>
  <c r="L145" i="33"/>
  <c r="I145" i="33"/>
  <c r="C145" i="33" s="1"/>
  <c r="F145" i="33"/>
  <c r="N144" i="33"/>
  <c r="O144" i="33" s="1"/>
  <c r="M144" i="33"/>
  <c r="K144" i="33"/>
  <c r="J144" i="33"/>
  <c r="L144" i="33" s="1"/>
  <c r="H144" i="33"/>
  <c r="G144" i="33"/>
  <c r="I144" i="33" s="1"/>
  <c r="E144" i="33"/>
  <c r="D144" i="33"/>
  <c r="F144" i="33" s="1"/>
  <c r="O143" i="33"/>
  <c r="L143" i="33"/>
  <c r="I143" i="33"/>
  <c r="F143" i="33"/>
  <c r="C143" i="33"/>
  <c r="O142" i="33"/>
  <c r="L142" i="33"/>
  <c r="I142" i="33"/>
  <c r="F142" i="33"/>
  <c r="C142" i="33" s="1"/>
  <c r="O141" i="33"/>
  <c r="L141" i="33"/>
  <c r="I141" i="33"/>
  <c r="C141" i="33" s="1"/>
  <c r="F141" i="33"/>
  <c r="O140" i="33"/>
  <c r="L140" i="33"/>
  <c r="I140" i="33"/>
  <c r="F140" i="33"/>
  <c r="C140" i="33" s="1"/>
  <c r="O139" i="33"/>
  <c r="N139" i="33"/>
  <c r="M139" i="33"/>
  <c r="K139" i="33"/>
  <c r="L139" i="33" s="1"/>
  <c r="J139" i="33"/>
  <c r="H139" i="33"/>
  <c r="G139" i="33"/>
  <c r="I139" i="33" s="1"/>
  <c r="E139" i="33"/>
  <c r="D139" i="33"/>
  <c r="F139" i="33" s="1"/>
  <c r="C139" i="33" s="1"/>
  <c r="O138" i="33"/>
  <c r="L138" i="33"/>
  <c r="I138" i="33"/>
  <c r="F138" i="33"/>
  <c r="C138" i="33" s="1"/>
  <c r="O137" i="33"/>
  <c r="L137" i="33"/>
  <c r="I137" i="33"/>
  <c r="C137" i="33" s="1"/>
  <c r="F137" i="33"/>
  <c r="O136" i="33"/>
  <c r="L136" i="33"/>
  <c r="I136" i="33"/>
  <c r="F136" i="33"/>
  <c r="C136" i="33" s="1"/>
  <c r="O135" i="33"/>
  <c r="L135" i="33"/>
  <c r="I135" i="33"/>
  <c r="F135" i="33"/>
  <c r="C135" i="33"/>
  <c r="N134" i="33"/>
  <c r="M134" i="33"/>
  <c r="O134" i="33" s="1"/>
  <c r="K134" i="33"/>
  <c r="J134" i="33"/>
  <c r="L134" i="33" s="1"/>
  <c r="H134" i="33"/>
  <c r="G134" i="33"/>
  <c r="I134" i="33" s="1"/>
  <c r="E134" i="33"/>
  <c r="D134" i="33"/>
  <c r="F134" i="33" s="1"/>
  <c r="N133" i="33"/>
  <c r="M133" i="33"/>
  <c r="O133" i="33" s="1"/>
  <c r="K133" i="33"/>
  <c r="J133" i="33"/>
  <c r="L133" i="33" s="1"/>
  <c r="H133" i="33"/>
  <c r="G133" i="33"/>
  <c r="I133" i="33" s="1"/>
  <c r="E133" i="33"/>
  <c r="D133" i="33"/>
  <c r="F133" i="33" s="1"/>
  <c r="O132" i="33"/>
  <c r="L132" i="33"/>
  <c r="I132" i="33"/>
  <c r="F132" i="33"/>
  <c r="C132" i="33" s="1"/>
  <c r="N131" i="33"/>
  <c r="M131" i="33"/>
  <c r="O131" i="33" s="1"/>
  <c r="K131" i="33"/>
  <c r="J131" i="33"/>
  <c r="L131" i="33" s="1"/>
  <c r="H131" i="33"/>
  <c r="G131" i="33"/>
  <c r="I131" i="33" s="1"/>
  <c r="E131" i="33"/>
  <c r="F131" i="33" s="1"/>
  <c r="C131" i="33" s="1"/>
  <c r="D131" i="33"/>
  <c r="O130" i="33"/>
  <c r="L130" i="33"/>
  <c r="I130" i="33"/>
  <c r="F130" i="33"/>
  <c r="C130" i="33" s="1"/>
  <c r="O129" i="33"/>
  <c r="L129" i="33"/>
  <c r="I129" i="33"/>
  <c r="C129" i="33" s="1"/>
  <c r="F129" i="33"/>
  <c r="O128" i="33"/>
  <c r="L128" i="33"/>
  <c r="I128" i="33"/>
  <c r="F128" i="33"/>
  <c r="C128" i="33" s="1"/>
  <c r="O127" i="33"/>
  <c r="L127" i="33"/>
  <c r="I127" i="33"/>
  <c r="F127" i="33"/>
  <c r="C127" i="33"/>
  <c r="O126" i="33"/>
  <c r="L126" i="33"/>
  <c r="I126" i="33"/>
  <c r="F126" i="33"/>
  <c r="C126" i="33" s="1"/>
  <c r="N125" i="33"/>
  <c r="M125" i="33"/>
  <c r="O125" i="33" s="1"/>
  <c r="K125" i="33"/>
  <c r="L125" i="33" s="1"/>
  <c r="J125" i="33"/>
  <c r="H125" i="33"/>
  <c r="G125" i="33"/>
  <c r="I125" i="33" s="1"/>
  <c r="E125" i="33"/>
  <c r="D125" i="33"/>
  <c r="F125" i="33" s="1"/>
  <c r="O124" i="33"/>
  <c r="L124" i="33"/>
  <c r="I124" i="33"/>
  <c r="F124" i="33"/>
  <c r="C124" i="33" s="1"/>
  <c r="O123" i="33"/>
  <c r="L123" i="33"/>
  <c r="I123" i="33"/>
  <c r="F123" i="33"/>
  <c r="C123" i="33"/>
  <c r="O122" i="33"/>
  <c r="L122" i="33"/>
  <c r="I122" i="33"/>
  <c r="F122" i="33"/>
  <c r="C122" i="33" s="1"/>
  <c r="O121" i="33"/>
  <c r="L121" i="33"/>
  <c r="I121" i="33"/>
  <c r="C121" i="33" s="1"/>
  <c r="F121" i="33"/>
  <c r="O120" i="33"/>
  <c r="L120" i="33"/>
  <c r="I120" i="33"/>
  <c r="F120" i="33"/>
  <c r="C120" i="33" s="1"/>
  <c r="O119" i="33"/>
  <c r="N119" i="33"/>
  <c r="M119" i="33"/>
  <c r="K119" i="33"/>
  <c r="J119" i="33"/>
  <c r="L119" i="33" s="1"/>
  <c r="H119" i="33"/>
  <c r="G119" i="33"/>
  <c r="I119" i="33" s="1"/>
  <c r="E119" i="33"/>
  <c r="F119" i="33" s="1"/>
  <c r="D119" i="33"/>
  <c r="O118" i="33"/>
  <c r="L118" i="33"/>
  <c r="I118" i="33"/>
  <c r="F118" i="33"/>
  <c r="C118" i="33" s="1"/>
  <c r="O117" i="33"/>
  <c r="L117" i="33"/>
  <c r="I117" i="33"/>
  <c r="F117" i="33"/>
  <c r="C117" i="33" s="1"/>
  <c r="O116" i="33"/>
  <c r="L116" i="33"/>
  <c r="I116" i="33"/>
  <c r="F116" i="33"/>
  <c r="C116" i="33" s="1"/>
  <c r="N115" i="33"/>
  <c r="O115" i="33" s="1"/>
  <c r="M115" i="33"/>
  <c r="K115" i="33"/>
  <c r="J115" i="33"/>
  <c r="L115" i="33" s="1"/>
  <c r="H115" i="33"/>
  <c r="G115" i="33"/>
  <c r="I115" i="33" s="1"/>
  <c r="F115" i="33"/>
  <c r="E115" i="33"/>
  <c r="D115" i="33"/>
  <c r="O114" i="33"/>
  <c r="L114" i="33"/>
  <c r="I114" i="33"/>
  <c r="F114" i="33"/>
  <c r="C114" i="33"/>
  <c r="O113" i="33"/>
  <c r="L113" i="33"/>
  <c r="I113" i="33"/>
  <c r="F113" i="33"/>
  <c r="C113" i="33" s="1"/>
  <c r="O112" i="33"/>
  <c r="L112" i="33"/>
  <c r="I112" i="33"/>
  <c r="F112" i="33"/>
  <c r="C112" i="33" s="1"/>
  <c r="O111" i="33"/>
  <c r="L111" i="33"/>
  <c r="C111" i="33" s="1"/>
  <c r="I111" i="33"/>
  <c r="F111" i="33"/>
  <c r="O110" i="33"/>
  <c r="L110" i="33"/>
  <c r="I110" i="33"/>
  <c r="F110" i="33"/>
  <c r="C110" i="33"/>
  <c r="O109" i="33"/>
  <c r="L109" i="33"/>
  <c r="I109" i="33"/>
  <c r="F109" i="33"/>
  <c r="C109" i="33" s="1"/>
  <c r="O108" i="33"/>
  <c r="L108" i="33"/>
  <c r="I108" i="33"/>
  <c r="F108" i="33"/>
  <c r="C108" i="33" s="1"/>
  <c r="O107" i="33"/>
  <c r="L107" i="33"/>
  <c r="C107" i="33" s="1"/>
  <c r="I107" i="33"/>
  <c r="F107" i="33"/>
  <c r="O106" i="33"/>
  <c r="N106" i="33"/>
  <c r="M106" i="33"/>
  <c r="K106" i="33"/>
  <c r="L106" i="33" s="1"/>
  <c r="J106" i="33"/>
  <c r="H106" i="33"/>
  <c r="G106" i="33"/>
  <c r="I106" i="33" s="1"/>
  <c r="E106" i="33"/>
  <c r="D106" i="33"/>
  <c r="F106" i="33" s="1"/>
  <c r="C106" i="33" s="1"/>
  <c r="O105" i="33"/>
  <c r="L105" i="33"/>
  <c r="I105" i="33"/>
  <c r="F105" i="33"/>
  <c r="C105" i="33" s="1"/>
  <c r="O104" i="33"/>
  <c r="L104" i="33"/>
  <c r="I104" i="33"/>
  <c r="F104" i="33"/>
  <c r="C104" i="33" s="1"/>
  <c r="O103" i="33"/>
  <c r="L103" i="33"/>
  <c r="C103" i="33" s="1"/>
  <c r="I103" i="33"/>
  <c r="F103" i="33"/>
  <c r="O102" i="33"/>
  <c r="L102" i="33"/>
  <c r="I102" i="33"/>
  <c r="F102" i="33"/>
  <c r="C102" i="33"/>
  <c r="O101" i="33"/>
  <c r="L101" i="33"/>
  <c r="I101" i="33"/>
  <c r="F101" i="33"/>
  <c r="C101" i="33" s="1"/>
  <c r="O100" i="33"/>
  <c r="L100" i="33"/>
  <c r="I100" i="33"/>
  <c r="F100" i="33"/>
  <c r="C100" i="33" s="1"/>
  <c r="O99" i="33"/>
  <c r="L99" i="33"/>
  <c r="C99" i="33" s="1"/>
  <c r="I99" i="33"/>
  <c r="F99" i="33"/>
  <c r="O98" i="33"/>
  <c r="N98" i="33"/>
  <c r="M98" i="33"/>
  <c r="K98" i="33"/>
  <c r="J98" i="33"/>
  <c r="L98" i="33" s="1"/>
  <c r="H98" i="33"/>
  <c r="G98" i="33"/>
  <c r="I98" i="33" s="1"/>
  <c r="E98" i="33"/>
  <c r="D98" i="33"/>
  <c r="F98" i="33" s="1"/>
  <c r="O97" i="33"/>
  <c r="L97" i="33"/>
  <c r="I97" i="33"/>
  <c r="F97" i="33"/>
  <c r="C97" i="33" s="1"/>
  <c r="O96" i="33"/>
  <c r="L96" i="33"/>
  <c r="I96" i="33"/>
  <c r="F96" i="33"/>
  <c r="C96" i="33"/>
  <c r="O95" i="33"/>
  <c r="L95" i="33"/>
  <c r="I95" i="33"/>
  <c r="F95" i="33"/>
  <c r="C95" i="33" s="1"/>
  <c r="O94" i="33"/>
  <c r="L94" i="33"/>
  <c r="I94" i="33"/>
  <c r="F94" i="33"/>
  <c r="C94" i="33" s="1"/>
  <c r="O93" i="33"/>
  <c r="L93" i="33"/>
  <c r="I93" i="33"/>
  <c r="F93" i="33"/>
  <c r="C93" i="33" s="1"/>
  <c r="N92" i="33"/>
  <c r="O92" i="33" s="1"/>
  <c r="M92" i="33"/>
  <c r="K92" i="33"/>
  <c r="J92" i="33"/>
  <c r="L92" i="33" s="1"/>
  <c r="H92" i="33"/>
  <c r="G92" i="33"/>
  <c r="I92" i="33" s="1"/>
  <c r="F92" i="33"/>
  <c r="E92" i="33"/>
  <c r="D92" i="33"/>
  <c r="O91" i="33"/>
  <c r="L91" i="33"/>
  <c r="I91" i="33"/>
  <c r="F91" i="33"/>
  <c r="C91" i="33" s="1"/>
  <c r="O90" i="33"/>
  <c r="L90" i="33"/>
  <c r="I90" i="33"/>
  <c r="F90" i="33"/>
  <c r="C90" i="33" s="1"/>
  <c r="O89" i="33"/>
  <c r="L89" i="33"/>
  <c r="I89" i="33"/>
  <c r="F89" i="33"/>
  <c r="C89" i="33" s="1"/>
  <c r="O88" i="33"/>
  <c r="L88" i="33"/>
  <c r="I88" i="33"/>
  <c r="F88" i="33"/>
  <c r="C88" i="33"/>
  <c r="O87" i="33"/>
  <c r="N87" i="33"/>
  <c r="M87" i="33"/>
  <c r="L87" i="33"/>
  <c r="K87" i="33"/>
  <c r="J87" i="33"/>
  <c r="H87" i="33"/>
  <c r="G87" i="33"/>
  <c r="I87" i="33" s="1"/>
  <c r="E87" i="33"/>
  <c r="D87" i="33"/>
  <c r="F87" i="33" s="1"/>
  <c r="C87" i="33" s="1"/>
  <c r="N86" i="33"/>
  <c r="M86" i="33"/>
  <c r="O86" i="33" s="1"/>
  <c r="K86" i="33"/>
  <c r="J86" i="33"/>
  <c r="L86" i="33" s="1"/>
  <c r="H86" i="33"/>
  <c r="G86" i="33"/>
  <c r="I86" i="33" s="1"/>
  <c r="E86" i="33"/>
  <c r="D86" i="33"/>
  <c r="F86" i="33" s="1"/>
  <c r="C86" i="33" s="1"/>
  <c r="O85" i="33"/>
  <c r="L85" i="33"/>
  <c r="I85" i="33"/>
  <c r="F85" i="33"/>
  <c r="C85" i="33" s="1"/>
  <c r="O84" i="33"/>
  <c r="L84" i="33"/>
  <c r="I84" i="33"/>
  <c r="F84" i="33"/>
  <c r="C84" i="33"/>
  <c r="O83" i="33"/>
  <c r="N83" i="33"/>
  <c r="M83" i="33"/>
  <c r="L83" i="33"/>
  <c r="K83" i="33"/>
  <c r="J83" i="33"/>
  <c r="H83" i="33"/>
  <c r="G83" i="33"/>
  <c r="I83" i="33" s="1"/>
  <c r="E83" i="33"/>
  <c r="D83" i="33"/>
  <c r="F83" i="33" s="1"/>
  <c r="O82" i="33"/>
  <c r="L82" i="33"/>
  <c r="I82" i="33"/>
  <c r="F82" i="33"/>
  <c r="C82" i="33" s="1"/>
  <c r="O81" i="33"/>
  <c r="L81" i="33"/>
  <c r="I81" i="33"/>
  <c r="C81" i="33" s="1"/>
  <c r="F81" i="33"/>
  <c r="O80" i="33"/>
  <c r="N80" i="33"/>
  <c r="M80" i="33"/>
  <c r="K80" i="33"/>
  <c r="J80" i="33"/>
  <c r="L80" i="33" s="1"/>
  <c r="H80" i="33"/>
  <c r="G80" i="33"/>
  <c r="I80" i="33" s="1"/>
  <c r="E80" i="33"/>
  <c r="D80" i="33"/>
  <c r="F80" i="33" s="1"/>
  <c r="C80" i="33" s="1"/>
  <c r="N79" i="33"/>
  <c r="M79" i="33"/>
  <c r="O79" i="33" s="1"/>
  <c r="K79" i="33"/>
  <c r="J79" i="33"/>
  <c r="L79" i="33" s="1"/>
  <c r="H79" i="33"/>
  <c r="G79" i="33"/>
  <c r="I79" i="33" s="1"/>
  <c r="E79" i="33"/>
  <c r="D79" i="33"/>
  <c r="F79" i="33" s="1"/>
  <c r="C79" i="33" s="1"/>
  <c r="N78" i="33"/>
  <c r="K78" i="33"/>
  <c r="J78" i="33"/>
  <c r="L78" i="33" s="1"/>
  <c r="H78" i="33"/>
  <c r="G78" i="33"/>
  <c r="I78" i="33" s="1"/>
  <c r="D78" i="33"/>
  <c r="O77" i="33"/>
  <c r="L77" i="33"/>
  <c r="I77" i="33"/>
  <c r="F77" i="33"/>
  <c r="C77" i="33" s="1"/>
  <c r="O76" i="33"/>
  <c r="L76" i="33"/>
  <c r="I76" i="33"/>
  <c r="F76" i="33"/>
  <c r="C76" i="33"/>
  <c r="O75" i="33"/>
  <c r="L75" i="33"/>
  <c r="I75" i="33"/>
  <c r="F75" i="33"/>
  <c r="C75" i="33" s="1"/>
  <c r="O74" i="33"/>
  <c r="L74" i="33"/>
  <c r="I74" i="33"/>
  <c r="F74" i="33"/>
  <c r="C74" i="33" s="1"/>
  <c r="O73" i="33"/>
  <c r="L73" i="33"/>
  <c r="I73" i="33"/>
  <c r="F73" i="33"/>
  <c r="C73" i="33"/>
  <c r="N72" i="33"/>
  <c r="O72" i="33" s="1"/>
  <c r="M72" i="33"/>
  <c r="K72" i="33"/>
  <c r="J72" i="33"/>
  <c r="L72" i="33" s="1"/>
  <c r="H72" i="33"/>
  <c r="G72" i="33"/>
  <c r="I72" i="33" s="1"/>
  <c r="E72" i="33"/>
  <c r="D72" i="33"/>
  <c r="F72" i="33" s="1"/>
  <c r="O71" i="33"/>
  <c r="L71" i="33"/>
  <c r="I71" i="33"/>
  <c r="F71" i="33"/>
  <c r="C71" i="33" s="1"/>
  <c r="N70" i="33"/>
  <c r="M70" i="33"/>
  <c r="O70" i="33" s="1"/>
  <c r="K70" i="33"/>
  <c r="J70" i="33"/>
  <c r="L70" i="33" s="1"/>
  <c r="I70" i="33"/>
  <c r="H70" i="33"/>
  <c r="G70" i="33"/>
  <c r="E70" i="33"/>
  <c r="F70" i="33" s="1"/>
  <c r="C70" i="33" s="1"/>
  <c r="D70" i="33"/>
  <c r="O69" i="33"/>
  <c r="L69" i="33"/>
  <c r="I69" i="33"/>
  <c r="F69" i="33"/>
  <c r="C69" i="33"/>
  <c r="O68" i="33"/>
  <c r="L68" i="33"/>
  <c r="I68" i="33"/>
  <c r="F68" i="33"/>
  <c r="C68" i="33" s="1"/>
  <c r="O67" i="33"/>
  <c r="L67" i="33"/>
  <c r="I67" i="33"/>
  <c r="F67" i="33"/>
  <c r="C67" i="33" s="1"/>
  <c r="O66" i="33"/>
  <c r="L66" i="33"/>
  <c r="I66" i="33"/>
  <c r="F66" i="33"/>
  <c r="C66" i="33" s="1"/>
  <c r="O65" i="33"/>
  <c r="L65" i="33"/>
  <c r="I65" i="33"/>
  <c r="F65" i="33"/>
  <c r="C65" i="33"/>
  <c r="O64" i="33"/>
  <c r="L64" i="33"/>
  <c r="I64" i="33"/>
  <c r="F64" i="33"/>
  <c r="C64" i="33" s="1"/>
  <c r="O63" i="33"/>
  <c r="L63" i="33"/>
  <c r="I63" i="33"/>
  <c r="F63" i="33"/>
  <c r="C63" i="33" s="1"/>
  <c r="O62" i="33"/>
  <c r="L62" i="33"/>
  <c r="I62" i="33"/>
  <c r="F62" i="33"/>
  <c r="C62" i="33" s="1"/>
  <c r="O61" i="33"/>
  <c r="N61" i="33"/>
  <c r="M61" i="33"/>
  <c r="K61" i="33"/>
  <c r="J61" i="33"/>
  <c r="L61" i="33" s="1"/>
  <c r="H61" i="33"/>
  <c r="G61" i="33"/>
  <c r="I61" i="33" s="1"/>
  <c r="E61" i="33"/>
  <c r="D61" i="33"/>
  <c r="F61" i="33" s="1"/>
  <c r="C61" i="33" s="1"/>
  <c r="O60" i="33"/>
  <c r="L60" i="33"/>
  <c r="I60" i="33"/>
  <c r="F60" i="33"/>
  <c r="C60" i="33" s="1"/>
  <c r="O59" i="33"/>
  <c r="L59" i="33"/>
  <c r="I59" i="33"/>
  <c r="F59" i="33"/>
  <c r="C59" i="33" s="1"/>
  <c r="N58" i="33"/>
  <c r="M58" i="33"/>
  <c r="O58" i="33" s="1"/>
  <c r="K58" i="33"/>
  <c r="J58" i="33"/>
  <c r="L58" i="33" s="1"/>
  <c r="H58" i="33"/>
  <c r="I58" i="33" s="1"/>
  <c r="G58" i="33"/>
  <c r="E58" i="33"/>
  <c r="D58" i="33"/>
  <c r="F58" i="33" s="1"/>
  <c r="C58" i="33" s="1"/>
  <c r="N57" i="33"/>
  <c r="M57" i="33"/>
  <c r="O57" i="33" s="1"/>
  <c r="K57" i="33"/>
  <c r="J57" i="33"/>
  <c r="L57" i="33" s="1"/>
  <c r="H57" i="33"/>
  <c r="G57" i="33"/>
  <c r="I57" i="33" s="1"/>
  <c r="E57" i="33"/>
  <c r="F57" i="33" s="1"/>
  <c r="D57" i="33"/>
  <c r="N56" i="33"/>
  <c r="O56" i="33" s="1"/>
  <c r="M56" i="33"/>
  <c r="K56" i="33"/>
  <c r="J56" i="33"/>
  <c r="L56" i="33" s="1"/>
  <c r="H56" i="33"/>
  <c r="G56" i="33"/>
  <c r="I56" i="33" s="1"/>
  <c r="F56" i="33"/>
  <c r="E56" i="33"/>
  <c r="D56" i="33"/>
  <c r="N55" i="33"/>
  <c r="J55" i="33"/>
  <c r="O50" i="33"/>
  <c r="C50" i="33"/>
  <c r="O49" i="33"/>
  <c r="C49" i="33"/>
  <c r="N48" i="33"/>
  <c r="N288" i="33" s="1"/>
  <c r="M48" i="33"/>
  <c r="L47" i="33"/>
  <c r="I47" i="33"/>
  <c r="F47" i="33"/>
  <c r="C47" i="33" s="1"/>
  <c r="L46" i="33"/>
  <c r="K46" i="33"/>
  <c r="J46" i="33"/>
  <c r="H46" i="33"/>
  <c r="G46" i="33"/>
  <c r="I46" i="33" s="1"/>
  <c r="E46" i="33"/>
  <c r="D46" i="33"/>
  <c r="F46" i="33" s="1"/>
  <c r="F45" i="33"/>
  <c r="C45" i="33" s="1"/>
  <c r="L44" i="33"/>
  <c r="C44" i="33" s="1"/>
  <c r="L43" i="33"/>
  <c r="C43" i="33" s="1"/>
  <c r="L42" i="33"/>
  <c r="C42" i="33" s="1"/>
  <c r="L41" i="33"/>
  <c r="C41" i="33" s="1"/>
  <c r="L40" i="33"/>
  <c r="C40" i="33" s="1"/>
  <c r="K40" i="33"/>
  <c r="J40" i="33"/>
  <c r="L39" i="33"/>
  <c r="C39" i="33" s="1"/>
  <c r="L38" i="33"/>
  <c r="C38" i="33" s="1"/>
  <c r="L37" i="33"/>
  <c r="C37" i="33" s="1"/>
  <c r="K37" i="33"/>
  <c r="J37" i="33"/>
  <c r="L36" i="33"/>
  <c r="C36" i="33" s="1"/>
  <c r="K35" i="33"/>
  <c r="J35" i="33"/>
  <c r="L35" i="33" s="1"/>
  <c r="C35" i="33" s="1"/>
  <c r="L34" i="33"/>
  <c r="C34" i="33" s="1"/>
  <c r="L33" i="33"/>
  <c r="C33" i="33" s="1"/>
  <c r="L32" i="33"/>
  <c r="C32" i="33" s="1"/>
  <c r="K31" i="33"/>
  <c r="J31" i="33"/>
  <c r="L31" i="33" s="1"/>
  <c r="C31" i="33" s="1"/>
  <c r="K30" i="33"/>
  <c r="J30" i="33"/>
  <c r="F29" i="33"/>
  <c r="C29" i="33" s="1"/>
  <c r="I28" i="33"/>
  <c r="C28" i="33" s="1"/>
  <c r="F28" i="33"/>
  <c r="O27" i="33"/>
  <c r="L27" i="33"/>
  <c r="I27" i="33"/>
  <c r="F27" i="33"/>
  <c r="C27" i="33" s="1"/>
  <c r="O26" i="33"/>
  <c r="L26" i="33"/>
  <c r="I26" i="33"/>
  <c r="F26" i="33"/>
  <c r="C26" i="33"/>
  <c r="N25" i="33"/>
  <c r="N290" i="33" s="1"/>
  <c r="N289" i="33" s="1"/>
  <c r="M25" i="33"/>
  <c r="O25" i="33" s="1"/>
  <c r="L25" i="33"/>
  <c r="K25" i="33"/>
  <c r="K290" i="33" s="1"/>
  <c r="K289" i="33" s="1"/>
  <c r="J25" i="33"/>
  <c r="J290" i="33" s="1"/>
  <c r="H25" i="33"/>
  <c r="H290" i="33" s="1"/>
  <c r="H289" i="33" s="1"/>
  <c r="G25" i="33"/>
  <c r="G290" i="33" s="1"/>
  <c r="E25" i="33"/>
  <c r="E290" i="33" s="1"/>
  <c r="E289" i="33" s="1"/>
  <c r="D25" i="33"/>
  <c r="D290" i="33" s="1"/>
  <c r="N24" i="33"/>
  <c r="M24" i="33"/>
  <c r="O24" i="33" s="1"/>
  <c r="K24" i="33"/>
  <c r="J24" i="33"/>
  <c r="L24" i="33" s="1"/>
  <c r="G24" i="33"/>
  <c r="E24" i="33"/>
  <c r="F24" i="33" s="1"/>
  <c r="D24" i="33"/>
  <c r="O299" i="32"/>
  <c r="L299" i="32"/>
  <c r="I299" i="32"/>
  <c r="F299" i="32"/>
  <c r="C299" i="32" s="1"/>
  <c r="O298" i="32"/>
  <c r="L298" i="32"/>
  <c r="I298" i="32"/>
  <c r="C298" i="32" s="1"/>
  <c r="F298" i="32"/>
  <c r="O297" i="32"/>
  <c r="L297" i="32"/>
  <c r="I297" i="32"/>
  <c r="F297" i="32"/>
  <c r="C297" i="32" s="1"/>
  <c r="O296" i="32"/>
  <c r="L296" i="32"/>
  <c r="I296" i="32"/>
  <c r="F296" i="32"/>
  <c r="C296" i="32"/>
  <c r="O295" i="32"/>
  <c r="L295" i="32"/>
  <c r="I295" i="32"/>
  <c r="F295" i="32"/>
  <c r="C295" i="32" s="1"/>
  <c r="O294" i="32"/>
  <c r="L294" i="32"/>
  <c r="I294" i="32"/>
  <c r="F294" i="32"/>
  <c r="C294" i="32"/>
  <c r="O293" i="32"/>
  <c r="L293" i="32"/>
  <c r="I293" i="32"/>
  <c r="F293" i="32"/>
  <c r="C293" i="32" s="1"/>
  <c r="O292" i="32"/>
  <c r="L292" i="32"/>
  <c r="I292" i="32"/>
  <c r="C292" i="32" s="1"/>
  <c r="F292" i="32"/>
  <c r="N291" i="32"/>
  <c r="M291" i="32"/>
  <c r="O291" i="32" s="1"/>
  <c r="K291" i="32"/>
  <c r="J291" i="32"/>
  <c r="L291" i="32" s="1"/>
  <c r="H291" i="32"/>
  <c r="G291" i="32"/>
  <c r="I291" i="32" s="1"/>
  <c r="E291" i="32"/>
  <c r="D291" i="32"/>
  <c r="F291" i="32" s="1"/>
  <c r="O286" i="32"/>
  <c r="L286" i="32"/>
  <c r="I286" i="32"/>
  <c r="F286" i="32"/>
  <c r="C286" i="32" s="1"/>
  <c r="O285" i="32"/>
  <c r="L285" i="32"/>
  <c r="I285" i="32"/>
  <c r="F285" i="32"/>
  <c r="C285" i="32"/>
  <c r="N284" i="32"/>
  <c r="M284" i="32"/>
  <c r="K284" i="32"/>
  <c r="J284" i="32"/>
  <c r="H284" i="32"/>
  <c r="G284" i="32"/>
  <c r="E284" i="32"/>
  <c r="D284" i="32"/>
  <c r="F284" i="32" s="1"/>
  <c r="O283" i="32"/>
  <c r="L283" i="32"/>
  <c r="I283" i="32"/>
  <c r="F283" i="32"/>
  <c r="C283" i="32" s="1"/>
  <c r="N282" i="32"/>
  <c r="M282" i="32"/>
  <c r="O282" i="32" s="1"/>
  <c r="K282" i="32"/>
  <c r="J282" i="32"/>
  <c r="L282" i="32" s="1"/>
  <c r="I282" i="32"/>
  <c r="H282" i="32"/>
  <c r="G282" i="32"/>
  <c r="E282" i="32"/>
  <c r="F282" i="32" s="1"/>
  <c r="C282" i="32" s="1"/>
  <c r="D282" i="32"/>
  <c r="O281" i="32"/>
  <c r="L281" i="32"/>
  <c r="I281" i="32"/>
  <c r="F281" i="32"/>
  <c r="C281" i="32"/>
  <c r="O280" i="32"/>
  <c r="L280" i="32"/>
  <c r="I280" i="32"/>
  <c r="F280" i="32"/>
  <c r="C280" i="32" s="1"/>
  <c r="O279" i="32"/>
  <c r="O278" i="32" s="1"/>
  <c r="L279" i="32"/>
  <c r="I279" i="32"/>
  <c r="F279" i="32"/>
  <c r="C279" i="32" s="1"/>
  <c r="N278" i="32"/>
  <c r="M278" i="32"/>
  <c r="K278" i="32"/>
  <c r="J278" i="32"/>
  <c r="L278" i="32" s="1"/>
  <c r="H278" i="32"/>
  <c r="I278" i="32" s="1"/>
  <c r="G278" i="32"/>
  <c r="F278" i="32"/>
  <c r="E278" i="32"/>
  <c r="D278" i="32"/>
  <c r="O277" i="32"/>
  <c r="L277" i="32"/>
  <c r="I277" i="32"/>
  <c r="F277" i="32"/>
  <c r="C277" i="32"/>
  <c r="O276" i="32"/>
  <c r="L276" i="32"/>
  <c r="I276" i="32"/>
  <c r="F276" i="32"/>
  <c r="C276" i="32" s="1"/>
  <c r="O275" i="32"/>
  <c r="L275" i="32"/>
  <c r="I275" i="32"/>
  <c r="F275" i="32"/>
  <c r="C275" i="32" s="1"/>
  <c r="N274" i="32"/>
  <c r="M274" i="32"/>
  <c r="O274" i="32" s="1"/>
  <c r="K274" i="32"/>
  <c r="J274" i="32"/>
  <c r="L274" i="32" s="1"/>
  <c r="I274" i="32"/>
  <c r="H274" i="32"/>
  <c r="G274" i="32"/>
  <c r="E274" i="32"/>
  <c r="E272" i="32" s="1"/>
  <c r="E271" i="32" s="1"/>
  <c r="D274" i="32"/>
  <c r="O273" i="32"/>
  <c r="L273" i="32"/>
  <c r="I273" i="32"/>
  <c r="F273" i="32"/>
  <c r="C273" i="32"/>
  <c r="N272" i="32"/>
  <c r="K272" i="32"/>
  <c r="L272" i="32" s="1"/>
  <c r="J272" i="32"/>
  <c r="H272" i="32"/>
  <c r="G272" i="32"/>
  <c r="G271" i="32" s="1"/>
  <c r="I271" i="32" s="1"/>
  <c r="D272" i="32"/>
  <c r="F272" i="32" s="1"/>
  <c r="N271" i="32"/>
  <c r="L271" i="32"/>
  <c r="K271" i="32"/>
  <c r="J271" i="32"/>
  <c r="H271" i="32"/>
  <c r="D271" i="32"/>
  <c r="O270" i="32"/>
  <c r="L270" i="32"/>
  <c r="I270" i="32"/>
  <c r="F270" i="32"/>
  <c r="C270" i="32" s="1"/>
  <c r="O269" i="32"/>
  <c r="L269" i="32"/>
  <c r="I269" i="32"/>
  <c r="F269" i="32"/>
  <c r="C269" i="32"/>
  <c r="O268" i="32"/>
  <c r="L268" i="32"/>
  <c r="I268" i="32"/>
  <c r="F268" i="32"/>
  <c r="C268" i="32" s="1"/>
  <c r="O267" i="32"/>
  <c r="L267" i="32"/>
  <c r="I267" i="32"/>
  <c r="F267" i="32"/>
  <c r="C267" i="32" s="1"/>
  <c r="N266" i="32"/>
  <c r="M266" i="32"/>
  <c r="O266" i="32" s="1"/>
  <c r="K266" i="32"/>
  <c r="J266" i="32"/>
  <c r="L266" i="32" s="1"/>
  <c r="I266" i="32"/>
  <c r="H266" i="32"/>
  <c r="G266" i="32"/>
  <c r="F266" i="32"/>
  <c r="C266" i="32" s="1"/>
  <c r="E266" i="32"/>
  <c r="D266" i="32"/>
  <c r="O265" i="32"/>
  <c r="L265" i="32"/>
  <c r="I265" i="32"/>
  <c r="F265" i="32"/>
  <c r="C265" i="32"/>
  <c r="O264" i="32"/>
  <c r="L264" i="32"/>
  <c r="I264" i="32"/>
  <c r="F264" i="32"/>
  <c r="C264" i="32" s="1"/>
  <c r="O263" i="32"/>
  <c r="L263" i="32"/>
  <c r="I263" i="32"/>
  <c r="F263" i="32"/>
  <c r="C263" i="32" s="1"/>
  <c r="N262" i="32"/>
  <c r="M262" i="32"/>
  <c r="O262" i="32" s="1"/>
  <c r="K262" i="32"/>
  <c r="J262" i="32"/>
  <c r="L262" i="32" s="1"/>
  <c r="I262" i="32"/>
  <c r="H262" i="32"/>
  <c r="G262" i="32"/>
  <c r="F262" i="32"/>
  <c r="E262" i="32"/>
  <c r="D262" i="32"/>
  <c r="O261" i="32"/>
  <c r="N261" i="32"/>
  <c r="M261" i="32"/>
  <c r="K261" i="32"/>
  <c r="J261" i="32"/>
  <c r="L261" i="32" s="1"/>
  <c r="H261" i="32"/>
  <c r="G261" i="32"/>
  <c r="I261" i="32" s="1"/>
  <c r="C261" i="32" s="1"/>
  <c r="F261" i="32"/>
  <c r="E261" i="32"/>
  <c r="D261" i="32"/>
  <c r="O260" i="32"/>
  <c r="L260" i="32"/>
  <c r="I260" i="32"/>
  <c r="F260" i="32"/>
  <c r="C260" i="32" s="1"/>
  <c r="O259" i="32"/>
  <c r="L259" i="32"/>
  <c r="I259" i="32"/>
  <c r="F259" i="32"/>
  <c r="C259" i="32" s="1"/>
  <c r="O258" i="32"/>
  <c r="L258" i="32"/>
  <c r="I258" i="32"/>
  <c r="F258" i="32"/>
  <c r="C258" i="32" s="1"/>
  <c r="O257" i="32"/>
  <c r="L257" i="32"/>
  <c r="I257" i="32"/>
  <c r="F257" i="32"/>
  <c r="C257" i="32"/>
  <c r="O256" i="32"/>
  <c r="L256" i="32"/>
  <c r="I256" i="32"/>
  <c r="F256" i="32"/>
  <c r="C256" i="32" s="1"/>
  <c r="N255" i="32"/>
  <c r="M255" i="32"/>
  <c r="O255" i="32" s="1"/>
  <c r="L255" i="32"/>
  <c r="K255" i="32"/>
  <c r="J255" i="32"/>
  <c r="I255" i="32"/>
  <c r="H255" i="32"/>
  <c r="G255" i="32"/>
  <c r="E255" i="32"/>
  <c r="D255" i="32"/>
  <c r="F255" i="32" s="1"/>
  <c r="C255" i="32" s="1"/>
  <c r="N254" i="32"/>
  <c r="M254" i="32"/>
  <c r="O254" i="32" s="1"/>
  <c r="K254" i="32"/>
  <c r="J254" i="32"/>
  <c r="L254" i="32" s="1"/>
  <c r="I254" i="32"/>
  <c r="H254" i="32"/>
  <c r="G254" i="32"/>
  <c r="F254" i="32"/>
  <c r="E254" i="32"/>
  <c r="D254" i="32"/>
  <c r="O253" i="32"/>
  <c r="L253" i="32"/>
  <c r="I253" i="32"/>
  <c r="F253" i="32"/>
  <c r="C253" i="32"/>
  <c r="O252" i="32"/>
  <c r="L252" i="32"/>
  <c r="I252" i="32"/>
  <c r="F252" i="32"/>
  <c r="C252" i="32" s="1"/>
  <c r="O251" i="32"/>
  <c r="L251" i="32"/>
  <c r="I251" i="32"/>
  <c r="F251" i="32"/>
  <c r="C251" i="32" s="1"/>
  <c r="O250" i="32"/>
  <c r="L250" i="32"/>
  <c r="I250" i="32"/>
  <c r="F250" i="32"/>
  <c r="C250" i="32" s="1"/>
  <c r="O249" i="32"/>
  <c r="N249" i="32"/>
  <c r="M249" i="32"/>
  <c r="K249" i="32"/>
  <c r="J249" i="32"/>
  <c r="L249" i="32" s="1"/>
  <c r="H249" i="32"/>
  <c r="G249" i="32"/>
  <c r="I249" i="32" s="1"/>
  <c r="C249" i="32" s="1"/>
  <c r="F249" i="32"/>
  <c r="E249" i="32"/>
  <c r="D249" i="32"/>
  <c r="O248" i="32"/>
  <c r="L248" i="32"/>
  <c r="I248" i="32"/>
  <c r="F248" i="32"/>
  <c r="C248" i="32" s="1"/>
  <c r="O247" i="32"/>
  <c r="L247" i="32"/>
  <c r="I247" i="32"/>
  <c r="F247" i="32"/>
  <c r="C247" i="32" s="1"/>
  <c r="O246" i="32"/>
  <c r="L246" i="32"/>
  <c r="I246" i="32"/>
  <c r="F246" i="32"/>
  <c r="C246" i="32" s="1"/>
  <c r="O245" i="32"/>
  <c r="L245" i="32"/>
  <c r="I245" i="32"/>
  <c r="F245" i="32"/>
  <c r="C245" i="32"/>
  <c r="O244" i="32"/>
  <c r="L244" i="32"/>
  <c r="I244" i="32"/>
  <c r="F244" i="32"/>
  <c r="C244" i="32" s="1"/>
  <c r="O243" i="32"/>
  <c r="L243" i="32"/>
  <c r="I243" i="32"/>
  <c r="F243" i="32"/>
  <c r="C243" i="32" s="1"/>
  <c r="O242" i="32"/>
  <c r="L242" i="32"/>
  <c r="I242" i="32"/>
  <c r="F242" i="32"/>
  <c r="C242" i="32" s="1"/>
  <c r="N241" i="32"/>
  <c r="M241" i="32"/>
  <c r="O241" i="32" s="1"/>
  <c r="K241" i="32"/>
  <c r="J241" i="32"/>
  <c r="L241" i="32" s="1"/>
  <c r="H241" i="32"/>
  <c r="G241" i="32"/>
  <c r="I241" i="32" s="1"/>
  <c r="F241" i="32"/>
  <c r="E241" i="32"/>
  <c r="D241" i="32"/>
  <c r="O240" i="32"/>
  <c r="L240" i="32"/>
  <c r="I240" i="32"/>
  <c r="F240" i="32"/>
  <c r="C240" i="32" s="1"/>
  <c r="O239" i="32"/>
  <c r="L239" i="32"/>
  <c r="I239" i="32"/>
  <c r="C239" i="32" s="1"/>
  <c r="F239" i="32"/>
  <c r="N238" i="32"/>
  <c r="M238" i="32"/>
  <c r="O238" i="32" s="1"/>
  <c r="K238" i="32"/>
  <c r="J238" i="32"/>
  <c r="L238" i="32" s="1"/>
  <c r="H238" i="32"/>
  <c r="G238" i="32"/>
  <c r="I238" i="32" s="1"/>
  <c r="F238" i="32"/>
  <c r="C238" i="32" s="1"/>
  <c r="E238" i="32"/>
  <c r="D238" i="32"/>
  <c r="O237" i="32"/>
  <c r="L237" i="32"/>
  <c r="I237" i="32"/>
  <c r="F237" i="32"/>
  <c r="C237" i="32"/>
  <c r="N236" i="32"/>
  <c r="M236" i="32"/>
  <c r="O236" i="32" s="1"/>
  <c r="K236" i="32"/>
  <c r="J236" i="32"/>
  <c r="L236" i="32" s="1"/>
  <c r="H236" i="32"/>
  <c r="G236" i="32"/>
  <c r="I236" i="32" s="1"/>
  <c r="E236" i="32"/>
  <c r="D236" i="32"/>
  <c r="F236" i="32" s="1"/>
  <c r="O235" i="32"/>
  <c r="L235" i="32"/>
  <c r="I235" i="32"/>
  <c r="F235" i="32"/>
  <c r="C235" i="32"/>
  <c r="N234" i="32"/>
  <c r="M234" i="32"/>
  <c r="O234" i="32" s="1"/>
  <c r="K234" i="32"/>
  <c r="J234" i="32"/>
  <c r="L234" i="32" s="1"/>
  <c r="H234" i="32"/>
  <c r="G234" i="32"/>
  <c r="I234" i="32" s="1"/>
  <c r="E234" i="32"/>
  <c r="D234" i="32"/>
  <c r="F234" i="32" s="1"/>
  <c r="C234" i="32" s="1"/>
  <c r="N233" i="32"/>
  <c r="M233" i="32"/>
  <c r="O233" i="32" s="1"/>
  <c r="K233" i="32"/>
  <c r="J233" i="32"/>
  <c r="L233" i="32" s="1"/>
  <c r="I233" i="32"/>
  <c r="H233" i="32"/>
  <c r="G233" i="32"/>
  <c r="F233" i="32"/>
  <c r="C233" i="32" s="1"/>
  <c r="E233" i="32"/>
  <c r="D233" i="32"/>
  <c r="O232" i="32"/>
  <c r="L232" i="32"/>
  <c r="I232" i="32"/>
  <c r="F232" i="32"/>
  <c r="C232" i="32"/>
  <c r="O231" i="32"/>
  <c r="L231" i="32"/>
  <c r="I231" i="32"/>
  <c r="F231" i="32"/>
  <c r="C231" i="32" s="1"/>
  <c r="N230" i="32"/>
  <c r="M230" i="32"/>
  <c r="O230" i="32" s="1"/>
  <c r="L230" i="32"/>
  <c r="K230" i="32"/>
  <c r="J230" i="32"/>
  <c r="I230" i="32"/>
  <c r="H230" i="32"/>
  <c r="G230" i="32"/>
  <c r="E230" i="32"/>
  <c r="E207" i="32" s="1"/>
  <c r="D230" i="32"/>
  <c r="F230" i="32" s="1"/>
  <c r="C230" i="32" s="1"/>
  <c r="O229" i="32"/>
  <c r="L229" i="32"/>
  <c r="I229" i="32"/>
  <c r="C229" i="32" s="1"/>
  <c r="F229" i="32"/>
  <c r="O228" i="32"/>
  <c r="L228" i="32"/>
  <c r="I228" i="32"/>
  <c r="F228" i="32"/>
  <c r="C228" i="32"/>
  <c r="O227" i="32"/>
  <c r="L227" i="32"/>
  <c r="I227" i="32"/>
  <c r="F227" i="32"/>
  <c r="C227" i="32" s="1"/>
  <c r="O226" i="32"/>
  <c r="L226" i="32"/>
  <c r="I226" i="32"/>
  <c r="F226" i="32"/>
  <c r="C226" i="32" s="1"/>
  <c r="O225" i="32"/>
  <c r="L225" i="32"/>
  <c r="I225" i="32"/>
  <c r="C225" i="32" s="1"/>
  <c r="F225" i="32"/>
  <c r="O224" i="32"/>
  <c r="L224" i="32"/>
  <c r="I224" i="32"/>
  <c r="F224" i="32"/>
  <c r="C224" i="32"/>
  <c r="O223" i="32"/>
  <c r="L223" i="32"/>
  <c r="I223" i="32"/>
  <c r="F223" i="32"/>
  <c r="C223" i="32" s="1"/>
  <c r="O222" i="32"/>
  <c r="L222" i="32"/>
  <c r="I222" i="32"/>
  <c r="F222" i="32"/>
  <c r="C222" i="32" s="1"/>
  <c r="O221" i="32"/>
  <c r="L221" i="32"/>
  <c r="I221" i="32"/>
  <c r="C221" i="32" s="1"/>
  <c r="F221" i="32"/>
  <c r="O220" i="32"/>
  <c r="L220" i="32"/>
  <c r="I220" i="32"/>
  <c r="F220" i="32"/>
  <c r="C220" i="32"/>
  <c r="O219" i="32"/>
  <c r="N219" i="32"/>
  <c r="M219" i="32"/>
  <c r="L219" i="32"/>
  <c r="K219" i="32"/>
  <c r="J219" i="32"/>
  <c r="H219" i="32"/>
  <c r="G219" i="32"/>
  <c r="I219" i="32" s="1"/>
  <c r="E219" i="32"/>
  <c r="D219" i="32"/>
  <c r="F219" i="32" s="1"/>
  <c r="O218" i="32"/>
  <c r="L218" i="32"/>
  <c r="I218" i="32"/>
  <c r="F218" i="32"/>
  <c r="C218" i="32" s="1"/>
  <c r="O217" i="32"/>
  <c r="L217" i="32"/>
  <c r="I217" i="32"/>
  <c r="C217" i="32" s="1"/>
  <c r="F217" i="32"/>
  <c r="O216" i="32"/>
  <c r="L216" i="32"/>
  <c r="I216" i="32"/>
  <c r="F216" i="32"/>
  <c r="C216" i="32"/>
  <c r="O215" i="32"/>
  <c r="L215" i="32"/>
  <c r="I215" i="32"/>
  <c r="F215" i="32"/>
  <c r="C215" i="32" s="1"/>
  <c r="O214" i="32"/>
  <c r="L214" i="32"/>
  <c r="I214" i="32"/>
  <c r="F214" i="32"/>
  <c r="C214" i="32" s="1"/>
  <c r="O213" i="32"/>
  <c r="L213" i="32"/>
  <c r="I213" i="32"/>
  <c r="C213" i="32" s="1"/>
  <c r="F213" i="32"/>
  <c r="O212" i="32"/>
  <c r="L212" i="32"/>
  <c r="I212" i="32"/>
  <c r="F212" i="32"/>
  <c r="C212" i="32"/>
  <c r="O211" i="32"/>
  <c r="L211" i="32"/>
  <c r="I211" i="32"/>
  <c r="F211" i="32"/>
  <c r="C211" i="32" s="1"/>
  <c r="O210" i="32"/>
  <c r="L210" i="32"/>
  <c r="I210" i="32"/>
  <c r="F210" i="32"/>
  <c r="C210" i="32" s="1"/>
  <c r="O209" i="32"/>
  <c r="L209" i="32"/>
  <c r="I209" i="32"/>
  <c r="C209" i="32" s="1"/>
  <c r="F209" i="32"/>
  <c r="O208" i="32"/>
  <c r="N208" i="32"/>
  <c r="N207" i="32" s="1"/>
  <c r="M208" i="32"/>
  <c r="K208" i="32"/>
  <c r="K207" i="32" s="1"/>
  <c r="J208" i="32"/>
  <c r="J207" i="32" s="1"/>
  <c r="L207" i="32" s="1"/>
  <c r="H208" i="32"/>
  <c r="G208" i="32"/>
  <c r="G207" i="32" s="1"/>
  <c r="I207" i="32" s="1"/>
  <c r="F208" i="32"/>
  <c r="E208" i="32"/>
  <c r="D208" i="32"/>
  <c r="H207" i="32"/>
  <c r="D207" i="32"/>
  <c r="F207" i="32" s="1"/>
  <c r="O206" i="32"/>
  <c r="L206" i="32"/>
  <c r="I206" i="32"/>
  <c r="F206" i="32"/>
  <c r="C206" i="32" s="1"/>
  <c r="O205" i="32"/>
  <c r="L205" i="32"/>
  <c r="I205" i="32"/>
  <c r="C205" i="32" s="1"/>
  <c r="F205" i="32"/>
  <c r="O204" i="32"/>
  <c r="L204" i="32"/>
  <c r="I204" i="32"/>
  <c r="F204" i="32"/>
  <c r="C204" i="32"/>
  <c r="O203" i="32"/>
  <c r="L203" i="32"/>
  <c r="I203" i="32"/>
  <c r="F203" i="32"/>
  <c r="C203" i="32" s="1"/>
  <c r="O202" i="32"/>
  <c r="L202" i="32"/>
  <c r="I202" i="32"/>
  <c r="F202" i="32"/>
  <c r="C202" i="32" s="1"/>
  <c r="N201" i="32"/>
  <c r="N199" i="32" s="1"/>
  <c r="N198" i="32" s="1"/>
  <c r="N197" i="32" s="1"/>
  <c r="M201" i="32"/>
  <c r="O201" i="32" s="1"/>
  <c r="K201" i="32"/>
  <c r="J201" i="32"/>
  <c r="L201" i="32" s="1"/>
  <c r="I201" i="32"/>
  <c r="H201" i="32"/>
  <c r="G201" i="32"/>
  <c r="F201" i="32"/>
  <c r="C201" i="32" s="1"/>
  <c r="E201" i="32"/>
  <c r="E199" i="32" s="1"/>
  <c r="E198" i="32" s="1"/>
  <c r="E197" i="32" s="1"/>
  <c r="D201" i="32"/>
  <c r="O200" i="32"/>
  <c r="L200" i="32"/>
  <c r="I200" i="32"/>
  <c r="F200" i="32"/>
  <c r="C200" i="32"/>
  <c r="K199" i="32"/>
  <c r="K198" i="32" s="1"/>
  <c r="K197" i="32" s="1"/>
  <c r="H199" i="32"/>
  <c r="H198" i="32" s="1"/>
  <c r="H197" i="32" s="1"/>
  <c r="G199" i="32"/>
  <c r="G198" i="32" s="1"/>
  <c r="D199" i="32"/>
  <c r="D198" i="32" s="1"/>
  <c r="O196" i="32"/>
  <c r="L196" i="32"/>
  <c r="I196" i="32"/>
  <c r="F196" i="32"/>
  <c r="C196" i="32"/>
  <c r="O195" i="32"/>
  <c r="N195" i="32"/>
  <c r="M195" i="32"/>
  <c r="L195" i="32"/>
  <c r="K195" i="32"/>
  <c r="K194" i="32" s="1"/>
  <c r="L194" i="32" s="1"/>
  <c r="J195" i="32"/>
  <c r="H195" i="32"/>
  <c r="H194" i="32" s="1"/>
  <c r="G195" i="32"/>
  <c r="G194" i="32" s="1"/>
  <c r="I194" i="32" s="1"/>
  <c r="E195" i="32"/>
  <c r="D195" i="32"/>
  <c r="D194" i="32" s="1"/>
  <c r="F194" i="32" s="1"/>
  <c r="N194" i="32"/>
  <c r="M194" i="32"/>
  <c r="O194" i="32" s="1"/>
  <c r="J194" i="32"/>
  <c r="E194" i="32"/>
  <c r="O193" i="32"/>
  <c r="L193" i="32"/>
  <c r="I193" i="32"/>
  <c r="C193" i="32" s="1"/>
  <c r="F193" i="32"/>
  <c r="O192" i="32"/>
  <c r="L192" i="32"/>
  <c r="I192" i="32"/>
  <c r="F192" i="32"/>
  <c r="C192" i="32"/>
  <c r="O191" i="32"/>
  <c r="N191" i="32"/>
  <c r="M191" i="32"/>
  <c r="L191" i="32"/>
  <c r="K191" i="32"/>
  <c r="K190" i="32" s="1"/>
  <c r="L190" i="32" s="1"/>
  <c r="J191" i="32"/>
  <c r="H191" i="32"/>
  <c r="H190" i="32" s="1"/>
  <c r="G191" i="32"/>
  <c r="E191" i="32"/>
  <c r="D191" i="32"/>
  <c r="D190" i="32" s="1"/>
  <c r="F190" i="32" s="1"/>
  <c r="N190" i="32"/>
  <c r="M190" i="32"/>
  <c r="O190" i="32" s="1"/>
  <c r="J190" i="32"/>
  <c r="E190" i="32"/>
  <c r="O189" i="32"/>
  <c r="L189" i="32"/>
  <c r="I189" i="32"/>
  <c r="C189" i="32" s="1"/>
  <c r="F189" i="32"/>
  <c r="O188" i="32"/>
  <c r="L188" i="32"/>
  <c r="I188" i="32"/>
  <c r="F188" i="32"/>
  <c r="C188" i="32"/>
  <c r="O187" i="32"/>
  <c r="N187" i="32"/>
  <c r="M187" i="32"/>
  <c r="L187" i="32"/>
  <c r="K187" i="32"/>
  <c r="J187" i="32"/>
  <c r="H187" i="32"/>
  <c r="G187" i="32"/>
  <c r="I187" i="32" s="1"/>
  <c r="E187" i="32"/>
  <c r="D187" i="32"/>
  <c r="F187" i="32" s="1"/>
  <c r="C187" i="32" s="1"/>
  <c r="O186" i="32"/>
  <c r="L186" i="32"/>
  <c r="I186" i="32"/>
  <c r="F186" i="32"/>
  <c r="C186" i="32" s="1"/>
  <c r="O185" i="32"/>
  <c r="L185" i="32"/>
  <c r="I185" i="32"/>
  <c r="C185" i="32" s="1"/>
  <c r="F185" i="32"/>
  <c r="O184" i="32"/>
  <c r="L184" i="32"/>
  <c r="I184" i="32"/>
  <c r="F184" i="32"/>
  <c r="C184" i="32"/>
  <c r="O183" i="32"/>
  <c r="L183" i="32"/>
  <c r="I183" i="32"/>
  <c r="F183" i="32"/>
  <c r="C183" i="32" s="1"/>
  <c r="N182" i="32"/>
  <c r="M182" i="32"/>
  <c r="O182" i="32" s="1"/>
  <c r="L182" i="32"/>
  <c r="K182" i="32"/>
  <c r="J182" i="32"/>
  <c r="I182" i="32"/>
  <c r="H182" i="32"/>
  <c r="G182" i="32"/>
  <c r="E182" i="32"/>
  <c r="D182" i="32"/>
  <c r="F182" i="32" s="1"/>
  <c r="C182" i="32" s="1"/>
  <c r="O181" i="32"/>
  <c r="L181" i="32"/>
  <c r="I181" i="32"/>
  <c r="C181" i="32" s="1"/>
  <c r="F181" i="32"/>
  <c r="O180" i="32"/>
  <c r="L180" i="32"/>
  <c r="I180" i="32"/>
  <c r="F180" i="32"/>
  <c r="C180" i="32"/>
  <c r="O179" i="32"/>
  <c r="L179" i="32"/>
  <c r="I179" i="32"/>
  <c r="F179" i="32"/>
  <c r="C179" i="32" s="1"/>
  <c r="N178" i="32"/>
  <c r="M178" i="32"/>
  <c r="M177" i="32" s="1"/>
  <c r="L178" i="32"/>
  <c r="K178" i="32"/>
  <c r="J178" i="32"/>
  <c r="I178" i="32"/>
  <c r="H178" i="32"/>
  <c r="H177" i="32" s="1"/>
  <c r="G178" i="32"/>
  <c r="E178" i="32"/>
  <c r="E177" i="32" s="1"/>
  <c r="E176" i="32" s="1"/>
  <c r="D178" i="32"/>
  <c r="D177" i="32" s="1"/>
  <c r="N177" i="32"/>
  <c r="N176" i="32" s="1"/>
  <c r="K177" i="32"/>
  <c r="J177" i="32"/>
  <c r="J176" i="32" s="1"/>
  <c r="L176" i="32" s="1"/>
  <c r="G177" i="32"/>
  <c r="K176" i="32"/>
  <c r="G176" i="32"/>
  <c r="O175" i="32"/>
  <c r="L175" i="32"/>
  <c r="I175" i="32"/>
  <c r="F175" i="32"/>
  <c r="C175" i="32" s="1"/>
  <c r="O174" i="32"/>
  <c r="L174" i="32"/>
  <c r="I174" i="32"/>
  <c r="F174" i="32"/>
  <c r="C174" i="32" s="1"/>
  <c r="O173" i="32"/>
  <c r="L173" i="32"/>
  <c r="I173" i="32"/>
  <c r="C173" i="32" s="1"/>
  <c r="F173" i="32"/>
  <c r="O172" i="32"/>
  <c r="L172" i="32"/>
  <c r="I172" i="32"/>
  <c r="F172" i="32"/>
  <c r="C172" i="32"/>
  <c r="O171" i="32"/>
  <c r="L171" i="32"/>
  <c r="I171" i="32"/>
  <c r="F171" i="32"/>
  <c r="C171" i="32" s="1"/>
  <c r="O170" i="32"/>
  <c r="L170" i="32"/>
  <c r="I170" i="32"/>
  <c r="F170" i="32"/>
  <c r="C170" i="32" s="1"/>
  <c r="N169" i="32"/>
  <c r="N168" i="32" s="1"/>
  <c r="M169" i="32"/>
  <c r="M168" i="32" s="1"/>
  <c r="O168" i="32" s="1"/>
  <c r="K169" i="32"/>
  <c r="J169" i="32"/>
  <c r="J168" i="32" s="1"/>
  <c r="L168" i="32" s="1"/>
  <c r="I169" i="32"/>
  <c r="H169" i="32"/>
  <c r="G169" i="32"/>
  <c r="F169" i="32"/>
  <c r="E169" i="32"/>
  <c r="E168" i="32" s="1"/>
  <c r="F168" i="32" s="1"/>
  <c r="D169" i="32"/>
  <c r="K168" i="32"/>
  <c r="H168" i="32"/>
  <c r="G168" i="32"/>
  <c r="I168" i="32" s="1"/>
  <c r="D168" i="32"/>
  <c r="O167" i="32"/>
  <c r="L167" i="32"/>
  <c r="I167" i="32"/>
  <c r="F167" i="32"/>
  <c r="C167" i="32" s="1"/>
  <c r="O166" i="32"/>
  <c r="L166" i="32"/>
  <c r="I166" i="32"/>
  <c r="F166" i="32"/>
  <c r="C166" i="32" s="1"/>
  <c r="O165" i="32"/>
  <c r="L165" i="32"/>
  <c r="I165" i="32"/>
  <c r="C165" i="32" s="1"/>
  <c r="F165" i="32"/>
  <c r="O164" i="32"/>
  <c r="L164" i="32"/>
  <c r="I164" i="32"/>
  <c r="F164" i="32"/>
  <c r="C164" i="32"/>
  <c r="O163" i="32"/>
  <c r="N163" i="32"/>
  <c r="M163" i="32"/>
  <c r="L163" i="32"/>
  <c r="K163" i="32"/>
  <c r="J163" i="32"/>
  <c r="H163" i="32"/>
  <c r="G163" i="32"/>
  <c r="I163" i="32" s="1"/>
  <c r="E163" i="32"/>
  <c r="D163" i="32"/>
  <c r="F163" i="32" s="1"/>
  <c r="O162" i="32"/>
  <c r="L162" i="32"/>
  <c r="I162" i="32"/>
  <c r="F162" i="32"/>
  <c r="C162" i="32" s="1"/>
  <c r="O161" i="32"/>
  <c r="L161" i="32"/>
  <c r="I161" i="32"/>
  <c r="C161" i="32" s="1"/>
  <c r="F161" i="32"/>
  <c r="O160" i="32"/>
  <c r="L160" i="32"/>
  <c r="I160" i="32"/>
  <c r="F160" i="32"/>
  <c r="C160" i="32"/>
  <c r="O159" i="32"/>
  <c r="L159" i="32"/>
  <c r="I159" i="32"/>
  <c r="F159" i="32"/>
  <c r="C159" i="32" s="1"/>
  <c r="O158" i="32"/>
  <c r="L158" i="32"/>
  <c r="I158" i="32"/>
  <c r="F158" i="32"/>
  <c r="C158" i="32" s="1"/>
  <c r="O157" i="32"/>
  <c r="L157" i="32"/>
  <c r="I157" i="32"/>
  <c r="C157" i="32" s="1"/>
  <c r="F157" i="32"/>
  <c r="O156" i="32"/>
  <c r="L156" i="32"/>
  <c r="I156" i="32"/>
  <c r="F156" i="32"/>
  <c r="C156" i="32"/>
  <c r="O155" i="32"/>
  <c r="L155" i="32"/>
  <c r="I155" i="32"/>
  <c r="F155" i="32"/>
  <c r="C155" i="32" s="1"/>
  <c r="N154" i="32"/>
  <c r="M154" i="32"/>
  <c r="O154" i="32" s="1"/>
  <c r="L154" i="32"/>
  <c r="K154" i="32"/>
  <c r="J154" i="32"/>
  <c r="I154" i="32"/>
  <c r="H154" i="32"/>
  <c r="G154" i="32"/>
  <c r="E154" i="32"/>
  <c r="D154" i="32"/>
  <c r="F154" i="32" s="1"/>
  <c r="C154" i="32" s="1"/>
  <c r="O153" i="32"/>
  <c r="L153" i="32"/>
  <c r="I153" i="32"/>
  <c r="C153" i="32" s="1"/>
  <c r="F153" i="32"/>
  <c r="O152" i="32"/>
  <c r="L152" i="32"/>
  <c r="I152" i="32"/>
  <c r="F152" i="32"/>
  <c r="C152" i="32"/>
  <c r="O151" i="32"/>
  <c r="L151" i="32"/>
  <c r="I151" i="32"/>
  <c r="F151" i="32"/>
  <c r="C151" i="32" s="1"/>
  <c r="O150" i="32"/>
  <c r="L150" i="32"/>
  <c r="I150" i="32"/>
  <c r="F150" i="32"/>
  <c r="C150" i="32" s="1"/>
  <c r="O149" i="32"/>
  <c r="L149" i="32"/>
  <c r="I149" i="32"/>
  <c r="C149" i="32" s="1"/>
  <c r="F149" i="32"/>
  <c r="O148" i="32"/>
  <c r="L148" i="32"/>
  <c r="I148" i="32"/>
  <c r="F148" i="32"/>
  <c r="C148" i="32"/>
  <c r="O147" i="32"/>
  <c r="N147" i="32"/>
  <c r="M147" i="32"/>
  <c r="L147" i="32"/>
  <c r="K147" i="32"/>
  <c r="J147" i="32"/>
  <c r="H147" i="32"/>
  <c r="G147" i="32"/>
  <c r="I147" i="32" s="1"/>
  <c r="E147" i="32"/>
  <c r="D147" i="32"/>
  <c r="F147" i="32" s="1"/>
  <c r="O146" i="32"/>
  <c r="L146" i="32"/>
  <c r="I146" i="32"/>
  <c r="F146" i="32"/>
  <c r="C146" i="32" s="1"/>
  <c r="O145" i="32"/>
  <c r="L145" i="32"/>
  <c r="I145" i="32"/>
  <c r="C145" i="32" s="1"/>
  <c r="F145" i="32"/>
  <c r="O144" i="32"/>
  <c r="N144" i="32"/>
  <c r="M144" i="32"/>
  <c r="K144" i="32"/>
  <c r="J144" i="32"/>
  <c r="L144" i="32" s="1"/>
  <c r="H144" i="32"/>
  <c r="G144" i="32"/>
  <c r="I144" i="32" s="1"/>
  <c r="C144" i="32" s="1"/>
  <c r="F144" i="32"/>
  <c r="E144" i="32"/>
  <c r="D144" i="32"/>
  <c r="O143" i="32"/>
  <c r="L143" i="32"/>
  <c r="I143" i="32"/>
  <c r="F143" i="32"/>
  <c r="C143" i="32" s="1"/>
  <c r="O142" i="32"/>
  <c r="L142" i="32"/>
  <c r="I142" i="32"/>
  <c r="F142" i="32"/>
  <c r="C142" i="32" s="1"/>
  <c r="O141" i="32"/>
  <c r="L141" i="32"/>
  <c r="I141" i="32"/>
  <c r="C141" i="32" s="1"/>
  <c r="F141" i="32"/>
  <c r="O140" i="32"/>
  <c r="L140" i="32"/>
  <c r="I140" i="32"/>
  <c r="F140" i="32"/>
  <c r="C140" i="32"/>
  <c r="O139" i="32"/>
  <c r="N139" i="32"/>
  <c r="M139" i="32"/>
  <c r="L139" i="32"/>
  <c r="K139" i="32"/>
  <c r="K133" i="32" s="1"/>
  <c r="J139" i="32"/>
  <c r="H139" i="32"/>
  <c r="G139" i="32"/>
  <c r="I139" i="32" s="1"/>
  <c r="E139" i="32"/>
  <c r="D139" i="32"/>
  <c r="F139" i="32" s="1"/>
  <c r="O138" i="32"/>
  <c r="L138" i="32"/>
  <c r="I138" i="32"/>
  <c r="F138" i="32"/>
  <c r="C138" i="32" s="1"/>
  <c r="O137" i="32"/>
  <c r="L137" i="32"/>
  <c r="I137" i="32"/>
  <c r="C137" i="32" s="1"/>
  <c r="F137" i="32"/>
  <c r="O136" i="32"/>
  <c r="L136" i="32"/>
  <c r="I136" i="32"/>
  <c r="F136" i="32"/>
  <c r="C136" i="32"/>
  <c r="O135" i="32"/>
  <c r="L135" i="32"/>
  <c r="I135" i="32"/>
  <c r="F135" i="32"/>
  <c r="C135" i="32" s="1"/>
  <c r="N134" i="32"/>
  <c r="M134" i="32"/>
  <c r="M133" i="32" s="1"/>
  <c r="L134" i="32"/>
  <c r="K134" i="32"/>
  <c r="J134" i="32"/>
  <c r="I134" i="32"/>
  <c r="H134" i="32"/>
  <c r="H133" i="32" s="1"/>
  <c r="G134" i="32"/>
  <c r="E134" i="32"/>
  <c r="E133" i="32" s="1"/>
  <c r="E78" i="32" s="1"/>
  <c r="D134" i="32"/>
  <c r="D133" i="32" s="1"/>
  <c r="F133" i="32" s="1"/>
  <c r="N133" i="32"/>
  <c r="J133" i="32"/>
  <c r="L133" i="32" s="1"/>
  <c r="O132" i="32"/>
  <c r="L132" i="32"/>
  <c r="I132" i="32"/>
  <c r="F132" i="32"/>
  <c r="C132" i="32"/>
  <c r="O131" i="32"/>
  <c r="N131" i="32"/>
  <c r="M131" i="32"/>
  <c r="L131" i="32"/>
  <c r="K131" i="32"/>
  <c r="J131" i="32"/>
  <c r="H131" i="32"/>
  <c r="G131" i="32"/>
  <c r="I131" i="32" s="1"/>
  <c r="E131" i="32"/>
  <c r="D131" i="32"/>
  <c r="F131" i="32" s="1"/>
  <c r="O130" i="32"/>
  <c r="L130" i="32"/>
  <c r="I130" i="32"/>
  <c r="F130" i="32"/>
  <c r="C130" i="32" s="1"/>
  <c r="O129" i="32"/>
  <c r="L129" i="32"/>
  <c r="I129" i="32"/>
  <c r="C129" i="32" s="1"/>
  <c r="F129" i="32"/>
  <c r="O128" i="32"/>
  <c r="L128" i="32"/>
  <c r="I128" i="32"/>
  <c r="F128" i="32"/>
  <c r="C128" i="32"/>
  <c r="O127" i="32"/>
  <c r="L127" i="32"/>
  <c r="I127" i="32"/>
  <c r="F127" i="32"/>
  <c r="C127" i="32" s="1"/>
  <c r="O126" i="32"/>
  <c r="L126" i="32"/>
  <c r="I126" i="32"/>
  <c r="F126" i="32"/>
  <c r="C126" i="32" s="1"/>
  <c r="N125" i="32"/>
  <c r="M125" i="32"/>
  <c r="O125" i="32" s="1"/>
  <c r="K125" i="32"/>
  <c r="J125" i="32"/>
  <c r="L125" i="32" s="1"/>
  <c r="I125" i="32"/>
  <c r="H125" i="32"/>
  <c r="G125" i="32"/>
  <c r="F125" i="32"/>
  <c r="C125" i="32" s="1"/>
  <c r="E125" i="32"/>
  <c r="D125" i="32"/>
  <c r="O124" i="32"/>
  <c r="L124" i="32"/>
  <c r="I124" i="32"/>
  <c r="F124" i="32"/>
  <c r="C124" i="32"/>
  <c r="O123" i="32"/>
  <c r="L123" i="32"/>
  <c r="I123" i="32"/>
  <c r="F123" i="32"/>
  <c r="C123" i="32" s="1"/>
  <c r="O122" i="32"/>
  <c r="L122" i="32"/>
  <c r="I122" i="32"/>
  <c r="F122" i="32"/>
  <c r="C122" i="32" s="1"/>
  <c r="O121" i="32"/>
  <c r="L121" i="32"/>
  <c r="I121" i="32"/>
  <c r="C121" i="32" s="1"/>
  <c r="F121" i="32"/>
  <c r="O120" i="32"/>
  <c r="L120" i="32"/>
  <c r="I120" i="32"/>
  <c r="F120" i="32"/>
  <c r="C120" i="32"/>
  <c r="O119" i="32"/>
  <c r="N119" i="32"/>
  <c r="M119" i="32"/>
  <c r="L119" i="32"/>
  <c r="K119" i="32"/>
  <c r="J119" i="32"/>
  <c r="H119" i="32"/>
  <c r="G119" i="32"/>
  <c r="I119" i="32" s="1"/>
  <c r="E119" i="32"/>
  <c r="D119" i="32"/>
  <c r="F119" i="32" s="1"/>
  <c r="O118" i="32"/>
  <c r="L118" i="32"/>
  <c r="I118" i="32"/>
  <c r="F118" i="32"/>
  <c r="C118" i="32" s="1"/>
  <c r="O117" i="32"/>
  <c r="L117" i="32"/>
  <c r="I117" i="32"/>
  <c r="C117" i="32" s="1"/>
  <c r="F117" i="32"/>
  <c r="O116" i="32"/>
  <c r="L116" i="32"/>
  <c r="I116" i="32"/>
  <c r="F116" i="32"/>
  <c r="C116" i="32"/>
  <c r="O115" i="32"/>
  <c r="N115" i="32"/>
  <c r="M115" i="32"/>
  <c r="L115" i="32"/>
  <c r="K115" i="32"/>
  <c r="J115" i="32"/>
  <c r="H115" i="32"/>
  <c r="G115" i="32"/>
  <c r="I115" i="32" s="1"/>
  <c r="E115" i="32"/>
  <c r="D115" i="32"/>
  <c r="F115" i="32" s="1"/>
  <c r="C115" i="32" s="1"/>
  <c r="O114" i="32"/>
  <c r="L114" i="32"/>
  <c r="I114" i="32"/>
  <c r="F114" i="32"/>
  <c r="C114" i="32" s="1"/>
  <c r="O113" i="32"/>
  <c r="L113" i="32"/>
  <c r="I113" i="32"/>
  <c r="C113" i="32" s="1"/>
  <c r="F113" i="32"/>
  <c r="O112" i="32"/>
  <c r="L112" i="32"/>
  <c r="I112" i="32"/>
  <c r="F112" i="32"/>
  <c r="C112" i="32"/>
  <c r="O111" i="32"/>
  <c r="L111" i="32"/>
  <c r="I111" i="32"/>
  <c r="F111" i="32"/>
  <c r="C111" i="32" s="1"/>
  <c r="O110" i="32"/>
  <c r="L110" i="32"/>
  <c r="I110" i="32"/>
  <c r="F110" i="32"/>
  <c r="C110" i="32" s="1"/>
  <c r="O109" i="32"/>
  <c r="L109" i="32"/>
  <c r="I109" i="32"/>
  <c r="C109" i="32" s="1"/>
  <c r="F109" i="32"/>
  <c r="O108" i="32"/>
  <c r="L108" i="32"/>
  <c r="I108" i="32"/>
  <c r="F108" i="32"/>
  <c r="C108" i="32"/>
  <c r="O107" i="32"/>
  <c r="L107" i="32"/>
  <c r="I107" i="32"/>
  <c r="F107" i="32"/>
  <c r="C107" i="32" s="1"/>
  <c r="N106" i="32"/>
  <c r="M106" i="32"/>
  <c r="O106" i="32" s="1"/>
  <c r="L106" i="32"/>
  <c r="K106" i="32"/>
  <c r="J106" i="32"/>
  <c r="I106" i="32"/>
  <c r="H106" i="32"/>
  <c r="G106" i="32"/>
  <c r="E106" i="32"/>
  <c r="D106" i="32"/>
  <c r="F106" i="32" s="1"/>
  <c r="C106" i="32" s="1"/>
  <c r="O105" i="32"/>
  <c r="L105" i="32"/>
  <c r="I105" i="32"/>
  <c r="C105" i="32" s="1"/>
  <c r="F105" i="32"/>
  <c r="O104" i="32"/>
  <c r="L104" i="32"/>
  <c r="I104" i="32"/>
  <c r="F104" i="32"/>
  <c r="C104" i="32"/>
  <c r="O103" i="32"/>
  <c r="L103" i="32"/>
  <c r="I103" i="32"/>
  <c r="F103" i="32"/>
  <c r="C103" i="32" s="1"/>
  <c r="O102" i="32"/>
  <c r="L102" i="32"/>
  <c r="I102" i="32"/>
  <c r="F102" i="32"/>
  <c r="C102" i="32" s="1"/>
  <c r="O101" i="32"/>
  <c r="L101" i="32"/>
  <c r="I101" i="32"/>
  <c r="C101" i="32" s="1"/>
  <c r="F101" i="32"/>
  <c r="O100" i="32"/>
  <c r="L100" i="32"/>
  <c r="I100" i="32"/>
  <c r="F100" i="32"/>
  <c r="C100" i="32"/>
  <c r="O99" i="32"/>
  <c r="L99" i="32"/>
  <c r="I99" i="32"/>
  <c r="F99" i="32"/>
  <c r="C99" i="32" s="1"/>
  <c r="N98" i="32"/>
  <c r="M98" i="32"/>
  <c r="O98" i="32" s="1"/>
  <c r="L98" i="32"/>
  <c r="K98" i="32"/>
  <c r="J98" i="32"/>
  <c r="I98" i="32"/>
  <c r="H98" i="32"/>
  <c r="G98" i="32"/>
  <c r="E98" i="32"/>
  <c r="D98" i="32"/>
  <c r="F98" i="32" s="1"/>
  <c r="C98" i="32" s="1"/>
  <c r="O97" i="32"/>
  <c r="L97" i="32"/>
  <c r="I97" i="32"/>
  <c r="F97" i="32"/>
  <c r="C97" i="32" s="1"/>
  <c r="O96" i="32"/>
  <c r="L96" i="32"/>
  <c r="I96" i="32"/>
  <c r="F96" i="32"/>
  <c r="C96" i="32"/>
  <c r="O95" i="32"/>
  <c r="L95" i="32"/>
  <c r="I95" i="32"/>
  <c r="F95" i="32"/>
  <c r="C95" i="32" s="1"/>
  <c r="O94" i="32"/>
  <c r="L94" i="32"/>
  <c r="I94" i="32"/>
  <c r="F94" i="32"/>
  <c r="C94" i="32" s="1"/>
  <c r="O93" i="32"/>
  <c r="L93" i="32"/>
  <c r="I93" i="32"/>
  <c r="C93" i="32" s="1"/>
  <c r="F93" i="32"/>
  <c r="O92" i="32"/>
  <c r="N92" i="32"/>
  <c r="M92" i="32"/>
  <c r="K92" i="32"/>
  <c r="K86" i="32" s="1"/>
  <c r="J92" i="32"/>
  <c r="L92" i="32" s="1"/>
  <c r="H92" i="32"/>
  <c r="G92" i="32"/>
  <c r="I92" i="32" s="1"/>
  <c r="C92" i="32" s="1"/>
  <c r="F92" i="32"/>
  <c r="E92" i="32"/>
  <c r="D92" i="32"/>
  <c r="O91" i="32"/>
  <c r="L91" i="32"/>
  <c r="I91" i="32"/>
  <c r="F91" i="32"/>
  <c r="C91" i="32" s="1"/>
  <c r="O90" i="32"/>
  <c r="L90" i="32"/>
  <c r="I90" i="32"/>
  <c r="F90" i="32"/>
  <c r="C90" i="32" s="1"/>
  <c r="O89" i="32"/>
  <c r="L89" i="32"/>
  <c r="I89" i="32"/>
  <c r="C89" i="32" s="1"/>
  <c r="F89" i="32"/>
  <c r="O88" i="32"/>
  <c r="L88" i="32"/>
  <c r="I88" i="32"/>
  <c r="F88" i="32"/>
  <c r="C88" i="32"/>
  <c r="O87" i="32"/>
  <c r="N87" i="32"/>
  <c r="M87" i="32"/>
  <c r="L87" i="32"/>
  <c r="K87" i="32"/>
  <c r="J87" i="32"/>
  <c r="H87" i="32"/>
  <c r="H86" i="32" s="1"/>
  <c r="G87" i="32"/>
  <c r="I87" i="32" s="1"/>
  <c r="E87" i="32"/>
  <c r="D87" i="32"/>
  <c r="D86" i="32" s="1"/>
  <c r="F86" i="32" s="1"/>
  <c r="N86" i="32"/>
  <c r="M86" i="32"/>
  <c r="O86" i="32" s="1"/>
  <c r="J86" i="32"/>
  <c r="L86" i="32" s="1"/>
  <c r="E86" i="32"/>
  <c r="O85" i="32"/>
  <c r="L85" i="32"/>
  <c r="C85" i="32" s="1"/>
  <c r="I85" i="32"/>
  <c r="F85" i="32"/>
  <c r="O84" i="32"/>
  <c r="L84" i="32"/>
  <c r="I84" i="32"/>
  <c r="F84" i="32"/>
  <c r="C84" i="32"/>
  <c r="N83" i="32"/>
  <c r="M83" i="32"/>
  <c r="O83" i="32" s="1"/>
  <c r="L83" i="32"/>
  <c r="K83" i="32"/>
  <c r="J83" i="32"/>
  <c r="H83" i="32"/>
  <c r="G83" i="32"/>
  <c r="I83" i="32" s="1"/>
  <c r="E83" i="32"/>
  <c r="D83" i="32"/>
  <c r="F83" i="32" s="1"/>
  <c r="C83" i="32" s="1"/>
  <c r="O82" i="32"/>
  <c r="L82" i="32"/>
  <c r="I82" i="32"/>
  <c r="F82" i="32"/>
  <c r="C82" i="32" s="1"/>
  <c r="O81" i="32"/>
  <c r="L81" i="32"/>
  <c r="C81" i="32" s="1"/>
  <c r="I81" i="32"/>
  <c r="F81" i="32"/>
  <c r="O80" i="32"/>
  <c r="N80" i="32"/>
  <c r="N79" i="32" s="1"/>
  <c r="N78" i="32" s="1"/>
  <c r="M80" i="32"/>
  <c r="K80" i="32"/>
  <c r="K79" i="32" s="1"/>
  <c r="K78" i="32" s="1"/>
  <c r="J80" i="32"/>
  <c r="J79" i="32" s="1"/>
  <c r="H80" i="32"/>
  <c r="G80" i="32"/>
  <c r="G79" i="32" s="1"/>
  <c r="E80" i="32"/>
  <c r="D80" i="32"/>
  <c r="F80" i="32" s="1"/>
  <c r="M79" i="32"/>
  <c r="O79" i="32" s="1"/>
  <c r="H79" i="32"/>
  <c r="H78" i="32" s="1"/>
  <c r="E79" i="32"/>
  <c r="D79" i="32"/>
  <c r="D78" i="32" s="1"/>
  <c r="F78" i="32" s="1"/>
  <c r="O77" i="32"/>
  <c r="L77" i="32"/>
  <c r="C77" i="32" s="1"/>
  <c r="I77" i="32"/>
  <c r="F77" i="32"/>
  <c r="O76" i="32"/>
  <c r="L76" i="32"/>
  <c r="I76" i="32"/>
  <c r="F76" i="32"/>
  <c r="C76" i="32"/>
  <c r="O75" i="32"/>
  <c r="L75" i="32"/>
  <c r="I75" i="32"/>
  <c r="F75" i="32"/>
  <c r="C75" i="32" s="1"/>
  <c r="O74" i="32"/>
  <c r="L74" i="32"/>
  <c r="I74" i="32"/>
  <c r="F74" i="32"/>
  <c r="C74" i="32" s="1"/>
  <c r="O73" i="32"/>
  <c r="L73" i="32"/>
  <c r="I73" i="32"/>
  <c r="C73" i="32" s="1"/>
  <c r="F73" i="32"/>
  <c r="O72" i="32"/>
  <c r="N72" i="32"/>
  <c r="M72" i="32"/>
  <c r="K72" i="32"/>
  <c r="K70" i="32" s="1"/>
  <c r="K56" i="32" s="1"/>
  <c r="J72" i="32"/>
  <c r="L72" i="32" s="1"/>
  <c r="H72" i="32"/>
  <c r="G72" i="32"/>
  <c r="I72" i="32" s="1"/>
  <c r="E72" i="32"/>
  <c r="D72" i="32"/>
  <c r="F72" i="32" s="1"/>
  <c r="C72" i="32" s="1"/>
  <c r="O71" i="32"/>
  <c r="L71" i="32"/>
  <c r="I71" i="32"/>
  <c r="F71" i="32"/>
  <c r="C71" i="32" s="1"/>
  <c r="N70" i="32"/>
  <c r="M70" i="32"/>
  <c r="O70" i="32" s="1"/>
  <c r="J70" i="32"/>
  <c r="L70" i="32" s="1"/>
  <c r="H70" i="32"/>
  <c r="E70" i="32"/>
  <c r="D70" i="32"/>
  <c r="F70" i="32" s="1"/>
  <c r="O69" i="32"/>
  <c r="L69" i="32"/>
  <c r="C69" i="32" s="1"/>
  <c r="I69" i="32"/>
  <c r="F69" i="32"/>
  <c r="O68" i="32"/>
  <c r="L68" i="32"/>
  <c r="I68" i="32"/>
  <c r="F68" i="32"/>
  <c r="C68" i="32"/>
  <c r="O67" i="32"/>
  <c r="L67" i="32"/>
  <c r="I67" i="32"/>
  <c r="F67" i="32"/>
  <c r="C67" i="32" s="1"/>
  <c r="O66" i="32"/>
  <c r="L66" i="32"/>
  <c r="I66" i="32"/>
  <c r="F66" i="32"/>
  <c r="C66" i="32" s="1"/>
  <c r="O65" i="32"/>
  <c r="L65" i="32"/>
  <c r="C65" i="32" s="1"/>
  <c r="I65" i="32"/>
  <c r="F65" i="32"/>
  <c r="O64" i="32"/>
  <c r="L64" i="32"/>
  <c r="I64" i="32"/>
  <c r="F64" i="32"/>
  <c r="C64" i="32"/>
  <c r="O63" i="32"/>
  <c r="L63" i="32"/>
  <c r="I63" i="32"/>
  <c r="F63" i="32"/>
  <c r="C63" i="32" s="1"/>
  <c r="O62" i="32"/>
  <c r="L62" i="32"/>
  <c r="I62" i="32"/>
  <c r="F62" i="32"/>
  <c r="C62" i="32" s="1"/>
  <c r="N61" i="32"/>
  <c r="O61" i="32" s="1"/>
  <c r="M61" i="32"/>
  <c r="K61" i="32"/>
  <c r="J61" i="32"/>
  <c r="L61" i="32" s="1"/>
  <c r="H61" i="32"/>
  <c r="G61" i="32"/>
  <c r="I61" i="32" s="1"/>
  <c r="F61" i="32"/>
  <c r="E61" i="32"/>
  <c r="D61" i="32"/>
  <c r="O60" i="32"/>
  <c r="L60" i="32"/>
  <c r="I60" i="32"/>
  <c r="F60" i="32"/>
  <c r="C60" i="32"/>
  <c r="O59" i="32"/>
  <c r="L59" i="32"/>
  <c r="I59" i="32"/>
  <c r="F59" i="32"/>
  <c r="C59" i="32" s="1"/>
  <c r="N58" i="32"/>
  <c r="M58" i="32"/>
  <c r="M57" i="32" s="1"/>
  <c r="K58" i="32"/>
  <c r="J58" i="32"/>
  <c r="L58" i="32" s="1"/>
  <c r="I58" i="32"/>
  <c r="H58" i="32"/>
  <c r="H57" i="32" s="1"/>
  <c r="H56" i="32" s="1"/>
  <c r="G58" i="32"/>
  <c r="E58" i="32"/>
  <c r="E57" i="32" s="1"/>
  <c r="E56" i="32" s="1"/>
  <c r="E55" i="32" s="1"/>
  <c r="E54" i="32" s="1"/>
  <c r="D58" i="32"/>
  <c r="D57" i="32" s="1"/>
  <c r="N57" i="32"/>
  <c r="N56" i="32" s="1"/>
  <c r="N55" i="32" s="1"/>
  <c r="N54" i="32" s="1"/>
  <c r="N53" i="32" s="1"/>
  <c r="K57" i="32"/>
  <c r="J57" i="32"/>
  <c r="J56" i="32" s="1"/>
  <c r="G57" i="32"/>
  <c r="O50" i="32"/>
  <c r="C50" i="32" s="1"/>
  <c r="O49" i="32"/>
  <c r="C49" i="32"/>
  <c r="O48" i="32"/>
  <c r="C48" i="32" s="1"/>
  <c r="N48" i="32"/>
  <c r="M48" i="32"/>
  <c r="L47" i="32"/>
  <c r="C47" i="32" s="1"/>
  <c r="I47" i="32"/>
  <c r="F47" i="32"/>
  <c r="L46" i="32"/>
  <c r="K46" i="32"/>
  <c r="J46" i="32"/>
  <c r="H46" i="32"/>
  <c r="G46" i="32"/>
  <c r="I46" i="32" s="1"/>
  <c r="E46" i="32"/>
  <c r="D46" i="32"/>
  <c r="F46" i="32" s="1"/>
  <c r="F45" i="32"/>
  <c r="C45" i="32"/>
  <c r="L44" i="32"/>
  <c r="C44" i="32" s="1"/>
  <c r="L43" i="32"/>
  <c r="C43" i="32"/>
  <c r="L42" i="32"/>
  <c r="C42" i="32" s="1"/>
  <c r="L41" i="32"/>
  <c r="C41" i="32"/>
  <c r="L40" i="32"/>
  <c r="C40" i="32" s="1"/>
  <c r="K40" i="32"/>
  <c r="J40" i="32"/>
  <c r="L39" i="32"/>
  <c r="C39" i="32" s="1"/>
  <c r="L38" i="32"/>
  <c r="C38" i="32"/>
  <c r="L37" i="32"/>
  <c r="C37" i="32" s="1"/>
  <c r="K37" i="32"/>
  <c r="J37" i="32"/>
  <c r="L36" i="32"/>
  <c r="C36" i="32" s="1"/>
  <c r="K35" i="32"/>
  <c r="J35" i="32"/>
  <c r="L35" i="32" s="1"/>
  <c r="C35" i="32" s="1"/>
  <c r="L34" i="32"/>
  <c r="C34" i="32"/>
  <c r="L33" i="32"/>
  <c r="C33" i="32" s="1"/>
  <c r="L32" i="32"/>
  <c r="C32" i="32"/>
  <c r="L31" i="32"/>
  <c r="C31" i="32" s="1"/>
  <c r="K31" i="32"/>
  <c r="J31" i="32"/>
  <c r="L30" i="32"/>
  <c r="C30" i="32" s="1"/>
  <c r="K30" i="32"/>
  <c r="J30" i="32"/>
  <c r="F29" i="32"/>
  <c r="C29" i="32" s="1"/>
  <c r="I28" i="32"/>
  <c r="F28" i="32"/>
  <c r="C28" i="32"/>
  <c r="O27" i="32"/>
  <c r="L27" i="32"/>
  <c r="I27" i="32"/>
  <c r="F27" i="32"/>
  <c r="C27" i="32" s="1"/>
  <c r="O26" i="32"/>
  <c r="L26" i="32"/>
  <c r="I26" i="32"/>
  <c r="F26" i="32"/>
  <c r="C26" i="32" s="1"/>
  <c r="N25" i="32"/>
  <c r="N290" i="32" s="1"/>
  <c r="N289" i="32" s="1"/>
  <c r="M25" i="32"/>
  <c r="M290" i="32" s="1"/>
  <c r="K25" i="32"/>
  <c r="K290" i="32" s="1"/>
  <c r="K289" i="32" s="1"/>
  <c r="J25" i="32"/>
  <c r="J290" i="32" s="1"/>
  <c r="I25" i="32"/>
  <c r="H25" i="32"/>
  <c r="H290" i="32" s="1"/>
  <c r="H289" i="32" s="1"/>
  <c r="G25" i="32"/>
  <c r="G290" i="32" s="1"/>
  <c r="F25" i="32"/>
  <c r="E25" i="32"/>
  <c r="E290" i="32" s="1"/>
  <c r="E289" i="32" s="1"/>
  <c r="D25" i="32"/>
  <c r="D290" i="32" s="1"/>
  <c r="N24" i="32"/>
  <c r="O24" i="32" s="1"/>
  <c r="M24" i="32"/>
  <c r="K24" i="32"/>
  <c r="J24" i="32"/>
  <c r="L24" i="32" s="1"/>
  <c r="H24" i="32"/>
  <c r="G24" i="32"/>
  <c r="I24" i="32" s="1"/>
  <c r="F24" i="32"/>
  <c r="E24" i="32"/>
  <c r="D24" i="32"/>
  <c r="O299" i="31"/>
  <c r="L299" i="31"/>
  <c r="I299" i="31"/>
  <c r="F299" i="31"/>
  <c r="C299" i="31"/>
  <c r="O298" i="31"/>
  <c r="L298" i="31"/>
  <c r="I298" i="31"/>
  <c r="F298" i="31"/>
  <c r="C298" i="31" s="1"/>
  <c r="O297" i="31"/>
  <c r="L297" i="31"/>
  <c r="I297" i="31"/>
  <c r="C297" i="31" s="1"/>
  <c r="F297" i="31"/>
  <c r="O296" i="31"/>
  <c r="L296" i="31"/>
  <c r="I296" i="31"/>
  <c r="F296" i="31"/>
  <c r="C296" i="31" s="1"/>
  <c r="O295" i="31"/>
  <c r="L295" i="31"/>
  <c r="I295" i="31"/>
  <c r="C295" i="31" s="1"/>
  <c r="F295" i="31"/>
  <c r="O294" i="31"/>
  <c r="L294" i="31"/>
  <c r="I294" i="31"/>
  <c r="F294" i="31"/>
  <c r="C294" i="31" s="1"/>
  <c r="O293" i="31"/>
  <c r="L293" i="31"/>
  <c r="I293" i="31"/>
  <c r="F293" i="31"/>
  <c r="C293" i="31"/>
  <c r="O292" i="31"/>
  <c r="L292" i="31"/>
  <c r="I292" i="31"/>
  <c r="F292" i="31"/>
  <c r="C292" i="31" s="1"/>
  <c r="N291" i="31"/>
  <c r="M291" i="31"/>
  <c r="O291" i="31" s="1"/>
  <c r="K291" i="31"/>
  <c r="J291" i="31"/>
  <c r="L291" i="31" s="1"/>
  <c r="H291" i="31"/>
  <c r="G291" i="31"/>
  <c r="I291" i="31" s="1"/>
  <c r="E291" i="31"/>
  <c r="F291" i="31" s="1"/>
  <c r="D291" i="31"/>
  <c r="O286" i="31"/>
  <c r="L286" i="31"/>
  <c r="I286" i="31"/>
  <c r="F286" i="31"/>
  <c r="C286" i="31" s="1"/>
  <c r="O285" i="31"/>
  <c r="L285" i="31"/>
  <c r="I285" i="31"/>
  <c r="C285" i="31" s="1"/>
  <c r="F285" i="31"/>
  <c r="N284" i="31"/>
  <c r="N287" i="31" s="1"/>
  <c r="M284" i="31"/>
  <c r="M287" i="31" s="1"/>
  <c r="K284" i="31"/>
  <c r="K287" i="31" s="1"/>
  <c r="J284" i="31"/>
  <c r="H284" i="31"/>
  <c r="H287" i="31" s="1"/>
  <c r="G284" i="31"/>
  <c r="G287" i="31" s="1"/>
  <c r="E284" i="31"/>
  <c r="E287" i="31" s="1"/>
  <c r="D284" i="31"/>
  <c r="F284" i="31" s="1"/>
  <c r="O283" i="31"/>
  <c r="L283" i="31"/>
  <c r="I283" i="31"/>
  <c r="F283" i="31"/>
  <c r="C283" i="31"/>
  <c r="N282" i="31"/>
  <c r="M282" i="31"/>
  <c r="O282" i="31" s="1"/>
  <c r="L282" i="31"/>
  <c r="K282" i="31"/>
  <c r="J282" i="31"/>
  <c r="H282" i="31"/>
  <c r="G282" i="31"/>
  <c r="I282" i="31" s="1"/>
  <c r="E282" i="31"/>
  <c r="D282" i="31"/>
  <c r="F282" i="31" s="1"/>
  <c r="O281" i="31"/>
  <c r="L281" i="31"/>
  <c r="I281" i="31"/>
  <c r="C281" i="31" s="1"/>
  <c r="F281" i="31"/>
  <c r="O280" i="31"/>
  <c r="L280" i="31"/>
  <c r="I280" i="31"/>
  <c r="F280" i="31"/>
  <c r="C280" i="31" s="1"/>
  <c r="O279" i="31"/>
  <c r="O278" i="31" s="1"/>
  <c r="L279" i="31"/>
  <c r="I279" i="31"/>
  <c r="F279" i="31"/>
  <c r="C279" i="31"/>
  <c r="N278" i="31"/>
  <c r="M278" i="31"/>
  <c r="L278" i="31"/>
  <c r="K278" i="31"/>
  <c r="J278" i="31"/>
  <c r="H278" i="31"/>
  <c r="I278" i="31" s="1"/>
  <c r="G278" i="31"/>
  <c r="E278" i="31"/>
  <c r="D278" i="31"/>
  <c r="F278" i="31" s="1"/>
  <c r="O277" i="31"/>
  <c r="L277" i="31"/>
  <c r="I277" i="31"/>
  <c r="C277" i="31" s="1"/>
  <c r="F277" i="31"/>
  <c r="O276" i="31"/>
  <c r="L276" i="31"/>
  <c r="I276" i="31"/>
  <c r="F276" i="31"/>
  <c r="C276" i="31" s="1"/>
  <c r="O275" i="31"/>
  <c r="L275" i="31"/>
  <c r="I275" i="31"/>
  <c r="F275" i="31"/>
  <c r="C275" i="31"/>
  <c r="N274" i="31"/>
  <c r="M274" i="31"/>
  <c r="O274" i="31" s="1"/>
  <c r="L274" i="31"/>
  <c r="K274" i="31"/>
  <c r="J274" i="31"/>
  <c r="H274" i="31"/>
  <c r="I274" i="31" s="1"/>
  <c r="G274" i="31"/>
  <c r="E274" i="31"/>
  <c r="D274" i="31"/>
  <c r="F274" i="31" s="1"/>
  <c r="O273" i="31"/>
  <c r="L273" i="31"/>
  <c r="I273" i="31"/>
  <c r="C273" i="31" s="1"/>
  <c r="F273" i="31"/>
  <c r="N272" i="31"/>
  <c r="M272" i="31"/>
  <c r="O272" i="31" s="1"/>
  <c r="K272" i="31"/>
  <c r="J272" i="31"/>
  <c r="J271" i="31" s="1"/>
  <c r="H272" i="31"/>
  <c r="G272" i="31"/>
  <c r="I272" i="31" s="1"/>
  <c r="F272" i="31"/>
  <c r="E272" i="31"/>
  <c r="D272" i="31"/>
  <c r="O271" i="31"/>
  <c r="N271" i="31"/>
  <c r="M271" i="31"/>
  <c r="K271" i="31"/>
  <c r="H271" i="31"/>
  <c r="G271" i="31"/>
  <c r="I271" i="31" s="1"/>
  <c r="E271" i="31"/>
  <c r="D271" i="31"/>
  <c r="F271" i="31" s="1"/>
  <c r="O270" i="31"/>
  <c r="L270" i="31"/>
  <c r="I270" i="31"/>
  <c r="F270" i="31"/>
  <c r="C270" i="31" s="1"/>
  <c r="O269" i="31"/>
  <c r="L269" i="31"/>
  <c r="I269" i="31"/>
  <c r="F269" i="31"/>
  <c r="C269" i="31" s="1"/>
  <c r="O268" i="31"/>
  <c r="L268" i="31"/>
  <c r="I268" i="31"/>
  <c r="F268" i="31"/>
  <c r="C268" i="31"/>
  <c r="O267" i="31"/>
  <c r="L267" i="31"/>
  <c r="I267" i="31"/>
  <c r="F267" i="31"/>
  <c r="C267" i="31" s="1"/>
  <c r="N266" i="31"/>
  <c r="M266" i="31"/>
  <c r="O266" i="31" s="1"/>
  <c r="K266" i="31"/>
  <c r="L266" i="31" s="1"/>
  <c r="J266" i="31"/>
  <c r="H266" i="31"/>
  <c r="G266" i="31"/>
  <c r="I266" i="31" s="1"/>
  <c r="E266" i="31"/>
  <c r="D266" i="31"/>
  <c r="F266" i="31" s="1"/>
  <c r="O265" i="31"/>
  <c r="L265" i="31"/>
  <c r="I265" i="31"/>
  <c r="F265" i="31"/>
  <c r="C265" i="31" s="1"/>
  <c r="O264" i="31"/>
  <c r="L264" i="31"/>
  <c r="I264" i="31"/>
  <c r="C264" i="31" s="1"/>
  <c r="F264" i="31"/>
  <c r="O263" i="31"/>
  <c r="L263" i="31"/>
  <c r="I263" i="31"/>
  <c r="F263" i="31"/>
  <c r="C263" i="31" s="1"/>
  <c r="N262" i="31"/>
  <c r="M262" i="31"/>
  <c r="O262" i="31" s="1"/>
  <c r="K262" i="31"/>
  <c r="J262" i="31"/>
  <c r="L262" i="31" s="1"/>
  <c r="H262" i="31"/>
  <c r="G262" i="31"/>
  <c r="I262" i="31" s="1"/>
  <c r="E262" i="31"/>
  <c r="D262" i="31"/>
  <c r="F262" i="31" s="1"/>
  <c r="N261" i="31"/>
  <c r="M261" i="31"/>
  <c r="O261" i="31" s="1"/>
  <c r="K261" i="31"/>
  <c r="J261" i="31"/>
  <c r="L261" i="31" s="1"/>
  <c r="H261" i="31"/>
  <c r="G261" i="31"/>
  <c r="I261" i="31" s="1"/>
  <c r="E261" i="31"/>
  <c r="D261" i="31"/>
  <c r="F261" i="31" s="1"/>
  <c r="O260" i="31"/>
  <c r="L260" i="31"/>
  <c r="I260" i="31"/>
  <c r="C260" i="31" s="1"/>
  <c r="F260" i="31"/>
  <c r="O259" i="31"/>
  <c r="L259" i="31"/>
  <c r="I259" i="31"/>
  <c r="F259" i="31"/>
  <c r="C259" i="31"/>
  <c r="O258" i="31"/>
  <c r="L258" i="31"/>
  <c r="I258" i="31"/>
  <c r="F258" i="31"/>
  <c r="C258" i="31"/>
  <c r="O257" i="31"/>
  <c r="L257" i="31"/>
  <c r="I257" i="31"/>
  <c r="F257" i="31"/>
  <c r="C257" i="31" s="1"/>
  <c r="O256" i="31"/>
  <c r="L256" i="31"/>
  <c r="I256" i="31"/>
  <c r="F256" i="31"/>
  <c r="C256" i="31" s="1"/>
  <c r="N255" i="31"/>
  <c r="M255" i="31"/>
  <c r="O255" i="31" s="1"/>
  <c r="K255" i="31"/>
  <c r="J255" i="31"/>
  <c r="L255" i="31" s="1"/>
  <c r="H255" i="31"/>
  <c r="G255" i="31"/>
  <c r="I255" i="31" s="1"/>
  <c r="E255" i="31"/>
  <c r="D255" i="31"/>
  <c r="F255" i="31" s="1"/>
  <c r="C255" i="31" s="1"/>
  <c r="N254" i="31"/>
  <c r="M254" i="31"/>
  <c r="O254" i="31" s="1"/>
  <c r="K254" i="31"/>
  <c r="J254" i="31"/>
  <c r="L254" i="31" s="1"/>
  <c r="H254" i="31"/>
  <c r="G254" i="31"/>
  <c r="I254" i="31" s="1"/>
  <c r="E254" i="31"/>
  <c r="D254" i="31"/>
  <c r="F254" i="31" s="1"/>
  <c r="C254" i="31" s="1"/>
  <c r="O253" i="31"/>
  <c r="L253" i="31"/>
  <c r="I253" i="31"/>
  <c r="F253" i="31"/>
  <c r="C253" i="31" s="1"/>
  <c r="O252" i="31"/>
  <c r="L252" i="31"/>
  <c r="I252" i="31"/>
  <c r="F252" i="31"/>
  <c r="C252" i="31" s="1"/>
  <c r="O251" i="31"/>
  <c r="L251" i="31"/>
  <c r="I251" i="31"/>
  <c r="F251" i="31"/>
  <c r="C251" i="31"/>
  <c r="O250" i="31"/>
  <c r="L250" i="31"/>
  <c r="I250" i="31"/>
  <c r="F250" i="31"/>
  <c r="C250" i="31" s="1"/>
  <c r="N249" i="31"/>
  <c r="M249" i="31"/>
  <c r="O249" i="31" s="1"/>
  <c r="K249" i="31"/>
  <c r="L249" i="31" s="1"/>
  <c r="J249" i="31"/>
  <c r="H249" i="31"/>
  <c r="G249" i="31"/>
  <c r="I249" i="31" s="1"/>
  <c r="E249" i="31"/>
  <c r="D249" i="31"/>
  <c r="F249" i="31" s="1"/>
  <c r="O248" i="31"/>
  <c r="L248" i="31"/>
  <c r="I248" i="31"/>
  <c r="F248" i="31"/>
  <c r="C248" i="31" s="1"/>
  <c r="O247" i="31"/>
  <c r="L247" i="31"/>
  <c r="C247" i="31" s="1"/>
  <c r="I247" i="31"/>
  <c r="F247" i="31"/>
  <c r="O246" i="31"/>
  <c r="L246" i="31"/>
  <c r="I246" i="31"/>
  <c r="F246" i="31"/>
  <c r="C246" i="31"/>
  <c r="O245" i="31"/>
  <c r="L245" i="31"/>
  <c r="I245" i="31"/>
  <c r="F245" i="31"/>
  <c r="C245" i="31" s="1"/>
  <c r="O244" i="31"/>
  <c r="L244" i="31"/>
  <c r="I244" i="31"/>
  <c r="F244" i="31"/>
  <c r="C244" i="31" s="1"/>
  <c r="O243" i="31"/>
  <c r="L243" i="31"/>
  <c r="I243" i="31"/>
  <c r="F243" i="31"/>
  <c r="C243" i="31"/>
  <c r="O242" i="31"/>
  <c r="L242" i="31"/>
  <c r="I242" i="31"/>
  <c r="F242" i="31"/>
  <c r="C242" i="31" s="1"/>
  <c r="N241" i="31"/>
  <c r="M241" i="31"/>
  <c r="O241" i="31" s="1"/>
  <c r="K241" i="31"/>
  <c r="L241" i="31" s="1"/>
  <c r="J241" i="31"/>
  <c r="H241" i="31"/>
  <c r="G241" i="31"/>
  <c r="I241" i="31" s="1"/>
  <c r="E241" i="31"/>
  <c r="D241" i="31"/>
  <c r="F241" i="31" s="1"/>
  <c r="C241" i="31" s="1"/>
  <c r="O240" i="31"/>
  <c r="L240" i="31"/>
  <c r="I240" i="31"/>
  <c r="F240" i="31"/>
  <c r="C240" i="31" s="1"/>
  <c r="O239" i="31"/>
  <c r="L239" i="31"/>
  <c r="I239" i="31"/>
  <c r="F239" i="31"/>
  <c r="C239" i="31"/>
  <c r="N238" i="31"/>
  <c r="M238" i="31"/>
  <c r="O238" i="31" s="1"/>
  <c r="L238" i="31"/>
  <c r="K238" i="31"/>
  <c r="J238" i="31"/>
  <c r="H238" i="31"/>
  <c r="G238" i="31"/>
  <c r="I238" i="31" s="1"/>
  <c r="E238" i="31"/>
  <c r="D238" i="31"/>
  <c r="F238" i="31" s="1"/>
  <c r="O237" i="31"/>
  <c r="L237" i="31"/>
  <c r="I237" i="31"/>
  <c r="C237" i="31" s="1"/>
  <c r="F237" i="31"/>
  <c r="N236" i="31"/>
  <c r="M236" i="31"/>
  <c r="O236" i="31" s="1"/>
  <c r="K236" i="31"/>
  <c r="J236" i="31"/>
  <c r="L236" i="31" s="1"/>
  <c r="H236" i="31"/>
  <c r="G236" i="31"/>
  <c r="I236" i="31" s="1"/>
  <c r="F236" i="31"/>
  <c r="E236" i="31"/>
  <c r="D236" i="31"/>
  <c r="O235" i="31"/>
  <c r="L235" i="31"/>
  <c r="I235" i="31"/>
  <c r="F235" i="31"/>
  <c r="C235" i="31"/>
  <c r="N234" i="31"/>
  <c r="M234" i="31"/>
  <c r="O234" i="31" s="1"/>
  <c r="K234" i="31"/>
  <c r="J234" i="31"/>
  <c r="L234" i="31" s="1"/>
  <c r="H234" i="31"/>
  <c r="G234" i="31"/>
  <c r="I234" i="31" s="1"/>
  <c r="E234" i="31"/>
  <c r="D234" i="31"/>
  <c r="F234" i="31" s="1"/>
  <c r="C234" i="31" s="1"/>
  <c r="N233" i="31"/>
  <c r="M233" i="31"/>
  <c r="O233" i="31" s="1"/>
  <c r="K233" i="31"/>
  <c r="J233" i="31"/>
  <c r="L233" i="31" s="1"/>
  <c r="H233" i="31"/>
  <c r="G233" i="31"/>
  <c r="I233" i="31" s="1"/>
  <c r="E233" i="31"/>
  <c r="D233" i="31"/>
  <c r="F233" i="31" s="1"/>
  <c r="C233" i="31" s="1"/>
  <c r="O232" i="31"/>
  <c r="L232" i="31"/>
  <c r="I232" i="31"/>
  <c r="F232" i="31"/>
  <c r="C232" i="31"/>
  <c r="O231" i="31"/>
  <c r="L231" i="31"/>
  <c r="I231" i="31"/>
  <c r="F231" i="31"/>
  <c r="C231" i="31" s="1"/>
  <c r="N230" i="31"/>
  <c r="M230" i="31"/>
  <c r="O230" i="31" s="1"/>
  <c r="K230" i="31"/>
  <c r="J230" i="31"/>
  <c r="L230" i="31" s="1"/>
  <c r="H230" i="31"/>
  <c r="G230" i="31"/>
  <c r="I230" i="31" s="1"/>
  <c r="E230" i="31"/>
  <c r="D230" i="31"/>
  <c r="F230" i="31" s="1"/>
  <c r="C230" i="31" s="1"/>
  <c r="O229" i="31"/>
  <c r="L229" i="31"/>
  <c r="I229" i="31"/>
  <c r="F229" i="31"/>
  <c r="C229" i="31" s="1"/>
  <c r="O228" i="31"/>
  <c r="L228" i="31"/>
  <c r="I228" i="31"/>
  <c r="F228" i="31"/>
  <c r="C228" i="31"/>
  <c r="O227" i="31"/>
  <c r="L227" i="31"/>
  <c r="I227" i="31"/>
  <c r="F227" i="31"/>
  <c r="C227" i="31" s="1"/>
  <c r="O226" i="31"/>
  <c r="L226" i="31"/>
  <c r="I226" i="31"/>
  <c r="F226" i="31"/>
  <c r="C226" i="31" s="1"/>
  <c r="O225" i="31"/>
  <c r="L225" i="31"/>
  <c r="I225" i="31"/>
  <c r="F225" i="31"/>
  <c r="C225" i="31" s="1"/>
  <c r="O224" i="31"/>
  <c r="L224" i="31"/>
  <c r="I224" i="31"/>
  <c r="F224" i="31"/>
  <c r="C224" i="31"/>
  <c r="O223" i="31"/>
  <c r="L223" i="31"/>
  <c r="I223" i="31"/>
  <c r="F223" i="31"/>
  <c r="C223" i="31" s="1"/>
  <c r="O222" i="31"/>
  <c r="L222" i="31"/>
  <c r="I222" i="31"/>
  <c r="F222" i="31"/>
  <c r="C222" i="31" s="1"/>
  <c r="O221" i="31"/>
  <c r="L221" i="31"/>
  <c r="I221" i="31"/>
  <c r="F221" i="31"/>
  <c r="C221" i="31"/>
  <c r="O220" i="31"/>
  <c r="L220" i="31"/>
  <c r="I220" i="31"/>
  <c r="F220" i="31"/>
  <c r="C220" i="31" s="1"/>
  <c r="N219" i="31"/>
  <c r="M219" i="31"/>
  <c r="O219" i="31" s="1"/>
  <c r="K219" i="31"/>
  <c r="J219" i="31"/>
  <c r="L219" i="31" s="1"/>
  <c r="H219" i="31"/>
  <c r="G219" i="31"/>
  <c r="I219" i="31" s="1"/>
  <c r="E219" i="31"/>
  <c r="D219" i="31"/>
  <c r="F219" i="31" s="1"/>
  <c r="C219" i="31" s="1"/>
  <c r="O218" i="31"/>
  <c r="L218" i="31"/>
  <c r="I218" i="31"/>
  <c r="F218" i="31"/>
  <c r="C218" i="31" s="1"/>
  <c r="O217" i="31"/>
  <c r="L217" i="31"/>
  <c r="I217" i="31"/>
  <c r="F217" i="31"/>
  <c r="C217" i="31"/>
  <c r="O216" i="31"/>
  <c r="L216" i="31"/>
  <c r="I216" i="31"/>
  <c r="F216" i="31"/>
  <c r="C216" i="31" s="1"/>
  <c r="O215" i="31"/>
  <c r="L215" i="31"/>
  <c r="I215" i="31"/>
  <c r="F215" i="31"/>
  <c r="C215" i="31" s="1"/>
  <c r="O214" i="31"/>
  <c r="L214" i="31"/>
  <c r="I214" i="31"/>
  <c r="F214" i="31"/>
  <c r="C214" i="31" s="1"/>
  <c r="O213" i="31"/>
  <c r="L213" i="31"/>
  <c r="I213" i="31"/>
  <c r="F213" i="31"/>
  <c r="C213" i="31"/>
  <c r="O212" i="31"/>
  <c r="L212" i="31"/>
  <c r="I212" i="31"/>
  <c r="F212" i="31"/>
  <c r="C212" i="31" s="1"/>
  <c r="O211" i="31"/>
  <c r="L211" i="31"/>
  <c r="I211" i="31"/>
  <c r="F211" i="31"/>
  <c r="C211" i="31" s="1"/>
  <c r="O210" i="31"/>
  <c r="L210" i="31"/>
  <c r="I210" i="31"/>
  <c r="F210" i="31"/>
  <c r="C210" i="31" s="1"/>
  <c r="O209" i="31"/>
  <c r="L209" i="31"/>
  <c r="I209" i="31"/>
  <c r="F209" i="31"/>
  <c r="C209" i="31"/>
  <c r="O208" i="31"/>
  <c r="N208" i="31"/>
  <c r="M208" i="31"/>
  <c r="K208" i="31"/>
  <c r="L208" i="31" s="1"/>
  <c r="J208" i="31"/>
  <c r="H208" i="31"/>
  <c r="G208" i="31"/>
  <c r="I208" i="31" s="1"/>
  <c r="E208" i="31"/>
  <c r="D208" i="31"/>
  <c r="F208" i="31" s="1"/>
  <c r="C208" i="31" s="1"/>
  <c r="N207" i="31"/>
  <c r="M207" i="31"/>
  <c r="O207" i="31" s="1"/>
  <c r="K207" i="31"/>
  <c r="J207" i="31"/>
  <c r="L207" i="31" s="1"/>
  <c r="H207" i="31"/>
  <c r="G207" i="31"/>
  <c r="I207" i="31" s="1"/>
  <c r="E207" i="31"/>
  <c r="D207" i="31"/>
  <c r="F207" i="31" s="1"/>
  <c r="C207" i="31" s="1"/>
  <c r="O206" i="31"/>
  <c r="L206" i="31"/>
  <c r="I206" i="31"/>
  <c r="C206" i="31" s="1"/>
  <c r="F206" i="31"/>
  <c r="O205" i="31"/>
  <c r="L205" i="31"/>
  <c r="I205" i="31"/>
  <c r="F205" i="31"/>
  <c r="C205" i="31"/>
  <c r="O204" i="31"/>
  <c r="L204" i="31"/>
  <c r="I204" i="31"/>
  <c r="F204" i="31"/>
  <c r="C204" i="31" s="1"/>
  <c r="O203" i="31"/>
  <c r="L203" i="31"/>
  <c r="I203" i="31"/>
  <c r="F203" i="31"/>
  <c r="C203" i="31" s="1"/>
  <c r="O202" i="31"/>
  <c r="L202" i="31"/>
  <c r="I202" i="31"/>
  <c r="C202" i="31" s="1"/>
  <c r="F202" i="31"/>
  <c r="N201" i="31"/>
  <c r="O201" i="31" s="1"/>
  <c r="M201" i="31"/>
  <c r="K201" i="31"/>
  <c r="J201" i="31"/>
  <c r="L201" i="31" s="1"/>
  <c r="H201" i="31"/>
  <c r="G201" i="31"/>
  <c r="I201" i="31" s="1"/>
  <c r="E201" i="31"/>
  <c r="D201" i="31"/>
  <c r="F201" i="31" s="1"/>
  <c r="O200" i="31"/>
  <c r="L200" i="31"/>
  <c r="I200" i="31"/>
  <c r="F200" i="31"/>
  <c r="C200" i="31" s="1"/>
  <c r="N199" i="31"/>
  <c r="M199" i="31"/>
  <c r="O199" i="31" s="1"/>
  <c r="K199" i="31"/>
  <c r="J199" i="31"/>
  <c r="L199" i="31" s="1"/>
  <c r="I199" i="31"/>
  <c r="H199" i="31"/>
  <c r="G199" i="31"/>
  <c r="F199" i="31"/>
  <c r="C199" i="31" s="1"/>
  <c r="E199" i="31"/>
  <c r="D199" i="31"/>
  <c r="N198" i="31"/>
  <c r="O198" i="31" s="1"/>
  <c r="M198" i="31"/>
  <c r="K198" i="31"/>
  <c r="J198" i="31"/>
  <c r="L198" i="31" s="1"/>
  <c r="H198" i="31"/>
  <c r="G198" i="31"/>
  <c r="I198" i="31" s="1"/>
  <c r="E198" i="31"/>
  <c r="D198" i="31"/>
  <c r="F198" i="31" s="1"/>
  <c r="N197" i="31"/>
  <c r="M197" i="31"/>
  <c r="O197" i="31" s="1"/>
  <c r="K197" i="31"/>
  <c r="H197" i="31"/>
  <c r="G197" i="31"/>
  <c r="I197" i="31" s="1"/>
  <c r="E197" i="31"/>
  <c r="D197" i="31"/>
  <c r="F197" i="31" s="1"/>
  <c r="O196" i="31"/>
  <c r="L196" i="31"/>
  <c r="I196" i="31"/>
  <c r="F196" i="31"/>
  <c r="C196" i="31"/>
  <c r="O195" i="31"/>
  <c r="N195" i="31"/>
  <c r="M195" i="31"/>
  <c r="K195" i="31"/>
  <c r="J195" i="31"/>
  <c r="L195" i="31" s="1"/>
  <c r="H195" i="31"/>
  <c r="G195" i="31"/>
  <c r="I195" i="31" s="1"/>
  <c r="E195" i="31"/>
  <c r="D195" i="31"/>
  <c r="F195" i="31" s="1"/>
  <c r="C195" i="31" s="1"/>
  <c r="N194" i="31"/>
  <c r="M194" i="31"/>
  <c r="O194" i="31" s="1"/>
  <c r="L194" i="31"/>
  <c r="K194" i="31"/>
  <c r="J194" i="31"/>
  <c r="H194" i="31"/>
  <c r="G194" i="31"/>
  <c r="I194" i="31" s="1"/>
  <c r="E194" i="31"/>
  <c r="D194" i="31"/>
  <c r="F194" i="31" s="1"/>
  <c r="O193" i="31"/>
  <c r="L193" i="31"/>
  <c r="I193" i="31"/>
  <c r="F193" i="31"/>
  <c r="C193" i="31" s="1"/>
  <c r="O192" i="31"/>
  <c r="L192" i="31"/>
  <c r="I192" i="31"/>
  <c r="F192" i="31"/>
  <c r="C192" i="31"/>
  <c r="O191" i="31"/>
  <c r="N191" i="31"/>
  <c r="M191" i="31"/>
  <c r="K191" i="31"/>
  <c r="L191" i="31" s="1"/>
  <c r="J191" i="31"/>
  <c r="H191" i="31"/>
  <c r="G191" i="31"/>
  <c r="I191" i="31" s="1"/>
  <c r="E191" i="31"/>
  <c r="D191" i="31"/>
  <c r="F191" i="31" s="1"/>
  <c r="N190" i="31"/>
  <c r="M190" i="31"/>
  <c r="O190" i="31" s="1"/>
  <c r="L190" i="31"/>
  <c r="K190" i="31"/>
  <c r="J190" i="31"/>
  <c r="H190" i="31"/>
  <c r="G190" i="31"/>
  <c r="I190" i="31" s="1"/>
  <c r="E190" i="31"/>
  <c r="D190" i="31"/>
  <c r="F190" i="31" s="1"/>
  <c r="C190" i="31" s="1"/>
  <c r="O189" i="31"/>
  <c r="L189" i="31"/>
  <c r="I189" i="31"/>
  <c r="F189" i="31"/>
  <c r="C189" i="31" s="1"/>
  <c r="O188" i="31"/>
  <c r="L188" i="31"/>
  <c r="C188" i="31" s="1"/>
  <c r="I188" i="31"/>
  <c r="F188" i="31"/>
  <c r="O187" i="31"/>
  <c r="N187" i="31"/>
  <c r="M187" i="31"/>
  <c r="K187" i="31"/>
  <c r="L187" i="31" s="1"/>
  <c r="J187" i="31"/>
  <c r="H187" i="31"/>
  <c r="G187" i="31"/>
  <c r="I187" i="31" s="1"/>
  <c r="E187" i="31"/>
  <c r="D187" i="31"/>
  <c r="F187" i="31" s="1"/>
  <c r="O186" i="31"/>
  <c r="L186" i="31"/>
  <c r="I186" i="31"/>
  <c r="F186" i="31"/>
  <c r="C186" i="31" s="1"/>
  <c r="O185" i="31"/>
  <c r="L185" i="31"/>
  <c r="I185" i="31"/>
  <c r="F185" i="31"/>
  <c r="C185" i="31" s="1"/>
  <c r="O184" i="31"/>
  <c r="L184" i="31"/>
  <c r="C184" i="31" s="1"/>
  <c r="I184" i="31"/>
  <c r="F184" i="31"/>
  <c r="O183" i="31"/>
  <c r="L183" i="31"/>
  <c r="I183" i="31"/>
  <c r="F183" i="31"/>
  <c r="C183" i="31"/>
  <c r="N182" i="31"/>
  <c r="M182" i="31"/>
  <c r="O182" i="31" s="1"/>
  <c r="L182" i="31"/>
  <c r="K182" i="31"/>
  <c r="J182" i="31"/>
  <c r="H182" i="31"/>
  <c r="G182" i="31"/>
  <c r="I182" i="31" s="1"/>
  <c r="E182" i="31"/>
  <c r="D182" i="31"/>
  <c r="F182" i="31" s="1"/>
  <c r="O181" i="31"/>
  <c r="L181" i="31"/>
  <c r="I181" i="31"/>
  <c r="F181" i="31"/>
  <c r="C181" i="31" s="1"/>
  <c r="O180" i="31"/>
  <c r="L180" i="31"/>
  <c r="C180" i="31" s="1"/>
  <c r="I180" i="31"/>
  <c r="F180" i="31"/>
  <c r="O179" i="31"/>
  <c r="L179" i="31"/>
  <c r="I179" i="31"/>
  <c r="F179" i="31"/>
  <c r="C179" i="31"/>
  <c r="N178" i="31"/>
  <c r="M178" i="31"/>
  <c r="O178" i="31" s="1"/>
  <c r="L178" i="31"/>
  <c r="K178" i="31"/>
  <c r="J178" i="31"/>
  <c r="H178" i="31"/>
  <c r="I178" i="31" s="1"/>
  <c r="G178" i="31"/>
  <c r="E178" i="31"/>
  <c r="D178" i="31"/>
  <c r="F178" i="31" s="1"/>
  <c r="N177" i="31"/>
  <c r="M177" i="31"/>
  <c r="O177" i="31" s="1"/>
  <c r="K177" i="31"/>
  <c r="J177" i="31"/>
  <c r="L177" i="31" s="1"/>
  <c r="H177" i="31"/>
  <c r="G177" i="31"/>
  <c r="I177" i="31" s="1"/>
  <c r="E177" i="31"/>
  <c r="D177" i="31"/>
  <c r="F177" i="31" s="1"/>
  <c r="C177" i="31" s="1"/>
  <c r="N176" i="31"/>
  <c r="M176" i="31"/>
  <c r="O176" i="31" s="1"/>
  <c r="K176" i="31"/>
  <c r="J176" i="31"/>
  <c r="L176" i="31" s="1"/>
  <c r="H176" i="31"/>
  <c r="G176" i="31"/>
  <c r="I176" i="31" s="1"/>
  <c r="F176" i="31"/>
  <c r="C176" i="31" s="1"/>
  <c r="E176" i="31"/>
  <c r="D176" i="31"/>
  <c r="O175" i="31"/>
  <c r="L175" i="31"/>
  <c r="I175" i="31"/>
  <c r="F175" i="31"/>
  <c r="C175" i="31"/>
  <c r="O174" i="31"/>
  <c r="L174" i="31"/>
  <c r="I174" i="31"/>
  <c r="F174" i="31"/>
  <c r="C174" i="31" s="1"/>
  <c r="O173" i="31"/>
  <c r="L173" i="31"/>
  <c r="I173" i="31"/>
  <c r="C173" i="31" s="1"/>
  <c r="F173" i="31"/>
  <c r="O172" i="31"/>
  <c r="L172" i="31"/>
  <c r="I172" i="31"/>
  <c r="F172" i="31"/>
  <c r="C172" i="31" s="1"/>
  <c r="O171" i="31"/>
  <c r="L171" i="31"/>
  <c r="I171" i="31"/>
  <c r="F171" i="31"/>
  <c r="C171" i="31"/>
  <c r="O170" i="31"/>
  <c r="L170" i="31"/>
  <c r="I170" i="31"/>
  <c r="F170" i="31"/>
  <c r="C170" i="31" s="1"/>
  <c r="N169" i="31"/>
  <c r="M169" i="31"/>
  <c r="O169" i="31" s="1"/>
  <c r="K169" i="31"/>
  <c r="J169" i="31"/>
  <c r="L169" i="31" s="1"/>
  <c r="I169" i="31"/>
  <c r="H169" i="31"/>
  <c r="G169" i="31"/>
  <c r="E169" i="31"/>
  <c r="F169" i="31" s="1"/>
  <c r="C169" i="31" s="1"/>
  <c r="D169" i="31"/>
  <c r="N168" i="31"/>
  <c r="O168" i="31" s="1"/>
  <c r="M168" i="31"/>
  <c r="K168" i="31"/>
  <c r="J168" i="31"/>
  <c r="L168" i="31" s="1"/>
  <c r="H168" i="31"/>
  <c r="G168" i="31"/>
  <c r="I168" i="31" s="1"/>
  <c r="F168" i="31"/>
  <c r="C168" i="31" s="1"/>
  <c r="E168" i="31"/>
  <c r="D168" i="31"/>
  <c r="O167" i="31"/>
  <c r="L167" i="31"/>
  <c r="I167" i="31"/>
  <c r="F167" i="31"/>
  <c r="C167" i="31"/>
  <c r="O166" i="31"/>
  <c r="L166" i="31"/>
  <c r="I166" i="31"/>
  <c r="F166" i="31"/>
  <c r="C166" i="31" s="1"/>
  <c r="O165" i="31"/>
  <c r="L165" i="31"/>
  <c r="I165" i="31"/>
  <c r="C165" i="31" s="1"/>
  <c r="F165" i="31"/>
  <c r="O164" i="31"/>
  <c r="L164" i="31"/>
  <c r="C164" i="31" s="1"/>
  <c r="I164" i="31"/>
  <c r="F164" i="31"/>
  <c r="O163" i="31"/>
  <c r="N163" i="31"/>
  <c r="M163" i="31"/>
  <c r="K163" i="31"/>
  <c r="L163" i="31" s="1"/>
  <c r="J163" i="31"/>
  <c r="H163" i="31"/>
  <c r="G163" i="31"/>
  <c r="I163" i="31" s="1"/>
  <c r="E163" i="31"/>
  <c r="D163" i="31"/>
  <c r="F163" i="31" s="1"/>
  <c r="C163" i="31" s="1"/>
  <c r="O162" i="31"/>
  <c r="L162" i="31"/>
  <c r="I162" i="31"/>
  <c r="F162" i="31"/>
  <c r="C162" i="31" s="1"/>
  <c r="O161" i="31"/>
  <c r="L161" i="31"/>
  <c r="I161" i="31"/>
  <c r="C161" i="31" s="1"/>
  <c r="F161" i="31"/>
  <c r="O160" i="31"/>
  <c r="L160" i="31"/>
  <c r="C160" i="31" s="1"/>
  <c r="I160" i="31"/>
  <c r="F160" i="31"/>
  <c r="O159" i="31"/>
  <c r="L159" i="31"/>
  <c r="I159" i="31"/>
  <c r="F159" i="31"/>
  <c r="C159" i="31"/>
  <c r="O158" i="31"/>
  <c r="L158" i="31"/>
  <c r="I158" i="31"/>
  <c r="F158" i="31"/>
  <c r="C158" i="31" s="1"/>
  <c r="O157" i="31"/>
  <c r="L157" i="31"/>
  <c r="I157" i="31"/>
  <c r="F157" i="31"/>
  <c r="C157" i="31" s="1"/>
  <c r="O156" i="31"/>
  <c r="L156" i="31"/>
  <c r="I156" i="31"/>
  <c r="F156" i="31"/>
  <c r="C156" i="31"/>
  <c r="O155" i="31"/>
  <c r="L155" i="31"/>
  <c r="I155" i="31"/>
  <c r="F155" i="31"/>
  <c r="C155" i="31" s="1"/>
  <c r="N154" i="31"/>
  <c r="M154" i="31"/>
  <c r="O154" i="31" s="1"/>
  <c r="K154" i="31"/>
  <c r="J154" i="31"/>
  <c r="L154" i="31" s="1"/>
  <c r="I154" i="31"/>
  <c r="H154" i="31"/>
  <c r="G154" i="31"/>
  <c r="E154" i="31"/>
  <c r="D154" i="31"/>
  <c r="F154" i="31" s="1"/>
  <c r="O153" i="31"/>
  <c r="L153" i="31"/>
  <c r="I153" i="31"/>
  <c r="C153" i="31" s="1"/>
  <c r="F153" i="31"/>
  <c r="O152" i="31"/>
  <c r="L152" i="31"/>
  <c r="I152" i="31"/>
  <c r="F152" i="31"/>
  <c r="C152" i="31"/>
  <c r="O151" i="31"/>
  <c r="L151" i="31"/>
  <c r="I151" i="31"/>
  <c r="F151" i="31"/>
  <c r="C151" i="31" s="1"/>
  <c r="O150" i="31"/>
  <c r="L150" i="31"/>
  <c r="I150" i="31"/>
  <c r="F150" i="31"/>
  <c r="C150" i="31" s="1"/>
  <c r="O149" i="31"/>
  <c r="L149" i="31"/>
  <c r="I149" i="31"/>
  <c r="C149" i="31" s="1"/>
  <c r="F149" i="31"/>
  <c r="O148" i="31"/>
  <c r="L148" i="31"/>
  <c r="I148" i="31"/>
  <c r="F148" i="31"/>
  <c r="C148" i="31"/>
  <c r="N147" i="31"/>
  <c r="M147" i="31"/>
  <c r="O147" i="31" s="1"/>
  <c r="L147" i="31"/>
  <c r="K147" i="31"/>
  <c r="J147" i="31"/>
  <c r="H147" i="31"/>
  <c r="G147" i="31"/>
  <c r="I147" i="31" s="1"/>
  <c r="E147" i="31"/>
  <c r="D147" i="31"/>
  <c r="F147" i="31" s="1"/>
  <c r="O146" i="31"/>
  <c r="L146" i="31"/>
  <c r="I146" i="31"/>
  <c r="F146" i="31"/>
  <c r="C146" i="31" s="1"/>
  <c r="O145" i="31"/>
  <c r="L145" i="31"/>
  <c r="I145" i="31"/>
  <c r="C145" i="31" s="1"/>
  <c r="F145" i="31"/>
  <c r="O144" i="31"/>
  <c r="N144" i="31"/>
  <c r="M144" i="31"/>
  <c r="K144" i="31"/>
  <c r="J144" i="31"/>
  <c r="L144" i="31" s="1"/>
  <c r="H144" i="31"/>
  <c r="G144" i="31"/>
  <c r="I144" i="31" s="1"/>
  <c r="E144" i="31"/>
  <c r="D144" i="31"/>
  <c r="F144" i="31" s="1"/>
  <c r="O143" i="31"/>
  <c r="L143" i="31"/>
  <c r="I143" i="31"/>
  <c r="F143" i="31"/>
  <c r="C143" i="31" s="1"/>
  <c r="O142" i="31"/>
  <c r="L142" i="31"/>
  <c r="I142" i="31"/>
  <c r="F142" i="31"/>
  <c r="C142" i="31" s="1"/>
  <c r="O141" i="31"/>
  <c r="L141" i="31"/>
  <c r="I141" i="31"/>
  <c r="F141" i="31"/>
  <c r="C141" i="31" s="1"/>
  <c r="O140" i="31"/>
  <c r="L140" i="31"/>
  <c r="I140" i="31"/>
  <c r="F140" i="31"/>
  <c r="C140" i="31"/>
  <c r="N139" i="31"/>
  <c r="O139" i="31" s="1"/>
  <c r="M139" i="31"/>
  <c r="K139" i="31"/>
  <c r="J139" i="31"/>
  <c r="L139" i="31" s="1"/>
  <c r="H139" i="31"/>
  <c r="G139" i="31"/>
  <c r="I139" i="31" s="1"/>
  <c r="E139" i="31"/>
  <c r="D139" i="31"/>
  <c r="F139" i="31" s="1"/>
  <c r="C139" i="31" s="1"/>
  <c r="O138" i="31"/>
  <c r="L138" i="31"/>
  <c r="I138" i="31"/>
  <c r="F138" i="31"/>
  <c r="C138" i="31" s="1"/>
  <c r="O137" i="31"/>
  <c r="L137" i="31"/>
  <c r="I137" i="31"/>
  <c r="F137" i="31"/>
  <c r="C137" i="31" s="1"/>
  <c r="O136" i="31"/>
  <c r="L136" i="31"/>
  <c r="I136" i="31"/>
  <c r="F136" i="31"/>
  <c r="C136" i="31"/>
  <c r="O135" i="31"/>
  <c r="L135" i="31"/>
  <c r="I135" i="31"/>
  <c r="F135" i="31"/>
  <c r="C135" i="31" s="1"/>
  <c r="N134" i="31"/>
  <c r="M134" i="31"/>
  <c r="O134" i="31" s="1"/>
  <c r="L134" i="31"/>
  <c r="K134" i="31"/>
  <c r="J134" i="31"/>
  <c r="H134" i="31"/>
  <c r="G134" i="31"/>
  <c r="I134" i="31" s="1"/>
  <c r="E134" i="31"/>
  <c r="D134" i="31"/>
  <c r="F134" i="31" s="1"/>
  <c r="N133" i="31"/>
  <c r="M133" i="31"/>
  <c r="O133" i="31" s="1"/>
  <c r="K133" i="31"/>
  <c r="J133" i="31"/>
  <c r="L133" i="31" s="1"/>
  <c r="I133" i="31"/>
  <c r="H133" i="31"/>
  <c r="G133" i="31"/>
  <c r="E133" i="31"/>
  <c r="D133" i="31"/>
  <c r="F133" i="31" s="1"/>
  <c r="O132" i="31"/>
  <c r="L132" i="31"/>
  <c r="C132" i="31" s="1"/>
  <c r="I132" i="31"/>
  <c r="F132" i="31"/>
  <c r="O131" i="31"/>
  <c r="N131" i="31"/>
  <c r="M131" i="31"/>
  <c r="K131" i="31"/>
  <c r="J131" i="31"/>
  <c r="L131" i="31" s="1"/>
  <c r="H131" i="31"/>
  <c r="G131" i="31"/>
  <c r="I131" i="31" s="1"/>
  <c r="E131" i="31"/>
  <c r="D131" i="31"/>
  <c r="F131" i="31" s="1"/>
  <c r="C131" i="31" s="1"/>
  <c r="O130" i="31"/>
  <c r="L130" i="31"/>
  <c r="I130" i="31"/>
  <c r="F130" i="31"/>
  <c r="C130" i="31" s="1"/>
  <c r="O129" i="31"/>
  <c r="L129" i="31"/>
  <c r="I129" i="31"/>
  <c r="F129" i="31"/>
  <c r="C129" i="31" s="1"/>
  <c r="O128" i="31"/>
  <c r="L128" i="31"/>
  <c r="I128" i="31"/>
  <c r="F128" i="31"/>
  <c r="C128" i="31"/>
  <c r="O127" i="31"/>
  <c r="L127" i="31"/>
  <c r="I127" i="31"/>
  <c r="F127" i="31"/>
  <c r="C127" i="31" s="1"/>
  <c r="O126" i="31"/>
  <c r="L126" i="31"/>
  <c r="I126" i="31"/>
  <c r="F126" i="31"/>
  <c r="C126" i="31" s="1"/>
  <c r="N125" i="31"/>
  <c r="M125" i="31"/>
  <c r="O125" i="31" s="1"/>
  <c r="K125" i="31"/>
  <c r="J125" i="31"/>
  <c r="L125" i="31" s="1"/>
  <c r="I125" i="31"/>
  <c r="H125" i="31"/>
  <c r="G125" i="31"/>
  <c r="F125" i="31"/>
  <c r="C125" i="31" s="1"/>
  <c r="E125" i="31"/>
  <c r="D125" i="31"/>
  <c r="O124" i="31"/>
  <c r="L124" i="31"/>
  <c r="I124" i="31"/>
  <c r="F124" i="31"/>
  <c r="C124" i="31"/>
  <c r="O123" i="31"/>
  <c r="L123" i="31"/>
  <c r="I123" i="31"/>
  <c r="F123" i="31"/>
  <c r="C123" i="31" s="1"/>
  <c r="O122" i="31"/>
  <c r="L122" i="31"/>
  <c r="I122" i="31"/>
  <c r="F122" i="31"/>
  <c r="C122" i="31" s="1"/>
  <c r="O121" i="31"/>
  <c r="L121" i="31"/>
  <c r="I121" i="31"/>
  <c r="F121" i="31"/>
  <c r="C121" i="31" s="1"/>
  <c r="O120" i="31"/>
  <c r="L120" i="31"/>
  <c r="I120" i="31"/>
  <c r="F120" i="31"/>
  <c r="C120" i="31"/>
  <c r="O119" i="31"/>
  <c r="N119" i="31"/>
  <c r="M119" i="31"/>
  <c r="L119" i="31"/>
  <c r="K119" i="31"/>
  <c r="J119" i="31"/>
  <c r="H119" i="31"/>
  <c r="G119" i="31"/>
  <c r="I119" i="31" s="1"/>
  <c r="E119" i="31"/>
  <c r="D119" i="31"/>
  <c r="F119" i="31" s="1"/>
  <c r="O118" i="31"/>
  <c r="L118" i="31"/>
  <c r="I118" i="31"/>
  <c r="F118" i="31"/>
  <c r="C118" i="31" s="1"/>
  <c r="O117" i="31"/>
  <c r="L117" i="31"/>
  <c r="I117" i="31"/>
  <c r="F117" i="31"/>
  <c r="C117" i="31" s="1"/>
  <c r="O116" i="31"/>
  <c r="L116" i="31"/>
  <c r="I116" i="31"/>
  <c r="F116" i="31"/>
  <c r="C116" i="31"/>
  <c r="O115" i="31"/>
  <c r="N115" i="31"/>
  <c r="M115" i="31"/>
  <c r="L115" i="31"/>
  <c r="K115" i="31"/>
  <c r="J115" i="31"/>
  <c r="H115" i="31"/>
  <c r="G115" i="31"/>
  <c r="I115" i="31" s="1"/>
  <c r="E115" i="31"/>
  <c r="D115" i="31"/>
  <c r="F115" i="31" s="1"/>
  <c r="O114" i="31"/>
  <c r="L114" i="31"/>
  <c r="I114" i="31"/>
  <c r="F114" i="31"/>
  <c r="C114" i="31" s="1"/>
  <c r="O113" i="31"/>
  <c r="L113" i="31"/>
  <c r="I113" i="31"/>
  <c r="F113" i="31"/>
  <c r="C113" i="31" s="1"/>
  <c r="O112" i="31"/>
  <c r="L112" i="31"/>
  <c r="I112" i="31"/>
  <c r="F112" i="31"/>
  <c r="C112" i="31"/>
  <c r="O111" i="31"/>
  <c r="L111" i="31"/>
  <c r="I111" i="31"/>
  <c r="F111" i="31"/>
  <c r="C111" i="31" s="1"/>
  <c r="O110" i="31"/>
  <c r="L110" i="31"/>
  <c r="I110" i="31"/>
  <c r="F110" i="31"/>
  <c r="C110" i="31" s="1"/>
  <c r="O109" i="31"/>
  <c r="L109" i="31"/>
  <c r="I109" i="31"/>
  <c r="F109" i="31"/>
  <c r="C109" i="31" s="1"/>
  <c r="O108" i="31"/>
  <c r="L108" i="31"/>
  <c r="I108" i="31"/>
  <c r="F108" i="31"/>
  <c r="C108" i="31"/>
  <c r="O107" i="31"/>
  <c r="L107" i="31"/>
  <c r="I107" i="31"/>
  <c r="F107" i="31"/>
  <c r="C107" i="31" s="1"/>
  <c r="N106" i="31"/>
  <c r="M106" i="31"/>
  <c r="O106" i="31" s="1"/>
  <c r="L106" i="31"/>
  <c r="K106" i="31"/>
  <c r="J106" i="31"/>
  <c r="I106" i="31"/>
  <c r="H106" i="31"/>
  <c r="G106" i="31"/>
  <c r="E106" i="31"/>
  <c r="D106" i="31"/>
  <c r="F106" i="31" s="1"/>
  <c r="C106" i="31" s="1"/>
  <c r="O105" i="31"/>
  <c r="L105" i="31"/>
  <c r="I105" i="31"/>
  <c r="F105" i="31"/>
  <c r="C105" i="31" s="1"/>
  <c r="O104" i="31"/>
  <c r="L104" i="31"/>
  <c r="I104" i="31"/>
  <c r="F104" i="31"/>
  <c r="C104" i="31"/>
  <c r="O103" i="31"/>
  <c r="L103" i="31"/>
  <c r="I103" i="31"/>
  <c r="F103" i="31"/>
  <c r="C103" i="31" s="1"/>
  <c r="O102" i="31"/>
  <c r="L102" i="31"/>
  <c r="I102" i="31"/>
  <c r="F102" i="31"/>
  <c r="C102" i="31" s="1"/>
  <c r="O101" i="31"/>
  <c r="L101" i="31"/>
  <c r="I101" i="31"/>
  <c r="F101" i="31"/>
  <c r="C101" i="31" s="1"/>
  <c r="O100" i="31"/>
  <c r="L100" i="31"/>
  <c r="I100" i="31"/>
  <c r="F100" i="31"/>
  <c r="C100" i="31"/>
  <c r="O99" i="31"/>
  <c r="L99" i="31"/>
  <c r="I99" i="31"/>
  <c r="F99" i="31"/>
  <c r="C99" i="31" s="1"/>
  <c r="N98" i="31"/>
  <c r="M98" i="31"/>
  <c r="O98" i="31" s="1"/>
  <c r="L98" i="31"/>
  <c r="K98" i="31"/>
  <c r="J98" i="31"/>
  <c r="I98" i="31"/>
  <c r="H98" i="31"/>
  <c r="G98" i="31"/>
  <c r="E98" i="31"/>
  <c r="D98" i="31"/>
  <c r="F98" i="31" s="1"/>
  <c r="C98" i="31" s="1"/>
  <c r="O97" i="31"/>
  <c r="L97" i="31"/>
  <c r="I97" i="31"/>
  <c r="F97" i="31"/>
  <c r="C97" i="31" s="1"/>
  <c r="O96" i="31"/>
  <c r="L96" i="31"/>
  <c r="I96" i="31"/>
  <c r="F96" i="31"/>
  <c r="C96" i="31"/>
  <c r="O95" i="31"/>
  <c r="L95" i="31"/>
  <c r="I95" i="31"/>
  <c r="F95" i="31"/>
  <c r="C95" i="31" s="1"/>
  <c r="O94" i="31"/>
  <c r="L94" i="31"/>
  <c r="I94" i="31"/>
  <c r="F94" i="31"/>
  <c r="C94" i="31" s="1"/>
  <c r="O93" i="31"/>
  <c r="L93" i="31"/>
  <c r="I93" i="31"/>
  <c r="C93" i="31" s="1"/>
  <c r="F93" i="31"/>
  <c r="O92" i="31"/>
  <c r="N92" i="31"/>
  <c r="M92" i="31"/>
  <c r="K92" i="31"/>
  <c r="J92" i="31"/>
  <c r="L92" i="31" s="1"/>
  <c r="H92" i="31"/>
  <c r="G92" i="31"/>
  <c r="I92" i="31" s="1"/>
  <c r="F92" i="31"/>
  <c r="E92" i="31"/>
  <c r="D92" i="31"/>
  <c r="O91" i="31"/>
  <c r="L91" i="31"/>
  <c r="I91" i="31"/>
  <c r="F91" i="31"/>
  <c r="C91" i="31" s="1"/>
  <c r="O90" i="31"/>
  <c r="L90" i="31"/>
  <c r="I90" i="31"/>
  <c r="F90" i="31"/>
  <c r="C90" i="31" s="1"/>
  <c r="O89" i="31"/>
  <c r="L89" i="31"/>
  <c r="I89" i="31"/>
  <c r="F89" i="31"/>
  <c r="C89" i="31" s="1"/>
  <c r="O88" i="31"/>
  <c r="L88" i="31"/>
  <c r="I88" i="31"/>
  <c r="F88" i="31"/>
  <c r="C88" i="31"/>
  <c r="N87" i="31"/>
  <c r="M87" i="31"/>
  <c r="O87" i="31" s="1"/>
  <c r="K87" i="31"/>
  <c r="L87" i="31" s="1"/>
  <c r="J87" i="31"/>
  <c r="H87" i="31"/>
  <c r="G87" i="31"/>
  <c r="I87" i="31" s="1"/>
  <c r="E87" i="31"/>
  <c r="D87" i="31"/>
  <c r="F87" i="31" s="1"/>
  <c r="N86" i="31"/>
  <c r="M86" i="31"/>
  <c r="O86" i="31" s="1"/>
  <c r="K86" i="31"/>
  <c r="J86" i="31"/>
  <c r="L86" i="31" s="1"/>
  <c r="H86" i="31"/>
  <c r="G86" i="31"/>
  <c r="I86" i="31" s="1"/>
  <c r="E86" i="31"/>
  <c r="D86" i="31"/>
  <c r="F86" i="31" s="1"/>
  <c r="O85" i="31"/>
  <c r="L85" i="31"/>
  <c r="I85" i="31"/>
  <c r="F85" i="31"/>
  <c r="C85" i="31" s="1"/>
  <c r="O84" i="31"/>
  <c r="L84" i="31"/>
  <c r="I84" i="31"/>
  <c r="F84" i="31"/>
  <c r="C84" i="31"/>
  <c r="N83" i="31"/>
  <c r="M83" i="31"/>
  <c r="O83" i="31" s="1"/>
  <c r="K83" i="31"/>
  <c r="L83" i="31" s="1"/>
  <c r="J83" i="31"/>
  <c r="H83" i="31"/>
  <c r="G83" i="31"/>
  <c r="I83" i="31" s="1"/>
  <c r="E83" i="31"/>
  <c r="D83" i="31"/>
  <c r="F83" i="31" s="1"/>
  <c r="O82" i="31"/>
  <c r="L82" i="31"/>
  <c r="I82" i="31"/>
  <c r="F82" i="31"/>
  <c r="C82" i="31" s="1"/>
  <c r="O81" i="31"/>
  <c r="L81" i="31"/>
  <c r="I81" i="31"/>
  <c r="F81" i="31"/>
  <c r="C81" i="31" s="1"/>
  <c r="N80" i="31"/>
  <c r="M80" i="31"/>
  <c r="O80" i="31" s="1"/>
  <c r="K80" i="31"/>
  <c r="J80" i="31"/>
  <c r="L80" i="31" s="1"/>
  <c r="H80" i="31"/>
  <c r="G80" i="31"/>
  <c r="I80" i="31" s="1"/>
  <c r="E80" i="31"/>
  <c r="D80" i="31"/>
  <c r="F80" i="31" s="1"/>
  <c r="N79" i="31"/>
  <c r="M79" i="31"/>
  <c r="O79" i="31" s="1"/>
  <c r="K79" i="31"/>
  <c r="J79" i="31"/>
  <c r="L79" i="31" s="1"/>
  <c r="H79" i="31"/>
  <c r="G79" i="31"/>
  <c r="I79" i="31" s="1"/>
  <c r="E79" i="31"/>
  <c r="D79" i="31"/>
  <c r="F79" i="31" s="1"/>
  <c r="N78" i="31"/>
  <c r="M78" i="31"/>
  <c r="O78" i="31" s="1"/>
  <c r="K78" i="31"/>
  <c r="J78" i="31"/>
  <c r="L78" i="31" s="1"/>
  <c r="H78" i="31"/>
  <c r="G78" i="31"/>
  <c r="I78" i="31" s="1"/>
  <c r="E78" i="31"/>
  <c r="D78" i="31"/>
  <c r="F78" i="31" s="1"/>
  <c r="O77" i="31"/>
  <c r="L77" i="31"/>
  <c r="I77" i="31"/>
  <c r="F77" i="31"/>
  <c r="C77" i="31" s="1"/>
  <c r="O76" i="31"/>
  <c r="L76" i="31"/>
  <c r="I76" i="31"/>
  <c r="F76" i="31"/>
  <c r="C76" i="31"/>
  <c r="O75" i="31"/>
  <c r="L75" i="31"/>
  <c r="I75" i="31"/>
  <c r="F75" i="31"/>
  <c r="C75" i="31" s="1"/>
  <c r="O74" i="31"/>
  <c r="L74" i="31"/>
  <c r="I74" i="31"/>
  <c r="F74" i="31"/>
  <c r="C74" i="31"/>
  <c r="O73" i="31"/>
  <c r="L73" i="31"/>
  <c r="I73" i="31"/>
  <c r="F73" i="31"/>
  <c r="C73" i="31" s="1"/>
  <c r="N72" i="31"/>
  <c r="M72" i="31"/>
  <c r="O72" i="31" s="1"/>
  <c r="K72" i="31"/>
  <c r="J72" i="31"/>
  <c r="L72" i="31" s="1"/>
  <c r="H72" i="31"/>
  <c r="G72" i="31"/>
  <c r="I72" i="31" s="1"/>
  <c r="E72" i="31"/>
  <c r="F72" i="31" s="1"/>
  <c r="C72" i="31" s="1"/>
  <c r="D72" i="31"/>
  <c r="O71" i="31"/>
  <c r="L71" i="31"/>
  <c r="H71" i="31"/>
  <c r="I71" i="31" s="1"/>
  <c r="C71" i="31" s="1"/>
  <c r="F71" i="31"/>
  <c r="N70" i="31"/>
  <c r="M70" i="31"/>
  <c r="O70" i="31" s="1"/>
  <c r="K70" i="31"/>
  <c r="J70" i="31"/>
  <c r="L70" i="31" s="1"/>
  <c r="H70" i="31"/>
  <c r="I70" i="31" s="1"/>
  <c r="G70" i="31"/>
  <c r="E70" i="31"/>
  <c r="D70" i="31"/>
  <c r="F70" i="31" s="1"/>
  <c r="O69" i="31"/>
  <c r="L69" i="31"/>
  <c r="I69" i="31"/>
  <c r="F69" i="31"/>
  <c r="C69" i="31"/>
  <c r="O68" i="31"/>
  <c r="L68" i="31"/>
  <c r="I68" i="31"/>
  <c r="F68" i="31"/>
  <c r="C68" i="31" s="1"/>
  <c r="O67" i="31"/>
  <c r="L67" i="31"/>
  <c r="I67" i="31"/>
  <c r="C67" i="31" s="1"/>
  <c r="F67" i="31"/>
  <c r="O66" i="31"/>
  <c r="L66" i="31"/>
  <c r="I66" i="31"/>
  <c r="F66" i="31"/>
  <c r="C66" i="31" s="1"/>
  <c r="O65" i="31"/>
  <c r="L65" i="31"/>
  <c r="I65" i="31"/>
  <c r="F65" i="31"/>
  <c r="C65" i="31"/>
  <c r="O64" i="31"/>
  <c r="L64" i="31"/>
  <c r="I64" i="31"/>
  <c r="F64" i="31"/>
  <c r="C64" i="31" s="1"/>
  <c r="O63" i="31"/>
  <c r="L63" i="31"/>
  <c r="I63" i="31"/>
  <c r="C63" i="31" s="1"/>
  <c r="F63" i="31"/>
  <c r="O62" i="31"/>
  <c r="L62" i="31"/>
  <c r="I62" i="31"/>
  <c r="F62" i="31"/>
  <c r="C62" i="31" s="1"/>
  <c r="N61" i="31"/>
  <c r="M61" i="31"/>
  <c r="O61" i="31" s="1"/>
  <c r="K61" i="31"/>
  <c r="J61" i="31"/>
  <c r="L61" i="31" s="1"/>
  <c r="H61" i="31"/>
  <c r="G61" i="31"/>
  <c r="I61" i="31" s="1"/>
  <c r="E61" i="31"/>
  <c r="D61" i="31"/>
  <c r="F61" i="31" s="1"/>
  <c r="O60" i="31"/>
  <c r="L60" i="31"/>
  <c r="I60" i="31"/>
  <c r="F60" i="31"/>
  <c r="C60" i="31" s="1"/>
  <c r="O59" i="31"/>
  <c r="L59" i="31"/>
  <c r="I59" i="31"/>
  <c r="F59" i="31"/>
  <c r="C59" i="31" s="1"/>
  <c r="N58" i="31"/>
  <c r="M58" i="31"/>
  <c r="O58" i="31" s="1"/>
  <c r="K58" i="31"/>
  <c r="J58" i="31"/>
  <c r="L58" i="31" s="1"/>
  <c r="H58" i="31"/>
  <c r="G58" i="31"/>
  <c r="I58" i="31" s="1"/>
  <c r="E58" i="31"/>
  <c r="D58" i="31"/>
  <c r="F58" i="31" s="1"/>
  <c r="N57" i="31"/>
  <c r="M57" i="31"/>
  <c r="O57" i="31" s="1"/>
  <c r="K57" i="31"/>
  <c r="J57" i="31"/>
  <c r="L57" i="31" s="1"/>
  <c r="H57" i="31"/>
  <c r="G57" i="31"/>
  <c r="I57" i="31" s="1"/>
  <c r="E57" i="31"/>
  <c r="F57" i="31" s="1"/>
  <c r="C57" i="31" s="1"/>
  <c r="D57" i="31"/>
  <c r="N56" i="31"/>
  <c r="O56" i="31" s="1"/>
  <c r="M56" i="31"/>
  <c r="K56" i="31"/>
  <c r="J56" i="31"/>
  <c r="L56" i="31" s="1"/>
  <c r="H56" i="31"/>
  <c r="G56" i="31"/>
  <c r="I56" i="31" s="1"/>
  <c r="E56" i="31"/>
  <c r="D56" i="31"/>
  <c r="F56" i="31" s="1"/>
  <c r="N55" i="31"/>
  <c r="M55" i="31"/>
  <c r="O55" i="31" s="1"/>
  <c r="K55" i="31"/>
  <c r="J55" i="31"/>
  <c r="L55" i="31" s="1"/>
  <c r="H55" i="31"/>
  <c r="G55" i="31"/>
  <c r="I55" i="31" s="1"/>
  <c r="E55" i="31"/>
  <c r="D55" i="31"/>
  <c r="F55" i="31" s="1"/>
  <c r="N54" i="31"/>
  <c r="M54" i="31"/>
  <c r="O54" i="31" s="1"/>
  <c r="K54" i="31"/>
  <c r="H54" i="31"/>
  <c r="I54" i="31" s="1"/>
  <c r="G54" i="31"/>
  <c r="G288" i="31" s="1"/>
  <c r="E54" i="31"/>
  <c r="E288" i="31" s="1"/>
  <c r="D54" i="31"/>
  <c r="D288" i="31" s="1"/>
  <c r="F288" i="31" s="1"/>
  <c r="N53" i="31"/>
  <c r="M53" i="31"/>
  <c r="O53" i="31" s="1"/>
  <c r="K53" i="31"/>
  <c r="H53" i="31"/>
  <c r="G53" i="31"/>
  <c r="I53" i="31" s="1"/>
  <c r="F53" i="31"/>
  <c r="E53" i="31"/>
  <c r="D53" i="31"/>
  <c r="O50" i="31"/>
  <c r="C50" i="31" s="1"/>
  <c r="O49" i="31"/>
  <c r="C49" i="31"/>
  <c r="O48" i="31"/>
  <c r="C48" i="31" s="1"/>
  <c r="N48" i="31"/>
  <c r="N288" i="31" s="1"/>
  <c r="M48" i="31"/>
  <c r="M288" i="31" s="1"/>
  <c r="O288" i="31" s="1"/>
  <c r="L47" i="31"/>
  <c r="C47" i="31" s="1"/>
  <c r="I47" i="31"/>
  <c r="F47" i="31"/>
  <c r="L46" i="31"/>
  <c r="K46" i="31"/>
  <c r="J46" i="31"/>
  <c r="H46" i="31"/>
  <c r="G46" i="31"/>
  <c r="I46" i="31" s="1"/>
  <c r="E46" i="31"/>
  <c r="D46" i="31"/>
  <c r="F46" i="31" s="1"/>
  <c r="F45" i="31"/>
  <c r="C45" i="31"/>
  <c r="L44" i="31"/>
  <c r="C44" i="31" s="1"/>
  <c r="L43" i="31"/>
  <c r="C43" i="31"/>
  <c r="L42" i="31"/>
  <c r="C42" i="31" s="1"/>
  <c r="L41" i="31"/>
  <c r="C41" i="31"/>
  <c r="L40" i="31"/>
  <c r="C40" i="31" s="1"/>
  <c r="K40" i="31"/>
  <c r="J40" i="31"/>
  <c r="L39" i="31"/>
  <c r="C39" i="31" s="1"/>
  <c r="L38" i="31"/>
  <c r="C38" i="31"/>
  <c r="L37" i="31"/>
  <c r="C37" i="31" s="1"/>
  <c r="K37" i="31"/>
  <c r="J37" i="31"/>
  <c r="L36" i="31"/>
  <c r="C36" i="31" s="1"/>
  <c r="K35" i="31"/>
  <c r="J35" i="31"/>
  <c r="L35" i="31" s="1"/>
  <c r="C35" i="31" s="1"/>
  <c r="L34" i="31"/>
  <c r="C34" i="31"/>
  <c r="L33" i="31"/>
  <c r="C33" i="31" s="1"/>
  <c r="L32" i="31"/>
  <c r="C32" i="31"/>
  <c r="L31" i="31"/>
  <c r="C31" i="31" s="1"/>
  <c r="K31" i="31"/>
  <c r="J31" i="31"/>
  <c r="K30" i="31"/>
  <c r="K288" i="31" s="1"/>
  <c r="J30" i="31"/>
  <c r="F29" i="31"/>
  <c r="C29" i="31"/>
  <c r="I28" i="31"/>
  <c r="C28" i="31" s="1"/>
  <c r="F28" i="31"/>
  <c r="O27" i="31"/>
  <c r="L27" i="31"/>
  <c r="I27" i="31"/>
  <c r="F27" i="31"/>
  <c r="C27" i="31"/>
  <c r="O26" i="31"/>
  <c r="L26" i="31"/>
  <c r="I26" i="31"/>
  <c r="F26" i="31"/>
  <c r="C26" i="31" s="1"/>
  <c r="N25" i="31"/>
  <c r="N290" i="31" s="1"/>
  <c r="N289" i="31" s="1"/>
  <c r="M25" i="31"/>
  <c r="M290" i="31" s="1"/>
  <c r="K25" i="31"/>
  <c r="K290" i="31" s="1"/>
  <c r="K289" i="31" s="1"/>
  <c r="J25" i="31"/>
  <c r="J290" i="31" s="1"/>
  <c r="I25" i="31"/>
  <c r="H25" i="31"/>
  <c r="H290" i="31" s="1"/>
  <c r="H289" i="31" s="1"/>
  <c r="G25" i="31"/>
  <c r="G290" i="31" s="1"/>
  <c r="E25" i="31"/>
  <c r="E290" i="31" s="1"/>
  <c r="E289" i="31" s="1"/>
  <c r="D25" i="31"/>
  <c r="D290" i="31" s="1"/>
  <c r="N24" i="31"/>
  <c r="M24" i="31"/>
  <c r="O24" i="31" s="1"/>
  <c r="K24" i="31"/>
  <c r="J24" i="31"/>
  <c r="L24" i="31" s="1"/>
  <c r="H24" i="31"/>
  <c r="G24" i="31"/>
  <c r="I24" i="31" s="1"/>
  <c r="F24" i="31"/>
  <c r="E24" i="31"/>
  <c r="D24" i="31"/>
  <c r="O299" i="30"/>
  <c r="L299" i="30"/>
  <c r="I299" i="30"/>
  <c r="F299" i="30"/>
  <c r="C299" i="30"/>
  <c r="O298" i="30"/>
  <c r="L298" i="30"/>
  <c r="I298" i="30"/>
  <c r="F298" i="30"/>
  <c r="C298" i="30" s="1"/>
  <c r="O297" i="30"/>
  <c r="L297" i="30"/>
  <c r="I297" i="30"/>
  <c r="F297" i="30"/>
  <c r="C297" i="30" s="1"/>
  <c r="O296" i="30"/>
  <c r="L296" i="30"/>
  <c r="I296" i="30"/>
  <c r="F296" i="30"/>
  <c r="C296" i="30"/>
  <c r="O295" i="30"/>
  <c r="L295" i="30"/>
  <c r="I295" i="30"/>
  <c r="F295" i="30"/>
  <c r="C295" i="30"/>
  <c r="O294" i="30"/>
  <c r="L294" i="30"/>
  <c r="I294" i="30"/>
  <c r="F294" i="30"/>
  <c r="C294" i="30" s="1"/>
  <c r="O293" i="30"/>
  <c r="L293" i="30"/>
  <c r="I293" i="30"/>
  <c r="F293" i="30"/>
  <c r="C293" i="30" s="1"/>
  <c r="O292" i="30"/>
  <c r="L292" i="30"/>
  <c r="C292" i="30" s="1"/>
  <c r="I292" i="30"/>
  <c r="F292" i="30"/>
  <c r="N291" i="30"/>
  <c r="M291" i="30"/>
  <c r="O291" i="30" s="1"/>
  <c r="K291" i="30"/>
  <c r="J291" i="30"/>
  <c r="L291" i="30" s="1"/>
  <c r="H291" i="30"/>
  <c r="G291" i="30"/>
  <c r="I291" i="30" s="1"/>
  <c r="E291" i="30"/>
  <c r="D291" i="30"/>
  <c r="F291" i="30" s="1"/>
  <c r="O286" i="30"/>
  <c r="L286" i="30"/>
  <c r="I286" i="30"/>
  <c r="F286" i="30"/>
  <c r="C286" i="30"/>
  <c r="O285" i="30"/>
  <c r="L285" i="30"/>
  <c r="I285" i="30"/>
  <c r="F285" i="30"/>
  <c r="C285" i="30" s="1"/>
  <c r="N284" i="30"/>
  <c r="M284" i="30"/>
  <c r="O284" i="30" s="1"/>
  <c r="K284" i="30"/>
  <c r="J284" i="30"/>
  <c r="H284" i="30"/>
  <c r="G284" i="30"/>
  <c r="E284" i="30"/>
  <c r="D284" i="30"/>
  <c r="O283" i="30"/>
  <c r="L283" i="30"/>
  <c r="I283" i="30"/>
  <c r="F283" i="30"/>
  <c r="C283" i="30" s="1"/>
  <c r="N282" i="30"/>
  <c r="M282" i="30"/>
  <c r="O282" i="30" s="1"/>
  <c r="K282" i="30"/>
  <c r="J282" i="30"/>
  <c r="L282" i="30" s="1"/>
  <c r="H282" i="30"/>
  <c r="G282" i="30"/>
  <c r="I282" i="30" s="1"/>
  <c r="F282" i="30"/>
  <c r="C282" i="30" s="1"/>
  <c r="E282" i="30"/>
  <c r="D282" i="30"/>
  <c r="O281" i="30"/>
  <c r="L281" i="30"/>
  <c r="I281" i="30"/>
  <c r="F281" i="30"/>
  <c r="C281" i="30"/>
  <c r="O280" i="30"/>
  <c r="L280" i="30"/>
  <c r="I280" i="30"/>
  <c r="F280" i="30"/>
  <c r="C280" i="30" s="1"/>
  <c r="O279" i="30"/>
  <c r="L279" i="30"/>
  <c r="I279" i="30"/>
  <c r="F279" i="30"/>
  <c r="C279" i="30" s="1"/>
  <c r="O278" i="30"/>
  <c r="N278" i="30"/>
  <c r="M278" i="30"/>
  <c r="K278" i="30"/>
  <c r="J278" i="30"/>
  <c r="L278" i="30" s="1"/>
  <c r="I278" i="30"/>
  <c r="H278" i="30"/>
  <c r="G278" i="30"/>
  <c r="F278" i="30"/>
  <c r="C278" i="30" s="1"/>
  <c r="E278" i="30"/>
  <c r="D278" i="30"/>
  <c r="O277" i="30"/>
  <c r="L277" i="30"/>
  <c r="I277" i="30"/>
  <c r="F277" i="30"/>
  <c r="C277" i="30"/>
  <c r="O276" i="30"/>
  <c r="L276" i="30"/>
  <c r="I276" i="30"/>
  <c r="F276" i="30"/>
  <c r="C276" i="30" s="1"/>
  <c r="O275" i="30"/>
  <c r="L275" i="30"/>
  <c r="I275" i="30"/>
  <c r="F275" i="30"/>
  <c r="C275" i="30" s="1"/>
  <c r="N274" i="30"/>
  <c r="M274" i="30"/>
  <c r="O274" i="30" s="1"/>
  <c r="K274" i="30"/>
  <c r="J274" i="30"/>
  <c r="L274" i="30" s="1"/>
  <c r="H274" i="30"/>
  <c r="I274" i="30" s="1"/>
  <c r="G274" i="30"/>
  <c r="F274" i="30"/>
  <c r="C274" i="30" s="1"/>
  <c r="E274" i="30"/>
  <c r="D274" i="30"/>
  <c r="O273" i="30"/>
  <c r="L273" i="30"/>
  <c r="I273" i="30"/>
  <c r="F273" i="30"/>
  <c r="C273" i="30"/>
  <c r="N272" i="30"/>
  <c r="M272" i="30"/>
  <c r="O272" i="30" s="1"/>
  <c r="K272" i="30"/>
  <c r="J272" i="30"/>
  <c r="L272" i="30" s="1"/>
  <c r="H272" i="30"/>
  <c r="G272" i="30"/>
  <c r="I272" i="30" s="1"/>
  <c r="E272" i="30"/>
  <c r="D272" i="30"/>
  <c r="F272" i="30" s="1"/>
  <c r="N271" i="30"/>
  <c r="M271" i="30"/>
  <c r="O271" i="30" s="1"/>
  <c r="K271" i="30"/>
  <c r="J271" i="30"/>
  <c r="L271" i="30" s="1"/>
  <c r="H271" i="30"/>
  <c r="G271" i="30"/>
  <c r="I271" i="30" s="1"/>
  <c r="E271" i="30"/>
  <c r="D271" i="30"/>
  <c r="F271" i="30" s="1"/>
  <c r="O270" i="30"/>
  <c r="L270" i="30"/>
  <c r="I270" i="30"/>
  <c r="F270" i="30"/>
  <c r="O269" i="30"/>
  <c r="L269" i="30"/>
  <c r="I269" i="30"/>
  <c r="F269" i="30"/>
  <c r="C269" i="30"/>
  <c r="O268" i="30"/>
  <c r="L268" i="30"/>
  <c r="I268" i="30"/>
  <c r="F268" i="30"/>
  <c r="C268" i="30" s="1"/>
  <c r="O267" i="30"/>
  <c r="L267" i="30"/>
  <c r="I267" i="30"/>
  <c r="C267" i="30" s="1"/>
  <c r="F267" i="30"/>
  <c r="N266" i="30"/>
  <c r="M266" i="30"/>
  <c r="O266" i="30" s="1"/>
  <c r="K266" i="30"/>
  <c r="J266" i="30"/>
  <c r="L266" i="30" s="1"/>
  <c r="H266" i="30"/>
  <c r="I266" i="30" s="1"/>
  <c r="G266" i="30"/>
  <c r="F266" i="30"/>
  <c r="E266" i="30"/>
  <c r="D266" i="30"/>
  <c r="O265" i="30"/>
  <c r="L265" i="30"/>
  <c r="I265" i="30"/>
  <c r="F265" i="30"/>
  <c r="C265" i="30"/>
  <c r="O264" i="30"/>
  <c r="L264" i="30"/>
  <c r="I264" i="30"/>
  <c r="F264" i="30"/>
  <c r="C264" i="30" s="1"/>
  <c r="O263" i="30"/>
  <c r="L263" i="30"/>
  <c r="I263" i="30"/>
  <c r="C263" i="30" s="1"/>
  <c r="F263" i="30"/>
  <c r="N262" i="30"/>
  <c r="N261" i="30" s="1"/>
  <c r="O261" i="30" s="1"/>
  <c r="M262" i="30"/>
  <c r="O262" i="30" s="1"/>
  <c r="K262" i="30"/>
  <c r="J262" i="30"/>
  <c r="J261" i="30" s="1"/>
  <c r="L261" i="30" s="1"/>
  <c r="H262" i="30"/>
  <c r="I262" i="30" s="1"/>
  <c r="G262" i="30"/>
  <c r="F262" i="30"/>
  <c r="E262" i="30"/>
  <c r="D262" i="30"/>
  <c r="D261" i="30" s="1"/>
  <c r="F261" i="30" s="1"/>
  <c r="M261" i="30"/>
  <c r="K261" i="30"/>
  <c r="G261" i="30"/>
  <c r="E261" i="30"/>
  <c r="O260" i="30"/>
  <c r="L260" i="30"/>
  <c r="I260" i="30"/>
  <c r="F260" i="30"/>
  <c r="C260" i="30" s="1"/>
  <c r="O259" i="30"/>
  <c r="L259" i="30"/>
  <c r="I259" i="30"/>
  <c r="C259" i="30" s="1"/>
  <c r="F259" i="30"/>
  <c r="O258" i="30"/>
  <c r="L258" i="30"/>
  <c r="I258" i="30"/>
  <c r="F258" i="30"/>
  <c r="C258" i="30" s="1"/>
  <c r="O257" i="30"/>
  <c r="L257" i="30"/>
  <c r="I257" i="30"/>
  <c r="F257" i="30"/>
  <c r="C257" i="30"/>
  <c r="O256" i="30"/>
  <c r="L256" i="30"/>
  <c r="I256" i="30"/>
  <c r="F256" i="30"/>
  <c r="C256" i="30" s="1"/>
  <c r="N255" i="30"/>
  <c r="M255" i="30"/>
  <c r="M254" i="30" s="1"/>
  <c r="K255" i="30"/>
  <c r="L255" i="30" s="1"/>
  <c r="J255" i="30"/>
  <c r="I255" i="30"/>
  <c r="H255" i="30"/>
  <c r="G255" i="30"/>
  <c r="G254" i="30" s="1"/>
  <c r="I254" i="30" s="1"/>
  <c r="E255" i="30"/>
  <c r="E254" i="30" s="1"/>
  <c r="D255" i="30"/>
  <c r="F255" i="30" s="1"/>
  <c r="N254" i="30"/>
  <c r="J254" i="30"/>
  <c r="H254" i="30"/>
  <c r="D254" i="30"/>
  <c r="O253" i="30"/>
  <c r="L253" i="30"/>
  <c r="I253" i="30"/>
  <c r="F253" i="30"/>
  <c r="C253" i="30"/>
  <c r="O252" i="30"/>
  <c r="L252" i="30"/>
  <c r="I252" i="30"/>
  <c r="F252" i="30"/>
  <c r="C252" i="30" s="1"/>
  <c r="O251" i="30"/>
  <c r="L251" i="30"/>
  <c r="I251" i="30"/>
  <c r="C251" i="30" s="1"/>
  <c r="F251" i="30"/>
  <c r="O250" i="30"/>
  <c r="L250" i="30"/>
  <c r="I250" i="30"/>
  <c r="F250" i="30"/>
  <c r="C250" i="30" s="1"/>
  <c r="O249" i="30"/>
  <c r="N249" i="30"/>
  <c r="M249" i="30"/>
  <c r="K249" i="30"/>
  <c r="J249" i="30"/>
  <c r="L249" i="30" s="1"/>
  <c r="H249" i="30"/>
  <c r="G249" i="30"/>
  <c r="I249" i="30" s="1"/>
  <c r="E249" i="30"/>
  <c r="F249" i="30" s="1"/>
  <c r="D249" i="30"/>
  <c r="O248" i="30"/>
  <c r="L248" i="30"/>
  <c r="I248" i="30"/>
  <c r="F248" i="30"/>
  <c r="C248" i="30" s="1"/>
  <c r="O247" i="30"/>
  <c r="L247" i="30"/>
  <c r="I247" i="30"/>
  <c r="C247" i="30" s="1"/>
  <c r="F247" i="30"/>
  <c r="O246" i="30"/>
  <c r="L246" i="30"/>
  <c r="I246" i="30"/>
  <c r="F246" i="30"/>
  <c r="C246" i="30" s="1"/>
  <c r="O245" i="30"/>
  <c r="L245" i="30"/>
  <c r="I245" i="30"/>
  <c r="F245" i="30"/>
  <c r="C245" i="30"/>
  <c r="O244" i="30"/>
  <c r="L244" i="30"/>
  <c r="I244" i="30"/>
  <c r="F244" i="30"/>
  <c r="C244" i="30" s="1"/>
  <c r="O243" i="30"/>
  <c r="L243" i="30"/>
  <c r="I243" i="30"/>
  <c r="C243" i="30" s="1"/>
  <c r="F243" i="30"/>
  <c r="O242" i="30"/>
  <c r="L242" i="30"/>
  <c r="I242" i="30"/>
  <c r="F242" i="30"/>
  <c r="C242" i="30" s="1"/>
  <c r="O241" i="30"/>
  <c r="N241" i="30"/>
  <c r="M241" i="30"/>
  <c r="K241" i="30"/>
  <c r="J241" i="30"/>
  <c r="L241" i="30" s="1"/>
  <c r="H241" i="30"/>
  <c r="G241" i="30"/>
  <c r="I241" i="30" s="1"/>
  <c r="E241" i="30"/>
  <c r="F241" i="30" s="1"/>
  <c r="C241" i="30" s="1"/>
  <c r="D241" i="30"/>
  <c r="O240" i="30"/>
  <c r="L240" i="30"/>
  <c r="I240" i="30"/>
  <c r="F240" i="30"/>
  <c r="C240" i="30" s="1"/>
  <c r="O239" i="30"/>
  <c r="L239" i="30"/>
  <c r="I239" i="30"/>
  <c r="C239" i="30" s="1"/>
  <c r="F239" i="30"/>
  <c r="N238" i="30"/>
  <c r="M238" i="30"/>
  <c r="O238" i="30" s="1"/>
  <c r="K238" i="30"/>
  <c r="J238" i="30"/>
  <c r="L238" i="30" s="1"/>
  <c r="H238" i="30"/>
  <c r="I238" i="30" s="1"/>
  <c r="G238" i="30"/>
  <c r="F238" i="30"/>
  <c r="C238" i="30" s="1"/>
  <c r="E238" i="30"/>
  <c r="D238" i="30"/>
  <c r="O237" i="30"/>
  <c r="L237" i="30"/>
  <c r="I237" i="30"/>
  <c r="F237" i="30"/>
  <c r="C237" i="30"/>
  <c r="N236" i="30"/>
  <c r="O236" i="30" s="1"/>
  <c r="M236" i="30"/>
  <c r="L236" i="30"/>
  <c r="K236" i="30"/>
  <c r="K234" i="30" s="1"/>
  <c r="J236" i="30"/>
  <c r="H236" i="30"/>
  <c r="H234" i="30" s="1"/>
  <c r="G236" i="30"/>
  <c r="I236" i="30" s="1"/>
  <c r="E236" i="30"/>
  <c r="D236" i="30"/>
  <c r="F236" i="30" s="1"/>
  <c r="C236" i="30" s="1"/>
  <c r="O235" i="30"/>
  <c r="L235" i="30"/>
  <c r="I235" i="30"/>
  <c r="C235" i="30" s="1"/>
  <c r="F235" i="30"/>
  <c r="N234" i="30"/>
  <c r="N233" i="30" s="1"/>
  <c r="M234" i="30"/>
  <c r="O234" i="30" s="1"/>
  <c r="J234" i="30"/>
  <c r="J233" i="30" s="1"/>
  <c r="E234" i="30"/>
  <c r="O232" i="30"/>
  <c r="L232" i="30"/>
  <c r="I232" i="30"/>
  <c r="F232" i="30"/>
  <c r="C232" i="30" s="1"/>
  <c r="O231" i="30"/>
  <c r="L231" i="30"/>
  <c r="I231" i="30"/>
  <c r="C231" i="30" s="1"/>
  <c r="F231" i="30"/>
  <c r="N230" i="30"/>
  <c r="M230" i="30"/>
  <c r="O230" i="30" s="1"/>
  <c r="K230" i="30"/>
  <c r="J230" i="30"/>
  <c r="L230" i="30" s="1"/>
  <c r="H230" i="30"/>
  <c r="I230" i="30" s="1"/>
  <c r="G230" i="30"/>
  <c r="F230" i="30"/>
  <c r="E230" i="30"/>
  <c r="D230" i="30"/>
  <c r="O229" i="30"/>
  <c r="L229" i="30"/>
  <c r="I229" i="30"/>
  <c r="F229" i="30"/>
  <c r="C229" i="30"/>
  <c r="O228" i="30"/>
  <c r="L228" i="30"/>
  <c r="I228" i="30"/>
  <c r="F228" i="30"/>
  <c r="C228" i="30" s="1"/>
  <c r="O227" i="30"/>
  <c r="L227" i="30"/>
  <c r="I227" i="30"/>
  <c r="C227" i="30" s="1"/>
  <c r="F227" i="30"/>
  <c r="O226" i="30"/>
  <c r="L226" i="30"/>
  <c r="I226" i="30"/>
  <c r="F226" i="30"/>
  <c r="D226" i="30"/>
  <c r="C226" i="30"/>
  <c r="O225" i="30"/>
  <c r="L225" i="30"/>
  <c r="I225" i="30"/>
  <c r="F225" i="30"/>
  <c r="C225" i="30" s="1"/>
  <c r="O224" i="30"/>
  <c r="L224" i="30"/>
  <c r="I224" i="30"/>
  <c r="C224" i="30" s="1"/>
  <c r="F224" i="30"/>
  <c r="O223" i="30"/>
  <c r="L223" i="30"/>
  <c r="I223" i="30"/>
  <c r="F223" i="30"/>
  <c r="C223" i="30" s="1"/>
  <c r="O222" i="30"/>
  <c r="L222" i="30"/>
  <c r="I222" i="30"/>
  <c r="F222" i="30"/>
  <c r="C222" i="30"/>
  <c r="O221" i="30"/>
  <c r="L221" i="30"/>
  <c r="J221" i="30"/>
  <c r="I221" i="30"/>
  <c r="C221" i="30" s="1"/>
  <c r="F221" i="30"/>
  <c r="O220" i="30"/>
  <c r="L220" i="30"/>
  <c r="I220" i="30"/>
  <c r="F220" i="30"/>
  <c r="C220" i="30" s="1"/>
  <c r="O219" i="30"/>
  <c r="N219" i="30"/>
  <c r="M219" i="30"/>
  <c r="K219" i="30"/>
  <c r="J219" i="30"/>
  <c r="L219" i="30" s="1"/>
  <c r="H219" i="30"/>
  <c r="G219" i="30"/>
  <c r="I219" i="30" s="1"/>
  <c r="E219" i="30"/>
  <c r="F219" i="30" s="1"/>
  <c r="D219" i="30"/>
  <c r="O218" i="30"/>
  <c r="L218" i="30"/>
  <c r="I218" i="30"/>
  <c r="F218" i="30"/>
  <c r="C218" i="30" s="1"/>
  <c r="O217" i="30"/>
  <c r="L217" i="30"/>
  <c r="I217" i="30"/>
  <c r="C217" i="30" s="1"/>
  <c r="F217" i="30"/>
  <c r="O216" i="30"/>
  <c r="L216" i="30"/>
  <c r="I216" i="30"/>
  <c r="F216" i="30"/>
  <c r="C216" i="30" s="1"/>
  <c r="O215" i="30"/>
  <c r="L215" i="30"/>
  <c r="I215" i="30"/>
  <c r="F215" i="30"/>
  <c r="C215" i="30"/>
  <c r="O214" i="30"/>
  <c r="L214" i="30"/>
  <c r="I214" i="30"/>
  <c r="F214" i="30"/>
  <c r="C214" i="30" s="1"/>
  <c r="O213" i="30"/>
  <c r="L213" i="30"/>
  <c r="I213" i="30"/>
  <c r="C213" i="30" s="1"/>
  <c r="F213" i="30"/>
  <c r="O212" i="30"/>
  <c r="L212" i="30"/>
  <c r="I212" i="30"/>
  <c r="F212" i="30"/>
  <c r="C212" i="30" s="1"/>
  <c r="O211" i="30"/>
  <c r="L211" i="30"/>
  <c r="I211" i="30"/>
  <c r="F211" i="30"/>
  <c r="C211" i="30"/>
  <c r="O210" i="30"/>
  <c r="L210" i="30"/>
  <c r="I210" i="30"/>
  <c r="F210" i="30"/>
  <c r="C210" i="30" s="1"/>
  <c r="O209" i="30"/>
  <c r="L209" i="30"/>
  <c r="I209" i="30"/>
  <c r="C209" i="30" s="1"/>
  <c r="F209" i="30"/>
  <c r="N208" i="30"/>
  <c r="N207" i="30" s="1"/>
  <c r="O207" i="30" s="1"/>
  <c r="M208" i="30"/>
  <c r="O208" i="30" s="1"/>
  <c r="K208" i="30"/>
  <c r="J208" i="30"/>
  <c r="J207" i="30" s="1"/>
  <c r="L207" i="30" s="1"/>
  <c r="H208" i="30"/>
  <c r="I208" i="30" s="1"/>
  <c r="G208" i="30"/>
  <c r="F208" i="30"/>
  <c r="E208" i="30"/>
  <c r="D208" i="30"/>
  <c r="D207" i="30" s="1"/>
  <c r="F207" i="30" s="1"/>
  <c r="M207" i="30"/>
  <c r="K207" i="30"/>
  <c r="K198" i="30" s="1"/>
  <c r="G207" i="30"/>
  <c r="E207" i="30"/>
  <c r="O206" i="30"/>
  <c r="L206" i="30"/>
  <c r="I206" i="30"/>
  <c r="F206" i="30"/>
  <c r="C206" i="30" s="1"/>
  <c r="O205" i="30"/>
  <c r="L205" i="30"/>
  <c r="I205" i="30"/>
  <c r="C205" i="30" s="1"/>
  <c r="F205" i="30"/>
  <c r="O204" i="30"/>
  <c r="L204" i="30"/>
  <c r="I204" i="30"/>
  <c r="F204" i="30"/>
  <c r="C204" i="30" s="1"/>
  <c r="O203" i="30"/>
  <c r="L203" i="30"/>
  <c r="I203" i="30"/>
  <c r="F203" i="30"/>
  <c r="C203" i="30"/>
  <c r="O202" i="30"/>
  <c r="L202" i="30"/>
  <c r="I202" i="30"/>
  <c r="F202" i="30"/>
  <c r="C202" i="30" s="1"/>
  <c r="D202" i="30"/>
  <c r="N201" i="30"/>
  <c r="N199" i="30" s="1"/>
  <c r="N198" i="30" s="1"/>
  <c r="N197" i="30" s="1"/>
  <c r="M201" i="30"/>
  <c r="O201" i="30" s="1"/>
  <c r="K201" i="30"/>
  <c r="J201" i="30"/>
  <c r="L201" i="30" s="1"/>
  <c r="H201" i="30"/>
  <c r="I201" i="30" s="1"/>
  <c r="G201" i="30"/>
  <c r="F201" i="30"/>
  <c r="E201" i="30"/>
  <c r="D201" i="30"/>
  <c r="O200" i="30"/>
  <c r="L200" i="30"/>
  <c r="I200" i="30"/>
  <c r="F200" i="30"/>
  <c r="C200" i="30"/>
  <c r="M199" i="30"/>
  <c r="O199" i="30" s="1"/>
  <c r="K199" i="30"/>
  <c r="H199" i="30"/>
  <c r="G199" i="30"/>
  <c r="I199" i="30" s="1"/>
  <c r="E199" i="30"/>
  <c r="D199" i="30"/>
  <c r="D198" i="30" s="1"/>
  <c r="M198" i="30"/>
  <c r="E198" i="30"/>
  <c r="O196" i="30"/>
  <c r="L196" i="30"/>
  <c r="I196" i="30"/>
  <c r="F196" i="30"/>
  <c r="C196" i="30"/>
  <c r="N195" i="30"/>
  <c r="M195" i="30"/>
  <c r="O195" i="30" s="1"/>
  <c r="L195" i="30"/>
  <c r="K195" i="30"/>
  <c r="J195" i="30"/>
  <c r="H195" i="30"/>
  <c r="H194" i="30" s="1"/>
  <c r="I194" i="30" s="1"/>
  <c r="G195" i="30"/>
  <c r="I195" i="30" s="1"/>
  <c r="E195" i="30"/>
  <c r="D195" i="30"/>
  <c r="D194" i="30" s="1"/>
  <c r="F194" i="30" s="1"/>
  <c r="N194" i="30"/>
  <c r="M194" i="30"/>
  <c r="O194" i="30" s="1"/>
  <c r="K194" i="30"/>
  <c r="J194" i="30"/>
  <c r="L194" i="30" s="1"/>
  <c r="G194" i="30"/>
  <c r="E194" i="30"/>
  <c r="O193" i="30"/>
  <c r="L193" i="30"/>
  <c r="I193" i="30"/>
  <c r="F193" i="30"/>
  <c r="C193" i="30" s="1"/>
  <c r="O192" i="30"/>
  <c r="L192" i="30"/>
  <c r="I192" i="30"/>
  <c r="F192" i="30"/>
  <c r="C192" i="30"/>
  <c r="N191" i="30"/>
  <c r="M191" i="30"/>
  <c r="O191" i="30" s="1"/>
  <c r="L191" i="30"/>
  <c r="K191" i="30"/>
  <c r="J191" i="30"/>
  <c r="H191" i="30"/>
  <c r="H190" i="30" s="1"/>
  <c r="I190" i="30" s="1"/>
  <c r="G191" i="30"/>
  <c r="I191" i="30" s="1"/>
  <c r="E191" i="30"/>
  <c r="D191" i="30"/>
  <c r="D190" i="30" s="1"/>
  <c r="N190" i="30"/>
  <c r="M190" i="30"/>
  <c r="O190" i="30" s="1"/>
  <c r="K190" i="30"/>
  <c r="J190" i="30"/>
  <c r="L190" i="30" s="1"/>
  <c r="G190" i="30"/>
  <c r="E190" i="30"/>
  <c r="O189" i="30"/>
  <c r="L189" i="30"/>
  <c r="I189" i="30"/>
  <c r="F189" i="30"/>
  <c r="C189" i="30" s="1"/>
  <c r="O188" i="30"/>
  <c r="L188" i="30"/>
  <c r="I188" i="30"/>
  <c r="F188" i="30"/>
  <c r="C188" i="30"/>
  <c r="O187" i="30"/>
  <c r="N187" i="30"/>
  <c r="M187" i="30"/>
  <c r="L187" i="30"/>
  <c r="K187" i="30"/>
  <c r="J187" i="30"/>
  <c r="H187" i="30"/>
  <c r="G187" i="30"/>
  <c r="I187" i="30" s="1"/>
  <c r="E187" i="30"/>
  <c r="D187" i="30"/>
  <c r="F187" i="30" s="1"/>
  <c r="O186" i="30"/>
  <c r="L186" i="30"/>
  <c r="I186" i="30"/>
  <c r="F186" i="30"/>
  <c r="C186" i="30" s="1"/>
  <c r="O185" i="30"/>
  <c r="L185" i="30"/>
  <c r="I185" i="30"/>
  <c r="F185" i="30"/>
  <c r="C185" i="30" s="1"/>
  <c r="O184" i="30"/>
  <c r="L184" i="30"/>
  <c r="I184" i="30"/>
  <c r="F184" i="30"/>
  <c r="C184" i="30"/>
  <c r="O183" i="30"/>
  <c r="L183" i="30"/>
  <c r="I183" i="30"/>
  <c r="F183" i="30"/>
  <c r="C183" i="30" s="1"/>
  <c r="N182" i="30"/>
  <c r="M182" i="30"/>
  <c r="O182" i="30" s="1"/>
  <c r="K182" i="30"/>
  <c r="L182" i="30" s="1"/>
  <c r="J182" i="30"/>
  <c r="I182" i="30"/>
  <c r="H182" i="30"/>
  <c r="G182" i="30"/>
  <c r="E182" i="30"/>
  <c r="D182" i="30"/>
  <c r="F182" i="30" s="1"/>
  <c r="O181" i="30"/>
  <c r="L181" i="30"/>
  <c r="I181" i="30"/>
  <c r="F181" i="30"/>
  <c r="C181" i="30" s="1"/>
  <c r="O180" i="30"/>
  <c r="L180" i="30"/>
  <c r="I180" i="30"/>
  <c r="F180" i="30"/>
  <c r="C180" i="30"/>
  <c r="O179" i="30"/>
  <c r="L179" i="30"/>
  <c r="I179" i="30"/>
  <c r="F179" i="30"/>
  <c r="C179" i="30" s="1"/>
  <c r="N178" i="30"/>
  <c r="M178" i="30"/>
  <c r="M177" i="30" s="1"/>
  <c r="K178" i="30"/>
  <c r="J178" i="30"/>
  <c r="L178" i="30" s="1"/>
  <c r="I178" i="30"/>
  <c r="H178" i="30"/>
  <c r="G178" i="30"/>
  <c r="E178" i="30"/>
  <c r="E177" i="30" s="1"/>
  <c r="D178" i="30"/>
  <c r="N177" i="30"/>
  <c r="N176" i="30" s="1"/>
  <c r="N55" i="30" s="1"/>
  <c r="N54" i="30" s="1"/>
  <c r="N53" i="30" s="1"/>
  <c r="K177" i="30"/>
  <c r="J177" i="30"/>
  <c r="J176" i="30" s="1"/>
  <c r="H177" i="30"/>
  <c r="G177" i="30"/>
  <c r="I177" i="30" s="1"/>
  <c r="D177" i="30"/>
  <c r="K176" i="30"/>
  <c r="H176" i="30"/>
  <c r="G176" i="30"/>
  <c r="I176" i="30" s="1"/>
  <c r="D176" i="30"/>
  <c r="O175" i="30"/>
  <c r="L175" i="30"/>
  <c r="I175" i="30"/>
  <c r="F175" i="30"/>
  <c r="C175" i="30" s="1"/>
  <c r="O174" i="30"/>
  <c r="L174" i="30"/>
  <c r="I174" i="30"/>
  <c r="C174" i="30" s="1"/>
  <c r="F174" i="30"/>
  <c r="O173" i="30"/>
  <c r="L173" i="30"/>
  <c r="I173" i="30"/>
  <c r="F173" i="30"/>
  <c r="C173" i="30"/>
  <c r="O172" i="30"/>
  <c r="L172" i="30"/>
  <c r="I172" i="30"/>
  <c r="F172" i="30"/>
  <c r="C172" i="30"/>
  <c r="O171" i="30"/>
  <c r="L171" i="30"/>
  <c r="I171" i="30"/>
  <c r="F171" i="30"/>
  <c r="C171" i="30" s="1"/>
  <c r="O170" i="30"/>
  <c r="L170" i="30"/>
  <c r="I170" i="30"/>
  <c r="C170" i="30" s="1"/>
  <c r="F170" i="30"/>
  <c r="N169" i="30"/>
  <c r="O169" i="30" s="1"/>
  <c r="M169" i="30"/>
  <c r="K169" i="30"/>
  <c r="J169" i="30"/>
  <c r="L169" i="30" s="1"/>
  <c r="H169" i="30"/>
  <c r="G169" i="30"/>
  <c r="I169" i="30" s="1"/>
  <c r="E169" i="30"/>
  <c r="D169" i="30"/>
  <c r="F169" i="30" s="1"/>
  <c r="N168" i="30"/>
  <c r="M168" i="30"/>
  <c r="O168" i="30" s="1"/>
  <c r="K168" i="30"/>
  <c r="J168" i="30"/>
  <c r="L168" i="30" s="1"/>
  <c r="H168" i="30"/>
  <c r="G168" i="30"/>
  <c r="I168" i="30" s="1"/>
  <c r="E168" i="30"/>
  <c r="D168" i="30"/>
  <c r="F168" i="30" s="1"/>
  <c r="C168" i="30" s="1"/>
  <c r="O167" i="30"/>
  <c r="L167" i="30"/>
  <c r="I167" i="30"/>
  <c r="F167" i="30"/>
  <c r="C167" i="30" s="1"/>
  <c r="O166" i="30"/>
  <c r="L166" i="30"/>
  <c r="I166" i="30"/>
  <c r="F166" i="30"/>
  <c r="C166" i="30"/>
  <c r="O165" i="30"/>
  <c r="L165" i="30"/>
  <c r="I165" i="30"/>
  <c r="F165" i="30"/>
  <c r="C165" i="30"/>
  <c r="O164" i="30"/>
  <c r="L164" i="30"/>
  <c r="I164" i="30"/>
  <c r="F164" i="30"/>
  <c r="C164" i="30" s="1"/>
  <c r="N163" i="30"/>
  <c r="M163" i="30"/>
  <c r="O163" i="30" s="1"/>
  <c r="K163" i="30"/>
  <c r="J163" i="30"/>
  <c r="L163" i="30" s="1"/>
  <c r="I163" i="30"/>
  <c r="H163" i="30"/>
  <c r="G163" i="30"/>
  <c r="E163" i="30"/>
  <c r="D163" i="30"/>
  <c r="F163" i="30" s="1"/>
  <c r="C163" i="30" s="1"/>
  <c r="O162" i="30"/>
  <c r="L162" i="30"/>
  <c r="I162" i="30"/>
  <c r="F162" i="30"/>
  <c r="C162" i="30"/>
  <c r="O161" i="30"/>
  <c r="L161" i="30"/>
  <c r="I161" i="30"/>
  <c r="F161" i="30"/>
  <c r="C161" i="30"/>
  <c r="O160" i="30"/>
  <c r="L160" i="30"/>
  <c r="I160" i="30"/>
  <c r="F160" i="30"/>
  <c r="C160" i="30" s="1"/>
  <c r="O159" i="30"/>
  <c r="L159" i="30"/>
  <c r="I159" i="30"/>
  <c r="F159" i="30"/>
  <c r="C159" i="30" s="1"/>
  <c r="O158" i="30"/>
  <c r="L158" i="30"/>
  <c r="I158" i="30"/>
  <c r="F158" i="30"/>
  <c r="C158" i="30"/>
  <c r="O157" i="30"/>
  <c r="L157" i="30"/>
  <c r="I157" i="30"/>
  <c r="F157" i="30"/>
  <c r="C157" i="30" s="1"/>
  <c r="O156" i="30"/>
  <c r="L156" i="30"/>
  <c r="I156" i="30"/>
  <c r="F156" i="30"/>
  <c r="C156" i="30" s="1"/>
  <c r="O155" i="30"/>
  <c r="L155" i="30"/>
  <c r="I155" i="30"/>
  <c r="F155" i="30"/>
  <c r="C155" i="30" s="1"/>
  <c r="N154" i="30"/>
  <c r="M154" i="30"/>
  <c r="O154" i="30" s="1"/>
  <c r="K154" i="30"/>
  <c r="J154" i="30"/>
  <c r="L154" i="30" s="1"/>
  <c r="I154" i="30"/>
  <c r="H154" i="30"/>
  <c r="G154" i="30"/>
  <c r="E154" i="30"/>
  <c r="F154" i="30" s="1"/>
  <c r="C154" i="30" s="1"/>
  <c r="D154" i="30"/>
  <c r="O153" i="30"/>
  <c r="L153" i="30"/>
  <c r="I153" i="30"/>
  <c r="F153" i="30"/>
  <c r="C153" i="30"/>
  <c r="O152" i="30"/>
  <c r="L152" i="30"/>
  <c r="I152" i="30"/>
  <c r="F152" i="30"/>
  <c r="C152" i="30" s="1"/>
  <c r="O151" i="30"/>
  <c r="L151" i="30"/>
  <c r="I151" i="30"/>
  <c r="F151" i="30"/>
  <c r="C151" i="30" s="1"/>
  <c r="O150" i="30"/>
  <c r="L150" i="30"/>
  <c r="I150" i="30"/>
  <c r="C150" i="30" s="1"/>
  <c r="F150" i="30"/>
  <c r="O149" i="30"/>
  <c r="L149" i="30"/>
  <c r="I149" i="30"/>
  <c r="F149" i="30"/>
  <c r="C149" i="30"/>
  <c r="O148" i="30"/>
  <c r="L148" i="30"/>
  <c r="I148" i="30"/>
  <c r="F148" i="30"/>
  <c r="C148" i="30" s="1"/>
  <c r="N147" i="30"/>
  <c r="M147" i="30"/>
  <c r="O147" i="30" s="1"/>
  <c r="K147" i="30"/>
  <c r="J147" i="30"/>
  <c r="L147" i="30" s="1"/>
  <c r="I147" i="30"/>
  <c r="H147" i="30"/>
  <c r="G147" i="30"/>
  <c r="E147" i="30"/>
  <c r="D147" i="30"/>
  <c r="F147" i="30" s="1"/>
  <c r="O146" i="30"/>
  <c r="L146" i="30"/>
  <c r="I146" i="30"/>
  <c r="F146" i="30"/>
  <c r="C146" i="30"/>
  <c r="O145" i="30"/>
  <c r="L145" i="30"/>
  <c r="I145" i="30"/>
  <c r="F145" i="30"/>
  <c r="C145" i="30"/>
  <c r="N144" i="30"/>
  <c r="M144" i="30"/>
  <c r="O144" i="30" s="1"/>
  <c r="L144" i="30"/>
  <c r="K144" i="30"/>
  <c r="J144" i="30"/>
  <c r="H144" i="30"/>
  <c r="I144" i="30" s="1"/>
  <c r="G144" i="30"/>
  <c r="E144" i="30"/>
  <c r="D144" i="30"/>
  <c r="F144" i="30" s="1"/>
  <c r="O143" i="30"/>
  <c r="L143" i="30"/>
  <c r="I143" i="30"/>
  <c r="F143" i="30"/>
  <c r="C143" i="30" s="1"/>
  <c r="O142" i="30"/>
  <c r="L142" i="30"/>
  <c r="I142" i="30"/>
  <c r="F142" i="30"/>
  <c r="C142" i="30"/>
  <c r="O141" i="30"/>
  <c r="L141" i="30"/>
  <c r="I141" i="30"/>
  <c r="F141" i="30"/>
  <c r="C141" i="30"/>
  <c r="O140" i="30"/>
  <c r="L140" i="30"/>
  <c r="I140" i="30"/>
  <c r="F140" i="30"/>
  <c r="C140" i="30" s="1"/>
  <c r="N139" i="30"/>
  <c r="M139" i="30"/>
  <c r="O139" i="30" s="1"/>
  <c r="K139" i="30"/>
  <c r="J139" i="30"/>
  <c r="L139" i="30" s="1"/>
  <c r="I139" i="30"/>
  <c r="H139" i="30"/>
  <c r="G139" i="30"/>
  <c r="E139" i="30"/>
  <c r="F139" i="30" s="1"/>
  <c r="C139" i="30" s="1"/>
  <c r="D139" i="30"/>
  <c r="O138" i="30"/>
  <c r="L138" i="30"/>
  <c r="I138" i="30"/>
  <c r="F138" i="30"/>
  <c r="C138" i="30"/>
  <c r="O137" i="30"/>
  <c r="L137" i="30"/>
  <c r="I137" i="30"/>
  <c r="F137" i="30"/>
  <c r="C137" i="30" s="1"/>
  <c r="O136" i="30"/>
  <c r="L136" i="30"/>
  <c r="I136" i="30"/>
  <c r="F136" i="30"/>
  <c r="C136" i="30" s="1"/>
  <c r="O135" i="30"/>
  <c r="L135" i="30"/>
  <c r="I135" i="30"/>
  <c r="F135" i="30"/>
  <c r="C135" i="30" s="1"/>
  <c r="N134" i="30"/>
  <c r="O134" i="30" s="1"/>
  <c r="M134" i="30"/>
  <c r="K134" i="30"/>
  <c r="J134" i="30"/>
  <c r="L134" i="30" s="1"/>
  <c r="H134" i="30"/>
  <c r="G134" i="30"/>
  <c r="I134" i="30" s="1"/>
  <c r="C134" i="30" s="1"/>
  <c r="F134" i="30"/>
  <c r="E134" i="30"/>
  <c r="D134" i="30"/>
  <c r="N133" i="30"/>
  <c r="M133" i="30"/>
  <c r="O133" i="30" s="1"/>
  <c r="K133" i="30"/>
  <c r="J133" i="30"/>
  <c r="L133" i="30" s="1"/>
  <c r="H133" i="30"/>
  <c r="G133" i="30"/>
  <c r="I133" i="30" s="1"/>
  <c r="E133" i="30"/>
  <c r="D133" i="30"/>
  <c r="F133" i="30" s="1"/>
  <c r="C133" i="30" s="1"/>
  <c r="O132" i="30"/>
  <c r="L132" i="30"/>
  <c r="I132" i="30"/>
  <c r="F132" i="30"/>
  <c r="C132" i="30" s="1"/>
  <c r="N131" i="30"/>
  <c r="M131" i="30"/>
  <c r="O131" i="30" s="1"/>
  <c r="K131" i="30"/>
  <c r="J131" i="30"/>
  <c r="L131" i="30" s="1"/>
  <c r="H131" i="30"/>
  <c r="I131" i="30" s="1"/>
  <c r="G131" i="30"/>
  <c r="E131" i="30"/>
  <c r="D131" i="30"/>
  <c r="F131" i="30" s="1"/>
  <c r="O130" i="30"/>
  <c r="L130" i="30"/>
  <c r="I130" i="30"/>
  <c r="F130" i="30"/>
  <c r="C130" i="30"/>
  <c r="O129" i="30"/>
  <c r="L129" i="30"/>
  <c r="I129" i="30"/>
  <c r="F129" i="30"/>
  <c r="C129" i="30" s="1"/>
  <c r="O128" i="30"/>
  <c r="L128" i="30"/>
  <c r="I128" i="30"/>
  <c r="F128" i="30"/>
  <c r="C128" i="30"/>
  <c r="O127" i="30"/>
  <c r="L127" i="30"/>
  <c r="I127" i="30"/>
  <c r="F127" i="30"/>
  <c r="C127" i="30" s="1"/>
  <c r="O126" i="30"/>
  <c r="L126" i="30"/>
  <c r="I126" i="30"/>
  <c r="F126" i="30"/>
  <c r="C126" i="30"/>
  <c r="N125" i="30"/>
  <c r="M125" i="30"/>
  <c r="O125" i="30" s="1"/>
  <c r="L125" i="30"/>
  <c r="K125" i="30"/>
  <c r="J125" i="30"/>
  <c r="H125" i="30"/>
  <c r="G125" i="30"/>
  <c r="I125" i="30" s="1"/>
  <c r="E125" i="30"/>
  <c r="D125" i="30"/>
  <c r="F125" i="30" s="1"/>
  <c r="O124" i="30"/>
  <c r="L124" i="30"/>
  <c r="I124" i="30"/>
  <c r="C124" i="30" s="1"/>
  <c r="F124" i="30"/>
  <c r="O123" i="30"/>
  <c r="L123" i="30"/>
  <c r="I123" i="30"/>
  <c r="F123" i="30"/>
  <c r="C123" i="30" s="1"/>
  <c r="O122" i="30"/>
  <c r="L122" i="30"/>
  <c r="I122" i="30"/>
  <c r="F122" i="30"/>
  <c r="C122" i="30"/>
  <c r="O121" i="30"/>
  <c r="L121" i="30"/>
  <c r="I121" i="30"/>
  <c r="F121" i="30"/>
  <c r="C121" i="30" s="1"/>
  <c r="O120" i="30"/>
  <c r="L120" i="30"/>
  <c r="I120" i="30"/>
  <c r="C120" i="30" s="1"/>
  <c r="F120" i="30"/>
  <c r="N119" i="30"/>
  <c r="M119" i="30"/>
  <c r="O119" i="30" s="1"/>
  <c r="K119" i="30"/>
  <c r="J119" i="30"/>
  <c r="L119" i="30" s="1"/>
  <c r="H119" i="30"/>
  <c r="I119" i="30" s="1"/>
  <c r="G119" i="30"/>
  <c r="E119" i="30"/>
  <c r="D119" i="30"/>
  <c r="F119" i="30" s="1"/>
  <c r="C119" i="30" s="1"/>
  <c r="O118" i="30"/>
  <c r="L118" i="30"/>
  <c r="I118" i="30"/>
  <c r="F118" i="30"/>
  <c r="C118" i="30"/>
  <c r="O117" i="30"/>
  <c r="L117" i="30"/>
  <c r="I117" i="30"/>
  <c r="F117" i="30"/>
  <c r="C117" i="30" s="1"/>
  <c r="O116" i="30"/>
  <c r="L116" i="30"/>
  <c r="I116" i="30"/>
  <c r="F116" i="30"/>
  <c r="C116" i="30"/>
  <c r="N115" i="30"/>
  <c r="M115" i="30"/>
  <c r="O115" i="30" s="1"/>
  <c r="L115" i="30"/>
  <c r="K115" i="30"/>
  <c r="J115" i="30"/>
  <c r="H115" i="30"/>
  <c r="I115" i="30" s="1"/>
  <c r="G115" i="30"/>
  <c r="E115" i="30"/>
  <c r="D115" i="30"/>
  <c r="F115" i="30" s="1"/>
  <c r="O114" i="30"/>
  <c r="L114" i="30"/>
  <c r="I114" i="30"/>
  <c r="C114" i="30" s="1"/>
  <c r="F114" i="30"/>
  <c r="O113" i="30"/>
  <c r="L113" i="30"/>
  <c r="I113" i="30"/>
  <c r="F113" i="30"/>
  <c r="C113" i="30"/>
  <c r="O112" i="30"/>
  <c r="L112" i="30"/>
  <c r="I112" i="30"/>
  <c r="F112" i="30"/>
  <c r="C112" i="30" s="1"/>
  <c r="O111" i="30"/>
  <c r="L111" i="30"/>
  <c r="I111" i="30"/>
  <c r="F111" i="30"/>
  <c r="C111" i="30" s="1"/>
  <c r="O110" i="30"/>
  <c r="L110" i="30"/>
  <c r="I110" i="30"/>
  <c r="C110" i="30" s="1"/>
  <c r="F110" i="30"/>
  <c r="O109" i="30"/>
  <c r="L109" i="30"/>
  <c r="I109" i="30"/>
  <c r="F109" i="30"/>
  <c r="C109" i="30"/>
  <c r="O108" i="30"/>
  <c r="L108" i="30"/>
  <c r="I108" i="30"/>
  <c r="F108" i="30"/>
  <c r="C108" i="30" s="1"/>
  <c r="O107" i="30"/>
  <c r="L107" i="30"/>
  <c r="I107" i="30"/>
  <c r="F107" i="30"/>
  <c r="C107" i="30" s="1"/>
  <c r="N106" i="30"/>
  <c r="M106" i="30"/>
  <c r="O106" i="30" s="1"/>
  <c r="K106" i="30"/>
  <c r="J106" i="30"/>
  <c r="L106" i="30" s="1"/>
  <c r="I106" i="30"/>
  <c r="H106" i="30"/>
  <c r="G106" i="30"/>
  <c r="F106" i="30"/>
  <c r="E106" i="30"/>
  <c r="D106" i="30"/>
  <c r="O105" i="30"/>
  <c r="L105" i="30"/>
  <c r="I105" i="30"/>
  <c r="F105" i="30"/>
  <c r="C105" i="30"/>
  <c r="O104" i="30"/>
  <c r="L104" i="30"/>
  <c r="I104" i="30"/>
  <c r="F104" i="30"/>
  <c r="C104" i="30" s="1"/>
  <c r="O103" i="30"/>
  <c r="L103" i="30"/>
  <c r="I103" i="30"/>
  <c r="F103" i="30"/>
  <c r="C103" i="30" s="1"/>
  <c r="O102" i="30"/>
  <c r="L102" i="30"/>
  <c r="I102" i="30"/>
  <c r="C102" i="30" s="1"/>
  <c r="F102" i="30"/>
  <c r="O101" i="30"/>
  <c r="L101" i="30"/>
  <c r="I101" i="30"/>
  <c r="F101" i="30"/>
  <c r="C101" i="30"/>
  <c r="O100" i="30"/>
  <c r="L100" i="30"/>
  <c r="I100" i="30"/>
  <c r="F100" i="30"/>
  <c r="C100" i="30" s="1"/>
  <c r="O99" i="30"/>
  <c r="L99" i="30"/>
  <c r="I99" i="30"/>
  <c r="F99" i="30"/>
  <c r="C99" i="30" s="1"/>
  <c r="N98" i="30"/>
  <c r="M98" i="30"/>
  <c r="O98" i="30" s="1"/>
  <c r="K98" i="30"/>
  <c r="J98" i="30"/>
  <c r="L98" i="30" s="1"/>
  <c r="H98" i="30"/>
  <c r="G98" i="30"/>
  <c r="I98" i="30" s="1"/>
  <c r="C98" i="30" s="1"/>
  <c r="F98" i="30"/>
  <c r="E98" i="30"/>
  <c r="D98" i="30"/>
  <c r="O97" i="30"/>
  <c r="L97" i="30"/>
  <c r="I97" i="30"/>
  <c r="F97" i="30"/>
  <c r="C97" i="30"/>
  <c r="O96" i="30"/>
  <c r="L96" i="30"/>
  <c r="I96" i="30"/>
  <c r="F96" i="30"/>
  <c r="C96" i="30" s="1"/>
  <c r="O95" i="30"/>
  <c r="L95" i="30"/>
  <c r="I95" i="30"/>
  <c r="F95" i="30"/>
  <c r="C95" i="30" s="1"/>
  <c r="O94" i="30"/>
  <c r="J94" i="30"/>
  <c r="L94" i="30" s="1"/>
  <c r="I94" i="30"/>
  <c r="D94" i="30"/>
  <c r="F94" i="30" s="1"/>
  <c r="C94" i="30" s="1"/>
  <c r="O93" i="30"/>
  <c r="J93" i="30"/>
  <c r="L93" i="30" s="1"/>
  <c r="I93" i="30"/>
  <c r="D93" i="30"/>
  <c r="F93" i="30" s="1"/>
  <c r="C93" i="30" s="1"/>
  <c r="O92" i="30"/>
  <c r="N92" i="30"/>
  <c r="M92" i="30"/>
  <c r="K92" i="30"/>
  <c r="L92" i="30" s="1"/>
  <c r="J92" i="30"/>
  <c r="H92" i="30"/>
  <c r="G92" i="30"/>
  <c r="I92" i="30" s="1"/>
  <c r="E92" i="30"/>
  <c r="D92" i="30"/>
  <c r="F92" i="30" s="1"/>
  <c r="C92" i="30" s="1"/>
  <c r="O91" i="30"/>
  <c r="L91" i="30"/>
  <c r="I91" i="30"/>
  <c r="F91" i="30"/>
  <c r="C91" i="30" s="1"/>
  <c r="O90" i="30"/>
  <c r="L90" i="30"/>
  <c r="I90" i="30"/>
  <c r="C90" i="30" s="1"/>
  <c r="F90" i="30"/>
  <c r="O89" i="30"/>
  <c r="L89" i="30"/>
  <c r="I89" i="30"/>
  <c r="F89" i="30"/>
  <c r="C89" i="30"/>
  <c r="O88" i="30"/>
  <c r="L88" i="30"/>
  <c r="I88" i="30"/>
  <c r="F88" i="30"/>
  <c r="C88" i="30" s="1"/>
  <c r="N87" i="30"/>
  <c r="M87" i="30"/>
  <c r="O87" i="30" s="1"/>
  <c r="L87" i="30"/>
  <c r="K87" i="30"/>
  <c r="J87" i="30"/>
  <c r="H87" i="30"/>
  <c r="H86" i="30" s="1"/>
  <c r="H78" i="30" s="1"/>
  <c r="G87" i="30"/>
  <c r="E87" i="30"/>
  <c r="D87" i="30"/>
  <c r="F87" i="30" s="1"/>
  <c r="N86" i="30"/>
  <c r="M86" i="30"/>
  <c r="O86" i="30" s="1"/>
  <c r="K86" i="30"/>
  <c r="J86" i="30"/>
  <c r="L86" i="30" s="1"/>
  <c r="G86" i="30"/>
  <c r="I86" i="30" s="1"/>
  <c r="F86" i="30"/>
  <c r="C86" i="30" s="1"/>
  <c r="E86" i="30"/>
  <c r="D86" i="30"/>
  <c r="O85" i="30"/>
  <c r="L85" i="30"/>
  <c r="I85" i="30"/>
  <c r="F85" i="30"/>
  <c r="C85" i="30"/>
  <c r="O84" i="30"/>
  <c r="L84" i="30"/>
  <c r="I84" i="30"/>
  <c r="F84" i="30"/>
  <c r="C84" i="30" s="1"/>
  <c r="N83" i="30"/>
  <c r="M83" i="30"/>
  <c r="O83" i="30" s="1"/>
  <c r="L83" i="30"/>
  <c r="K83" i="30"/>
  <c r="J83" i="30"/>
  <c r="I83" i="30"/>
  <c r="H83" i="30"/>
  <c r="G83" i="30"/>
  <c r="E83" i="30"/>
  <c r="D83" i="30"/>
  <c r="F83" i="30" s="1"/>
  <c r="C83" i="30" s="1"/>
  <c r="O82" i="30"/>
  <c r="L82" i="30"/>
  <c r="I82" i="30"/>
  <c r="C82" i="30" s="1"/>
  <c r="F82" i="30"/>
  <c r="O81" i="30"/>
  <c r="L81" i="30"/>
  <c r="I81" i="30"/>
  <c r="F81" i="30"/>
  <c r="C81" i="30"/>
  <c r="O80" i="30"/>
  <c r="N80" i="30"/>
  <c r="M80" i="30"/>
  <c r="L80" i="30"/>
  <c r="K80" i="30"/>
  <c r="K79" i="30" s="1"/>
  <c r="J80" i="30"/>
  <c r="H80" i="30"/>
  <c r="G80" i="30"/>
  <c r="I80" i="30" s="1"/>
  <c r="E80" i="30"/>
  <c r="D80" i="30"/>
  <c r="F80" i="30" s="1"/>
  <c r="C80" i="30" s="1"/>
  <c r="N79" i="30"/>
  <c r="M79" i="30"/>
  <c r="O79" i="30" s="1"/>
  <c r="J79" i="30"/>
  <c r="I79" i="30"/>
  <c r="H79" i="30"/>
  <c r="G79" i="30"/>
  <c r="E79" i="30"/>
  <c r="D79" i="30"/>
  <c r="F79" i="30" s="1"/>
  <c r="N78" i="30"/>
  <c r="M78" i="30"/>
  <c r="O78" i="30" s="1"/>
  <c r="J78" i="30"/>
  <c r="G78" i="30"/>
  <c r="F78" i="30"/>
  <c r="E78" i="30"/>
  <c r="D78" i="30"/>
  <c r="O77" i="30"/>
  <c r="L77" i="30"/>
  <c r="I77" i="30"/>
  <c r="D77" i="30"/>
  <c r="F77" i="30" s="1"/>
  <c r="C77" i="30" s="1"/>
  <c r="O76" i="30"/>
  <c r="L76" i="30"/>
  <c r="I76" i="30"/>
  <c r="F76" i="30"/>
  <c r="C76" i="30" s="1"/>
  <c r="D76" i="30"/>
  <c r="O75" i="30"/>
  <c r="L75" i="30"/>
  <c r="I75" i="30"/>
  <c r="F75" i="30"/>
  <c r="C75" i="30"/>
  <c r="O74" i="30"/>
  <c r="L74" i="30"/>
  <c r="I74" i="30"/>
  <c r="F74" i="30"/>
  <c r="C74" i="30" s="1"/>
  <c r="O73" i="30"/>
  <c r="L73" i="30"/>
  <c r="I73" i="30"/>
  <c r="F73" i="30"/>
  <c r="C73" i="30" s="1"/>
  <c r="D73" i="30"/>
  <c r="O72" i="30"/>
  <c r="N72" i="30"/>
  <c r="M72" i="30"/>
  <c r="K72" i="30"/>
  <c r="J72" i="30"/>
  <c r="L72" i="30" s="1"/>
  <c r="H72" i="30"/>
  <c r="G72" i="30"/>
  <c r="I72" i="30" s="1"/>
  <c r="E72" i="30"/>
  <c r="D72" i="30"/>
  <c r="F72" i="30" s="1"/>
  <c r="C72" i="30" s="1"/>
  <c r="O71" i="30"/>
  <c r="L71" i="30"/>
  <c r="G71" i="30"/>
  <c r="I71" i="30" s="1"/>
  <c r="D71" i="30"/>
  <c r="F71" i="30" s="1"/>
  <c r="C71" i="30" s="1"/>
  <c r="O70" i="30"/>
  <c r="N70" i="30"/>
  <c r="M70" i="30"/>
  <c r="K70" i="30"/>
  <c r="J70" i="30"/>
  <c r="L70" i="30" s="1"/>
  <c r="H70" i="30"/>
  <c r="G70" i="30"/>
  <c r="I70" i="30" s="1"/>
  <c r="E70" i="30"/>
  <c r="D70" i="30"/>
  <c r="F70" i="30" s="1"/>
  <c r="C70" i="30" s="1"/>
  <c r="O69" i="30"/>
  <c r="L69" i="30"/>
  <c r="I69" i="30"/>
  <c r="F69" i="30"/>
  <c r="C69" i="30" s="1"/>
  <c r="O68" i="30"/>
  <c r="L68" i="30"/>
  <c r="I68" i="30"/>
  <c r="G68" i="30"/>
  <c r="D68" i="30"/>
  <c r="F68" i="30" s="1"/>
  <c r="C68" i="30" s="1"/>
  <c r="O67" i="30"/>
  <c r="L67" i="30"/>
  <c r="I67" i="30"/>
  <c r="F67" i="30"/>
  <c r="C67" i="30" s="1"/>
  <c r="D67" i="30"/>
  <c r="O66" i="30"/>
  <c r="L66" i="30"/>
  <c r="I66" i="30"/>
  <c r="F66" i="30"/>
  <c r="C66" i="30" s="1"/>
  <c r="O65" i="30"/>
  <c r="L65" i="30"/>
  <c r="I65" i="30"/>
  <c r="F65" i="30"/>
  <c r="C65" i="30"/>
  <c r="O64" i="30"/>
  <c r="L64" i="30"/>
  <c r="G64" i="30"/>
  <c r="I64" i="30" s="1"/>
  <c r="D64" i="30"/>
  <c r="F64" i="30" s="1"/>
  <c r="C64" i="30" s="1"/>
  <c r="O63" i="30"/>
  <c r="L63" i="30"/>
  <c r="I63" i="30"/>
  <c r="F63" i="30"/>
  <c r="C63" i="30"/>
  <c r="O62" i="30"/>
  <c r="L62" i="30"/>
  <c r="I62" i="30"/>
  <c r="F62" i="30"/>
  <c r="C62" i="30" s="1"/>
  <c r="N61" i="30"/>
  <c r="M61" i="30"/>
  <c r="O61" i="30" s="1"/>
  <c r="K61" i="30"/>
  <c r="J61" i="30"/>
  <c r="L61" i="30" s="1"/>
  <c r="H61" i="30"/>
  <c r="G61" i="30"/>
  <c r="I61" i="30" s="1"/>
  <c r="E61" i="30"/>
  <c r="D61" i="30"/>
  <c r="F61" i="30" s="1"/>
  <c r="C61" i="30" s="1"/>
  <c r="O60" i="30"/>
  <c r="L60" i="30"/>
  <c r="G60" i="30"/>
  <c r="I60" i="30" s="1"/>
  <c r="D60" i="30"/>
  <c r="F60" i="30" s="1"/>
  <c r="C60" i="30" s="1"/>
  <c r="O59" i="30"/>
  <c r="L59" i="30"/>
  <c r="I59" i="30"/>
  <c r="F59" i="30"/>
  <c r="C59" i="30"/>
  <c r="N58" i="30"/>
  <c r="M58" i="30"/>
  <c r="O58" i="30" s="1"/>
  <c r="K58" i="30"/>
  <c r="J58" i="30"/>
  <c r="L58" i="30" s="1"/>
  <c r="H58" i="30"/>
  <c r="I58" i="30" s="1"/>
  <c r="G58" i="30"/>
  <c r="E58" i="30"/>
  <c r="D58" i="30"/>
  <c r="F58" i="30" s="1"/>
  <c r="N57" i="30"/>
  <c r="M57" i="30"/>
  <c r="O57" i="30" s="1"/>
  <c r="K57" i="30"/>
  <c r="J57" i="30"/>
  <c r="L57" i="30" s="1"/>
  <c r="H57" i="30"/>
  <c r="G57" i="30"/>
  <c r="I57" i="30" s="1"/>
  <c r="F57" i="30"/>
  <c r="C57" i="30" s="1"/>
  <c r="E57" i="30"/>
  <c r="D57" i="30"/>
  <c r="O56" i="30"/>
  <c r="N56" i="30"/>
  <c r="M56" i="30"/>
  <c r="K56" i="30"/>
  <c r="J56" i="30"/>
  <c r="L56" i="30" s="1"/>
  <c r="H56" i="30"/>
  <c r="G56" i="30"/>
  <c r="I56" i="30" s="1"/>
  <c r="E56" i="30"/>
  <c r="D56" i="30"/>
  <c r="F56" i="30" s="1"/>
  <c r="C56" i="30" s="1"/>
  <c r="G55" i="30"/>
  <c r="O50" i="30"/>
  <c r="C50" i="30"/>
  <c r="O49" i="30"/>
  <c r="C49" i="30"/>
  <c r="N48" i="30"/>
  <c r="M48" i="30"/>
  <c r="L47" i="30"/>
  <c r="I47" i="30"/>
  <c r="F47" i="30"/>
  <c r="C47" i="30"/>
  <c r="K46" i="30"/>
  <c r="J46" i="30"/>
  <c r="L46" i="30" s="1"/>
  <c r="I46" i="30"/>
  <c r="H46" i="30"/>
  <c r="G46" i="30"/>
  <c r="E46" i="30"/>
  <c r="D46" i="30"/>
  <c r="F46" i="30" s="1"/>
  <c r="F45" i="30"/>
  <c r="C45" i="30"/>
  <c r="L44" i="30"/>
  <c r="C44" i="30"/>
  <c r="L43" i="30"/>
  <c r="C43" i="30"/>
  <c r="L42" i="30"/>
  <c r="C42" i="30"/>
  <c r="L41" i="30"/>
  <c r="C41" i="30"/>
  <c r="K40" i="30"/>
  <c r="L40" i="30" s="1"/>
  <c r="C40" i="30" s="1"/>
  <c r="J40" i="30"/>
  <c r="L39" i="30"/>
  <c r="C39" i="30"/>
  <c r="L38" i="30"/>
  <c r="C38" i="30"/>
  <c r="K37" i="30"/>
  <c r="L37" i="30" s="1"/>
  <c r="C37" i="30" s="1"/>
  <c r="J37" i="30"/>
  <c r="L36" i="30"/>
  <c r="C36" i="30"/>
  <c r="K35" i="30"/>
  <c r="J35" i="30"/>
  <c r="L35" i="30" s="1"/>
  <c r="C35" i="30" s="1"/>
  <c r="L34" i="30"/>
  <c r="C34" i="30"/>
  <c r="L33" i="30"/>
  <c r="C33" i="30"/>
  <c r="L32" i="30"/>
  <c r="C32" i="30"/>
  <c r="K31" i="30"/>
  <c r="L31" i="30" s="1"/>
  <c r="C31" i="30" s="1"/>
  <c r="J31" i="30"/>
  <c r="K30" i="30"/>
  <c r="J30" i="30"/>
  <c r="F29" i="30"/>
  <c r="C29" i="30"/>
  <c r="G28" i="30"/>
  <c r="I28" i="30" s="1"/>
  <c r="D28" i="30"/>
  <c r="F28" i="30" s="1"/>
  <c r="O27" i="30"/>
  <c r="L27" i="30"/>
  <c r="I27" i="30"/>
  <c r="F27" i="30"/>
  <c r="C27" i="30"/>
  <c r="O26" i="30"/>
  <c r="L26" i="30"/>
  <c r="I26" i="30"/>
  <c r="F26" i="30"/>
  <c r="C26" i="30" s="1"/>
  <c r="N25" i="30"/>
  <c r="N290" i="30" s="1"/>
  <c r="N289" i="30" s="1"/>
  <c r="M25" i="30"/>
  <c r="M290" i="30" s="1"/>
  <c r="K25" i="30"/>
  <c r="K290" i="30" s="1"/>
  <c r="K289" i="30" s="1"/>
  <c r="J25" i="30"/>
  <c r="J290" i="30" s="1"/>
  <c r="H25" i="30"/>
  <c r="H290" i="30" s="1"/>
  <c r="H289" i="30" s="1"/>
  <c r="G25" i="30"/>
  <c r="G290" i="30" s="1"/>
  <c r="E25" i="30"/>
  <c r="E290" i="30" s="1"/>
  <c r="E289" i="30" s="1"/>
  <c r="D25" i="30"/>
  <c r="D290" i="30" s="1"/>
  <c r="N24" i="30"/>
  <c r="K24" i="30"/>
  <c r="J24" i="30"/>
  <c r="L24" i="30" s="1"/>
  <c r="H24" i="30"/>
  <c r="G24" i="30"/>
  <c r="I24" i="30" s="1"/>
  <c r="E24" i="30"/>
  <c r="D24" i="30"/>
  <c r="F24" i="30" s="1"/>
  <c r="O299" i="29"/>
  <c r="L299" i="29"/>
  <c r="I299" i="29"/>
  <c r="F299" i="29"/>
  <c r="C299" i="29"/>
  <c r="O298" i="29"/>
  <c r="L298" i="29"/>
  <c r="I298" i="29"/>
  <c r="F298" i="29"/>
  <c r="C298" i="29" s="1"/>
  <c r="O297" i="29"/>
  <c r="L297" i="29"/>
  <c r="I297" i="29"/>
  <c r="C297" i="29" s="1"/>
  <c r="F297" i="29"/>
  <c r="O296" i="29"/>
  <c r="L296" i="29"/>
  <c r="I296" i="29"/>
  <c r="F296" i="29"/>
  <c r="C296" i="29" s="1"/>
  <c r="O295" i="29"/>
  <c r="L295" i="29"/>
  <c r="I295" i="29"/>
  <c r="F295" i="29"/>
  <c r="C295" i="29"/>
  <c r="O294" i="29"/>
  <c r="L294" i="29"/>
  <c r="I294" i="29"/>
  <c r="F294" i="29"/>
  <c r="C294" i="29" s="1"/>
  <c r="O293" i="29"/>
  <c r="L293" i="29"/>
  <c r="I293" i="29"/>
  <c r="F293" i="29"/>
  <c r="C293" i="29" s="1"/>
  <c r="O292" i="29"/>
  <c r="L292" i="29"/>
  <c r="I292" i="29"/>
  <c r="F292" i="29"/>
  <c r="C292" i="29" s="1"/>
  <c r="C291" i="29" s="1"/>
  <c r="N291" i="29"/>
  <c r="M291" i="29"/>
  <c r="O291" i="29" s="1"/>
  <c r="K291" i="29"/>
  <c r="J291" i="29"/>
  <c r="L291" i="29" s="1"/>
  <c r="H291" i="29"/>
  <c r="G291" i="29"/>
  <c r="I291" i="29" s="1"/>
  <c r="F291" i="29"/>
  <c r="E291" i="29"/>
  <c r="D291" i="29"/>
  <c r="O286" i="29"/>
  <c r="L286" i="29"/>
  <c r="I286" i="29"/>
  <c r="F286" i="29"/>
  <c r="C286" i="29" s="1"/>
  <c r="O285" i="29"/>
  <c r="L285" i="29"/>
  <c r="I285" i="29"/>
  <c r="F285" i="29"/>
  <c r="C285" i="29" s="1"/>
  <c r="N284" i="29"/>
  <c r="N287" i="29" s="1"/>
  <c r="M284" i="29"/>
  <c r="K284" i="29"/>
  <c r="J284" i="29"/>
  <c r="J287" i="29" s="1"/>
  <c r="I284" i="29"/>
  <c r="H284" i="29"/>
  <c r="G284" i="29"/>
  <c r="F284" i="29"/>
  <c r="E284" i="29"/>
  <c r="E287" i="29" s="1"/>
  <c r="D284" i="29"/>
  <c r="O283" i="29"/>
  <c r="L283" i="29"/>
  <c r="I283" i="29"/>
  <c r="F283" i="29"/>
  <c r="C283" i="29"/>
  <c r="O282" i="29"/>
  <c r="N282" i="29"/>
  <c r="M282" i="29"/>
  <c r="K282" i="29"/>
  <c r="L282" i="29" s="1"/>
  <c r="J282" i="29"/>
  <c r="H282" i="29"/>
  <c r="G282" i="29"/>
  <c r="I282" i="29" s="1"/>
  <c r="E282" i="29"/>
  <c r="D282" i="29"/>
  <c r="F282" i="29" s="1"/>
  <c r="C282" i="29" s="1"/>
  <c r="O281" i="29"/>
  <c r="L281" i="29"/>
  <c r="I281" i="29"/>
  <c r="F281" i="29"/>
  <c r="C281" i="29" s="1"/>
  <c r="O280" i="29"/>
  <c r="L280" i="29"/>
  <c r="I280" i="29"/>
  <c r="F280" i="29"/>
  <c r="C280" i="29" s="1"/>
  <c r="O279" i="29"/>
  <c r="L279" i="29"/>
  <c r="I279" i="29"/>
  <c r="F279" i="29"/>
  <c r="C279" i="29"/>
  <c r="O278" i="29"/>
  <c r="N278" i="29"/>
  <c r="M278" i="29"/>
  <c r="L278" i="29"/>
  <c r="K278" i="29"/>
  <c r="J278" i="29"/>
  <c r="H278" i="29"/>
  <c r="G278" i="29"/>
  <c r="I278" i="29" s="1"/>
  <c r="E278" i="29"/>
  <c r="D278" i="29"/>
  <c r="F278" i="29" s="1"/>
  <c r="C278" i="29" s="1"/>
  <c r="O277" i="29"/>
  <c r="L277" i="29"/>
  <c r="I277" i="29"/>
  <c r="F277" i="29"/>
  <c r="C277" i="29" s="1"/>
  <c r="O276" i="29"/>
  <c r="L276" i="29"/>
  <c r="I276" i="29"/>
  <c r="F276" i="29"/>
  <c r="C276" i="29" s="1"/>
  <c r="O275" i="29"/>
  <c r="L275" i="29"/>
  <c r="I275" i="29"/>
  <c r="F275" i="29"/>
  <c r="C275" i="29"/>
  <c r="N274" i="29"/>
  <c r="O274" i="29" s="1"/>
  <c r="M274" i="29"/>
  <c r="L274" i="29"/>
  <c r="K274" i="29"/>
  <c r="J274" i="29"/>
  <c r="H274" i="29"/>
  <c r="G274" i="29"/>
  <c r="I274" i="29" s="1"/>
  <c r="E274" i="29"/>
  <c r="D274" i="29"/>
  <c r="F274" i="29" s="1"/>
  <c r="O273" i="29"/>
  <c r="L273" i="29"/>
  <c r="I273" i="29"/>
  <c r="F273" i="29"/>
  <c r="C273" i="29" s="1"/>
  <c r="N272" i="29"/>
  <c r="M272" i="29"/>
  <c r="O272" i="29" s="1"/>
  <c r="K272" i="29"/>
  <c r="J272" i="29"/>
  <c r="L272" i="29" s="1"/>
  <c r="I272" i="29"/>
  <c r="H272" i="29"/>
  <c r="G272" i="29"/>
  <c r="F272" i="29"/>
  <c r="E272" i="29"/>
  <c r="D272" i="29"/>
  <c r="O271" i="29"/>
  <c r="N271" i="29"/>
  <c r="M271" i="29"/>
  <c r="K271" i="29"/>
  <c r="J271" i="29"/>
  <c r="L271" i="29" s="1"/>
  <c r="H271" i="29"/>
  <c r="G271" i="29"/>
  <c r="I271" i="29" s="1"/>
  <c r="F271" i="29"/>
  <c r="E271" i="29"/>
  <c r="D271" i="29"/>
  <c r="O270" i="29"/>
  <c r="L270" i="29"/>
  <c r="I270" i="29"/>
  <c r="F270" i="29"/>
  <c r="C270" i="29" s="1"/>
  <c r="O269" i="29"/>
  <c r="L269" i="29"/>
  <c r="I269" i="29"/>
  <c r="F269" i="29"/>
  <c r="C269" i="29" s="1"/>
  <c r="O268" i="29"/>
  <c r="L268" i="29"/>
  <c r="I268" i="29"/>
  <c r="F268" i="29"/>
  <c r="C268" i="29" s="1"/>
  <c r="O267" i="29"/>
  <c r="L267" i="29"/>
  <c r="I267" i="29"/>
  <c r="F267" i="29"/>
  <c r="C267" i="29"/>
  <c r="O266" i="29"/>
  <c r="N266" i="29"/>
  <c r="M266" i="29"/>
  <c r="K266" i="29"/>
  <c r="L266" i="29" s="1"/>
  <c r="J266" i="29"/>
  <c r="H266" i="29"/>
  <c r="G266" i="29"/>
  <c r="I266" i="29" s="1"/>
  <c r="E266" i="29"/>
  <c r="D266" i="29"/>
  <c r="F266" i="29" s="1"/>
  <c r="C266" i="29" s="1"/>
  <c r="O265" i="29"/>
  <c r="L265" i="29"/>
  <c r="I265" i="29"/>
  <c r="F265" i="29"/>
  <c r="C265" i="29" s="1"/>
  <c r="O264" i="29"/>
  <c r="L264" i="29"/>
  <c r="I264" i="29"/>
  <c r="F264" i="29"/>
  <c r="C264" i="29" s="1"/>
  <c r="O263" i="29"/>
  <c r="L263" i="29"/>
  <c r="I263" i="29"/>
  <c r="F263" i="29"/>
  <c r="C263" i="29"/>
  <c r="N262" i="29"/>
  <c r="O262" i="29" s="1"/>
  <c r="M262" i="29"/>
  <c r="L262" i="29"/>
  <c r="K262" i="29"/>
  <c r="J262" i="29"/>
  <c r="H262" i="29"/>
  <c r="G262" i="29"/>
  <c r="I262" i="29" s="1"/>
  <c r="E262" i="29"/>
  <c r="D262" i="29"/>
  <c r="F262" i="29" s="1"/>
  <c r="N261" i="29"/>
  <c r="M261" i="29"/>
  <c r="O261" i="29" s="1"/>
  <c r="K261" i="29"/>
  <c r="L261" i="29" s="1"/>
  <c r="J261" i="29"/>
  <c r="H261" i="29"/>
  <c r="G261" i="29"/>
  <c r="I261" i="29" s="1"/>
  <c r="E261" i="29"/>
  <c r="D261" i="29"/>
  <c r="F261" i="29" s="1"/>
  <c r="O260" i="29"/>
  <c r="L260" i="29"/>
  <c r="I260" i="29"/>
  <c r="F260" i="29"/>
  <c r="C260" i="29" s="1"/>
  <c r="O259" i="29"/>
  <c r="L259" i="29"/>
  <c r="I259" i="29"/>
  <c r="F259" i="29"/>
  <c r="C259" i="29"/>
  <c r="O258" i="29"/>
  <c r="L258" i="29"/>
  <c r="I258" i="29"/>
  <c r="F258" i="29"/>
  <c r="C258" i="29" s="1"/>
  <c r="O257" i="29"/>
  <c r="L257" i="29"/>
  <c r="I257" i="29"/>
  <c r="F257" i="29"/>
  <c r="C257" i="29" s="1"/>
  <c r="O256" i="29"/>
  <c r="L256" i="29"/>
  <c r="I256" i="29"/>
  <c r="F256" i="29"/>
  <c r="C256" i="29" s="1"/>
  <c r="O255" i="29"/>
  <c r="N255" i="29"/>
  <c r="M255" i="29"/>
  <c r="K255" i="29"/>
  <c r="J255" i="29"/>
  <c r="L255" i="29" s="1"/>
  <c r="H255" i="29"/>
  <c r="G255" i="29"/>
  <c r="I255" i="29" s="1"/>
  <c r="F255" i="29"/>
  <c r="E255" i="29"/>
  <c r="D255" i="29"/>
  <c r="O254" i="29"/>
  <c r="N254" i="29"/>
  <c r="M254" i="29"/>
  <c r="K254" i="29"/>
  <c r="L254" i="29" s="1"/>
  <c r="J254" i="29"/>
  <c r="H254" i="29"/>
  <c r="G254" i="29"/>
  <c r="I254" i="29" s="1"/>
  <c r="E254" i="29"/>
  <c r="D254" i="29"/>
  <c r="F254" i="29" s="1"/>
  <c r="O253" i="29"/>
  <c r="L253" i="29"/>
  <c r="I253" i="29"/>
  <c r="F253" i="29"/>
  <c r="C253" i="29" s="1"/>
  <c r="O252" i="29"/>
  <c r="L252" i="29"/>
  <c r="I252" i="29"/>
  <c r="F252" i="29"/>
  <c r="C252" i="29" s="1"/>
  <c r="O251" i="29"/>
  <c r="L251" i="29"/>
  <c r="I251" i="29"/>
  <c r="F251" i="29"/>
  <c r="C251" i="29"/>
  <c r="O250" i="29"/>
  <c r="L250" i="29"/>
  <c r="I250" i="29"/>
  <c r="F250" i="29"/>
  <c r="C250" i="29" s="1"/>
  <c r="N249" i="29"/>
  <c r="M249" i="29"/>
  <c r="O249" i="29" s="1"/>
  <c r="L249" i="29"/>
  <c r="K249" i="29"/>
  <c r="J249" i="29"/>
  <c r="I249" i="29"/>
  <c r="H249" i="29"/>
  <c r="G249" i="29"/>
  <c r="E249" i="29"/>
  <c r="D249" i="29"/>
  <c r="F249" i="29" s="1"/>
  <c r="C249" i="29" s="1"/>
  <c r="O248" i="29"/>
  <c r="L248" i="29"/>
  <c r="C248" i="29" s="1"/>
  <c r="I248" i="29"/>
  <c r="F248" i="29"/>
  <c r="O247" i="29"/>
  <c r="L247" i="29"/>
  <c r="I247" i="29"/>
  <c r="F247" i="29"/>
  <c r="C247" i="29"/>
  <c r="O246" i="29"/>
  <c r="L246" i="29"/>
  <c r="I246" i="29"/>
  <c r="F246" i="29"/>
  <c r="C246" i="29" s="1"/>
  <c r="O245" i="29"/>
  <c r="L245" i="29"/>
  <c r="I245" i="29"/>
  <c r="F245" i="29"/>
  <c r="C245" i="29" s="1"/>
  <c r="O244" i="29"/>
  <c r="L244" i="29"/>
  <c r="I244" i="29"/>
  <c r="F244" i="29"/>
  <c r="C244" i="29"/>
  <c r="O243" i="29"/>
  <c r="L243" i="29"/>
  <c r="I243" i="29"/>
  <c r="F243" i="29"/>
  <c r="C243" i="29" s="1"/>
  <c r="O242" i="29"/>
  <c r="L242" i="29"/>
  <c r="I242" i="29"/>
  <c r="F242" i="29"/>
  <c r="C242" i="29" s="1"/>
  <c r="N241" i="29"/>
  <c r="M241" i="29"/>
  <c r="O241" i="29" s="1"/>
  <c r="K241" i="29"/>
  <c r="J241" i="29"/>
  <c r="L241" i="29" s="1"/>
  <c r="I241" i="29"/>
  <c r="H241" i="29"/>
  <c r="G241" i="29"/>
  <c r="F241" i="29"/>
  <c r="E241" i="29"/>
  <c r="D241" i="29"/>
  <c r="O240" i="29"/>
  <c r="L240" i="29"/>
  <c r="I240" i="29"/>
  <c r="F240" i="29"/>
  <c r="C240" i="29"/>
  <c r="O239" i="29"/>
  <c r="L239" i="29"/>
  <c r="I239" i="29"/>
  <c r="F239" i="29"/>
  <c r="C239" i="29" s="1"/>
  <c r="N238" i="29"/>
  <c r="M238" i="29"/>
  <c r="O238" i="29" s="1"/>
  <c r="L238" i="29"/>
  <c r="K238" i="29"/>
  <c r="J238" i="29"/>
  <c r="I238" i="29"/>
  <c r="H238" i="29"/>
  <c r="G238" i="29"/>
  <c r="E238" i="29"/>
  <c r="D238" i="29"/>
  <c r="F238" i="29" s="1"/>
  <c r="C238" i="29" s="1"/>
  <c r="O237" i="29"/>
  <c r="L237" i="29"/>
  <c r="I237" i="29"/>
  <c r="F237" i="29"/>
  <c r="C237" i="29" s="1"/>
  <c r="O236" i="29"/>
  <c r="N236" i="29"/>
  <c r="M236" i="29"/>
  <c r="K236" i="29"/>
  <c r="J236" i="29"/>
  <c r="L236" i="29" s="1"/>
  <c r="H236" i="29"/>
  <c r="G236" i="29"/>
  <c r="I236" i="29" s="1"/>
  <c r="F236" i="29"/>
  <c r="E236" i="29"/>
  <c r="D236" i="29"/>
  <c r="O235" i="29"/>
  <c r="L235" i="29"/>
  <c r="I235" i="29"/>
  <c r="F235" i="29"/>
  <c r="C235" i="29" s="1"/>
  <c r="N234" i="29"/>
  <c r="M234" i="29"/>
  <c r="O234" i="29" s="1"/>
  <c r="L234" i="29"/>
  <c r="K234" i="29"/>
  <c r="J234" i="29"/>
  <c r="H234" i="29"/>
  <c r="I234" i="29" s="1"/>
  <c r="G234" i="29"/>
  <c r="E234" i="29"/>
  <c r="D234" i="29"/>
  <c r="F234" i="29" s="1"/>
  <c r="N233" i="29"/>
  <c r="M233" i="29"/>
  <c r="O233" i="29" s="1"/>
  <c r="K233" i="29"/>
  <c r="J233" i="29"/>
  <c r="L233" i="29" s="1"/>
  <c r="I233" i="29"/>
  <c r="H233" i="29"/>
  <c r="G233" i="29"/>
  <c r="E233" i="29"/>
  <c r="F233" i="29" s="1"/>
  <c r="D233" i="29"/>
  <c r="O232" i="29"/>
  <c r="L232" i="29"/>
  <c r="I232" i="29"/>
  <c r="F232" i="29"/>
  <c r="C232" i="29"/>
  <c r="O231" i="29"/>
  <c r="L231" i="29"/>
  <c r="I231" i="29"/>
  <c r="F231" i="29"/>
  <c r="C231" i="29" s="1"/>
  <c r="N230" i="29"/>
  <c r="M230" i="29"/>
  <c r="O230" i="29" s="1"/>
  <c r="L230" i="29"/>
  <c r="K230" i="29"/>
  <c r="J230" i="29"/>
  <c r="I230" i="29"/>
  <c r="H230" i="29"/>
  <c r="G230" i="29"/>
  <c r="E230" i="29"/>
  <c r="D230" i="29"/>
  <c r="F230" i="29" s="1"/>
  <c r="C230" i="29" s="1"/>
  <c r="O229" i="29"/>
  <c r="L229" i="29"/>
  <c r="I229" i="29"/>
  <c r="F229" i="29"/>
  <c r="C229" i="29" s="1"/>
  <c r="O228" i="29"/>
  <c r="L228" i="29"/>
  <c r="I228" i="29"/>
  <c r="F228" i="29"/>
  <c r="C228" i="29"/>
  <c r="O227" i="29"/>
  <c r="L227" i="29"/>
  <c r="I227" i="29"/>
  <c r="F227" i="29"/>
  <c r="C227" i="29" s="1"/>
  <c r="O226" i="29"/>
  <c r="L226" i="29"/>
  <c r="I226" i="29"/>
  <c r="F226" i="29"/>
  <c r="C226" i="29" s="1"/>
  <c r="O225" i="29"/>
  <c r="L225" i="29"/>
  <c r="I225" i="29"/>
  <c r="F225" i="29"/>
  <c r="C225" i="29" s="1"/>
  <c r="O224" i="29"/>
  <c r="L224" i="29"/>
  <c r="I224" i="29"/>
  <c r="F224" i="29"/>
  <c r="C224" i="29"/>
  <c r="O223" i="29"/>
  <c r="L223" i="29"/>
  <c r="I223" i="29"/>
  <c r="F223" i="29"/>
  <c r="C223" i="29" s="1"/>
  <c r="O222" i="29"/>
  <c r="L222" i="29"/>
  <c r="I222" i="29"/>
  <c r="F222" i="29"/>
  <c r="C222" i="29" s="1"/>
  <c r="O221" i="29"/>
  <c r="L221" i="29"/>
  <c r="I221" i="29"/>
  <c r="F221" i="29"/>
  <c r="C221" i="29" s="1"/>
  <c r="O220" i="29"/>
  <c r="L220" i="29"/>
  <c r="I220" i="29"/>
  <c r="F220" i="29"/>
  <c r="C220" i="29"/>
  <c r="O219" i="29"/>
  <c r="N219" i="29"/>
  <c r="M219" i="29"/>
  <c r="L219" i="29"/>
  <c r="K219" i="29"/>
  <c r="J219" i="29"/>
  <c r="H219" i="29"/>
  <c r="G219" i="29"/>
  <c r="I219" i="29" s="1"/>
  <c r="E219" i="29"/>
  <c r="D219" i="29"/>
  <c r="F219" i="29" s="1"/>
  <c r="C219" i="29" s="1"/>
  <c r="O218" i="29"/>
  <c r="L218" i="29"/>
  <c r="I218" i="29"/>
  <c r="F218" i="29"/>
  <c r="C218" i="29" s="1"/>
  <c r="O217" i="29"/>
  <c r="L217" i="29"/>
  <c r="I217" i="29"/>
  <c r="F217" i="29"/>
  <c r="C217" i="29" s="1"/>
  <c r="O216" i="29"/>
  <c r="L216" i="29"/>
  <c r="I216" i="29"/>
  <c r="F216" i="29"/>
  <c r="C216" i="29"/>
  <c r="O215" i="29"/>
  <c r="L215" i="29"/>
  <c r="I215" i="29"/>
  <c r="F215" i="29"/>
  <c r="C215" i="29" s="1"/>
  <c r="O214" i="29"/>
  <c r="L214" i="29"/>
  <c r="I214" i="29"/>
  <c r="F214" i="29"/>
  <c r="C214" i="29" s="1"/>
  <c r="O213" i="29"/>
  <c r="L213" i="29"/>
  <c r="I213" i="29"/>
  <c r="F213" i="29"/>
  <c r="C213" i="29" s="1"/>
  <c r="O212" i="29"/>
  <c r="L212" i="29"/>
  <c r="I212" i="29"/>
  <c r="F212" i="29"/>
  <c r="C212" i="29"/>
  <c r="O211" i="29"/>
  <c r="L211" i="29"/>
  <c r="I211" i="29"/>
  <c r="F211" i="29"/>
  <c r="C211" i="29" s="1"/>
  <c r="O210" i="29"/>
  <c r="L210" i="29"/>
  <c r="I210" i="29"/>
  <c r="F210" i="29"/>
  <c r="C210" i="29" s="1"/>
  <c r="O209" i="29"/>
  <c r="L209" i="29"/>
  <c r="I209" i="29"/>
  <c r="F209" i="29"/>
  <c r="C209" i="29" s="1"/>
  <c r="O208" i="29"/>
  <c r="N208" i="29"/>
  <c r="M208" i="29"/>
  <c r="K208" i="29"/>
  <c r="J208" i="29"/>
  <c r="L208" i="29" s="1"/>
  <c r="H208" i="29"/>
  <c r="G208" i="29"/>
  <c r="I208" i="29" s="1"/>
  <c r="C208" i="29" s="1"/>
  <c r="F208" i="29"/>
  <c r="E208" i="29"/>
  <c r="D208" i="29"/>
  <c r="O207" i="29"/>
  <c r="N207" i="29"/>
  <c r="M207" i="29"/>
  <c r="K207" i="29"/>
  <c r="L207" i="29" s="1"/>
  <c r="J207" i="29"/>
  <c r="H207" i="29"/>
  <c r="G207" i="29"/>
  <c r="I207" i="29" s="1"/>
  <c r="E207" i="29"/>
  <c r="D207" i="29"/>
  <c r="F207" i="29" s="1"/>
  <c r="O206" i="29"/>
  <c r="L206" i="29"/>
  <c r="I206" i="29"/>
  <c r="F206" i="29"/>
  <c r="C206" i="29" s="1"/>
  <c r="O205" i="29"/>
  <c r="L205" i="29"/>
  <c r="I205" i="29"/>
  <c r="F205" i="29"/>
  <c r="C205" i="29" s="1"/>
  <c r="O204" i="29"/>
  <c r="L204" i="29"/>
  <c r="I204" i="29"/>
  <c r="F204" i="29"/>
  <c r="C204" i="29"/>
  <c r="O203" i="29"/>
  <c r="L203" i="29"/>
  <c r="I203" i="29"/>
  <c r="F203" i="29"/>
  <c r="C203" i="29" s="1"/>
  <c r="O202" i="29"/>
  <c r="L202" i="29"/>
  <c r="I202" i="29"/>
  <c r="F202" i="29"/>
  <c r="C202" i="29" s="1"/>
  <c r="N201" i="29"/>
  <c r="M201" i="29"/>
  <c r="O201" i="29" s="1"/>
  <c r="K201" i="29"/>
  <c r="J201" i="29"/>
  <c r="L201" i="29" s="1"/>
  <c r="I201" i="29"/>
  <c r="H201" i="29"/>
  <c r="G201" i="29"/>
  <c r="F201" i="29"/>
  <c r="E201" i="29"/>
  <c r="D201" i="29"/>
  <c r="O200" i="29"/>
  <c r="L200" i="29"/>
  <c r="I200" i="29"/>
  <c r="F200" i="29"/>
  <c r="C200" i="29"/>
  <c r="N199" i="29"/>
  <c r="O199" i="29" s="1"/>
  <c r="M199" i="29"/>
  <c r="K199" i="29"/>
  <c r="J199" i="29"/>
  <c r="L199" i="29" s="1"/>
  <c r="H199" i="29"/>
  <c r="G199" i="29"/>
  <c r="I199" i="29" s="1"/>
  <c r="E199" i="29"/>
  <c r="D199" i="29"/>
  <c r="F199" i="29" s="1"/>
  <c r="C199" i="29" s="1"/>
  <c r="N198" i="29"/>
  <c r="M198" i="29"/>
  <c r="O198" i="29" s="1"/>
  <c r="L198" i="29"/>
  <c r="K198" i="29"/>
  <c r="J198" i="29"/>
  <c r="H198" i="29"/>
  <c r="I198" i="29" s="1"/>
  <c r="G198" i="29"/>
  <c r="E198" i="29"/>
  <c r="D198" i="29"/>
  <c r="F198" i="29" s="1"/>
  <c r="C198" i="29" s="1"/>
  <c r="N197" i="29"/>
  <c r="M197" i="29"/>
  <c r="O197" i="29" s="1"/>
  <c r="K197" i="29"/>
  <c r="J197" i="29"/>
  <c r="L197" i="29" s="1"/>
  <c r="I197" i="29"/>
  <c r="H197" i="29"/>
  <c r="G197" i="29"/>
  <c r="E197" i="29"/>
  <c r="F197" i="29" s="1"/>
  <c r="D197" i="29"/>
  <c r="O196" i="29"/>
  <c r="L196" i="29"/>
  <c r="I196" i="29"/>
  <c r="F196" i="29"/>
  <c r="C196" i="29"/>
  <c r="O195" i="29"/>
  <c r="N195" i="29"/>
  <c r="M195" i="29"/>
  <c r="K195" i="29"/>
  <c r="L195" i="29" s="1"/>
  <c r="J195" i="29"/>
  <c r="H195" i="29"/>
  <c r="G195" i="29"/>
  <c r="I195" i="29" s="1"/>
  <c r="E195" i="29"/>
  <c r="D195" i="29"/>
  <c r="F195" i="29" s="1"/>
  <c r="C195" i="29" s="1"/>
  <c r="N194" i="29"/>
  <c r="M194" i="29"/>
  <c r="O194" i="29" s="1"/>
  <c r="L194" i="29"/>
  <c r="K194" i="29"/>
  <c r="J194" i="29"/>
  <c r="H194" i="29"/>
  <c r="I194" i="29" s="1"/>
  <c r="G194" i="29"/>
  <c r="E194" i="29"/>
  <c r="D194" i="29"/>
  <c r="F194" i="29" s="1"/>
  <c r="C194" i="29" s="1"/>
  <c r="O193" i="29"/>
  <c r="L193" i="29"/>
  <c r="I193" i="29"/>
  <c r="F193" i="29"/>
  <c r="C193" i="29" s="1"/>
  <c r="O192" i="29"/>
  <c r="L192" i="29"/>
  <c r="I192" i="29"/>
  <c r="F192" i="29"/>
  <c r="C192" i="29"/>
  <c r="O191" i="29"/>
  <c r="N191" i="29"/>
  <c r="M191" i="29"/>
  <c r="K191" i="29"/>
  <c r="L191" i="29" s="1"/>
  <c r="J191" i="29"/>
  <c r="H191" i="29"/>
  <c r="G191" i="29"/>
  <c r="I191" i="29" s="1"/>
  <c r="E191" i="29"/>
  <c r="D191" i="29"/>
  <c r="F191" i="29" s="1"/>
  <c r="C191" i="29" s="1"/>
  <c r="N190" i="29"/>
  <c r="M190" i="29"/>
  <c r="O190" i="29" s="1"/>
  <c r="L190" i="29"/>
  <c r="K190" i="29"/>
  <c r="J190" i="29"/>
  <c r="H190" i="29"/>
  <c r="I190" i="29" s="1"/>
  <c r="G190" i="29"/>
  <c r="E190" i="29"/>
  <c r="D190" i="29"/>
  <c r="F190" i="29" s="1"/>
  <c r="C190" i="29" s="1"/>
  <c r="O189" i="29"/>
  <c r="L189" i="29"/>
  <c r="I189" i="29"/>
  <c r="F189" i="29"/>
  <c r="C189" i="29" s="1"/>
  <c r="O188" i="29"/>
  <c r="L188" i="29"/>
  <c r="I188" i="29"/>
  <c r="F188" i="29"/>
  <c r="C188" i="29"/>
  <c r="O187" i="29"/>
  <c r="N187" i="29"/>
  <c r="M187" i="29"/>
  <c r="L187" i="29"/>
  <c r="K187" i="29"/>
  <c r="J187" i="29"/>
  <c r="H187" i="29"/>
  <c r="G187" i="29"/>
  <c r="I187" i="29" s="1"/>
  <c r="E187" i="29"/>
  <c r="D187" i="29"/>
  <c r="F187" i="29" s="1"/>
  <c r="C187" i="29" s="1"/>
  <c r="O186" i="29"/>
  <c r="L186" i="29"/>
  <c r="I186" i="29"/>
  <c r="F186" i="29"/>
  <c r="C186" i="29" s="1"/>
  <c r="O185" i="29"/>
  <c r="L185" i="29"/>
  <c r="I185" i="29"/>
  <c r="F185" i="29"/>
  <c r="C185" i="29" s="1"/>
  <c r="O184" i="29"/>
  <c r="L184" i="29"/>
  <c r="I184" i="29"/>
  <c r="F184" i="29"/>
  <c r="C184" i="29"/>
  <c r="O183" i="29"/>
  <c r="L183" i="29"/>
  <c r="I183" i="29"/>
  <c r="F183" i="29"/>
  <c r="C183" i="29" s="1"/>
  <c r="N182" i="29"/>
  <c r="M182" i="29"/>
  <c r="O182" i="29" s="1"/>
  <c r="K182" i="29"/>
  <c r="L182" i="29" s="1"/>
  <c r="J182" i="29"/>
  <c r="H182" i="29"/>
  <c r="G182" i="29"/>
  <c r="I182" i="29" s="1"/>
  <c r="E182" i="29"/>
  <c r="D182" i="29"/>
  <c r="F182" i="29" s="1"/>
  <c r="C182" i="29" s="1"/>
  <c r="O181" i="29"/>
  <c r="L181" i="29"/>
  <c r="I181" i="29"/>
  <c r="F181" i="29"/>
  <c r="C181" i="29" s="1"/>
  <c r="O180" i="29"/>
  <c r="L180" i="29"/>
  <c r="I180" i="29"/>
  <c r="F180" i="29"/>
  <c r="C180" i="29"/>
  <c r="O179" i="29"/>
  <c r="L179" i="29"/>
  <c r="I179" i="29"/>
  <c r="F179" i="29"/>
  <c r="C179" i="29" s="1"/>
  <c r="N178" i="29"/>
  <c r="M178" i="29"/>
  <c r="O178" i="29" s="1"/>
  <c r="K178" i="29"/>
  <c r="L178" i="29" s="1"/>
  <c r="J178" i="29"/>
  <c r="H178" i="29"/>
  <c r="G178" i="29"/>
  <c r="I178" i="29" s="1"/>
  <c r="E178" i="29"/>
  <c r="D178" i="29"/>
  <c r="F178" i="29" s="1"/>
  <c r="N177" i="29"/>
  <c r="M177" i="29"/>
  <c r="O177" i="29" s="1"/>
  <c r="K177" i="29"/>
  <c r="J177" i="29"/>
  <c r="L177" i="29" s="1"/>
  <c r="I177" i="29"/>
  <c r="H177" i="29"/>
  <c r="G177" i="29"/>
  <c r="E177" i="29"/>
  <c r="F177" i="29" s="1"/>
  <c r="D177" i="29"/>
  <c r="N176" i="29"/>
  <c r="M176" i="29"/>
  <c r="O176" i="29" s="1"/>
  <c r="K176" i="29"/>
  <c r="J176" i="29"/>
  <c r="L176" i="29" s="1"/>
  <c r="H176" i="29"/>
  <c r="G176" i="29"/>
  <c r="I176" i="29" s="1"/>
  <c r="F176" i="29"/>
  <c r="E176" i="29"/>
  <c r="D176" i="29"/>
  <c r="O175" i="29"/>
  <c r="L175" i="29"/>
  <c r="I175" i="29"/>
  <c r="F175" i="29"/>
  <c r="C175" i="29"/>
  <c r="O174" i="29"/>
  <c r="L174" i="29"/>
  <c r="I174" i="29"/>
  <c r="F174" i="29"/>
  <c r="C174" i="29" s="1"/>
  <c r="O173" i="29"/>
  <c r="L173" i="29"/>
  <c r="I173" i="29"/>
  <c r="F173" i="29"/>
  <c r="C173" i="29" s="1"/>
  <c r="O172" i="29"/>
  <c r="L172" i="29"/>
  <c r="C172" i="29" s="1"/>
  <c r="I172" i="29"/>
  <c r="F172" i="29"/>
  <c r="O171" i="29"/>
  <c r="L171" i="29"/>
  <c r="I171" i="29"/>
  <c r="F171" i="29"/>
  <c r="C171" i="29"/>
  <c r="O170" i="29"/>
  <c r="L170" i="29"/>
  <c r="I170" i="29"/>
  <c r="F170" i="29"/>
  <c r="C170" i="29" s="1"/>
  <c r="N169" i="29"/>
  <c r="M169" i="29"/>
  <c r="M168" i="29" s="1"/>
  <c r="K169" i="29"/>
  <c r="J169" i="29"/>
  <c r="L169" i="29" s="1"/>
  <c r="I169" i="29"/>
  <c r="H169" i="29"/>
  <c r="G169" i="29"/>
  <c r="E169" i="29"/>
  <c r="F169" i="29" s="1"/>
  <c r="D169" i="29"/>
  <c r="N168" i="29"/>
  <c r="K168" i="29"/>
  <c r="J168" i="29"/>
  <c r="L168" i="29" s="1"/>
  <c r="H168" i="29"/>
  <c r="G168" i="29"/>
  <c r="I168" i="29" s="1"/>
  <c r="F168" i="29"/>
  <c r="E168" i="29"/>
  <c r="D168" i="29"/>
  <c r="O167" i="29"/>
  <c r="L167" i="29"/>
  <c r="I167" i="29"/>
  <c r="F167" i="29"/>
  <c r="C167" i="29"/>
  <c r="O166" i="29"/>
  <c r="L166" i="29"/>
  <c r="I166" i="29"/>
  <c r="F166" i="29"/>
  <c r="C166" i="29" s="1"/>
  <c r="O165" i="29"/>
  <c r="L165" i="29"/>
  <c r="I165" i="29"/>
  <c r="F165" i="29"/>
  <c r="C165" i="29" s="1"/>
  <c r="O164" i="29"/>
  <c r="L164" i="29"/>
  <c r="C164" i="29" s="1"/>
  <c r="I164" i="29"/>
  <c r="F164" i="29"/>
  <c r="O163" i="29"/>
  <c r="N163" i="29"/>
  <c r="M163" i="29"/>
  <c r="K163" i="29"/>
  <c r="J163" i="29"/>
  <c r="L163" i="29" s="1"/>
  <c r="H163" i="29"/>
  <c r="G163" i="29"/>
  <c r="I163" i="29" s="1"/>
  <c r="E163" i="29"/>
  <c r="D163" i="29"/>
  <c r="F163" i="29" s="1"/>
  <c r="C163" i="29" s="1"/>
  <c r="O162" i="29"/>
  <c r="L162" i="29"/>
  <c r="I162" i="29"/>
  <c r="F162" i="29"/>
  <c r="C162" i="29" s="1"/>
  <c r="O161" i="29"/>
  <c r="L161" i="29"/>
  <c r="I161" i="29"/>
  <c r="C161" i="29" s="1"/>
  <c r="F161" i="29"/>
  <c r="O160" i="29"/>
  <c r="L160" i="29"/>
  <c r="I160" i="29"/>
  <c r="F160" i="29"/>
  <c r="C160" i="29" s="1"/>
  <c r="O159" i="29"/>
  <c r="L159" i="29"/>
  <c r="I159" i="29"/>
  <c r="F159" i="29"/>
  <c r="C159" i="29"/>
  <c r="O158" i="29"/>
  <c r="L158" i="29"/>
  <c r="I158" i="29"/>
  <c r="F158" i="29"/>
  <c r="C158" i="29" s="1"/>
  <c r="O157" i="29"/>
  <c r="L157" i="29"/>
  <c r="I157" i="29"/>
  <c r="C157" i="29" s="1"/>
  <c r="F157" i="29"/>
  <c r="O156" i="29"/>
  <c r="L156" i="29"/>
  <c r="I156" i="29"/>
  <c r="F156" i="29"/>
  <c r="C156" i="29" s="1"/>
  <c r="O155" i="29"/>
  <c r="L155" i="29"/>
  <c r="I155" i="29"/>
  <c r="F155" i="29"/>
  <c r="C155" i="29"/>
  <c r="N154" i="29"/>
  <c r="M154" i="29"/>
  <c r="O154" i="29" s="1"/>
  <c r="K154" i="29"/>
  <c r="J154" i="29"/>
  <c r="L154" i="29" s="1"/>
  <c r="H154" i="29"/>
  <c r="I154" i="29" s="1"/>
  <c r="G154" i="29"/>
  <c r="E154" i="29"/>
  <c r="D154" i="29"/>
  <c r="F154" i="29" s="1"/>
  <c r="O153" i="29"/>
  <c r="L153" i="29"/>
  <c r="I153" i="29"/>
  <c r="C153" i="29" s="1"/>
  <c r="F153" i="29"/>
  <c r="O152" i="29"/>
  <c r="L152" i="29"/>
  <c r="I152" i="29"/>
  <c r="F152" i="29"/>
  <c r="C152" i="29" s="1"/>
  <c r="O151" i="29"/>
  <c r="L151" i="29"/>
  <c r="I151" i="29"/>
  <c r="F151" i="29"/>
  <c r="C151" i="29"/>
  <c r="O150" i="29"/>
  <c r="L150" i="29"/>
  <c r="I150" i="29"/>
  <c r="F150" i="29"/>
  <c r="C150" i="29" s="1"/>
  <c r="O149" i="29"/>
  <c r="L149" i="29"/>
  <c r="I149" i="29"/>
  <c r="C149" i="29" s="1"/>
  <c r="F149" i="29"/>
  <c r="O148" i="29"/>
  <c r="L148" i="29"/>
  <c r="I148" i="29"/>
  <c r="F148" i="29"/>
  <c r="C148" i="29" s="1"/>
  <c r="N147" i="29"/>
  <c r="M147" i="29"/>
  <c r="O147" i="29" s="1"/>
  <c r="K147" i="29"/>
  <c r="L147" i="29" s="1"/>
  <c r="J147" i="29"/>
  <c r="H147" i="29"/>
  <c r="G147" i="29"/>
  <c r="I147" i="29" s="1"/>
  <c r="E147" i="29"/>
  <c r="D147" i="29"/>
  <c r="F147" i="29" s="1"/>
  <c r="C147" i="29" s="1"/>
  <c r="O146" i="29"/>
  <c r="L146" i="29"/>
  <c r="I146" i="29"/>
  <c r="F146" i="29"/>
  <c r="C146" i="29" s="1"/>
  <c r="O145" i="29"/>
  <c r="L145" i="29"/>
  <c r="I145" i="29"/>
  <c r="C145" i="29" s="1"/>
  <c r="F145" i="29"/>
  <c r="N144" i="29"/>
  <c r="O144" i="29" s="1"/>
  <c r="M144" i="29"/>
  <c r="K144" i="29"/>
  <c r="J144" i="29"/>
  <c r="L144" i="29" s="1"/>
  <c r="H144" i="29"/>
  <c r="G144" i="29"/>
  <c r="I144" i="29" s="1"/>
  <c r="E144" i="29"/>
  <c r="D144" i="29"/>
  <c r="F144" i="29" s="1"/>
  <c r="O143" i="29"/>
  <c r="L143" i="29"/>
  <c r="I143" i="29"/>
  <c r="F143" i="29"/>
  <c r="C143" i="29"/>
  <c r="O142" i="29"/>
  <c r="L142" i="29"/>
  <c r="I142" i="29"/>
  <c r="F142" i="29"/>
  <c r="C142" i="29" s="1"/>
  <c r="O141" i="29"/>
  <c r="L141" i="29"/>
  <c r="I141" i="29"/>
  <c r="C141" i="29" s="1"/>
  <c r="F141" i="29"/>
  <c r="O140" i="29"/>
  <c r="L140" i="29"/>
  <c r="I140" i="29"/>
  <c r="F140" i="29"/>
  <c r="C140" i="29" s="1"/>
  <c r="O139" i="29"/>
  <c r="N139" i="29"/>
  <c r="M139" i="29"/>
  <c r="K139" i="29"/>
  <c r="L139" i="29" s="1"/>
  <c r="J139" i="29"/>
  <c r="H139" i="29"/>
  <c r="G139" i="29"/>
  <c r="I139" i="29" s="1"/>
  <c r="E139" i="29"/>
  <c r="D139" i="29"/>
  <c r="F139" i="29" s="1"/>
  <c r="O138" i="29"/>
  <c r="L138" i="29"/>
  <c r="I138" i="29"/>
  <c r="F138" i="29"/>
  <c r="C138" i="29" s="1"/>
  <c r="O137" i="29"/>
  <c r="L137" i="29"/>
  <c r="I137" i="29"/>
  <c r="C137" i="29" s="1"/>
  <c r="F137" i="29"/>
  <c r="O136" i="29"/>
  <c r="L136" i="29"/>
  <c r="I136" i="29"/>
  <c r="F136" i="29"/>
  <c r="C136" i="29" s="1"/>
  <c r="O135" i="29"/>
  <c r="L135" i="29"/>
  <c r="I135" i="29"/>
  <c r="F135" i="29"/>
  <c r="C135" i="29"/>
  <c r="N134" i="29"/>
  <c r="M134" i="29"/>
  <c r="O134" i="29" s="1"/>
  <c r="K134" i="29"/>
  <c r="J134" i="29"/>
  <c r="L134" i="29" s="1"/>
  <c r="H134" i="29"/>
  <c r="I134" i="29" s="1"/>
  <c r="G134" i="29"/>
  <c r="E134" i="29"/>
  <c r="D134" i="29"/>
  <c r="F134" i="29" s="1"/>
  <c r="N133" i="29"/>
  <c r="M133" i="29"/>
  <c r="O133" i="29" s="1"/>
  <c r="K133" i="29"/>
  <c r="J133" i="29"/>
  <c r="L133" i="29" s="1"/>
  <c r="H133" i="29"/>
  <c r="G133" i="29"/>
  <c r="I133" i="29" s="1"/>
  <c r="E133" i="29"/>
  <c r="D133" i="29"/>
  <c r="F133" i="29" s="1"/>
  <c r="O132" i="29"/>
  <c r="L132" i="29"/>
  <c r="I132" i="29"/>
  <c r="F132" i="29"/>
  <c r="C132" i="29" s="1"/>
  <c r="N131" i="29"/>
  <c r="M131" i="29"/>
  <c r="O131" i="29" s="1"/>
  <c r="K131" i="29"/>
  <c r="J131" i="29"/>
  <c r="L131" i="29" s="1"/>
  <c r="H131" i="29"/>
  <c r="G131" i="29"/>
  <c r="I131" i="29" s="1"/>
  <c r="E131" i="29"/>
  <c r="F131" i="29" s="1"/>
  <c r="D131" i="29"/>
  <c r="O130" i="29"/>
  <c r="L130" i="29"/>
  <c r="I130" i="29"/>
  <c r="F130" i="29"/>
  <c r="C130" i="29" s="1"/>
  <c r="O129" i="29"/>
  <c r="L129" i="29"/>
  <c r="I129" i="29"/>
  <c r="C129" i="29" s="1"/>
  <c r="F129" i="29"/>
  <c r="O128" i="29"/>
  <c r="L128" i="29"/>
  <c r="I128" i="29"/>
  <c r="F128" i="29"/>
  <c r="C128" i="29" s="1"/>
  <c r="O127" i="29"/>
  <c r="L127" i="29"/>
  <c r="I127" i="29"/>
  <c r="F127" i="29"/>
  <c r="C127" i="29"/>
  <c r="O126" i="29"/>
  <c r="L126" i="29"/>
  <c r="I126" i="29"/>
  <c r="F126" i="29"/>
  <c r="C126" i="29" s="1"/>
  <c r="N125" i="29"/>
  <c r="M125" i="29"/>
  <c r="O125" i="29" s="1"/>
  <c r="K125" i="29"/>
  <c r="L125" i="29" s="1"/>
  <c r="J125" i="29"/>
  <c r="I125" i="29"/>
  <c r="H125" i="29"/>
  <c r="G125" i="29"/>
  <c r="E125" i="29"/>
  <c r="D125" i="29"/>
  <c r="F125" i="29" s="1"/>
  <c r="C125" i="29" s="1"/>
  <c r="O124" i="29"/>
  <c r="L124" i="29"/>
  <c r="I124" i="29"/>
  <c r="F124" i="29"/>
  <c r="C124" i="29" s="1"/>
  <c r="O123" i="29"/>
  <c r="L123" i="29"/>
  <c r="I123" i="29"/>
  <c r="F123" i="29"/>
  <c r="C123" i="29"/>
  <c r="O122" i="29"/>
  <c r="L122" i="29"/>
  <c r="I122" i="29"/>
  <c r="F122" i="29"/>
  <c r="C122" i="29" s="1"/>
  <c r="O121" i="29"/>
  <c r="L121" i="29"/>
  <c r="I121" i="29"/>
  <c r="C121" i="29" s="1"/>
  <c r="F121" i="29"/>
  <c r="O120" i="29"/>
  <c r="L120" i="29"/>
  <c r="I120" i="29"/>
  <c r="F120" i="29"/>
  <c r="C120" i="29" s="1"/>
  <c r="N119" i="29"/>
  <c r="M119" i="29"/>
  <c r="O119" i="29" s="1"/>
  <c r="K119" i="29"/>
  <c r="J119" i="29"/>
  <c r="L119" i="29" s="1"/>
  <c r="H119" i="29"/>
  <c r="G119" i="29"/>
  <c r="I119" i="29" s="1"/>
  <c r="E119" i="29"/>
  <c r="F119" i="29" s="1"/>
  <c r="C119" i="29" s="1"/>
  <c r="D119" i="29"/>
  <c r="O118" i="29"/>
  <c r="L118" i="29"/>
  <c r="I118" i="29"/>
  <c r="F118" i="29"/>
  <c r="C118" i="29" s="1"/>
  <c r="O117" i="29"/>
  <c r="L117" i="29"/>
  <c r="I117" i="29"/>
  <c r="F117" i="29"/>
  <c r="C117" i="29" s="1"/>
  <c r="O116" i="29"/>
  <c r="L116" i="29"/>
  <c r="I116" i="29"/>
  <c r="F116" i="29"/>
  <c r="C116" i="29" s="1"/>
  <c r="N115" i="29"/>
  <c r="M115" i="29"/>
  <c r="O115" i="29" s="1"/>
  <c r="K115" i="29"/>
  <c r="J115" i="29"/>
  <c r="L115" i="29" s="1"/>
  <c r="H115" i="29"/>
  <c r="G115" i="29"/>
  <c r="I115" i="29" s="1"/>
  <c r="E115" i="29"/>
  <c r="F115" i="29" s="1"/>
  <c r="C115" i="29" s="1"/>
  <c r="D115" i="29"/>
  <c r="O114" i="29"/>
  <c r="L114" i="29"/>
  <c r="I114" i="29"/>
  <c r="F114" i="29"/>
  <c r="C114" i="29" s="1"/>
  <c r="O113" i="29"/>
  <c r="L113" i="29"/>
  <c r="I113" i="29"/>
  <c r="C113" i="29" s="1"/>
  <c r="F113" i="29"/>
  <c r="O112" i="29"/>
  <c r="L112" i="29"/>
  <c r="I112" i="29"/>
  <c r="F112" i="29"/>
  <c r="C112" i="29" s="1"/>
  <c r="O111" i="29"/>
  <c r="L111" i="29"/>
  <c r="I111" i="29"/>
  <c r="F111" i="29"/>
  <c r="C111" i="29"/>
  <c r="O110" i="29"/>
  <c r="L110" i="29"/>
  <c r="I110" i="29"/>
  <c r="F110" i="29"/>
  <c r="C110" i="29" s="1"/>
  <c r="O109" i="29"/>
  <c r="L109" i="29"/>
  <c r="I109" i="29"/>
  <c r="C109" i="29" s="1"/>
  <c r="F109" i="29"/>
  <c r="O108" i="29"/>
  <c r="L108" i="29"/>
  <c r="I108" i="29"/>
  <c r="F108" i="29"/>
  <c r="C108" i="29" s="1"/>
  <c r="O107" i="29"/>
  <c r="L107" i="29"/>
  <c r="I107" i="29"/>
  <c r="F107" i="29"/>
  <c r="C107" i="29"/>
  <c r="N106" i="29"/>
  <c r="O106" i="29" s="1"/>
  <c r="M106" i="29"/>
  <c r="L106" i="29"/>
  <c r="K106" i="29"/>
  <c r="J106" i="29"/>
  <c r="H106" i="29"/>
  <c r="G106" i="29"/>
  <c r="I106" i="29" s="1"/>
  <c r="E106" i="29"/>
  <c r="D106" i="29"/>
  <c r="F106" i="29" s="1"/>
  <c r="C106" i="29" s="1"/>
  <c r="O105" i="29"/>
  <c r="L105" i="29"/>
  <c r="I105" i="29"/>
  <c r="C105" i="29" s="1"/>
  <c r="F105" i="29"/>
  <c r="O104" i="29"/>
  <c r="L104" i="29"/>
  <c r="I104" i="29"/>
  <c r="F104" i="29"/>
  <c r="C104" i="29" s="1"/>
  <c r="O103" i="29"/>
  <c r="L103" i="29"/>
  <c r="I103" i="29"/>
  <c r="F103" i="29"/>
  <c r="C103" i="29"/>
  <c r="O102" i="29"/>
  <c r="L102" i="29"/>
  <c r="I102" i="29"/>
  <c r="F102" i="29"/>
  <c r="C102" i="29" s="1"/>
  <c r="O101" i="29"/>
  <c r="L101" i="29"/>
  <c r="I101" i="29"/>
  <c r="C101" i="29" s="1"/>
  <c r="F101" i="29"/>
  <c r="O100" i="29"/>
  <c r="L100" i="29"/>
  <c r="I100" i="29"/>
  <c r="F100" i="29"/>
  <c r="C100" i="29" s="1"/>
  <c r="O99" i="29"/>
  <c r="L99" i="29"/>
  <c r="I99" i="29"/>
  <c r="F99" i="29"/>
  <c r="C99" i="29"/>
  <c r="N98" i="29"/>
  <c r="O98" i="29" s="1"/>
  <c r="M98" i="29"/>
  <c r="K98" i="29"/>
  <c r="J98" i="29"/>
  <c r="L98" i="29" s="1"/>
  <c r="H98" i="29"/>
  <c r="G98" i="29"/>
  <c r="I98" i="29" s="1"/>
  <c r="E98" i="29"/>
  <c r="D98" i="29"/>
  <c r="F98" i="29" s="1"/>
  <c r="O97" i="29"/>
  <c r="L97" i="29"/>
  <c r="I97" i="29"/>
  <c r="C97" i="29" s="1"/>
  <c r="F97" i="29"/>
  <c r="O96" i="29"/>
  <c r="L96" i="29"/>
  <c r="I96" i="29"/>
  <c r="F96" i="29"/>
  <c r="C96" i="29" s="1"/>
  <c r="O95" i="29"/>
  <c r="J95" i="29"/>
  <c r="L95" i="29" s="1"/>
  <c r="I95" i="29"/>
  <c r="F95" i="29"/>
  <c r="D95" i="29"/>
  <c r="O94" i="29"/>
  <c r="L94" i="29"/>
  <c r="I94" i="29"/>
  <c r="F94" i="29"/>
  <c r="C94" i="29" s="1"/>
  <c r="O93" i="29"/>
  <c r="L93" i="29"/>
  <c r="I93" i="29"/>
  <c r="F93" i="29"/>
  <c r="C93" i="29"/>
  <c r="N92" i="29"/>
  <c r="M92" i="29"/>
  <c r="O92" i="29" s="1"/>
  <c r="K92" i="29"/>
  <c r="J92" i="29"/>
  <c r="L92" i="29" s="1"/>
  <c r="H92" i="29"/>
  <c r="G92" i="29"/>
  <c r="I92" i="29" s="1"/>
  <c r="E92" i="29"/>
  <c r="D92" i="29"/>
  <c r="F92" i="29" s="1"/>
  <c r="C92" i="29" s="1"/>
  <c r="O91" i="29"/>
  <c r="L91" i="29"/>
  <c r="I91" i="29"/>
  <c r="C91" i="29" s="1"/>
  <c r="F91" i="29"/>
  <c r="O90" i="29"/>
  <c r="L90" i="29"/>
  <c r="I90" i="29"/>
  <c r="F90" i="29"/>
  <c r="C90" i="29" s="1"/>
  <c r="O89" i="29"/>
  <c r="J89" i="29"/>
  <c r="L89" i="29" s="1"/>
  <c r="I89" i="29"/>
  <c r="F89" i="29"/>
  <c r="C89" i="29" s="1"/>
  <c r="D89" i="29"/>
  <c r="O88" i="29"/>
  <c r="L88" i="29"/>
  <c r="I88" i="29"/>
  <c r="F88" i="29"/>
  <c r="C88" i="29" s="1"/>
  <c r="O87" i="29"/>
  <c r="N87" i="29"/>
  <c r="M87" i="29"/>
  <c r="K87" i="29"/>
  <c r="J87" i="29"/>
  <c r="L87" i="29" s="1"/>
  <c r="H87" i="29"/>
  <c r="G87" i="29"/>
  <c r="I87" i="29" s="1"/>
  <c r="E87" i="29"/>
  <c r="F87" i="29" s="1"/>
  <c r="D87" i="29"/>
  <c r="N86" i="29"/>
  <c r="M86" i="29"/>
  <c r="O86" i="29" s="1"/>
  <c r="K86" i="29"/>
  <c r="J86" i="29"/>
  <c r="L86" i="29" s="1"/>
  <c r="H86" i="29"/>
  <c r="G86" i="29"/>
  <c r="I86" i="29" s="1"/>
  <c r="E86" i="29"/>
  <c r="D86" i="29"/>
  <c r="F86" i="29" s="1"/>
  <c r="O85" i="29"/>
  <c r="L85" i="29"/>
  <c r="I85" i="29"/>
  <c r="C85" i="29" s="1"/>
  <c r="F85" i="29"/>
  <c r="O84" i="29"/>
  <c r="L84" i="29"/>
  <c r="I84" i="29"/>
  <c r="F84" i="29"/>
  <c r="C84" i="29" s="1"/>
  <c r="O83" i="29"/>
  <c r="N83" i="29"/>
  <c r="M83" i="29"/>
  <c r="K83" i="29"/>
  <c r="J83" i="29"/>
  <c r="L83" i="29" s="1"/>
  <c r="H83" i="29"/>
  <c r="G83" i="29"/>
  <c r="I83" i="29" s="1"/>
  <c r="E83" i="29"/>
  <c r="F83" i="29" s="1"/>
  <c r="D83" i="29"/>
  <c r="O82" i="29"/>
  <c r="L82" i="29"/>
  <c r="I82" i="29"/>
  <c r="F82" i="29"/>
  <c r="C82" i="29" s="1"/>
  <c r="O81" i="29"/>
  <c r="L81" i="29"/>
  <c r="I81" i="29"/>
  <c r="C81" i="29" s="1"/>
  <c r="F81" i="29"/>
  <c r="N80" i="29"/>
  <c r="M80" i="29"/>
  <c r="O80" i="29" s="1"/>
  <c r="K80" i="29"/>
  <c r="J80" i="29"/>
  <c r="L80" i="29" s="1"/>
  <c r="H80" i="29"/>
  <c r="I80" i="29" s="1"/>
  <c r="G80" i="29"/>
  <c r="E80" i="29"/>
  <c r="D80" i="29"/>
  <c r="F80" i="29" s="1"/>
  <c r="N79" i="29"/>
  <c r="M79" i="29"/>
  <c r="O79" i="29" s="1"/>
  <c r="K79" i="29"/>
  <c r="J79" i="29"/>
  <c r="L79" i="29" s="1"/>
  <c r="H79" i="29"/>
  <c r="G79" i="29"/>
  <c r="I79" i="29" s="1"/>
  <c r="E79" i="29"/>
  <c r="F79" i="29" s="1"/>
  <c r="D79" i="29"/>
  <c r="N78" i="29"/>
  <c r="K78" i="29"/>
  <c r="J78" i="29"/>
  <c r="L78" i="29" s="1"/>
  <c r="H78" i="29"/>
  <c r="G78" i="29"/>
  <c r="I78" i="29" s="1"/>
  <c r="E78" i="29"/>
  <c r="D78" i="29"/>
  <c r="F78" i="29" s="1"/>
  <c r="O77" i="29"/>
  <c r="L77" i="29"/>
  <c r="I77" i="29"/>
  <c r="D77" i="29"/>
  <c r="F77" i="29" s="1"/>
  <c r="C77" i="29" s="1"/>
  <c r="O76" i="29"/>
  <c r="L76" i="29"/>
  <c r="I76" i="29"/>
  <c r="F76" i="29"/>
  <c r="C76" i="29"/>
  <c r="O75" i="29"/>
  <c r="L75" i="29"/>
  <c r="I75" i="29"/>
  <c r="F75" i="29"/>
  <c r="C75" i="29" s="1"/>
  <c r="O74" i="29"/>
  <c r="L74" i="29"/>
  <c r="I74" i="29"/>
  <c r="F74" i="29"/>
  <c r="C74" i="29" s="1"/>
  <c r="O73" i="29"/>
  <c r="L73" i="29"/>
  <c r="G73" i="29"/>
  <c r="I73" i="29" s="1"/>
  <c r="C73" i="29" s="1"/>
  <c r="F73" i="29"/>
  <c r="N72" i="29"/>
  <c r="O72" i="29" s="1"/>
  <c r="M72" i="29"/>
  <c r="K72" i="29"/>
  <c r="J72" i="29"/>
  <c r="L72" i="29" s="1"/>
  <c r="H72" i="29"/>
  <c r="G72" i="29"/>
  <c r="I72" i="29" s="1"/>
  <c r="E72" i="29"/>
  <c r="D72" i="29"/>
  <c r="F72" i="29" s="1"/>
  <c r="O71" i="29"/>
  <c r="L71" i="29"/>
  <c r="G71" i="29"/>
  <c r="I71" i="29" s="1"/>
  <c r="D71" i="29"/>
  <c r="F71" i="29" s="1"/>
  <c r="C71" i="29" s="1"/>
  <c r="N70" i="29"/>
  <c r="M70" i="29"/>
  <c r="O70" i="29" s="1"/>
  <c r="K70" i="29"/>
  <c r="J70" i="29"/>
  <c r="L70" i="29" s="1"/>
  <c r="H70" i="29"/>
  <c r="G70" i="29"/>
  <c r="I70" i="29" s="1"/>
  <c r="F70" i="29"/>
  <c r="E70" i="29"/>
  <c r="D70" i="29"/>
  <c r="O69" i="29"/>
  <c r="L69" i="29"/>
  <c r="I69" i="29"/>
  <c r="F69" i="29"/>
  <c r="C69" i="29"/>
  <c r="O68" i="29"/>
  <c r="L68" i="29"/>
  <c r="G68" i="29"/>
  <c r="I68" i="29" s="1"/>
  <c r="F68" i="29"/>
  <c r="O67" i="29"/>
  <c r="L67" i="29"/>
  <c r="I67" i="29"/>
  <c r="D67" i="29"/>
  <c r="F67" i="29" s="1"/>
  <c r="C67" i="29" s="1"/>
  <c r="O66" i="29"/>
  <c r="L66" i="29"/>
  <c r="I66" i="29"/>
  <c r="F66" i="29"/>
  <c r="C66" i="29" s="1"/>
  <c r="D66" i="29"/>
  <c r="O65" i="29"/>
  <c r="L65" i="29"/>
  <c r="I65" i="29"/>
  <c r="F65" i="29"/>
  <c r="C65" i="29" s="1"/>
  <c r="O64" i="29"/>
  <c r="L64" i="29"/>
  <c r="I64" i="29"/>
  <c r="G64" i="29"/>
  <c r="F64" i="29"/>
  <c r="C64" i="29" s="1"/>
  <c r="O63" i="29"/>
  <c r="L63" i="29"/>
  <c r="I63" i="29"/>
  <c r="C63" i="29" s="1"/>
  <c r="F63" i="29"/>
  <c r="O62" i="29"/>
  <c r="L62" i="29"/>
  <c r="I62" i="29"/>
  <c r="F62" i="29"/>
  <c r="C62" i="29" s="1"/>
  <c r="N61" i="29"/>
  <c r="M61" i="29"/>
  <c r="O61" i="29" s="1"/>
  <c r="K61" i="29"/>
  <c r="J61" i="29"/>
  <c r="L61" i="29" s="1"/>
  <c r="H61" i="29"/>
  <c r="G61" i="29"/>
  <c r="I61" i="29" s="1"/>
  <c r="E61" i="29"/>
  <c r="D61" i="29"/>
  <c r="F61" i="29" s="1"/>
  <c r="C61" i="29" s="1"/>
  <c r="O60" i="29"/>
  <c r="L60" i="29"/>
  <c r="G60" i="29"/>
  <c r="I60" i="29" s="1"/>
  <c r="C60" i="29" s="1"/>
  <c r="F60" i="29"/>
  <c r="O59" i="29"/>
  <c r="L59" i="29"/>
  <c r="I59" i="29"/>
  <c r="F59" i="29"/>
  <c r="C59" i="29" s="1"/>
  <c r="N58" i="29"/>
  <c r="M58" i="29"/>
  <c r="O58" i="29" s="1"/>
  <c r="K58" i="29"/>
  <c r="L58" i="29" s="1"/>
  <c r="J58" i="29"/>
  <c r="H58" i="29"/>
  <c r="G58" i="29"/>
  <c r="G57" i="29" s="1"/>
  <c r="E58" i="29"/>
  <c r="D58" i="29"/>
  <c r="F58" i="29" s="1"/>
  <c r="N57" i="29"/>
  <c r="M57" i="29"/>
  <c r="O57" i="29" s="1"/>
  <c r="J57" i="29"/>
  <c r="H57" i="29"/>
  <c r="H56" i="29" s="1"/>
  <c r="H55" i="29" s="1"/>
  <c r="H54" i="29" s="1"/>
  <c r="E57" i="29"/>
  <c r="D57" i="29"/>
  <c r="D56" i="29" s="1"/>
  <c r="N56" i="29"/>
  <c r="M56" i="29"/>
  <c r="J56" i="29"/>
  <c r="E56" i="29"/>
  <c r="E55" i="29" s="1"/>
  <c r="E54" i="29" s="1"/>
  <c r="N55" i="29"/>
  <c r="N54" i="29" s="1"/>
  <c r="N53" i="29" s="1"/>
  <c r="J55" i="29"/>
  <c r="J54" i="29" s="1"/>
  <c r="O50" i="29"/>
  <c r="C50" i="29" s="1"/>
  <c r="O49" i="29"/>
  <c r="C49" i="29" s="1"/>
  <c r="N48" i="29"/>
  <c r="N288" i="29" s="1"/>
  <c r="M48" i="29"/>
  <c r="L47" i="29"/>
  <c r="I47" i="29"/>
  <c r="F47" i="29"/>
  <c r="C47" i="29" s="1"/>
  <c r="K46" i="29"/>
  <c r="J46" i="29"/>
  <c r="L46" i="29" s="1"/>
  <c r="H46" i="29"/>
  <c r="G46" i="29"/>
  <c r="I46" i="29" s="1"/>
  <c r="E46" i="29"/>
  <c r="D46" i="29"/>
  <c r="F46" i="29" s="1"/>
  <c r="C46" i="29" s="1"/>
  <c r="F45" i="29"/>
  <c r="C45" i="29" s="1"/>
  <c r="L44" i="29"/>
  <c r="J44" i="29"/>
  <c r="C44" i="29"/>
  <c r="L43" i="29"/>
  <c r="C43" i="29"/>
  <c r="L42" i="29"/>
  <c r="C42" i="29"/>
  <c r="L41" i="29"/>
  <c r="C41" i="29"/>
  <c r="K40" i="29"/>
  <c r="L40" i="29" s="1"/>
  <c r="C40" i="29" s="1"/>
  <c r="J40" i="29"/>
  <c r="L39" i="29"/>
  <c r="C39" i="29"/>
  <c r="L38" i="29"/>
  <c r="C38" i="29"/>
  <c r="K37" i="29"/>
  <c r="L37" i="29" s="1"/>
  <c r="C37" i="29" s="1"/>
  <c r="J37" i="29"/>
  <c r="L36" i="29"/>
  <c r="C36" i="29"/>
  <c r="K35" i="29"/>
  <c r="J35" i="29"/>
  <c r="L35" i="29" s="1"/>
  <c r="C35" i="29" s="1"/>
  <c r="L34" i="29"/>
  <c r="C34" i="29"/>
  <c r="L33" i="29"/>
  <c r="C33" i="29"/>
  <c r="L32" i="29"/>
  <c r="C32" i="29"/>
  <c r="K31" i="29"/>
  <c r="L31" i="29" s="1"/>
  <c r="C31" i="29" s="1"/>
  <c r="J31" i="29"/>
  <c r="K30" i="29"/>
  <c r="J30" i="29"/>
  <c r="L30" i="29" s="1"/>
  <c r="C30" i="29" s="1"/>
  <c r="F29" i="29"/>
  <c r="C29" i="29"/>
  <c r="G28" i="29"/>
  <c r="I28" i="29" s="1"/>
  <c r="D28" i="29"/>
  <c r="F28" i="29" s="1"/>
  <c r="C28" i="29" s="1"/>
  <c r="O27" i="29"/>
  <c r="L27" i="29"/>
  <c r="I27" i="29"/>
  <c r="C27" i="29" s="1"/>
  <c r="F27" i="29"/>
  <c r="O26" i="29"/>
  <c r="L26" i="29"/>
  <c r="I26" i="29"/>
  <c r="F26" i="29"/>
  <c r="C26" i="29" s="1"/>
  <c r="N25" i="29"/>
  <c r="N290" i="29" s="1"/>
  <c r="N289" i="29" s="1"/>
  <c r="M25" i="29"/>
  <c r="O25" i="29" s="1"/>
  <c r="K25" i="29"/>
  <c r="K290" i="29" s="1"/>
  <c r="K289" i="29" s="1"/>
  <c r="J25" i="29"/>
  <c r="J290" i="29" s="1"/>
  <c r="H25" i="29"/>
  <c r="H290" i="29" s="1"/>
  <c r="H289" i="29" s="1"/>
  <c r="G25" i="29"/>
  <c r="G290" i="29" s="1"/>
  <c r="E25" i="29"/>
  <c r="E290" i="29" s="1"/>
  <c r="E289" i="29" s="1"/>
  <c r="D25" i="29"/>
  <c r="F25" i="29" s="1"/>
  <c r="N24" i="29"/>
  <c r="M24" i="29"/>
  <c r="O24" i="29" s="1"/>
  <c r="J24" i="29"/>
  <c r="H24" i="29"/>
  <c r="E24" i="29"/>
  <c r="D24" i="29"/>
  <c r="F24" i="29" s="1"/>
  <c r="O299" i="28"/>
  <c r="L299" i="28"/>
  <c r="I299" i="28"/>
  <c r="C299" i="28" s="1"/>
  <c r="F299" i="28"/>
  <c r="O298" i="28"/>
  <c r="L298" i="28"/>
  <c r="I298" i="28"/>
  <c r="F298" i="28"/>
  <c r="C298" i="28" s="1"/>
  <c r="O297" i="28"/>
  <c r="L297" i="28"/>
  <c r="I297" i="28"/>
  <c r="F297" i="28"/>
  <c r="C297" i="28"/>
  <c r="O296" i="28"/>
  <c r="L296" i="28"/>
  <c r="I296" i="28"/>
  <c r="F296" i="28"/>
  <c r="C296" i="28" s="1"/>
  <c r="O295" i="28"/>
  <c r="K295" i="28"/>
  <c r="L295" i="28" s="1"/>
  <c r="I295" i="28"/>
  <c r="E295" i="28"/>
  <c r="F295" i="28" s="1"/>
  <c r="C295" i="28" s="1"/>
  <c r="O294" i="28"/>
  <c r="L294" i="28"/>
  <c r="I294" i="28"/>
  <c r="F294" i="28"/>
  <c r="C294" i="28" s="1"/>
  <c r="O293" i="28"/>
  <c r="I293" i="28"/>
  <c r="O292" i="28"/>
  <c r="I292" i="28"/>
  <c r="O291" i="28"/>
  <c r="N291" i="28"/>
  <c r="M291" i="28"/>
  <c r="J291" i="28"/>
  <c r="L291" i="28" s="1"/>
  <c r="H291" i="28"/>
  <c r="G291" i="28"/>
  <c r="I291" i="28" s="1"/>
  <c r="F291" i="28"/>
  <c r="D291" i="28"/>
  <c r="O286" i="28"/>
  <c r="L286" i="28"/>
  <c r="I286" i="28"/>
  <c r="F286" i="28"/>
  <c r="C286" i="28"/>
  <c r="O285" i="28"/>
  <c r="K285" i="28"/>
  <c r="I285" i="28"/>
  <c r="F285" i="28"/>
  <c r="E285" i="28"/>
  <c r="O284" i="28"/>
  <c r="N284" i="28"/>
  <c r="N287" i="28" s="1"/>
  <c r="M284" i="28"/>
  <c r="J284" i="28"/>
  <c r="J287" i="28" s="1"/>
  <c r="L287" i="28" s="1"/>
  <c r="H284" i="28"/>
  <c r="G284" i="28"/>
  <c r="F284" i="28"/>
  <c r="D284" i="28"/>
  <c r="O283" i="28"/>
  <c r="L283" i="28"/>
  <c r="K283" i="28"/>
  <c r="I283" i="28"/>
  <c r="E283" i="28"/>
  <c r="F283" i="28" s="1"/>
  <c r="C283" i="28" s="1"/>
  <c r="N282" i="28"/>
  <c r="M282" i="28"/>
  <c r="O282" i="28" s="1"/>
  <c r="J282" i="28"/>
  <c r="L282" i="28" s="1"/>
  <c r="H282" i="28"/>
  <c r="I282" i="28" s="1"/>
  <c r="G282" i="28"/>
  <c r="D282" i="28"/>
  <c r="F282" i="28" s="1"/>
  <c r="C282" i="28" s="1"/>
  <c r="O281" i="28"/>
  <c r="L281" i="28"/>
  <c r="I281" i="28"/>
  <c r="F281" i="28"/>
  <c r="C281" i="28" s="1"/>
  <c r="O280" i="28"/>
  <c r="L280" i="28"/>
  <c r="I280" i="28"/>
  <c r="F280" i="28"/>
  <c r="C280" i="28" s="1"/>
  <c r="O279" i="28"/>
  <c r="O278" i="28" s="1"/>
  <c r="L279" i="28"/>
  <c r="K279" i="28"/>
  <c r="I279" i="28"/>
  <c r="E279" i="28"/>
  <c r="F279" i="28" s="1"/>
  <c r="C279" i="28" s="1"/>
  <c r="N278" i="28"/>
  <c r="M278" i="28"/>
  <c r="L278" i="28"/>
  <c r="J278" i="28"/>
  <c r="H278" i="28"/>
  <c r="G278" i="28"/>
  <c r="I278" i="28" s="1"/>
  <c r="D278" i="28"/>
  <c r="F278" i="28" s="1"/>
  <c r="O277" i="28"/>
  <c r="L277" i="28"/>
  <c r="I277" i="28"/>
  <c r="F277" i="28"/>
  <c r="C277" i="28" s="1"/>
  <c r="O276" i="28"/>
  <c r="L276" i="28"/>
  <c r="I276" i="28"/>
  <c r="F276" i="28"/>
  <c r="C276" i="28" s="1"/>
  <c r="O275" i="28"/>
  <c r="L275" i="28"/>
  <c r="I275" i="28"/>
  <c r="F275" i="28"/>
  <c r="C275" i="28"/>
  <c r="O274" i="28"/>
  <c r="N274" i="28"/>
  <c r="M274" i="28"/>
  <c r="K274" i="28"/>
  <c r="L274" i="28" s="1"/>
  <c r="J274" i="28"/>
  <c r="H274" i="28"/>
  <c r="G274" i="28"/>
  <c r="I274" i="28" s="1"/>
  <c r="E274" i="28"/>
  <c r="D274" i="28"/>
  <c r="F274" i="28" s="1"/>
  <c r="O273" i="28"/>
  <c r="L273" i="28"/>
  <c r="I273" i="28"/>
  <c r="F273" i="28"/>
  <c r="C273" i="28" s="1"/>
  <c r="N272" i="28"/>
  <c r="M272" i="28"/>
  <c r="O272" i="28" s="1"/>
  <c r="K272" i="28"/>
  <c r="J272" i="28"/>
  <c r="L272" i="28" s="1"/>
  <c r="I272" i="28"/>
  <c r="H272" i="28"/>
  <c r="G272" i="28"/>
  <c r="E272" i="28"/>
  <c r="F272" i="28" s="1"/>
  <c r="D272" i="28"/>
  <c r="N271" i="28"/>
  <c r="O271" i="28" s="1"/>
  <c r="M271" i="28"/>
  <c r="K271" i="28"/>
  <c r="J271" i="28"/>
  <c r="L271" i="28" s="1"/>
  <c r="H271" i="28"/>
  <c r="G271" i="28"/>
  <c r="I271" i="28" s="1"/>
  <c r="F271" i="28"/>
  <c r="E271" i="28"/>
  <c r="D271" i="28"/>
  <c r="O270" i="28"/>
  <c r="L270" i="28"/>
  <c r="I270" i="28"/>
  <c r="F270" i="28"/>
  <c r="C270" i="28" s="1"/>
  <c r="O269" i="28"/>
  <c r="L269" i="28"/>
  <c r="I269" i="28"/>
  <c r="F269" i="28"/>
  <c r="C269" i="28" s="1"/>
  <c r="O268" i="28"/>
  <c r="L268" i="28"/>
  <c r="I268" i="28"/>
  <c r="F268" i="28"/>
  <c r="C268" i="28" s="1"/>
  <c r="O267" i="28"/>
  <c r="L267" i="28"/>
  <c r="I267" i="28"/>
  <c r="F267" i="28"/>
  <c r="C267" i="28"/>
  <c r="O266" i="28"/>
  <c r="N266" i="28"/>
  <c r="M266" i="28"/>
  <c r="L266" i="28"/>
  <c r="K266" i="28"/>
  <c r="J266" i="28"/>
  <c r="H266" i="28"/>
  <c r="G266" i="28"/>
  <c r="I266" i="28" s="1"/>
  <c r="E266" i="28"/>
  <c r="D266" i="28"/>
  <c r="F266" i="28" s="1"/>
  <c r="C266" i="28" s="1"/>
  <c r="O265" i="28"/>
  <c r="L265" i="28"/>
  <c r="I265" i="28"/>
  <c r="F265" i="28"/>
  <c r="C265" i="28" s="1"/>
  <c r="O264" i="28"/>
  <c r="L264" i="28"/>
  <c r="I264" i="28"/>
  <c r="F264" i="28"/>
  <c r="C264" i="28" s="1"/>
  <c r="O263" i="28"/>
  <c r="L263" i="28"/>
  <c r="I263" i="28"/>
  <c r="F263" i="28"/>
  <c r="C263" i="28"/>
  <c r="O262" i="28"/>
  <c r="N262" i="28"/>
  <c r="M262" i="28"/>
  <c r="L262" i="28"/>
  <c r="K262" i="28"/>
  <c r="K261" i="28" s="1"/>
  <c r="J262" i="28"/>
  <c r="H262" i="28"/>
  <c r="G262" i="28"/>
  <c r="I262" i="28" s="1"/>
  <c r="E262" i="28"/>
  <c r="D262" i="28"/>
  <c r="F262" i="28" s="1"/>
  <c r="N261" i="28"/>
  <c r="M261" i="28"/>
  <c r="O261" i="28" s="1"/>
  <c r="J261" i="28"/>
  <c r="I261" i="28"/>
  <c r="H261" i="28"/>
  <c r="G261" i="28"/>
  <c r="E261" i="28"/>
  <c r="D261" i="28"/>
  <c r="F261" i="28" s="1"/>
  <c r="O260" i="28"/>
  <c r="L260" i="28"/>
  <c r="I260" i="28"/>
  <c r="F260" i="28"/>
  <c r="C260" i="28" s="1"/>
  <c r="O259" i="28"/>
  <c r="L259" i="28"/>
  <c r="I259" i="28"/>
  <c r="F259" i="28"/>
  <c r="C259" i="28"/>
  <c r="O258" i="28"/>
  <c r="L258" i="28"/>
  <c r="I258" i="28"/>
  <c r="F258" i="28"/>
  <c r="C258" i="28" s="1"/>
  <c r="O257" i="28"/>
  <c r="L257" i="28"/>
  <c r="I257" i="28"/>
  <c r="F257" i="28"/>
  <c r="C257" i="28" s="1"/>
  <c r="O256" i="28"/>
  <c r="L256" i="28"/>
  <c r="I256" i="28"/>
  <c r="F256" i="28"/>
  <c r="C256" i="28" s="1"/>
  <c r="O255" i="28"/>
  <c r="N255" i="28"/>
  <c r="M255" i="28"/>
  <c r="K255" i="28"/>
  <c r="J255" i="28"/>
  <c r="L255" i="28" s="1"/>
  <c r="H255" i="28"/>
  <c r="G255" i="28"/>
  <c r="I255" i="28" s="1"/>
  <c r="F255" i="28"/>
  <c r="E255" i="28"/>
  <c r="D255" i="28"/>
  <c r="O254" i="28"/>
  <c r="N254" i="28"/>
  <c r="M254" i="28"/>
  <c r="K254" i="28"/>
  <c r="L254" i="28" s="1"/>
  <c r="J254" i="28"/>
  <c r="H254" i="28"/>
  <c r="G254" i="28"/>
  <c r="I254" i="28" s="1"/>
  <c r="E254" i="28"/>
  <c r="D254" i="28"/>
  <c r="F254" i="28" s="1"/>
  <c r="O253" i="28"/>
  <c r="L253" i="28"/>
  <c r="I253" i="28"/>
  <c r="F253" i="28"/>
  <c r="C253" i="28" s="1"/>
  <c r="O252" i="28"/>
  <c r="L252" i="28"/>
  <c r="I252" i="28"/>
  <c r="F252" i="28"/>
  <c r="C252" i="28" s="1"/>
  <c r="O251" i="28"/>
  <c r="L251" i="28"/>
  <c r="I251" i="28"/>
  <c r="F251" i="28"/>
  <c r="C251" i="28"/>
  <c r="O250" i="28"/>
  <c r="L250" i="28"/>
  <c r="I250" i="28"/>
  <c r="F250" i="28"/>
  <c r="C250" i="28" s="1"/>
  <c r="N249" i="28"/>
  <c r="M249" i="28"/>
  <c r="O249" i="28" s="1"/>
  <c r="L249" i="28"/>
  <c r="K249" i="28"/>
  <c r="J249" i="28"/>
  <c r="I249" i="28"/>
  <c r="H249" i="28"/>
  <c r="G249" i="28"/>
  <c r="E249" i="28"/>
  <c r="D249" i="28"/>
  <c r="F249" i="28" s="1"/>
  <c r="C249" i="28" s="1"/>
  <c r="O248" i="28"/>
  <c r="L248" i="28"/>
  <c r="I248" i="28"/>
  <c r="F248" i="28"/>
  <c r="C248" i="28" s="1"/>
  <c r="O247" i="28"/>
  <c r="L247" i="28"/>
  <c r="I247" i="28"/>
  <c r="F247" i="28"/>
  <c r="C247" i="28"/>
  <c r="O246" i="28"/>
  <c r="L246" i="28"/>
  <c r="I246" i="28"/>
  <c r="F246" i="28"/>
  <c r="C246" i="28" s="1"/>
  <c r="O245" i="28"/>
  <c r="L245" i="28"/>
  <c r="I245" i="28"/>
  <c r="F245" i="28"/>
  <c r="C245" i="28" s="1"/>
  <c r="O244" i="28"/>
  <c r="L244" i="28"/>
  <c r="I244" i="28"/>
  <c r="F244" i="28"/>
  <c r="C244" i="28"/>
  <c r="O243" i="28"/>
  <c r="L243" i="28"/>
  <c r="I243" i="28"/>
  <c r="F243" i="28"/>
  <c r="C243" i="28" s="1"/>
  <c r="O242" i="28"/>
  <c r="L242" i="28"/>
  <c r="I242" i="28"/>
  <c r="F242" i="28"/>
  <c r="C242" i="28"/>
  <c r="N241" i="28"/>
  <c r="M241" i="28"/>
  <c r="O241" i="28" s="1"/>
  <c r="L241" i="28"/>
  <c r="K241" i="28"/>
  <c r="J241" i="28"/>
  <c r="H241" i="28"/>
  <c r="G241" i="28"/>
  <c r="I241" i="28" s="1"/>
  <c r="E241" i="28"/>
  <c r="D241" i="28"/>
  <c r="F241" i="28" s="1"/>
  <c r="O240" i="28"/>
  <c r="L240" i="28"/>
  <c r="I240" i="28"/>
  <c r="C240" i="28" s="1"/>
  <c r="F240" i="28"/>
  <c r="O239" i="28"/>
  <c r="L239" i="28"/>
  <c r="I239" i="28"/>
  <c r="F239" i="28"/>
  <c r="C239" i="28" s="1"/>
  <c r="N238" i="28"/>
  <c r="M238" i="28"/>
  <c r="O238" i="28" s="1"/>
  <c r="K238" i="28"/>
  <c r="J238" i="28"/>
  <c r="L238" i="28" s="1"/>
  <c r="H238" i="28"/>
  <c r="G238" i="28"/>
  <c r="I238" i="28" s="1"/>
  <c r="E238" i="28"/>
  <c r="D238" i="28"/>
  <c r="F238" i="28" s="1"/>
  <c r="O237" i="28"/>
  <c r="L237" i="28"/>
  <c r="I237" i="28"/>
  <c r="F237" i="28"/>
  <c r="C237" i="28" s="1"/>
  <c r="N236" i="28"/>
  <c r="M236" i="28"/>
  <c r="O236" i="28" s="1"/>
  <c r="K236" i="28"/>
  <c r="J236" i="28"/>
  <c r="L236" i="28" s="1"/>
  <c r="I236" i="28"/>
  <c r="H236" i="28"/>
  <c r="G236" i="28"/>
  <c r="E236" i="28"/>
  <c r="D236" i="28"/>
  <c r="F236" i="28" s="1"/>
  <c r="O235" i="28"/>
  <c r="L235" i="28"/>
  <c r="I235" i="28"/>
  <c r="F235" i="28"/>
  <c r="C235" i="28" s="1"/>
  <c r="N234" i="28"/>
  <c r="M234" i="28"/>
  <c r="O234" i="28" s="1"/>
  <c r="K234" i="28"/>
  <c r="J234" i="28"/>
  <c r="L234" i="28" s="1"/>
  <c r="H234" i="28"/>
  <c r="G234" i="28"/>
  <c r="I234" i="28" s="1"/>
  <c r="E234" i="28"/>
  <c r="D234" i="28"/>
  <c r="F234" i="28" s="1"/>
  <c r="N233" i="28"/>
  <c r="M233" i="28"/>
  <c r="O233" i="28" s="1"/>
  <c r="J233" i="28"/>
  <c r="H233" i="28"/>
  <c r="I233" i="28" s="1"/>
  <c r="G233" i="28"/>
  <c r="E233" i="28"/>
  <c r="D233" i="28"/>
  <c r="F233" i="28" s="1"/>
  <c r="O232" i="28"/>
  <c r="L232" i="28"/>
  <c r="I232" i="28"/>
  <c r="C232" i="28" s="1"/>
  <c r="F232" i="28"/>
  <c r="O231" i="28"/>
  <c r="L231" i="28"/>
  <c r="I231" i="28"/>
  <c r="F231" i="28"/>
  <c r="C231" i="28" s="1"/>
  <c r="N230" i="28"/>
  <c r="M230" i="28"/>
  <c r="O230" i="28" s="1"/>
  <c r="K230" i="28"/>
  <c r="L230" i="28" s="1"/>
  <c r="J230" i="28"/>
  <c r="H230" i="28"/>
  <c r="G230" i="28"/>
  <c r="I230" i="28" s="1"/>
  <c r="E230" i="28"/>
  <c r="D230" i="28"/>
  <c r="F230" i="28" s="1"/>
  <c r="O229" i="28"/>
  <c r="L229" i="28"/>
  <c r="I229" i="28"/>
  <c r="F229" i="28"/>
  <c r="C229" i="28" s="1"/>
  <c r="O228" i="28"/>
  <c r="L228" i="28"/>
  <c r="I228" i="28"/>
  <c r="F228" i="28"/>
  <c r="C228" i="28"/>
  <c r="O227" i="28"/>
  <c r="L227" i="28"/>
  <c r="J227" i="28"/>
  <c r="I227" i="28"/>
  <c r="D227" i="28"/>
  <c r="F227" i="28" s="1"/>
  <c r="C227" i="28" s="1"/>
  <c r="O226" i="28"/>
  <c r="L226" i="28"/>
  <c r="I226" i="28"/>
  <c r="D226" i="28"/>
  <c r="F226" i="28" s="1"/>
  <c r="C226" i="28" s="1"/>
  <c r="O225" i="28"/>
  <c r="L225" i="28"/>
  <c r="I225" i="28"/>
  <c r="C225" i="28" s="1"/>
  <c r="F225" i="28"/>
  <c r="O224" i="28"/>
  <c r="L224" i="28"/>
  <c r="I224" i="28"/>
  <c r="F224" i="28"/>
  <c r="C224" i="28" s="1"/>
  <c r="O223" i="28"/>
  <c r="L223" i="28"/>
  <c r="I223" i="28"/>
  <c r="F223" i="28"/>
  <c r="C223" i="28"/>
  <c r="O222" i="28"/>
  <c r="L222" i="28"/>
  <c r="I222" i="28"/>
  <c r="F222" i="28"/>
  <c r="C222" i="28" s="1"/>
  <c r="O221" i="28"/>
  <c r="L221" i="28"/>
  <c r="I221" i="28"/>
  <c r="D221" i="28"/>
  <c r="F221" i="28" s="1"/>
  <c r="C221" i="28" s="1"/>
  <c r="O220" i="28"/>
  <c r="L220" i="28"/>
  <c r="I220" i="28"/>
  <c r="F220" i="28"/>
  <c r="C220" i="28"/>
  <c r="N219" i="28"/>
  <c r="O219" i="28" s="1"/>
  <c r="M219" i="28"/>
  <c r="L219" i="28"/>
  <c r="K219" i="28"/>
  <c r="J219" i="28"/>
  <c r="H219" i="28"/>
  <c r="G219" i="28"/>
  <c r="I219" i="28" s="1"/>
  <c r="E219" i="28"/>
  <c r="D219" i="28"/>
  <c r="F219" i="28" s="1"/>
  <c r="O218" i="28"/>
  <c r="L218" i="28"/>
  <c r="I218" i="28"/>
  <c r="F218" i="28"/>
  <c r="C218" i="28" s="1"/>
  <c r="O217" i="28"/>
  <c r="L217" i="28"/>
  <c r="I217" i="28"/>
  <c r="F217" i="28"/>
  <c r="C217" i="28" s="1"/>
  <c r="O216" i="28"/>
  <c r="L216" i="28"/>
  <c r="I216" i="28"/>
  <c r="F216" i="28"/>
  <c r="C216" i="28"/>
  <c r="O215" i="28"/>
  <c r="L215" i="28"/>
  <c r="I215" i="28"/>
  <c r="F215" i="28"/>
  <c r="C215" i="28" s="1"/>
  <c r="O214" i="28"/>
  <c r="L214" i="28"/>
  <c r="I214" i="28"/>
  <c r="F214" i="28"/>
  <c r="C214" i="28" s="1"/>
  <c r="O213" i="28"/>
  <c r="L213" i="28"/>
  <c r="I213" i="28"/>
  <c r="F213" i="28"/>
  <c r="C213" i="28" s="1"/>
  <c r="O212" i="28"/>
  <c r="L212" i="28"/>
  <c r="I212" i="28"/>
  <c r="F212" i="28"/>
  <c r="C212" i="28"/>
  <c r="O211" i="28"/>
  <c r="L211" i="28"/>
  <c r="I211" i="28"/>
  <c r="F211" i="28"/>
  <c r="C211" i="28" s="1"/>
  <c r="O210" i="28"/>
  <c r="L210" i="28"/>
  <c r="I210" i="28"/>
  <c r="F210" i="28"/>
  <c r="C210" i="28"/>
  <c r="O209" i="28"/>
  <c r="L209" i="28"/>
  <c r="I209" i="28"/>
  <c r="F209" i="28"/>
  <c r="C209" i="28" s="1"/>
  <c r="N208" i="28"/>
  <c r="M208" i="28"/>
  <c r="O208" i="28" s="1"/>
  <c r="K208" i="28"/>
  <c r="L208" i="28" s="1"/>
  <c r="J208" i="28"/>
  <c r="H208" i="28"/>
  <c r="G208" i="28"/>
  <c r="I208" i="28" s="1"/>
  <c r="E208" i="28"/>
  <c r="D208" i="28"/>
  <c r="F208" i="28" s="1"/>
  <c r="N207" i="28"/>
  <c r="M207" i="28"/>
  <c r="O207" i="28" s="1"/>
  <c r="J207" i="28"/>
  <c r="H207" i="28"/>
  <c r="E207" i="28"/>
  <c r="D207" i="28"/>
  <c r="F207" i="28" s="1"/>
  <c r="O206" i="28"/>
  <c r="L206" i="28"/>
  <c r="I206" i="28"/>
  <c r="C206" i="28" s="1"/>
  <c r="F206" i="28"/>
  <c r="O205" i="28"/>
  <c r="L205" i="28"/>
  <c r="I205" i="28"/>
  <c r="F205" i="28"/>
  <c r="C205" i="28" s="1"/>
  <c r="O204" i="28"/>
  <c r="L204" i="28"/>
  <c r="I204" i="28"/>
  <c r="F204" i="28"/>
  <c r="C204" i="28"/>
  <c r="O203" i="28"/>
  <c r="L203" i="28"/>
  <c r="I203" i="28"/>
  <c r="F203" i="28"/>
  <c r="C203" i="28" s="1"/>
  <c r="O202" i="28"/>
  <c r="L202" i="28"/>
  <c r="I202" i="28"/>
  <c r="D202" i="28"/>
  <c r="F202" i="28" s="1"/>
  <c r="C202" i="28" s="1"/>
  <c r="O201" i="28"/>
  <c r="N201" i="28"/>
  <c r="M201" i="28"/>
  <c r="K201" i="28"/>
  <c r="L201" i="28" s="1"/>
  <c r="J201" i="28"/>
  <c r="H201" i="28"/>
  <c r="H199" i="28" s="1"/>
  <c r="G201" i="28"/>
  <c r="I201" i="28" s="1"/>
  <c r="E201" i="28"/>
  <c r="D201" i="28"/>
  <c r="F201" i="28" s="1"/>
  <c r="O200" i="28"/>
  <c r="L200" i="28"/>
  <c r="I200" i="28"/>
  <c r="F200" i="28"/>
  <c r="C200" i="28" s="1"/>
  <c r="N199" i="28"/>
  <c r="M199" i="28"/>
  <c r="O199" i="28" s="1"/>
  <c r="K199" i="28"/>
  <c r="J199" i="28"/>
  <c r="L199" i="28" s="1"/>
  <c r="G199" i="28"/>
  <c r="E199" i="28"/>
  <c r="E198" i="28" s="1"/>
  <c r="E197" i="28" s="1"/>
  <c r="N198" i="28"/>
  <c r="N197" i="28" s="1"/>
  <c r="J198" i="28"/>
  <c r="O196" i="28"/>
  <c r="L196" i="28"/>
  <c r="I196" i="28"/>
  <c r="F196" i="28"/>
  <c r="C196" i="28" s="1"/>
  <c r="N195" i="28"/>
  <c r="M195" i="28"/>
  <c r="O195" i="28" s="1"/>
  <c r="K195" i="28"/>
  <c r="J195" i="28"/>
  <c r="L195" i="28" s="1"/>
  <c r="I195" i="28"/>
  <c r="H195" i="28"/>
  <c r="G195" i="28"/>
  <c r="E195" i="28"/>
  <c r="F195" i="28" s="1"/>
  <c r="D195" i="28"/>
  <c r="N194" i="28"/>
  <c r="K194" i="28"/>
  <c r="J194" i="28"/>
  <c r="L194" i="28" s="1"/>
  <c r="H194" i="28"/>
  <c r="G194" i="28"/>
  <c r="I194" i="28" s="1"/>
  <c r="D194" i="28"/>
  <c r="O193" i="28"/>
  <c r="L193" i="28"/>
  <c r="I193" i="28"/>
  <c r="F193" i="28"/>
  <c r="C193" i="28"/>
  <c r="O192" i="28"/>
  <c r="L192" i="28"/>
  <c r="I192" i="28"/>
  <c r="F192" i="28"/>
  <c r="C192" i="28" s="1"/>
  <c r="N191" i="28"/>
  <c r="M191" i="28"/>
  <c r="O191" i="28" s="1"/>
  <c r="K191" i="28"/>
  <c r="J191" i="28"/>
  <c r="L191" i="28" s="1"/>
  <c r="H191" i="28"/>
  <c r="G191" i="28"/>
  <c r="I191" i="28" s="1"/>
  <c r="E191" i="28"/>
  <c r="D191" i="28"/>
  <c r="F191" i="28" s="1"/>
  <c r="N190" i="28"/>
  <c r="K190" i="28"/>
  <c r="J190" i="28"/>
  <c r="L190" i="28" s="1"/>
  <c r="H190" i="28"/>
  <c r="I190" i="28" s="1"/>
  <c r="G190" i="28"/>
  <c r="D190" i="28"/>
  <c r="O189" i="28"/>
  <c r="L189" i="28"/>
  <c r="I189" i="28"/>
  <c r="F189" i="28"/>
  <c r="C189" i="28"/>
  <c r="O188" i="28"/>
  <c r="L188" i="28"/>
  <c r="I188" i="28"/>
  <c r="F188" i="28"/>
  <c r="C188" i="28"/>
  <c r="N187" i="28"/>
  <c r="M187" i="28"/>
  <c r="O187" i="28" s="1"/>
  <c r="L187" i="28"/>
  <c r="K187" i="28"/>
  <c r="J187" i="28"/>
  <c r="H187" i="28"/>
  <c r="G187" i="28"/>
  <c r="I187" i="28" s="1"/>
  <c r="E187" i="28"/>
  <c r="D187" i="28"/>
  <c r="F187" i="28" s="1"/>
  <c r="O186" i="28"/>
  <c r="L186" i="28"/>
  <c r="I186" i="28"/>
  <c r="F186" i="28"/>
  <c r="C186" i="28" s="1"/>
  <c r="O185" i="28"/>
  <c r="L185" i="28"/>
  <c r="I185" i="28"/>
  <c r="F185" i="28"/>
  <c r="C185" i="28"/>
  <c r="O184" i="28"/>
  <c r="L184" i="28"/>
  <c r="I184" i="28"/>
  <c r="F184" i="28"/>
  <c r="C184" i="28"/>
  <c r="O183" i="28"/>
  <c r="L183" i="28"/>
  <c r="I183" i="28"/>
  <c r="F183" i="28"/>
  <c r="C183" i="28" s="1"/>
  <c r="N182" i="28"/>
  <c r="M182" i="28"/>
  <c r="O182" i="28" s="1"/>
  <c r="K182" i="28"/>
  <c r="J182" i="28"/>
  <c r="L182" i="28" s="1"/>
  <c r="I182" i="28"/>
  <c r="H182" i="28"/>
  <c r="G182" i="28"/>
  <c r="E182" i="28"/>
  <c r="F182" i="28" s="1"/>
  <c r="C182" i="28" s="1"/>
  <c r="D182" i="28"/>
  <c r="O181" i="28"/>
  <c r="L181" i="28"/>
  <c r="I181" i="28"/>
  <c r="F181" i="28"/>
  <c r="C181" i="28"/>
  <c r="O180" i="28"/>
  <c r="L180" i="28"/>
  <c r="I180" i="28"/>
  <c r="F180" i="28"/>
  <c r="C180" i="28"/>
  <c r="O179" i="28"/>
  <c r="L179" i="28"/>
  <c r="I179" i="28"/>
  <c r="F179" i="28"/>
  <c r="C179" i="28" s="1"/>
  <c r="N178" i="28"/>
  <c r="M178" i="28"/>
  <c r="O178" i="28" s="1"/>
  <c r="L178" i="28"/>
  <c r="K178" i="28"/>
  <c r="J178" i="28"/>
  <c r="H178" i="28"/>
  <c r="I178" i="28" s="1"/>
  <c r="G178" i="28"/>
  <c r="E178" i="28"/>
  <c r="D178" i="28"/>
  <c r="F178" i="28" s="1"/>
  <c r="C178" i="28" s="1"/>
  <c r="N177" i="28"/>
  <c r="M177" i="28"/>
  <c r="O177" i="28" s="1"/>
  <c r="K177" i="28"/>
  <c r="J177" i="28"/>
  <c r="L177" i="28" s="1"/>
  <c r="I177" i="28"/>
  <c r="H177" i="28"/>
  <c r="G177" i="28"/>
  <c r="E177" i="28"/>
  <c r="F177" i="28" s="1"/>
  <c r="C177" i="28" s="1"/>
  <c r="D177" i="28"/>
  <c r="N176" i="28"/>
  <c r="O176" i="28" s="1"/>
  <c r="M176" i="28"/>
  <c r="K176" i="28"/>
  <c r="J176" i="28"/>
  <c r="L176" i="28" s="1"/>
  <c r="H176" i="28"/>
  <c r="G176" i="28"/>
  <c r="I176" i="28" s="1"/>
  <c r="C176" i="28" s="1"/>
  <c r="F176" i="28"/>
  <c r="E176" i="28"/>
  <c r="D176" i="28"/>
  <c r="O175" i="28"/>
  <c r="L175" i="28"/>
  <c r="I175" i="28"/>
  <c r="F175" i="28"/>
  <c r="C175" i="28" s="1"/>
  <c r="O174" i="28"/>
  <c r="L174" i="28"/>
  <c r="I174" i="28"/>
  <c r="F174" i="28"/>
  <c r="C174" i="28" s="1"/>
  <c r="O173" i="28"/>
  <c r="L173" i="28"/>
  <c r="I173" i="28"/>
  <c r="F173" i="28"/>
  <c r="C173" i="28" s="1"/>
  <c r="O172" i="28"/>
  <c r="L172" i="28"/>
  <c r="I172" i="28"/>
  <c r="F172" i="28"/>
  <c r="C172" i="28"/>
  <c r="O171" i="28"/>
  <c r="L171" i="28"/>
  <c r="I171" i="28"/>
  <c r="F171" i="28"/>
  <c r="C171" i="28" s="1"/>
  <c r="O170" i="28"/>
  <c r="L170" i="28"/>
  <c r="I170" i="28"/>
  <c r="F170" i="28"/>
  <c r="C170" i="28" s="1"/>
  <c r="N169" i="28"/>
  <c r="M169" i="28"/>
  <c r="O169" i="28" s="1"/>
  <c r="K169" i="28"/>
  <c r="J169" i="28"/>
  <c r="L169" i="28" s="1"/>
  <c r="I169" i="28"/>
  <c r="H169" i="28"/>
  <c r="G169" i="28"/>
  <c r="E169" i="28"/>
  <c r="F169" i="28" s="1"/>
  <c r="C169" i="28" s="1"/>
  <c r="D169" i="28"/>
  <c r="N168" i="28"/>
  <c r="M168" i="28"/>
  <c r="O168" i="28" s="1"/>
  <c r="K168" i="28"/>
  <c r="J168" i="28"/>
  <c r="L168" i="28" s="1"/>
  <c r="H168" i="28"/>
  <c r="G168" i="28"/>
  <c r="I168" i="28" s="1"/>
  <c r="E168" i="28"/>
  <c r="D168" i="28"/>
  <c r="F168" i="28" s="1"/>
  <c r="C168" i="28" s="1"/>
  <c r="O167" i="28"/>
  <c r="L167" i="28"/>
  <c r="I167" i="28"/>
  <c r="F167" i="28"/>
  <c r="C167" i="28" s="1"/>
  <c r="O166" i="28"/>
  <c r="L166" i="28"/>
  <c r="I166" i="28"/>
  <c r="F166" i="28"/>
  <c r="C166" i="28" s="1"/>
  <c r="O165" i="28"/>
  <c r="L165" i="28"/>
  <c r="I165" i="28"/>
  <c r="F165" i="28"/>
  <c r="C165" i="28"/>
  <c r="O164" i="28"/>
  <c r="L164" i="28"/>
  <c r="I164" i="28"/>
  <c r="F164" i="28"/>
  <c r="C164" i="28" s="1"/>
  <c r="N163" i="28"/>
  <c r="M163" i="28"/>
  <c r="O163" i="28" s="1"/>
  <c r="K163" i="28"/>
  <c r="L163" i="28" s="1"/>
  <c r="J163" i="28"/>
  <c r="H163" i="28"/>
  <c r="G163" i="28"/>
  <c r="I163" i="28" s="1"/>
  <c r="E163" i="28"/>
  <c r="D163" i="28"/>
  <c r="F163" i="28" s="1"/>
  <c r="O162" i="28"/>
  <c r="L162" i="28"/>
  <c r="I162" i="28"/>
  <c r="F162" i="28"/>
  <c r="C162" i="28" s="1"/>
  <c r="O161" i="28"/>
  <c r="L161" i="28"/>
  <c r="I161" i="28"/>
  <c r="F161" i="28"/>
  <c r="C161" i="28"/>
  <c r="O160" i="28"/>
  <c r="L160" i="28"/>
  <c r="I160" i="28"/>
  <c r="F160" i="28"/>
  <c r="C160" i="28"/>
  <c r="O159" i="28"/>
  <c r="L159" i="28"/>
  <c r="I159" i="28"/>
  <c r="F159" i="28"/>
  <c r="C159" i="28" s="1"/>
  <c r="O158" i="28"/>
  <c r="L158" i="28"/>
  <c r="I158" i="28"/>
  <c r="F158" i="28"/>
  <c r="C158" i="28" s="1"/>
  <c r="O157" i="28"/>
  <c r="L157" i="28"/>
  <c r="I157" i="28"/>
  <c r="F157" i="28"/>
  <c r="C157" i="28"/>
  <c r="O156" i="28"/>
  <c r="L156" i="28"/>
  <c r="I156" i="28"/>
  <c r="F156" i="28"/>
  <c r="C156" i="28" s="1"/>
  <c r="O155" i="28"/>
  <c r="L155" i="28"/>
  <c r="I155" i="28"/>
  <c r="F155" i="28"/>
  <c r="C155" i="28" s="1"/>
  <c r="N154" i="28"/>
  <c r="M154" i="28"/>
  <c r="O154" i="28" s="1"/>
  <c r="K154" i="28"/>
  <c r="J154" i="28"/>
  <c r="L154" i="28" s="1"/>
  <c r="I154" i="28"/>
  <c r="H154" i="28"/>
  <c r="G154" i="28"/>
  <c r="E154" i="28"/>
  <c r="D154" i="28"/>
  <c r="F154" i="28" s="1"/>
  <c r="O153" i="28"/>
  <c r="L153" i="28"/>
  <c r="I153" i="28"/>
  <c r="F153" i="28"/>
  <c r="C153" i="28"/>
  <c r="O152" i="28"/>
  <c r="L152" i="28"/>
  <c r="I152" i="28"/>
  <c r="F152" i="28"/>
  <c r="C152" i="28" s="1"/>
  <c r="O151" i="28"/>
  <c r="L151" i="28"/>
  <c r="I151" i="28"/>
  <c r="F151" i="28"/>
  <c r="C151" i="28" s="1"/>
  <c r="O150" i="28"/>
  <c r="L150" i="28"/>
  <c r="I150" i="28"/>
  <c r="F150" i="28"/>
  <c r="C150" i="28" s="1"/>
  <c r="O149" i="28"/>
  <c r="L149" i="28"/>
  <c r="I149" i="28"/>
  <c r="F149" i="28"/>
  <c r="C149" i="28"/>
  <c r="O148" i="28"/>
  <c r="L148" i="28"/>
  <c r="I148" i="28"/>
  <c r="F148" i="28"/>
  <c r="C148" i="28" s="1"/>
  <c r="N147" i="28"/>
  <c r="M147" i="28"/>
  <c r="O147" i="28" s="1"/>
  <c r="L147" i="28"/>
  <c r="K147" i="28"/>
  <c r="J147" i="28"/>
  <c r="H147" i="28"/>
  <c r="I147" i="28" s="1"/>
  <c r="G147" i="28"/>
  <c r="E147" i="28"/>
  <c r="D147" i="28"/>
  <c r="F147" i="28" s="1"/>
  <c r="C147" i="28" s="1"/>
  <c r="O146" i="28"/>
  <c r="L146" i="28"/>
  <c r="I146" i="28"/>
  <c r="F146" i="28"/>
  <c r="C146" i="28" s="1"/>
  <c r="O145" i="28"/>
  <c r="L145" i="28"/>
  <c r="I145" i="28"/>
  <c r="F145" i="28"/>
  <c r="C145" i="28"/>
  <c r="O144" i="28"/>
  <c r="N144" i="28"/>
  <c r="M144" i="28"/>
  <c r="L144" i="28"/>
  <c r="K144" i="28"/>
  <c r="J144" i="28"/>
  <c r="H144" i="28"/>
  <c r="G144" i="28"/>
  <c r="I144" i="28" s="1"/>
  <c r="E144" i="28"/>
  <c r="D144" i="28"/>
  <c r="F144" i="28" s="1"/>
  <c r="C144" i="28" s="1"/>
  <c r="O143" i="28"/>
  <c r="L143" i="28"/>
  <c r="I143" i="28"/>
  <c r="F143" i="28"/>
  <c r="C143" i="28" s="1"/>
  <c r="O142" i="28"/>
  <c r="L142" i="28"/>
  <c r="I142" i="28"/>
  <c r="F142" i="28"/>
  <c r="C142" i="28" s="1"/>
  <c r="O141" i="28"/>
  <c r="L141" i="28"/>
  <c r="J141" i="28"/>
  <c r="I141" i="28"/>
  <c r="F141" i="28"/>
  <c r="C141" i="28" s="1"/>
  <c r="D141" i="28"/>
  <c r="O140" i="28"/>
  <c r="L140" i="28"/>
  <c r="I140" i="28"/>
  <c r="F140" i="28"/>
  <c r="C140" i="28" s="1"/>
  <c r="O139" i="28"/>
  <c r="N139" i="28"/>
  <c r="M139" i="28"/>
  <c r="K139" i="28"/>
  <c r="J139" i="28"/>
  <c r="L139" i="28" s="1"/>
  <c r="H139" i="28"/>
  <c r="G139" i="28"/>
  <c r="I139" i="28" s="1"/>
  <c r="C139" i="28" s="1"/>
  <c r="F139" i="28"/>
  <c r="E139" i="28"/>
  <c r="D139" i="28"/>
  <c r="O138" i="28"/>
  <c r="L138" i="28"/>
  <c r="I138" i="28"/>
  <c r="F138" i="28"/>
  <c r="C138" i="28" s="1"/>
  <c r="O137" i="28"/>
  <c r="L137" i="28"/>
  <c r="I137" i="28"/>
  <c r="F137" i="28"/>
  <c r="C137" i="28" s="1"/>
  <c r="O136" i="28"/>
  <c r="L136" i="28"/>
  <c r="I136" i="28"/>
  <c r="D136" i="28"/>
  <c r="F136" i="28" s="1"/>
  <c r="C136" i="28" s="1"/>
  <c r="O135" i="28"/>
  <c r="L135" i="28"/>
  <c r="I135" i="28"/>
  <c r="F135" i="28"/>
  <c r="C135" i="28" s="1"/>
  <c r="N134" i="28"/>
  <c r="M134" i="28"/>
  <c r="O134" i="28" s="1"/>
  <c r="K134" i="28"/>
  <c r="J134" i="28"/>
  <c r="L134" i="28" s="1"/>
  <c r="I134" i="28"/>
  <c r="H134" i="28"/>
  <c r="G134" i="28"/>
  <c r="E134" i="28"/>
  <c r="D134" i="28"/>
  <c r="F134" i="28" s="1"/>
  <c r="N133" i="28"/>
  <c r="M133" i="28"/>
  <c r="O133" i="28" s="1"/>
  <c r="K133" i="28"/>
  <c r="J133" i="28"/>
  <c r="L133" i="28" s="1"/>
  <c r="H133" i="28"/>
  <c r="G133" i="28"/>
  <c r="I133" i="28" s="1"/>
  <c r="F133" i="28"/>
  <c r="E133" i="28"/>
  <c r="D133" i="28"/>
  <c r="O132" i="28"/>
  <c r="L132" i="28"/>
  <c r="I132" i="28"/>
  <c r="F132" i="28"/>
  <c r="C132" i="28" s="1"/>
  <c r="N131" i="28"/>
  <c r="M131" i="28"/>
  <c r="O131" i="28" s="1"/>
  <c r="L131" i="28"/>
  <c r="K131" i="28"/>
  <c r="J131" i="28"/>
  <c r="H131" i="28"/>
  <c r="I131" i="28" s="1"/>
  <c r="G131" i="28"/>
  <c r="E131" i="28"/>
  <c r="D131" i="28"/>
  <c r="F131" i="28" s="1"/>
  <c r="O130" i="28"/>
  <c r="L130" i="28"/>
  <c r="I130" i="28"/>
  <c r="F130" i="28"/>
  <c r="C130" i="28" s="1"/>
  <c r="O129" i="28"/>
  <c r="L129" i="28"/>
  <c r="I129" i="28"/>
  <c r="F129" i="28"/>
  <c r="C129" i="28"/>
  <c r="O128" i="28"/>
  <c r="L128" i="28"/>
  <c r="I128" i="28"/>
  <c r="F128" i="28"/>
  <c r="C128" i="28" s="1"/>
  <c r="O127" i="28"/>
  <c r="L127" i="28"/>
  <c r="I127" i="28"/>
  <c r="F127" i="28"/>
  <c r="C127" i="28" s="1"/>
  <c r="O126" i="28"/>
  <c r="L126" i="28"/>
  <c r="I126" i="28"/>
  <c r="F126" i="28"/>
  <c r="C126" i="28" s="1"/>
  <c r="O125" i="28"/>
  <c r="N125" i="28"/>
  <c r="M125" i="28"/>
  <c r="K125" i="28"/>
  <c r="J125" i="28"/>
  <c r="L125" i="28" s="1"/>
  <c r="H125" i="28"/>
  <c r="G125" i="28"/>
  <c r="I125" i="28" s="1"/>
  <c r="F125" i="28"/>
  <c r="E125" i="28"/>
  <c r="D125" i="28"/>
  <c r="O124" i="28"/>
  <c r="L124" i="28"/>
  <c r="I124" i="28"/>
  <c r="F124" i="28"/>
  <c r="C124" i="28" s="1"/>
  <c r="O123" i="28"/>
  <c r="L123" i="28"/>
  <c r="I123" i="28"/>
  <c r="F123" i="28"/>
  <c r="C123" i="28" s="1"/>
  <c r="O122" i="28"/>
  <c r="L122" i="28"/>
  <c r="I122" i="28"/>
  <c r="F122" i="28"/>
  <c r="C122" i="28" s="1"/>
  <c r="O121" i="28"/>
  <c r="L121" i="28"/>
  <c r="I121" i="28"/>
  <c r="F121" i="28"/>
  <c r="C121" i="28"/>
  <c r="O120" i="28"/>
  <c r="L120" i="28"/>
  <c r="I120" i="28"/>
  <c r="F120" i="28"/>
  <c r="C120" i="28" s="1"/>
  <c r="N119" i="28"/>
  <c r="M119" i="28"/>
  <c r="O119" i="28" s="1"/>
  <c r="L119" i="28"/>
  <c r="K119" i="28"/>
  <c r="J119" i="28"/>
  <c r="I119" i="28"/>
  <c r="H119" i="28"/>
  <c r="G119" i="28"/>
  <c r="E119" i="28"/>
  <c r="D119" i="28"/>
  <c r="F119" i="28" s="1"/>
  <c r="C119" i="28" s="1"/>
  <c r="O118" i="28"/>
  <c r="L118" i="28"/>
  <c r="I118" i="28"/>
  <c r="F118" i="28"/>
  <c r="C118" i="28" s="1"/>
  <c r="O117" i="28"/>
  <c r="L117" i="28"/>
  <c r="I117" i="28"/>
  <c r="F117" i="28"/>
  <c r="C117" i="28"/>
  <c r="O116" i="28"/>
  <c r="L116" i="28"/>
  <c r="I116" i="28"/>
  <c r="F116" i="28"/>
  <c r="C116" i="28"/>
  <c r="N115" i="28"/>
  <c r="M115" i="28"/>
  <c r="O115" i="28" s="1"/>
  <c r="L115" i="28"/>
  <c r="K115" i="28"/>
  <c r="J115" i="28"/>
  <c r="H115" i="28"/>
  <c r="I115" i="28" s="1"/>
  <c r="G115" i="28"/>
  <c r="E115" i="28"/>
  <c r="D115" i="28"/>
  <c r="F115" i="28" s="1"/>
  <c r="C115" i="28" s="1"/>
  <c r="O114" i="28"/>
  <c r="J114" i="28"/>
  <c r="L114" i="28" s="1"/>
  <c r="C114" i="28" s="1"/>
  <c r="I114" i="28"/>
  <c r="F114" i="28"/>
  <c r="O113" i="28"/>
  <c r="L113" i="28"/>
  <c r="I113" i="28"/>
  <c r="F113" i="28"/>
  <c r="C113" i="28" s="1"/>
  <c r="O112" i="28"/>
  <c r="L112" i="28"/>
  <c r="I112" i="28"/>
  <c r="F112" i="28"/>
  <c r="C112" i="28" s="1"/>
  <c r="O111" i="28"/>
  <c r="L111" i="28"/>
  <c r="I111" i="28"/>
  <c r="F111" i="28"/>
  <c r="C111" i="28" s="1"/>
  <c r="O110" i="28"/>
  <c r="L110" i="28"/>
  <c r="I110" i="28"/>
  <c r="F110" i="28"/>
  <c r="C110" i="28"/>
  <c r="O109" i="28"/>
  <c r="L109" i="28"/>
  <c r="I109" i="28"/>
  <c r="F109" i="28"/>
  <c r="C109" i="28" s="1"/>
  <c r="O108" i="28"/>
  <c r="L108" i="28"/>
  <c r="I108" i="28"/>
  <c r="F108" i="28"/>
  <c r="C108" i="28" s="1"/>
  <c r="O107" i="28"/>
  <c r="L107" i="28"/>
  <c r="I107" i="28"/>
  <c r="F107" i="28"/>
  <c r="C107" i="28" s="1"/>
  <c r="O106" i="28"/>
  <c r="N106" i="28"/>
  <c r="M106" i="28"/>
  <c r="K106" i="28"/>
  <c r="J106" i="28"/>
  <c r="L106" i="28" s="1"/>
  <c r="H106" i="28"/>
  <c r="G106" i="28"/>
  <c r="I106" i="28" s="1"/>
  <c r="C106" i="28" s="1"/>
  <c r="F106" i="28"/>
  <c r="E106" i="28"/>
  <c r="D106" i="28"/>
  <c r="O105" i="28"/>
  <c r="L105" i="28"/>
  <c r="I105" i="28"/>
  <c r="F105" i="28"/>
  <c r="C105" i="28" s="1"/>
  <c r="O104" i="28"/>
  <c r="L104" i="28"/>
  <c r="I104" i="28"/>
  <c r="F104" i="28"/>
  <c r="C104" i="28" s="1"/>
  <c r="O103" i="28"/>
  <c r="L103" i="28"/>
  <c r="I103" i="28"/>
  <c r="F103" i="28"/>
  <c r="C103" i="28" s="1"/>
  <c r="O102" i="28"/>
  <c r="L102" i="28"/>
  <c r="I102" i="28"/>
  <c r="F102" i="28"/>
  <c r="C102" i="28"/>
  <c r="O101" i="28"/>
  <c r="L101" i="28"/>
  <c r="I101" i="28"/>
  <c r="F101" i="28"/>
  <c r="C101" i="28" s="1"/>
  <c r="O100" i="28"/>
  <c r="L100" i="28"/>
  <c r="I100" i="28"/>
  <c r="F100" i="28"/>
  <c r="C100" i="28" s="1"/>
  <c r="O99" i="28"/>
  <c r="L99" i="28"/>
  <c r="I99" i="28"/>
  <c r="F99" i="28"/>
  <c r="C99" i="28" s="1"/>
  <c r="O98" i="28"/>
  <c r="N98" i="28"/>
  <c r="M98" i="28"/>
  <c r="K98" i="28"/>
  <c r="J98" i="28"/>
  <c r="L98" i="28" s="1"/>
  <c r="H98" i="28"/>
  <c r="G98" i="28"/>
  <c r="I98" i="28" s="1"/>
  <c r="E98" i="28"/>
  <c r="D98" i="28"/>
  <c r="F98" i="28" s="1"/>
  <c r="C98" i="28" s="1"/>
  <c r="O97" i="28"/>
  <c r="L97" i="28"/>
  <c r="I97" i="28"/>
  <c r="F97" i="28"/>
  <c r="C97" i="28" s="1"/>
  <c r="O96" i="28"/>
  <c r="L96" i="28"/>
  <c r="I96" i="28"/>
  <c r="F96" i="28"/>
  <c r="C96" i="28" s="1"/>
  <c r="O95" i="28"/>
  <c r="L95" i="28"/>
  <c r="I95" i="28"/>
  <c r="D95" i="28"/>
  <c r="F95" i="28" s="1"/>
  <c r="C95" i="28" s="1"/>
  <c r="O94" i="28"/>
  <c r="L94" i="28"/>
  <c r="I94" i="28"/>
  <c r="F94" i="28"/>
  <c r="C94" i="28" s="1"/>
  <c r="O93" i="28"/>
  <c r="L93" i="28"/>
  <c r="I93" i="28"/>
  <c r="F93" i="28"/>
  <c r="C93" i="28" s="1"/>
  <c r="N92" i="28"/>
  <c r="M92" i="28"/>
  <c r="O92" i="28" s="1"/>
  <c r="K92" i="28"/>
  <c r="J92" i="28"/>
  <c r="L92" i="28" s="1"/>
  <c r="I92" i="28"/>
  <c r="H92" i="28"/>
  <c r="G92" i="28"/>
  <c r="F92" i="28"/>
  <c r="C92" i="28" s="1"/>
  <c r="E92" i="28"/>
  <c r="D92" i="28"/>
  <c r="O91" i="28"/>
  <c r="L91" i="28"/>
  <c r="I91" i="28"/>
  <c r="F91" i="28"/>
  <c r="C91" i="28"/>
  <c r="O90" i="28"/>
  <c r="L90" i="28"/>
  <c r="I90" i="28"/>
  <c r="F90" i="28"/>
  <c r="C90" i="28" s="1"/>
  <c r="O89" i="28"/>
  <c r="L89" i="28"/>
  <c r="I89" i="28"/>
  <c r="F89" i="28"/>
  <c r="C89" i="28" s="1"/>
  <c r="D89" i="28"/>
  <c r="O88" i="28"/>
  <c r="L88" i="28"/>
  <c r="I88" i="28"/>
  <c r="F88" i="28"/>
  <c r="C88" i="28"/>
  <c r="O87" i="28"/>
  <c r="N87" i="28"/>
  <c r="M87" i="28"/>
  <c r="L87" i="28"/>
  <c r="K87" i="28"/>
  <c r="J87" i="28"/>
  <c r="H87" i="28"/>
  <c r="G87" i="28"/>
  <c r="I87" i="28" s="1"/>
  <c r="E87" i="28"/>
  <c r="D87" i="28"/>
  <c r="F87" i="28" s="1"/>
  <c r="C87" i="28" s="1"/>
  <c r="N86" i="28"/>
  <c r="M86" i="28"/>
  <c r="O86" i="28" s="1"/>
  <c r="K86" i="28"/>
  <c r="J86" i="28"/>
  <c r="L86" i="28" s="1"/>
  <c r="H86" i="28"/>
  <c r="G86" i="28"/>
  <c r="I86" i="28" s="1"/>
  <c r="E86" i="28"/>
  <c r="D86" i="28"/>
  <c r="F86" i="28" s="1"/>
  <c r="C86" i="28" s="1"/>
  <c r="O85" i="28"/>
  <c r="L85" i="28"/>
  <c r="I85" i="28"/>
  <c r="F85" i="28"/>
  <c r="C85" i="28" s="1"/>
  <c r="O84" i="28"/>
  <c r="L84" i="28"/>
  <c r="I84" i="28"/>
  <c r="F84" i="28"/>
  <c r="C84" i="28"/>
  <c r="O83" i="28"/>
  <c r="N83" i="28"/>
  <c r="M83" i="28"/>
  <c r="K83" i="28"/>
  <c r="J83" i="28"/>
  <c r="L83" i="28" s="1"/>
  <c r="H83" i="28"/>
  <c r="G83" i="28"/>
  <c r="I83" i="28" s="1"/>
  <c r="E83" i="28"/>
  <c r="D83" i="28"/>
  <c r="F83" i="28" s="1"/>
  <c r="O82" i="28"/>
  <c r="J82" i="28"/>
  <c r="L82" i="28" s="1"/>
  <c r="I82" i="28"/>
  <c r="F82" i="28"/>
  <c r="O81" i="28"/>
  <c r="L81" i="28"/>
  <c r="I81" i="28"/>
  <c r="C81" i="28" s="1"/>
  <c r="F81" i="28"/>
  <c r="O80" i="28"/>
  <c r="N80" i="28"/>
  <c r="M80" i="28"/>
  <c r="K80" i="28"/>
  <c r="J80" i="28"/>
  <c r="L80" i="28" s="1"/>
  <c r="H80" i="28"/>
  <c r="G80" i="28"/>
  <c r="I80" i="28" s="1"/>
  <c r="E80" i="28"/>
  <c r="D80" i="28"/>
  <c r="F80" i="28" s="1"/>
  <c r="N79" i="28"/>
  <c r="M79" i="28"/>
  <c r="O79" i="28" s="1"/>
  <c r="K79" i="28"/>
  <c r="L79" i="28" s="1"/>
  <c r="J79" i="28"/>
  <c r="H79" i="28"/>
  <c r="G79" i="28"/>
  <c r="I79" i="28" s="1"/>
  <c r="E79" i="28"/>
  <c r="D79" i="28"/>
  <c r="F79" i="28" s="1"/>
  <c r="N78" i="28"/>
  <c r="M78" i="28"/>
  <c r="O78" i="28" s="1"/>
  <c r="K78" i="28"/>
  <c r="J78" i="28"/>
  <c r="L78" i="28" s="1"/>
  <c r="H78" i="28"/>
  <c r="G78" i="28"/>
  <c r="I78" i="28" s="1"/>
  <c r="E78" i="28"/>
  <c r="D78" i="28"/>
  <c r="F78" i="28" s="1"/>
  <c r="O77" i="28"/>
  <c r="L77" i="28"/>
  <c r="I77" i="28"/>
  <c r="F77" i="28"/>
  <c r="D77" i="28"/>
  <c r="C77" i="28"/>
  <c r="O76" i="28"/>
  <c r="L76" i="28"/>
  <c r="I76" i="28"/>
  <c r="F76" i="28"/>
  <c r="C76" i="28" s="1"/>
  <c r="O75" i="28"/>
  <c r="L75" i="28"/>
  <c r="I75" i="28"/>
  <c r="F75" i="28"/>
  <c r="C75" i="28" s="1"/>
  <c r="O74" i="28"/>
  <c r="L74" i="28"/>
  <c r="I74" i="28"/>
  <c r="F74" i="28"/>
  <c r="C74" i="28" s="1"/>
  <c r="O73" i="28"/>
  <c r="L73" i="28"/>
  <c r="I73" i="28"/>
  <c r="G73" i="28"/>
  <c r="F73" i="28"/>
  <c r="C73" i="28" s="1"/>
  <c r="N72" i="28"/>
  <c r="M72" i="28"/>
  <c r="O72" i="28" s="1"/>
  <c r="K72" i="28"/>
  <c r="L72" i="28" s="1"/>
  <c r="J72" i="28"/>
  <c r="H72" i="28"/>
  <c r="G72" i="28"/>
  <c r="I72" i="28" s="1"/>
  <c r="E72" i="28"/>
  <c r="D72" i="28"/>
  <c r="F72" i="28" s="1"/>
  <c r="O71" i="28"/>
  <c r="L71" i="28"/>
  <c r="I71" i="28"/>
  <c r="G71" i="28"/>
  <c r="D71" i="28"/>
  <c r="F71" i="28" s="1"/>
  <c r="C71" i="28" s="1"/>
  <c r="N70" i="28"/>
  <c r="M70" i="28"/>
  <c r="O70" i="28" s="1"/>
  <c r="L70" i="28"/>
  <c r="K70" i="28"/>
  <c r="J70" i="28"/>
  <c r="H70" i="28"/>
  <c r="I70" i="28" s="1"/>
  <c r="G70" i="28"/>
  <c r="E70" i="28"/>
  <c r="D70" i="28"/>
  <c r="F70" i="28" s="1"/>
  <c r="C70" i="28" s="1"/>
  <c r="O69" i="28"/>
  <c r="L69" i="28"/>
  <c r="I69" i="28"/>
  <c r="F69" i="28"/>
  <c r="C69" i="28" s="1"/>
  <c r="O68" i="28"/>
  <c r="L68" i="28"/>
  <c r="I68" i="28"/>
  <c r="G68" i="28"/>
  <c r="D68" i="28"/>
  <c r="F68" i="28" s="1"/>
  <c r="C68" i="28" s="1"/>
  <c r="O67" i="28"/>
  <c r="L67" i="28"/>
  <c r="I67" i="28"/>
  <c r="F67" i="28"/>
  <c r="D67" i="28"/>
  <c r="C67" i="28"/>
  <c r="O66" i="28"/>
  <c r="L66" i="28"/>
  <c r="I66" i="28"/>
  <c r="F66" i="28"/>
  <c r="C66" i="28"/>
  <c r="O65" i="28"/>
  <c r="L65" i="28"/>
  <c r="I65" i="28"/>
  <c r="F65" i="28"/>
  <c r="C65" i="28" s="1"/>
  <c r="O64" i="28"/>
  <c r="L64" i="28"/>
  <c r="I64" i="28"/>
  <c r="F64" i="28"/>
  <c r="C64" i="28" s="1"/>
  <c r="O63" i="28"/>
  <c r="L63" i="28"/>
  <c r="C63" i="28" s="1"/>
  <c r="I63" i="28"/>
  <c r="F63" i="28"/>
  <c r="O62" i="28"/>
  <c r="L62" i="28"/>
  <c r="I62" i="28"/>
  <c r="F62" i="28"/>
  <c r="C62" i="28"/>
  <c r="N61" i="28"/>
  <c r="M61" i="28"/>
  <c r="O61" i="28" s="1"/>
  <c r="L61" i="28"/>
  <c r="K61" i="28"/>
  <c r="J61" i="28"/>
  <c r="H61" i="28"/>
  <c r="I61" i="28" s="1"/>
  <c r="G61" i="28"/>
  <c r="E61" i="28"/>
  <c r="D61" i="28"/>
  <c r="F61" i="28" s="1"/>
  <c r="C61" i="28" s="1"/>
  <c r="O60" i="28"/>
  <c r="L60" i="28"/>
  <c r="I60" i="28"/>
  <c r="G60" i="28"/>
  <c r="G58" i="28" s="1"/>
  <c r="D60" i="28"/>
  <c r="F60" i="28" s="1"/>
  <c r="C60" i="28" s="1"/>
  <c r="O59" i="28"/>
  <c r="L59" i="28"/>
  <c r="I59" i="28"/>
  <c r="F59" i="28"/>
  <c r="C59" i="28" s="1"/>
  <c r="N58" i="28"/>
  <c r="M58" i="28"/>
  <c r="O58" i="28" s="1"/>
  <c r="K58" i="28"/>
  <c r="J58" i="28"/>
  <c r="L58" i="28" s="1"/>
  <c r="H58" i="28"/>
  <c r="H57" i="28" s="1"/>
  <c r="H56" i="28" s="1"/>
  <c r="H55" i="28" s="1"/>
  <c r="E58" i="28"/>
  <c r="D58" i="28"/>
  <c r="D57" i="28" s="1"/>
  <c r="N57" i="28"/>
  <c r="M57" i="28"/>
  <c r="M56" i="28" s="1"/>
  <c r="K57" i="28"/>
  <c r="J57" i="28"/>
  <c r="L57" i="28" s="1"/>
  <c r="E57" i="28"/>
  <c r="E56" i="28" s="1"/>
  <c r="N56" i="28"/>
  <c r="N55" i="28" s="1"/>
  <c r="N54" i="28" s="1"/>
  <c r="N53" i="28" s="1"/>
  <c r="K56" i="28"/>
  <c r="J56" i="28"/>
  <c r="J55" i="28" s="1"/>
  <c r="K55" i="28"/>
  <c r="O50" i="28"/>
  <c r="C50" i="28"/>
  <c r="O49" i="28"/>
  <c r="C49" i="28"/>
  <c r="N48" i="28"/>
  <c r="N288" i="28" s="1"/>
  <c r="M48" i="28"/>
  <c r="L47" i="28"/>
  <c r="C47" i="28" s="1"/>
  <c r="I47" i="28"/>
  <c r="F47" i="28"/>
  <c r="K46" i="28"/>
  <c r="L46" i="28" s="1"/>
  <c r="J46" i="28"/>
  <c r="H46" i="28"/>
  <c r="G46" i="28"/>
  <c r="I46" i="28" s="1"/>
  <c r="E46" i="28"/>
  <c r="D46" i="28"/>
  <c r="F46" i="28" s="1"/>
  <c r="F45" i="28"/>
  <c r="C45" i="28"/>
  <c r="J44" i="28"/>
  <c r="L44" i="28" s="1"/>
  <c r="C44" i="28" s="1"/>
  <c r="L43" i="28"/>
  <c r="C43" i="28"/>
  <c r="L42" i="28"/>
  <c r="C42" i="28" s="1"/>
  <c r="L41" i="28"/>
  <c r="C41" i="28"/>
  <c r="K40" i="28"/>
  <c r="J40" i="28"/>
  <c r="L40" i="28" s="1"/>
  <c r="C40" i="28" s="1"/>
  <c r="L39" i="28"/>
  <c r="C39" i="28" s="1"/>
  <c r="L38" i="28"/>
  <c r="C38" i="28"/>
  <c r="K37" i="28"/>
  <c r="J37" i="28"/>
  <c r="L37" i="28" s="1"/>
  <c r="C37" i="28" s="1"/>
  <c r="L36" i="28"/>
  <c r="C36" i="28" s="1"/>
  <c r="K35" i="28"/>
  <c r="K30" i="28" s="1"/>
  <c r="J35" i="28"/>
  <c r="L34" i="28"/>
  <c r="C34" i="28"/>
  <c r="L33" i="28"/>
  <c r="C33" i="28" s="1"/>
  <c r="L32" i="28"/>
  <c r="C32" i="28"/>
  <c r="K31" i="28"/>
  <c r="J31" i="28"/>
  <c r="L31" i="28" s="1"/>
  <c r="C31" i="28" s="1"/>
  <c r="J30" i="28"/>
  <c r="L30" i="28" s="1"/>
  <c r="C30" i="28" s="1"/>
  <c r="F29" i="28"/>
  <c r="C29" i="28" s="1"/>
  <c r="G28" i="28"/>
  <c r="I28" i="28" s="1"/>
  <c r="C28" i="28" s="1"/>
  <c r="F28" i="28"/>
  <c r="D28" i="28"/>
  <c r="O27" i="28"/>
  <c r="L27" i="28"/>
  <c r="I27" i="28"/>
  <c r="F27" i="28"/>
  <c r="C27" i="28"/>
  <c r="O26" i="28"/>
  <c r="L26" i="28"/>
  <c r="I26" i="28"/>
  <c r="F26" i="28"/>
  <c r="C26" i="28" s="1"/>
  <c r="N25" i="28"/>
  <c r="N290" i="28" s="1"/>
  <c r="N289" i="28" s="1"/>
  <c r="M25" i="28"/>
  <c r="M24" i="28" s="1"/>
  <c r="O24" i="28" s="1"/>
  <c r="K25" i="28"/>
  <c r="K293" i="28" s="1"/>
  <c r="J25" i="28"/>
  <c r="L25" i="28" s="1"/>
  <c r="I25" i="28"/>
  <c r="H25" i="28"/>
  <c r="H290" i="28" s="1"/>
  <c r="H289" i="28" s="1"/>
  <c r="G25" i="28"/>
  <c r="G290" i="28" s="1"/>
  <c r="E25" i="28"/>
  <c r="E293" i="28" s="1"/>
  <c r="D25" i="28"/>
  <c r="D290" i="28" s="1"/>
  <c r="N24" i="28"/>
  <c r="J24" i="28"/>
  <c r="H24" i="28"/>
  <c r="G24" i="28"/>
  <c r="I24" i="28" s="1"/>
  <c r="F24" i="28"/>
  <c r="E24" i="28"/>
  <c r="D24" i="28"/>
  <c r="O299" i="27"/>
  <c r="L299" i="27"/>
  <c r="I299" i="27"/>
  <c r="F299" i="27"/>
  <c r="C299" i="27"/>
  <c r="O298" i="27"/>
  <c r="L298" i="27"/>
  <c r="I298" i="27"/>
  <c r="F298" i="27"/>
  <c r="C298" i="27" s="1"/>
  <c r="O297" i="27"/>
  <c r="L297" i="27"/>
  <c r="I297" i="27"/>
  <c r="F297" i="27"/>
  <c r="C297" i="27" s="1"/>
  <c r="O296" i="27"/>
  <c r="L296" i="27"/>
  <c r="C296" i="27" s="1"/>
  <c r="I296" i="27"/>
  <c r="F296" i="27"/>
  <c r="O295" i="27"/>
  <c r="L295" i="27"/>
  <c r="I295" i="27"/>
  <c r="F295" i="27"/>
  <c r="C295" i="27"/>
  <c r="O294" i="27"/>
  <c r="L294" i="27"/>
  <c r="I294" i="27"/>
  <c r="F294" i="27"/>
  <c r="C294" i="27" s="1"/>
  <c r="O293" i="27"/>
  <c r="L293" i="27"/>
  <c r="I293" i="27"/>
  <c r="F293" i="27"/>
  <c r="C293" i="27" s="1"/>
  <c r="O292" i="27"/>
  <c r="L292" i="27"/>
  <c r="C292" i="27" s="1"/>
  <c r="I292" i="27"/>
  <c r="F292" i="27"/>
  <c r="N291" i="27"/>
  <c r="O291" i="27" s="1"/>
  <c r="M291" i="27"/>
  <c r="K291" i="27"/>
  <c r="J291" i="27"/>
  <c r="L291" i="27" s="1"/>
  <c r="H291" i="27"/>
  <c r="G291" i="27"/>
  <c r="I291" i="27" s="1"/>
  <c r="F291" i="27"/>
  <c r="E291" i="27"/>
  <c r="D291" i="27"/>
  <c r="O286" i="27"/>
  <c r="L286" i="27"/>
  <c r="I286" i="27"/>
  <c r="F286" i="27"/>
  <c r="C286" i="27"/>
  <c r="O285" i="27"/>
  <c r="L285" i="27"/>
  <c r="I285" i="27"/>
  <c r="F285" i="27"/>
  <c r="C285" i="27" s="1"/>
  <c r="N284" i="27"/>
  <c r="M284" i="27"/>
  <c r="K284" i="27"/>
  <c r="L284" i="27" s="1"/>
  <c r="J284" i="27"/>
  <c r="I284" i="27"/>
  <c r="H284" i="27"/>
  <c r="G284" i="27"/>
  <c r="E284" i="27"/>
  <c r="D284" i="27"/>
  <c r="O283" i="27"/>
  <c r="L283" i="27"/>
  <c r="I283" i="27"/>
  <c r="F283" i="27"/>
  <c r="C283" i="27" s="1"/>
  <c r="N282" i="27"/>
  <c r="M282" i="27"/>
  <c r="O282" i="27" s="1"/>
  <c r="K282" i="27"/>
  <c r="J282" i="27"/>
  <c r="L282" i="27" s="1"/>
  <c r="H282" i="27"/>
  <c r="G282" i="27"/>
  <c r="I282" i="27" s="1"/>
  <c r="C282" i="27" s="1"/>
  <c r="F282" i="27"/>
  <c r="E282" i="27"/>
  <c r="D282" i="27"/>
  <c r="O281" i="27"/>
  <c r="L281" i="27"/>
  <c r="I281" i="27"/>
  <c r="F281" i="27"/>
  <c r="C281" i="27" s="1"/>
  <c r="O280" i="27"/>
  <c r="L280" i="27"/>
  <c r="I280" i="27"/>
  <c r="F280" i="27"/>
  <c r="C280" i="27" s="1"/>
  <c r="O279" i="27"/>
  <c r="L279" i="27"/>
  <c r="I279" i="27"/>
  <c r="F279" i="27"/>
  <c r="C279" i="27" s="1"/>
  <c r="O278" i="27"/>
  <c r="N278" i="27"/>
  <c r="M278" i="27"/>
  <c r="K278" i="27"/>
  <c r="J278" i="27"/>
  <c r="L278" i="27" s="1"/>
  <c r="H278" i="27"/>
  <c r="G278" i="27"/>
  <c r="I278" i="27" s="1"/>
  <c r="F278" i="27"/>
  <c r="E278" i="27"/>
  <c r="D278" i="27"/>
  <c r="O277" i="27"/>
  <c r="L277" i="27"/>
  <c r="I277" i="27"/>
  <c r="F277" i="27"/>
  <c r="C277" i="27" s="1"/>
  <c r="O276" i="27"/>
  <c r="L276" i="27"/>
  <c r="I276" i="27"/>
  <c r="F276" i="27"/>
  <c r="C276" i="27" s="1"/>
  <c r="O275" i="27"/>
  <c r="L275" i="27"/>
  <c r="I275" i="27"/>
  <c r="F275" i="27"/>
  <c r="C275" i="27" s="1"/>
  <c r="N274" i="27"/>
  <c r="O274" i="27" s="1"/>
  <c r="M274" i="27"/>
  <c r="K274" i="27"/>
  <c r="J274" i="27"/>
  <c r="L274" i="27" s="1"/>
  <c r="H274" i="27"/>
  <c r="G274" i="27"/>
  <c r="I274" i="27" s="1"/>
  <c r="F274" i="27"/>
  <c r="E274" i="27"/>
  <c r="D274" i="27"/>
  <c r="O273" i="27"/>
  <c r="L273" i="27"/>
  <c r="I273" i="27"/>
  <c r="F273" i="27"/>
  <c r="C273" i="27" s="1"/>
  <c r="N272" i="27"/>
  <c r="M272" i="27"/>
  <c r="O272" i="27" s="1"/>
  <c r="L272" i="27"/>
  <c r="K272" i="27"/>
  <c r="J272" i="27"/>
  <c r="H272" i="27"/>
  <c r="I272" i="27" s="1"/>
  <c r="G272" i="27"/>
  <c r="E272" i="27"/>
  <c r="D272" i="27"/>
  <c r="D271" i="27" s="1"/>
  <c r="N271" i="27"/>
  <c r="M271" i="27"/>
  <c r="O271" i="27" s="1"/>
  <c r="K271" i="27"/>
  <c r="J271" i="27"/>
  <c r="L271" i="27" s="1"/>
  <c r="G271" i="27"/>
  <c r="E271" i="27"/>
  <c r="O270" i="27"/>
  <c r="L270" i="27"/>
  <c r="I270" i="27"/>
  <c r="F270" i="27"/>
  <c r="C270" i="27"/>
  <c r="O269" i="27"/>
  <c r="L269" i="27"/>
  <c r="I269" i="27"/>
  <c r="F269" i="27"/>
  <c r="C269" i="27"/>
  <c r="O268" i="27"/>
  <c r="L268" i="27"/>
  <c r="I268" i="27"/>
  <c r="F268" i="27"/>
  <c r="C268" i="27" s="1"/>
  <c r="O267" i="27"/>
  <c r="L267" i="27"/>
  <c r="I267" i="27"/>
  <c r="C267" i="27" s="1"/>
  <c r="F267" i="27"/>
  <c r="N266" i="27"/>
  <c r="O266" i="27" s="1"/>
  <c r="M266" i="27"/>
  <c r="K266" i="27"/>
  <c r="J266" i="27"/>
  <c r="L266" i="27" s="1"/>
  <c r="H266" i="27"/>
  <c r="G266" i="27"/>
  <c r="I266" i="27" s="1"/>
  <c r="F266" i="27"/>
  <c r="E266" i="27"/>
  <c r="D266" i="27"/>
  <c r="O265" i="27"/>
  <c r="L265" i="27"/>
  <c r="I265" i="27"/>
  <c r="F265" i="27"/>
  <c r="C265" i="27"/>
  <c r="O264" i="27"/>
  <c r="L264" i="27"/>
  <c r="I264" i="27"/>
  <c r="F264" i="27"/>
  <c r="C264" i="27" s="1"/>
  <c r="O263" i="27"/>
  <c r="L263" i="27"/>
  <c r="I263" i="27"/>
  <c r="C263" i="27" s="1"/>
  <c r="F263" i="27"/>
  <c r="N262" i="27"/>
  <c r="O262" i="27" s="1"/>
  <c r="M262" i="27"/>
  <c r="K262" i="27"/>
  <c r="J262" i="27"/>
  <c r="J261" i="27" s="1"/>
  <c r="H262" i="27"/>
  <c r="G262" i="27"/>
  <c r="I262" i="27" s="1"/>
  <c r="F262" i="27"/>
  <c r="E262" i="27"/>
  <c r="D262" i="27"/>
  <c r="M261" i="27"/>
  <c r="K261" i="27"/>
  <c r="H261" i="27"/>
  <c r="G261" i="27"/>
  <c r="I261" i="27" s="1"/>
  <c r="E261" i="27"/>
  <c r="D261" i="27"/>
  <c r="F261" i="27" s="1"/>
  <c r="O260" i="27"/>
  <c r="L260" i="27"/>
  <c r="I260" i="27"/>
  <c r="F260" i="27"/>
  <c r="C260" i="27" s="1"/>
  <c r="O259" i="27"/>
  <c r="L259" i="27"/>
  <c r="I259" i="27"/>
  <c r="C259" i="27" s="1"/>
  <c r="F259" i="27"/>
  <c r="O258" i="27"/>
  <c r="L258" i="27"/>
  <c r="C258" i="27" s="1"/>
  <c r="I258" i="27"/>
  <c r="F258" i="27"/>
  <c r="O257" i="27"/>
  <c r="L257" i="27"/>
  <c r="I257" i="27"/>
  <c r="F257" i="27"/>
  <c r="C257" i="27"/>
  <c r="O256" i="27"/>
  <c r="L256" i="27"/>
  <c r="I256" i="27"/>
  <c r="F256" i="27"/>
  <c r="C256" i="27" s="1"/>
  <c r="N255" i="27"/>
  <c r="M255" i="27"/>
  <c r="M254" i="27" s="1"/>
  <c r="K255" i="27"/>
  <c r="J255" i="27"/>
  <c r="L255" i="27" s="1"/>
  <c r="I255" i="27"/>
  <c r="H255" i="27"/>
  <c r="G255" i="27"/>
  <c r="E255" i="27"/>
  <c r="F255" i="27" s="1"/>
  <c r="D255" i="27"/>
  <c r="N254" i="27"/>
  <c r="K254" i="27"/>
  <c r="J254" i="27"/>
  <c r="L254" i="27" s="1"/>
  <c r="H254" i="27"/>
  <c r="G254" i="27"/>
  <c r="I254" i="27" s="1"/>
  <c r="D254" i="27"/>
  <c r="O253" i="27"/>
  <c r="L253" i="27"/>
  <c r="I253" i="27"/>
  <c r="F253" i="27"/>
  <c r="C253" i="27"/>
  <c r="O252" i="27"/>
  <c r="L252" i="27"/>
  <c r="I252" i="27"/>
  <c r="F252" i="27"/>
  <c r="C252" i="27" s="1"/>
  <c r="O251" i="27"/>
  <c r="L251" i="27"/>
  <c r="I251" i="27"/>
  <c r="F251" i="27"/>
  <c r="C251" i="27" s="1"/>
  <c r="O250" i="27"/>
  <c r="L250" i="27"/>
  <c r="I250" i="27"/>
  <c r="F250" i="27"/>
  <c r="C250" i="27"/>
  <c r="O249" i="27"/>
  <c r="N249" i="27"/>
  <c r="M249" i="27"/>
  <c r="K249" i="27"/>
  <c r="L249" i="27" s="1"/>
  <c r="J249" i="27"/>
  <c r="H249" i="27"/>
  <c r="G249" i="27"/>
  <c r="I249" i="27" s="1"/>
  <c r="E249" i="27"/>
  <c r="D249" i="27"/>
  <c r="F249" i="27" s="1"/>
  <c r="O248" i="27"/>
  <c r="L248" i="27"/>
  <c r="I248" i="27"/>
  <c r="F248" i="27"/>
  <c r="C248" i="27" s="1"/>
  <c r="O247" i="27"/>
  <c r="L247" i="27"/>
  <c r="I247" i="27"/>
  <c r="C247" i="27" s="1"/>
  <c r="F247" i="27"/>
  <c r="O246" i="27"/>
  <c r="L246" i="27"/>
  <c r="I246" i="27"/>
  <c r="F246" i="27"/>
  <c r="C246" i="27"/>
  <c r="O245" i="27"/>
  <c r="L245" i="27"/>
  <c r="I245" i="27"/>
  <c r="F245" i="27"/>
  <c r="C245" i="27" s="1"/>
  <c r="O244" i="27"/>
  <c r="L244" i="27"/>
  <c r="I244" i="27"/>
  <c r="F244" i="27"/>
  <c r="C244" i="27" s="1"/>
  <c r="O243" i="27"/>
  <c r="L243" i="27"/>
  <c r="I243" i="27"/>
  <c r="C243" i="27" s="1"/>
  <c r="F243" i="27"/>
  <c r="O242" i="27"/>
  <c r="L242" i="27"/>
  <c r="I242" i="27"/>
  <c r="F242" i="27"/>
  <c r="C242" i="27"/>
  <c r="N241" i="27"/>
  <c r="M241" i="27"/>
  <c r="O241" i="27" s="1"/>
  <c r="L241" i="27"/>
  <c r="K241" i="27"/>
  <c r="J241" i="27"/>
  <c r="H241" i="27"/>
  <c r="G241" i="27"/>
  <c r="I241" i="27" s="1"/>
  <c r="E241" i="27"/>
  <c r="D241" i="27"/>
  <c r="F241" i="27" s="1"/>
  <c r="O240" i="27"/>
  <c r="L240" i="27"/>
  <c r="I240" i="27"/>
  <c r="F240" i="27"/>
  <c r="C240" i="27" s="1"/>
  <c r="O239" i="27"/>
  <c r="L239" i="27"/>
  <c r="I239" i="27"/>
  <c r="F239" i="27"/>
  <c r="C239" i="27" s="1"/>
  <c r="N238" i="27"/>
  <c r="M238" i="27"/>
  <c r="O238" i="27" s="1"/>
  <c r="K238" i="27"/>
  <c r="J238" i="27"/>
  <c r="L238" i="27" s="1"/>
  <c r="H238" i="27"/>
  <c r="G238" i="27"/>
  <c r="I238" i="27" s="1"/>
  <c r="E238" i="27"/>
  <c r="F238" i="27" s="1"/>
  <c r="D238" i="27"/>
  <c r="O237" i="27"/>
  <c r="L237" i="27"/>
  <c r="I237" i="27"/>
  <c r="F237" i="27"/>
  <c r="C237" i="27"/>
  <c r="N236" i="27"/>
  <c r="M236" i="27"/>
  <c r="O236" i="27" s="1"/>
  <c r="K236" i="27"/>
  <c r="L236" i="27" s="1"/>
  <c r="J236" i="27"/>
  <c r="H236" i="27"/>
  <c r="G236" i="27"/>
  <c r="I236" i="27" s="1"/>
  <c r="E236" i="27"/>
  <c r="D236" i="27"/>
  <c r="F236" i="27" s="1"/>
  <c r="O235" i="27"/>
  <c r="L235" i="27"/>
  <c r="I235" i="27"/>
  <c r="F235" i="27"/>
  <c r="C235" i="27" s="1"/>
  <c r="N234" i="27"/>
  <c r="M234" i="27"/>
  <c r="O234" i="27" s="1"/>
  <c r="K234" i="27"/>
  <c r="J234" i="27"/>
  <c r="L234" i="27" s="1"/>
  <c r="H234" i="27"/>
  <c r="G234" i="27"/>
  <c r="I234" i="27" s="1"/>
  <c r="E234" i="27"/>
  <c r="F234" i="27" s="1"/>
  <c r="D234" i="27"/>
  <c r="K233" i="27"/>
  <c r="H233" i="27"/>
  <c r="G233" i="27"/>
  <c r="I233" i="27" s="1"/>
  <c r="D233" i="27"/>
  <c r="O232" i="27"/>
  <c r="L232" i="27"/>
  <c r="I232" i="27"/>
  <c r="F232" i="27"/>
  <c r="C232" i="27"/>
  <c r="O231" i="27"/>
  <c r="L231" i="27"/>
  <c r="I231" i="27"/>
  <c r="F231" i="27"/>
  <c r="C231" i="27" s="1"/>
  <c r="N230" i="27"/>
  <c r="M230" i="27"/>
  <c r="O230" i="27" s="1"/>
  <c r="K230" i="27"/>
  <c r="J230" i="27"/>
  <c r="L230" i="27" s="1"/>
  <c r="I230" i="27"/>
  <c r="H230" i="27"/>
  <c r="G230" i="27"/>
  <c r="E230" i="27"/>
  <c r="F230" i="27" s="1"/>
  <c r="C230" i="27" s="1"/>
  <c r="D230" i="27"/>
  <c r="O229" i="27"/>
  <c r="L229" i="27"/>
  <c r="I229" i="27"/>
  <c r="F229" i="27"/>
  <c r="C229" i="27"/>
  <c r="O228" i="27"/>
  <c r="L228" i="27"/>
  <c r="I228" i="27"/>
  <c r="F228" i="27"/>
  <c r="C228" i="27" s="1"/>
  <c r="O227" i="27"/>
  <c r="L227" i="27"/>
  <c r="I227" i="27"/>
  <c r="F227" i="27"/>
  <c r="C227" i="27" s="1"/>
  <c r="O226" i="27"/>
  <c r="L226" i="27"/>
  <c r="I226" i="27"/>
  <c r="D226" i="27"/>
  <c r="F226" i="27" s="1"/>
  <c r="C226" i="27" s="1"/>
  <c r="O225" i="27"/>
  <c r="L225" i="27"/>
  <c r="I225" i="27"/>
  <c r="F225" i="27"/>
  <c r="C225" i="27"/>
  <c r="O224" i="27"/>
  <c r="L224" i="27"/>
  <c r="I224" i="27"/>
  <c r="F224" i="27"/>
  <c r="C224" i="27" s="1"/>
  <c r="O223" i="27"/>
  <c r="L223" i="27"/>
  <c r="I223" i="27"/>
  <c r="C223" i="27" s="1"/>
  <c r="F223" i="27"/>
  <c r="O222" i="27"/>
  <c r="L222" i="27"/>
  <c r="I222" i="27"/>
  <c r="F222" i="27"/>
  <c r="C222" i="27" s="1"/>
  <c r="O221" i="27"/>
  <c r="L221" i="27"/>
  <c r="I221" i="27"/>
  <c r="D221" i="27"/>
  <c r="F221" i="27" s="1"/>
  <c r="C221" i="27" s="1"/>
  <c r="O220" i="27"/>
  <c r="L220" i="27"/>
  <c r="I220" i="27"/>
  <c r="C220" i="27" s="1"/>
  <c r="F220" i="27"/>
  <c r="N219" i="27"/>
  <c r="M219" i="27"/>
  <c r="O219" i="27" s="1"/>
  <c r="K219" i="27"/>
  <c r="J219" i="27"/>
  <c r="L219" i="27" s="1"/>
  <c r="H219" i="27"/>
  <c r="G219" i="27"/>
  <c r="I219" i="27" s="1"/>
  <c r="E219" i="27"/>
  <c r="D219" i="27"/>
  <c r="F219" i="27" s="1"/>
  <c r="O218" i="27"/>
  <c r="L218" i="27"/>
  <c r="I218" i="27"/>
  <c r="F218" i="27"/>
  <c r="C218" i="27" s="1"/>
  <c r="O217" i="27"/>
  <c r="L217" i="27"/>
  <c r="I217" i="27"/>
  <c r="F217" i="27"/>
  <c r="C217" i="27" s="1"/>
  <c r="O216" i="27"/>
  <c r="L216" i="27"/>
  <c r="I216" i="27"/>
  <c r="F216" i="27"/>
  <c r="C216" i="27"/>
  <c r="O215" i="27"/>
  <c r="L215" i="27"/>
  <c r="I215" i="27"/>
  <c r="F215" i="27"/>
  <c r="C215" i="27" s="1"/>
  <c r="O214" i="27"/>
  <c r="L214" i="27"/>
  <c r="I214" i="27"/>
  <c r="F214" i="27"/>
  <c r="C214" i="27" s="1"/>
  <c r="O213" i="27"/>
  <c r="L213" i="27"/>
  <c r="I213" i="27"/>
  <c r="F213" i="27"/>
  <c r="C213" i="27" s="1"/>
  <c r="O212" i="27"/>
  <c r="L212" i="27"/>
  <c r="I212" i="27"/>
  <c r="F212" i="27"/>
  <c r="C212" i="27"/>
  <c r="O211" i="27"/>
  <c r="L211" i="27"/>
  <c r="I211" i="27"/>
  <c r="F211" i="27"/>
  <c r="C211" i="27"/>
  <c r="O210" i="27"/>
  <c r="L210" i="27"/>
  <c r="I210" i="27"/>
  <c r="F210" i="27"/>
  <c r="C210" i="27"/>
  <c r="O209" i="27"/>
  <c r="L209" i="27"/>
  <c r="I209" i="27"/>
  <c r="F209" i="27"/>
  <c r="C209" i="27" s="1"/>
  <c r="N208" i="27"/>
  <c r="M208" i="27"/>
  <c r="O208" i="27" s="1"/>
  <c r="K208" i="27"/>
  <c r="J208" i="27"/>
  <c r="L208" i="27" s="1"/>
  <c r="I208" i="27"/>
  <c r="H208" i="27"/>
  <c r="G208" i="27"/>
  <c r="E208" i="27"/>
  <c r="D208" i="27"/>
  <c r="F208" i="27" s="1"/>
  <c r="C208" i="27" s="1"/>
  <c r="N207" i="27"/>
  <c r="M207" i="27"/>
  <c r="O207" i="27" s="1"/>
  <c r="K207" i="27"/>
  <c r="J207" i="27"/>
  <c r="L207" i="27" s="1"/>
  <c r="H207" i="27"/>
  <c r="G207" i="27"/>
  <c r="I207" i="27" s="1"/>
  <c r="E207" i="27"/>
  <c r="F207" i="27" s="1"/>
  <c r="D207" i="27"/>
  <c r="O206" i="27"/>
  <c r="L206" i="27"/>
  <c r="I206" i="27"/>
  <c r="F206" i="27"/>
  <c r="C206" i="27"/>
  <c r="O205" i="27"/>
  <c r="L205" i="27"/>
  <c r="I205" i="27"/>
  <c r="F205" i="27"/>
  <c r="C205" i="27" s="1"/>
  <c r="O204" i="27"/>
  <c r="L204" i="27"/>
  <c r="I204" i="27"/>
  <c r="F204" i="27"/>
  <c r="C204" i="27" s="1"/>
  <c r="O203" i="27"/>
  <c r="L203" i="27"/>
  <c r="I203" i="27"/>
  <c r="F203" i="27"/>
  <c r="C203" i="27"/>
  <c r="O202" i="27"/>
  <c r="L202" i="27"/>
  <c r="I202" i="27"/>
  <c r="D202" i="27"/>
  <c r="F202" i="27" s="1"/>
  <c r="C202" i="27" s="1"/>
  <c r="N201" i="27"/>
  <c r="M201" i="27"/>
  <c r="O201" i="27" s="1"/>
  <c r="K201" i="27"/>
  <c r="J201" i="27"/>
  <c r="L201" i="27" s="1"/>
  <c r="H201" i="27"/>
  <c r="G201" i="27"/>
  <c r="I201" i="27" s="1"/>
  <c r="E201" i="27"/>
  <c r="D201" i="27"/>
  <c r="F201" i="27" s="1"/>
  <c r="O200" i="27"/>
  <c r="L200" i="27"/>
  <c r="I200" i="27"/>
  <c r="C200" i="27" s="1"/>
  <c r="F200" i="27"/>
  <c r="N199" i="27"/>
  <c r="M199" i="27"/>
  <c r="O199" i="27" s="1"/>
  <c r="K199" i="27"/>
  <c r="J199" i="27"/>
  <c r="L199" i="27" s="1"/>
  <c r="H199" i="27"/>
  <c r="G199" i="27"/>
  <c r="I199" i="27" s="1"/>
  <c r="F199" i="27"/>
  <c r="E199" i="27"/>
  <c r="D199" i="27"/>
  <c r="O198" i="27"/>
  <c r="N198" i="27"/>
  <c r="M198" i="27"/>
  <c r="K198" i="27"/>
  <c r="J198" i="27"/>
  <c r="L198" i="27" s="1"/>
  <c r="H198" i="27"/>
  <c r="G198" i="27"/>
  <c r="I198" i="27" s="1"/>
  <c r="E198" i="27"/>
  <c r="D198" i="27"/>
  <c r="F198" i="27" s="1"/>
  <c r="C198" i="27" s="1"/>
  <c r="K197" i="27"/>
  <c r="G197" i="27"/>
  <c r="O196" i="27"/>
  <c r="L196" i="27"/>
  <c r="I196" i="27"/>
  <c r="F196" i="27"/>
  <c r="C196" i="27" s="1"/>
  <c r="N195" i="27"/>
  <c r="M195" i="27"/>
  <c r="O195" i="27" s="1"/>
  <c r="K195" i="27"/>
  <c r="J195" i="27"/>
  <c r="L195" i="27" s="1"/>
  <c r="I195" i="27"/>
  <c r="H195" i="27"/>
  <c r="G195" i="27"/>
  <c r="E195" i="27"/>
  <c r="F195" i="27" s="1"/>
  <c r="D195" i="27"/>
  <c r="N194" i="27"/>
  <c r="O194" i="27" s="1"/>
  <c r="M194" i="27"/>
  <c r="K194" i="27"/>
  <c r="J194" i="27"/>
  <c r="L194" i="27" s="1"/>
  <c r="H194" i="27"/>
  <c r="G194" i="27"/>
  <c r="I194" i="27" s="1"/>
  <c r="E194" i="27"/>
  <c r="D194" i="27"/>
  <c r="F194" i="27" s="1"/>
  <c r="O193" i="27"/>
  <c r="L193" i="27"/>
  <c r="I193" i="27"/>
  <c r="F193" i="27"/>
  <c r="C193" i="27"/>
  <c r="O192" i="27"/>
  <c r="L192" i="27"/>
  <c r="I192" i="27"/>
  <c r="F192" i="27"/>
  <c r="C192" i="27" s="1"/>
  <c r="N191" i="27"/>
  <c r="M191" i="27"/>
  <c r="O191" i="27" s="1"/>
  <c r="K191" i="27"/>
  <c r="J191" i="27"/>
  <c r="L191" i="27" s="1"/>
  <c r="H191" i="27"/>
  <c r="G191" i="27"/>
  <c r="I191" i="27" s="1"/>
  <c r="E191" i="27"/>
  <c r="D191" i="27"/>
  <c r="F191" i="27" s="1"/>
  <c r="C191" i="27" s="1"/>
  <c r="N190" i="27"/>
  <c r="M190" i="27"/>
  <c r="O190" i="27" s="1"/>
  <c r="K190" i="27"/>
  <c r="J190" i="27"/>
  <c r="L190" i="27" s="1"/>
  <c r="H190" i="27"/>
  <c r="G190" i="27"/>
  <c r="I190" i="27" s="1"/>
  <c r="F190" i="27"/>
  <c r="E190" i="27"/>
  <c r="D190" i="27"/>
  <c r="O189" i="27"/>
  <c r="L189" i="27"/>
  <c r="I189" i="27"/>
  <c r="F189" i="27"/>
  <c r="C189" i="27"/>
  <c r="O188" i="27"/>
  <c r="L188" i="27"/>
  <c r="I188" i="27"/>
  <c r="F188" i="27"/>
  <c r="C188" i="27" s="1"/>
  <c r="N187" i="27"/>
  <c r="M187" i="27"/>
  <c r="O187" i="27" s="1"/>
  <c r="K187" i="27"/>
  <c r="J187" i="27"/>
  <c r="L187" i="27" s="1"/>
  <c r="I187" i="27"/>
  <c r="H187" i="27"/>
  <c r="G187" i="27"/>
  <c r="E187" i="27"/>
  <c r="F187" i="27" s="1"/>
  <c r="D187" i="27"/>
  <c r="O186" i="27"/>
  <c r="L186" i="27"/>
  <c r="I186" i="27"/>
  <c r="F186" i="27"/>
  <c r="C186" i="27"/>
  <c r="O185" i="27"/>
  <c r="L185" i="27"/>
  <c r="I185" i="27"/>
  <c r="F185" i="27"/>
  <c r="C185" i="27"/>
  <c r="O184" i="27"/>
  <c r="L184" i="27"/>
  <c r="I184" i="27"/>
  <c r="F184" i="27"/>
  <c r="C184" i="27" s="1"/>
  <c r="O183" i="27"/>
  <c r="L183" i="27"/>
  <c r="I183" i="27"/>
  <c r="C183" i="27" s="1"/>
  <c r="F183" i="27"/>
  <c r="N182" i="27"/>
  <c r="O182" i="27" s="1"/>
  <c r="M182" i="27"/>
  <c r="K182" i="27"/>
  <c r="J182" i="27"/>
  <c r="L182" i="27" s="1"/>
  <c r="H182" i="27"/>
  <c r="G182" i="27"/>
  <c r="I182" i="27" s="1"/>
  <c r="F182" i="27"/>
  <c r="C182" i="27" s="1"/>
  <c r="E182" i="27"/>
  <c r="D182" i="27"/>
  <c r="O181" i="27"/>
  <c r="L181" i="27"/>
  <c r="I181" i="27"/>
  <c r="F181" i="27"/>
  <c r="C181" i="27"/>
  <c r="O180" i="27"/>
  <c r="L180" i="27"/>
  <c r="I180" i="27"/>
  <c r="F180" i="27"/>
  <c r="C180" i="27" s="1"/>
  <c r="O179" i="27"/>
  <c r="L179" i="27"/>
  <c r="I179" i="27"/>
  <c r="F179" i="27"/>
  <c r="C179" i="27"/>
  <c r="N178" i="27"/>
  <c r="M178" i="27"/>
  <c r="O178" i="27" s="1"/>
  <c r="K178" i="27"/>
  <c r="J178" i="27"/>
  <c r="L178" i="27" s="1"/>
  <c r="H178" i="27"/>
  <c r="G178" i="27"/>
  <c r="I178" i="27" s="1"/>
  <c r="E178" i="27"/>
  <c r="D178" i="27"/>
  <c r="F178" i="27" s="1"/>
  <c r="C178" i="27" s="1"/>
  <c r="N177" i="27"/>
  <c r="M177" i="27"/>
  <c r="O177" i="27" s="1"/>
  <c r="K177" i="27"/>
  <c r="J177" i="27"/>
  <c r="L177" i="27" s="1"/>
  <c r="H177" i="27"/>
  <c r="G177" i="27"/>
  <c r="I177" i="27" s="1"/>
  <c r="E177" i="27"/>
  <c r="D177" i="27"/>
  <c r="F177" i="27" s="1"/>
  <c r="C177" i="27" s="1"/>
  <c r="N176" i="27"/>
  <c r="M176" i="27"/>
  <c r="O176" i="27" s="1"/>
  <c r="K176" i="27"/>
  <c r="J176" i="27"/>
  <c r="L176" i="27" s="1"/>
  <c r="H176" i="27"/>
  <c r="G176" i="27"/>
  <c r="I176" i="27" s="1"/>
  <c r="E176" i="27"/>
  <c r="D176" i="27"/>
  <c r="F176" i="27" s="1"/>
  <c r="C176" i="27" s="1"/>
  <c r="O175" i="27"/>
  <c r="L175" i="27"/>
  <c r="I175" i="27"/>
  <c r="F175" i="27"/>
  <c r="C175" i="27" s="1"/>
  <c r="O174" i="27"/>
  <c r="L174" i="27"/>
  <c r="I174" i="27"/>
  <c r="F174" i="27"/>
  <c r="C174" i="27"/>
  <c r="O173" i="27"/>
  <c r="L173" i="27"/>
  <c r="I173" i="27"/>
  <c r="F173" i="27"/>
  <c r="C173" i="27" s="1"/>
  <c r="O172" i="27"/>
  <c r="L172" i="27"/>
  <c r="I172" i="27"/>
  <c r="C172" i="27" s="1"/>
  <c r="F172" i="27"/>
  <c r="O171" i="27"/>
  <c r="L171" i="27"/>
  <c r="I171" i="27"/>
  <c r="F171" i="27"/>
  <c r="C171" i="27"/>
  <c r="O170" i="27"/>
  <c r="L170" i="27"/>
  <c r="I170" i="27"/>
  <c r="F170" i="27"/>
  <c r="C170" i="27" s="1"/>
  <c r="N169" i="27"/>
  <c r="M169" i="27"/>
  <c r="O169" i="27" s="1"/>
  <c r="L169" i="27"/>
  <c r="K169" i="27"/>
  <c r="J169" i="27"/>
  <c r="H169" i="27"/>
  <c r="G169" i="27"/>
  <c r="I169" i="27" s="1"/>
  <c r="E169" i="27"/>
  <c r="D169" i="27"/>
  <c r="F169" i="27" s="1"/>
  <c r="N168" i="27"/>
  <c r="M168" i="27"/>
  <c r="O168" i="27" s="1"/>
  <c r="K168" i="27"/>
  <c r="J168" i="27"/>
  <c r="L168" i="27" s="1"/>
  <c r="I168" i="27"/>
  <c r="H168" i="27"/>
  <c r="G168" i="27"/>
  <c r="E168" i="27"/>
  <c r="D168" i="27"/>
  <c r="F168" i="27" s="1"/>
  <c r="C168" i="27" s="1"/>
  <c r="O167" i="27"/>
  <c r="L167" i="27"/>
  <c r="I167" i="27"/>
  <c r="F167" i="27"/>
  <c r="C167" i="27"/>
  <c r="O166" i="27"/>
  <c r="L166" i="27"/>
  <c r="I166" i="27"/>
  <c r="F166" i="27"/>
  <c r="C166" i="27"/>
  <c r="O165" i="27"/>
  <c r="L165" i="27"/>
  <c r="I165" i="27"/>
  <c r="F165" i="27"/>
  <c r="C165" i="27" s="1"/>
  <c r="O164" i="27"/>
  <c r="L164" i="27"/>
  <c r="I164" i="27"/>
  <c r="F164" i="27"/>
  <c r="C164" i="27" s="1"/>
  <c r="N163" i="27"/>
  <c r="M163" i="27"/>
  <c r="O163" i="27" s="1"/>
  <c r="K163" i="27"/>
  <c r="J163" i="27"/>
  <c r="L163" i="27" s="1"/>
  <c r="H163" i="27"/>
  <c r="G163" i="27"/>
  <c r="I163" i="27" s="1"/>
  <c r="E163" i="27"/>
  <c r="F163" i="27" s="1"/>
  <c r="D163" i="27"/>
  <c r="O162" i="27"/>
  <c r="L162" i="27"/>
  <c r="I162" i="27"/>
  <c r="D162" i="27"/>
  <c r="F162" i="27" s="1"/>
  <c r="C162" i="27" s="1"/>
  <c r="O161" i="27"/>
  <c r="L161" i="27"/>
  <c r="I161" i="27"/>
  <c r="F161" i="27"/>
  <c r="C161" i="27" s="1"/>
  <c r="O160" i="27"/>
  <c r="L160" i="27"/>
  <c r="I160" i="27"/>
  <c r="C160" i="27" s="1"/>
  <c r="F160" i="27"/>
  <c r="O159" i="27"/>
  <c r="L159" i="27"/>
  <c r="I159" i="27"/>
  <c r="F159" i="27"/>
  <c r="C159" i="27"/>
  <c r="O158" i="27"/>
  <c r="L158" i="27"/>
  <c r="I158" i="27"/>
  <c r="F158" i="27"/>
  <c r="C158" i="27" s="1"/>
  <c r="O157" i="27"/>
  <c r="J157" i="27"/>
  <c r="L157" i="27" s="1"/>
  <c r="I157" i="27"/>
  <c r="F157" i="27"/>
  <c r="O156" i="27"/>
  <c r="L156" i="27"/>
  <c r="I156" i="27"/>
  <c r="F156" i="27"/>
  <c r="C156" i="27"/>
  <c r="O155" i="27"/>
  <c r="L155" i="27"/>
  <c r="I155" i="27"/>
  <c r="F155" i="27"/>
  <c r="C155" i="27" s="1"/>
  <c r="N154" i="27"/>
  <c r="M154" i="27"/>
  <c r="O154" i="27" s="1"/>
  <c r="L154" i="27"/>
  <c r="K154" i="27"/>
  <c r="J154" i="27"/>
  <c r="I154" i="27"/>
  <c r="H154" i="27"/>
  <c r="G154" i="27"/>
  <c r="E154" i="27"/>
  <c r="D154" i="27"/>
  <c r="F154" i="27" s="1"/>
  <c r="C154" i="27" s="1"/>
  <c r="O153" i="27"/>
  <c r="L153" i="27"/>
  <c r="I153" i="27"/>
  <c r="C153" i="27" s="1"/>
  <c r="F153" i="27"/>
  <c r="O152" i="27"/>
  <c r="L152" i="27"/>
  <c r="I152" i="27"/>
  <c r="F152" i="27"/>
  <c r="C152" i="27"/>
  <c r="O151" i="27"/>
  <c r="L151" i="27"/>
  <c r="I151" i="27"/>
  <c r="F151" i="27"/>
  <c r="C151" i="27" s="1"/>
  <c r="O150" i="27"/>
  <c r="L150" i="27"/>
  <c r="I150" i="27"/>
  <c r="F150" i="27"/>
  <c r="C150" i="27" s="1"/>
  <c r="O149" i="27"/>
  <c r="L149" i="27"/>
  <c r="I149" i="27"/>
  <c r="C149" i="27" s="1"/>
  <c r="F149" i="27"/>
  <c r="O148" i="27"/>
  <c r="L148" i="27"/>
  <c r="I148" i="27"/>
  <c r="F148" i="27"/>
  <c r="C148" i="27"/>
  <c r="O147" i="27"/>
  <c r="N147" i="27"/>
  <c r="M147" i="27"/>
  <c r="L147" i="27"/>
  <c r="K147" i="27"/>
  <c r="J147" i="27"/>
  <c r="H147" i="27"/>
  <c r="G147" i="27"/>
  <c r="I147" i="27" s="1"/>
  <c r="E147" i="27"/>
  <c r="D147" i="27"/>
  <c r="F147" i="27" s="1"/>
  <c r="O146" i="27"/>
  <c r="L146" i="27"/>
  <c r="I146" i="27"/>
  <c r="F146" i="27"/>
  <c r="C146" i="27" s="1"/>
  <c r="O145" i="27"/>
  <c r="L145" i="27"/>
  <c r="I145" i="27"/>
  <c r="C145" i="27" s="1"/>
  <c r="F145" i="27"/>
  <c r="O144" i="27"/>
  <c r="N144" i="27"/>
  <c r="M144" i="27"/>
  <c r="K144" i="27"/>
  <c r="J144" i="27"/>
  <c r="L144" i="27" s="1"/>
  <c r="H144" i="27"/>
  <c r="G144" i="27"/>
  <c r="I144" i="27" s="1"/>
  <c r="C144" i="27" s="1"/>
  <c r="F144" i="27"/>
  <c r="E144" i="27"/>
  <c r="D144" i="27"/>
  <c r="O143" i="27"/>
  <c r="L143" i="27"/>
  <c r="I143" i="27"/>
  <c r="F143" i="27"/>
  <c r="C143" i="27" s="1"/>
  <c r="O142" i="27"/>
  <c r="L142" i="27"/>
  <c r="I142" i="27"/>
  <c r="F142" i="27"/>
  <c r="C142" i="27" s="1"/>
  <c r="O141" i="27"/>
  <c r="L141" i="27"/>
  <c r="I141" i="27"/>
  <c r="C141" i="27" s="1"/>
  <c r="F141" i="27"/>
  <c r="O140" i="27"/>
  <c r="L140" i="27"/>
  <c r="I140" i="27"/>
  <c r="F140" i="27"/>
  <c r="C140" i="27"/>
  <c r="N139" i="27"/>
  <c r="M139" i="27"/>
  <c r="O139" i="27" s="1"/>
  <c r="L139" i="27"/>
  <c r="K139" i="27"/>
  <c r="J139" i="27"/>
  <c r="H139" i="27"/>
  <c r="G139" i="27"/>
  <c r="I139" i="27" s="1"/>
  <c r="E139" i="27"/>
  <c r="D139" i="27"/>
  <c r="F139" i="27" s="1"/>
  <c r="O138" i="27"/>
  <c r="L138" i="27"/>
  <c r="I138" i="27"/>
  <c r="F138" i="27"/>
  <c r="C138" i="27" s="1"/>
  <c r="O137" i="27"/>
  <c r="L137" i="27"/>
  <c r="I137" i="27"/>
  <c r="F137" i="27"/>
  <c r="C137" i="27" s="1"/>
  <c r="O136" i="27"/>
  <c r="L136" i="27"/>
  <c r="I136" i="27"/>
  <c r="D136" i="27"/>
  <c r="F136" i="27" s="1"/>
  <c r="C136" i="27" s="1"/>
  <c r="O135" i="27"/>
  <c r="L135" i="27"/>
  <c r="I135" i="27"/>
  <c r="F135" i="27"/>
  <c r="C135" i="27" s="1"/>
  <c r="N134" i="27"/>
  <c r="M134" i="27"/>
  <c r="O134" i="27" s="1"/>
  <c r="K134" i="27"/>
  <c r="J134" i="27"/>
  <c r="L134" i="27" s="1"/>
  <c r="I134" i="27"/>
  <c r="H134" i="27"/>
  <c r="G134" i="27"/>
  <c r="E134" i="27"/>
  <c r="D134" i="27"/>
  <c r="F134" i="27" s="1"/>
  <c r="N133" i="27"/>
  <c r="M133" i="27"/>
  <c r="O133" i="27" s="1"/>
  <c r="K133" i="27"/>
  <c r="J133" i="27"/>
  <c r="L133" i="27" s="1"/>
  <c r="H133" i="27"/>
  <c r="G133" i="27"/>
  <c r="I133" i="27" s="1"/>
  <c r="C133" i="27" s="1"/>
  <c r="F133" i="27"/>
  <c r="E133" i="27"/>
  <c r="D133" i="27"/>
  <c r="O132" i="27"/>
  <c r="L132" i="27"/>
  <c r="I132" i="27"/>
  <c r="F132" i="27"/>
  <c r="C132" i="27" s="1"/>
  <c r="N131" i="27"/>
  <c r="M131" i="27"/>
  <c r="O131" i="27" s="1"/>
  <c r="L131" i="27"/>
  <c r="K131" i="27"/>
  <c r="J131" i="27"/>
  <c r="H131" i="27"/>
  <c r="I131" i="27" s="1"/>
  <c r="G131" i="27"/>
  <c r="E131" i="27"/>
  <c r="D131" i="27"/>
  <c r="F131" i="27" s="1"/>
  <c r="O130" i="27"/>
  <c r="J130" i="27"/>
  <c r="L130" i="27" s="1"/>
  <c r="C130" i="27" s="1"/>
  <c r="I130" i="27"/>
  <c r="F130" i="27"/>
  <c r="O129" i="27"/>
  <c r="L129" i="27"/>
  <c r="I129" i="27"/>
  <c r="F129" i="27"/>
  <c r="C129" i="27" s="1"/>
  <c r="O128" i="27"/>
  <c r="L128" i="27"/>
  <c r="I128" i="27"/>
  <c r="F128" i="27"/>
  <c r="C128" i="27" s="1"/>
  <c r="O127" i="27"/>
  <c r="L127" i="27"/>
  <c r="I127" i="27"/>
  <c r="F127" i="27"/>
  <c r="C127" i="27" s="1"/>
  <c r="O126" i="27"/>
  <c r="L126" i="27"/>
  <c r="I126" i="27"/>
  <c r="F126" i="27"/>
  <c r="C126" i="27"/>
  <c r="O125" i="27"/>
  <c r="N125" i="27"/>
  <c r="M125" i="27"/>
  <c r="L125" i="27"/>
  <c r="K125" i="27"/>
  <c r="J125" i="27"/>
  <c r="H125" i="27"/>
  <c r="G125" i="27"/>
  <c r="I125" i="27" s="1"/>
  <c r="E125" i="27"/>
  <c r="D125" i="27"/>
  <c r="F125" i="27" s="1"/>
  <c r="C125" i="27" s="1"/>
  <c r="O124" i="27"/>
  <c r="L124" i="27"/>
  <c r="I124" i="27"/>
  <c r="F124" i="27"/>
  <c r="C124" i="27" s="1"/>
  <c r="O123" i="27"/>
  <c r="L123" i="27"/>
  <c r="C123" i="27" s="1"/>
  <c r="I123" i="27"/>
  <c r="F123" i="27"/>
  <c r="O122" i="27"/>
  <c r="L122" i="27"/>
  <c r="I122" i="27"/>
  <c r="F122" i="27"/>
  <c r="C122" i="27"/>
  <c r="O121" i="27"/>
  <c r="L121" i="27"/>
  <c r="I121" i="27"/>
  <c r="F121" i="27"/>
  <c r="C121" i="27" s="1"/>
  <c r="O120" i="27"/>
  <c r="L120" i="27"/>
  <c r="I120" i="27"/>
  <c r="F120" i="27"/>
  <c r="C120" i="27" s="1"/>
  <c r="N119" i="27"/>
  <c r="O119" i="27" s="1"/>
  <c r="M119" i="27"/>
  <c r="K119" i="27"/>
  <c r="J119" i="27"/>
  <c r="L119" i="27" s="1"/>
  <c r="H119" i="27"/>
  <c r="G119" i="27"/>
  <c r="I119" i="27" s="1"/>
  <c r="F119" i="27"/>
  <c r="E119" i="27"/>
  <c r="D119" i="27"/>
  <c r="O118" i="27"/>
  <c r="L118" i="27"/>
  <c r="I118" i="27"/>
  <c r="F118" i="27"/>
  <c r="C118" i="27"/>
  <c r="O117" i="27"/>
  <c r="L117" i="27"/>
  <c r="I117" i="27"/>
  <c r="F117" i="27"/>
  <c r="C117" i="27" s="1"/>
  <c r="O116" i="27"/>
  <c r="L116" i="27"/>
  <c r="I116" i="27"/>
  <c r="C116" i="27" s="1"/>
  <c r="F116" i="27"/>
  <c r="N115" i="27"/>
  <c r="O115" i="27" s="1"/>
  <c r="M115" i="27"/>
  <c r="K115" i="27"/>
  <c r="J115" i="27"/>
  <c r="L115" i="27" s="1"/>
  <c r="H115" i="27"/>
  <c r="G115" i="27"/>
  <c r="I115" i="27" s="1"/>
  <c r="E115" i="27"/>
  <c r="D115" i="27"/>
  <c r="F115" i="27" s="1"/>
  <c r="O114" i="27"/>
  <c r="L114" i="27"/>
  <c r="I114" i="27"/>
  <c r="F114" i="27"/>
  <c r="C114" i="27"/>
  <c r="O113" i="27"/>
  <c r="L113" i="27"/>
  <c r="I113" i="27"/>
  <c r="F113" i="27"/>
  <c r="C113" i="27" s="1"/>
  <c r="O112" i="27"/>
  <c r="L112" i="27"/>
  <c r="I112" i="27"/>
  <c r="F112" i="27"/>
  <c r="C112" i="27"/>
  <c r="O111" i="27"/>
  <c r="L111" i="27"/>
  <c r="I111" i="27"/>
  <c r="F111" i="27"/>
  <c r="C111" i="27" s="1"/>
  <c r="O110" i="27"/>
  <c r="L110" i="27"/>
  <c r="I110" i="27"/>
  <c r="F110" i="27"/>
  <c r="C110" i="27"/>
  <c r="O109" i="27"/>
  <c r="L109" i="27"/>
  <c r="I109" i="27"/>
  <c r="F109" i="27"/>
  <c r="C109" i="27" s="1"/>
  <c r="O108" i="27"/>
  <c r="L108" i="27"/>
  <c r="I108" i="27"/>
  <c r="C108" i="27" s="1"/>
  <c r="F108" i="27"/>
  <c r="O107" i="27"/>
  <c r="L107" i="27"/>
  <c r="I107" i="27"/>
  <c r="F107" i="27"/>
  <c r="C107" i="27" s="1"/>
  <c r="N106" i="27"/>
  <c r="M106" i="27"/>
  <c r="O106" i="27" s="1"/>
  <c r="K106" i="27"/>
  <c r="L106" i="27" s="1"/>
  <c r="J106" i="27"/>
  <c r="H106" i="27"/>
  <c r="G106" i="27"/>
  <c r="I106" i="27" s="1"/>
  <c r="E106" i="27"/>
  <c r="D106" i="27"/>
  <c r="F106" i="27" s="1"/>
  <c r="O105" i="27"/>
  <c r="L105" i="27"/>
  <c r="I105" i="27"/>
  <c r="F105" i="27"/>
  <c r="C105" i="27" s="1"/>
  <c r="O104" i="27"/>
  <c r="L104" i="27"/>
  <c r="I104" i="27"/>
  <c r="C104" i="27" s="1"/>
  <c r="F104" i="27"/>
  <c r="O103" i="27"/>
  <c r="L103" i="27"/>
  <c r="I103" i="27"/>
  <c r="F103" i="27"/>
  <c r="C103" i="27"/>
  <c r="O102" i="27"/>
  <c r="L102" i="27"/>
  <c r="I102" i="27"/>
  <c r="F102" i="27"/>
  <c r="C102" i="27" s="1"/>
  <c r="O101" i="27"/>
  <c r="L101" i="27"/>
  <c r="I101" i="27"/>
  <c r="F101" i="27"/>
  <c r="C101" i="27" s="1"/>
  <c r="O100" i="27"/>
  <c r="L100" i="27"/>
  <c r="I100" i="27"/>
  <c r="C100" i="27" s="1"/>
  <c r="F100" i="27"/>
  <c r="O99" i="27"/>
  <c r="L99" i="27"/>
  <c r="I99" i="27"/>
  <c r="F99" i="27"/>
  <c r="C99" i="27"/>
  <c r="O98" i="27"/>
  <c r="N98" i="27"/>
  <c r="M98" i="27"/>
  <c r="K98" i="27"/>
  <c r="L98" i="27" s="1"/>
  <c r="J98" i="27"/>
  <c r="H98" i="27"/>
  <c r="G98" i="27"/>
  <c r="I98" i="27" s="1"/>
  <c r="E98" i="27"/>
  <c r="D98" i="27"/>
  <c r="F98" i="27" s="1"/>
  <c r="O97" i="27"/>
  <c r="L97" i="27"/>
  <c r="I97" i="27"/>
  <c r="F97" i="27"/>
  <c r="C97" i="27" s="1"/>
  <c r="O96" i="27"/>
  <c r="L96" i="27"/>
  <c r="I96" i="27"/>
  <c r="C96" i="27" s="1"/>
  <c r="F96" i="27"/>
  <c r="O95" i="27"/>
  <c r="L95" i="27"/>
  <c r="I95" i="27"/>
  <c r="D95" i="27"/>
  <c r="F95" i="27" s="1"/>
  <c r="C95" i="27" s="1"/>
  <c r="O94" i="27"/>
  <c r="L94" i="27"/>
  <c r="I94" i="27"/>
  <c r="F94" i="27"/>
  <c r="C94" i="27" s="1"/>
  <c r="O93" i="27"/>
  <c r="L93" i="27"/>
  <c r="I93" i="27"/>
  <c r="D93" i="27"/>
  <c r="F93" i="27" s="1"/>
  <c r="C93" i="27" s="1"/>
  <c r="O92" i="27"/>
  <c r="N92" i="27"/>
  <c r="M92" i="27"/>
  <c r="K92" i="27"/>
  <c r="L92" i="27" s="1"/>
  <c r="J92" i="27"/>
  <c r="H92" i="27"/>
  <c r="G92" i="27"/>
  <c r="I92" i="27" s="1"/>
  <c r="E92" i="27"/>
  <c r="D92" i="27"/>
  <c r="F92" i="27" s="1"/>
  <c r="O91" i="27"/>
  <c r="L91" i="27"/>
  <c r="I91" i="27"/>
  <c r="F91" i="27"/>
  <c r="C91" i="27" s="1"/>
  <c r="O90" i="27"/>
  <c r="L90" i="27"/>
  <c r="I90" i="27"/>
  <c r="C90" i="27" s="1"/>
  <c r="F90" i="27"/>
  <c r="O89" i="27"/>
  <c r="L89" i="27"/>
  <c r="C89" i="27" s="1"/>
  <c r="I89" i="27"/>
  <c r="F89" i="27"/>
  <c r="O88" i="27"/>
  <c r="L88" i="27"/>
  <c r="I88" i="27"/>
  <c r="F88" i="27"/>
  <c r="C88" i="27"/>
  <c r="N87" i="27"/>
  <c r="M87" i="27"/>
  <c r="O87" i="27" s="1"/>
  <c r="L87" i="27"/>
  <c r="K87" i="27"/>
  <c r="J87" i="27"/>
  <c r="H87" i="27"/>
  <c r="H86" i="27" s="1"/>
  <c r="I86" i="27" s="1"/>
  <c r="G87" i="27"/>
  <c r="E87" i="27"/>
  <c r="D87" i="27"/>
  <c r="D86" i="27" s="1"/>
  <c r="F86" i="27" s="1"/>
  <c r="C86" i="27" s="1"/>
  <c r="N86" i="27"/>
  <c r="M86" i="27"/>
  <c r="O86" i="27" s="1"/>
  <c r="K86" i="27"/>
  <c r="J86" i="27"/>
  <c r="L86" i="27" s="1"/>
  <c r="G86" i="27"/>
  <c r="E86" i="27"/>
  <c r="O85" i="27"/>
  <c r="L85" i="27"/>
  <c r="C85" i="27" s="1"/>
  <c r="I85" i="27"/>
  <c r="F85" i="27"/>
  <c r="O84" i="27"/>
  <c r="L84" i="27"/>
  <c r="I84" i="27"/>
  <c r="F84" i="27"/>
  <c r="C84" i="27"/>
  <c r="N83" i="27"/>
  <c r="M83" i="27"/>
  <c r="O83" i="27" s="1"/>
  <c r="L83" i="27"/>
  <c r="K83" i="27"/>
  <c r="J83" i="27"/>
  <c r="H83" i="27"/>
  <c r="I83" i="27" s="1"/>
  <c r="G83" i="27"/>
  <c r="E83" i="27"/>
  <c r="D83" i="27"/>
  <c r="F83" i="27" s="1"/>
  <c r="C83" i="27" s="1"/>
  <c r="O82" i="27"/>
  <c r="L82" i="27"/>
  <c r="I82" i="27"/>
  <c r="C82" i="27" s="1"/>
  <c r="F82" i="27"/>
  <c r="O81" i="27"/>
  <c r="L81" i="27"/>
  <c r="C81" i="27" s="1"/>
  <c r="I81" i="27"/>
  <c r="F81" i="27"/>
  <c r="O80" i="27"/>
  <c r="N80" i="27"/>
  <c r="M80" i="27"/>
  <c r="K80" i="27"/>
  <c r="K79" i="27" s="1"/>
  <c r="J80" i="27"/>
  <c r="H80" i="27"/>
  <c r="G80" i="27"/>
  <c r="G79" i="27" s="1"/>
  <c r="E80" i="27"/>
  <c r="D80" i="27"/>
  <c r="F80" i="27" s="1"/>
  <c r="N79" i="27"/>
  <c r="M79" i="27"/>
  <c r="O79" i="27" s="1"/>
  <c r="J79" i="27"/>
  <c r="H79" i="27"/>
  <c r="H78" i="27" s="1"/>
  <c r="E79" i="27"/>
  <c r="D79" i="27"/>
  <c r="N78" i="27"/>
  <c r="M78" i="27"/>
  <c r="O78" i="27" s="1"/>
  <c r="J78" i="27"/>
  <c r="E78" i="27"/>
  <c r="O77" i="27"/>
  <c r="L77" i="27"/>
  <c r="I77" i="27"/>
  <c r="D77" i="27"/>
  <c r="F77" i="27" s="1"/>
  <c r="C77" i="27" s="1"/>
  <c r="O76" i="27"/>
  <c r="L76" i="27"/>
  <c r="I76" i="27"/>
  <c r="F76" i="27"/>
  <c r="C76" i="27" s="1"/>
  <c r="O75" i="27"/>
  <c r="L75" i="27"/>
  <c r="I75" i="27"/>
  <c r="F75" i="27"/>
  <c r="C75" i="27" s="1"/>
  <c r="O74" i="27"/>
  <c r="L74" i="27"/>
  <c r="C74" i="27" s="1"/>
  <c r="I74" i="27"/>
  <c r="F74" i="27"/>
  <c r="O73" i="27"/>
  <c r="L73" i="27"/>
  <c r="G73" i="27"/>
  <c r="I73" i="27" s="1"/>
  <c r="F73" i="27"/>
  <c r="D73" i="27"/>
  <c r="N72" i="27"/>
  <c r="O72" i="27" s="1"/>
  <c r="M72" i="27"/>
  <c r="K72" i="27"/>
  <c r="J72" i="27"/>
  <c r="L72" i="27" s="1"/>
  <c r="H72" i="27"/>
  <c r="G72" i="27"/>
  <c r="I72" i="27" s="1"/>
  <c r="F72" i="27"/>
  <c r="E72" i="27"/>
  <c r="D72" i="27"/>
  <c r="O71" i="27"/>
  <c r="L71" i="27"/>
  <c r="G71" i="27"/>
  <c r="I71" i="27" s="1"/>
  <c r="F71" i="27"/>
  <c r="D71" i="27"/>
  <c r="N70" i="27"/>
  <c r="O70" i="27" s="1"/>
  <c r="M70" i="27"/>
  <c r="K70" i="27"/>
  <c r="J70" i="27"/>
  <c r="L70" i="27" s="1"/>
  <c r="H70" i="27"/>
  <c r="G70" i="27"/>
  <c r="I70" i="27" s="1"/>
  <c r="C70" i="27" s="1"/>
  <c r="F70" i="27"/>
  <c r="E70" i="27"/>
  <c r="D70" i="27"/>
  <c r="O69" i="27"/>
  <c r="L69" i="27"/>
  <c r="I69" i="27"/>
  <c r="F69" i="27"/>
  <c r="C69" i="27" s="1"/>
  <c r="O68" i="27"/>
  <c r="L68" i="27"/>
  <c r="G68" i="27"/>
  <c r="I68" i="27" s="1"/>
  <c r="D68" i="27"/>
  <c r="F68" i="27" s="1"/>
  <c r="O67" i="27"/>
  <c r="L67" i="27"/>
  <c r="I67" i="27"/>
  <c r="D67" i="27"/>
  <c r="F67" i="27" s="1"/>
  <c r="C67" i="27" s="1"/>
  <c r="O66" i="27"/>
  <c r="L66" i="27"/>
  <c r="I66" i="27"/>
  <c r="F66" i="27"/>
  <c r="C66" i="27"/>
  <c r="O65" i="27"/>
  <c r="L65" i="27"/>
  <c r="I65" i="27"/>
  <c r="F65" i="27"/>
  <c r="C65" i="27"/>
  <c r="O64" i="27"/>
  <c r="L64" i="27"/>
  <c r="I64" i="27"/>
  <c r="F64" i="27"/>
  <c r="C64" i="27" s="1"/>
  <c r="O63" i="27"/>
  <c r="L63" i="27"/>
  <c r="I63" i="27"/>
  <c r="F63" i="27"/>
  <c r="C63" i="27" s="1"/>
  <c r="O62" i="27"/>
  <c r="L62" i="27"/>
  <c r="I62" i="27"/>
  <c r="F62" i="27"/>
  <c r="C62" i="27" s="1"/>
  <c r="N61" i="27"/>
  <c r="M61" i="27"/>
  <c r="O61" i="27" s="1"/>
  <c r="K61" i="27"/>
  <c r="J61" i="27"/>
  <c r="L61" i="27" s="1"/>
  <c r="H61" i="27"/>
  <c r="G61" i="27"/>
  <c r="I61" i="27" s="1"/>
  <c r="E61" i="27"/>
  <c r="D61" i="27"/>
  <c r="F61" i="27" s="1"/>
  <c r="C61" i="27" s="1"/>
  <c r="O60" i="27"/>
  <c r="L60" i="27"/>
  <c r="G60" i="27"/>
  <c r="I60" i="27" s="1"/>
  <c r="D60" i="27"/>
  <c r="F60" i="27" s="1"/>
  <c r="C60" i="27" s="1"/>
  <c r="O59" i="27"/>
  <c r="L59" i="27"/>
  <c r="I59" i="27"/>
  <c r="F59" i="27"/>
  <c r="C59" i="27"/>
  <c r="N58" i="27"/>
  <c r="O58" i="27" s="1"/>
  <c r="M58" i="27"/>
  <c r="L58" i="27"/>
  <c r="K58" i="27"/>
  <c r="J58" i="27"/>
  <c r="H58" i="27"/>
  <c r="G58" i="27"/>
  <c r="I58" i="27" s="1"/>
  <c r="E58" i="27"/>
  <c r="D58" i="27"/>
  <c r="F58" i="27" s="1"/>
  <c r="N57" i="27"/>
  <c r="M57" i="27"/>
  <c r="O57" i="27" s="1"/>
  <c r="K57" i="27"/>
  <c r="L57" i="27" s="1"/>
  <c r="J57" i="27"/>
  <c r="H57" i="27"/>
  <c r="G57" i="27"/>
  <c r="G56" i="27" s="1"/>
  <c r="E57" i="27"/>
  <c r="D57" i="27"/>
  <c r="F57" i="27" s="1"/>
  <c r="N56" i="27"/>
  <c r="M56" i="27"/>
  <c r="O56" i="27" s="1"/>
  <c r="K56" i="27"/>
  <c r="J56" i="27"/>
  <c r="L56" i="27" s="1"/>
  <c r="H56" i="27"/>
  <c r="H55" i="27" s="1"/>
  <c r="E56" i="27"/>
  <c r="D56" i="27"/>
  <c r="N55" i="27"/>
  <c r="M55" i="27"/>
  <c r="J55" i="27"/>
  <c r="E55" i="27"/>
  <c r="O50" i="27"/>
  <c r="C50" i="27"/>
  <c r="O49" i="27"/>
  <c r="C49" i="27"/>
  <c r="N48" i="27"/>
  <c r="M48" i="27"/>
  <c r="L47" i="27"/>
  <c r="I47" i="27"/>
  <c r="F47" i="27"/>
  <c r="C47" i="27"/>
  <c r="K46" i="27"/>
  <c r="J46" i="27"/>
  <c r="L46" i="27" s="1"/>
  <c r="I46" i="27"/>
  <c r="H46" i="27"/>
  <c r="G46" i="27"/>
  <c r="E46" i="27"/>
  <c r="F46" i="27" s="1"/>
  <c r="C46" i="27" s="1"/>
  <c r="D46" i="27"/>
  <c r="F45" i="27"/>
  <c r="C45" i="27"/>
  <c r="L44" i="27"/>
  <c r="C44" i="27"/>
  <c r="L43" i="27"/>
  <c r="C43" i="27"/>
  <c r="L42" i="27"/>
  <c r="C42" i="27"/>
  <c r="L41" i="27"/>
  <c r="C41" i="27"/>
  <c r="K40" i="27"/>
  <c r="J40" i="27"/>
  <c r="L40" i="27" s="1"/>
  <c r="C40" i="27" s="1"/>
  <c r="L39" i="27"/>
  <c r="C39" i="27"/>
  <c r="L38" i="27"/>
  <c r="C38" i="27"/>
  <c r="K37" i="27"/>
  <c r="J37" i="27"/>
  <c r="L37" i="27" s="1"/>
  <c r="C37" i="27" s="1"/>
  <c r="L36" i="27"/>
  <c r="C36" i="27"/>
  <c r="K35" i="27"/>
  <c r="L35" i="27" s="1"/>
  <c r="C35" i="27" s="1"/>
  <c r="J35" i="27"/>
  <c r="L34" i="27"/>
  <c r="C34" i="27"/>
  <c r="L33" i="27"/>
  <c r="C33" i="27"/>
  <c r="L32" i="27"/>
  <c r="C32" i="27"/>
  <c r="K31" i="27"/>
  <c r="J31" i="27"/>
  <c r="L31" i="27" s="1"/>
  <c r="C31" i="27" s="1"/>
  <c r="K30" i="27"/>
  <c r="J30" i="27"/>
  <c r="L30" i="27" s="1"/>
  <c r="C30" i="27" s="1"/>
  <c r="F29" i="27"/>
  <c r="C29" i="27"/>
  <c r="G28" i="27"/>
  <c r="I28" i="27" s="1"/>
  <c r="D28" i="27"/>
  <c r="F28" i="27" s="1"/>
  <c r="O27" i="27"/>
  <c r="L27" i="27"/>
  <c r="I27" i="27"/>
  <c r="F27" i="27"/>
  <c r="C27" i="27"/>
  <c r="O26" i="27"/>
  <c r="L26" i="27"/>
  <c r="I26" i="27"/>
  <c r="F26" i="27"/>
  <c r="C26" i="27" s="1"/>
  <c r="N25" i="27"/>
  <c r="N290" i="27" s="1"/>
  <c r="N289" i="27" s="1"/>
  <c r="M25" i="27"/>
  <c r="M24" i="27" s="1"/>
  <c r="O24" i="27" s="1"/>
  <c r="K25" i="27"/>
  <c r="K290" i="27" s="1"/>
  <c r="K289" i="27" s="1"/>
  <c r="J25" i="27"/>
  <c r="J290" i="27" s="1"/>
  <c r="I25" i="27"/>
  <c r="H25" i="27"/>
  <c r="H290" i="27" s="1"/>
  <c r="H289" i="27" s="1"/>
  <c r="G25" i="27"/>
  <c r="G290" i="27" s="1"/>
  <c r="E25" i="27"/>
  <c r="E24" i="27" s="1"/>
  <c r="F24" i="27" s="1"/>
  <c r="D25" i="27"/>
  <c r="D290" i="27" s="1"/>
  <c r="N24" i="27"/>
  <c r="J24" i="27"/>
  <c r="H24" i="27"/>
  <c r="G24" i="27"/>
  <c r="I24" i="27" s="1"/>
  <c r="D24" i="27"/>
  <c r="D289" i="27" l="1"/>
  <c r="L24" i="28"/>
  <c r="C24" i="28" s="1"/>
  <c r="G289" i="28"/>
  <c r="I289" i="28" s="1"/>
  <c r="I290" i="28"/>
  <c r="L293" i="28"/>
  <c r="K292" i="28"/>
  <c r="L292" i="28" s="1"/>
  <c r="O56" i="28"/>
  <c r="J53" i="29"/>
  <c r="H288" i="29"/>
  <c r="H53" i="29"/>
  <c r="C72" i="29"/>
  <c r="C80" i="29"/>
  <c r="C144" i="29"/>
  <c r="O168" i="29"/>
  <c r="M78" i="29"/>
  <c r="O78" i="29" s="1"/>
  <c r="L78" i="30"/>
  <c r="L79" i="30"/>
  <c r="K78" i="30"/>
  <c r="K55" i="30" s="1"/>
  <c r="I78" i="30"/>
  <c r="H55" i="30"/>
  <c r="C115" i="30"/>
  <c r="C125" i="30"/>
  <c r="C131" i="30"/>
  <c r="C147" i="30"/>
  <c r="C182" i="30"/>
  <c r="C201" i="30"/>
  <c r="C230" i="30"/>
  <c r="C266" i="30"/>
  <c r="K78" i="27"/>
  <c r="K55" i="27" s="1"/>
  <c r="K54" i="27" s="1"/>
  <c r="K53" i="27" s="1"/>
  <c r="L79" i="27"/>
  <c r="G289" i="27"/>
  <c r="I289" i="27" s="1"/>
  <c r="I290" i="27"/>
  <c r="C28" i="27"/>
  <c r="C58" i="27"/>
  <c r="C68" i="27"/>
  <c r="C72" i="27"/>
  <c r="C73" i="27"/>
  <c r="D78" i="27"/>
  <c r="F78" i="27" s="1"/>
  <c r="G78" i="27"/>
  <c r="I78" i="27" s="1"/>
  <c r="I79" i="27"/>
  <c r="C115" i="27"/>
  <c r="C119" i="27"/>
  <c r="C134" i="27"/>
  <c r="C169" i="27"/>
  <c r="C190" i="27"/>
  <c r="C194" i="27"/>
  <c r="C207" i="27"/>
  <c r="C219" i="27"/>
  <c r="C236" i="27"/>
  <c r="C249" i="27"/>
  <c r="O254" i="27"/>
  <c r="M233" i="27"/>
  <c r="F271" i="27"/>
  <c r="D197" i="27"/>
  <c r="C274" i="27"/>
  <c r="M287" i="27"/>
  <c r="K24" i="28"/>
  <c r="C78" i="28"/>
  <c r="C79" i="28"/>
  <c r="C80" i="28"/>
  <c r="C125" i="28"/>
  <c r="C131" i="28"/>
  <c r="C133" i="28"/>
  <c r="C187" i="28"/>
  <c r="H198" i="28"/>
  <c r="H197" i="28" s="1"/>
  <c r="H54" i="28" s="1"/>
  <c r="I199" i="28"/>
  <c r="C219" i="28"/>
  <c r="C234" i="28"/>
  <c r="C236" i="28"/>
  <c r="C254" i="28"/>
  <c r="C255" i="28"/>
  <c r="C261" i="28"/>
  <c r="C262" i="28"/>
  <c r="C272" i="28"/>
  <c r="C274" i="28"/>
  <c r="H287" i="28"/>
  <c r="C291" i="28"/>
  <c r="G289" i="29"/>
  <c r="I289" i="29" s="1"/>
  <c r="I290" i="29"/>
  <c r="C70" i="29"/>
  <c r="C78" i="29"/>
  <c r="C79" i="29"/>
  <c r="C83" i="29"/>
  <c r="C86" i="29"/>
  <c r="C95" i="29"/>
  <c r="C98" i="29"/>
  <c r="C133" i="29"/>
  <c r="C134" i="29"/>
  <c r="C154" i="29"/>
  <c r="C233" i="29"/>
  <c r="C234" i="29"/>
  <c r="C236" i="29"/>
  <c r="C241" i="29"/>
  <c r="C271" i="29"/>
  <c r="D287" i="29"/>
  <c r="F287" i="29" s="1"/>
  <c r="H287" i="29"/>
  <c r="M287" i="29"/>
  <c r="O287" i="29" s="1"/>
  <c r="C144" i="30"/>
  <c r="M176" i="30"/>
  <c r="O177" i="30"/>
  <c r="C219" i="30"/>
  <c r="C249" i="30"/>
  <c r="M233" i="30"/>
  <c r="O233" i="30" s="1"/>
  <c r="O254" i="30"/>
  <c r="J289" i="27"/>
  <c r="L289" i="27" s="1"/>
  <c r="L290" i="27"/>
  <c r="C92" i="27"/>
  <c r="C106" i="27"/>
  <c r="C139" i="27"/>
  <c r="C147" i="27"/>
  <c r="C157" i="27"/>
  <c r="C187" i="27"/>
  <c r="C195" i="27"/>
  <c r="C201" i="27"/>
  <c r="C234" i="27"/>
  <c r="C241" i="27"/>
  <c r="C278" i="27"/>
  <c r="C291" i="27"/>
  <c r="D289" i="28"/>
  <c r="F289" i="28" s="1"/>
  <c r="C46" i="28"/>
  <c r="L55" i="28"/>
  <c r="D56" i="28"/>
  <c r="F57" i="28"/>
  <c r="G57" i="28"/>
  <c r="I58" i="28"/>
  <c r="C72" i="28"/>
  <c r="C82" i="28"/>
  <c r="C83" i="28"/>
  <c r="C154" i="28"/>
  <c r="C163" i="28"/>
  <c r="C191" i="28"/>
  <c r="C195" i="28"/>
  <c r="C201" i="28"/>
  <c r="C208" i="28"/>
  <c r="C230" i="28"/>
  <c r="C238" i="28"/>
  <c r="C241" i="28"/>
  <c r="L261" i="28"/>
  <c r="K233" i="28"/>
  <c r="K288" i="28" s="1"/>
  <c r="C271" i="28"/>
  <c r="E288" i="29"/>
  <c r="E53" i="29"/>
  <c r="F56" i="29"/>
  <c r="D55" i="29"/>
  <c r="I57" i="29"/>
  <c r="G56" i="29"/>
  <c r="G287" i="29" s="1"/>
  <c r="I287" i="29" s="1"/>
  <c r="C68" i="29"/>
  <c r="C87" i="29"/>
  <c r="C131" i="29"/>
  <c r="C139" i="29"/>
  <c r="C176" i="29"/>
  <c r="C177" i="29"/>
  <c r="C178" i="29"/>
  <c r="C197" i="29"/>
  <c r="C201" i="29"/>
  <c r="C254" i="29"/>
  <c r="C255" i="29"/>
  <c r="C261" i="29"/>
  <c r="C262" i="29"/>
  <c r="C272" i="29"/>
  <c r="C274" i="29"/>
  <c r="C28" i="30"/>
  <c r="C46" i="30"/>
  <c r="C58" i="30"/>
  <c r="C78" i="30"/>
  <c r="C106" i="30"/>
  <c r="C169" i="30"/>
  <c r="C187" i="30"/>
  <c r="M197" i="30"/>
  <c r="O197" i="30" s="1"/>
  <c r="H233" i="30"/>
  <c r="G55" i="27"/>
  <c r="I56" i="27"/>
  <c r="C71" i="27"/>
  <c r="C98" i="27"/>
  <c r="C131" i="27"/>
  <c r="C163" i="27"/>
  <c r="C199" i="27"/>
  <c r="C238" i="27"/>
  <c r="C255" i="27"/>
  <c r="L261" i="27"/>
  <c r="J233" i="27"/>
  <c r="C266" i="27"/>
  <c r="J287" i="27"/>
  <c r="L287" i="27" s="1"/>
  <c r="F293" i="28"/>
  <c r="C293" i="28" s="1"/>
  <c r="E292" i="28"/>
  <c r="F292" i="28" s="1"/>
  <c r="C292" i="28" s="1"/>
  <c r="C134" i="28"/>
  <c r="C278" i="28"/>
  <c r="J289" i="29"/>
  <c r="L289" i="29" s="1"/>
  <c r="L290" i="29"/>
  <c r="C168" i="29"/>
  <c r="C207" i="29"/>
  <c r="I55" i="30"/>
  <c r="C79" i="30"/>
  <c r="J55" i="30"/>
  <c r="L176" i="30"/>
  <c r="F177" i="30"/>
  <c r="E176" i="30"/>
  <c r="E55" i="30" s="1"/>
  <c r="D55" i="30"/>
  <c r="F190" i="30"/>
  <c r="C190" i="30" s="1"/>
  <c r="C194" i="30"/>
  <c r="F198" i="30"/>
  <c r="F254" i="30"/>
  <c r="E233" i="30"/>
  <c r="E197" i="30" s="1"/>
  <c r="K24" i="27"/>
  <c r="L24" i="27" s="1"/>
  <c r="C24" i="27" s="1"/>
  <c r="F25" i="27"/>
  <c r="O255" i="27"/>
  <c r="L262" i="27"/>
  <c r="C262" i="27" s="1"/>
  <c r="F272" i="27"/>
  <c r="C272" i="27" s="1"/>
  <c r="F284" i="27"/>
  <c r="K287" i="27"/>
  <c r="O48" i="28"/>
  <c r="C48" i="28" s="1"/>
  <c r="E194" i="28"/>
  <c r="M194" i="28"/>
  <c r="J197" i="28"/>
  <c r="J54" i="28" s="1"/>
  <c r="M198" i="28"/>
  <c r="D199" i="28"/>
  <c r="G207" i="28"/>
  <c r="K207" i="28"/>
  <c r="K198" i="28" s="1"/>
  <c r="K197" i="28" s="1"/>
  <c r="K54" i="28" s="1"/>
  <c r="L284" i="28"/>
  <c r="I25" i="29"/>
  <c r="C25" i="29" s="1"/>
  <c r="O48" i="29"/>
  <c r="C48" i="29" s="1"/>
  <c r="L55" i="29"/>
  <c r="O56" i="29"/>
  <c r="F57" i="29"/>
  <c r="I58" i="29"/>
  <c r="C58" i="29" s="1"/>
  <c r="J288" i="29"/>
  <c r="D290" i="29"/>
  <c r="I25" i="30"/>
  <c r="M289" i="30"/>
  <c r="O289" i="30" s="1"/>
  <c r="O290" i="30"/>
  <c r="I87" i="30"/>
  <c r="C87" i="30" s="1"/>
  <c r="F178" i="30"/>
  <c r="H207" i="30"/>
  <c r="H198" i="30" s="1"/>
  <c r="G234" i="30"/>
  <c r="K254" i="30"/>
  <c r="K233" i="30" s="1"/>
  <c r="H261" i="30"/>
  <c r="I261" i="30" s="1"/>
  <c r="C261" i="30" s="1"/>
  <c r="C270" i="30"/>
  <c r="C271" i="30"/>
  <c r="C272" i="30"/>
  <c r="M289" i="31"/>
  <c r="O289" i="31" s="1"/>
  <c r="O290" i="31"/>
  <c r="C55" i="31"/>
  <c r="C56" i="31"/>
  <c r="C58" i="31"/>
  <c r="C61" i="31"/>
  <c r="C78" i="31"/>
  <c r="C79" i="31"/>
  <c r="C80" i="31"/>
  <c r="C83" i="31"/>
  <c r="C119" i="31"/>
  <c r="C133" i="31"/>
  <c r="C144" i="31"/>
  <c r="C154" i="31"/>
  <c r="C182" i="31"/>
  <c r="C191" i="31"/>
  <c r="C198" i="31"/>
  <c r="C261" i="31"/>
  <c r="C262" i="31"/>
  <c r="C266" i="31"/>
  <c r="C278" i="31"/>
  <c r="J287" i="31"/>
  <c r="L287" i="31" s="1"/>
  <c r="C291" i="31"/>
  <c r="C46" i="32"/>
  <c r="I57" i="32"/>
  <c r="D56" i="32"/>
  <c r="F57" i="32"/>
  <c r="C61" i="32"/>
  <c r="K55" i="32"/>
  <c r="K54" i="32" s="1"/>
  <c r="K53" i="32" s="1"/>
  <c r="C131" i="32"/>
  <c r="C139" i="32"/>
  <c r="I177" i="32"/>
  <c r="H176" i="32"/>
  <c r="G190" i="32"/>
  <c r="I190" i="32" s="1"/>
  <c r="D197" i="32"/>
  <c r="F197" i="32" s="1"/>
  <c r="F198" i="32"/>
  <c r="O55" i="27"/>
  <c r="F56" i="27"/>
  <c r="C56" i="27" s="1"/>
  <c r="I57" i="27"/>
  <c r="C57" i="27" s="1"/>
  <c r="L80" i="27"/>
  <c r="I87" i="27"/>
  <c r="E254" i="27"/>
  <c r="N261" i="27"/>
  <c r="H271" i="27"/>
  <c r="H287" i="27" s="1"/>
  <c r="O284" i="27"/>
  <c r="E290" i="27"/>
  <c r="E289" i="27" s="1"/>
  <c r="M290" i="27"/>
  <c r="F25" i="28"/>
  <c r="L35" i="28"/>
  <c r="C35" i="28" s="1"/>
  <c r="L56" i="28"/>
  <c r="O57" i="28"/>
  <c r="F58" i="28"/>
  <c r="C58" i="28" s="1"/>
  <c r="L285" i="28"/>
  <c r="C285" i="28" s="1"/>
  <c r="M290" i="28"/>
  <c r="G24" i="29"/>
  <c r="I24" i="29" s="1"/>
  <c r="K24" i="29"/>
  <c r="L24" i="29" s="1"/>
  <c r="K57" i="29"/>
  <c r="K56" i="29" s="1"/>
  <c r="K55" i="29" s="1"/>
  <c r="K54" i="29" s="1"/>
  <c r="K53" i="29" s="1"/>
  <c r="O284" i="29"/>
  <c r="M290" i="29"/>
  <c r="F25" i="30"/>
  <c r="J289" i="30"/>
  <c r="L289" i="30" s="1"/>
  <c r="L290" i="30"/>
  <c r="L177" i="30"/>
  <c r="O178" i="30"/>
  <c r="F191" i="30"/>
  <c r="C191" i="30" s="1"/>
  <c r="F195" i="30"/>
  <c r="C195" i="30" s="1"/>
  <c r="G198" i="30"/>
  <c r="O198" i="30"/>
  <c r="F199" i="30"/>
  <c r="J199" i="30"/>
  <c r="L208" i="30"/>
  <c r="C208" i="30" s="1"/>
  <c r="D234" i="30"/>
  <c r="L234" i="30"/>
  <c r="O255" i="30"/>
  <c r="C255" i="30" s="1"/>
  <c r="L262" i="30"/>
  <c r="C262" i="30" s="1"/>
  <c r="E287" i="30"/>
  <c r="C291" i="30"/>
  <c r="D289" i="31"/>
  <c r="F289" i="31" s="1"/>
  <c r="F290" i="31"/>
  <c r="C46" i="31"/>
  <c r="C86" i="31"/>
  <c r="C87" i="31"/>
  <c r="C92" i="31"/>
  <c r="C115" i="31"/>
  <c r="C134" i="31"/>
  <c r="C147" i="31"/>
  <c r="C238" i="31"/>
  <c r="C249" i="31"/>
  <c r="C271" i="31"/>
  <c r="C24" i="32"/>
  <c r="J55" i="32"/>
  <c r="L56" i="32"/>
  <c r="E288" i="32"/>
  <c r="E53" i="32"/>
  <c r="J78" i="32"/>
  <c r="L78" i="32" s="1"/>
  <c r="L79" i="32"/>
  <c r="C119" i="32"/>
  <c r="O133" i="32"/>
  <c r="M78" i="32"/>
  <c r="O78" i="32" s="1"/>
  <c r="C147" i="32"/>
  <c r="C163" i="32"/>
  <c r="C168" i="32"/>
  <c r="D176" i="32"/>
  <c r="F176" i="32" s="1"/>
  <c r="C176" i="32" s="1"/>
  <c r="F177" i="32"/>
  <c r="M176" i="32"/>
  <c r="O176" i="32" s="1"/>
  <c r="O177" i="32"/>
  <c r="C194" i="32"/>
  <c r="G197" i="32"/>
  <c r="I197" i="32" s="1"/>
  <c r="I198" i="32"/>
  <c r="O25" i="27"/>
  <c r="L25" i="27"/>
  <c r="O48" i="27"/>
  <c r="C48" i="27" s="1"/>
  <c r="F79" i="27"/>
  <c r="C79" i="27" s="1"/>
  <c r="I80" i="27"/>
  <c r="C80" i="27" s="1"/>
  <c r="F87" i="27"/>
  <c r="C87" i="27" s="1"/>
  <c r="O25" i="28"/>
  <c r="I284" i="28"/>
  <c r="C284" i="28" s="1"/>
  <c r="J290" i="28"/>
  <c r="O169" i="29"/>
  <c r="C169" i="29" s="1"/>
  <c r="L284" i="29"/>
  <c r="C284" i="29" s="1"/>
  <c r="I290" i="30"/>
  <c r="G289" i="30"/>
  <c r="I289" i="30" s="1"/>
  <c r="O25" i="30"/>
  <c r="N288" i="30"/>
  <c r="C24" i="31"/>
  <c r="L290" i="31"/>
  <c r="J289" i="31"/>
  <c r="L289" i="31" s="1"/>
  <c r="C70" i="31"/>
  <c r="C178" i="31"/>
  <c r="C187" i="31"/>
  <c r="C194" i="31"/>
  <c r="C201" i="31"/>
  <c r="C236" i="31"/>
  <c r="L271" i="31"/>
  <c r="J197" i="31"/>
  <c r="C274" i="31"/>
  <c r="C282" i="31"/>
  <c r="I287" i="31"/>
  <c r="O287" i="31"/>
  <c r="C190" i="32"/>
  <c r="C219" i="32"/>
  <c r="L25" i="29"/>
  <c r="M24" i="30"/>
  <c r="O24" i="30" s="1"/>
  <c r="C24" i="30" s="1"/>
  <c r="D289" i="30"/>
  <c r="F289" i="30" s="1"/>
  <c r="F290" i="30"/>
  <c r="L25" i="30"/>
  <c r="L30" i="30"/>
  <c r="C30" i="30" s="1"/>
  <c r="O48" i="30"/>
  <c r="C48" i="30" s="1"/>
  <c r="N287" i="30"/>
  <c r="G289" i="31"/>
  <c r="I289" i="31" s="1"/>
  <c r="I290" i="31"/>
  <c r="I288" i="31"/>
  <c r="H55" i="32"/>
  <c r="H54" i="32" s="1"/>
  <c r="M56" i="32"/>
  <c r="O57" i="32"/>
  <c r="I79" i="32"/>
  <c r="I176" i="32"/>
  <c r="L284" i="30"/>
  <c r="M287" i="30"/>
  <c r="O287" i="30" s="1"/>
  <c r="O25" i="31"/>
  <c r="F54" i="31"/>
  <c r="O284" i="31"/>
  <c r="D287" i="31"/>
  <c r="F287" i="31" s="1"/>
  <c r="L290" i="32"/>
  <c r="J289" i="32"/>
  <c r="L289" i="32" s="1"/>
  <c r="E287" i="32"/>
  <c r="K287" i="32"/>
  <c r="C72" i="33"/>
  <c r="C115" i="33"/>
  <c r="C119" i="33"/>
  <c r="O168" i="33"/>
  <c r="M78" i="33"/>
  <c r="I176" i="33"/>
  <c r="C182" i="33"/>
  <c r="I198" i="33"/>
  <c r="G233" i="33"/>
  <c r="I233" i="33" s="1"/>
  <c r="I254" i="33"/>
  <c r="C266" i="33"/>
  <c r="C274" i="33"/>
  <c r="H287" i="33"/>
  <c r="C291" i="33"/>
  <c r="C46" i="34"/>
  <c r="D56" i="34"/>
  <c r="F57" i="34"/>
  <c r="L57" i="34"/>
  <c r="L79" i="34"/>
  <c r="C92" i="34"/>
  <c r="C98" i="34"/>
  <c r="C119" i="34"/>
  <c r="C131" i="34"/>
  <c r="C144" i="34"/>
  <c r="C147" i="34"/>
  <c r="I177" i="34"/>
  <c r="H176" i="34"/>
  <c r="I176" i="34" s="1"/>
  <c r="I284" i="30"/>
  <c r="L25" i="31"/>
  <c r="L272" i="31"/>
  <c r="C272" i="31" s="1"/>
  <c r="L284" i="31"/>
  <c r="H288" i="31"/>
  <c r="G289" i="32"/>
  <c r="I289" i="32" s="1"/>
  <c r="I290" i="32"/>
  <c r="O25" i="32"/>
  <c r="F58" i="32"/>
  <c r="L80" i="32"/>
  <c r="G133" i="32"/>
  <c r="I133" i="32" s="1"/>
  <c r="C133" i="32" s="1"/>
  <c r="F134" i="32"/>
  <c r="C134" i="32" s="1"/>
  <c r="O169" i="32"/>
  <c r="F178" i="32"/>
  <c r="I191" i="32"/>
  <c r="I195" i="32"/>
  <c r="I199" i="32"/>
  <c r="M199" i="32"/>
  <c r="M207" i="32"/>
  <c r="O207" i="32" s="1"/>
  <c r="C207" i="32" s="1"/>
  <c r="L208" i="32"/>
  <c r="C236" i="32"/>
  <c r="C262" i="32"/>
  <c r="F271" i="32"/>
  <c r="C291" i="32"/>
  <c r="D289" i="33"/>
  <c r="F289" i="33" s="1"/>
  <c r="F290" i="33"/>
  <c r="L290" i="33"/>
  <c r="J289" i="33"/>
  <c r="L289" i="33" s="1"/>
  <c r="C46" i="33"/>
  <c r="C56" i="33"/>
  <c r="C57" i="33"/>
  <c r="C83" i="33"/>
  <c r="C98" i="33"/>
  <c r="C125" i="33"/>
  <c r="C144" i="33"/>
  <c r="C147" i="33"/>
  <c r="C163" i="33"/>
  <c r="I177" i="33"/>
  <c r="H176" i="33"/>
  <c r="H55" i="33" s="1"/>
  <c r="H54" i="33" s="1"/>
  <c r="C207" i="33"/>
  <c r="C230" i="33"/>
  <c r="C238" i="33"/>
  <c r="C282" i="33"/>
  <c r="N287" i="33"/>
  <c r="C72" i="34"/>
  <c r="C125" i="34"/>
  <c r="C154" i="34"/>
  <c r="D176" i="34"/>
  <c r="F176" i="34" s="1"/>
  <c r="F177" i="34"/>
  <c r="J176" i="34"/>
  <c r="L176" i="34" s="1"/>
  <c r="L177" i="34"/>
  <c r="F284" i="30"/>
  <c r="I284" i="31"/>
  <c r="C284" i="31" s="1"/>
  <c r="C287" i="31" s="1"/>
  <c r="D289" i="32"/>
  <c r="F289" i="32" s="1"/>
  <c r="F290" i="32"/>
  <c r="L25" i="32"/>
  <c r="C25" i="32" s="1"/>
  <c r="L57" i="32"/>
  <c r="O58" i="32"/>
  <c r="G70" i="32"/>
  <c r="F79" i="32"/>
  <c r="I80" i="32"/>
  <c r="C80" i="32" s="1"/>
  <c r="G86" i="32"/>
  <c r="I86" i="32" s="1"/>
  <c r="C86" i="32" s="1"/>
  <c r="F87" i="32"/>
  <c r="C87" i="32" s="1"/>
  <c r="O134" i="32"/>
  <c r="L169" i="32"/>
  <c r="C169" i="32" s="1"/>
  <c r="L177" i="32"/>
  <c r="O178" i="32"/>
  <c r="F191" i="32"/>
  <c r="C191" i="32" s="1"/>
  <c r="F195" i="32"/>
  <c r="C195" i="32" s="1"/>
  <c r="F199" i="32"/>
  <c r="J199" i="32"/>
  <c r="I208" i="32"/>
  <c r="C241" i="32"/>
  <c r="C254" i="32"/>
  <c r="C278" i="32"/>
  <c r="H287" i="32"/>
  <c r="N287" i="32"/>
  <c r="C92" i="33"/>
  <c r="C133" i="33"/>
  <c r="C134" i="33"/>
  <c r="C154" i="33"/>
  <c r="F168" i="33"/>
  <c r="C168" i="33" s="1"/>
  <c r="E78" i="33"/>
  <c r="E55" i="33" s="1"/>
  <c r="E54" i="33" s="1"/>
  <c r="D176" i="33"/>
  <c r="F177" i="33"/>
  <c r="C187" i="33"/>
  <c r="K190" i="33"/>
  <c r="C194" i="33"/>
  <c r="K197" i="33"/>
  <c r="C219" i="33"/>
  <c r="C236" i="33"/>
  <c r="C249" i="33"/>
  <c r="C261" i="33"/>
  <c r="C284" i="33"/>
  <c r="E78" i="34"/>
  <c r="E55" i="34" s="1"/>
  <c r="E54" i="34" s="1"/>
  <c r="D78" i="34"/>
  <c r="F79" i="34"/>
  <c r="L133" i="34"/>
  <c r="C187" i="34"/>
  <c r="C190" i="34"/>
  <c r="F25" i="31"/>
  <c r="C25" i="31" s="1"/>
  <c r="L30" i="31"/>
  <c r="C30" i="31" s="1"/>
  <c r="M289" i="32"/>
  <c r="O289" i="32" s="1"/>
  <c r="O290" i="32"/>
  <c r="K288" i="32"/>
  <c r="N288" i="32"/>
  <c r="G289" i="33"/>
  <c r="I289" i="33" s="1"/>
  <c r="I290" i="33"/>
  <c r="G55" i="33"/>
  <c r="I190" i="33"/>
  <c r="L254" i="33"/>
  <c r="C254" i="33" s="1"/>
  <c r="K233" i="33"/>
  <c r="K287" i="33" s="1"/>
  <c r="G287" i="33"/>
  <c r="I287" i="33" s="1"/>
  <c r="I57" i="34"/>
  <c r="H56" i="34"/>
  <c r="G78" i="34"/>
  <c r="I78" i="34" s="1"/>
  <c r="O79" i="34"/>
  <c r="O284" i="32"/>
  <c r="D287" i="32"/>
  <c r="F287" i="32" s="1"/>
  <c r="F25" i="33"/>
  <c r="L30" i="33"/>
  <c r="C30" i="33" s="1"/>
  <c r="O48" i="33"/>
  <c r="C48" i="33" s="1"/>
  <c r="F169" i="33"/>
  <c r="C169" i="33" s="1"/>
  <c r="I178" i="33"/>
  <c r="L191" i="33"/>
  <c r="L195" i="33"/>
  <c r="F201" i="33"/>
  <c r="C201" i="33" s="1"/>
  <c r="M234" i="33"/>
  <c r="O284" i="33"/>
  <c r="M290" i="33"/>
  <c r="G24" i="34"/>
  <c r="I24" i="34" s="1"/>
  <c r="K24" i="34"/>
  <c r="L24" i="34" s="1"/>
  <c r="F25" i="34"/>
  <c r="J289" i="34"/>
  <c r="L289" i="34" s="1"/>
  <c r="L290" i="34"/>
  <c r="M70" i="34"/>
  <c r="O70" i="34" s="1"/>
  <c r="E86" i="34"/>
  <c r="F86" i="34" s="1"/>
  <c r="C86" i="34" s="1"/>
  <c r="N133" i="34"/>
  <c r="N78" i="34" s="1"/>
  <c r="K168" i="34"/>
  <c r="L168" i="34" s="1"/>
  <c r="C168" i="34" s="1"/>
  <c r="N177" i="34"/>
  <c r="N176" i="34" s="1"/>
  <c r="O176" i="34" s="1"/>
  <c r="M190" i="34"/>
  <c r="O190" i="34" s="1"/>
  <c r="F191" i="34"/>
  <c r="C191" i="34" s="1"/>
  <c r="C194" i="34"/>
  <c r="I207" i="34"/>
  <c r="C241" i="34"/>
  <c r="C254" i="34"/>
  <c r="C255" i="34"/>
  <c r="H287" i="34"/>
  <c r="C46" i="35"/>
  <c r="C58" i="35"/>
  <c r="C79" i="35"/>
  <c r="C83" i="35"/>
  <c r="C86" i="35"/>
  <c r="C115" i="35"/>
  <c r="C125" i="35"/>
  <c r="F133" i="35"/>
  <c r="D78" i="35"/>
  <c r="D287" i="35" s="1"/>
  <c r="G190" i="35"/>
  <c r="F199" i="35"/>
  <c r="N197" i="35"/>
  <c r="N54" i="35" s="1"/>
  <c r="N53" i="35" s="1"/>
  <c r="C238" i="35"/>
  <c r="E271" i="35"/>
  <c r="E197" i="35" s="1"/>
  <c r="F197" i="35" s="1"/>
  <c r="F272" i="35"/>
  <c r="C46" i="36"/>
  <c r="H56" i="36"/>
  <c r="H55" i="36" s="1"/>
  <c r="I57" i="36"/>
  <c r="C61" i="36"/>
  <c r="C98" i="36"/>
  <c r="F274" i="32"/>
  <c r="C274" i="32" s="1"/>
  <c r="L284" i="32"/>
  <c r="H24" i="33"/>
  <c r="I24" i="33" s="1"/>
  <c r="C24" i="33" s="1"/>
  <c r="O169" i="33"/>
  <c r="O177" i="33"/>
  <c r="F178" i="33"/>
  <c r="C178" i="33" s="1"/>
  <c r="I191" i="33"/>
  <c r="C191" i="33" s="1"/>
  <c r="I195" i="33"/>
  <c r="C195" i="33" s="1"/>
  <c r="F198" i="33"/>
  <c r="I199" i="33"/>
  <c r="M199" i="33"/>
  <c r="L208" i="33"/>
  <c r="C208" i="33" s="1"/>
  <c r="F234" i="33"/>
  <c r="J234" i="33"/>
  <c r="I255" i="33"/>
  <c r="C255" i="33" s="1"/>
  <c r="F262" i="33"/>
  <c r="C262" i="33" s="1"/>
  <c r="I271" i="33"/>
  <c r="D272" i="33"/>
  <c r="L272" i="33"/>
  <c r="L284" i="33"/>
  <c r="I290" i="34"/>
  <c r="G289" i="34"/>
  <c r="I289" i="34" s="1"/>
  <c r="O25" i="34"/>
  <c r="O57" i="34"/>
  <c r="F58" i="34"/>
  <c r="C58" i="34" s="1"/>
  <c r="J70" i="34"/>
  <c r="L70" i="34" s="1"/>
  <c r="C70" i="34" s="1"/>
  <c r="I79" i="34"/>
  <c r="L80" i="34"/>
  <c r="C80" i="34" s="1"/>
  <c r="J86" i="34"/>
  <c r="L86" i="34" s="1"/>
  <c r="I87" i="34"/>
  <c r="C87" i="34" s="1"/>
  <c r="G133" i="34"/>
  <c r="I133" i="34" s="1"/>
  <c r="F134" i="34"/>
  <c r="C134" i="34" s="1"/>
  <c r="O169" i="34"/>
  <c r="C169" i="34" s="1"/>
  <c r="O177" i="34"/>
  <c r="F178" i="34"/>
  <c r="C178" i="34" s="1"/>
  <c r="C199" i="34"/>
  <c r="C236" i="34"/>
  <c r="C274" i="34"/>
  <c r="C282" i="34"/>
  <c r="E287" i="34"/>
  <c r="G289" i="35"/>
  <c r="C72" i="35"/>
  <c r="C80" i="35"/>
  <c r="C119" i="35"/>
  <c r="C131" i="35"/>
  <c r="C147" i="35"/>
  <c r="O168" i="35"/>
  <c r="M78" i="35"/>
  <c r="C195" i="35"/>
  <c r="I198" i="35"/>
  <c r="O233" i="35"/>
  <c r="O234" i="35"/>
  <c r="C261" i="35"/>
  <c r="F271" i="35"/>
  <c r="N287" i="35"/>
  <c r="C291" i="35"/>
  <c r="D56" i="36"/>
  <c r="F57" i="36"/>
  <c r="O70" i="36"/>
  <c r="I272" i="32"/>
  <c r="M272" i="32"/>
  <c r="I284" i="32"/>
  <c r="C284" i="32" s="1"/>
  <c r="J199" i="33"/>
  <c r="E24" i="34"/>
  <c r="F24" i="34" s="1"/>
  <c r="M24" i="34"/>
  <c r="O24" i="34" s="1"/>
  <c r="D289" i="34"/>
  <c r="F289" i="34" s="1"/>
  <c r="F290" i="34"/>
  <c r="C201" i="34"/>
  <c r="C230" i="34"/>
  <c r="C233" i="34"/>
  <c r="C262" i="34"/>
  <c r="C266" i="34"/>
  <c r="C272" i="34"/>
  <c r="O290" i="35"/>
  <c r="M289" i="35"/>
  <c r="O289" i="35" s="1"/>
  <c r="C106" i="35"/>
  <c r="C139" i="35"/>
  <c r="C144" i="35"/>
  <c r="C163" i="35"/>
  <c r="H176" i="35"/>
  <c r="I176" i="35" s="1"/>
  <c r="I177" i="35"/>
  <c r="C207" i="35"/>
  <c r="C208" i="35"/>
  <c r="C230" i="35"/>
  <c r="N78" i="36"/>
  <c r="O79" i="36"/>
  <c r="I25" i="33"/>
  <c r="M289" i="34"/>
  <c r="O289" i="34" s="1"/>
  <c r="O290" i="34"/>
  <c r="D198" i="34"/>
  <c r="D287" i="34" s="1"/>
  <c r="F287" i="34" s="1"/>
  <c r="F207" i="34"/>
  <c r="L207" i="34"/>
  <c r="J198" i="34"/>
  <c r="G287" i="34"/>
  <c r="I287" i="34" s="1"/>
  <c r="J289" i="35"/>
  <c r="L289" i="35" s="1"/>
  <c r="L290" i="35"/>
  <c r="I133" i="35"/>
  <c r="H78" i="35"/>
  <c r="H55" i="35" s="1"/>
  <c r="H54" i="35" s="1"/>
  <c r="E78" i="35"/>
  <c r="E55" i="35" s="1"/>
  <c r="F168" i="35"/>
  <c r="C168" i="35" s="1"/>
  <c r="D176" i="35"/>
  <c r="F176" i="35" s="1"/>
  <c r="F177" i="35"/>
  <c r="C177" i="35" s="1"/>
  <c r="K55" i="35"/>
  <c r="K54" i="35" s="1"/>
  <c r="K53" i="35" s="1"/>
  <c r="L190" i="35"/>
  <c r="K287" i="35"/>
  <c r="O56" i="36"/>
  <c r="L79" i="36"/>
  <c r="L208" i="34"/>
  <c r="L284" i="34"/>
  <c r="C284" i="34" s="1"/>
  <c r="D24" i="35"/>
  <c r="F24" i="35" s="1"/>
  <c r="C24" i="35" s="1"/>
  <c r="H24" i="35"/>
  <c r="I24" i="35" s="1"/>
  <c r="O25" i="35"/>
  <c r="C25" i="35" s="1"/>
  <c r="D290" i="35"/>
  <c r="H290" i="35"/>
  <c r="H289" i="35" s="1"/>
  <c r="O290" i="36"/>
  <c r="M289" i="36"/>
  <c r="O289" i="36" s="1"/>
  <c r="L177" i="36"/>
  <c r="J176" i="36"/>
  <c r="L176" i="36" s="1"/>
  <c r="C194" i="36"/>
  <c r="O198" i="36"/>
  <c r="C219" i="36"/>
  <c r="C262" i="36"/>
  <c r="C46" i="37"/>
  <c r="E288" i="37"/>
  <c r="E53" i="37"/>
  <c r="F57" i="37"/>
  <c r="D56" i="37"/>
  <c r="C71" i="37"/>
  <c r="C72" i="37"/>
  <c r="C92" i="37"/>
  <c r="C115" i="37"/>
  <c r="K176" i="37"/>
  <c r="L177" i="37"/>
  <c r="F207" i="37"/>
  <c r="N207" i="34"/>
  <c r="N198" i="34" s="1"/>
  <c r="N197" i="34" s="1"/>
  <c r="O197" i="34" s="1"/>
  <c r="I134" i="35"/>
  <c r="F169" i="35"/>
  <c r="I178" i="35"/>
  <c r="L191" i="35"/>
  <c r="L195" i="35"/>
  <c r="F201" i="35"/>
  <c r="C201" i="35" s="1"/>
  <c r="O208" i="35"/>
  <c r="O236" i="35"/>
  <c r="C236" i="35" s="1"/>
  <c r="L255" i="35"/>
  <c r="I262" i="35"/>
  <c r="O284" i="35"/>
  <c r="F25" i="36"/>
  <c r="J289" i="36"/>
  <c r="L289" i="36" s="1"/>
  <c r="L290" i="36"/>
  <c r="O48" i="36"/>
  <c r="C48" i="36" s="1"/>
  <c r="I58" i="36"/>
  <c r="O72" i="36"/>
  <c r="C72" i="36" s="1"/>
  <c r="O80" i="36"/>
  <c r="L87" i="36"/>
  <c r="O92" i="36"/>
  <c r="C92" i="36" s="1"/>
  <c r="L125" i="36"/>
  <c r="C125" i="36" s="1"/>
  <c r="C163" i="36"/>
  <c r="C169" i="36"/>
  <c r="J198" i="36"/>
  <c r="L207" i="36"/>
  <c r="C238" i="36"/>
  <c r="L176" i="37"/>
  <c r="O195" i="34"/>
  <c r="C195" i="34" s="1"/>
  <c r="F208" i="34"/>
  <c r="C208" i="34" s="1"/>
  <c r="F134" i="35"/>
  <c r="C134" i="35" s="1"/>
  <c r="O169" i="35"/>
  <c r="O177" i="35"/>
  <c r="F178" i="35"/>
  <c r="C178" i="35" s="1"/>
  <c r="I191" i="35"/>
  <c r="C191" i="35" s="1"/>
  <c r="I195" i="35"/>
  <c r="F198" i="35"/>
  <c r="I199" i="35"/>
  <c r="M199" i="35"/>
  <c r="L208" i="35"/>
  <c r="F234" i="35"/>
  <c r="J234" i="35"/>
  <c r="I255" i="35"/>
  <c r="C255" i="35" s="1"/>
  <c r="F262" i="35"/>
  <c r="C262" i="35" s="1"/>
  <c r="L272" i="35"/>
  <c r="L284" i="35"/>
  <c r="C284" i="35" s="1"/>
  <c r="G289" i="36"/>
  <c r="I289" i="36" s="1"/>
  <c r="I290" i="36"/>
  <c r="O25" i="36"/>
  <c r="O57" i="36"/>
  <c r="F58" i="36"/>
  <c r="C58" i="36" s="1"/>
  <c r="J70" i="36"/>
  <c r="I79" i="36"/>
  <c r="C79" i="36" s="1"/>
  <c r="L80" i="36"/>
  <c r="C80" i="36" s="1"/>
  <c r="J86" i="36"/>
  <c r="L86" i="36" s="1"/>
  <c r="C86" i="36" s="1"/>
  <c r="I87" i="36"/>
  <c r="C87" i="36" s="1"/>
  <c r="C126" i="36"/>
  <c r="G233" i="36"/>
  <c r="I233" i="36" s="1"/>
  <c r="I234" i="36"/>
  <c r="C261" i="36"/>
  <c r="J55" i="37"/>
  <c r="O56" i="37"/>
  <c r="H288" i="37"/>
  <c r="H53" i="37"/>
  <c r="I79" i="37"/>
  <c r="G78" i="37"/>
  <c r="I78" i="37" s="1"/>
  <c r="C119" i="37"/>
  <c r="J78" i="37"/>
  <c r="L86" i="37"/>
  <c r="C147" i="37"/>
  <c r="C154" i="37"/>
  <c r="C182" i="37"/>
  <c r="C208" i="37"/>
  <c r="C236" i="37"/>
  <c r="C238" i="37"/>
  <c r="C266" i="37"/>
  <c r="O48" i="35"/>
  <c r="C48" i="35" s="1"/>
  <c r="J199" i="35"/>
  <c r="G234" i="35"/>
  <c r="M272" i="35"/>
  <c r="E24" i="36"/>
  <c r="F24" i="36" s="1"/>
  <c r="M24" i="36"/>
  <c r="O24" i="36" s="1"/>
  <c r="D289" i="36"/>
  <c r="F289" i="36" s="1"/>
  <c r="F290" i="36"/>
  <c r="L25" i="36"/>
  <c r="J30" i="36"/>
  <c r="G70" i="36"/>
  <c r="C110" i="36"/>
  <c r="C111" i="36"/>
  <c r="C130" i="36"/>
  <c r="F131" i="36"/>
  <c r="C131" i="36" s="1"/>
  <c r="C147" i="36"/>
  <c r="F176" i="36"/>
  <c r="C182" i="36"/>
  <c r="C187" i="36"/>
  <c r="C195" i="36"/>
  <c r="O207" i="36"/>
  <c r="I207" i="36"/>
  <c r="C207" i="36" s="1"/>
  <c r="H198" i="36"/>
  <c r="H197" i="36" s="1"/>
  <c r="O254" i="36"/>
  <c r="C282" i="36"/>
  <c r="O24" i="37"/>
  <c r="C70" i="37"/>
  <c r="C131" i="37"/>
  <c r="O133" i="37"/>
  <c r="M78" i="37"/>
  <c r="O78" i="37" s="1"/>
  <c r="I133" i="37"/>
  <c r="C168" i="37"/>
  <c r="F177" i="37"/>
  <c r="D176" i="37"/>
  <c r="F176" i="37" s="1"/>
  <c r="N190" i="37"/>
  <c r="O190" i="37" s="1"/>
  <c r="I198" i="37"/>
  <c r="C219" i="37"/>
  <c r="F233" i="37"/>
  <c r="M133" i="36"/>
  <c r="L134" i="36"/>
  <c r="C134" i="36" s="1"/>
  <c r="F144" i="36"/>
  <c r="C144" i="36" s="1"/>
  <c r="I169" i="36"/>
  <c r="I177" i="36"/>
  <c r="L178" i="36"/>
  <c r="C178" i="36" s="1"/>
  <c r="O187" i="36"/>
  <c r="O191" i="36"/>
  <c r="C191" i="36" s="1"/>
  <c r="O195" i="36"/>
  <c r="D198" i="36"/>
  <c r="G199" i="36"/>
  <c r="O199" i="36"/>
  <c r="F208" i="36"/>
  <c r="C208" i="36" s="1"/>
  <c r="L230" i="36"/>
  <c r="C230" i="36" s="1"/>
  <c r="D234" i="36"/>
  <c r="I241" i="36"/>
  <c r="C241" i="36" s="1"/>
  <c r="D254" i="36"/>
  <c r="F254" i="36" s="1"/>
  <c r="C254" i="36" s="1"/>
  <c r="O255" i="36"/>
  <c r="C255" i="36" s="1"/>
  <c r="M261" i="36"/>
  <c r="O261" i="36" s="1"/>
  <c r="L262" i="36"/>
  <c r="G271" i="36"/>
  <c r="I271" i="36" s="1"/>
  <c r="O271" i="36"/>
  <c r="F272" i="36"/>
  <c r="J272" i="36"/>
  <c r="F284" i="36"/>
  <c r="J24" i="37"/>
  <c r="I25" i="37"/>
  <c r="M289" i="37"/>
  <c r="O289" i="37" s="1"/>
  <c r="O290" i="37"/>
  <c r="L56" i="37"/>
  <c r="O57" i="37"/>
  <c r="F58" i="37"/>
  <c r="F79" i="37"/>
  <c r="I80" i="37"/>
  <c r="C80" i="37" s="1"/>
  <c r="G86" i="37"/>
  <c r="I86" i="37" s="1"/>
  <c r="C86" i="37" s="1"/>
  <c r="F87" i="37"/>
  <c r="C87" i="37" s="1"/>
  <c r="L125" i="37"/>
  <c r="C125" i="37" s="1"/>
  <c r="D133" i="37"/>
  <c r="F133" i="37" s="1"/>
  <c r="C133" i="37" s="1"/>
  <c r="O134" i="37"/>
  <c r="C134" i="37" s="1"/>
  <c r="I144" i="37"/>
  <c r="C144" i="37" s="1"/>
  <c r="O169" i="37"/>
  <c r="C169" i="37" s="1"/>
  <c r="G177" i="37"/>
  <c r="O177" i="37"/>
  <c r="F178" i="37"/>
  <c r="C178" i="37" s="1"/>
  <c r="J190" i="37"/>
  <c r="L190" i="37" s="1"/>
  <c r="C190" i="37" s="1"/>
  <c r="I191" i="37"/>
  <c r="C191" i="37" s="1"/>
  <c r="J194" i="37"/>
  <c r="L194" i="37" s="1"/>
  <c r="C194" i="37" s="1"/>
  <c r="I195" i="37"/>
  <c r="C195" i="37" s="1"/>
  <c r="J198" i="37"/>
  <c r="I199" i="37"/>
  <c r="M199" i="37"/>
  <c r="M207" i="37"/>
  <c r="O207" i="37" s="1"/>
  <c r="L208" i="37"/>
  <c r="F230" i="37"/>
  <c r="C230" i="37" s="1"/>
  <c r="F234" i="37"/>
  <c r="J234" i="37"/>
  <c r="J254" i="37"/>
  <c r="L254" i="37" s="1"/>
  <c r="C254" i="37" s="1"/>
  <c r="I255" i="37"/>
  <c r="C255" i="37" s="1"/>
  <c r="G261" i="37"/>
  <c r="I261" i="37" s="1"/>
  <c r="C261" i="37" s="1"/>
  <c r="F262" i="37"/>
  <c r="C262" i="37" s="1"/>
  <c r="M271" i="37"/>
  <c r="O271" i="37" s="1"/>
  <c r="C271" i="37" s="1"/>
  <c r="L272" i="37"/>
  <c r="C272" i="37" s="1"/>
  <c r="H287" i="37"/>
  <c r="C291" i="37"/>
  <c r="J289" i="38"/>
  <c r="L289" i="38" s="1"/>
  <c r="L290" i="38"/>
  <c r="K24" i="38"/>
  <c r="H54" i="38"/>
  <c r="C72" i="38"/>
  <c r="C79" i="38"/>
  <c r="C80" i="38"/>
  <c r="C87" i="38"/>
  <c r="C106" i="38"/>
  <c r="C119" i="38"/>
  <c r="C125" i="38"/>
  <c r="C163" i="38"/>
  <c r="O176" i="38"/>
  <c r="C182" i="38"/>
  <c r="C190" i="38"/>
  <c r="C191" i="38"/>
  <c r="C201" i="38"/>
  <c r="C230" i="38"/>
  <c r="C234" i="38"/>
  <c r="K233" i="38"/>
  <c r="K197" i="38" s="1"/>
  <c r="K54" i="38" s="1"/>
  <c r="C241" i="38"/>
  <c r="M233" i="38"/>
  <c r="M287" i="38" s="1"/>
  <c r="O287" i="38" s="1"/>
  <c r="O254" i="38"/>
  <c r="J233" i="38"/>
  <c r="L261" i="38"/>
  <c r="C261" i="38" s="1"/>
  <c r="E287" i="38"/>
  <c r="J56" i="39"/>
  <c r="L57" i="39"/>
  <c r="C61" i="39"/>
  <c r="H78" i="39"/>
  <c r="L86" i="39"/>
  <c r="K168" i="36"/>
  <c r="L168" i="36" s="1"/>
  <c r="C168" i="36" s="1"/>
  <c r="N177" i="36"/>
  <c r="E190" i="36"/>
  <c r="F190" i="36" s="1"/>
  <c r="C190" i="36" s="1"/>
  <c r="O284" i="36"/>
  <c r="G24" i="37"/>
  <c r="I24" i="37" s="1"/>
  <c r="K24" i="37"/>
  <c r="F25" i="37"/>
  <c r="J289" i="37"/>
  <c r="L289" i="37" s="1"/>
  <c r="L290" i="37"/>
  <c r="G58" i="37"/>
  <c r="K79" i="37"/>
  <c r="C274" i="37"/>
  <c r="C278" i="37"/>
  <c r="L56" i="38"/>
  <c r="C61" i="38"/>
  <c r="C86" i="38"/>
  <c r="C92" i="38"/>
  <c r="C131" i="38"/>
  <c r="I168" i="38"/>
  <c r="C168" i="38" s="1"/>
  <c r="G78" i="38"/>
  <c r="I78" i="38" s="1"/>
  <c r="C176" i="38"/>
  <c r="F254" i="38"/>
  <c r="C254" i="38" s="1"/>
  <c r="E233" i="38"/>
  <c r="E197" i="38" s="1"/>
  <c r="E54" i="38" s="1"/>
  <c r="C274" i="38"/>
  <c r="C282" i="38"/>
  <c r="K287" i="38"/>
  <c r="C57" i="39"/>
  <c r="L79" i="39"/>
  <c r="K78" i="39"/>
  <c r="K55" i="39" s="1"/>
  <c r="K54" i="39" s="1"/>
  <c r="G289" i="37"/>
  <c r="I289" i="37" s="1"/>
  <c r="I290" i="37"/>
  <c r="E287" i="37"/>
  <c r="G55" i="38"/>
  <c r="F233" i="38"/>
  <c r="D197" i="38"/>
  <c r="F197" i="38" s="1"/>
  <c r="G287" i="38"/>
  <c r="I79" i="39"/>
  <c r="K234" i="36"/>
  <c r="K233" i="36" s="1"/>
  <c r="L233" i="36" s="1"/>
  <c r="F290" i="37"/>
  <c r="D289" i="37"/>
  <c r="F289" i="37" s="1"/>
  <c r="L25" i="37"/>
  <c r="L30" i="37"/>
  <c r="C30" i="37" s="1"/>
  <c r="O48" i="37"/>
  <c r="C48" i="37" s="1"/>
  <c r="D199" i="37"/>
  <c r="M234" i="37"/>
  <c r="M289" i="38"/>
  <c r="O289" i="38" s="1"/>
  <c r="O290" i="38"/>
  <c r="N55" i="38"/>
  <c r="O57" i="38"/>
  <c r="M56" i="38"/>
  <c r="C78" i="38"/>
  <c r="C144" i="38"/>
  <c r="C147" i="38"/>
  <c r="C154" i="38"/>
  <c r="C169" i="38"/>
  <c r="J176" i="38"/>
  <c r="L176" i="38" s="1"/>
  <c r="L177" i="38"/>
  <c r="C194" i="38"/>
  <c r="C195" i="38"/>
  <c r="C207" i="38"/>
  <c r="C208" i="38"/>
  <c r="C219" i="38"/>
  <c r="C236" i="38"/>
  <c r="C238" i="38"/>
  <c r="O261" i="38"/>
  <c r="N233" i="38"/>
  <c r="N197" i="38" s="1"/>
  <c r="C266" i="38"/>
  <c r="I271" i="38"/>
  <c r="H197" i="38"/>
  <c r="I197" i="38" s="1"/>
  <c r="O272" i="38"/>
  <c r="N271" i="38"/>
  <c r="C278" i="38"/>
  <c r="H287" i="38"/>
  <c r="C291" i="38"/>
  <c r="I56" i="39"/>
  <c r="O57" i="39"/>
  <c r="N56" i="39"/>
  <c r="N55" i="39" s="1"/>
  <c r="I70" i="39"/>
  <c r="I284" i="37"/>
  <c r="I56" i="38"/>
  <c r="L57" i="38"/>
  <c r="C57" i="38" s="1"/>
  <c r="O58" i="38"/>
  <c r="C58" i="38" s="1"/>
  <c r="L169" i="38"/>
  <c r="O178" i="38"/>
  <c r="I284" i="38"/>
  <c r="N287" i="38"/>
  <c r="G290" i="38"/>
  <c r="D289" i="39"/>
  <c r="F289" i="39" s="1"/>
  <c r="F290" i="39"/>
  <c r="L25" i="39"/>
  <c r="L35" i="39"/>
  <c r="C35" i="39" s="1"/>
  <c r="O58" i="39"/>
  <c r="I72" i="39"/>
  <c r="C72" i="39" s="1"/>
  <c r="L80" i="39"/>
  <c r="I87" i="39"/>
  <c r="L92" i="39"/>
  <c r="C92" i="39" s="1"/>
  <c r="C119" i="39"/>
  <c r="C125" i="39"/>
  <c r="L198" i="39"/>
  <c r="F207" i="39"/>
  <c r="E198" i="39"/>
  <c r="K233" i="39"/>
  <c r="K287" i="39" s="1"/>
  <c r="C266" i="39"/>
  <c r="C274" i="39"/>
  <c r="F284" i="37"/>
  <c r="J24" i="38"/>
  <c r="L24" i="38" s="1"/>
  <c r="C24" i="38" s="1"/>
  <c r="N24" i="38"/>
  <c r="O24" i="38" s="1"/>
  <c r="D70" i="38"/>
  <c r="I177" i="38"/>
  <c r="C177" i="38" s="1"/>
  <c r="L178" i="38"/>
  <c r="C178" i="38" s="1"/>
  <c r="O255" i="38"/>
  <c r="C255" i="38" s="1"/>
  <c r="L262" i="38"/>
  <c r="C262" i="38" s="1"/>
  <c r="O271" i="38"/>
  <c r="F272" i="38"/>
  <c r="J272" i="38"/>
  <c r="F284" i="38"/>
  <c r="C284" i="38" s="1"/>
  <c r="D290" i="38"/>
  <c r="H290" i="38"/>
  <c r="H289" i="38" s="1"/>
  <c r="I25" i="39"/>
  <c r="M289" i="39"/>
  <c r="O289" i="39" s="1"/>
  <c r="O290" i="39"/>
  <c r="I57" i="39"/>
  <c r="L58" i="39"/>
  <c r="C58" i="39" s="1"/>
  <c r="D70" i="39"/>
  <c r="F79" i="39"/>
  <c r="C79" i="39" s="1"/>
  <c r="I80" i="39"/>
  <c r="C80" i="39" s="1"/>
  <c r="G86" i="39"/>
  <c r="I86" i="39" s="1"/>
  <c r="C86" i="39" s="1"/>
  <c r="F87" i="39"/>
  <c r="C87" i="39" s="1"/>
  <c r="C131" i="39"/>
  <c r="C168" i="39"/>
  <c r="O176" i="39"/>
  <c r="L177" i="39"/>
  <c r="K176" i="39"/>
  <c r="C182" i="39"/>
  <c r="C187" i="39"/>
  <c r="G198" i="39"/>
  <c r="I207" i="39"/>
  <c r="K197" i="39"/>
  <c r="C219" i="39"/>
  <c r="C236" i="39"/>
  <c r="O284" i="37"/>
  <c r="F25" i="38"/>
  <c r="G24" i="39"/>
  <c r="I24" i="39" s="1"/>
  <c r="C24" i="39" s="1"/>
  <c r="K24" i="39"/>
  <c r="L24" i="39" s="1"/>
  <c r="F25" i="39"/>
  <c r="C25" i="39" s="1"/>
  <c r="L290" i="39"/>
  <c r="J289" i="39"/>
  <c r="L289" i="39" s="1"/>
  <c r="L30" i="39"/>
  <c r="C30" i="39" s="1"/>
  <c r="O48" i="39"/>
  <c r="C48" i="39" s="1"/>
  <c r="M70" i="39"/>
  <c r="L98" i="39"/>
  <c r="C98" i="39" s="1"/>
  <c r="C115" i="39"/>
  <c r="C134" i="39"/>
  <c r="C147" i="39"/>
  <c r="C154" i="39"/>
  <c r="G176" i="39"/>
  <c r="I176" i="39" s="1"/>
  <c r="I177" i="39"/>
  <c r="I194" i="39"/>
  <c r="C194" i="39" s="1"/>
  <c r="M198" i="39"/>
  <c r="O207" i="39"/>
  <c r="C230" i="39"/>
  <c r="E233" i="39"/>
  <c r="E287" i="39" s="1"/>
  <c r="C238" i="39"/>
  <c r="C249" i="39"/>
  <c r="C282" i="39"/>
  <c r="O24" i="40"/>
  <c r="I24" i="40"/>
  <c r="O25" i="38"/>
  <c r="I290" i="39"/>
  <c r="G289" i="39"/>
  <c r="I289" i="39" s="1"/>
  <c r="N197" i="39"/>
  <c r="I199" i="39"/>
  <c r="H198" i="39"/>
  <c r="J233" i="39"/>
  <c r="L233" i="39" s="1"/>
  <c r="L234" i="39"/>
  <c r="E133" i="39"/>
  <c r="E78" i="39" s="1"/>
  <c r="E55" i="39" s="1"/>
  <c r="M133" i="39"/>
  <c r="L134" i="39"/>
  <c r="O139" i="39"/>
  <c r="C139" i="39" s="1"/>
  <c r="I169" i="39"/>
  <c r="J176" i="39"/>
  <c r="L176" i="39" s="1"/>
  <c r="C176" i="39" s="1"/>
  <c r="H194" i="39"/>
  <c r="H190" i="39" s="1"/>
  <c r="D234" i="39"/>
  <c r="H254" i="39"/>
  <c r="I254" i="39" s="1"/>
  <c r="C254" i="39" s="1"/>
  <c r="E261" i="39"/>
  <c r="F261" i="39" s="1"/>
  <c r="C261" i="39" s="1"/>
  <c r="J272" i="39"/>
  <c r="D289" i="40"/>
  <c r="F289" i="40" s="1"/>
  <c r="F290" i="40"/>
  <c r="N290" i="40"/>
  <c r="N289" i="40" s="1"/>
  <c r="N24" i="40"/>
  <c r="L44" i="40"/>
  <c r="C44" i="40" s="1"/>
  <c r="C47" i="40"/>
  <c r="C62" i="40"/>
  <c r="E86" i="40"/>
  <c r="I92" i="40"/>
  <c r="G86" i="40"/>
  <c r="I86" i="40" s="1"/>
  <c r="C106" i="40"/>
  <c r="C119" i="40"/>
  <c r="L125" i="40"/>
  <c r="C125" i="40" s="1"/>
  <c r="J86" i="40"/>
  <c r="F139" i="40"/>
  <c r="D133" i="40"/>
  <c r="L144" i="40"/>
  <c r="K133" i="40"/>
  <c r="C147" i="40"/>
  <c r="C178" i="40"/>
  <c r="C187" i="40"/>
  <c r="J133" i="39"/>
  <c r="I134" i="39"/>
  <c r="F169" i="39"/>
  <c r="C169" i="39" s="1"/>
  <c r="F177" i="39"/>
  <c r="I178" i="39"/>
  <c r="C178" i="39" s="1"/>
  <c r="L191" i="39"/>
  <c r="C191" i="39" s="1"/>
  <c r="L195" i="39"/>
  <c r="C195" i="39" s="1"/>
  <c r="D199" i="39"/>
  <c r="L199" i="39"/>
  <c r="O208" i="39"/>
  <c r="C208" i="39" s="1"/>
  <c r="I234" i="39"/>
  <c r="M234" i="39"/>
  <c r="L255" i="39"/>
  <c r="C255" i="39" s="1"/>
  <c r="I262" i="39"/>
  <c r="C262" i="39" s="1"/>
  <c r="G272" i="39"/>
  <c r="O272" i="39"/>
  <c r="O284" i="39"/>
  <c r="C284" i="39" s="1"/>
  <c r="C299" i="39"/>
  <c r="J290" i="40"/>
  <c r="L25" i="40"/>
  <c r="J24" i="40"/>
  <c r="L24" i="40" s="1"/>
  <c r="L35" i="40"/>
  <c r="C35" i="40" s="1"/>
  <c r="J30" i="40"/>
  <c r="M57" i="40"/>
  <c r="F73" i="40"/>
  <c r="C73" i="40" s="1"/>
  <c r="D72" i="40"/>
  <c r="F79" i="40"/>
  <c r="C98" i="40"/>
  <c r="C131" i="40"/>
  <c r="O134" i="40"/>
  <c r="M133" i="40"/>
  <c r="O133" i="40" s="1"/>
  <c r="I144" i="40"/>
  <c r="C144" i="40" s="1"/>
  <c r="G133" i="40"/>
  <c r="C163" i="40"/>
  <c r="N234" i="39"/>
  <c r="N233" i="39" s="1"/>
  <c r="N287" i="39" s="1"/>
  <c r="C295" i="39"/>
  <c r="F24" i="40"/>
  <c r="C27" i="40"/>
  <c r="I46" i="40"/>
  <c r="C46" i="40" s="1"/>
  <c r="G56" i="40"/>
  <c r="O61" i="40"/>
  <c r="C65" i="40"/>
  <c r="L80" i="40"/>
  <c r="K79" i="40"/>
  <c r="C83" i="40"/>
  <c r="M86" i="40"/>
  <c r="I87" i="40"/>
  <c r="H86" i="40"/>
  <c r="C115" i="40"/>
  <c r="L157" i="40"/>
  <c r="C157" i="40" s="1"/>
  <c r="J154" i="40"/>
  <c r="C182" i="40"/>
  <c r="C195" i="40"/>
  <c r="C291" i="39"/>
  <c r="G290" i="40"/>
  <c r="I25" i="40"/>
  <c r="C25" i="40" s="1"/>
  <c r="F58" i="40"/>
  <c r="C58" i="40" s="1"/>
  <c r="O72" i="40"/>
  <c r="M70" i="40"/>
  <c r="O70" i="40" s="1"/>
  <c r="I80" i="40"/>
  <c r="C80" i="40" s="1"/>
  <c r="G79" i="40"/>
  <c r="F87" i="40"/>
  <c r="C87" i="40" s="1"/>
  <c r="D86" i="40"/>
  <c r="F86" i="40" s="1"/>
  <c r="K86" i="40"/>
  <c r="L92" i="40"/>
  <c r="O125" i="40"/>
  <c r="N86" i="40"/>
  <c r="N78" i="40" s="1"/>
  <c r="N55" i="40" s="1"/>
  <c r="N54" i="40" s="1"/>
  <c r="F134" i="40"/>
  <c r="C134" i="40" s="1"/>
  <c r="E133" i="40"/>
  <c r="H133" i="40"/>
  <c r="H78" i="40" s="1"/>
  <c r="I139" i="40"/>
  <c r="M289" i="40"/>
  <c r="O289" i="40" s="1"/>
  <c r="D61" i="40"/>
  <c r="F61" i="40" s="1"/>
  <c r="J70" i="40"/>
  <c r="E168" i="40"/>
  <c r="F168" i="40" s="1"/>
  <c r="C168" i="40" s="1"/>
  <c r="M168" i="40"/>
  <c r="O168" i="40" s="1"/>
  <c r="M176" i="40"/>
  <c r="O176" i="40" s="1"/>
  <c r="D177" i="40"/>
  <c r="H177" i="40"/>
  <c r="G190" i="40"/>
  <c r="I190" i="40" s="1"/>
  <c r="G194" i="40"/>
  <c r="I194" i="40" s="1"/>
  <c r="C194" i="40" s="1"/>
  <c r="K194" i="40"/>
  <c r="L194" i="40" s="1"/>
  <c r="L199" i="40"/>
  <c r="F201" i="40"/>
  <c r="D199" i="40"/>
  <c r="J207" i="40"/>
  <c r="C227" i="40"/>
  <c r="C228" i="40"/>
  <c r="I230" i="40"/>
  <c r="C230" i="40" s="1"/>
  <c r="G207" i="40"/>
  <c r="I207" i="40" s="1"/>
  <c r="J233" i="40"/>
  <c r="L233" i="40" s="1"/>
  <c r="C235" i="40"/>
  <c r="F236" i="40"/>
  <c r="O236" i="40"/>
  <c r="M234" i="40"/>
  <c r="L238" i="40"/>
  <c r="C238" i="40" s="1"/>
  <c r="C243" i="40"/>
  <c r="C244" i="40"/>
  <c r="C252" i="40"/>
  <c r="C261" i="40"/>
  <c r="O271" i="40"/>
  <c r="C274" i="40"/>
  <c r="C282" i="40"/>
  <c r="C291" i="40"/>
  <c r="C28" i="41"/>
  <c r="C46" i="41"/>
  <c r="J55" i="41"/>
  <c r="L56" i="41"/>
  <c r="H55" i="41"/>
  <c r="M56" i="41"/>
  <c r="O57" i="41"/>
  <c r="I79" i="41"/>
  <c r="H78" i="41"/>
  <c r="O86" i="41"/>
  <c r="C106" i="41"/>
  <c r="M198" i="40"/>
  <c r="O199" i="40"/>
  <c r="N287" i="40"/>
  <c r="F79" i="41"/>
  <c r="M78" i="41"/>
  <c r="O79" i="41"/>
  <c r="G176" i="40"/>
  <c r="K176" i="40"/>
  <c r="L176" i="40" s="1"/>
  <c r="I201" i="40"/>
  <c r="G199" i="40"/>
  <c r="L201" i="40"/>
  <c r="F57" i="41"/>
  <c r="D56" i="41"/>
  <c r="E78" i="41"/>
  <c r="H198" i="40"/>
  <c r="H197" i="40" s="1"/>
  <c r="C203" i="40"/>
  <c r="D207" i="40"/>
  <c r="F207" i="40" s="1"/>
  <c r="F208" i="40"/>
  <c r="I208" i="40"/>
  <c r="C211" i="40"/>
  <c r="C223" i="40"/>
  <c r="C231" i="40"/>
  <c r="G234" i="40"/>
  <c r="E55" i="41"/>
  <c r="I58" i="41"/>
  <c r="G57" i="41"/>
  <c r="C61" i="41"/>
  <c r="C70" i="41"/>
  <c r="C115" i="41"/>
  <c r="C125" i="41"/>
  <c r="D234" i="40"/>
  <c r="L234" i="40"/>
  <c r="O255" i="40"/>
  <c r="L262" i="40"/>
  <c r="F272" i="40"/>
  <c r="J272" i="40"/>
  <c r="F284" i="40"/>
  <c r="I25" i="41"/>
  <c r="M289" i="41"/>
  <c r="O289" i="41" s="1"/>
  <c r="O290" i="41"/>
  <c r="F58" i="41"/>
  <c r="C58" i="41" s="1"/>
  <c r="F80" i="41"/>
  <c r="C80" i="41" s="1"/>
  <c r="D86" i="41"/>
  <c r="F86" i="41" s="1"/>
  <c r="C86" i="41" s="1"/>
  <c r="O87" i="41"/>
  <c r="N133" i="41"/>
  <c r="N78" i="41" s="1"/>
  <c r="C164" i="41"/>
  <c r="F169" i="41"/>
  <c r="L177" i="41"/>
  <c r="K176" i="41"/>
  <c r="K55" i="41" s="1"/>
  <c r="K54" i="41" s="1"/>
  <c r="I182" i="41"/>
  <c r="F190" i="41"/>
  <c r="F194" i="41"/>
  <c r="C194" i="41" s="1"/>
  <c r="G197" i="41"/>
  <c r="I198" i="41"/>
  <c r="L255" i="40"/>
  <c r="C255" i="40" s="1"/>
  <c r="I262" i="40"/>
  <c r="C262" i="40" s="1"/>
  <c r="G272" i="40"/>
  <c r="O272" i="40"/>
  <c r="O284" i="40"/>
  <c r="G24" i="41"/>
  <c r="I24" i="41" s="1"/>
  <c r="K24" i="41"/>
  <c r="F25" i="41"/>
  <c r="J289" i="41"/>
  <c r="L289" i="41" s="1"/>
  <c r="L290" i="41"/>
  <c r="J30" i="41"/>
  <c r="L57" i="41"/>
  <c r="O58" i="41"/>
  <c r="L79" i="41"/>
  <c r="O80" i="41"/>
  <c r="L87" i="41"/>
  <c r="C87" i="41" s="1"/>
  <c r="L133" i="41"/>
  <c r="C144" i="41"/>
  <c r="I154" i="41"/>
  <c r="C156" i="41"/>
  <c r="M176" i="41"/>
  <c r="O176" i="41" s="1"/>
  <c r="O177" i="41"/>
  <c r="I176" i="41"/>
  <c r="C184" i="41"/>
  <c r="C185" i="41"/>
  <c r="O190" i="41"/>
  <c r="O194" i="41"/>
  <c r="J198" i="41"/>
  <c r="E198" i="41"/>
  <c r="E197" i="41" s="1"/>
  <c r="F207" i="41"/>
  <c r="C207" i="41" s="1"/>
  <c r="O207" i="41"/>
  <c r="C219" i="41"/>
  <c r="D24" i="41"/>
  <c r="F24" i="41" s="1"/>
  <c r="H24" i="41"/>
  <c r="I290" i="41"/>
  <c r="G289" i="41"/>
  <c r="I289" i="41" s="1"/>
  <c r="G133" i="41"/>
  <c r="C173" i="41"/>
  <c r="C181" i="41"/>
  <c r="C182" i="41"/>
  <c r="K197" i="41"/>
  <c r="D289" i="41"/>
  <c r="F289" i="41" s="1"/>
  <c r="F290" i="41"/>
  <c r="C154" i="41"/>
  <c r="M168" i="41"/>
  <c r="O168" i="41" s="1"/>
  <c r="C168" i="41" s="1"/>
  <c r="O169" i="41"/>
  <c r="D177" i="41"/>
  <c r="F178" i="41"/>
  <c r="C178" i="41" s="1"/>
  <c r="I178" i="41"/>
  <c r="L191" i="41"/>
  <c r="L195" i="41"/>
  <c r="D199" i="41"/>
  <c r="L199" i="41"/>
  <c r="O208" i="41"/>
  <c r="L236" i="41"/>
  <c r="C236" i="41" s="1"/>
  <c r="C242" i="41"/>
  <c r="M261" i="41"/>
  <c r="O261" i="41" s="1"/>
  <c r="C261" i="41" s="1"/>
  <c r="O262" i="41"/>
  <c r="C291" i="41"/>
  <c r="I191" i="41"/>
  <c r="C191" i="41" s="1"/>
  <c r="I195" i="41"/>
  <c r="C195" i="41" s="1"/>
  <c r="I199" i="41"/>
  <c r="M199" i="41"/>
  <c r="L208" i="41"/>
  <c r="C208" i="41" s="1"/>
  <c r="I234" i="41"/>
  <c r="O234" i="41"/>
  <c r="C237" i="41"/>
  <c r="F238" i="41"/>
  <c r="C238" i="41" s="1"/>
  <c r="C246" i="41"/>
  <c r="O249" i="41"/>
  <c r="C249" i="41" s="1"/>
  <c r="C258" i="41"/>
  <c r="F262" i="41"/>
  <c r="C262" i="41" s="1"/>
  <c r="C278" i="41"/>
  <c r="E287" i="41"/>
  <c r="C46" i="42"/>
  <c r="J234" i="41"/>
  <c r="O241" i="41"/>
  <c r="C241" i="41" s="1"/>
  <c r="C245" i="41"/>
  <c r="H254" i="41"/>
  <c r="I255" i="41"/>
  <c r="D254" i="41"/>
  <c r="F255" i="41"/>
  <c r="C255" i="41" s="1"/>
  <c r="F56" i="42"/>
  <c r="E55" i="42"/>
  <c r="L284" i="41"/>
  <c r="D24" i="42"/>
  <c r="G289" i="42"/>
  <c r="I289" i="42" s="1"/>
  <c r="I290" i="42"/>
  <c r="O25" i="42"/>
  <c r="C58" i="42"/>
  <c r="M57" i="42"/>
  <c r="O58" i="42"/>
  <c r="C72" i="42"/>
  <c r="C115" i="42"/>
  <c r="C163" i="42"/>
  <c r="F271" i="41"/>
  <c r="I272" i="41"/>
  <c r="M272" i="41"/>
  <c r="I284" i="41"/>
  <c r="E24" i="42"/>
  <c r="M24" i="42"/>
  <c r="O24" i="42" s="1"/>
  <c r="D289" i="42"/>
  <c r="F289" i="42" s="1"/>
  <c r="F290" i="42"/>
  <c r="L25" i="42"/>
  <c r="C25" i="42" s="1"/>
  <c r="C290" i="42" s="1"/>
  <c r="C289" i="42" s="1"/>
  <c r="J30" i="42"/>
  <c r="C61" i="42"/>
  <c r="D78" i="42"/>
  <c r="C92" i="42"/>
  <c r="C106" i="42"/>
  <c r="C134" i="42"/>
  <c r="C154" i="42"/>
  <c r="J24" i="42"/>
  <c r="L24" i="42" s="1"/>
  <c r="N24" i="42"/>
  <c r="M289" i="42"/>
  <c r="O289" i="42" s="1"/>
  <c r="O290" i="42"/>
  <c r="H78" i="42"/>
  <c r="H55" i="42" s="1"/>
  <c r="H54" i="42" s="1"/>
  <c r="L79" i="42"/>
  <c r="C98" i="42"/>
  <c r="C144" i="42"/>
  <c r="C147" i="42"/>
  <c r="L290" i="42"/>
  <c r="J289" i="42"/>
  <c r="L289" i="42" s="1"/>
  <c r="I79" i="42"/>
  <c r="M78" i="42"/>
  <c r="O79" i="42"/>
  <c r="I168" i="42"/>
  <c r="C168" i="42" s="1"/>
  <c r="J70" i="42"/>
  <c r="L70" i="42" s="1"/>
  <c r="E79" i="42"/>
  <c r="E78" i="42" s="1"/>
  <c r="N86" i="42"/>
  <c r="N78" i="42" s="1"/>
  <c r="K133" i="42"/>
  <c r="K78" i="42" s="1"/>
  <c r="H168" i="42"/>
  <c r="C187" i="42"/>
  <c r="C194" i="42"/>
  <c r="C195" i="42"/>
  <c r="C208" i="42"/>
  <c r="C236" i="42"/>
  <c r="C238" i="42"/>
  <c r="C249" i="42"/>
  <c r="O254" i="42"/>
  <c r="N233" i="42"/>
  <c r="N197" i="42" s="1"/>
  <c r="G70" i="42"/>
  <c r="F79" i="42"/>
  <c r="I80" i="42"/>
  <c r="C80" i="42" s="1"/>
  <c r="G86" i="42"/>
  <c r="I86" i="42" s="1"/>
  <c r="F87" i="42"/>
  <c r="C87" i="42" s="1"/>
  <c r="O134" i="42"/>
  <c r="L169" i="42"/>
  <c r="C169" i="42" s="1"/>
  <c r="C178" i="42"/>
  <c r="C198" i="42"/>
  <c r="C199" i="42"/>
  <c r="C201" i="42"/>
  <c r="C207" i="42"/>
  <c r="C219" i="42"/>
  <c r="K233" i="42"/>
  <c r="K197" i="42" s="1"/>
  <c r="D233" i="42"/>
  <c r="L254" i="42"/>
  <c r="J233" i="42"/>
  <c r="C274" i="42"/>
  <c r="L177" i="42"/>
  <c r="C177" i="42" s="1"/>
  <c r="C254" i="42"/>
  <c r="C261" i="42"/>
  <c r="C278" i="42"/>
  <c r="C291" i="42"/>
  <c r="C284" i="42"/>
  <c r="E234" i="42"/>
  <c r="E233" i="42" s="1"/>
  <c r="E197" i="42" s="1"/>
  <c r="M234" i="42"/>
  <c r="F241" i="42"/>
  <c r="C241" i="42" s="1"/>
  <c r="L255" i="42"/>
  <c r="C255" i="42" s="1"/>
  <c r="I262" i="42"/>
  <c r="C262" i="42" s="1"/>
  <c r="L271" i="42"/>
  <c r="G272" i="42"/>
  <c r="O272" i="42"/>
  <c r="O284" i="42"/>
  <c r="D287" i="42"/>
  <c r="H234" i="42"/>
  <c r="H233" i="42" s="1"/>
  <c r="H197" i="42" s="1"/>
  <c r="N55" i="42" l="1"/>
  <c r="N54" i="42" s="1"/>
  <c r="N287" i="42"/>
  <c r="E288" i="34"/>
  <c r="E53" i="34"/>
  <c r="C290" i="29"/>
  <c r="C289" i="29" s="1"/>
  <c r="K53" i="41"/>
  <c r="K288" i="41"/>
  <c r="N55" i="41"/>
  <c r="N54" i="41" s="1"/>
  <c r="N287" i="41"/>
  <c r="O78" i="34"/>
  <c r="N55" i="34"/>
  <c r="N54" i="34" s="1"/>
  <c r="L233" i="30"/>
  <c r="K197" i="30"/>
  <c r="K287" i="30"/>
  <c r="K55" i="42"/>
  <c r="K54" i="42" s="1"/>
  <c r="L78" i="42"/>
  <c r="K287" i="42"/>
  <c r="N53" i="40"/>
  <c r="N288" i="40"/>
  <c r="H55" i="39"/>
  <c r="I190" i="39"/>
  <c r="C190" i="39" s="1"/>
  <c r="C24" i="29"/>
  <c r="K53" i="28"/>
  <c r="K290" i="28"/>
  <c r="L54" i="28"/>
  <c r="J53" i="28"/>
  <c r="L53" i="28" s="1"/>
  <c r="J288" i="28"/>
  <c r="L288" i="28" s="1"/>
  <c r="K53" i="39"/>
  <c r="K288" i="39"/>
  <c r="K53" i="38"/>
  <c r="K288" i="38"/>
  <c r="C290" i="35"/>
  <c r="C289" i="35" s="1"/>
  <c r="C290" i="32"/>
  <c r="C289" i="32" s="1"/>
  <c r="H197" i="30"/>
  <c r="H287" i="30"/>
  <c r="H53" i="28"/>
  <c r="H288" i="28"/>
  <c r="H288" i="42"/>
  <c r="H53" i="42"/>
  <c r="I234" i="42"/>
  <c r="L233" i="42"/>
  <c r="J197" i="42"/>
  <c r="L197" i="42" s="1"/>
  <c r="C79" i="42"/>
  <c r="L133" i="42"/>
  <c r="C133" i="42" s="1"/>
  <c r="G78" i="42"/>
  <c r="I78" i="42" s="1"/>
  <c r="C284" i="41"/>
  <c r="J56" i="42"/>
  <c r="F24" i="42"/>
  <c r="C24" i="42" s="1"/>
  <c r="F254" i="41"/>
  <c r="D233" i="41"/>
  <c r="K287" i="41"/>
  <c r="O199" i="41"/>
  <c r="M198" i="41"/>
  <c r="D176" i="41"/>
  <c r="F176" i="41" s="1"/>
  <c r="C176" i="41" s="1"/>
  <c r="F177" i="41"/>
  <c r="C177" i="41" s="1"/>
  <c r="C25" i="41"/>
  <c r="M233" i="41"/>
  <c r="O233" i="41" s="1"/>
  <c r="C190" i="41"/>
  <c r="L176" i="41"/>
  <c r="J271" i="40"/>
  <c r="L272" i="40"/>
  <c r="E54" i="41"/>
  <c r="D78" i="41"/>
  <c r="F78" i="41" s="1"/>
  <c r="C236" i="40"/>
  <c r="D198" i="40"/>
  <c r="F199" i="40"/>
  <c r="D176" i="40"/>
  <c r="F176" i="40" s="1"/>
  <c r="F177" i="40"/>
  <c r="L70" i="40"/>
  <c r="J56" i="40"/>
  <c r="O290" i="40"/>
  <c r="D57" i="40"/>
  <c r="K78" i="40"/>
  <c r="L79" i="40"/>
  <c r="I56" i="40"/>
  <c r="C24" i="40"/>
  <c r="D78" i="40"/>
  <c r="F78" i="40" s="1"/>
  <c r="O57" i="40"/>
  <c r="M56" i="40"/>
  <c r="O234" i="39"/>
  <c r="M233" i="39"/>
  <c r="F199" i="39"/>
  <c r="C199" i="39" s="1"/>
  <c r="D198" i="39"/>
  <c r="C177" i="39"/>
  <c r="F133" i="40"/>
  <c r="E78" i="40"/>
  <c r="D233" i="39"/>
  <c r="F234" i="39"/>
  <c r="C234" i="39" s="1"/>
  <c r="I198" i="39"/>
  <c r="F70" i="38"/>
  <c r="C70" i="38" s="1"/>
  <c r="D56" i="38"/>
  <c r="F133" i="39"/>
  <c r="N54" i="39"/>
  <c r="M55" i="38"/>
  <c r="O56" i="38"/>
  <c r="M233" i="37"/>
  <c r="O234" i="37"/>
  <c r="I287" i="38"/>
  <c r="E53" i="38"/>
  <c r="E288" i="38"/>
  <c r="C25" i="37"/>
  <c r="L233" i="38"/>
  <c r="G233" i="37"/>
  <c r="M198" i="37"/>
  <c r="O199" i="37"/>
  <c r="J271" i="36"/>
  <c r="L272" i="36"/>
  <c r="O133" i="36"/>
  <c r="C133" i="36" s="1"/>
  <c r="M78" i="36"/>
  <c r="M233" i="36"/>
  <c r="I70" i="36"/>
  <c r="G56" i="36"/>
  <c r="M271" i="35"/>
  <c r="O272" i="35"/>
  <c r="C272" i="35" s="1"/>
  <c r="J233" i="35"/>
  <c r="L234" i="35"/>
  <c r="J197" i="36"/>
  <c r="L198" i="36"/>
  <c r="D289" i="35"/>
  <c r="F289" i="35" s="1"/>
  <c r="F290" i="35"/>
  <c r="C176" i="35"/>
  <c r="J197" i="34"/>
  <c r="L197" i="34" s="1"/>
  <c r="L198" i="34"/>
  <c r="J198" i="33"/>
  <c r="L199" i="33"/>
  <c r="C57" i="36"/>
  <c r="H287" i="35"/>
  <c r="I290" i="35"/>
  <c r="C133" i="35"/>
  <c r="L55" i="35"/>
  <c r="C25" i="34"/>
  <c r="C290" i="34" s="1"/>
  <c r="C289" i="34" s="1"/>
  <c r="H55" i="34"/>
  <c r="H54" i="34" s="1"/>
  <c r="C208" i="32"/>
  <c r="C79" i="32"/>
  <c r="O133" i="34"/>
  <c r="C133" i="34" s="1"/>
  <c r="K78" i="34"/>
  <c r="C57" i="34"/>
  <c r="G197" i="33"/>
  <c r="I197" i="33" s="1"/>
  <c r="O78" i="33"/>
  <c r="M55" i="33"/>
  <c r="M55" i="32"/>
  <c r="O56" i="32"/>
  <c r="L197" i="31"/>
  <c r="C197" i="31" s="1"/>
  <c r="J54" i="31"/>
  <c r="I198" i="30"/>
  <c r="C57" i="32"/>
  <c r="I207" i="28"/>
  <c r="G198" i="28"/>
  <c r="O194" i="28"/>
  <c r="M190" i="28"/>
  <c r="E54" i="30"/>
  <c r="I55" i="27"/>
  <c r="G54" i="27"/>
  <c r="I207" i="30"/>
  <c r="C207" i="30" s="1"/>
  <c r="L233" i="28"/>
  <c r="C233" i="28" s="1"/>
  <c r="F56" i="28"/>
  <c r="D55" i="28"/>
  <c r="D287" i="27"/>
  <c r="K288" i="27"/>
  <c r="M197" i="27"/>
  <c r="L254" i="30"/>
  <c r="C254" i="30" s="1"/>
  <c r="K287" i="29"/>
  <c r="L287" i="29" s="1"/>
  <c r="L54" i="29"/>
  <c r="G287" i="27"/>
  <c r="I287" i="27" s="1"/>
  <c r="M233" i="42"/>
  <c r="O234" i="42"/>
  <c r="D197" i="42"/>
  <c r="F197" i="42" s="1"/>
  <c r="F233" i="42"/>
  <c r="H287" i="42"/>
  <c r="I70" i="42"/>
  <c r="C70" i="42" s="1"/>
  <c r="G56" i="42"/>
  <c r="O272" i="41"/>
  <c r="C272" i="41" s="1"/>
  <c r="M271" i="41"/>
  <c r="D198" i="41"/>
  <c r="F199" i="41"/>
  <c r="C199" i="41" s="1"/>
  <c r="C24" i="41"/>
  <c r="L30" i="41"/>
  <c r="C30" i="41" s="1"/>
  <c r="J24" i="41"/>
  <c r="L24" i="41" s="1"/>
  <c r="I272" i="40"/>
  <c r="C272" i="40" s="1"/>
  <c r="G271" i="40"/>
  <c r="C169" i="41"/>
  <c r="F234" i="40"/>
  <c r="D233" i="40"/>
  <c r="G233" i="40"/>
  <c r="I233" i="40" s="1"/>
  <c r="I234" i="40"/>
  <c r="D55" i="41"/>
  <c r="F56" i="41"/>
  <c r="I199" i="40"/>
  <c r="G198" i="40"/>
  <c r="C79" i="41"/>
  <c r="L55" i="41"/>
  <c r="C201" i="40"/>
  <c r="K190" i="40"/>
  <c r="C61" i="40"/>
  <c r="G289" i="40"/>
  <c r="I289" i="40" s="1"/>
  <c r="I290" i="40"/>
  <c r="L154" i="40"/>
  <c r="C154" i="40" s="1"/>
  <c r="J133" i="40"/>
  <c r="L133" i="40" s="1"/>
  <c r="I133" i="40"/>
  <c r="L30" i="40"/>
  <c r="C30" i="40" s="1"/>
  <c r="J289" i="40"/>
  <c r="L289" i="40" s="1"/>
  <c r="L290" i="40"/>
  <c r="I272" i="39"/>
  <c r="G271" i="39"/>
  <c r="C139" i="40"/>
  <c r="J271" i="39"/>
  <c r="J197" i="39" s="1"/>
  <c r="L197" i="39" s="1"/>
  <c r="L272" i="39"/>
  <c r="H197" i="39"/>
  <c r="H233" i="39"/>
  <c r="L272" i="38"/>
  <c r="J271" i="38"/>
  <c r="D198" i="37"/>
  <c r="F199" i="37"/>
  <c r="C199" i="37" s="1"/>
  <c r="G78" i="39"/>
  <c r="O177" i="36"/>
  <c r="C177" i="36" s="1"/>
  <c r="N176" i="36"/>
  <c r="L56" i="39"/>
  <c r="G176" i="37"/>
  <c r="I176" i="37" s="1"/>
  <c r="C176" i="37" s="1"/>
  <c r="I177" i="37"/>
  <c r="L24" i="37"/>
  <c r="C24" i="37" s="1"/>
  <c r="C272" i="36"/>
  <c r="L234" i="36"/>
  <c r="K197" i="36"/>
  <c r="G233" i="35"/>
  <c r="I234" i="35"/>
  <c r="D78" i="37"/>
  <c r="F78" i="37" s="1"/>
  <c r="M55" i="37"/>
  <c r="H287" i="36"/>
  <c r="C234" i="35"/>
  <c r="C169" i="35"/>
  <c r="K288" i="35"/>
  <c r="D55" i="36"/>
  <c r="F56" i="36"/>
  <c r="O78" i="35"/>
  <c r="M55" i="35"/>
  <c r="I289" i="35"/>
  <c r="O199" i="33"/>
  <c r="M198" i="33"/>
  <c r="K78" i="36"/>
  <c r="K55" i="36" s="1"/>
  <c r="K54" i="36" s="1"/>
  <c r="H54" i="36"/>
  <c r="E287" i="35"/>
  <c r="F287" i="35" s="1"/>
  <c r="G55" i="35"/>
  <c r="I190" i="35"/>
  <c r="C190" i="35" s="1"/>
  <c r="N288" i="35"/>
  <c r="O198" i="34"/>
  <c r="M233" i="33"/>
  <c r="O234" i="33"/>
  <c r="C25" i="33"/>
  <c r="C290" i="33" s="1"/>
  <c r="C289" i="33" s="1"/>
  <c r="G54" i="33"/>
  <c r="I55" i="33"/>
  <c r="C290" i="31"/>
  <c r="C289" i="31" s="1"/>
  <c r="C79" i="34"/>
  <c r="C177" i="33"/>
  <c r="F78" i="33"/>
  <c r="C78" i="33" s="1"/>
  <c r="J198" i="32"/>
  <c r="L199" i="32"/>
  <c r="I70" i="32"/>
  <c r="C70" i="32" s="1"/>
  <c r="G56" i="32"/>
  <c r="C177" i="34"/>
  <c r="I56" i="34"/>
  <c r="E287" i="33"/>
  <c r="H53" i="33"/>
  <c r="H288" i="33"/>
  <c r="O199" i="32"/>
  <c r="M198" i="32"/>
  <c r="C178" i="32"/>
  <c r="F56" i="34"/>
  <c r="D55" i="34"/>
  <c r="H288" i="32"/>
  <c r="H53" i="32"/>
  <c r="C290" i="30"/>
  <c r="L199" i="30"/>
  <c r="J198" i="30"/>
  <c r="C25" i="30"/>
  <c r="C25" i="28"/>
  <c r="I271" i="27"/>
  <c r="H197" i="27"/>
  <c r="F56" i="32"/>
  <c r="D55" i="32"/>
  <c r="C178" i="30"/>
  <c r="D198" i="28"/>
  <c r="F199" i="28"/>
  <c r="C199" i="28" s="1"/>
  <c r="F194" i="28"/>
  <c r="C194" i="28" s="1"/>
  <c r="E190" i="28"/>
  <c r="C284" i="27"/>
  <c r="C25" i="27"/>
  <c r="C177" i="30"/>
  <c r="L207" i="28"/>
  <c r="L233" i="27"/>
  <c r="J197" i="27"/>
  <c r="D54" i="29"/>
  <c r="F55" i="29"/>
  <c r="L198" i="28"/>
  <c r="L78" i="27"/>
  <c r="L57" i="29"/>
  <c r="C57" i="29" s="1"/>
  <c r="L55" i="27"/>
  <c r="K54" i="30"/>
  <c r="G271" i="42"/>
  <c r="I272" i="42"/>
  <c r="C272" i="42" s="1"/>
  <c r="I233" i="42"/>
  <c r="F234" i="42"/>
  <c r="C234" i="42" s="1"/>
  <c r="E287" i="42"/>
  <c r="F287" i="42" s="1"/>
  <c r="O78" i="42"/>
  <c r="O86" i="42"/>
  <c r="C86" i="42" s="1"/>
  <c r="L30" i="42"/>
  <c r="C30" i="42" s="1"/>
  <c r="O57" i="42"/>
  <c r="C57" i="42" s="1"/>
  <c r="M56" i="42"/>
  <c r="E54" i="42"/>
  <c r="J233" i="41"/>
  <c r="L234" i="41"/>
  <c r="C234" i="41" s="1"/>
  <c r="G56" i="41"/>
  <c r="I57" i="41"/>
  <c r="C208" i="40"/>
  <c r="O133" i="41"/>
  <c r="C57" i="41"/>
  <c r="O198" i="40"/>
  <c r="O56" i="41"/>
  <c r="M55" i="41"/>
  <c r="M233" i="40"/>
  <c r="O234" i="40"/>
  <c r="O86" i="40"/>
  <c r="M78" i="40"/>
  <c r="O78" i="40" s="1"/>
  <c r="F72" i="40"/>
  <c r="C72" i="40" s="1"/>
  <c r="D70" i="40"/>
  <c r="F70" i="40" s="1"/>
  <c r="C70" i="40" s="1"/>
  <c r="J78" i="40"/>
  <c r="L78" i="40" s="1"/>
  <c r="L86" i="40"/>
  <c r="C86" i="40" s="1"/>
  <c r="C290" i="40"/>
  <c r="O198" i="39"/>
  <c r="M197" i="39"/>
  <c r="O197" i="39" s="1"/>
  <c r="O70" i="39"/>
  <c r="M56" i="39"/>
  <c r="C25" i="38"/>
  <c r="C290" i="38" s="1"/>
  <c r="C289" i="38" s="1"/>
  <c r="F70" i="39"/>
  <c r="C70" i="39" s="1"/>
  <c r="D56" i="39"/>
  <c r="F290" i="38"/>
  <c r="D289" i="38"/>
  <c r="F289" i="38" s="1"/>
  <c r="C272" i="38"/>
  <c r="E197" i="39"/>
  <c r="E54" i="39" s="1"/>
  <c r="G289" i="38"/>
  <c r="I289" i="38" s="1"/>
  <c r="I290" i="38"/>
  <c r="N54" i="38"/>
  <c r="F78" i="39"/>
  <c r="I55" i="38"/>
  <c r="G54" i="38"/>
  <c r="J55" i="38"/>
  <c r="L79" i="37"/>
  <c r="K78" i="37"/>
  <c r="N287" i="37"/>
  <c r="J233" i="37"/>
  <c r="J197" i="37" s="1"/>
  <c r="L234" i="37"/>
  <c r="L198" i="37"/>
  <c r="C79" i="37"/>
  <c r="D233" i="36"/>
  <c r="F234" i="36"/>
  <c r="C234" i="36" s="1"/>
  <c r="G198" i="36"/>
  <c r="G287" i="36" s="1"/>
  <c r="I287" i="36" s="1"/>
  <c r="I199" i="36"/>
  <c r="C199" i="36" s="1"/>
  <c r="C177" i="37"/>
  <c r="N55" i="37"/>
  <c r="N54" i="37" s="1"/>
  <c r="L30" i="36"/>
  <c r="C30" i="36" s="1"/>
  <c r="J24" i="36"/>
  <c r="L24" i="36" s="1"/>
  <c r="J198" i="35"/>
  <c r="L199" i="35"/>
  <c r="C199" i="35" s="1"/>
  <c r="E287" i="36"/>
  <c r="L70" i="36"/>
  <c r="J56" i="36"/>
  <c r="C207" i="37"/>
  <c r="J78" i="36"/>
  <c r="L78" i="36" s="1"/>
  <c r="E55" i="36"/>
  <c r="E54" i="36" s="1"/>
  <c r="E54" i="35"/>
  <c r="M271" i="32"/>
  <c r="O272" i="32"/>
  <c r="C272" i="32" s="1"/>
  <c r="N287" i="34"/>
  <c r="F272" i="33"/>
  <c r="C272" i="33" s="1"/>
  <c r="D271" i="33"/>
  <c r="L234" i="33"/>
  <c r="J233" i="33"/>
  <c r="I78" i="35"/>
  <c r="M56" i="34"/>
  <c r="F78" i="34"/>
  <c r="F176" i="33"/>
  <c r="C176" i="33" s="1"/>
  <c r="D55" i="33"/>
  <c r="C199" i="32"/>
  <c r="C284" i="30"/>
  <c r="C176" i="34"/>
  <c r="G55" i="34"/>
  <c r="C58" i="32"/>
  <c r="J78" i="34"/>
  <c r="L78" i="34" s="1"/>
  <c r="G78" i="32"/>
  <c r="C289" i="30"/>
  <c r="C177" i="32"/>
  <c r="C199" i="30"/>
  <c r="O290" i="29"/>
  <c r="M289" i="29"/>
  <c r="O289" i="29" s="1"/>
  <c r="O290" i="27"/>
  <c r="M289" i="27"/>
  <c r="O289" i="27" s="1"/>
  <c r="O261" i="27"/>
  <c r="C261" i="27" s="1"/>
  <c r="N233" i="27"/>
  <c r="D289" i="29"/>
  <c r="F289" i="29" s="1"/>
  <c r="F290" i="29"/>
  <c r="M197" i="28"/>
  <c r="O197" i="28" s="1"/>
  <c r="O198" i="28"/>
  <c r="L56" i="29"/>
  <c r="M287" i="28"/>
  <c r="O287" i="28" s="1"/>
  <c r="I57" i="28"/>
  <c r="G56" i="28"/>
  <c r="D55" i="27"/>
  <c r="F176" i="30"/>
  <c r="M55" i="29"/>
  <c r="K288" i="29"/>
  <c r="F290" i="27"/>
  <c r="C290" i="27" s="1"/>
  <c r="F78" i="42"/>
  <c r="C78" i="42" s="1"/>
  <c r="D55" i="42"/>
  <c r="H233" i="41"/>
  <c r="I254" i="41"/>
  <c r="G78" i="41"/>
  <c r="I133" i="41"/>
  <c r="C133" i="41" s="1"/>
  <c r="L198" i="41"/>
  <c r="J197" i="41"/>
  <c r="L197" i="41" s="1"/>
  <c r="C284" i="40"/>
  <c r="O78" i="41"/>
  <c r="L207" i="40"/>
  <c r="C207" i="40" s="1"/>
  <c r="J198" i="40"/>
  <c r="H176" i="40"/>
  <c r="H287" i="40" s="1"/>
  <c r="I177" i="40"/>
  <c r="G78" i="40"/>
  <c r="I78" i="40" s="1"/>
  <c r="I79" i="40"/>
  <c r="C79" i="40" s="1"/>
  <c r="L133" i="39"/>
  <c r="J78" i="39"/>
  <c r="L78" i="39" s="1"/>
  <c r="C92" i="40"/>
  <c r="C289" i="40"/>
  <c r="O133" i="39"/>
  <c r="M78" i="39"/>
  <c r="O78" i="39" s="1"/>
  <c r="C290" i="39"/>
  <c r="C289" i="39" s="1"/>
  <c r="C284" i="37"/>
  <c r="C207" i="39"/>
  <c r="I58" i="37"/>
  <c r="C58" i="37" s="1"/>
  <c r="G57" i="37"/>
  <c r="O233" i="38"/>
  <c r="C233" i="38" s="1"/>
  <c r="M197" i="38"/>
  <c r="O197" i="38" s="1"/>
  <c r="H288" i="38"/>
  <c r="H53" i="38"/>
  <c r="C234" i="37"/>
  <c r="C284" i="36"/>
  <c r="D197" i="36"/>
  <c r="F197" i="36" s="1"/>
  <c r="F198" i="36"/>
  <c r="C24" i="36"/>
  <c r="M198" i="35"/>
  <c r="O199" i="35"/>
  <c r="C25" i="36"/>
  <c r="D55" i="37"/>
  <c r="F56" i="37"/>
  <c r="H288" i="35"/>
  <c r="H53" i="35"/>
  <c r="D197" i="34"/>
  <c r="F197" i="34" s="1"/>
  <c r="C197" i="34" s="1"/>
  <c r="F198" i="34"/>
  <c r="C198" i="34" s="1"/>
  <c r="O207" i="34"/>
  <c r="C207" i="34" s="1"/>
  <c r="C24" i="34"/>
  <c r="C234" i="33"/>
  <c r="D55" i="35"/>
  <c r="F78" i="35"/>
  <c r="C78" i="35" s="1"/>
  <c r="M289" i="33"/>
  <c r="O289" i="33" s="1"/>
  <c r="O290" i="33"/>
  <c r="L190" i="33"/>
  <c r="C190" i="33" s="1"/>
  <c r="K55" i="33"/>
  <c r="E53" i="33"/>
  <c r="E288" i="33"/>
  <c r="J56" i="34"/>
  <c r="J289" i="28"/>
  <c r="L289" i="28" s="1"/>
  <c r="C289" i="28" s="1"/>
  <c r="L290" i="28"/>
  <c r="L55" i="32"/>
  <c r="F234" i="30"/>
  <c r="D233" i="30"/>
  <c r="O290" i="28"/>
  <c r="M289" i="28"/>
  <c r="O289" i="28" s="1"/>
  <c r="F254" i="27"/>
  <c r="C254" i="27" s="1"/>
  <c r="E233" i="27"/>
  <c r="G233" i="30"/>
  <c r="I234" i="30"/>
  <c r="L288" i="29"/>
  <c r="L197" i="28"/>
  <c r="F55" i="30"/>
  <c r="L55" i="30"/>
  <c r="G55" i="29"/>
  <c r="I56" i="29"/>
  <c r="C56" i="29" s="1"/>
  <c r="C287" i="29" s="1"/>
  <c r="C57" i="28"/>
  <c r="O176" i="30"/>
  <c r="M55" i="30"/>
  <c r="C271" i="27"/>
  <c r="C78" i="27"/>
  <c r="H54" i="30"/>
  <c r="L53" i="29"/>
  <c r="F289" i="27"/>
  <c r="C289" i="27" s="1"/>
  <c r="E288" i="39" l="1"/>
  <c r="E53" i="39"/>
  <c r="L197" i="37"/>
  <c r="J54" i="37"/>
  <c r="E197" i="27"/>
  <c r="E287" i="27"/>
  <c r="F233" i="27"/>
  <c r="F233" i="30"/>
  <c r="D287" i="30"/>
  <c r="F287" i="30" s="1"/>
  <c r="D197" i="30"/>
  <c r="O198" i="35"/>
  <c r="M197" i="35"/>
  <c r="O197" i="35" s="1"/>
  <c r="C176" i="30"/>
  <c r="M55" i="34"/>
  <c r="O56" i="34"/>
  <c r="M287" i="34"/>
  <c r="O287" i="34" s="1"/>
  <c r="F271" i="33"/>
  <c r="C271" i="33" s="1"/>
  <c r="D197" i="33"/>
  <c r="F197" i="33" s="1"/>
  <c r="D287" i="33"/>
  <c r="F287" i="33" s="1"/>
  <c r="E288" i="36"/>
  <c r="E53" i="36"/>
  <c r="F233" i="36"/>
  <c r="D287" i="36"/>
  <c r="F287" i="36" s="1"/>
  <c r="K55" i="37"/>
  <c r="K287" i="37"/>
  <c r="O56" i="42"/>
  <c r="M55" i="42"/>
  <c r="K53" i="30"/>
  <c r="K288" i="30"/>
  <c r="D197" i="28"/>
  <c r="F197" i="28" s="1"/>
  <c r="F198" i="28"/>
  <c r="D287" i="28"/>
  <c r="F287" i="28" s="1"/>
  <c r="C56" i="32"/>
  <c r="G55" i="32"/>
  <c r="I56" i="32"/>
  <c r="O233" i="33"/>
  <c r="M287" i="33"/>
  <c r="O287" i="33" s="1"/>
  <c r="I55" i="35"/>
  <c r="M197" i="33"/>
  <c r="O197" i="33" s="1"/>
  <c r="O198" i="33"/>
  <c r="K287" i="36"/>
  <c r="N55" i="36"/>
  <c r="N54" i="36" s="1"/>
  <c r="O176" i="36"/>
  <c r="C176" i="36" s="1"/>
  <c r="N287" i="36"/>
  <c r="D197" i="37"/>
  <c r="F197" i="37" s="1"/>
  <c r="F198" i="37"/>
  <c r="D287" i="37"/>
  <c r="F287" i="37" s="1"/>
  <c r="I233" i="39"/>
  <c r="H287" i="39"/>
  <c r="I198" i="40"/>
  <c r="G197" i="40"/>
  <c r="I197" i="40" s="1"/>
  <c r="I56" i="42"/>
  <c r="G55" i="42"/>
  <c r="F287" i="27"/>
  <c r="E288" i="30"/>
  <c r="E53" i="30"/>
  <c r="G197" i="28"/>
  <c r="I197" i="28" s="1"/>
  <c r="I198" i="28"/>
  <c r="G287" i="28"/>
  <c r="I287" i="28" s="1"/>
  <c r="O55" i="32"/>
  <c r="C199" i="33"/>
  <c r="L233" i="35"/>
  <c r="J287" i="35"/>
  <c r="L287" i="35" s="1"/>
  <c r="C70" i="36"/>
  <c r="I233" i="37"/>
  <c r="G197" i="37"/>
  <c r="I197" i="37" s="1"/>
  <c r="O233" i="37"/>
  <c r="M287" i="37"/>
  <c r="O287" i="37" s="1"/>
  <c r="C133" i="39"/>
  <c r="E55" i="40"/>
  <c r="E54" i="40" s="1"/>
  <c r="E287" i="40"/>
  <c r="J287" i="40"/>
  <c r="L271" i="40"/>
  <c r="C290" i="41"/>
  <c r="C289" i="41" s="1"/>
  <c r="H55" i="40"/>
  <c r="H54" i="40" s="1"/>
  <c r="K53" i="42"/>
  <c r="K288" i="42"/>
  <c r="H288" i="30"/>
  <c r="H53" i="30"/>
  <c r="M54" i="30"/>
  <c r="O55" i="30"/>
  <c r="C55" i="30" s="1"/>
  <c r="G54" i="29"/>
  <c r="I55" i="29"/>
  <c r="C234" i="30"/>
  <c r="K54" i="33"/>
  <c r="L55" i="33"/>
  <c r="D54" i="37"/>
  <c r="F55" i="37"/>
  <c r="I233" i="41"/>
  <c r="H197" i="41"/>
  <c r="H287" i="41"/>
  <c r="N197" i="27"/>
  <c r="N54" i="27" s="1"/>
  <c r="N287" i="27"/>
  <c r="O287" i="27" s="1"/>
  <c r="G54" i="34"/>
  <c r="I55" i="34"/>
  <c r="D54" i="33"/>
  <c r="F55" i="33"/>
  <c r="O271" i="32"/>
  <c r="C271" i="32" s="1"/>
  <c r="M287" i="32"/>
  <c r="O287" i="32" s="1"/>
  <c r="M55" i="39"/>
  <c r="O56" i="39"/>
  <c r="O233" i="40"/>
  <c r="M287" i="40"/>
  <c r="O287" i="40" s="1"/>
  <c r="M197" i="40"/>
  <c r="O197" i="40" s="1"/>
  <c r="F190" i="28"/>
  <c r="E55" i="28"/>
  <c r="E54" i="28" s="1"/>
  <c r="E288" i="28"/>
  <c r="I197" i="27"/>
  <c r="H54" i="27"/>
  <c r="J197" i="30"/>
  <c r="L198" i="30"/>
  <c r="C198" i="30" s="1"/>
  <c r="J287" i="30"/>
  <c r="L287" i="30" s="1"/>
  <c r="M197" i="32"/>
  <c r="O197" i="32" s="1"/>
  <c r="O198" i="32"/>
  <c r="G53" i="33"/>
  <c r="I53" i="33" s="1"/>
  <c r="G288" i="33"/>
  <c r="I288" i="33" s="1"/>
  <c r="I54" i="33"/>
  <c r="O55" i="37"/>
  <c r="I233" i="35"/>
  <c r="C233" i="35" s="1"/>
  <c r="G197" i="35"/>
  <c r="I197" i="35" s="1"/>
  <c r="G287" i="35"/>
  <c r="I287" i="35" s="1"/>
  <c r="I271" i="39"/>
  <c r="G287" i="39"/>
  <c r="I287" i="39" s="1"/>
  <c r="J54" i="41"/>
  <c r="D197" i="41"/>
  <c r="F197" i="41" s="1"/>
  <c r="F198" i="41"/>
  <c r="O197" i="27"/>
  <c r="M54" i="27"/>
  <c r="C207" i="28"/>
  <c r="J53" i="31"/>
  <c r="L53" i="31" s="1"/>
  <c r="C53" i="31" s="1"/>
  <c r="L54" i="31"/>
  <c r="C54" i="31" s="1"/>
  <c r="J288" i="31"/>
  <c r="L288" i="31" s="1"/>
  <c r="C288" i="31" s="1"/>
  <c r="L198" i="33"/>
  <c r="C198" i="33" s="1"/>
  <c r="J197" i="33"/>
  <c r="O233" i="36"/>
  <c r="M287" i="36"/>
  <c r="O287" i="36" s="1"/>
  <c r="M197" i="36"/>
  <c r="O197" i="36" s="1"/>
  <c r="L271" i="36"/>
  <c r="C271" i="36" s="1"/>
  <c r="J287" i="36"/>
  <c r="L287" i="36" s="1"/>
  <c r="D55" i="38"/>
  <c r="F56" i="38"/>
  <c r="C56" i="38" s="1"/>
  <c r="D287" i="38"/>
  <c r="F287" i="38" s="1"/>
  <c r="G197" i="39"/>
  <c r="I197" i="39" s="1"/>
  <c r="C133" i="40"/>
  <c r="O233" i="39"/>
  <c r="M287" i="39"/>
  <c r="O287" i="39" s="1"/>
  <c r="C78" i="40"/>
  <c r="L56" i="40"/>
  <c r="J55" i="40"/>
  <c r="C199" i="40"/>
  <c r="I176" i="40"/>
  <c r="C176" i="40" s="1"/>
  <c r="L56" i="42"/>
  <c r="J55" i="42"/>
  <c r="J287" i="42"/>
  <c r="L287" i="42" s="1"/>
  <c r="I233" i="30"/>
  <c r="G287" i="30"/>
  <c r="I287" i="30" s="1"/>
  <c r="J55" i="34"/>
  <c r="L56" i="34"/>
  <c r="C290" i="36"/>
  <c r="C289" i="36" s="1"/>
  <c r="G56" i="37"/>
  <c r="I57" i="37"/>
  <c r="C57" i="37" s="1"/>
  <c r="L198" i="40"/>
  <c r="J197" i="40"/>
  <c r="L197" i="40" s="1"/>
  <c r="D54" i="27"/>
  <c r="F55" i="27"/>
  <c r="C55" i="27" s="1"/>
  <c r="I78" i="32"/>
  <c r="C78" i="32" s="1"/>
  <c r="G287" i="32"/>
  <c r="I287" i="32" s="1"/>
  <c r="L233" i="33"/>
  <c r="C233" i="33" s="1"/>
  <c r="J287" i="33"/>
  <c r="L287" i="33" s="1"/>
  <c r="G197" i="36"/>
  <c r="I197" i="36" s="1"/>
  <c r="C197" i="36" s="1"/>
  <c r="I198" i="36"/>
  <c r="C198" i="36" s="1"/>
  <c r="L233" i="37"/>
  <c r="J287" i="37"/>
  <c r="L287" i="37" s="1"/>
  <c r="L55" i="38"/>
  <c r="D55" i="39"/>
  <c r="F56" i="39"/>
  <c r="C56" i="39" s="1"/>
  <c r="O55" i="41"/>
  <c r="G55" i="41"/>
  <c r="I56" i="41"/>
  <c r="L233" i="41"/>
  <c r="J287" i="41"/>
  <c r="L287" i="41" s="1"/>
  <c r="I271" i="42"/>
  <c r="C271" i="42" s="1"/>
  <c r="G287" i="42"/>
  <c r="I287" i="42" s="1"/>
  <c r="G197" i="42"/>
  <c r="I197" i="42" s="1"/>
  <c r="C197" i="42" s="1"/>
  <c r="D288" i="29"/>
  <c r="F288" i="29" s="1"/>
  <c r="D53" i="29"/>
  <c r="F53" i="29" s="1"/>
  <c r="F54" i="29"/>
  <c r="D54" i="34"/>
  <c r="F55" i="34"/>
  <c r="H288" i="36"/>
  <c r="H53" i="36"/>
  <c r="F55" i="36"/>
  <c r="D54" i="36"/>
  <c r="J55" i="39"/>
  <c r="I78" i="39"/>
  <c r="C78" i="39" s="1"/>
  <c r="G55" i="39"/>
  <c r="L271" i="38"/>
  <c r="C271" i="38" s="1"/>
  <c r="C287" i="38" s="1"/>
  <c r="J287" i="38"/>
  <c r="L287" i="38" s="1"/>
  <c r="C272" i="39"/>
  <c r="C56" i="41"/>
  <c r="F233" i="40"/>
  <c r="C233" i="40" s="1"/>
  <c r="I271" i="40"/>
  <c r="C271" i="40" s="1"/>
  <c r="G287" i="40"/>
  <c r="I287" i="40" s="1"/>
  <c r="O271" i="41"/>
  <c r="C271" i="41" s="1"/>
  <c r="M287" i="41"/>
  <c r="O287" i="41" s="1"/>
  <c r="O233" i="27"/>
  <c r="D54" i="28"/>
  <c r="F55" i="28"/>
  <c r="G53" i="27"/>
  <c r="I54" i="27"/>
  <c r="G288" i="27"/>
  <c r="O190" i="28"/>
  <c r="M55" i="28"/>
  <c r="O55" i="33"/>
  <c r="M54" i="33"/>
  <c r="K287" i="34"/>
  <c r="K55" i="34"/>
  <c r="K54" i="34" s="1"/>
  <c r="J287" i="34"/>
  <c r="L287" i="34" s="1"/>
  <c r="L197" i="36"/>
  <c r="M287" i="35"/>
  <c r="O287" i="35" s="1"/>
  <c r="O271" i="35"/>
  <c r="C271" i="35" s="1"/>
  <c r="O78" i="36"/>
  <c r="C78" i="36" s="1"/>
  <c r="M55" i="36"/>
  <c r="J197" i="38"/>
  <c r="L197" i="38" s="1"/>
  <c r="C197" i="38" s="1"/>
  <c r="M54" i="38"/>
  <c r="O55" i="38"/>
  <c r="K55" i="40"/>
  <c r="K54" i="40" s="1"/>
  <c r="F198" i="40"/>
  <c r="C198" i="40" s="1"/>
  <c r="D197" i="40"/>
  <c r="F197" i="40" s="1"/>
  <c r="C197" i="40" s="1"/>
  <c r="E288" i="41"/>
  <c r="E53" i="41"/>
  <c r="F233" i="41"/>
  <c r="C233" i="41" s="1"/>
  <c r="D287" i="41"/>
  <c r="F287" i="41" s="1"/>
  <c r="N53" i="34"/>
  <c r="N288" i="34"/>
  <c r="D54" i="35"/>
  <c r="F55" i="35"/>
  <c r="I78" i="41"/>
  <c r="C78" i="41" s="1"/>
  <c r="G287" i="41"/>
  <c r="I287" i="41" s="1"/>
  <c r="D54" i="42"/>
  <c r="F55" i="42"/>
  <c r="O55" i="29"/>
  <c r="C55" i="29" s="1"/>
  <c r="M54" i="29"/>
  <c r="G55" i="28"/>
  <c r="I56" i="28"/>
  <c r="C78" i="34"/>
  <c r="C287" i="34" s="1"/>
  <c r="E288" i="35"/>
  <c r="E53" i="35"/>
  <c r="J55" i="36"/>
  <c r="L56" i="36"/>
  <c r="J197" i="35"/>
  <c r="L198" i="35"/>
  <c r="C198" i="35" s="1"/>
  <c r="N53" i="37"/>
  <c r="N288" i="37"/>
  <c r="G53" i="38"/>
  <c r="I53" i="38" s="1"/>
  <c r="G288" i="38"/>
  <c r="I288" i="38" s="1"/>
  <c r="I54" i="38"/>
  <c r="N53" i="38"/>
  <c r="N288" i="38"/>
  <c r="E288" i="42"/>
  <c r="E53" i="42"/>
  <c r="J54" i="27"/>
  <c r="L197" i="27"/>
  <c r="D54" i="32"/>
  <c r="F55" i="32"/>
  <c r="C56" i="34"/>
  <c r="L198" i="32"/>
  <c r="C198" i="32" s="1"/>
  <c r="J197" i="32"/>
  <c r="J287" i="32"/>
  <c r="L287" i="32" s="1"/>
  <c r="K53" i="36"/>
  <c r="K288" i="36"/>
  <c r="M54" i="35"/>
  <c r="O55" i="35"/>
  <c r="L78" i="37"/>
  <c r="C78" i="37" s="1"/>
  <c r="J287" i="39"/>
  <c r="L287" i="39" s="1"/>
  <c r="L271" i="39"/>
  <c r="L190" i="40"/>
  <c r="C190" i="40" s="1"/>
  <c r="K287" i="40"/>
  <c r="D54" i="41"/>
  <c r="F55" i="41"/>
  <c r="C234" i="40"/>
  <c r="M197" i="42"/>
  <c r="O197" i="42" s="1"/>
  <c r="O233" i="42"/>
  <c r="C233" i="42" s="1"/>
  <c r="M287" i="42"/>
  <c r="O287" i="42" s="1"/>
  <c r="C56" i="28"/>
  <c r="G197" i="30"/>
  <c r="H288" i="34"/>
  <c r="H53" i="34"/>
  <c r="I56" i="36"/>
  <c r="C56" i="36" s="1"/>
  <c r="G55" i="36"/>
  <c r="M197" i="37"/>
  <c r="O197" i="37" s="1"/>
  <c r="O198" i="37"/>
  <c r="C290" i="37"/>
  <c r="C289" i="37" s="1"/>
  <c r="N53" i="39"/>
  <c r="N288" i="39"/>
  <c r="F233" i="39"/>
  <c r="C233" i="39" s="1"/>
  <c r="D287" i="39"/>
  <c r="F287" i="39" s="1"/>
  <c r="D197" i="39"/>
  <c r="F197" i="39" s="1"/>
  <c r="C197" i="39" s="1"/>
  <c r="F198" i="39"/>
  <c r="C198" i="39" s="1"/>
  <c r="M55" i="40"/>
  <c r="O56" i="40"/>
  <c r="G55" i="40"/>
  <c r="D56" i="40"/>
  <c r="D287" i="40" s="1"/>
  <c r="F287" i="40" s="1"/>
  <c r="F57" i="40"/>
  <c r="C57" i="40" s="1"/>
  <c r="C177" i="40"/>
  <c r="M197" i="41"/>
  <c r="O197" i="41" s="1"/>
  <c r="O198" i="41"/>
  <c r="C254" i="41"/>
  <c r="H54" i="39"/>
  <c r="N53" i="41"/>
  <c r="N288" i="41"/>
  <c r="N53" i="42"/>
  <c r="N288" i="42"/>
  <c r="O55" i="40" l="1"/>
  <c r="M54" i="40"/>
  <c r="M53" i="35"/>
  <c r="O53" i="35" s="1"/>
  <c r="O54" i="35"/>
  <c r="M288" i="35"/>
  <c r="O288" i="35" s="1"/>
  <c r="L197" i="32"/>
  <c r="C197" i="32" s="1"/>
  <c r="J54" i="32"/>
  <c r="D288" i="32"/>
  <c r="F288" i="32" s="1"/>
  <c r="D53" i="32"/>
  <c r="F53" i="32" s="1"/>
  <c r="F54" i="32"/>
  <c r="G54" i="28"/>
  <c r="I55" i="28"/>
  <c r="D288" i="42"/>
  <c r="F288" i="42" s="1"/>
  <c r="D53" i="42"/>
  <c r="F53" i="42" s="1"/>
  <c r="F54" i="42"/>
  <c r="D288" i="35"/>
  <c r="F288" i="35" s="1"/>
  <c r="D53" i="35"/>
  <c r="F53" i="35" s="1"/>
  <c r="F54" i="35"/>
  <c r="M53" i="38"/>
  <c r="O53" i="38" s="1"/>
  <c r="O54" i="38"/>
  <c r="M288" i="38"/>
  <c r="O288" i="38" s="1"/>
  <c r="C287" i="35"/>
  <c r="K53" i="34"/>
  <c r="K288" i="34"/>
  <c r="O55" i="28"/>
  <c r="M54" i="28"/>
  <c r="J54" i="39"/>
  <c r="L55" i="39"/>
  <c r="C54" i="29"/>
  <c r="J54" i="38"/>
  <c r="D54" i="38"/>
  <c r="F55" i="38"/>
  <c r="C55" i="38" s="1"/>
  <c r="M53" i="27"/>
  <c r="O53" i="27" s="1"/>
  <c r="O54" i="27"/>
  <c r="M288" i="27"/>
  <c r="M54" i="37"/>
  <c r="M54" i="39"/>
  <c r="O55" i="39"/>
  <c r="C55" i="33"/>
  <c r="G288" i="29"/>
  <c r="I288" i="29" s="1"/>
  <c r="G53" i="29"/>
  <c r="I53" i="29" s="1"/>
  <c r="I54" i="29"/>
  <c r="C233" i="37"/>
  <c r="C287" i="27"/>
  <c r="C287" i="28"/>
  <c r="K54" i="37"/>
  <c r="L55" i="37"/>
  <c r="C287" i="30"/>
  <c r="E54" i="27"/>
  <c r="F197" i="27"/>
  <c r="C197" i="27" s="1"/>
  <c r="H288" i="39"/>
  <c r="H53" i="39"/>
  <c r="D55" i="40"/>
  <c r="F56" i="40"/>
  <c r="C56" i="40" s="1"/>
  <c r="D288" i="41"/>
  <c r="F288" i="41" s="1"/>
  <c r="D53" i="41"/>
  <c r="F53" i="41" s="1"/>
  <c r="F54" i="41"/>
  <c r="L197" i="35"/>
  <c r="J54" i="35"/>
  <c r="M53" i="29"/>
  <c r="O53" i="29" s="1"/>
  <c r="O54" i="29"/>
  <c r="M288" i="29"/>
  <c r="O288" i="29" s="1"/>
  <c r="C55" i="28"/>
  <c r="C53" i="29"/>
  <c r="G54" i="41"/>
  <c r="I55" i="41"/>
  <c r="C55" i="41" s="1"/>
  <c r="D54" i="39"/>
  <c r="F55" i="39"/>
  <c r="J53" i="41"/>
  <c r="L53" i="41" s="1"/>
  <c r="L54" i="41"/>
  <c r="J288" i="41"/>
  <c r="L288" i="41" s="1"/>
  <c r="C197" i="35"/>
  <c r="L197" i="30"/>
  <c r="J54" i="30"/>
  <c r="E53" i="28"/>
  <c r="E290" i="28"/>
  <c r="F290" i="28" s="1"/>
  <c r="C290" i="28" s="1"/>
  <c r="D53" i="33"/>
  <c r="F53" i="33" s="1"/>
  <c r="D288" i="33"/>
  <c r="F288" i="33" s="1"/>
  <c r="F54" i="33"/>
  <c r="N53" i="27"/>
  <c r="N288" i="27"/>
  <c r="K53" i="33"/>
  <c r="K288" i="33"/>
  <c r="M54" i="32"/>
  <c r="C198" i="37"/>
  <c r="N53" i="36"/>
  <c r="N288" i="36"/>
  <c r="C198" i="28"/>
  <c r="M54" i="42"/>
  <c r="O55" i="42"/>
  <c r="C233" i="30"/>
  <c r="I55" i="40"/>
  <c r="G54" i="40"/>
  <c r="G54" i="36"/>
  <c r="I55" i="36"/>
  <c r="I197" i="30"/>
  <c r="G54" i="30"/>
  <c r="J53" i="27"/>
  <c r="L53" i="27" s="1"/>
  <c r="L54" i="27"/>
  <c r="J288" i="27"/>
  <c r="L288" i="27" s="1"/>
  <c r="K53" i="40"/>
  <c r="K288" i="40"/>
  <c r="M54" i="36"/>
  <c r="O55" i="36"/>
  <c r="M53" i="33"/>
  <c r="O53" i="33" s="1"/>
  <c r="O54" i="33"/>
  <c r="M288" i="33"/>
  <c r="O288" i="33" s="1"/>
  <c r="D53" i="28"/>
  <c r="F54" i="28"/>
  <c r="D288" i="28"/>
  <c r="F288" i="28" s="1"/>
  <c r="I55" i="39"/>
  <c r="G54" i="39"/>
  <c r="D288" i="36"/>
  <c r="F288" i="36" s="1"/>
  <c r="D53" i="36"/>
  <c r="F53" i="36" s="1"/>
  <c r="F54" i="36"/>
  <c r="C288" i="29"/>
  <c r="F54" i="27"/>
  <c r="C54" i="27" s="1"/>
  <c r="D288" i="27"/>
  <c r="D53" i="27"/>
  <c r="L197" i="33"/>
  <c r="J54" i="33"/>
  <c r="H288" i="27"/>
  <c r="I288" i="27" s="1"/>
  <c r="H53" i="27"/>
  <c r="I53" i="27" s="1"/>
  <c r="C190" i="28"/>
  <c r="M53" i="30"/>
  <c r="O53" i="30" s="1"/>
  <c r="O54" i="30"/>
  <c r="M288" i="30"/>
  <c r="O288" i="30" s="1"/>
  <c r="L287" i="40"/>
  <c r="C287" i="40" s="1"/>
  <c r="E288" i="40"/>
  <c r="E53" i="40"/>
  <c r="G54" i="42"/>
  <c r="I55" i="42"/>
  <c r="C55" i="42" s="1"/>
  <c r="C197" i="37"/>
  <c r="G54" i="35"/>
  <c r="G54" i="32"/>
  <c r="I55" i="32"/>
  <c r="C55" i="32" s="1"/>
  <c r="C197" i="28"/>
  <c r="C233" i="36"/>
  <c r="C287" i="36" s="1"/>
  <c r="C197" i="33"/>
  <c r="O55" i="34"/>
  <c r="M54" i="34"/>
  <c r="C233" i="27"/>
  <c r="J54" i="36"/>
  <c r="L55" i="36"/>
  <c r="C55" i="35"/>
  <c r="C55" i="36"/>
  <c r="D288" i="34"/>
  <c r="F288" i="34" s="1"/>
  <c r="D53" i="34"/>
  <c r="F53" i="34" s="1"/>
  <c r="F54" i="34"/>
  <c r="M54" i="41"/>
  <c r="G55" i="37"/>
  <c r="I56" i="37"/>
  <c r="C56" i="37" s="1"/>
  <c r="J54" i="34"/>
  <c r="L55" i="34"/>
  <c r="C55" i="34" s="1"/>
  <c r="L55" i="42"/>
  <c r="J54" i="42"/>
  <c r="J54" i="40"/>
  <c r="L55" i="40"/>
  <c r="C198" i="41"/>
  <c r="C287" i="41" s="1"/>
  <c r="C271" i="39"/>
  <c r="C287" i="39" s="1"/>
  <c r="C287" i="32"/>
  <c r="G288" i="34"/>
  <c r="I288" i="34" s="1"/>
  <c r="G53" i="34"/>
  <c r="I53" i="34" s="1"/>
  <c r="I54" i="34"/>
  <c r="I197" i="41"/>
  <c r="C197" i="41" s="1"/>
  <c r="H54" i="41"/>
  <c r="D288" i="37"/>
  <c r="F288" i="37" s="1"/>
  <c r="D53" i="37"/>
  <c r="F53" i="37" s="1"/>
  <c r="F54" i="37"/>
  <c r="H288" i="40"/>
  <c r="H53" i="40"/>
  <c r="G287" i="37"/>
  <c r="I287" i="37" s="1"/>
  <c r="C56" i="42"/>
  <c r="C287" i="42" s="1"/>
  <c r="C287" i="33"/>
  <c r="F197" i="30"/>
  <c r="C197" i="30" s="1"/>
  <c r="D54" i="30"/>
  <c r="J53" i="37"/>
  <c r="L54" i="37"/>
  <c r="J288" i="37"/>
  <c r="J53" i="36" l="1"/>
  <c r="L53" i="36" s="1"/>
  <c r="L54" i="36"/>
  <c r="J288" i="36"/>
  <c r="L288" i="36" s="1"/>
  <c r="L54" i="33"/>
  <c r="J53" i="33"/>
  <c r="L53" i="33" s="1"/>
  <c r="J288" i="33"/>
  <c r="L288" i="33" s="1"/>
  <c r="L54" i="40"/>
  <c r="J53" i="40"/>
  <c r="L53" i="40" s="1"/>
  <c r="J288" i="40"/>
  <c r="L288" i="40" s="1"/>
  <c r="L54" i="34"/>
  <c r="C54" i="34" s="1"/>
  <c r="J53" i="34"/>
  <c r="L53" i="34" s="1"/>
  <c r="J288" i="34"/>
  <c r="L288" i="34" s="1"/>
  <c r="G288" i="32"/>
  <c r="I288" i="32" s="1"/>
  <c r="G53" i="32"/>
  <c r="I53" i="32" s="1"/>
  <c r="C53" i="32" s="1"/>
  <c r="I54" i="32"/>
  <c r="G288" i="42"/>
  <c r="I288" i="42" s="1"/>
  <c r="I54" i="42"/>
  <c r="G53" i="42"/>
  <c r="I53" i="42" s="1"/>
  <c r="G288" i="36"/>
  <c r="I288" i="36" s="1"/>
  <c r="C288" i="36" s="1"/>
  <c r="G53" i="36"/>
  <c r="I53" i="36" s="1"/>
  <c r="I54" i="36"/>
  <c r="C288" i="33"/>
  <c r="J53" i="30"/>
  <c r="L53" i="30" s="1"/>
  <c r="L54" i="30"/>
  <c r="J288" i="30"/>
  <c r="L288" i="30" s="1"/>
  <c r="J53" i="35"/>
  <c r="L53" i="35" s="1"/>
  <c r="L54" i="35"/>
  <c r="J288" i="35"/>
  <c r="L288" i="35" s="1"/>
  <c r="C287" i="37"/>
  <c r="C288" i="42"/>
  <c r="O54" i="40"/>
  <c r="M53" i="40"/>
  <c r="O53" i="40" s="1"/>
  <c r="M288" i="40"/>
  <c r="O288" i="40" s="1"/>
  <c r="D288" i="30"/>
  <c r="F288" i="30" s="1"/>
  <c r="D53" i="30"/>
  <c r="F53" i="30" s="1"/>
  <c r="F54" i="30"/>
  <c r="J53" i="42"/>
  <c r="L53" i="42" s="1"/>
  <c r="L54" i="42"/>
  <c r="J288" i="42"/>
  <c r="L288" i="42" s="1"/>
  <c r="I54" i="35"/>
  <c r="G288" i="35"/>
  <c r="I288" i="35" s="1"/>
  <c r="G53" i="35"/>
  <c r="I53" i="35" s="1"/>
  <c r="C53" i="35" s="1"/>
  <c r="F53" i="27"/>
  <c r="C53" i="27" s="1"/>
  <c r="G288" i="39"/>
  <c r="I288" i="39" s="1"/>
  <c r="G53" i="39"/>
  <c r="I53" i="39" s="1"/>
  <c r="I54" i="39"/>
  <c r="F53" i="28"/>
  <c r="G288" i="30"/>
  <c r="I288" i="30" s="1"/>
  <c r="I54" i="30"/>
  <c r="G53" i="30"/>
  <c r="I53" i="30" s="1"/>
  <c r="G288" i="40"/>
  <c r="I288" i="40" s="1"/>
  <c r="G53" i="40"/>
  <c r="I53" i="40" s="1"/>
  <c r="I54" i="40"/>
  <c r="M53" i="42"/>
  <c r="O53" i="42" s="1"/>
  <c r="O54" i="42"/>
  <c r="M288" i="42"/>
  <c r="O288" i="42" s="1"/>
  <c r="C53" i="33"/>
  <c r="G288" i="41"/>
  <c r="I288" i="41" s="1"/>
  <c r="C288" i="41" s="1"/>
  <c r="I54" i="41"/>
  <c r="C54" i="41" s="1"/>
  <c r="G53" i="41"/>
  <c r="K53" i="37"/>
  <c r="L53" i="37" s="1"/>
  <c r="K288" i="37"/>
  <c r="O288" i="27"/>
  <c r="D288" i="38"/>
  <c r="F288" i="38" s="1"/>
  <c r="F54" i="38"/>
  <c r="D53" i="38"/>
  <c r="F53" i="38" s="1"/>
  <c r="C53" i="38" s="1"/>
  <c r="J53" i="39"/>
  <c r="L53" i="39" s="1"/>
  <c r="L54" i="39"/>
  <c r="J288" i="39"/>
  <c r="L288" i="39" s="1"/>
  <c r="C288" i="35"/>
  <c r="C288" i="32"/>
  <c r="H288" i="41"/>
  <c r="H53" i="41"/>
  <c r="M53" i="41"/>
  <c r="O53" i="41" s="1"/>
  <c r="O54" i="41"/>
  <c r="M288" i="41"/>
  <c r="O288" i="41" s="1"/>
  <c r="L288" i="37"/>
  <c r="G54" i="37"/>
  <c r="I55" i="37"/>
  <c r="C55" i="37" s="1"/>
  <c r="C288" i="34"/>
  <c r="M53" i="34"/>
  <c r="O53" i="34" s="1"/>
  <c r="C53" i="34" s="1"/>
  <c r="O54" i="34"/>
  <c r="M288" i="34"/>
  <c r="O288" i="34" s="1"/>
  <c r="M53" i="32"/>
  <c r="O53" i="32" s="1"/>
  <c r="O54" i="32"/>
  <c r="M288" i="32"/>
  <c r="O288" i="32" s="1"/>
  <c r="C55" i="39"/>
  <c r="F55" i="40"/>
  <c r="C55" i="40" s="1"/>
  <c r="D54" i="40"/>
  <c r="E288" i="27"/>
  <c r="F288" i="27" s="1"/>
  <c r="C288" i="27" s="1"/>
  <c r="E53" i="27"/>
  <c r="M53" i="39"/>
  <c r="O53" i="39" s="1"/>
  <c r="O54" i="39"/>
  <c r="M288" i="39"/>
  <c r="O288" i="39" s="1"/>
  <c r="J53" i="38"/>
  <c r="L53" i="38" s="1"/>
  <c r="L54" i="38"/>
  <c r="J288" i="38"/>
  <c r="L288" i="38" s="1"/>
  <c r="C54" i="42"/>
  <c r="G288" i="28"/>
  <c r="I288" i="28" s="1"/>
  <c r="G53" i="28"/>
  <c r="I53" i="28" s="1"/>
  <c r="I54" i="28"/>
  <c r="C54" i="28" s="1"/>
  <c r="L54" i="32"/>
  <c r="J53" i="32"/>
  <c r="L53" i="32" s="1"/>
  <c r="J288" i="32"/>
  <c r="L288" i="32" s="1"/>
  <c r="C288" i="28"/>
  <c r="O54" i="36"/>
  <c r="C54" i="36" s="1"/>
  <c r="M53" i="36"/>
  <c r="O53" i="36" s="1"/>
  <c r="C53" i="36" s="1"/>
  <c r="M288" i="36"/>
  <c r="O288" i="36" s="1"/>
  <c r="C54" i="33"/>
  <c r="D288" i="39"/>
  <c r="F288" i="39" s="1"/>
  <c r="C288" i="39" s="1"/>
  <c r="F54" i="39"/>
  <c r="D53" i="39"/>
  <c r="F53" i="39" s="1"/>
  <c r="M53" i="37"/>
  <c r="O53" i="37" s="1"/>
  <c r="O54" i="37"/>
  <c r="M288" i="37"/>
  <c r="O288" i="37" s="1"/>
  <c r="M53" i="28"/>
  <c r="O53" i="28" s="1"/>
  <c r="O54" i="28"/>
  <c r="M288" i="28"/>
  <c r="O288" i="28" s="1"/>
  <c r="C54" i="35"/>
  <c r="C53" i="42"/>
  <c r="C54" i="32"/>
  <c r="D288" i="40" l="1"/>
  <c r="F288" i="40" s="1"/>
  <c r="C288" i="40" s="1"/>
  <c r="F54" i="40"/>
  <c r="C54" i="40" s="1"/>
  <c r="D53" i="40"/>
  <c r="F53" i="40" s="1"/>
  <c r="C53" i="40" s="1"/>
  <c r="C54" i="30"/>
  <c r="C53" i="39"/>
  <c r="C54" i="38"/>
  <c r="C53" i="30"/>
  <c r="C54" i="39"/>
  <c r="G288" i="37"/>
  <c r="I288" i="37" s="1"/>
  <c r="C288" i="37" s="1"/>
  <c r="I54" i="37"/>
  <c r="C54" i="37" s="1"/>
  <c r="G53" i="37"/>
  <c r="I53" i="37" s="1"/>
  <c r="C53" i="37" s="1"/>
  <c r="C288" i="38"/>
  <c r="I53" i="41"/>
  <c r="C53" i="41" s="1"/>
  <c r="C288" i="30"/>
  <c r="C53" i="28"/>
  <c r="G269" i="26" l="1"/>
  <c r="G268" i="26"/>
  <c r="F268" i="26"/>
  <c r="E268" i="26"/>
  <c r="E261" i="26"/>
  <c r="G261" i="26" s="1"/>
  <c r="G260" i="26" s="1"/>
  <c r="F260" i="26"/>
  <c r="G258" i="26"/>
  <c r="G257" i="26"/>
  <c r="G256" i="26"/>
  <c r="G255" i="26"/>
  <c r="G254" i="26"/>
  <c r="G253" i="26"/>
  <c r="G252" i="26"/>
  <c r="E251" i="26"/>
  <c r="G251" i="26" s="1"/>
  <c r="G250" i="26"/>
  <c r="G249" i="26"/>
  <c r="G248" i="26"/>
  <c r="G247" i="26"/>
  <c r="G246" i="26"/>
  <c r="G245" i="26"/>
  <c r="G244" i="26"/>
  <c r="G243" i="26"/>
  <c r="G242" i="26"/>
  <c r="G241" i="26"/>
  <c r="G240" i="26"/>
  <c r="G239" i="26"/>
  <c r="G238" i="26"/>
  <c r="G237" i="26"/>
  <c r="G236" i="26"/>
  <c r="G235" i="26"/>
  <c r="G234" i="26"/>
  <c r="G233" i="26"/>
  <c r="G232" i="26"/>
  <c r="G231" i="26"/>
  <c r="G230" i="26"/>
  <c r="G229" i="26"/>
  <c r="G228" i="26"/>
  <c r="G227" i="26"/>
  <c r="G226" i="26"/>
  <c r="G225" i="26"/>
  <c r="G224" i="26"/>
  <c r="G223" i="26"/>
  <c r="G222" i="26"/>
  <c r="G221" i="26"/>
  <c r="G220" i="26"/>
  <c r="G219" i="26"/>
  <c r="G218" i="26"/>
  <c r="G217" i="26"/>
  <c r="G216" i="26"/>
  <c r="G215" i="26"/>
  <c r="G214" i="26"/>
  <c r="G213" i="26"/>
  <c r="G212" i="26"/>
  <c r="G211" i="26"/>
  <c r="G210" i="26"/>
  <c r="G209" i="26"/>
  <c r="G208" i="26"/>
  <c r="G207" i="26"/>
  <c r="G206" i="26"/>
  <c r="G205" i="26"/>
  <c r="G204" i="26"/>
  <c r="G203" i="26"/>
  <c r="G202" i="26"/>
  <c r="G201" i="26"/>
  <c r="G200" i="26"/>
  <c r="G199" i="26"/>
  <c r="G198" i="26"/>
  <c r="G197" i="26"/>
  <c r="G196" i="26"/>
  <c r="G195" i="26"/>
  <c r="G194" i="26"/>
  <c r="G193" i="26"/>
  <c r="E193" i="26"/>
  <c r="G192" i="26"/>
  <c r="E191" i="26"/>
  <c r="E190" i="26"/>
  <c r="G190" i="26" s="1"/>
  <c r="G189" i="26"/>
  <c r="G188" i="26"/>
  <c r="E188" i="26"/>
  <c r="G187" i="26"/>
  <c r="G186" i="26"/>
  <c r="G185" i="26"/>
  <c r="G184" i="26"/>
  <c r="G183" i="26"/>
  <c r="G182" i="26"/>
  <c r="F181" i="26"/>
  <c r="G180" i="26"/>
  <c r="G179" i="26"/>
  <c r="F179" i="26"/>
  <c r="E179" i="26"/>
  <c r="G178" i="26"/>
  <c r="G177" i="26"/>
  <c r="G175" i="26" s="1"/>
  <c r="G176" i="26"/>
  <c r="F175" i="26"/>
  <c r="E175" i="26"/>
  <c r="G174" i="26"/>
  <c r="G173" i="26"/>
  <c r="G172" i="26" s="1"/>
  <c r="F172" i="26"/>
  <c r="E172" i="26"/>
  <c r="G171" i="26"/>
  <c r="G170" i="26" s="1"/>
  <c r="F170" i="26"/>
  <c r="E170" i="26"/>
  <c r="G169" i="26"/>
  <c r="G168" i="26"/>
  <c r="G167" i="26"/>
  <c r="F167" i="26"/>
  <c r="E167" i="26"/>
  <c r="G166" i="26"/>
  <c r="G165" i="26"/>
  <c r="G163" i="26" s="1"/>
  <c r="G164" i="26"/>
  <c r="F163" i="26"/>
  <c r="E163" i="26"/>
  <c r="G162" i="26"/>
  <c r="G161" i="26"/>
  <c r="G160" i="26"/>
  <c r="G159" i="26"/>
  <c r="G158" i="26"/>
  <c r="G157" i="26"/>
  <c r="G156" i="26"/>
  <c r="G155" i="26"/>
  <c r="G154" i="26"/>
  <c r="G153" i="26"/>
  <c r="G152" i="26"/>
  <c r="G151" i="26"/>
  <c r="G150" i="26"/>
  <c r="G149" i="26"/>
  <c r="E149" i="26"/>
  <c r="G148" i="26"/>
  <c r="G147" i="26"/>
  <c r="G146" i="26"/>
  <c r="G145" i="26"/>
  <c r="G144" i="26"/>
  <c r="F144" i="26"/>
  <c r="E144" i="26"/>
  <c r="G143" i="26"/>
  <c r="G142" i="26"/>
  <c r="G141" i="26"/>
  <c r="G140" i="26"/>
  <c r="F139" i="26"/>
  <c r="F14" i="26" s="1"/>
  <c r="F13" i="26" s="1"/>
  <c r="E139" i="26"/>
  <c r="G138" i="26"/>
  <c r="G137" i="26"/>
  <c r="G136" i="26"/>
  <c r="G135" i="26"/>
  <c r="G134" i="26"/>
  <c r="G133" i="26"/>
  <c r="G132" i="26"/>
  <c r="F132" i="26"/>
  <c r="E132" i="26"/>
  <c r="E131" i="26"/>
  <c r="G131" i="26" s="1"/>
  <c r="G129" i="26" s="1"/>
  <c r="G130" i="26"/>
  <c r="F129" i="26"/>
  <c r="E129" i="26"/>
  <c r="E128" i="26"/>
  <c r="G128" i="26" s="1"/>
  <c r="E127" i="26"/>
  <c r="G127" i="26" s="1"/>
  <c r="E126" i="26"/>
  <c r="G126" i="26" s="1"/>
  <c r="E125" i="26"/>
  <c r="F124" i="26"/>
  <c r="G123" i="26"/>
  <c r="G122" i="26"/>
  <c r="G121" i="26"/>
  <c r="G120" i="26"/>
  <c r="G119" i="26"/>
  <c r="F119" i="26"/>
  <c r="E119" i="26"/>
  <c r="G118" i="26"/>
  <c r="G117" i="26"/>
  <c r="G116" i="26"/>
  <c r="G115" i="26"/>
  <c r="F114" i="26"/>
  <c r="E114" i="26"/>
  <c r="G113" i="26"/>
  <c r="G112" i="26" s="1"/>
  <c r="F112" i="26"/>
  <c r="E112" i="26"/>
  <c r="G111" i="26"/>
  <c r="G110" i="26"/>
  <c r="G109" i="26"/>
  <c r="E109" i="26"/>
  <c r="G108" i="26"/>
  <c r="G107" i="26"/>
  <c r="G106" i="26"/>
  <c r="F106" i="26"/>
  <c r="E106" i="26"/>
  <c r="G105" i="26"/>
  <c r="G104" i="26"/>
  <c r="G103" i="26"/>
  <c r="G102" i="26"/>
  <c r="G101" i="26"/>
  <c r="G100" i="26"/>
  <c r="G99" i="26"/>
  <c r="G98" i="26"/>
  <c r="G97" i="26"/>
  <c r="G96" i="26"/>
  <c r="G95" i="26"/>
  <c r="G94" i="26"/>
  <c r="G93" i="26"/>
  <c r="G92" i="26"/>
  <c r="G91" i="26" s="1"/>
  <c r="F91" i="26"/>
  <c r="E91" i="26"/>
  <c r="G90" i="26"/>
  <c r="G89" i="26"/>
  <c r="G88" i="26"/>
  <c r="G87" i="26"/>
  <c r="G86" i="26"/>
  <c r="G85" i="26"/>
  <c r="G84" i="26"/>
  <c r="G83" i="26"/>
  <c r="G82" i="26"/>
  <c r="G81" i="26" s="1"/>
  <c r="F81" i="26"/>
  <c r="E81" i="26"/>
  <c r="G80" i="26"/>
  <c r="G79" i="26"/>
  <c r="G78" i="26"/>
  <c r="G77" i="26"/>
  <c r="G76" i="26"/>
  <c r="G75" i="26"/>
  <c r="G74" i="26"/>
  <c r="G73" i="26"/>
  <c r="G72" i="26"/>
  <c r="G71" i="26"/>
  <c r="G70" i="26"/>
  <c r="G69" i="26"/>
  <c r="G68" i="26"/>
  <c r="G67" i="26"/>
  <c r="G66" i="26"/>
  <c r="F65" i="26"/>
  <c r="E65" i="26"/>
  <c r="G64" i="26"/>
  <c r="G63" i="26"/>
  <c r="G62" i="26"/>
  <c r="G61" i="26"/>
  <c r="G60" i="26"/>
  <c r="G59" i="26"/>
  <c r="G58" i="26"/>
  <c r="G57" i="26"/>
  <c r="G56" i="26"/>
  <c r="G55" i="26"/>
  <c r="G54" i="26"/>
  <c r="G53" i="26" s="1"/>
  <c r="F53" i="26"/>
  <c r="E53" i="26"/>
  <c r="G52" i="26"/>
  <c r="G51" i="26"/>
  <c r="G50" i="26"/>
  <c r="G49" i="26"/>
  <c r="G48" i="26"/>
  <c r="G47" i="26"/>
  <c r="G46" i="26"/>
  <c r="G45" i="26" s="1"/>
  <c r="F45" i="26"/>
  <c r="E45" i="26"/>
  <c r="G44" i="26"/>
  <c r="G43" i="26"/>
  <c r="G42" i="26"/>
  <c r="G41" i="26"/>
  <c r="G40" i="26"/>
  <c r="G39" i="26"/>
  <c r="G38" i="26"/>
  <c r="F38" i="26"/>
  <c r="E38" i="26"/>
  <c r="G37" i="26"/>
  <c r="G36" i="26"/>
  <c r="G35" i="26" s="1"/>
  <c r="F35" i="26"/>
  <c r="E35" i="26"/>
  <c r="G34" i="26"/>
  <c r="G33" i="26"/>
  <c r="G32" i="26"/>
  <c r="G31" i="26"/>
  <c r="G30" i="26"/>
  <c r="G29" i="26"/>
  <c r="G28" i="26"/>
  <c r="F27" i="26"/>
  <c r="E27" i="26"/>
  <c r="G23" i="26"/>
  <c r="G22" i="26"/>
  <c r="G21" i="26"/>
  <c r="G18" i="26"/>
  <c r="G17" i="26"/>
  <c r="G16" i="26"/>
  <c r="G15" i="26"/>
  <c r="F15" i="26"/>
  <c r="E15" i="26"/>
  <c r="O299" i="25"/>
  <c r="L299" i="25"/>
  <c r="I299" i="25"/>
  <c r="F299" i="25"/>
  <c r="C299" i="25" s="1"/>
  <c r="O298" i="25"/>
  <c r="L298" i="25"/>
  <c r="I298" i="25"/>
  <c r="F298" i="25"/>
  <c r="O297" i="25"/>
  <c r="L297" i="25"/>
  <c r="I297" i="25"/>
  <c r="F297" i="25"/>
  <c r="O296" i="25"/>
  <c r="L296" i="25"/>
  <c r="I296" i="25"/>
  <c r="F296" i="25"/>
  <c r="C296" i="25"/>
  <c r="O295" i="25"/>
  <c r="L295" i="25"/>
  <c r="I295" i="25"/>
  <c r="F295" i="25"/>
  <c r="C295" i="25" s="1"/>
  <c r="O294" i="25"/>
  <c r="L294" i="25"/>
  <c r="I294" i="25"/>
  <c r="F294" i="25"/>
  <c r="C294" i="25" s="1"/>
  <c r="O293" i="25"/>
  <c r="L293" i="25"/>
  <c r="I293" i="25"/>
  <c r="F293" i="25"/>
  <c r="C293" i="25" s="1"/>
  <c r="O292" i="25"/>
  <c r="L292" i="25"/>
  <c r="I292" i="25"/>
  <c r="F292" i="25"/>
  <c r="C292" i="25"/>
  <c r="N291" i="25"/>
  <c r="M291" i="25"/>
  <c r="O291" i="25" s="1"/>
  <c r="L291" i="25"/>
  <c r="K291" i="25"/>
  <c r="J291" i="25"/>
  <c r="H291" i="25"/>
  <c r="G291" i="25"/>
  <c r="I291" i="25" s="1"/>
  <c r="E291" i="25"/>
  <c r="D291" i="25"/>
  <c r="F291" i="25" s="1"/>
  <c r="O286" i="25"/>
  <c r="L286" i="25"/>
  <c r="I286" i="25"/>
  <c r="F286" i="25"/>
  <c r="O285" i="25"/>
  <c r="L285" i="25"/>
  <c r="I285" i="25"/>
  <c r="F285" i="25"/>
  <c r="O284" i="25"/>
  <c r="N284" i="25"/>
  <c r="M284" i="25"/>
  <c r="K284" i="25"/>
  <c r="J284" i="25"/>
  <c r="H284" i="25"/>
  <c r="G284" i="25"/>
  <c r="E284" i="25"/>
  <c r="D284" i="25"/>
  <c r="F284" i="25" s="1"/>
  <c r="O283" i="25"/>
  <c r="L283" i="25"/>
  <c r="I283" i="25"/>
  <c r="F283" i="25"/>
  <c r="C283" i="25" s="1"/>
  <c r="N282" i="25"/>
  <c r="M282" i="25"/>
  <c r="O282" i="25" s="1"/>
  <c r="K282" i="25"/>
  <c r="J282" i="25"/>
  <c r="L282" i="25" s="1"/>
  <c r="I282" i="25"/>
  <c r="H282" i="25"/>
  <c r="G282" i="25"/>
  <c r="E282" i="25"/>
  <c r="D282" i="25"/>
  <c r="F282" i="25" s="1"/>
  <c r="C282" i="25" s="1"/>
  <c r="O281" i="25"/>
  <c r="L281" i="25"/>
  <c r="I281" i="25"/>
  <c r="F281" i="25"/>
  <c r="O280" i="25"/>
  <c r="O278" i="25" s="1"/>
  <c r="L280" i="25"/>
  <c r="I280" i="25"/>
  <c r="F280" i="25"/>
  <c r="C280" i="25"/>
  <c r="O279" i="25"/>
  <c r="L279" i="25"/>
  <c r="I279" i="25"/>
  <c r="F279" i="25"/>
  <c r="C279" i="25" s="1"/>
  <c r="N278" i="25"/>
  <c r="M278" i="25"/>
  <c r="K278" i="25"/>
  <c r="J278" i="25"/>
  <c r="L278" i="25" s="1"/>
  <c r="I278" i="25"/>
  <c r="H278" i="25"/>
  <c r="G278" i="25"/>
  <c r="E278" i="25"/>
  <c r="D278" i="25"/>
  <c r="F278" i="25" s="1"/>
  <c r="C278" i="25" s="1"/>
  <c r="O277" i="25"/>
  <c r="L277" i="25"/>
  <c r="I277" i="25"/>
  <c r="F277" i="25"/>
  <c r="C277" i="25" s="1"/>
  <c r="O276" i="25"/>
  <c r="L276" i="25"/>
  <c r="I276" i="25"/>
  <c r="F276" i="25"/>
  <c r="C276" i="25"/>
  <c r="O275" i="25"/>
  <c r="L275" i="25"/>
  <c r="I275" i="25"/>
  <c r="F275" i="25"/>
  <c r="C275" i="25" s="1"/>
  <c r="N274" i="25"/>
  <c r="M274" i="25"/>
  <c r="K274" i="25"/>
  <c r="J274" i="25"/>
  <c r="L274" i="25" s="1"/>
  <c r="I274" i="25"/>
  <c r="H274" i="25"/>
  <c r="G274" i="25"/>
  <c r="E274" i="25"/>
  <c r="E272" i="25" s="1"/>
  <c r="E271" i="25" s="1"/>
  <c r="D274" i="25"/>
  <c r="F274" i="25" s="1"/>
  <c r="O273" i="25"/>
  <c r="L273" i="25"/>
  <c r="C273" i="25" s="1"/>
  <c r="I273" i="25"/>
  <c r="F273" i="25"/>
  <c r="N272" i="25"/>
  <c r="K272" i="25"/>
  <c r="K271" i="25" s="1"/>
  <c r="J272" i="25"/>
  <c r="L272" i="25" s="1"/>
  <c r="H272" i="25"/>
  <c r="G272" i="25"/>
  <c r="D272" i="25"/>
  <c r="F272" i="25" s="1"/>
  <c r="N271" i="25"/>
  <c r="L271" i="25"/>
  <c r="J271" i="25"/>
  <c r="H271" i="25"/>
  <c r="D271" i="25"/>
  <c r="O270" i="25"/>
  <c r="L270" i="25"/>
  <c r="I270" i="25"/>
  <c r="F270" i="25"/>
  <c r="O269" i="25"/>
  <c r="L269" i="25"/>
  <c r="C269" i="25" s="1"/>
  <c r="I269" i="25"/>
  <c r="F269" i="25"/>
  <c r="O268" i="25"/>
  <c r="L268" i="25"/>
  <c r="I268" i="25"/>
  <c r="F268" i="25"/>
  <c r="C268" i="25"/>
  <c r="O267" i="25"/>
  <c r="L267" i="25"/>
  <c r="I267" i="25"/>
  <c r="F267" i="25"/>
  <c r="C267" i="25" s="1"/>
  <c r="N266" i="25"/>
  <c r="M266" i="25"/>
  <c r="O266" i="25" s="1"/>
  <c r="K266" i="25"/>
  <c r="J266" i="25"/>
  <c r="L266" i="25" s="1"/>
  <c r="I266" i="25"/>
  <c r="H266" i="25"/>
  <c r="G266" i="25"/>
  <c r="E266" i="25"/>
  <c r="D266" i="25"/>
  <c r="O265" i="25"/>
  <c r="L265" i="25"/>
  <c r="I265" i="25"/>
  <c r="F265" i="25"/>
  <c r="C265" i="25" s="1"/>
  <c r="O264" i="25"/>
  <c r="L264" i="25"/>
  <c r="I264" i="25"/>
  <c r="F264" i="25"/>
  <c r="C264" i="25"/>
  <c r="O263" i="25"/>
  <c r="L263" i="25"/>
  <c r="I263" i="25"/>
  <c r="F263" i="25"/>
  <c r="C263" i="25" s="1"/>
  <c r="N262" i="25"/>
  <c r="M262" i="25"/>
  <c r="K262" i="25"/>
  <c r="J262" i="25"/>
  <c r="L262" i="25" s="1"/>
  <c r="I262" i="25"/>
  <c r="H262" i="25"/>
  <c r="G262" i="25"/>
  <c r="E262" i="25"/>
  <c r="D262" i="25"/>
  <c r="N261" i="25"/>
  <c r="K261" i="25"/>
  <c r="J261" i="25"/>
  <c r="L261" i="25" s="1"/>
  <c r="H261" i="25"/>
  <c r="G261" i="25"/>
  <c r="I261" i="25" s="1"/>
  <c r="D261" i="25"/>
  <c r="O260" i="25"/>
  <c r="L260" i="25"/>
  <c r="I260" i="25"/>
  <c r="F260" i="25"/>
  <c r="C260" i="25"/>
  <c r="O259" i="25"/>
  <c r="L259" i="25"/>
  <c r="I259" i="25"/>
  <c r="F259" i="25"/>
  <c r="C259" i="25" s="1"/>
  <c r="O258" i="25"/>
  <c r="L258" i="25"/>
  <c r="I258" i="25"/>
  <c r="C258" i="25" s="1"/>
  <c r="F258" i="25"/>
  <c r="O257" i="25"/>
  <c r="L257" i="25"/>
  <c r="I257" i="25"/>
  <c r="F257" i="25"/>
  <c r="O256" i="25"/>
  <c r="L256" i="25"/>
  <c r="I256" i="25"/>
  <c r="F256" i="25"/>
  <c r="C256" i="25"/>
  <c r="N255" i="25"/>
  <c r="M255" i="25"/>
  <c r="O255" i="25" s="1"/>
  <c r="L255" i="25"/>
  <c r="K255" i="25"/>
  <c r="J255" i="25"/>
  <c r="H255" i="25"/>
  <c r="H254" i="25" s="1"/>
  <c r="H233" i="25" s="1"/>
  <c r="G255" i="25"/>
  <c r="E255" i="25"/>
  <c r="D255" i="25"/>
  <c r="N254" i="25"/>
  <c r="M254" i="25"/>
  <c r="O254" i="25" s="1"/>
  <c r="K254" i="25"/>
  <c r="J254" i="25"/>
  <c r="L254" i="25" s="1"/>
  <c r="I254" i="25"/>
  <c r="G254" i="25"/>
  <c r="E254" i="25"/>
  <c r="O253" i="25"/>
  <c r="L253" i="25"/>
  <c r="I253" i="25"/>
  <c r="F253" i="25"/>
  <c r="C253" i="25" s="1"/>
  <c r="O252" i="25"/>
  <c r="L252" i="25"/>
  <c r="I252" i="25"/>
  <c r="F252" i="25"/>
  <c r="C252" i="25"/>
  <c r="O251" i="25"/>
  <c r="L251" i="25"/>
  <c r="I251" i="25"/>
  <c r="F251" i="25"/>
  <c r="C251" i="25" s="1"/>
  <c r="O250" i="25"/>
  <c r="L250" i="25"/>
  <c r="I250" i="25"/>
  <c r="C250" i="25" s="1"/>
  <c r="F250" i="25"/>
  <c r="N249" i="25"/>
  <c r="M249" i="25"/>
  <c r="K249" i="25"/>
  <c r="J249" i="25"/>
  <c r="L249" i="25" s="1"/>
  <c r="H249" i="25"/>
  <c r="G249" i="25"/>
  <c r="I249" i="25" s="1"/>
  <c r="F249" i="25"/>
  <c r="E249" i="25"/>
  <c r="D249" i="25"/>
  <c r="O248" i="25"/>
  <c r="L248" i="25"/>
  <c r="I248" i="25"/>
  <c r="F248" i="25"/>
  <c r="C248" i="25"/>
  <c r="O247" i="25"/>
  <c r="L247" i="25"/>
  <c r="I247" i="25"/>
  <c r="F247" i="25"/>
  <c r="C247" i="25" s="1"/>
  <c r="O246" i="25"/>
  <c r="L246" i="25"/>
  <c r="I246" i="25"/>
  <c r="C246" i="25" s="1"/>
  <c r="F246" i="25"/>
  <c r="O245" i="25"/>
  <c r="L245" i="25"/>
  <c r="I245" i="25"/>
  <c r="F245" i="25"/>
  <c r="O244" i="25"/>
  <c r="L244" i="25"/>
  <c r="I244" i="25"/>
  <c r="F244" i="25"/>
  <c r="C244" i="25"/>
  <c r="O243" i="25"/>
  <c r="L243" i="25"/>
  <c r="I243" i="25"/>
  <c r="F243" i="25"/>
  <c r="C243" i="25" s="1"/>
  <c r="O242" i="25"/>
  <c r="L242" i="25"/>
  <c r="I242" i="25"/>
  <c r="C242" i="25" s="1"/>
  <c r="F242" i="25"/>
  <c r="N241" i="25"/>
  <c r="M241" i="25"/>
  <c r="O241" i="25" s="1"/>
  <c r="K241" i="25"/>
  <c r="J241" i="25"/>
  <c r="H241" i="25"/>
  <c r="G241" i="25"/>
  <c r="I241" i="25" s="1"/>
  <c r="F241" i="25"/>
  <c r="E241" i="25"/>
  <c r="D241" i="25"/>
  <c r="O240" i="25"/>
  <c r="L240" i="25"/>
  <c r="I240" i="25"/>
  <c r="F240" i="25"/>
  <c r="C240" i="25"/>
  <c r="O239" i="25"/>
  <c r="L239" i="25"/>
  <c r="I239" i="25"/>
  <c r="F239" i="25"/>
  <c r="C239" i="25" s="1"/>
  <c r="N238" i="25"/>
  <c r="M238" i="25"/>
  <c r="K238" i="25"/>
  <c r="J238" i="25"/>
  <c r="L238" i="25" s="1"/>
  <c r="I238" i="25"/>
  <c r="H238" i="25"/>
  <c r="G238" i="25"/>
  <c r="E238" i="25"/>
  <c r="E234" i="25" s="1"/>
  <c r="D238" i="25"/>
  <c r="O237" i="25"/>
  <c r="L237" i="25"/>
  <c r="I237" i="25"/>
  <c r="F237" i="25"/>
  <c r="O236" i="25"/>
  <c r="N236" i="25"/>
  <c r="M236" i="25"/>
  <c r="K236" i="25"/>
  <c r="K234" i="25" s="1"/>
  <c r="K233" i="25" s="1"/>
  <c r="J236" i="25"/>
  <c r="L236" i="25" s="1"/>
  <c r="H236" i="25"/>
  <c r="G236" i="25"/>
  <c r="E236" i="25"/>
  <c r="D236" i="25"/>
  <c r="F236" i="25" s="1"/>
  <c r="O235" i="25"/>
  <c r="L235" i="25"/>
  <c r="I235" i="25"/>
  <c r="F235" i="25"/>
  <c r="C235" i="25" s="1"/>
  <c r="H234" i="25"/>
  <c r="D234" i="25"/>
  <c r="O232" i="25"/>
  <c r="L232" i="25"/>
  <c r="I232" i="25"/>
  <c r="F232" i="25"/>
  <c r="C232" i="25"/>
  <c r="O231" i="25"/>
  <c r="L231" i="25"/>
  <c r="I231" i="25"/>
  <c r="F231" i="25"/>
  <c r="C231" i="25" s="1"/>
  <c r="N230" i="25"/>
  <c r="M230" i="25"/>
  <c r="L230" i="25"/>
  <c r="K230" i="25"/>
  <c r="J230" i="25"/>
  <c r="I230" i="25"/>
  <c r="H230" i="25"/>
  <c r="G230" i="25"/>
  <c r="E230" i="25"/>
  <c r="E207" i="25" s="1"/>
  <c r="D230" i="25"/>
  <c r="F230" i="25" s="1"/>
  <c r="O229" i="25"/>
  <c r="L229" i="25"/>
  <c r="I229" i="25"/>
  <c r="F229" i="25"/>
  <c r="C229" i="25" s="1"/>
  <c r="O228" i="25"/>
  <c r="L228" i="25"/>
  <c r="I228" i="25"/>
  <c r="F228" i="25"/>
  <c r="C228" i="25"/>
  <c r="O227" i="25"/>
  <c r="L227" i="25"/>
  <c r="I227" i="25"/>
  <c r="F227" i="25"/>
  <c r="C227" i="25" s="1"/>
  <c r="O226" i="25"/>
  <c r="L226" i="25"/>
  <c r="I226" i="25"/>
  <c r="C226" i="25" s="1"/>
  <c r="F226" i="25"/>
  <c r="O225" i="25"/>
  <c r="L225" i="25"/>
  <c r="I225" i="25"/>
  <c r="F225" i="25"/>
  <c r="C225" i="25" s="1"/>
  <c r="O224" i="25"/>
  <c r="L224" i="25"/>
  <c r="I224" i="25"/>
  <c r="F224" i="25"/>
  <c r="C224" i="25"/>
  <c r="O223" i="25"/>
  <c r="L223" i="25"/>
  <c r="I223" i="25"/>
  <c r="F223" i="25"/>
  <c r="C223" i="25" s="1"/>
  <c r="O222" i="25"/>
  <c r="L222" i="25"/>
  <c r="I222" i="25"/>
  <c r="C222" i="25" s="1"/>
  <c r="F222" i="25"/>
  <c r="O221" i="25"/>
  <c r="L221" i="25"/>
  <c r="I221" i="25"/>
  <c r="F221" i="25"/>
  <c r="O220" i="25"/>
  <c r="L220" i="25"/>
  <c r="I220" i="25"/>
  <c r="F220" i="25"/>
  <c r="C220" i="25"/>
  <c r="N219" i="25"/>
  <c r="O219" i="25" s="1"/>
  <c r="M219" i="25"/>
  <c r="L219" i="25"/>
  <c r="K219" i="25"/>
  <c r="J219" i="25"/>
  <c r="H219" i="25"/>
  <c r="G219" i="25"/>
  <c r="I219" i="25" s="1"/>
  <c r="E219" i="25"/>
  <c r="D219" i="25"/>
  <c r="O218" i="25"/>
  <c r="L218" i="25"/>
  <c r="I218" i="25"/>
  <c r="C218" i="25" s="1"/>
  <c r="F218" i="25"/>
  <c r="O217" i="25"/>
  <c r="L217" i="25"/>
  <c r="I217" i="25"/>
  <c r="F217" i="25"/>
  <c r="C217" i="25" s="1"/>
  <c r="O216" i="25"/>
  <c r="L216" i="25"/>
  <c r="I216" i="25"/>
  <c r="F216" i="25"/>
  <c r="C216" i="25"/>
  <c r="O215" i="25"/>
  <c r="L215" i="25"/>
  <c r="I215" i="25"/>
  <c r="F215" i="25"/>
  <c r="C215" i="25" s="1"/>
  <c r="O214" i="25"/>
  <c r="L214" i="25"/>
  <c r="I214" i="25"/>
  <c r="C214" i="25" s="1"/>
  <c r="F214" i="25"/>
  <c r="O213" i="25"/>
  <c r="L213" i="25"/>
  <c r="I213" i="25"/>
  <c r="F213" i="25"/>
  <c r="C213" i="25" s="1"/>
  <c r="O212" i="25"/>
  <c r="L212" i="25"/>
  <c r="I212" i="25"/>
  <c r="F212" i="25"/>
  <c r="C212" i="25"/>
  <c r="O211" i="25"/>
  <c r="L211" i="25"/>
  <c r="I211" i="25"/>
  <c r="F211" i="25"/>
  <c r="C211" i="25" s="1"/>
  <c r="O210" i="25"/>
  <c r="L210" i="25"/>
  <c r="I210" i="25"/>
  <c r="F210" i="25"/>
  <c r="C210" i="25" s="1"/>
  <c r="O209" i="25"/>
  <c r="L209" i="25"/>
  <c r="I209" i="25"/>
  <c r="F209" i="25"/>
  <c r="O208" i="25"/>
  <c r="N208" i="25"/>
  <c r="M208" i="25"/>
  <c r="K208" i="25"/>
  <c r="K207" i="25" s="1"/>
  <c r="J208" i="25"/>
  <c r="H208" i="25"/>
  <c r="G208" i="25"/>
  <c r="E208" i="25"/>
  <c r="D208" i="25"/>
  <c r="F208" i="25" s="1"/>
  <c r="N207" i="25"/>
  <c r="L207" i="25"/>
  <c r="J207" i="25"/>
  <c r="H207" i="25"/>
  <c r="O206" i="25"/>
  <c r="L206" i="25"/>
  <c r="I206" i="25"/>
  <c r="C206" i="25" s="1"/>
  <c r="F206" i="25"/>
  <c r="O205" i="25"/>
  <c r="L205" i="25"/>
  <c r="I205" i="25"/>
  <c r="F205" i="25"/>
  <c r="C205" i="25" s="1"/>
  <c r="O204" i="25"/>
  <c r="L204" i="25"/>
  <c r="I204" i="25"/>
  <c r="F204" i="25"/>
  <c r="C204" i="25"/>
  <c r="O203" i="25"/>
  <c r="L203" i="25"/>
  <c r="I203" i="25"/>
  <c r="F203" i="25"/>
  <c r="C203" i="25" s="1"/>
  <c r="O202" i="25"/>
  <c r="L202" i="25"/>
  <c r="I202" i="25"/>
  <c r="C202" i="25" s="1"/>
  <c r="F202" i="25"/>
  <c r="N201" i="25"/>
  <c r="N199" i="25" s="1"/>
  <c r="M201" i="25"/>
  <c r="O201" i="25" s="1"/>
  <c r="K201" i="25"/>
  <c r="J201" i="25"/>
  <c r="H201" i="25"/>
  <c r="G201" i="25"/>
  <c r="I201" i="25" s="1"/>
  <c r="F201" i="25"/>
  <c r="E201" i="25"/>
  <c r="D201" i="25"/>
  <c r="O200" i="25"/>
  <c r="L200" i="25"/>
  <c r="I200" i="25"/>
  <c r="F200" i="25"/>
  <c r="C200" i="25"/>
  <c r="M199" i="25"/>
  <c r="O199" i="25" s="1"/>
  <c r="K199" i="25"/>
  <c r="H199" i="25"/>
  <c r="G199" i="25"/>
  <c r="E199" i="25"/>
  <c r="D199" i="25"/>
  <c r="N198" i="25"/>
  <c r="K198" i="25"/>
  <c r="K197" i="25" s="1"/>
  <c r="E198" i="25"/>
  <c r="O196" i="25"/>
  <c r="L196" i="25"/>
  <c r="I196" i="25"/>
  <c r="F196" i="25"/>
  <c r="C196" i="25"/>
  <c r="N195" i="25"/>
  <c r="O195" i="25" s="1"/>
  <c r="M195" i="25"/>
  <c r="L195" i="25"/>
  <c r="K195" i="25"/>
  <c r="J195" i="25"/>
  <c r="J194" i="25" s="1"/>
  <c r="L194" i="25" s="1"/>
  <c r="H195" i="25"/>
  <c r="H194" i="25" s="1"/>
  <c r="I194" i="25" s="1"/>
  <c r="G195" i="25"/>
  <c r="I195" i="25" s="1"/>
  <c r="E195" i="25"/>
  <c r="D195" i="25"/>
  <c r="M194" i="25"/>
  <c r="K194" i="25"/>
  <c r="G194" i="25"/>
  <c r="E194" i="25"/>
  <c r="O193" i="25"/>
  <c r="L193" i="25"/>
  <c r="I193" i="25"/>
  <c r="F193" i="25"/>
  <c r="C193" i="25" s="1"/>
  <c r="O192" i="25"/>
  <c r="L192" i="25"/>
  <c r="I192" i="25"/>
  <c r="F192" i="25"/>
  <c r="C192" i="25"/>
  <c r="N191" i="25"/>
  <c r="O191" i="25" s="1"/>
  <c r="M191" i="25"/>
  <c r="L191" i="25"/>
  <c r="K191" i="25"/>
  <c r="J191" i="25"/>
  <c r="H191" i="25"/>
  <c r="H190" i="25" s="1"/>
  <c r="I190" i="25" s="1"/>
  <c r="G191" i="25"/>
  <c r="E191" i="25"/>
  <c r="D191" i="25"/>
  <c r="M190" i="25"/>
  <c r="K190" i="25"/>
  <c r="G190" i="25"/>
  <c r="E190" i="25"/>
  <c r="O189" i="25"/>
  <c r="L189" i="25"/>
  <c r="I189" i="25"/>
  <c r="F189" i="25"/>
  <c r="C189" i="25" s="1"/>
  <c r="O188" i="25"/>
  <c r="L188" i="25"/>
  <c r="I188" i="25"/>
  <c r="F188" i="25"/>
  <c r="C188" i="25"/>
  <c r="N187" i="25"/>
  <c r="O187" i="25" s="1"/>
  <c r="M187" i="25"/>
  <c r="L187" i="25"/>
  <c r="K187" i="25"/>
  <c r="J187" i="25"/>
  <c r="H187" i="25"/>
  <c r="G187" i="25"/>
  <c r="I187" i="25" s="1"/>
  <c r="E187" i="25"/>
  <c r="D187" i="25"/>
  <c r="F187" i="25" s="1"/>
  <c r="O186" i="25"/>
  <c r="L186" i="25"/>
  <c r="I186" i="25"/>
  <c r="C186" i="25" s="1"/>
  <c r="F186" i="25"/>
  <c r="O185" i="25"/>
  <c r="L185" i="25"/>
  <c r="I185" i="25"/>
  <c r="F185" i="25"/>
  <c r="O184" i="25"/>
  <c r="L184" i="25"/>
  <c r="I184" i="25"/>
  <c r="F184" i="25"/>
  <c r="C184" i="25"/>
  <c r="O183" i="25"/>
  <c r="L183" i="25"/>
  <c r="I183" i="25"/>
  <c r="F183" i="25"/>
  <c r="C183" i="25" s="1"/>
  <c r="N182" i="25"/>
  <c r="M182" i="25"/>
  <c r="O182" i="25" s="1"/>
  <c r="K182" i="25"/>
  <c r="L182" i="25" s="1"/>
  <c r="J182" i="25"/>
  <c r="I182" i="25"/>
  <c r="H182" i="25"/>
  <c r="G182" i="25"/>
  <c r="E182" i="25"/>
  <c r="D182" i="25"/>
  <c r="F182" i="25" s="1"/>
  <c r="C182" i="25" s="1"/>
  <c r="O181" i="25"/>
  <c r="L181" i="25"/>
  <c r="I181" i="25"/>
  <c r="F181" i="25"/>
  <c r="C181" i="25" s="1"/>
  <c r="O180" i="25"/>
  <c r="L180" i="25"/>
  <c r="I180" i="25"/>
  <c r="F180" i="25"/>
  <c r="C180" i="25"/>
  <c r="O179" i="25"/>
  <c r="L179" i="25"/>
  <c r="I179" i="25"/>
  <c r="F179" i="25"/>
  <c r="C179" i="25" s="1"/>
  <c r="N178" i="25"/>
  <c r="M178" i="25"/>
  <c r="K178" i="25"/>
  <c r="L178" i="25" s="1"/>
  <c r="J178" i="25"/>
  <c r="I178" i="25"/>
  <c r="H178" i="25"/>
  <c r="G178" i="25"/>
  <c r="G177" i="25" s="1"/>
  <c r="I177" i="25" s="1"/>
  <c r="E178" i="25"/>
  <c r="E177" i="25" s="1"/>
  <c r="E176" i="25" s="1"/>
  <c r="D178" i="25"/>
  <c r="F178" i="25" s="1"/>
  <c r="N177" i="25"/>
  <c r="N176" i="25" s="1"/>
  <c r="J177" i="25"/>
  <c r="H177" i="25"/>
  <c r="H176" i="25" s="1"/>
  <c r="F177" i="25"/>
  <c r="D177" i="25"/>
  <c r="O175" i="25"/>
  <c r="L175" i="25"/>
  <c r="I175" i="25"/>
  <c r="F175" i="25"/>
  <c r="C175" i="25" s="1"/>
  <c r="O174" i="25"/>
  <c r="L174" i="25"/>
  <c r="I174" i="25"/>
  <c r="C174" i="25" s="1"/>
  <c r="F174" i="25"/>
  <c r="O173" i="25"/>
  <c r="L173" i="25"/>
  <c r="I173" i="25"/>
  <c r="F173" i="25"/>
  <c r="O172" i="25"/>
  <c r="L172" i="25"/>
  <c r="I172" i="25"/>
  <c r="F172" i="25"/>
  <c r="C172" i="25"/>
  <c r="O171" i="25"/>
  <c r="L171" i="25"/>
  <c r="I171" i="25"/>
  <c r="F171" i="25"/>
  <c r="C171" i="25" s="1"/>
  <c r="O170" i="25"/>
  <c r="L170" i="25"/>
  <c r="I170" i="25"/>
  <c r="C170" i="25" s="1"/>
  <c r="F170" i="25"/>
  <c r="N169" i="25"/>
  <c r="N168" i="25" s="1"/>
  <c r="M169" i="25"/>
  <c r="O169" i="25" s="1"/>
  <c r="K169" i="25"/>
  <c r="J169" i="25"/>
  <c r="H169" i="25"/>
  <c r="I169" i="25" s="1"/>
  <c r="G169" i="25"/>
  <c r="F169" i="25"/>
  <c r="E169" i="25"/>
  <c r="D169" i="25"/>
  <c r="D168" i="25" s="1"/>
  <c r="F168" i="25" s="1"/>
  <c r="O168" i="25"/>
  <c r="M168" i="25"/>
  <c r="K168" i="25"/>
  <c r="G168" i="25"/>
  <c r="E168" i="25"/>
  <c r="O167" i="25"/>
  <c r="L167" i="25"/>
  <c r="I167" i="25"/>
  <c r="F167" i="25"/>
  <c r="C167" i="25" s="1"/>
  <c r="O166" i="25"/>
  <c r="L166" i="25"/>
  <c r="I166" i="25"/>
  <c r="C166" i="25" s="1"/>
  <c r="F166" i="25"/>
  <c r="O165" i="25"/>
  <c r="L165" i="25"/>
  <c r="I165" i="25"/>
  <c r="F165" i="25"/>
  <c r="O164" i="25"/>
  <c r="L164" i="25"/>
  <c r="I164" i="25"/>
  <c r="F164" i="25"/>
  <c r="C164" i="25"/>
  <c r="N163" i="25"/>
  <c r="O163" i="25" s="1"/>
  <c r="M163" i="25"/>
  <c r="L163" i="25"/>
  <c r="K163" i="25"/>
  <c r="J163" i="25"/>
  <c r="H163" i="25"/>
  <c r="H133" i="25" s="1"/>
  <c r="G163" i="25"/>
  <c r="E163" i="25"/>
  <c r="D163" i="25"/>
  <c r="F163" i="25" s="1"/>
  <c r="O162" i="25"/>
  <c r="L162" i="25"/>
  <c r="I162" i="25"/>
  <c r="C162" i="25" s="1"/>
  <c r="F162" i="25"/>
  <c r="O161" i="25"/>
  <c r="L161" i="25"/>
  <c r="I161" i="25"/>
  <c r="F161" i="25"/>
  <c r="C161" i="25" s="1"/>
  <c r="O160" i="25"/>
  <c r="L160" i="25"/>
  <c r="I160" i="25"/>
  <c r="F160" i="25"/>
  <c r="C160" i="25"/>
  <c r="O159" i="25"/>
  <c r="L159" i="25"/>
  <c r="I159" i="25"/>
  <c r="F159" i="25"/>
  <c r="C159" i="25" s="1"/>
  <c r="O158" i="25"/>
  <c r="L158" i="25"/>
  <c r="I158" i="25"/>
  <c r="C158" i="25" s="1"/>
  <c r="F158" i="25"/>
  <c r="O157" i="25"/>
  <c r="L157" i="25"/>
  <c r="I157" i="25"/>
  <c r="F157" i="25"/>
  <c r="D157" i="25"/>
  <c r="C157" i="25"/>
  <c r="O156" i="25"/>
  <c r="L156" i="25"/>
  <c r="I156" i="25"/>
  <c r="F156" i="25"/>
  <c r="C156" i="25" s="1"/>
  <c r="O155" i="25"/>
  <c r="L155" i="25"/>
  <c r="I155" i="25"/>
  <c r="C155" i="25" s="1"/>
  <c r="F155" i="25"/>
  <c r="N154" i="25"/>
  <c r="M154" i="25"/>
  <c r="O154" i="25" s="1"/>
  <c r="K154" i="25"/>
  <c r="J154" i="25"/>
  <c r="L154" i="25" s="1"/>
  <c r="H154" i="25"/>
  <c r="I154" i="25" s="1"/>
  <c r="G154" i="25"/>
  <c r="F154" i="25"/>
  <c r="E154" i="25"/>
  <c r="D154" i="25"/>
  <c r="O153" i="25"/>
  <c r="L153" i="25"/>
  <c r="I153" i="25"/>
  <c r="F153" i="25"/>
  <c r="C153" i="25"/>
  <c r="O152" i="25"/>
  <c r="L152" i="25"/>
  <c r="I152" i="25"/>
  <c r="F152" i="25"/>
  <c r="C152" i="25" s="1"/>
  <c r="O151" i="25"/>
  <c r="L151" i="25"/>
  <c r="I151" i="25"/>
  <c r="C151" i="25" s="1"/>
  <c r="F151" i="25"/>
  <c r="O150" i="25"/>
  <c r="L150" i="25"/>
  <c r="I150" i="25"/>
  <c r="F150" i="25"/>
  <c r="O149" i="25"/>
  <c r="L149" i="25"/>
  <c r="I149" i="25"/>
  <c r="F149" i="25"/>
  <c r="C149" i="25"/>
  <c r="O148" i="25"/>
  <c r="L148" i="25"/>
  <c r="I148" i="25"/>
  <c r="F148" i="25"/>
  <c r="C148" i="25" s="1"/>
  <c r="N147" i="25"/>
  <c r="M147" i="25"/>
  <c r="O147" i="25" s="1"/>
  <c r="K147" i="25"/>
  <c r="L147" i="25" s="1"/>
  <c r="J147" i="25"/>
  <c r="I147" i="25"/>
  <c r="H147" i="25"/>
  <c r="G147" i="25"/>
  <c r="E147" i="25"/>
  <c r="D147" i="25"/>
  <c r="F147" i="25" s="1"/>
  <c r="C147" i="25" s="1"/>
  <c r="O146" i="25"/>
  <c r="L146" i="25"/>
  <c r="I146" i="25"/>
  <c r="F146" i="25"/>
  <c r="C146" i="25" s="1"/>
  <c r="O145" i="25"/>
  <c r="L145" i="25"/>
  <c r="I145" i="25"/>
  <c r="F145" i="25"/>
  <c r="C145" i="25"/>
  <c r="N144" i="25"/>
  <c r="O144" i="25" s="1"/>
  <c r="M144" i="25"/>
  <c r="L144" i="25"/>
  <c r="K144" i="25"/>
  <c r="J144" i="25"/>
  <c r="H144" i="25"/>
  <c r="G144" i="25"/>
  <c r="I144" i="25" s="1"/>
  <c r="E144" i="25"/>
  <c r="D144" i="25"/>
  <c r="F144" i="25" s="1"/>
  <c r="O143" i="25"/>
  <c r="L143" i="25"/>
  <c r="I143" i="25"/>
  <c r="C143" i="25" s="1"/>
  <c r="F143" i="25"/>
  <c r="O142" i="25"/>
  <c r="L142" i="25"/>
  <c r="I142" i="25"/>
  <c r="F142" i="25"/>
  <c r="O141" i="25"/>
  <c r="L141" i="25"/>
  <c r="I141" i="25"/>
  <c r="D141" i="25"/>
  <c r="O140" i="25"/>
  <c r="L140" i="25"/>
  <c r="I140" i="25"/>
  <c r="C140" i="25" s="1"/>
  <c r="F140" i="25"/>
  <c r="N139" i="25"/>
  <c r="M139" i="25"/>
  <c r="O139" i="25" s="1"/>
  <c r="K139" i="25"/>
  <c r="J139" i="25"/>
  <c r="H139" i="25"/>
  <c r="I139" i="25" s="1"/>
  <c r="G139" i="25"/>
  <c r="E139" i="25"/>
  <c r="O138" i="25"/>
  <c r="L138" i="25"/>
  <c r="I138" i="25"/>
  <c r="F138" i="25"/>
  <c r="C138" i="25"/>
  <c r="O137" i="25"/>
  <c r="L137" i="25"/>
  <c r="I137" i="25"/>
  <c r="F137" i="25"/>
  <c r="C137" i="25" s="1"/>
  <c r="O136" i="25"/>
  <c r="L136" i="25"/>
  <c r="I136" i="25"/>
  <c r="C136" i="25" s="1"/>
  <c r="F136" i="25"/>
  <c r="O135" i="25"/>
  <c r="L135" i="25"/>
  <c r="I135" i="25"/>
  <c r="F135" i="25"/>
  <c r="O134" i="25"/>
  <c r="N134" i="25"/>
  <c r="M134" i="25"/>
  <c r="M133" i="25" s="1"/>
  <c r="K134" i="25"/>
  <c r="K133" i="25" s="1"/>
  <c r="J134" i="25"/>
  <c r="L134" i="25" s="1"/>
  <c r="H134" i="25"/>
  <c r="G134" i="25"/>
  <c r="E134" i="25"/>
  <c r="F134" i="25" s="1"/>
  <c r="D134" i="25"/>
  <c r="O132" i="25"/>
  <c r="L132" i="25"/>
  <c r="I132" i="25"/>
  <c r="C132" i="25" s="1"/>
  <c r="F132" i="25"/>
  <c r="N131" i="25"/>
  <c r="M131" i="25"/>
  <c r="O131" i="25" s="1"/>
  <c r="K131" i="25"/>
  <c r="J131" i="25"/>
  <c r="L131" i="25" s="1"/>
  <c r="H131" i="25"/>
  <c r="I131" i="25" s="1"/>
  <c r="G131" i="25"/>
  <c r="F131" i="25"/>
  <c r="E131" i="25"/>
  <c r="D131" i="25"/>
  <c r="O130" i="25"/>
  <c r="L130" i="25"/>
  <c r="I130" i="25"/>
  <c r="F130" i="25"/>
  <c r="C130" i="25"/>
  <c r="O129" i="25"/>
  <c r="L129" i="25"/>
  <c r="I129" i="25"/>
  <c r="F129" i="25"/>
  <c r="C129" i="25" s="1"/>
  <c r="O128" i="25"/>
  <c r="L128" i="25"/>
  <c r="I128" i="25"/>
  <c r="C128" i="25" s="1"/>
  <c r="F128" i="25"/>
  <c r="O127" i="25"/>
  <c r="L127" i="25"/>
  <c r="I127" i="25"/>
  <c r="F127" i="25"/>
  <c r="D127" i="25"/>
  <c r="C127" i="25"/>
  <c r="O126" i="25"/>
  <c r="L126" i="25"/>
  <c r="I126" i="25"/>
  <c r="F126" i="25"/>
  <c r="C126" i="25" s="1"/>
  <c r="N125" i="25"/>
  <c r="M125" i="25"/>
  <c r="O125" i="25" s="1"/>
  <c r="K125" i="25"/>
  <c r="L125" i="25" s="1"/>
  <c r="J125" i="25"/>
  <c r="I125" i="25"/>
  <c r="H125" i="25"/>
  <c r="G125" i="25"/>
  <c r="E125" i="25"/>
  <c r="D125" i="25"/>
  <c r="O124" i="25"/>
  <c r="L124" i="25"/>
  <c r="I124" i="25"/>
  <c r="F124" i="25"/>
  <c r="O123" i="25"/>
  <c r="L123" i="25"/>
  <c r="I123" i="25"/>
  <c r="C123" i="25" s="1"/>
  <c r="F123" i="25"/>
  <c r="O122" i="25"/>
  <c r="L122" i="25"/>
  <c r="I122" i="25"/>
  <c r="F122" i="25"/>
  <c r="O121" i="25"/>
  <c r="C121" i="25" s="1"/>
  <c r="L121" i="25"/>
  <c r="I121" i="25"/>
  <c r="F121" i="25"/>
  <c r="O120" i="25"/>
  <c r="L120" i="25"/>
  <c r="I120" i="25"/>
  <c r="F120" i="25"/>
  <c r="C120" i="25" s="1"/>
  <c r="D120" i="25"/>
  <c r="N119" i="25"/>
  <c r="O119" i="25" s="1"/>
  <c r="M119" i="25"/>
  <c r="L119" i="25"/>
  <c r="K119" i="25"/>
  <c r="J119" i="25"/>
  <c r="H119" i="25"/>
  <c r="G119" i="25"/>
  <c r="E119" i="25"/>
  <c r="D119" i="25"/>
  <c r="F119" i="25" s="1"/>
  <c r="O118" i="25"/>
  <c r="L118" i="25"/>
  <c r="I118" i="25"/>
  <c r="F118" i="25"/>
  <c r="C118" i="25"/>
  <c r="O117" i="25"/>
  <c r="L117" i="25"/>
  <c r="I117" i="25"/>
  <c r="F117" i="25"/>
  <c r="C117" i="25" s="1"/>
  <c r="O116" i="25"/>
  <c r="L116" i="25"/>
  <c r="I116" i="25"/>
  <c r="C116" i="25" s="1"/>
  <c r="F116" i="25"/>
  <c r="N115" i="25"/>
  <c r="O115" i="25" s="1"/>
  <c r="M115" i="25"/>
  <c r="L115" i="25"/>
  <c r="K115" i="25"/>
  <c r="J115" i="25"/>
  <c r="H115" i="25"/>
  <c r="G115" i="25"/>
  <c r="E115" i="25"/>
  <c r="D115" i="25"/>
  <c r="F115" i="25" s="1"/>
  <c r="O114" i="25"/>
  <c r="L114" i="25"/>
  <c r="I114" i="25"/>
  <c r="F114" i="25"/>
  <c r="C114" i="25"/>
  <c r="O113" i="25"/>
  <c r="L113" i="25"/>
  <c r="I113" i="25"/>
  <c r="F113" i="25"/>
  <c r="C113" i="25" s="1"/>
  <c r="O112" i="25"/>
  <c r="L112" i="25"/>
  <c r="I112" i="25"/>
  <c r="C112" i="25" s="1"/>
  <c r="F112" i="25"/>
  <c r="O111" i="25"/>
  <c r="L111" i="25"/>
  <c r="I111" i="25"/>
  <c r="F111" i="25"/>
  <c r="O110" i="25"/>
  <c r="L110" i="25"/>
  <c r="I110" i="25"/>
  <c r="C110" i="25" s="1"/>
  <c r="F110" i="25"/>
  <c r="O109" i="25"/>
  <c r="L109" i="25"/>
  <c r="I109" i="25"/>
  <c r="F109" i="25"/>
  <c r="O108" i="25"/>
  <c r="L108" i="25"/>
  <c r="I108" i="25"/>
  <c r="F108" i="25"/>
  <c r="C108" i="25"/>
  <c r="O107" i="25"/>
  <c r="L107" i="25"/>
  <c r="I107" i="25"/>
  <c r="F107" i="25"/>
  <c r="C107" i="25" s="1"/>
  <c r="O106" i="25"/>
  <c r="N106" i="25"/>
  <c r="M106" i="25"/>
  <c r="K106" i="25"/>
  <c r="J106" i="25"/>
  <c r="H106" i="25"/>
  <c r="G106" i="25"/>
  <c r="I106" i="25" s="1"/>
  <c r="E106" i="25"/>
  <c r="D106" i="25"/>
  <c r="F106" i="25" s="1"/>
  <c r="O105" i="25"/>
  <c r="L105" i="25"/>
  <c r="I105" i="25"/>
  <c r="F105" i="25"/>
  <c r="O104" i="25"/>
  <c r="C104" i="25" s="1"/>
  <c r="L104" i="25"/>
  <c r="I104" i="25"/>
  <c r="F104" i="25"/>
  <c r="O103" i="25"/>
  <c r="L103" i="25"/>
  <c r="I103" i="25"/>
  <c r="F103" i="25"/>
  <c r="C103" i="25" s="1"/>
  <c r="O102" i="25"/>
  <c r="L102" i="25"/>
  <c r="I102" i="25"/>
  <c r="F102" i="25"/>
  <c r="C102" i="25"/>
  <c r="O101" i="25"/>
  <c r="L101" i="25"/>
  <c r="I101" i="25"/>
  <c r="F101" i="25"/>
  <c r="C101" i="25" s="1"/>
  <c r="O100" i="25"/>
  <c r="L100" i="25"/>
  <c r="I100" i="25"/>
  <c r="C100" i="25" s="1"/>
  <c r="F100" i="25"/>
  <c r="O99" i="25"/>
  <c r="L99" i="25"/>
  <c r="I99" i="25"/>
  <c r="F99" i="25"/>
  <c r="N98" i="25"/>
  <c r="M98" i="25"/>
  <c r="O98" i="25" s="1"/>
  <c r="K98" i="25"/>
  <c r="J98" i="25"/>
  <c r="L98" i="25" s="1"/>
  <c r="H98" i="25"/>
  <c r="I98" i="25" s="1"/>
  <c r="G98" i="25"/>
  <c r="F98" i="25"/>
  <c r="E98" i="25"/>
  <c r="D98" i="25"/>
  <c r="O97" i="25"/>
  <c r="L97" i="25"/>
  <c r="I97" i="25"/>
  <c r="F97" i="25"/>
  <c r="C97" i="25"/>
  <c r="O96" i="25"/>
  <c r="L96" i="25"/>
  <c r="I96" i="25"/>
  <c r="F96" i="25"/>
  <c r="C96" i="25" s="1"/>
  <c r="O95" i="25"/>
  <c r="L95" i="25"/>
  <c r="I95" i="25"/>
  <c r="C95" i="25" s="1"/>
  <c r="F95" i="25"/>
  <c r="O94" i="25"/>
  <c r="L94" i="25"/>
  <c r="I94" i="25"/>
  <c r="F94" i="25"/>
  <c r="C94" i="25" s="1"/>
  <c r="O93" i="25"/>
  <c r="C93" i="25" s="1"/>
  <c r="L93" i="25"/>
  <c r="I93" i="25"/>
  <c r="F93" i="25"/>
  <c r="N92" i="25"/>
  <c r="O92" i="25" s="1"/>
  <c r="M92" i="25"/>
  <c r="L92" i="25"/>
  <c r="K92" i="25"/>
  <c r="J92" i="25"/>
  <c r="H92" i="25"/>
  <c r="H86" i="25" s="1"/>
  <c r="G92" i="25"/>
  <c r="I92" i="25" s="1"/>
  <c r="E92" i="25"/>
  <c r="D92" i="25"/>
  <c r="F92" i="25" s="1"/>
  <c r="O91" i="25"/>
  <c r="L91" i="25"/>
  <c r="I91" i="25"/>
  <c r="C91" i="25" s="1"/>
  <c r="F91" i="25"/>
  <c r="O90" i="25"/>
  <c r="L90" i="25"/>
  <c r="I90" i="25"/>
  <c r="F90" i="25"/>
  <c r="C90" i="25" s="1"/>
  <c r="O89" i="25"/>
  <c r="C89" i="25" s="1"/>
  <c r="L89" i="25"/>
  <c r="I89" i="25"/>
  <c r="F89" i="25"/>
  <c r="O88" i="25"/>
  <c r="L88" i="25"/>
  <c r="I88" i="25"/>
  <c r="F88" i="25"/>
  <c r="C88" i="25" s="1"/>
  <c r="N87" i="25"/>
  <c r="M87" i="25"/>
  <c r="M86" i="25" s="1"/>
  <c r="O86" i="25" s="1"/>
  <c r="K87" i="25"/>
  <c r="L87" i="25" s="1"/>
  <c r="J87" i="25"/>
  <c r="I87" i="25"/>
  <c r="H87" i="25"/>
  <c r="G87" i="25"/>
  <c r="G86" i="25" s="1"/>
  <c r="E87" i="25"/>
  <c r="E86" i="25" s="1"/>
  <c r="D87" i="25"/>
  <c r="F87" i="25" s="1"/>
  <c r="N86" i="25"/>
  <c r="J86" i="25"/>
  <c r="O85" i="25"/>
  <c r="L85" i="25"/>
  <c r="I85" i="25"/>
  <c r="F85" i="25"/>
  <c r="C85" i="25"/>
  <c r="O84" i="25"/>
  <c r="L84" i="25"/>
  <c r="I84" i="25"/>
  <c r="F84" i="25"/>
  <c r="C84" i="25" s="1"/>
  <c r="N83" i="25"/>
  <c r="M83" i="25"/>
  <c r="O83" i="25" s="1"/>
  <c r="K83" i="25"/>
  <c r="L83" i="25" s="1"/>
  <c r="J83" i="25"/>
  <c r="I83" i="25"/>
  <c r="H83" i="25"/>
  <c r="G83" i="25"/>
  <c r="E83" i="25"/>
  <c r="D83" i="25"/>
  <c r="F83" i="25" s="1"/>
  <c r="O82" i="25"/>
  <c r="L82" i="25"/>
  <c r="I82" i="25"/>
  <c r="F82" i="25"/>
  <c r="C82" i="25" s="1"/>
  <c r="O81" i="25"/>
  <c r="L81" i="25"/>
  <c r="I81" i="25"/>
  <c r="F81" i="25"/>
  <c r="C81" i="25"/>
  <c r="N80" i="25"/>
  <c r="O80" i="25" s="1"/>
  <c r="M80" i="25"/>
  <c r="L80" i="25"/>
  <c r="K80" i="25"/>
  <c r="J80" i="25"/>
  <c r="J79" i="25" s="1"/>
  <c r="H80" i="25"/>
  <c r="H79" i="25" s="1"/>
  <c r="G80" i="25"/>
  <c r="I80" i="25" s="1"/>
  <c r="E80" i="25"/>
  <c r="D80" i="25"/>
  <c r="D79" i="25" s="1"/>
  <c r="M79" i="25"/>
  <c r="K79" i="25"/>
  <c r="G79" i="25"/>
  <c r="E79" i="25"/>
  <c r="O77" i="25"/>
  <c r="C77" i="25" s="1"/>
  <c r="L77" i="25"/>
  <c r="I77" i="25"/>
  <c r="F77" i="25"/>
  <c r="O76" i="25"/>
  <c r="L76" i="25"/>
  <c r="I76" i="25"/>
  <c r="F76" i="25"/>
  <c r="C76" i="25" s="1"/>
  <c r="O75" i="25"/>
  <c r="L75" i="25"/>
  <c r="I75" i="25"/>
  <c r="C75" i="25" s="1"/>
  <c r="F75" i="25"/>
  <c r="O74" i="25"/>
  <c r="L74" i="25"/>
  <c r="I74" i="25"/>
  <c r="F74" i="25"/>
  <c r="C74" i="25" s="1"/>
  <c r="O73" i="25"/>
  <c r="L73" i="25"/>
  <c r="I73" i="25"/>
  <c r="F73" i="25"/>
  <c r="C73" i="25"/>
  <c r="N72" i="25"/>
  <c r="O72" i="25" s="1"/>
  <c r="M72" i="25"/>
  <c r="L72" i="25"/>
  <c r="K72" i="25"/>
  <c r="K70" i="25" s="1"/>
  <c r="J72" i="25"/>
  <c r="H72" i="25"/>
  <c r="H70" i="25" s="1"/>
  <c r="G72" i="25"/>
  <c r="I72" i="25" s="1"/>
  <c r="E72" i="25"/>
  <c r="D72" i="25"/>
  <c r="F72" i="25" s="1"/>
  <c r="C72" i="25" s="1"/>
  <c r="O71" i="25"/>
  <c r="L71" i="25"/>
  <c r="I71" i="25"/>
  <c r="C71" i="25" s="1"/>
  <c r="F71" i="25"/>
  <c r="N70" i="25"/>
  <c r="M70" i="25"/>
  <c r="O70" i="25" s="1"/>
  <c r="J70" i="25"/>
  <c r="L70" i="25" s="1"/>
  <c r="E70" i="25"/>
  <c r="O69" i="25"/>
  <c r="C69" i="25" s="1"/>
  <c r="L69" i="25"/>
  <c r="I69" i="25"/>
  <c r="F69" i="25"/>
  <c r="O68" i="25"/>
  <c r="L68" i="25"/>
  <c r="I68" i="25"/>
  <c r="F68" i="25"/>
  <c r="C68" i="25" s="1"/>
  <c r="O67" i="25"/>
  <c r="L67" i="25"/>
  <c r="I67" i="25"/>
  <c r="C67" i="25" s="1"/>
  <c r="F67" i="25"/>
  <c r="O66" i="25"/>
  <c r="L66" i="25"/>
  <c r="I66" i="25"/>
  <c r="F66" i="25"/>
  <c r="C66" i="25" s="1"/>
  <c r="O65" i="25"/>
  <c r="C65" i="25" s="1"/>
  <c r="L65" i="25"/>
  <c r="I65" i="25"/>
  <c r="F65" i="25"/>
  <c r="O64" i="25"/>
  <c r="L64" i="25"/>
  <c r="I64" i="25"/>
  <c r="F64" i="25"/>
  <c r="C64" i="25" s="1"/>
  <c r="O63" i="25"/>
  <c r="L63" i="25"/>
  <c r="I63" i="25"/>
  <c r="C63" i="25" s="1"/>
  <c r="F63" i="25"/>
  <c r="O62" i="25"/>
  <c r="L62" i="25"/>
  <c r="I62" i="25"/>
  <c r="F62" i="25"/>
  <c r="C62" i="25" s="1"/>
  <c r="O61" i="25"/>
  <c r="N61" i="25"/>
  <c r="M61" i="25"/>
  <c r="K61" i="25"/>
  <c r="J61" i="25"/>
  <c r="L61" i="25" s="1"/>
  <c r="H61" i="25"/>
  <c r="G61" i="25"/>
  <c r="I61" i="25" s="1"/>
  <c r="E61" i="25"/>
  <c r="F61" i="25" s="1"/>
  <c r="D61" i="25"/>
  <c r="O60" i="25"/>
  <c r="L60" i="25"/>
  <c r="I60" i="25"/>
  <c r="F60" i="25"/>
  <c r="C60" i="25" s="1"/>
  <c r="O59" i="25"/>
  <c r="L59" i="25"/>
  <c r="I59" i="25"/>
  <c r="C59" i="25" s="1"/>
  <c r="F59" i="25"/>
  <c r="N58" i="25"/>
  <c r="N57" i="25" s="1"/>
  <c r="M58" i="25"/>
  <c r="O58" i="25" s="1"/>
  <c r="K58" i="25"/>
  <c r="J58" i="25"/>
  <c r="J57" i="25" s="1"/>
  <c r="H58" i="25"/>
  <c r="I58" i="25" s="1"/>
  <c r="G58" i="25"/>
  <c r="F58" i="25"/>
  <c r="E58" i="25"/>
  <c r="D58" i="25"/>
  <c r="D57" i="25" s="1"/>
  <c r="M57" i="25"/>
  <c r="M56" i="25" s="1"/>
  <c r="K57" i="25"/>
  <c r="K56" i="25" s="1"/>
  <c r="G57" i="25"/>
  <c r="E57" i="25"/>
  <c r="E56" i="25" s="1"/>
  <c r="O50" i="25"/>
  <c r="C50" i="25"/>
  <c r="O49" i="25"/>
  <c r="C49" i="25"/>
  <c r="N48" i="25"/>
  <c r="M48" i="25"/>
  <c r="L47" i="25"/>
  <c r="I47" i="25"/>
  <c r="F47" i="25"/>
  <c r="C47" i="25"/>
  <c r="K46" i="25"/>
  <c r="L46" i="25" s="1"/>
  <c r="J46" i="25"/>
  <c r="I46" i="25"/>
  <c r="H46" i="25"/>
  <c r="G46" i="25"/>
  <c r="E46" i="25"/>
  <c r="D46" i="25"/>
  <c r="F46" i="25" s="1"/>
  <c r="F45" i="25"/>
  <c r="C45" i="25"/>
  <c r="L44" i="25"/>
  <c r="C44" i="25"/>
  <c r="L43" i="25"/>
  <c r="C43" i="25"/>
  <c r="L42" i="25"/>
  <c r="C42" i="25"/>
  <c r="L41" i="25"/>
  <c r="C41" i="25"/>
  <c r="K40" i="25"/>
  <c r="L40" i="25" s="1"/>
  <c r="C40" i="25" s="1"/>
  <c r="J40" i="25"/>
  <c r="L39" i="25"/>
  <c r="C39" i="25"/>
  <c r="L38" i="25"/>
  <c r="C38" i="25"/>
  <c r="K37" i="25"/>
  <c r="L37" i="25" s="1"/>
  <c r="J37" i="25"/>
  <c r="C37" i="25"/>
  <c r="L36" i="25"/>
  <c r="C36" i="25"/>
  <c r="K35" i="25"/>
  <c r="K30" i="25" s="1"/>
  <c r="J35" i="25"/>
  <c r="L35" i="25" s="1"/>
  <c r="C35" i="25" s="1"/>
  <c r="L34" i="25"/>
  <c r="C34" i="25"/>
  <c r="L33" i="25"/>
  <c r="C33" i="25"/>
  <c r="L32" i="25"/>
  <c r="C32" i="25"/>
  <c r="K31" i="25"/>
  <c r="L31" i="25" s="1"/>
  <c r="C31" i="25" s="1"/>
  <c r="J31" i="25"/>
  <c r="F29" i="25"/>
  <c r="C29" i="25"/>
  <c r="I28" i="25"/>
  <c r="F28" i="25"/>
  <c r="C28" i="25" s="1"/>
  <c r="O27" i="25"/>
  <c r="L27" i="25"/>
  <c r="I27" i="25"/>
  <c r="C27" i="25" s="1"/>
  <c r="F27" i="25"/>
  <c r="O26" i="25"/>
  <c r="L26" i="25"/>
  <c r="I26" i="25"/>
  <c r="F26" i="25"/>
  <c r="O25" i="25"/>
  <c r="N25" i="25"/>
  <c r="N290" i="25" s="1"/>
  <c r="N289" i="25" s="1"/>
  <c r="M25" i="25"/>
  <c r="M290" i="25" s="1"/>
  <c r="K25" i="25"/>
  <c r="J25" i="25"/>
  <c r="J290" i="25" s="1"/>
  <c r="H25" i="25"/>
  <c r="H290" i="25" s="1"/>
  <c r="H289" i="25" s="1"/>
  <c r="G25" i="25"/>
  <c r="E25" i="25"/>
  <c r="E290" i="25" s="1"/>
  <c r="E289" i="25" s="1"/>
  <c r="D25" i="25"/>
  <c r="D290" i="25" s="1"/>
  <c r="N24" i="25"/>
  <c r="H24" i="25"/>
  <c r="D24" i="25"/>
  <c r="K78" i="25" l="1"/>
  <c r="C83" i="25"/>
  <c r="K290" i="25"/>
  <c r="K289" i="25" s="1"/>
  <c r="K24" i="25"/>
  <c r="C26" i="25"/>
  <c r="M78" i="25"/>
  <c r="H78" i="25"/>
  <c r="I79" i="25"/>
  <c r="C92" i="25"/>
  <c r="C98" i="25"/>
  <c r="C46" i="25"/>
  <c r="J56" i="25"/>
  <c r="L57" i="25"/>
  <c r="C61" i="25"/>
  <c r="G290" i="25"/>
  <c r="G24" i="25"/>
  <c r="I24" i="25" s="1"/>
  <c r="I25" i="25"/>
  <c r="F57" i="25"/>
  <c r="N56" i="25"/>
  <c r="O56" i="25" s="1"/>
  <c r="O57" i="25"/>
  <c r="F79" i="25"/>
  <c r="L79" i="25"/>
  <c r="I86" i="25"/>
  <c r="C119" i="25"/>
  <c r="D194" i="25"/>
  <c r="F194" i="25" s="1"/>
  <c r="F195" i="25"/>
  <c r="C195" i="25" s="1"/>
  <c r="M261" i="25"/>
  <c r="O261" i="25" s="1"/>
  <c r="O262" i="25"/>
  <c r="E24" i="25"/>
  <c r="F24" i="25" s="1"/>
  <c r="M24" i="25"/>
  <c r="O24" i="25" s="1"/>
  <c r="D289" i="25"/>
  <c r="F289" i="25" s="1"/>
  <c r="F290" i="25"/>
  <c r="L25" i="25"/>
  <c r="J30" i="25"/>
  <c r="H57" i="25"/>
  <c r="H56" i="25" s="1"/>
  <c r="G70" i="25"/>
  <c r="I70" i="25" s="1"/>
  <c r="N79" i="25"/>
  <c r="N78" i="25" s="1"/>
  <c r="K86" i="25"/>
  <c r="L86" i="25" s="1"/>
  <c r="C105" i="25"/>
  <c r="C109" i="25"/>
  <c r="C122" i="25"/>
  <c r="C131" i="25"/>
  <c r="C135" i="25"/>
  <c r="N133" i="25"/>
  <c r="C154" i="25"/>
  <c r="I163" i="25"/>
  <c r="C165" i="25"/>
  <c r="C173" i="25"/>
  <c r="D176" i="25"/>
  <c r="F176" i="25" s="1"/>
  <c r="M177" i="25"/>
  <c r="O178" i="25"/>
  <c r="C178" i="25" s="1"/>
  <c r="D190" i="25"/>
  <c r="F190" i="25" s="1"/>
  <c r="F191" i="25"/>
  <c r="J190" i="25"/>
  <c r="L190" i="25" s="1"/>
  <c r="H198" i="25"/>
  <c r="H197" i="25" s="1"/>
  <c r="O238" i="25"/>
  <c r="M234" i="25"/>
  <c r="L241" i="25"/>
  <c r="C241" i="25" s="1"/>
  <c r="J234" i="25"/>
  <c r="I57" i="25"/>
  <c r="L58" i="25"/>
  <c r="C58" i="25" s="1"/>
  <c r="D70" i="25"/>
  <c r="F70" i="25" s="1"/>
  <c r="F80" i="25"/>
  <c r="C80" i="25" s="1"/>
  <c r="D86" i="25"/>
  <c r="F86" i="25" s="1"/>
  <c r="O87" i="25"/>
  <c r="C87" i="25" s="1"/>
  <c r="C99" i="25"/>
  <c r="C111" i="25"/>
  <c r="C124" i="25"/>
  <c r="G133" i="25"/>
  <c r="I133" i="25" s="1"/>
  <c r="I134" i="25"/>
  <c r="C134" i="25" s="1"/>
  <c r="O133" i="25"/>
  <c r="L139" i="25"/>
  <c r="J133" i="25"/>
  <c r="L133" i="25" s="1"/>
  <c r="D139" i="25"/>
  <c r="F141" i="25"/>
  <c r="C141" i="25" s="1"/>
  <c r="C142" i="25"/>
  <c r="C144" i="25"/>
  <c r="C150" i="25"/>
  <c r="G176" i="25"/>
  <c r="I176" i="25" s="1"/>
  <c r="C185" i="25"/>
  <c r="C187" i="25"/>
  <c r="D198" i="25"/>
  <c r="F199" i="25"/>
  <c r="J168" i="25"/>
  <c r="L168" i="25" s="1"/>
  <c r="L169" i="25"/>
  <c r="C169" i="25" s="1"/>
  <c r="J176" i="25"/>
  <c r="M289" i="25"/>
  <c r="O289" i="25" s="1"/>
  <c r="O290" i="25"/>
  <c r="F25" i="25"/>
  <c r="J289" i="25"/>
  <c r="L289" i="25" s="1"/>
  <c r="O48" i="25"/>
  <c r="C48" i="25" s="1"/>
  <c r="L106" i="25"/>
  <c r="C106" i="25" s="1"/>
  <c r="I115" i="25"/>
  <c r="C115" i="25" s="1"/>
  <c r="I119" i="25"/>
  <c r="F125" i="25"/>
  <c r="C125" i="25" s="1"/>
  <c r="C163" i="25"/>
  <c r="I191" i="25"/>
  <c r="O194" i="25"/>
  <c r="F219" i="25"/>
  <c r="C219" i="25" s="1"/>
  <c r="D207" i="25"/>
  <c r="F207" i="25" s="1"/>
  <c r="O230" i="25"/>
  <c r="C230" i="25" s="1"/>
  <c r="M207" i="25"/>
  <c r="G271" i="25"/>
  <c r="I271" i="25" s="1"/>
  <c r="I272" i="25"/>
  <c r="E133" i="25"/>
  <c r="E78" i="25" s="1"/>
  <c r="E55" i="25" s="1"/>
  <c r="H168" i="25"/>
  <c r="I168" i="25" s="1"/>
  <c r="C168" i="25" s="1"/>
  <c r="K177" i="25"/>
  <c r="K176" i="25" s="1"/>
  <c r="K55" i="25" s="1"/>
  <c r="K54" i="25" s="1"/>
  <c r="N190" i="25"/>
  <c r="O190" i="25" s="1"/>
  <c r="N194" i="25"/>
  <c r="L208" i="25"/>
  <c r="C237" i="25"/>
  <c r="F238" i="25"/>
  <c r="C238" i="25" s="1"/>
  <c r="C245" i="25"/>
  <c r="O249" i="25"/>
  <c r="C249" i="25" s="1"/>
  <c r="I255" i="25"/>
  <c r="C257" i="25"/>
  <c r="F262" i="25"/>
  <c r="C270" i="25"/>
  <c r="F271" i="25"/>
  <c r="O274" i="25"/>
  <c r="C274" i="25" s="1"/>
  <c r="M272" i="25"/>
  <c r="K287" i="25"/>
  <c r="C285" i="25"/>
  <c r="C286" i="25"/>
  <c r="C297" i="25"/>
  <c r="C291" i="25" s="1"/>
  <c r="C298" i="25"/>
  <c r="G139" i="26"/>
  <c r="E181" i="26"/>
  <c r="G191" i="26"/>
  <c r="G181" i="26" s="1"/>
  <c r="L201" i="25"/>
  <c r="J199" i="25"/>
  <c r="C209" i="25"/>
  <c r="C221" i="25"/>
  <c r="F234" i="25"/>
  <c r="I236" i="25"/>
  <c r="C236" i="25" s="1"/>
  <c r="G234" i="25"/>
  <c r="E261" i="25"/>
  <c r="F261" i="25" s="1"/>
  <c r="C281" i="25"/>
  <c r="I284" i="25"/>
  <c r="G27" i="26"/>
  <c r="G14" i="26" s="1"/>
  <c r="G65" i="26"/>
  <c r="G114" i="26"/>
  <c r="G125" i="26"/>
  <c r="G124" i="26" s="1"/>
  <c r="E124" i="26"/>
  <c r="E14" i="26" s="1"/>
  <c r="E13" i="26" s="1"/>
  <c r="I199" i="25"/>
  <c r="C201" i="25"/>
  <c r="G207" i="25"/>
  <c r="I208" i="25"/>
  <c r="C208" i="25" s="1"/>
  <c r="N234" i="25"/>
  <c r="N233" i="25" s="1"/>
  <c r="N197" i="25" s="1"/>
  <c r="D254" i="25"/>
  <c r="F255" i="25"/>
  <c r="F266" i="25"/>
  <c r="C266" i="25" s="1"/>
  <c r="L284" i="25"/>
  <c r="C284" i="25" s="1"/>
  <c r="E260" i="26"/>
  <c r="G13" i="26" l="1"/>
  <c r="K53" i="25"/>
  <c r="K288" i="25"/>
  <c r="N287" i="25"/>
  <c r="G233" i="25"/>
  <c r="I234" i="25"/>
  <c r="C234" i="25" s="1"/>
  <c r="D197" i="25"/>
  <c r="F198" i="25"/>
  <c r="L30" i="25"/>
  <c r="C30" i="25" s="1"/>
  <c r="J24" i="25"/>
  <c r="L24" i="25" s="1"/>
  <c r="C24" i="25" s="1"/>
  <c r="M233" i="25"/>
  <c r="O233" i="25" s="1"/>
  <c r="O234" i="25"/>
  <c r="J55" i="25"/>
  <c r="L56" i="25"/>
  <c r="C255" i="25"/>
  <c r="I207" i="25"/>
  <c r="G198" i="25"/>
  <c r="M271" i="25"/>
  <c r="O272" i="25"/>
  <c r="C262" i="25"/>
  <c r="E233" i="25"/>
  <c r="L290" i="25"/>
  <c r="L177" i="25"/>
  <c r="C177" i="25" s="1"/>
  <c r="H287" i="25"/>
  <c r="F139" i="25"/>
  <c r="C139" i="25" s="1"/>
  <c r="D133" i="25"/>
  <c r="F133" i="25" s="1"/>
  <c r="C133" i="25" s="1"/>
  <c r="O79" i="25"/>
  <c r="C79" i="25" s="1"/>
  <c r="M176" i="25"/>
  <c r="O176" i="25" s="1"/>
  <c r="O177" i="25"/>
  <c r="H55" i="25"/>
  <c r="H54" i="25" s="1"/>
  <c r="C194" i="25"/>
  <c r="D56" i="25"/>
  <c r="G289" i="25"/>
  <c r="I289" i="25" s="1"/>
  <c r="I290" i="25"/>
  <c r="G56" i="25"/>
  <c r="C272" i="25"/>
  <c r="C86" i="25"/>
  <c r="C190" i="25"/>
  <c r="O78" i="25"/>
  <c r="L199" i="25"/>
  <c r="J198" i="25"/>
  <c r="N55" i="25"/>
  <c r="N54" i="25" s="1"/>
  <c r="M55" i="25"/>
  <c r="D233" i="25"/>
  <c r="F254" i="25"/>
  <c r="C254" i="25" s="1"/>
  <c r="C261" i="25"/>
  <c r="C289" i="25"/>
  <c r="O207" i="25"/>
  <c r="C207" i="25" s="1"/>
  <c r="M198" i="25"/>
  <c r="C25" i="25"/>
  <c r="C290" i="25" s="1"/>
  <c r="L176" i="25"/>
  <c r="C199" i="25"/>
  <c r="C70" i="25"/>
  <c r="L234" i="25"/>
  <c r="J233" i="25"/>
  <c r="C191" i="25"/>
  <c r="C176" i="25"/>
  <c r="J78" i="25"/>
  <c r="L78" i="25" s="1"/>
  <c r="C57" i="25"/>
  <c r="G78" i="25"/>
  <c r="I78" i="25" s="1"/>
  <c r="L233" i="25" l="1"/>
  <c r="J287" i="25"/>
  <c r="L287" i="25" s="1"/>
  <c r="O55" i="25"/>
  <c r="D55" i="25"/>
  <c r="F56" i="25"/>
  <c r="O271" i="25"/>
  <c r="C271" i="25" s="1"/>
  <c r="M287" i="25"/>
  <c r="O287" i="25" s="1"/>
  <c r="I233" i="25"/>
  <c r="G287" i="25"/>
  <c r="I287" i="25" s="1"/>
  <c r="N53" i="25"/>
  <c r="N288" i="25"/>
  <c r="G55" i="25"/>
  <c r="I56" i="25"/>
  <c r="D78" i="25"/>
  <c r="F78" i="25" s="1"/>
  <c r="C78" i="25" s="1"/>
  <c r="E197" i="25"/>
  <c r="E54" i="25" s="1"/>
  <c r="E287" i="25"/>
  <c r="C198" i="25"/>
  <c r="M197" i="25"/>
  <c r="O197" i="25" s="1"/>
  <c r="O198" i="25"/>
  <c r="L198" i="25"/>
  <c r="J197" i="25"/>
  <c r="L197" i="25" s="1"/>
  <c r="G197" i="25"/>
  <c r="I197" i="25" s="1"/>
  <c r="I198" i="25"/>
  <c r="L55" i="25"/>
  <c r="J54" i="25"/>
  <c r="F233" i="25"/>
  <c r="C233" i="25" s="1"/>
  <c r="D287" i="25"/>
  <c r="F287" i="25" s="1"/>
  <c r="H288" i="25"/>
  <c r="H53" i="25"/>
  <c r="C56" i="25" l="1"/>
  <c r="E288" i="25"/>
  <c r="E53" i="25"/>
  <c r="F197" i="25"/>
  <c r="C197" i="25" s="1"/>
  <c r="C287" i="25"/>
  <c r="M54" i="25"/>
  <c r="J53" i="25"/>
  <c r="L53" i="25" s="1"/>
  <c r="L54" i="25"/>
  <c r="J288" i="25"/>
  <c r="L288" i="25" s="1"/>
  <c r="G54" i="25"/>
  <c r="I55" i="25"/>
  <c r="D54" i="25"/>
  <c r="F55" i="25"/>
  <c r="C55" i="25" s="1"/>
  <c r="D288" i="25" l="1"/>
  <c r="F288" i="25" s="1"/>
  <c r="C288" i="25" s="1"/>
  <c r="D53" i="25"/>
  <c r="F53" i="25" s="1"/>
  <c r="F54" i="25"/>
  <c r="G288" i="25"/>
  <c r="I288" i="25" s="1"/>
  <c r="I54" i="25"/>
  <c r="G53" i="25"/>
  <c r="I53" i="25" s="1"/>
  <c r="M53" i="25"/>
  <c r="O53" i="25" s="1"/>
  <c r="O54" i="25"/>
  <c r="M288" i="25"/>
  <c r="O288" i="25" s="1"/>
  <c r="C53" i="25" l="1"/>
  <c r="C54" i="25"/>
  <c r="G269" i="24" l="1"/>
  <c r="G268" i="24"/>
  <c r="F268" i="24"/>
  <c r="E268" i="24"/>
  <c r="E261" i="24"/>
  <c r="G261" i="24" s="1"/>
  <c r="G260" i="24" s="1"/>
  <c r="F260" i="24"/>
  <c r="G259" i="24"/>
  <c r="G258" i="24"/>
  <c r="G257" i="24"/>
  <c r="G256" i="24"/>
  <c r="G255" i="24"/>
  <c r="G254" i="24"/>
  <c r="G253" i="24"/>
  <c r="E252" i="24"/>
  <c r="G252" i="24" s="1"/>
  <c r="G251" i="24"/>
  <c r="G250" i="24"/>
  <c r="G249" i="24"/>
  <c r="G248" i="24"/>
  <c r="G247" i="24"/>
  <c r="G246" i="24"/>
  <c r="G245" i="24"/>
  <c r="G244" i="24"/>
  <c r="G243" i="24"/>
  <c r="G242" i="24"/>
  <c r="G241" i="24"/>
  <c r="G240" i="24"/>
  <c r="G239" i="24"/>
  <c r="E239" i="24"/>
  <c r="G238" i="24"/>
  <c r="G237" i="24"/>
  <c r="G236" i="24"/>
  <c r="G235" i="24"/>
  <c r="G234" i="24"/>
  <c r="G233" i="24"/>
  <c r="G232" i="24"/>
  <c r="G231" i="24"/>
  <c r="G230" i="24"/>
  <c r="G229" i="24"/>
  <c r="G228" i="24"/>
  <c r="G227" i="24"/>
  <c r="G226" i="24"/>
  <c r="G225" i="24"/>
  <c r="G224" i="24"/>
  <c r="E224" i="24"/>
  <c r="G223" i="24"/>
  <c r="G222" i="24"/>
  <c r="G221" i="24"/>
  <c r="G220" i="24"/>
  <c r="G219" i="24"/>
  <c r="G218" i="24"/>
  <c r="G217" i="24"/>
  <c r="G216" i="24"/>
  <c r="G215" i="24"/>
  <c r="G214" i="24"/>
  <c r="G213" i="24"/>
  <c r="G212" i="24"/>
  <c r="G211" i="24"/>
  <c r="G210" i="24"/>
  <c r="G209" i="24"/>
  <c r="G208" i="24"/>
  <c r="G207" i="24"/>
  <c r="G206" i="24"/>
  <c r="G205" i="24"/>
  <c r="G204" i="24"/>
  <c r="G203" i="24"/>
  <c r="G202" i="24"/>
  <c r="G201" i="24"/>
  <c r="G200" i="24"/>
  <c r="G199" i="24"/>
  <c r="G198" i="24"/>
  <c r="G197" i="24"/>
  <c r="G196" i="24"/>
  <c r="G195" i="24"/>
  <c r="E194" i="24"/>
  <c r="G194" i="24" s="1"/>
  <c r="G193" i="24"/>
  <c r="E192" i="24"/>
  <c r="G192" i="24" s="1"/>
  <c r="G191" i="24"/>
  <c r="E191" i="24"/>
  <c r="G190" i="24"/>
  <c r="E189" i="24"/>
  <c r="G189" i="24" s="1"/>
  <c r="E188" i="24"/>
  <c r="G188" i="24" s="1"/>
  <c r="G187" i="24"/>
  <c r="G186" i="24"/>
  <c r="E186" i="24"/>
  <c r="G185" i="24"/>
  <c r="G184" i="24"/>
  <c r="G183" i="24"/>
  <c r="F182" i="24"/>
  <c r="E182" i="24"/>
  <c r="G181" i="24"/>
  <c r="G180" i="24" s="1"/>
  <c r="F180" i="24"/>
  <c r="E180" i="24"/>
  <c r="G179" i="24"/>
  <c r="G178" i="24"/>
  <c r="G177" i="24"/>
  <c r="G176" i="24"/>
  <c r="F176" i="24"/>
  <c r="E176" i="24"/>
  <c r="G175" i="24"/>
  <c r="G174" i="24"/>
  <c r="G173" i="24" s="1"/>
  <c r="F173" i="24"/>
  <c r="E173" i="24"/>
  <c r="G172" i="24"/>
  <c r="G171" i="24" s="1"/>
  <c r="F171" i="24"/>
  <c r="E171" i="24"/>
  <c r="G170" i="24"/>
  <c r="G169" i="24"/>
  <c r="G168" i="24" s="1"/>
  <c r="F168" i="24"/>
  <c r="E168" i="24"/>
  <c r="G167" i="24"/>
  <c r="G166" i="24"/>
  <c r="G165" i="24"/>
  <c r="G164" i="24"/>
  <c r="F164" i="24"/>
  <c r="E164" i="24"/>
  <c r="G162" i="24"/>
  <c r="G161" i="24"/>
  <c r="G160" i="24"/>
  <c r="G159" i="24"/>
  <c r="G158" i="24"/>
  <c r="G157" i="24"/>
  <c r="G156" i="24"/>
  <c r="G155" i="24"/>
  <c r="G154" i="24"/>
  <c r="G153" i="24"/>
  <c r="G152" i="24"/>
  <c r="G151" i="24"/>
  <c r="G150" i="24"/>
  <c r="G149" i="24"/>
  <c r="E149" i="24"/>
  <c r="G148" i="24"/>
  <c r="G147" i="24"/>
  <c r="G146" i="24"/>
  <c r="G145" i="24"/>
  <c r="G144" i="24" s="1"/>
  <c r="F144" i="24"/>
  <c r="E144" i="24"/>
  <c r="G143" i="24"/>
  <c r="G142" i="24"/>
  <c r="G141" i="24"/>
  <c r="G140" i="24"/>
  <c r="G139" i="24" s="1"/>
  <c r="F139" i="24"/>
  <c r="E139" i="24"/>
  <c r="G138" i="24"/>
  <c r="G137" i="24"/>
  <c r="G136" i="24"/>
  <c r="G135" i="24"/>
  <c r="G134" i="24"/>
  <c r="G133" i="24"/>
  <c r="G132" i="24" s="1"/>
  <c r="F132" i="24"/>
  <c r="E132" i="24"/>
  <c r="G131" i="24"/>
  <c r="E131" i="24"/>
  <c r="G130" i="24"/>
  <c r="G129" i="24"/>
  <c r="F129" i="24"/>
  <c r="E129" i="24"/>
  <c r="E128" i="24"/>
  <c r="G128" i="24" s="1"/>
  <c r="G127" i="24"/>
  <c r="E127" i="24"/>
  <c r="E126" i="24"/>
  <c r="G126" i="24" s="1"/>
  <c r="G125" i="24"/>
  <c r="E125" i="24"/>
  <c r="F124" i="24"/>
  <c r="G123" i="24"/>
  <c r="G122" i="24"/>
  <c r="G121" i="24"/>
  <c r="G120" i="24"/>
  <c r="G119" i="24" s="1"/>
  <c r="F119" i="24"/>
  <c r="E119" i="24"/>
  <c r="G118" i="24"/>
  <c r="G117" i="24"/>
  <c r="G116" i="24"/>
  <c r="G115" i="24"/>
  <c r="G114" i="24" s="1"/>
  <c r="F114" i="24"/>
  <c r="E114" i="24"/>
  <c r="G113" i="24"/>
  <c r="G112" i="24" s="1"/>
  <c r="F112" i="24"/>
  <c r="E112" i="24"/>
  <c r="G111" i="24"/>
  <c r="G110" i="24"/>
  <c r="G109" i="24"/>
  <c r="E109" i="24"/>
  <c r="G108" i="24"/>
  <c r="G107" i="24"/>
  <c r="G106" i="24" s="1"/>
  <c r="F106" i="24"/>
  <c r="E106" i="24"/>
  <c r="G105" i="24"/>
  <c r="G104" i="24"/>
  <c r="G103" i="24"/>
  <c r="G102" i="24"/>
  <c r="G101" i="24"/>
  <c r="G100" i="24"/>
  <c r="G99" i="24"/>
  <c r="G98" i="24"/>
  <c r="G97" i="24"/>
  <c r="G96" i="24"/>
  <c r="G95" i="24"/>
  <c r="G94" i="24"/>
  <c r="G93" i="24"/>
  <c r="G92" i="24"/>
  <c r="G91" i="24" s="1"/>
  <c r="F91" i="24"/>
  <c r="E91" i="24"/>
  <c r="G90" i="24"/>
  <c r="G89" i="24"/>
  <c r="G88" i="24"/>
  <c r="G87" i="24"/>
  <c r="G86" i="24"/>
  <c r="G85" i="24"/>
  <c r="G84" i="24"/>
  <c r="G83" i="24"/>
  <c r="G82" i="24"/>
  <c r="G81" i="24" s="1"/>
  <c r="F81" i="24"/>
  <c r="E81" i="24"/>
  <c r="G80" i="24"/>
  <c r="G79" i="24"/>
  <c r="G78" i="24"/>
  <c r="G77" i="24"/>
  <c r="G76" i="24"/>
  <c r="G75" i="24"/>
  <c r="G74" i="24"/>
  <c r="G73" i="24"/>
  <c r="G72" i="24"/>
  <c r="G71" i="24"/>
  <c r="G70" i="24"/>
  <c r="G69" i="24"/>
  <c r="G68" i="24"/>
  <c r="G67" i="24"/>
  <c r="G66" i="24"/>
  <c r="G65" i="24" s="1"/>
  <c r="F65" i="24"/>
  <c r="E65" i="24"/>
  <c r="G64" i="24"/>
  <c r="G63" i="24"/>
  <c r="G62" i="24"/>
  <c r="G61" i="24"/>
  <c r="G60" i="24"/>
  <c r="G59" i="24"/>
  <c r="G58" i="24"/>
  <c r="G57" i="24"/>
  <c r="G56" i="24"/>
  <c r="G55" i="24"/>
  <c r="G54" i="24"/>
  <c r="G53" i="24" s="1"/>
  <c r="F53" i="24"/>
  <c r="E53" i="24"/>
  <c r="G52" i="24"/>
  <c r="G51" i="24"/>
  <c r="G50" i="24"/>
  <c r="G49" i="24"/>
  <c r="G48" i="24"/>
  <c r="G47" i="24"/>
  <c r="G46" i="24"/>
  <c r="G45" i="24" s="1"/>
  <c r="F45" i="24"/>
  <c r="E45" i="24"/>
  <c r="G44" i="24"/>
  <c r="G43" i="24"/>
  <c r="G42" i="24"/>
  <c r="G41" i="24"/>
  <c r="G40" i="24"/>
  <c r="G39" i="24"/>
  <c r="G38" i="24" s="1"/>
  <c r="F38" i="24"/>
  <c r="E38" i="24"/>
  <c r="G37" i="24"/>
  <c r="G36" i="24"/>
  <c r="G35" i="24" s="1"/>
  <c r="F35" i="24"/>
  <c r="E35" i="24"/>
  <c r="G34" i="24"/>
  <c r="G33" i="24"/>
  <c r="G32" i="24"/>
  <c r="G31" i="24"/>
  <c r="G30" i="24"/>
  <c r="G29" i="24"/>
  <c r="G28" i="24"/>
  <c r="E28" i="24"/>
  <c r="G27" i="24"/>
  <c r="F27" i="24"/>
  <c r="E27" i="24"/>
  <c r="G23" i="24"/>
  <c r="G22" i="24"/>
  <c r="E21" i="24"/>
  <c r="G21" i="24" s="1"/>
  <c r="G20" i="24"/>
  <c r="G19" i="24"/>
  <c r="E18" i="24"/>
  <c r="G18" i="24" s="1"/>
  <c r="E17" i="24"/>
  <c r="G17" i="24" s="1"/>
  <c r="G15" i="24" s="1"/>
  <c r="G16" i="24"/>
  <c r="F15" i="24"/>
  <c r="E15" i="24"/>
  <c r="F14" i="24"/>
  <c r="F13" i="24" s="1"/>
  <c r="O299" i="23"/>
  <c r="L299" i="23"/>
  <c r="I299" i="23"/>
  <c r="F299" i="23"/>
  <c r="C299" i="23" s="1"/>
  <c r="O298" i="23"/>
  <c r="L298" i="23"/>
  <c r="I298" i="23"/>
  <c r="F298" i="23"/>
  <c r="C298" i="23" s="1"/>
  <c r="O297" i="23"/>
  <c r="L297" i="23"/>
  <c r="I297" i="23"/>
  <c r="F297" i="23"/>
  <c r="C297" i="23" s="1"/>
  <c r="O296" i="23"/>
  <c r="L296" i="23"/>
  <c r="I296" i="23"/>
  <c r="F296" i="23"/>
  <c r="C296" i="23"/>
  <c r="O295" i="23"/>
  <c r="L295" i="23"/>
  <c r="I295" i="23"/>
  <c r="F295" i="23"/>
  <c r="C295" i="23" s="1"/>
  <c r="O294" i="23"/>
  <c r="L294" i="23"/>
  <c r="I294" i="23"/>
  <c r="F294" i="23"/>
  <c r="C294" i="23" s="1"/>
  <c r="O293" i="23"/>
  <c r="L293" i="23"/>
  <c r="I293" i="23"/>
  <c r="F293" i="23"/>
  <c r="C293" i="23" s="1"/>
  <c r="O292" i="23"/>
  <c r="L292" i="23"/>
  <c r="I292" i="23"/>
  <c r="F292" i="23"/>
  <c r="C292" i="23"/>
  <c r="N291" i="23"/>
  <c r="M291" i="23"/>
  <c r="O291" i="23" s="1"/>
  <c r="K291" i="23"/>
  <c r="J291" i="23"/>
  <c r="L291" i="23" s="1"/>
  <c r="H291" i="23"/>
  <c r="G291" i="23"/>
  <c r="I291" i="23" s="1"/>
  <c r="E291" i="23"/>
  <c r="F291" i="23" s="1"/>
  <c r="D291" i="23"/>
  <c r="O286" i="23"/>
  <c r="L286" i="23"/>
  <c r="I286" i="23"/>
  <c r="F286" i="23"/>
  <c r="C286" i="23" s="1"/>
  <c r="O285" i="23"/>
  <c r="L285" i="23"/>
  <c r="I285" i="23"/>
  <c r="F285" i="23"/>
  <c r="C285" i="23" s="1"/>
  <c r="N284" i="23"/>
  <c r="M284" i="23"/>
  <c r="K284" i="23"/>
  <c r="J284" i="23"/>
  <c r="L284" i="23" s="1"/>
  <c r="H284" i="23"/>
  <c r="G284" i="23"/>
  <c r="E284" i="23"/>
  <c r="D284" i="23"/>
  <c r="O283" i="23"/>
  <c r="L283" i="23"/>
  <c r="I283" i="23"/>
  <c r="F283" i="23"/>
  <c r="C283" i="23"/>
  <c r="O282" i="23"/>
  <c r="N282" i="23"/>
  <c r="M282" i="23"/>
  <c r="K282" i="23"/>
  <c r="J282" i="23"/>
  <c r="L282" i="23" s="1"/>
  <c r="H282" i="23"/>
  <c r="G282" i="23"/>
  <c r="I282" i="23" s="1"/>
  <c r="E282" i="23"/>
  <c r="D282" i="23"/>
  <c r="F282" i="23" s="1"/>
  <c r="O281" i="23"/>
  <c r="L281" i="23"/>
  <c r="I281" i="23"/>
  <c r="F281" i="23"/>
  <c r="C281" i="23" s="1"/>
  <c r="O280" i="23"/>
  <c r="L280" i="23"/>
  <c r="I280" i="23"/>
  <c r="F280" i="23"/>
  <c r="C280" i="23" s="1"/>
  <c r="O279" i="23"/>
  <c r="L279" i="23"/>
  <c r="I279" i="23"/>
  <c r="F279" i="23"/>
  <c r="C279" i="23"/>
  <c r="O278" i="23"/>
  <c r="N278" i="23"/>
  <c r="M278" i="23"/>
  <c r="K278" i="23"/>
  <c r="J278" i="23"/>
  <c r="L278" i="23" s="1"/>
  <c r="H278" i="23"/>
  <c r="G278" i="23"/>
  <c r="I278" i="23" s="1"/>
  <c r="E278" i="23"/>
  <c r="D278" i="23"/>
  <c r="F278" i="23" s="1"/>
  <c r="C278" i="23" s="1"/>
  <c r="O277" i="23"/>
  <c r="L277" i="23"/>
  <c r="I277" i="23"/>
  <c r="F277" i="23"/>
  <c r="C277" i="23" s="1"/>
  <c r="O276" i="23"/>
  <c r="L276" i="23"/>
  <c r="I276" i="23"/>
  <c r="F276" i="23"/>
  <c r="C276" i="23" s="1"/>
  <c r="O275" i="23"/>
  <c r="L275" i="23"/>
  <c r="I275" i="23"/>
  <c r="F275" i="23"/>
  <c r="C275" i="23"/>
  <c r="O274" i="23"/>
  <c r="N274" i="23"/>
  <c r="M274" i="23"/>
  <c r="L274" i="23"/>
  <c r="K274" i="23"/>
  <c r="J274" i="23"/>
  <c r="H274" i="23"/>
  <c r="G274" i="23"/>
  <c r="I274" i="23" s="1"/>
  <c r="E274" i="23"/>
  <c r="D274" i="23"/>
  <c r="F274" i="23" s="1"/>
  <c r="O273" i="23"/>
  <c r="L273" i="23"/>
  <c r="I273" i="23"/>
  <c r="F273" i="23"/>
  <c r="C273" i="23" s="1"/>
  <c r="N272" i="23"/>
  <c r="M272" i="23"/>
  <c r="O272" i="23" s="1"/>
  <c r="K272" i="23"/>
  <c r="J272" i="23"/>
  <c r="L272" i="23" s="1"/>
  <c r="H272" i="23"/>
  <c r="G272" i="23"/>
  <c r="I272" i="23" s="1"/>
  <c r="E272" i="23"/>
  <c r="F272" i="23" s="1"/>
  <c r="C272" i="23" s="1"/>
  <c r="D272" i="23"/>
  <c r="N271" i="23"/>
  <c r="M271" i="23"/>
  <c r="O271" i="23" s="1"/>
  <c r="K271" i="23"/>
  <c r="J271" i="23"/>
  <c r="L271" i="23" s="1"/>
  <c r="H271" i="23"/>
  <c r="G271" i="23"/>
  <c r="I271" i="23" s="1"/>
  <c r="F271" i="23"/>
  <c r="C271" i="23" s="1"/>
  <c r="E271" i="23"/>
  <c r="D271" i="23"/>
  <c r="O270" i="23"/>
  <c r="L270" i="23"/>
  <c r="I270" i="23"/>
  <c r="F270" i="23"/>
  <c r="C270" i="23"/>
  <c r="O269" i="23"/>
  <c r="L269" i="23"/>
  <c r="I269" i="23"/>
  <c r="F269" i="23"/>
  <c r="C269" i="23" s="1"/>
  <c r="O268" i="23"/>
  <c r="L268" i="23"/>
  <c r="I268" i="23"/>
  <c r="F268" i="23"/>
  <c r="C268" i="23" s="1"/>
  <c r="O267" i="23"/>
  <c r="L267" i="23"/>
  <c r="C267" i="23" s="1"/>
  <c r="I267" i="23"/>
  <c r="F267" i="23"/>
  <c r="O266" i="23"/>
  <c r="N266" i="23"/>
  <c r="M266" i="23"/>
  <c r="K266" i="23"/>
  <c r="J266" i="23"/>
  <c r="L266" i="23" s="1"/>
  <c r="H266" i="23"/>
  <c r="G266" i="23"/>
  <c r="I266" i="23" s="1"/>
  <c r="E266" i="23"/>
  <c r="D266" i="23"/>
  <c r="F266" i="23" s="1"/>
  <c r="O265" i="23"/>
  <c r="L265" i="23"/>
  <c r="I265" i="23"/>
  <c r="F265" i="23"/>
  <c r="C265" i="23" s="1"/>
  <c r="O264" i="23"/>
  <c r="L264" i="23"/>
  <c r="I264" i="23"/>
  <c r="F264" i="23"/>
  <c r="C264" i="23" s="1"/>
  <c r="O263" i="23"/>
  <c r="L263" i="23"/>
  <c r="I263" i="23"/>
  <c r="F263" i="23"/>
  <c r="C263" i="23"/>
  <c r="O262" i="23"/>
  <c r="N262" i="23"/>
  <c r="M262" i="23"/>
  <c r="K262" i="23"/>
  <c r="L262" i="23" s="1"/>
  <c r="J262" i="23"/>
  <c r="H262" i="23"/>
  <c r="G262" i="23"/>
  <c r="I262" i="23" s="1"/>
  <c r="E262" i="23"/>
  <c r="D262" i="23"/>
  <c r="F262" i="23" s="1"/>
  <c r="C262" i="23" s="1"/>
  <c r="N261" i="23"/>
  <c r="M261" i="23"/>
  <c r="O261" i="23" s="1"/>
  <c r="K261" i="23"/>
  <c r="J261" i="23"/>
  <c r="L261" i="23" s="1"/>
  <c r="H261" i="23"/>
  <c r="I261" i="23" s="1"/>
  <c r="G261" i="23"/>
  <c r="E261" i="23"/>
  <c r="D261" i="23"/>
  <c r="F261" i="23" s="1"/>
  <c r="C261" i="23" s="1"/>
  <c r="O260" i="23"/>
  <c r="L260" i="23"/>
  <c r="I260" i="23"/>
  <c r="F260" i="23"/>
  <c r="C260" i="23" s="1"/>
  <c r="O259" i="23"/>
  <c r="L259" i="23"/>
  <c r="I259" i="23"/>
  <c r="F259" i="23"/>
  <c r="C259" i="23"/>
  <c r="O258" i="23"/>
  <c r="L258" i="23"/>
  <c r="I258" i="23"/>
  <c r="F258" i="23"/>
  <c r="C258" i="23" s="1"/>
  <c r="O257" i="23"/>
  <c r="L257" i="23"/>
  <c r="I257" i="23"/>
  <c r="F257" i="23"/>
  <c r="C257" i="23" s="1"/>
  <c r="O256" i="23"/>
  <c r="L256" i="23"/>
  <c r="I256" i="23"/>
  <c r="F256" i="23"/>
  <c r="C256" i="23" s="1"/>
  <c r="N255" i="23"/>
  <c r="M255" i="23"/>
  <c r="O255" i="23" s="1"/>
  <c r="K255" i="23"/>
  <c r="J255" i="23"/>
  <c r="L255" i="23" s="1"/>
  <c r="H255" i="23"/>
  <c r="G255" i="23"/>
  <c r="I255" i="23" s="1"/>
  <c r="F255" i="23"/>
  <c r="C255" i="23" s="1"/>
  <c r="E255" i="23"/>
  <c r="D255" i="23"/>
  <c r="O254" i="23"/>
  <c r="N254" i="23"/>
  <c r="M254" i="23"/>
  <c r="K254" i="23"/>
  <c r="J254" i="23"/>
  <c r="L254" i="23" s="1"/>
  <c r="H254" i="23"/>
  <c r="G254" i="23"/>
  <c r="I254" i="23" s="1"/>
  <c r="E254" i="23"/>
  <c r="D254" i="23"/>
  <c r="F254" i="23" s="1"/>
  <c r="O253" i="23"/>
  <c r="L253" i="23"/>
  <c r="I253" i="23"/>
  <c r="F253" i="23"/>
  <c r="C253" i="23" s="1"/>
  <c r="O252" i="23"/>
  <c r="L252" i="23"/>
  <c r="I252" i="23"/>
  <c r="F252" i="23"/>
  <c r="C252" i="23" s="1"/>
  <c r="O251" i="23"/>
  <c r="L251" i="23"/>
  <c r="I251" i="23"/>
  <c r="F251" i="23"/>
  <c r="C251" i="23"/>
  <c r="O250" i="23"/>
  <c r="L250" i="23"/>
  <c r="I250" i="23"/>
  <c r="F250" i="23"/>
  <c r="C250" i="23" s="1"/>
  <c r="N249" i="23"/>
  <c r="M249" i="23"/>
  <c r="O249" i="23" s="1"/>
  <c r="K249" i="23"/>
  <c r="L249" i="23" s="1"/>
  <c r="J249" i="23"/>
  <c r="H249" i="23"/>
  <c r="G249" i="23"/>
  <c r="I249" i="23" s="1"/>
  <c r="E249" i="23"/>
  <c r="D249" i="23"/>
  <c r="F249" i="23" s="1"/>
  <c r="C249" i="23" s="1"/>
  <c r="O248" i="23"/>
  <c r="L248" i="23"/>
  <c r="I248" i="23"/>
  <c r="F248" i="23"/>
  <c r="C248" i="23" s="1"/>
  <c r="O247" i="23"/>
  <c r="L247" i="23"/>
  <c r="I247" i="23"/>
  <c r="F247" i="23"/>
  <c r="C247" i="23"/>
  <c r="O246" i="23"/>
  <c r="L246" i="23"/>
  <c r="I246" i="23"/>
  <c r="F246" i="23"/>
  <c r="C246" i="23" s="1"/>
  <c r="O245" i="23"/>
  <c r="L245" i="23"/>
  <c r="I245" i="23"/>
  <c r="F245" i="23"/>
  <c r="C245" i="23" s="1"/>
  <c r="O244" i="23"/>
  <c r="L244" i="23"/>
  <c r="I244" i="23"/>
  <c r="F244" i="23"/>
  <c r="C244" i="23" s="1"/>
  <c r="O243" i="23"/>
  <c r="L243" i="23"/>
  <c r="I243" i="23"/>
  <c r="F243" i="23"/>
  <c r="C243" i="23"/>
  <c r="O242" i="23"/>
  <c r="L242" i="23"/>
  <c r="I242" i="23"/>
  <c r="F242" i="23"/>
  <c r="C242" i="23" s="1"/>
  <c r="N241" i="23"/>
  <c r="M241" i="23"/>
  <c r="O241" i="23" s="1"/>
  <c r="K241" i="23"/>
  <c r="J241" i="23"/>
  <c r="L241" i="23" s="1"/>
  <c r="H241" i="23"/>
  <c r="G241" i="23"/>
  <c r="I241" i="23" s="1"/>
  <c r="E241" i="23"/>
  <c r="D241" i="23"/>
  <c r="F241" i="23" s="1"/>
  <c r="O240" i="23"/>
  <c r="L240" i="23"/>
  <c r="I240" i="23"/>
  <c r="F240" i="23"/>
  <c r="C240" i="23"/>
  <c r="O239" i="23"/>
  <c r="L239" i="23"/>
  <c r="I239" i="23"/>
  <c r="F239" i="23"/>
  <c r="C239" i="23" s="1"/>
  <c r="N238" i="23"/>
  <c r="M238" i="23"/>
  <c r="O238" i="23" s="1"/>
  <c r="K238" i="23"/>
  <c r="L238" i="23" s="1"/>
  <c r="J238" i="23"/>
  <c r="H238" i="23"/>
  <c r="G238" i="23"/>
  <c r="I238" i="23" s="1"/>
  <c r="E238" i="23"/>
  <c r="D238" i="23"/>
  <c r="F238" i="23" s="1"/>
  <c r="O237" i="23"/>
  <c r="L237" i="23"/>
  <c r="I237" i="23"/>
  <c r="F237" i="23"/>
  <c r="C237" i="23" s="1"/>
  <c r="N236" i="23"/>
  <c r="O236" i="23" s="1"/>
  <c r="M236" i="23"/>
  <c r="K236" i="23"/>
  <c r="J236" i="23"/>
  <c r="L236" i="23" s="1"/>
  <c r="H236" i="23"/>
  <c r="G236" i="23"/>
  <c r="I236" i="23" s="1"/>
  <c r="F236" i="23"/>
  <c r="E236" i="23"/>
  <c r="D236" i="23"/>
  <c r="O235" i="23"/>
  <c r="L235" i="23"/>
  <c r="I235" i="23"/>
  <c r="F235" i="23"/>
  <c r="C235" i="23"/>
  <c r="N234" i="23"/>
  <c r="M234" i="23"/>
  <c r="O234" i="23" s="1"/>
  <c r="L234" i="23"/>
  <c r="K234" i="23"/>
  <c r="J234" i="23"/>
  <c r="H234" i="23"/>
  <c r="G234" i="23"/>
  <c r="I234" i="23" s="1"/>
  <c r="E234" i="23"/>
  <c r="D234" i="23"/>
  <c r="F234" i="23" s="1"/>
  <c r="N233" i="23"/>
  <c r="M233" i="23"/>
  <c r="O233" i="23" s="1"/>
  <c r="K233" i="23"/>
  <c r="J233" i="23"/>
  <c r="L233" i="23" s="1"/>
  <c r="I233" i="23"/>
  <c r="H233" i="23"/>
  <c r="G233" i="23"/>
  <c r="E233" i="23"/>
  <c r="D233" i="23"/>
  <c r="F233" i="23" s="1"/>
  <c r="O232" i="23"/>
  <c r="L232" i="23"/>
  <c r="C232" i="23" s="1"/>
  <c r="I232" i="23"/>
  <c r="F232" i="23"/>
  <c r="O231" i="23"/>
  <c r="L231" i="23"/>
  <c r="I231" i="23"/>
  <c r="F231" i="23"/>
  <c r="C231" i="23"/>
  <c r="N230" i="23"/>
  <c r="M230" i="23"/>
  <c r="O230" i="23" s="1"/>
  <c r="L230" i="23"/>
  <c r="K230" i="23"/>
  <c r="J230" i="23"/>
  <c r="H230" i="23"/>
  <c r="I230" i="23" s="1"/>
  <c r="G230" i="23"/>
  <c r="E230" i="23"/>
  <c r="D230" i="23"/>
  <c r="F230" i="23" s="1"/>
  <c r="O229" i="23"/>
  <c r="L229" i="23"/>
  <c r="I229" i="23"/>
  <c r="F229" i="23"/>
  <c r="C229" i="23" s="1"/>
  <c r="O228" i="23"/>
  <c r="L228" i="23"/>
  <c r="C228" i="23" s="1"/>
  <c r="I228" i="23"/>
  <c r="F228" i="23"/>
  <c r="O227" i="23"/>
  <c r="L227" i="23"/>
  <c r="I227" i="23"/>
  <c r="F227" i="23"/>
  <c r="C227" i="23"/>
  <c r="O226" i="23"/>
  <c r="L226" i="23"/>
  <c r="I226" i="23"/>
  <c r="F226" i="23"/>
  <c r="C226" i="23" s="1"/>
  <c r="O225" i="23"/>
  <c r="L225" i="23"/>
  <c r="I225" i="23"/>
  <c r="F225" i="23"/>
  <c r="C225" i="23" s="1"/>
  <c r="O224" i="23"/>
  <c r="L224" i="23"/>
  <c r="C224" i="23" s="1"/>
  <c r="I224" i="23"/>
  <c r="F224" i="23"/>
  <c r="O223" i="23"/>
  <c r="L223" i="23"/>
  <c r="I223" i="23"/>
  <c r="F223" i="23"/>
  <c r="C223" i="23"/>
  <c r="O222" i="23"/>
  <c r="L222" i="23"/>
  <c r="I222" i="23"/>
  <c r="F222" i="23"/>
  <c r="C222" i="23" s="1"/>
  <c r="O221" i="23"/>
  <c r="L221" i="23"/>
  <c r="I221" i="23"/>
  <c r="F221" i="23"/>
  <c r="C221" i="23" s="1"/>
  <c r="O220" i="23"/>
  <c r="L220" i="23"/>
  <c r="C220" i="23" s="1"/>
  <c r="I220" i="23"/>
  <c r="F220" i="23"/>
  <c r="O219" i="23"/>
  <c r="N219" i="23"/>
  <c r="M219" i="23"/>
  <c r="K219" i="23"/>
  <c r="J219" i="23"/>
  <c r="L219" i="23" s="1"/>
  <c r="H219" i="23"/>
  <c r="G219" i="23"/>
  <c r="I219" i="23" s="1"/>
  <c r="E219" i="23"/>
  <c r="D219" i="23"/>
  <c r="F219" i="23" s="1"/>
  <c r="C219" i="23" s="1"/>
  <c r="O218" i="23"/>
  <c r="L218" i="23"/>
  <c r="I218" i="23"/>
  <c r="F218" i="23"/>
  <c r="C218" i="23" s="1"/>
  <c r="O217" i="23"/>
  <c r="L217" i="23"/>
  <c r="I217" i="23"/>
  <c r="F217" i="23"/>
  <c r="C217" i="23"/>
  <c r="O216" i="23"/>
  <c r="L216" i="23"/>
  <c r="I216" i="23"/>
  <c r="F216" i="23"/>
  <c r="C216" i="23" s="1"/>
  <c r="O215" i="23"/>
  <c r="L215" i="23"/>
  <c r="I215" i="23"/>
  <c r="F215" i="23"/>
  <c r="C215" i="23" s="1"/>
  <c r="O214" i="23"/>
  <c r="L214" i="23"/>
  <c r="I214" i="23"/>
  <c r="F214" i="23"/>
  <c r="C214" i="23"/>
  <c r="O213" i="23"/>
  <c r="L213" i="23"/>
  <c r="I213" i="23"/>
  <c r="F213" i="23"/>
  <c r="C213" i="23" s="1"/>
  <c r="O212" i="23"/>
  <c r="L212" i="23"/>
  <c r="I212" i="23"/>
  <c r="C212" i="23" s="1"/>
  <c r="F212" i="23"/>
  <c r="O211" i="23"/>
  <c r="L211" i="23"/>
  <c r="I211" i="23"/>
  <c r="F211" i="23"/>
  <c r="C211" i="23" s="1"/>
  <c r="O210" i="23"/>
  <c r="L210" i="23"/>
  <c r="I210" i="23"/>
  <c r="F210" i="23"/>
  <c r="C210" i="23"/>
  <c r="O209" i="23"/>
  <c r="L209" i="23"/>
  <c r="I209" i="23"/>
  <c r="F209" i="23"/>
  <c r="C209" i="23" s="1"/>
  <c r="N208" i="23"/>
  <c r="M208" i="23"/>
  <c r="O208" i="23" s="1"/>
  <c r="K208" i="23"/>
  <c r="J208" i="23"/>
  <c r="L208" i="23" s="1"/>
  <c r="H208" i="23"/>
  <c r="G208" i="23"/>
  <c r="I208" i="23" s="1"/>
  <c r="E208" i="23"/>
  <c r="D208" i="23"/>
  <c r="F208" i="23" s="1"/>
  <c r="N207" i="23"/>
  <c r="M207" i="23"/>
  <c r="O207" i="23" s="1"/>
  <c r="K207" i="23"/>
  <c r="J207" i="23"/>
  <c r="L207" i="23" s="1"/>
  <c r="H207" i="23"/>
  <c r="G207" i="23"/>
  <c r="I207" i="23" s="1"/>
  <c r="E207" i="23"/>
  <c r="D207" i="23"/>
  <c r="F207" i="23" s="1"/>
  <c r="O206" i="23"/>
  <c r="L206" i="23"/>
  <c r="I206" i="23"/>
  <c r="F206" i="23"/>
  <c r="C206" i="23"/>
  <c r="O205" i="23"/>
  <c r="L205" i="23"/>
  <c r="I205" i="23"/>
  <c r="F205" i="23"/>
  <c r="C205" i="23" s="1"/>
  <c r="O204" i="23"/>
  <c r="L204" i="23"/>
  <c r="I204" i="23"/>
  <c r="F204" i="23"/>
  <c r="C204" i="23" s="1"/>
  <c r="O203" i="23"/>
  <c r="L203" i="23"/>
  <c r="I203" i="23"/>
  <c r="F203" i="23"/>
  <c r="C203" i="23" s="1"/>
  <c r="O202" i="23"/>
  <c r="L202" i="23"/>
  <c r="I202" i="23"/>
  <c r="F202" i="23"/>
  <c r="C202" i="23"/>
  <c r="N201" i="23"/>
  <c r="M201" i="23"/>
  <c r="O201" i="23" s="1"/>
  <c r="K201" i="23"/>
  <c r="J201" i="23"/>
  <c r="L201" i="23" s="1"/>
  <c r="H201" i="23"/>
  <c r="G201" i="23"/>
  <c r="I201" i="23" s="1"/>
  <c r="E201" i="23"/>
  <c r="D201" i="23"/>
  <c r="F201" i="23" s="1"/>
  <c r="C201" i="23" s="1"/>
  <c r="O200" i="23"/>
  <c r="L200" i="23"/>
  <c r="I200" i="23"/>
  <c r="F200" i="23"/>
  <c r="C200" i="23" s="1"/>
  <c r="N199" i="23"/>
  <c r="M199" i="23"/>
  <c r="O199" i="23" s="1"/>
  <c r="K199" i="23"/>
  <c r="J199" i="23"/>
  <c r="L199" i="23" s="1"/>
  <c r="H199" i="23"/>
  <c r="G199" i="23"/>
  <c r="I199" i="23" s="1"/>
  <c r="E199" i="23"/>
  <c r="D199" i="23"/>
  <c r="F199" i="23" s="1"/>
  <c r="C199" i="23" s="1"/>
  <c r="N198" i="23"/>
  <c r="M198" i="23"/>
  <c r="O198" i="23" s="1"/>
  <c r="K198" i="23"/>
  <c r="J198" i="23"/>
  <c r="L198" i="23" s="1"/>
  <c r="H198" i="23"/>
  <c r="G198" i="23"/>
  <c r="I198" i="23" s="1"/>
  <c r="E198" i="23"/>
  <c r="D198" i="23"/>
  <c r="F198" i="23" s="1"/>
  <c r="C198" i="23" s="1"/>
  <c r="N197" i="23"/>
  <c r="M197" i="23"/>
  <c r="O197" i="23" s="1"/>
  <c r="K197" i="23"/>
  <c r="J197" i="23"/>
  <c r="L197" i="23" s="1"/>
  <c r="H197" i="23"/>
  <c r="G197" i="23"/>
  <c r="I197" i="23" s="1"/>
  <c r="E197" i="23"/>
  <c r="D197" i="23"/>
  <c r="F197" i="23" s="1"/>
  <c r="C197" i="23" s="1"/>
  <c r="O196" i="23"/>
  <c r="L196" i="23"/>
  <c r="I196" i="23"/>
  <c r="F196" i="23"/>
  <c r="C196" i="23" s="1"/>
  <c r="N195" i="23"/>
  <c r="M195" i="23"/>
  <c r="O195" i="23" s="1"/>
  <c r="K195" i="23"/>
  <c r="J195" i="23"/>
  <c r="L195" i="23" s="1"/>
  <c r="H195" i="23"/>
  <c r="G195" i="23"/>
  <c r="I195" i="23" s="1"/>
  <c r="F195" i="23"/>
  <c r="C195" i="23" s="1"/>
  <c r="E195" i="23"/>
  <c r="D195" i="23"/>
  <c r="O194" i="23"/>
  <c r="N194" i="23"/>
  <c r="M194" i="23"/>
  <c r="K194" i="23"/>
  <c r="J194" i="23"/>
  <c r="L194" i="23" s="1"/>
  <c r="H194" i="23"/>
  <c r="G194" i="23"/>
  <c r="I194" i="23" s="1"/>
  <c r="E194" i="23"/>
  <c r="D194" i="23"/>
  <c r="F194" i="23" s="1"/>
  <c r="O193" i="23"/>
  <c r="L193" i="23"/>
  <c r="I193" i="23"/>
  <c r="F193" i="23"/>
  <c r="C193" i="23" s="1"/>
  <c r="O192" i="23"/>
  <c r="L192" i="23"/>
  <c r="I192" i="23"/>
  <c r="F192" i="23"/>
  <c r="C192" i="23" s="1"/>
  <c r="N191" i="23"/>
  <c r="M191" i="23"/>
  <c r="O191" i="23" s="1"/>
  <c r="K191" i="23"/>
  <c r="J191" i="23"/>
  <c r="L191" i="23" s="1"/>
  <c r="H191" i="23"/>
  <c r="G191" i="23"/>
  <c r="I191" i="23" s="1"/>
  <c r="E191" i="23"/>
  <c r="F191" i="23" s="1"/>
  <c r="C191" i="23" s="1"/>
  <c r="D191" i="23"/>
  <c r="N190" i="23"/>
  <c r="O190" i="23" s="1"/>
  <c r="M190" i="23"/>
  <c r="K190" i="23"/>
  <c r="J190" i="23"/>
  <c r="L190" i="23" s="1"/>
  <c r="H190" i="23"/>
  <c r="G190" i="23"/>
  <c r="I190" i="23" s="1"/>
  <c r="E190" i="23"/>
  <c r="D190" i="23"/>
  <c r="F190" i="23" s="1"/>
  <c r="O189" i="23"/>
  <c r="L189" i="23"/>
  <c r="I189" i="23"/>
  <c r="F189" i="23"/>
  <c r="C189" i="23" s="1"/>
  <c r="O188" i="23"/>
  <c r="L188" i="23"/>
  <c r="I188" i="23"/>
  <c r="F188" i="23"/>
  <c r="C188" i="23" s="1"/>
  <c r="N187" i="23"/>
  <c r="M187" i="23"/>
  <c r="O187" i="23" s="1"/>
  <c r="K187" i="23"/>
  <c r="J187" i="23"/>
  <c r="L187" i="23" s="1"/>
  <c r="H187" i="23"/>
  <c r="G187" i="23"/>
  <c r="I187" i="23" s="1"/>
  <c r="E187" i="23"/>
  <c r="F187" i="23" s="1"/>
  <c r="D187" i="23"/>
  <c r="C187" i="23"/>
  <c r="O186" i="23"/>
  <c r="L186" i="23"/>
  <c r="I186" i="23"/>
  <c r="F186" i="23"/>
  <c r="C186" i="23" s="1"/>
  <c r="O185" i="23"/>
  <c r="L185" i="23"/>
  <c r="I185" i="23"/>
  <c r="C185" i="23" s="1"/>
  <c r="F185" i="23"/>
  <c r="O184" i="23"/>
  <c r="L184" i="23"/>
  <c r="I184" i="23"/>
  <c r="F184" i="23"/>
  <c r="C184" i="23" s="1"/>
  <c r="O183" i="23"/>
  <c r="L183" i="23"/>
  <c r="I183" i="23"/>
  <c r="F183" i="23"/>
  <c r="C183" i="23"/>
  <c r="N182" i="23"/>
  <c r="O182" i="23" s="1"/>
  <c r="M182" i="23"/>
  <c r="L182" i="23"/>
  <c r="K182" i="23"/>
  <c r="J182" i="23"/>
  <c r="H182" i="23"/>
  <c r="G182" i="23"/>
  <c r="I182" i="23" s="1"/>
  <c r="E182" i="23"/>
  <c r="D182" i="23"/>
  <c r="F182" i="23" s="1"/>
  <c r="O181" i="23"/>
  <c r="L181" i="23"/>
  <c r="I181" i="23"/>
  <c r="C181" i="23" s="1"/>
  <c r="F181" i="23"/>
  <c r="O180" i="23"/>
  <c r="L180" i="23"/>
  <c r="I180" i="23"/>
  <c r="F180" i="23"/>
  <c r="O179" i="23"/>
  <c r="L179" i="23"/>
  <c r="I179" i="23"/>
  <c r="F179" i="23"/>
  <c r="C179" i="23"/>
  <c r="N178" i="23"/>
  <c r="O178" i="23" s="1"/>
  <c r="M178" i="23"/>
  <c r="L178" i="23"/>
  <c r="K178" i="23"/>
  <c r="J178" i="23"/>
  <c r="J177" i="23" s="1"/>
  <c r="H178" i="23"/>
  <c r="H177" i="23" s="1"/>
  <c r="H176" i="23" s="1"/>
  <c r="G178" i="23"/>
  <c r="I178" i="23" s="1"/>
  <c r="E178" i="23"/>
  <c r="D178" i="23"/>
  <c r="M177" i="23"/>
  <c r="K177" i="23"/>
  <c r="K176" i="23" s="1"/>
  <c r="G177" i="23"/>
  <c r="G176" i="23" s="1"/>
  <c r="I176" i="23" s="1"/>
  <c r="E177" i="23"/>
  <c r="E176" i="23" s="1"/>
  <c r="O175" i="23"/>
  <c r="L175" i="23"/>
  <c r="I175" i="23"/>
  <c r="F175" i="23"/>
  <c r="C175" i="23"/>
  <c r="O174" i="23"/>
  <c r="L174" i="23"/>
  <c r="I174" i="23"/>
  <c r="F174" i="23"/>
  <c r="C174" i="23" s="1"/>
  <c r="O173" i="23"/>
  <c r="L173" i="23"/>
  <c r="I173" i="23"/>
  <c r="C173" i="23" s="1"/>
  <c r="F173" i="23"/>
  <c r="O172" i="23"/>
  <c r="L172" i="23"/>
  <c r="I172" i="23"/>
  <c r="F172" i="23"/>
  <c r="C172" i="23" s="1"/>
  <c r="O171" i="23"/>
  <c r="L171" i="23"/>
  <c r="I171" i="23"/>
  <c r="F171" i="23"/>
  <c r="C171" i="23"/>
  <c r="O170" i="23"/>
  <c r="L170" i="23"/>
  <c r="I170" i="23"/>
  <c r="F170" i="23"/>
  <c r="C170" i="23" s="1"/>
  <c r="N169" i="23"/>
  <c r="M169" i="23"/>
  <c r="K169" i="23"/>
  <c r="L169" i="23" s="1"/>
  <c r="J169" i="23"/>
  <c r="I169" i="23"/>
  <c r="H169" i="23"/>
  <c r="G169" i="23"/>
  <c r="G168" i="23" s="1"/>
  <c r="I168" i="23" s="1"/>
  <c r="E169" i="23"/>
  <c r="E168" i="23" s="1"/>
  <c r="F168" i="23" s="1"/>
  <c r="D169" i="23"/>
  <c r="N168" i="23"/>
  <c r="J168" i="23"/>
  <c r="H168" i="23"/>
  <c r="D168" i="23"/>
  <c r="O167" i="23"/>
  <c r="L167" i="23"/>
  <c r="I167" i="23"/>
  <c r="F167" i="23"/>
  <c r="C167" i="23"/>
  <c r="O166" i="23"/>
  <c r="L166" i="23"/>
  <c r="I166" i="23"/>
  <c r="F166" i="23"/>
  <c r="C166" i="23" s="1"/>
  <c r="O165" i="23"/>
  <c r="L165" i="23"/>
  <c r="I165" i="23"/>
  <c r="C165" i="23" s="1"/>
  <c r="F165" i="23"/>
  <c r="O164" i="23"/>
  <c r="L164" i="23"/>
  <c r="I164" i="23"/>
  <c r="F164" i="23"/>
  <c r="C164" i="23" s="1"/>
  <c r="O163" i="23"/>
  <c r="N163" i="23"/>
  <c r="M163" i="23"/>
  <c r="K163" i="23"/>
  <c r="J163" i="23"/>
  <c r="L163" i="23" s="1"/>
  <c r="H163" i="23"/>
  <c r="G163" i="23"/>
  <c r="I163" i="23" s="1"/>
  <c r="E163" i="23"/>
  <c r="F163" i="23" s="1"/>
  <c r="D163" i="23"/>
  <c r="O162" i="23"/>
  <c r="L162" i="23"/>
  <c r="I162" i="23"/>
  <c r="F162" i="23"/>
  <c r="C162" i="23" s="1"/>
  <c r="O161" i="23"/>
  <c r="L161" i="23"/>
  <c r="I161" i="23"/>
  <c r="C161" i="23" s="1"/>
  <c r="F161" i="23"/>
  <c r="O160" i="23"/>
  <c r="L160" i="23"/>
  <c r="I160" i="23"/>
  <c r="F160" i="23"/>
  <c r="O159" i="23"/>
  <c r="L159" i="23"/>
  <c r="I159" i="23"/>
  <c r="F159" i="23"/>
  <c r="C159" i="23"/>
  <c r="O158" i="23"/>
  <c r="L158" i="23"/>
  <c r="I158" i="23"/>
  <c r="F158" i="23"/>
  <c r="C158" i="23" s="1"/>
  <c r="O157" i="23"/>
  <c r="L157" i="23"/>
  <c r="I157" i="23"/>
  <c r="C157" i="23" s="1"/>
  <c r="F157" i="23"/>
  <c r="O156" i="23"/>
  <c r="L156" i="23"/>
  <c r="I156" i="23"/>
  <c r="F156" i="23"/>
  <c r="C156" i="23" s="1"/>
  <c r="O155" i="23"/>
  <c r="L155" i="23"/>
  <c r="I155" i="23"/>
  <c r="F155" i="23"/>
  <c r="C155" i="23"/>
  <c r="N154" i="23"/>
  <c r="O154" i="23" s="1"/>
  <c r="M154" i="23"/>
  <c r="L154" i="23"/>
  <c r="K154" i="23"/>
  <c r="J154" i="23"/>
  <c r="H154" i="23"/>
  <c r="G154" i="23"/>
  <c r="I154" i="23" s="1"/>
  <c r="E154" i="23"/>
  <c r="D154" i="23"/>
  <c r="F154" i="23" s="1"/>
  <c r="O153" i="23"/>
  <c r="L153" i="23"/>
  <c r="I153" i="23"/>
  <c r="C153" i="23" s="1"/>
  <c r="F153" i="23"/>
  <c r="O152" i="23"/>
  <c r="L152" i="23"/>
  <c r="I152" i="23"/>
  <c r="F152" i="23"/>
  <c r="O151" i="23"/>
  <c r="L151" i="23"/>
  <c r="I151" i="23"/>
  <c r="F151" i="23"/>
  <c r="C151" i="23"/>
  <c r="O150" i="23"/>
  <c r="L150" i="23"/>
  <c r="I150" i="23"/>
  <c r="F150" i="23"/>
  <c r="C150" i="23" s="1"/>
  <c r="O149" i="23"/>
  <c r="L149" i="23"/>
  <c r="I149" i="23"/>
  <c r="C149" i="23" s="1"/>
  <c r="F149" i="23"/>
  <c r="O148" i="23"/>
  <c r="L148" i="23"/>
  <c r="I148" i="23"/>
  <c r="F148" i="23"/>
  <c r="O147" i="23"/>
  <c r="N147" i="23"/>
  <c r="M147" i="23"/>
  <c r="K147" i="23"/>
  <c r="J147" i="23"/>
  <c r="L147" i="23" s="1"/>
  <c r="H147" i="23"/>
  <c r="G147" i="23"/>
  <c r="I147" i="23" s="1"/>
  <c r="C147" i="23" s="1"/>
  <c r="E147" i="23"/>
  <c r="F147" i="23" s="1"/>
  <c r="D147" i="23"/>
  <c r="O146" i="23"/>
  <c r="L146" i="23"/>
  <c r="I146" i="23"/>
  <c r="F146" i="23"/>
  <c r="C146" i="23" s="1"/>
  <c r="O145" i="23"/>
  <c r="L145" i="23"/>
  <c r="I145" i="23"/>
  <c r="C145" i="23" s="1"/>
  <c r="F145" i="23"/>
  <c r="N144" i="23"/>
  <c r="M144" i="23"/>
  <c r="K144" i="23"/>
  <c r="J144" i="23"/>
  <c r="L144" i="23" s="1"/>
  <c r="H144" i="23"/>
  <c r="I144" i="23" s="1"/>
  <c r="G144" i="23"/>
  <c r="F144" i="23"/>
  <c r="E144" i="23"/>
  <c r="D144" i="23"/>
  <c r="O143" i="23"/>
  <c r="L143" i="23"/>
  <c r="I143" i="23"/>
  <c r="F143" i="23"/>
  <c r="C143" i="23"/>
  <c r="O142" i="23"/>
  <c r="L142" i="23"/>
  <c r="I142" i="23"/>
  <c r="F142" i="23"/>
  <c r="C142" i="23" s="1"/>
  <c r="O141" i="23"/>
  <c r="L141" i="23"/>
  <c r="I141" i="23"/>
  <c r="C141" i="23" s="1"/>
  <c r="F141" i="23"/>
  <c r="O140" i="23"/>
  <c r="L140" i="23"/>
  <c r="I140" i="23"/>
  <c r="F140" i="23"/>
  <c r="O139" i="23"/>
  <c r="N139" i="23"/>
  <c r="M139" i="23"/>
  <c r="K139" i="23"/>
  <c r="J139" i="23"/>
  <c r="L139" i="23" s="1"/>
  <c r="H139" i="23"/>
  <c r="G139" i="23"/>
  <c r="E139" i="23"/>
  <c r="F139" i="23" s="1"/>
  <c r="D139" i="23"/>
  <c r="O138" i="23"/>
  <c r="L138" i="23"/>
  <c r="I138" i="23"/>
  <c r="F138" i="23"/>
  <c r="C138" i="23" s="1"/>
  <c r="O137" i="23"/>
  <c r="L137" i="23"/>
  <c r="I137" i="23"/>
  <c r="C137" i="23" s="1"/>
  <c r="F137" i="23"/>
  <c r="O136" i="23"/>
  <c r="L136" i="23"/>
  <c r="I136" i="23"/>
  <c r="F136" i="23"/>
  <c r="C136" i="23" s="1"/>
  <c r="O135" i="23"/>
  <c r="L135" i="23"/>
  <c r="I135" i="23"/>
  <c r="F135" i="23"/>
  <c r="C135" i="23"/>
  <c r="N134" i="23"/>
  <c r="O134" i="23" s="1"/>
  <c r="M134" i="23"/>
  <c r="L134" i="23"/>
  <c r="K134" i="23"/>
  <c r="J134" i="23"/>
  <c r="H134" i="23"/>
  <c r="H133" i="23" s="1"/>
  <c r="G134" i="23"/>
  <c r="E134" i="23"/>
  <c r="D134" i="23"/>
  <c r="M133" i="23"/>
  <c r="E133" i="23"/>
  <c r="O132" i="23"/>
  <c r="L132" i="23"/>
  <c r="I132" i="23"/>
  <c r="F132" i="23"/>
  <c r="O131" i="23"/>
  <c r="N131" i="23"/>
  <c r="M131" i="23"/>
  <c r="K131" i="23"/>
  <c r="J131" i="23"/>
  <c r="H131" i="23"/>
  <c r="G131" i="23"/>
  <c r="I131" i="23" s="1"/>
  <c r="E131" i="23"/>
  <c r="F131" i="23" s="1"/>
  <c r="D131" i="23"/>
  <c r="O130" i="23"/>
  <c r="L130" i="23"/>
  <c r="I130" i="23"/>
  <c r="F130" i="23"/>
  <c r="C130" i="23" s="1"/>
  <c r="O129" i="23"/>
  <c r="L129" i="23"/>
  <c r="I129" i="23"/>
  <c r="C129" i="23" s="1"/>
  <c r="F129" i="23"/>
  <c r="O128" i="23"/>
  <c r="L128" i="23"/>
  <c r="I128" i="23"/>
  <c r="F128" i="23"/>
  <c r="C128" i="23" s="1"/>
  <c r="O127" i="23"/>
  <c r="L127" i="23"/>
  <c r="I127" i="23"/>
  <c r="F127" i="23"/>
  <c r="C127" i="23"/>
  <c r="O126" i="23"/>
  <c r="L126" i="23"/>
  <c r="I126" i="23"/>
  <c r="F126" i="23"/>
  <c r="C126" i="23" s="1"/>
  <c r="N125" i="23"/>
  <c r="M125" i="23"/>
  <c r="O125" i="23" s="1"/>
  <c r="K125" i="23"/>
  <c r="L125" i="23" s="1"/>
  <c r="J125" i="23"/>
  <c r="I125" i="23"/>
  <c r="H125" i="23"/>
  <c r="G125" i="23"/>
  <c r="E125" i="23"/>
  <c r="D125" i="23"/>
  <c r="F125" i="23" s="1"/>
  <c r="O124" i="23"/>
  <c r="L124" i="23"/>
  <c r="I124" i="23"/>
  <c r="F124" i="23"/>
  <c r="O123" i="23"/>
  <c r="L123" i="23"/>
  <c r="I123" i="23"/>
  <c r="C123" i="23" s="1"/>
  <c r="F123" i="23"/>
  <c r="O122" i="23"/>
  <c r="L122" i="23"/>
  <c r="I122" i="23"/>
  <c r="F122" i="23"/>
  <c r="O121" i="23"/>
  <c r="L121" i="23"/>
  <c r="I121" i="23"/>
  <c r="F121" i="23"/>
  <c r="C121" i="23"/>
  <c r="O120" i="23"/>
  <c r="L120" i="23"/>
  <c r="I120" i="23"/>
  <c r="F120" i="23"/>
  <c r="C120" i="23" s="1"/>
  <c r="O119" i="23"/>
  <c r="N119" i="23"/>
  <c r="M119" i="23"/>
  <c r="K119" i="23"/>
  <c r="J119" i="23"/>
  <c r="H119" i="23"/>
  <c r="G119" i="23"/>
  <c r="I119" i="23" s="1"/>
  <c r="E119" i="23"/>
  <c r="F119" i="23" s="1"/>
  <c r="D119" i="23"/>
  <c r="O118" i="23"/>
  <c r="L118" i="23"/>
  <c r="I118" i="23"/>
  <c r="F118" i="23"/>
  <c r="O117" i="23"/>
  <c r="L117" i="23"/>
  <c r="I117" i="23"/>
  <c r="F117" i="23"/>
  <c r="C117" i="23"/>
  <c r="O116" i="23"/>
  <c r="L116" i="23"/>
  <c r="I116" i="23"/>
  <c r="F116" i="23"/>
  <c r="C116" i="23" s="1"/>
  <c r="O115" i="23"/>
  <c r="N115" i="23"/>
  <c r="M115" i="23"/>
  <c r="K115" i="23"/>
  <c r="K86" i="23" s="1"/>
  <c r="J115" i="23"/>
  <c r="H115" i="23"/>
  <c r="G115" i="23"/>
  <c r="I115" i="23" s="1"/>
  <c r="E115" i="23"/>
  <c r="F115" i="23" s="1"/>
  <c r="D115" i="23"/>
  <c r="O114" i="23"/>
  <c r="L114" i="23"/>
  <c r="I114" i="23"/>
  <c r="F114" i="23"/>
  <c r="O113" i="23"/>
  <c r="L113" i="23"/>
  <c r="I113" i="23"/>
  <c r="F113" i="23"/>
  <c r="C113" i="23"/>
  <c r="O112" i="23"/>
  <c r="L112" i="23"/>
  <c r="I112" i="23"/>
  <c r="F112" i="23"/>
  <c r="C112" i="23" s="1"/>
  <c r="O111" i="23"/>
  <c r="L111" i="23"/>
  <c r="I111" i="23"/>
  <c r="F111" i="23"/>
  <c r="C111" i="23"/>
  <c r="O110" i="23"/>
  <c r="L110" i="23"/>
  <c r="I110" i="23"/>
  <c r="F110" i="23"/>
  <c r="C110" i="23" s="1"/>
  <c r="O109" i="23"/>
  <c r="L109" i="23"/>
  <c r="I109" i="23"/>
  <c r="C109" i="23" s="1"/>
  <c r="F109" i="23"/>
  <c r="O108" i="23"/>
  <c r="L108" i="23"/>
  <c r="I108" i="23"/>
  <c r="F108" i="23"/>
  <c r="O107" i="23"/>
  <c r="L107" i="23"/>
  <c r="I107" i="23"/>
  <c r="C107" i="23" s="1"/>
  <c r="F107" i="23"/>
  <c r="N106" i="23"/>
  <c r="O106" i="23" s="1"/>
  <c r="M106" i="23"/>
  <c r="K106" i="23"/>
  <c r="J106" i="23"/>
  <c r="L106" i="23" s="1"/>
  <c r="H106" i="23"/>
  <c r="G106" i="23"/>
  <c r="I106" i="23" s="1"/>
  <c r="E106" i="23"/>
  <c r="D106" i="23"/>
  <c r="F106" i="23" s="1"/>
  <c r="C106" i="23" s="1"/>
  <c r="O105" i="23"/>
  <c r="L105" i="23"/>
  <c r="I105" i="23"/>
  <c r="C105" i="23" s="1"/>
  <c r="F105" i="23"/>
  <c r="O104" i="23"/>
  <c r="L104" i="23"/>
  <c r="I104" i="23"/>
  <c r="F104" i="23"/>
  <c r="O103" i="23"/>
  <c r="L103" i="23"/>
  <c r="I103" i="23"/>
  <c r="C103" i="23" s="1"/>
  <c r="F103" i="23"/>
  <c r="O102" i="23"/>
  <c r="L102" i="23"/>
  <c r="I102" i="23"/>
  <c r="F102" i="23"/>
  <c r="O101" i="23"/>
  <c r="L101" i="23"/>
  <c r="I101" i="23"/>
  <c r="F101" i="23"/>
  <c r="C101" i="23"/>
  <c r="O100" i="23"/>
  <c r="L100" i="23"/>
  <c r="I100" i="23"/>
  <c r="F100" i="23"/>
  <c r="C100" i="23" s="1"/>
  <c r="O99" i="23"/>
  <c r="L99" i="23"/>
  <c r="I99" i="23"/>
  <c r="F99" i="23"/>
  <c r="C99" i="23"/>
  <c r="N98" i="23"/>
  <c r="O98" i="23" s="1"/>
  <c r="M98" i="23"/>
  <c r="L98" i="23"/>
  <c r="K98" i="23"/>
  <c r="J98" i="23"/>
  <c r="H98" i="23"/>
  <c r="G98" i="23"/>
  <c r="I98" i="23" s="1"/>
  <c r="F98" i="23"/>
  <c r="E98" i="23"/>
  <c r="D98" i="23"/>
  <c r="O97" i="23"/>
  <c r="L97" i="23"/>
  <c r="I97" i="23"/>
  <c r="F97" i="23"/>
  <c r="C97" i="23"/>
  <c r="O96" i="23"/>
  <c r="L96" i="23"/>
  <c r="I96" i="23"/>
  <c r="F96" i="23"/>
  <c r="C96" i="23" s="1"/>
  <c r="O95" i="23"/>
  <c r="L95" i="23"/>
  <c r="I95" i="23"/>
  <c r="F95" i="23"/>
  <c r="C95" i="23"/>
  <c r="O94" i="23"/>
  <c r="L94" i="23"/>
  <c r="I94" i="23"/>
  <c r="F94" i="23"/>
  <c r="C94" i="23" s="1"/>
  <c r="O93" i="23"/>
  <c r="L93" i="23"/>
  <c r="I93" i="23"/>
  <c r="C93" i="23" s="1"/>
  <c r="F93" i="23"/>
  <c r="N92" i="23"/>
  <c r="M92" i="23"/>
  <c r="O92" i="23" s="1"/>
  <c r="L92" i="23"/>
  <c r="K92" i="23"/>
  <c r="J92" i="23"/>
  <c r="H92" i="23"/>
  <c r="G92" i="23"/>
  <c r="E92" i="23"/>
  <c r="D92" i="23"/>
  <c r="O91" i="23"/>
  <c r="L91" i="23"/>
  <c r="I91" i="23"/>
  <c r="F91" i="23"/>
  <c r="C91" i="23"/>
  <c r="O90" i="23"/>
  <c r="L90" i="23"/>
  <c r="I90" i="23"/>
  <c r="F90" i="23"/>
  <c r="C90" i="23" s="1"/>
  <c r="O89" i="23"/>
  <c r="L89" i="23"/>
  <c r="I89" i="23"/>
  <c r="C89" i="23" s="1"/>
  <c r="F89" i="23"/>
  <c r="O88" i="23"/>
  <c r="L88" i="23"/>
  <c r="I88" i="23"/>
  <c r="F88" i="23"/>
  <c r="N87" i="23"/>
  <c r="N86" i="23" s="1"/>
  <c r="M87" i="23"/>
  <c r="M86" i="23" s="1"/>
  <c r="K87" i="23"/>
  <c r="J87" i="23"/>
  <c r="I87" i="23"/>
  <c r="H87" i="23"/>
  <c r="G87" i="23"/>
  <c r="E87" i="23"/>
  <c r="D87" i="23"/>
  <c r="O85" i="23"/>
  <c r="L85" i="23"/>
  <c r="I85" i="23"/>
  <c r="F85" i="23"/>
  <c r="C85" i="23" s="1"/>
  <c r="O84" i="23"/>
  <c r="L84" i="23"/>
  <c r="I84" i="23"/>
  <c r="F84" i="23"/>
  <c r="N83" i="23"/>
  <c r="M83" i="23"/>
  <c r="K83" i="23"/>
  <c r="J83" i="23"/>
  <c r="L83" i="23" s="1"/>
  <c r="H83" i="23"/>
  <c r="G83" i="23"/>
  <c r="I83" i="23" s="1"/>
  <c r="F83" i="23"/>
  <c r="E83" i="23"/>
  <c r="D83" i="23"/>
  <c r="O82" i="23"/>
  <c r="L82" i="23"/>
  <c r="I82" i="23"/>
  <c r="F82" i="23"/>
  <c r="C82" i="23"/>
  <c r="O81" i="23"/>
  <c r="L81" i="23"/>
  <c r="I81" i="23"/>
  <c r="F81" i="23"/>
  <c r="C81" i="23" s="1"/>
  <c r="N80" i="23"/>
  <c r="M80" i="23"/>
  <c r="K80" i="23"/>
  <c r="J80" i="23"/>
  <c r="H80" i="23"/>
  <c r="H79" i="23" s="1"/>
  <c r="G80" i="23"/>
  <c r="F80" i="23"/>
  <c r="E80" i="23"/>
  <c r="E79" i="23" s="1"/>
  <c r="D80" i="23"/>
  <c r="D79" i="23" s="1"/>
  <c r="N79" i="23"/>
  <c r="K79" i="23"/>
  <c r="I79" i="23"/>
  <c r="G79" i="23"/>
  <c r="O77" i="23"/>
  <c r="L77" i="23"/>
  <c r="I77" i="23"/>
  <c r="F77" i="23"/>
  <c r="C77" i="23" s="1"/>
  <c r="O76" i="23"/>
  <c r="L76" i="23"/>
  <c r="I76" i="23"/>
  <c r="F76" i="23"/>
  <c r="O75" i="23"/>
  <c r="L75" i="23"/>
  <c r="I75" i="23"/>
  <c r="F75" i="23"/>
  <c r="C75" i="23"/>
  <c r="O74" i="23"/>
  <c r="L74" i="23"/>
  <c r="I74" i="23"/>
  <c r="F74" i="23"/>
  <c r="C74" i="23" s="1"/>
  <c r="O73" i="23"/>
  <c r="L73" i="23"/>
  <c r="I73" i="23"/>
  <c r="C73" i="23" s="1"/>
  <c r="F73" i="23"/>
  <c r="N72" i="23"/>
  <c r="N70" i="23" s="1"/>
  <c r="M72" i="23"/>
  <c r="L72" i="23"/>
  <c r="K72" i="23"/>
  <c r="J72" i="23"/>
  <c r="J70" i="23" s="1"/>
  <c r="I72" i="23"/>
  <c r="H72" i="23"/>
  <c r="G72" i="23"/>
  <c r="E72" i="23"/>
  <c r="E70" i="23" s="1"/>
  <c r="D72" i="23"/>
  <c r="O71" i="23"/>
  <c r="L71" i="23"/>
  <c r="I71" i="23"/>
  <c r="H71" i="23"/>
  <c r="F71" i="23"/>
  <c r="L70" i="23"/>
  <c r="K70" i="23"/>
  <c r="I70" i="23"/>
  <c r="H70" i="23"/>
  <c r="G70" i="23"/>
  <c r="D70" i="23"/>
  <c r="O69" i="23"/>
  <c r="L69" i="23"/>
  <c r="I69" i="23"/>
  <c r="C69" i="23" s="1"/>
  <c r="F69" i="23"/>
  <c r="O68" i="23"/>
  <c r="L68" i="23"/>
  <c r="I68" i="23"/>
  <c r="F68" i="23"/>
  <c r="C68" i="23" s="1"/>
  <c r="O67" i="23"/>
  <c r="L67" i="23"/>
  <c r="I67" i="23"/>
  <c r="E67" i="23"/>
  <c r="O66" i="23"/>
  <c r="L66" i="23"/>
  <c r="I66" i="23"/>
  <c r="C66" i="23" s="1"/>
  <c r="F66" i="23"/>
  <c r="O65" i="23"/>
  <c r="L65" i="23"/>
  <c r="I65" i="23"/>
  <c r="F65" i="23"/>
  <c r="C65" i="23" s="1"/>
  <c r="O64" i="23"/>
  <c r="L64" i="23"/>
  <c r="I64" i="23"/>
  <c r="F64" i="23"/>
  <c r="C64" i="23"/>
  <c r="O63" i="23"/>
  <c r="L63" i="23"/>
  <c r="I63" i="23"/>
  <c r="F63" i="23"/>
  <c r="C63" i="23" s="1"/>
  <c r="O62" i="23"/>
  <c r="L62" i="23"/>
  <c r="I62" i="23"/>
  <c r="C62" i="23" s="1"/>
  <c r="F62" i="23"/>
  <c r="N61" i="23"/>
  <c r="M61" i="23"/>
  <c r="O61" i="23" s="1"/>
  <c r="K61" i="23"/>
  <c r="J61" i="23"/>
  <c r="L61" i="23" s="1"/>
  <c r="H61" i="23"/>
  <c r="I61" i="23" s="1"/>
  <c r="G61" i="23"/>
  <c r="D61" i="23"/>
  <c r="O60" i="23"/>
  <c r="L60" i="23"/>
  <c r="I60" i="23"/>
  <c r="H60" i="23"/>
  <c r="F60" i="23"/>
  <c r="C60" i="23" s="1"/>
  <c r="O59" i="23"/>
  <c r="L59" i="23"/>
  <c r="I59" i="23"/>
  <c r="C59" i="23" s="1"/>
  <c r="F59" i="23"/>
  <c r="N58" i="23"/>
  <c r="N57" i="23" s="1"/>
  <c r="M58" i="23"/>
  <c r="K58" i="23"/>
  <c r="J58" i="23"/>
  <c r="H58" i="23"/>
  <c r="I58" i="23" s="1"/>
  <c r="G58" i="23"/>
  <c r="F58" i="23"/>
  <c r="E58" i="23"/>
  <c r="D58" i="23"/>
  <c r="D57" i="23" s="1"/>
  <c r="M57" i="23"/>
  <c r="K57" i="23"/>
  <c r="K56" i="23" s="1"/>
  <c r="G57" i="23"/>
  <c r="D56" i="23"/>
  <c r="O50" i="23"/>
  <c r="C50" i="23"/>
  <c r="O49" i="23"/>
  <c r="C49" i="23"/>
  <c r="N48" i="23"/>
  <c r="M48" i="23"/>
  <c r="L47" i="23"/>
  <c r="I47" i="23"/>
  <c r="F47" i="23"/>
  <c r="C47" i="23"/>
  <c r="K46" i="23"/>
  <c r="J46" i="23"/>
  <c r="L46" i="23" s="1"/>
  <c r="I46" i="23"/>
  <c r="H46" i="23"/>
  <c r="G46" i="23"/>
  <c r="E46" i="23"/>
  <c r="F46" i="23" s="1"/>
  <c r="D46" i="23"/>
  <c r="F45" i="23"/>
  <c r="C45" i="23"/>
  <c r="L44" i="23"/>
  <c r="C44" i="23"/>
  <c r="L43" i="23"/>
  <c r="C43" i="23"/>
  <c r="L42" i="23"/>
  <c r="C42" i="23"/>
  <c r="L41" i="23"/>
  <c r="C41" i="23"/>
  <c r="K40" i="23"/>
  <c r="J40" i="23"/>
  <c r="L40" i="23" s="1"/>
  <c r="C40" i="23" s="1"/>
  <c r="L39" i="23"/>
  <c r="C39" i="23"/>
  <c r="L38" i="23"/>
  <c r="C38" i="23"/>
  <c r="K37" i="23"/>
  <c r="J37" i="23"/>
  <c r="L37" i="23" s="1"/>
  <c r="C37" i="23"/>
  <c r="L36" i="23"/>
  <c r="C36" i="23"/>
  <c r="K35" i="23"/>
  <c r="J35" i="23"/>
  <c r="L34" i="23"/>
  <c r="C34" i="23"/>
  <c r="L33" i="23"/>
  <c r="C33" i="23"/>
  <c r="L32" i="23"/>
  <c r="C32" i="23"/>
  <c r="K31" i="23"/>
  <c r="J31" i="23"/>
  <c r="L31" i="23" s="1"/>
  <c r="C31" i="23" s="1"/>
  <c r="J30" i="23"/>
  <c r="F29" i="23"/>
  <c r="C29" i="23"/>
  <c r="I28" i="23"/>
  <c r="F28" i="23"/>
  <c r="C28" i="23" s="1"/>
  <c r="O27" i="23"/>
  <c r="L27" i="23"/>
  <c r="I27" i="23"/>
  <c r="C27" i="23" s="1"/>
  <c r="F27" i="23"/>
  <c r="O26" i="23"/>
  <c r="L26" i="23"/>
  <c r="I26" i="23"/>
  <c r="F26" i="23"/>
  <c r="O25" i="23"/>
  <c r="N25" i="23"/>
  <c r="N290" i="23" s="1"/>
  <c r="N289" i="23" s="1"/>
  <c r="M25" i="23"/>
  <c r="M290" i="23" s="1"/>
  <c r="K25" i="23"/>
  <c r="J25" i="23"/>
  <c r="J290" i="23" s="1"/>
  <c r="H25" i="23"/>
  <c r="H290" i="23" s="1"/>
  <c r="H289" i="23" s="1"/>
  <c r="G25" i="23"/>
  <c r="E25" i="23"/>
  <c r="E290" i="23" s="1"/>
  <c r="E289" i="23" s="1"/>
  <c r="D25" i="23"/>
  <c r="D290" i="23" s="1"/>
  <c r="N24" i="23"/>
  <c r="J24" i="23"/>
  <c r="H24" i="23"/>
  <c r="D24" i="23"/>
  <c r="O299" i="22"/>
  <c r="L299" i="22"/>
  <c r="I299" i="22"/>
  <c r="C299" i="22" s="1"/>
  <c r="F299" i="22"/>
  <c r="O298" i="22"/>
  <c r="L298" i="22"/>
  <c r="I298" i="22"/>
  <c r="F298" i="22"/>
  <c r="O297" i="22"/>
  <c r="L297" i="22"/>
  <c r="I297" i="22"/>
  <c r="F297" i="22"/>
  <c r="C297" i="22"/>
  <c r="O296" i="22"/>
  <c r="L296" i="22"/>
  <c r="I296" i="22"/>
  <c r="F296" i="22"/>
  <c r="C296" i="22" s="1"/>
  <c r="O295" i="22"/>
  <c r="L295" i="22"/>
  <c r="I295" i="22"/>
  <c r="C295" i="22" s="1"/>
  <c r="F295" i="22"/>
  <c r="O294" i="22"/>
  <c r="L294" i="22"/>
  <c r="I294" i="22"/>
  <c r="F294" i="22"/>
  <c r="O293" i="22"/>
  <c r="L293" i="22"/>
  <c r="I293" i="22"/>
  <c r="F293" i="22"/>
  <c r="C293" i="22"/>
  <c r="O292" i="22"/>
  <c r="L292" i="22"/>
  <c r="I292" i="22"/>
  <c r="F292" i="22"/>
  <c r="C292" i="22" s="1"/>
  <c r="N291" i="22"/>
  <c r="M291" i="22"/>
  <c r="O291" i="22" s="1"/>
  <c r="K291" i="22"/>
  <c r="J291" i="22"/>
  <c r="L291" i="22" s="1"/>
  <c r="I291" i="22"/>
  <c r="H291" i="22"/>
  <c r="G291" i="22"/>
  <c r="E291" i="22"/>
  <c r="F291" i="22" s="1"/>
  <c r="D291" i="22"/>
  <c r="O286" i="22"/>
  <c r="L286" i="22"/>
  <c r="I286" i="22"/>
  <c r="F286" i="22"/>
  <c r="O285" i="22"/>
  <c r="L285" i="22"/>
  <c r="I285" i="22"/>
  <c r="F285" i="22"/>
  <c r="C285" i="22"/>
  <c r="N284" i="22"/>
  <c r="M284" i="22"/>
  <c r="O284" i="22" s="1"/>
  <c r="L284" i="22"/>
  <c r="K284" i="22"/>
  <c r="J284" i="22"/>
  <c r="H284" i="22"/>
  <c r="G284" i="22"/>
  <c r="E284" i="22"/>
  <c r="D284" i="22"/>
  <c r="O283" i="22"/>
  <c r="L283" i="22"/>
  <c r="I283" i="22"/>
  <c r="F283" i="22"/>
  <c r="C283" i="22"/>
  <c r="N282" i="22"/>
  <c r="M282" i="22"/>
  <c r="L282" i="22"/>
  <c r="K282" i="22"/>
  <c r="J282" i="22"/>
  <c r="H282" i="22"/>
  <c r="G282" i="22"/>
  <c r="I282" i="22" s="1"/>
  <c r="F282" i="22"/>
  <c r="E282" i="22"/>
  <c r="D282" i="22"/>
  <c r="O281" i="22"/>
  <c r="L281" i="22"/>
  <c r="I281" i="22"/>
  <c r="F281" i="22"/>
  <c r="C281" i="22"/>
  <c r="O280" i="22"/>
  <c r="L280" i="22"/>
  <c r="I280" i="22"/>
  <c r="F280" i="22"/>
  <c r="C280" i="22" s="1"/>
  <c r="O279" i="22"/>
  <c r="O278" i="22" s="1"/>
  <c r="L279" i="22"/>
  <c r="I279" i="22"/>
  <c r="F279" i="22"/>
  <c r="C279" i="22"/>
  <c r="N278" i="22"/>
  <c r="M278" i="22"/>
  <c r="L278" i="22"/>
  <c r="K278" i="22"/>
  <c r="J278" i="22"/>
  <c r="H278" i="22"/>
  <c r="G278" i="22"/>
  <c r="I278" i="22" s="1"/>
  <c r="F278" i="22"/>
  <c r="E278" i="22"/>
  <c r="D278" i="22"/>
  <c r="O277" i="22"/>
  <c r="L277" i="22"/>
  <c r="I277" i="22"/>
  <c r="F277" i="22"/>
  <c r="C277" i="22"/>
  <c r="O276" i="22"/>
  <c r="L276" i="22"/>
  <c r="I276" i="22"/>
  <c r="F276" i="22"/>
  <c r="C276" i="22" s="1"/>
  <c r="O275" i="22"/>
  <c r="L275" i="22"/>
  <c r="I275" i="22"/>
  <c r="F275" i="22"/>
  <c r="C275" i="22"/>
  <c r="N274" i="22"/>
  <c r="M274" i="22"/>
  <c r="L274" i="22"/>
  <c r="K274" i="22"/>
  <c r="J274" i="22"/>
  <c r="H274" i="22"/>
  <c r="G274" i="22"/>
  <c r="I274" i="22" s="1"/>
  <c r="F274" i="22"/>
  <c r="E274" i="22"/>
  <c r="D274" i="22"/>
  <c r="O273" i="22"/>
  <c r="L273" i="22"/>
  <c r="I273" i="22"/>
  <c r="F273" i="22"/>
  <c r="C273" i="22"/>
  <c r="N272" i="22"/>
  <c r="N271" i="22" s="1"/>
  <c r="M272" i="22"/>
  <c r="K272" i="22"/>
  <c r="J272" i="22"/>
  <c r="J271" i="22" s="1"/>
  <c r="H272" i="22"/>
  <c r="H271" i="22" s="1"/>
  <c r="G272" i="22"/>
  <c r="F272" i="22"/>
  <c r="E272" i="22"/>
  <c r="D272" i="22"/>
  <c r="D271" i="22" s="1"/>
  <c r="M271" i="22"/>
  <c r="O271" i="22" s="1"/>
  <c r="K271" i="22"/>
  <c r="I271" i="22"/>
  <c r="G271" i="22"/>
  <c r="E271" i="22"/>
  <c r="O270" i="22"/>
  <c r="L270" i="22"/>
  <c r="I270" i="22"/>
  <c r="F270" i="22"/>
  <c r="C270" i="22" s="1"/>
  <c r="O269" i="22"/>
  <c r="L269" i="22"/>
  <c r="I269" i="22"/>
  <c r="C269" i="22" s="1"/>
  <c r="F269" i="22"/>
  <c r="O268" i="22"/>
  <c r="L268" i="22"/>
  <c r="I268" i="22"/>
  <c r="F268" i="22"/>
  <c r="O267" i="22"/>
  <c r="L267" i="22"/>
  <c r="I267" i="22"/>
  <c r="C267" i="22" s="1"/>
  <c r="F267" i="22"/>
  <c r="N266" i="22"/>
  <c r="M266" i="22"/>
  <c r="K266" i="22"/>
  <c r="J266" i="22"/>
  <c r="L266" i="22" s="1"/>
  <c r="H266" i="22"/>
  <c r="G266" i="22"/>
  <c r="E266" i="22"/>
  <c r="D266" i="22"/>
  <c r="F266" i="22" s="1"/>
  <c r="O265" i="22"/>
  <c r="L265" i="22"/>
  <c r="I265" i="22"/>
  <c r="C265" i="22" s="1"/>
  <c r="F265" i="22"/>
  <c r="O264" i="22"/>
  <c r="L264" i="22"/>
  <c r="I264" i="22"/>
  <c r="F264" i="22"/>
  <c r="O263" i="22"/>
  <c r="L263" i="22"/>
  <c r="I263" i="22"/>
  <c r="C263" i="22" s="1"/>
  <c r="F263" i="22"/>
  <c r="N262" i="22"/>
  <c r="N261" i="22" s="1"/>
  <c r="O261" i="22" s="1"/>
  <c r="M262" i="22"/>
  <c r="K262" i="22"/>
  <c r="J262" i="22"/>
  <c r="H262" i="22"/>
  <c r="G262" i="22"/>
  <c r="E262" i="22"/>
  <c r="D262" i="22"/>
  <c r="D261" i="22" s="1"/>
  <c r="F261" i="22" s="1"/>
  <c r="M261" i="22"/>
  <c r="K261" i="22"/>
  <c r="G261" i="22"/>
  <c r="E261" i="22"/>
  <c r="O260" i="22"/>
  <c r="L260" i="22"/>
  <c r="I260" i="22"/>
  <c r="F260" i="22"/>
  <c r="C260" i="22" s="1"/>
  <c r="O259" i="22"/>
  <c r="L259" i="22"/>
  <c r="I259" i="22"/>
  <c r="F259" i="22"/>
  <c r="C259" i="22"/>
  <c r="O258" i="22"/>
  <c r="L258" i="22"/>
  <c r="I258" i="22"/>
  <c r="F258" i="22"/>
  <c r="C258" i="22" s="1"/>
  <c r="O257" i="22"/>
  <c r="L257" i="22"/>
  <c r="I257" i="22"/>
  <c r="C257" i="22" s="1"/>
  <c r="F257" i="22"/>
  <c r="O256" i="22"/>
  <c r="L256" i="22"/>
  <c r="I256" i="22"/>
  <c r="F256" i="22"/>
  <c r="N255" i="22"/>
  <c r="M255" i="22"/>
  <c r="M254" i="22" s="1"/>
  <c r="O254" i="22" s="1"/>
  <c r="K255" i="22"/>
  <c r="J255" i="22"/>
  <c r="I255" i="22"/>
  <c r="H255" i="22"/>
  <c r="G255" i="22"/>
  <c r="G254" i="22" s="1"/>
  <c r="E255" i="22"/>
  <c r="E254" i="22" s="1"/>
  <c r="D255" i="22"/>
  <c r="F255" i="22" s="1"/>
  <c r="N254" i="22"/>
  <c r="J254" i="22"/>
  <c r="H254" i="22"/>
  <c r="F254" i="22"/>
  <c r="D254" i="22"/>
  <c r="O253" i="22"/>
  <c r="L253" i="22"/>
  <c r="I253" i="22"/>
  <c r="F253" i="22"/>
  <c r="C253" i="22"/>
  <c r="O252" i="22"/>
  <c r="L252" i="22"/>
  <c r="I252" i="22"/>
  <c r="F252" i="22"/>
  <c r="C252" i="22" s="1"/>
  <c r="O251" i="22"/>
  <c r="L251" i="22"/>
  <c r="I251" i="22"/>
  <c r="F251" i="22"/>
  <c r="C251" i="22"/>
  <c r="O250" i="22"/>
  <c r="L250" i="22"/>
  <c r="I250" i="22"/>
  <c r="F250" i="22"/>
  <c r="C250" i="22" s="1"/>
  <c r="N249" i="22"/>
  <c r="M249" i="22"/>
  <c r="O249" i="22" s="1"/>
  <c r="K249" i="22"/>
  <c r="J249" i="22"/>
  <c r="H249" i="22"/>
  <c r="G249" i="22"/>
  <c r="I249" i="22" s="1"/>
  <c r="E249" i="22"/>
  <c r="F249" i="22" s="1"/>
  <c r="D249" i="22"/>
  <c r="O248" i="22"/>
  <c r="L248" i="22"/>
  <c r="I248" i="22"/>
  <c r="F248" i="22"/>
  <c r="C248" i="22" s="1"/>
  <c r="O247" i="22"/>
  <c r="L247" i="22"/>
  <c r="I247" i="22"/>
  <c r="F247" i="22"/>
  <c r="C247" i="22"/>
  <c r="O246" i="22"/>
  <c r="L246" i="22"/>
  <c r="I246" i="22"/>
  <c r="F246" i="22"/>
  <c r="C246" i="22" s="1"/>
  <c r="O245" i="22"/>
  <c r="L245" i="22"/>
  <c r="I245" i="22"/>
  <c r="C245" i="22" s="1"/>
  <c r="F245" i="22"/>
  <c r="O244" i="22"/>
  <c r="L244" i="22"/>
  <c r="I244" i="22"/>
  <c r="F244" i="22"/>
  <c r="O243" i="22"/>
  <c r="L243" i="22"/>
  <c r="I243" i="22"/>
  <c r="C243" i="22" s="1"/>
  <c r="F243" i="22"/>
  <c r="O242" i="22"/>
  <c r="L242" i="22"/>
  <c r="I242" i="22"/>
  <c r="F242" i="22"/>
  <c r="O241" i="22"/>
  <c r="N241" i="22"/>
  <c r="M241" i="22"/>
  <c r="K241" i="22"/>
  <c r="J241" i="22"/>
  <c r="L241" i="22" s="1"/>
  <c r="I241" i="22"/>
  <c r="H241" i="22"/>
  <c r="G241" i="22"/>
  <c r="E241" i="22"/>
  <c r="E234" i="22" s="1"/>
  <c r="E233" i="22" s="1"/>
  <c r="D241" i="22"/>
  <c r="O240" i="22"/>
  <c r="L240" i="22"/>
  <c r="I240" i="22"/>
  <c r="F240" i="22"/>
  <c r="O239" i="22"/>
  <c r="L239" i="22"/>
  <c r="I239" i="22"/>
  <c r="C239" i="22" s="1"/>
  <c r="F239" i="22"/>
  <c r="N238" i="22"/>
  <c r="N234" i="22" s="1"/>
  <c r="M238" i="22"/>
  <c r="K238" i="22"/>
  <c r="J238" i="22"/>
  <c r="L238" i="22" s="1"/>
  <c r="H238" i="22"/>
  <c r="G238" i="22"/>
  <c r="E238" i="22"/>
  <c r="D238" i="22"/>
  <c r="F238" i="22" s="1"/>
  <c r="O237" i="22"/>
  <c r="L237" i="22"/>
  <c r="I237" i="22"/>
  <c r="C237" i="22" s="1"/>
  <c r="F237" i="22"/>
  <c r="N236" i="22"/>
  <c r="M236" i="22"/>
  <c r="O236" i="22" s="1"/>
  <c r="L236" i="22"/>
  <c r="K236" i="22"/>
  <c r="J236" i="22"/>
  <c r="H236" i="22"/>
  <c r="H234" i="22" s="1"/>
  <c r="G236" i="22"/>
  <c r="E236" i="22"/>
  <c r="D236" i="22"/>
  <c r="O235" i="22"/>
  <c r="L235" i="22"/>
  <c r="I235" i="22"/>
  <c r="F235" i="22"/>
  <c r="C235" i="22"/>
  <c r="J234" i="22"/>
  <c r="O232" i="22"/>
  <c r="L232" i="22"/>
  <c r="I232" i="22"/>
  <c r="F232" i="22"/>
  <c r="O231" i="22"/>
  <c r="L231" i="22"/>
  <c r="I231" i="22"/>
  <c r="C231" i="22" s="1"/>
  <c r="F231" i="22"/>
  <c r="N230" i="22"/>
  <c r="M230" i="22"/>
  <c r="K230" i="22"/>
  <c r="J230" i="22"/>
  <c r="L230" i="22" s="1"/>
  <c r="H230" i="22"/>
  <c r="G230" i="22"/>
  <c r="E230" i="22"/>
  <c r="D230" i="22"/>
  <c r="F230" i="22" s="1"/>
  <c r="O229" i="22"/>
  <c r="L229" i="22"/>
  <c r="I229" i="22"/>
  <c r="C229" i="22" s="1"/>
  <c r="F229" i="22"/>
  <c r="O228" i="22"/>
  <c r="L228" i="22"/>
  <c r="I228" i="22"/>
  <c r="F228" i="22"/>
  <c r="O227" i="22"/>
  <c r="L227" i="22"/>
  <c r="I227" i="22"/>
  <c r="C227" i="22" s="1"/>
  <c r="F227" i="22"/>
  <c r="O226" i="22"/>
  <c r="L226" i="22"/>
  <c r="I226" i="22"/>
  <c r="F226" i="22"/>
  <c r="O225" i="22"/>
  <c r="L225" i="22"/>
  <c r="I225" i="22"/>
  <c r="F225" i="22"/>
  <c r="C225" i="22"/>
  <c r="O224" i="22"/>
  <c r="L224" i="22"/>
  <c r="I224" i="22"/>
  <c r="F224" i="22"/>
  <c r="C224" i="22" s="1"/>
  <c r="O223" i="22"/>
  <c r="L223" i="22"/>
  <c r="I223" i="22"/>
  <c r="F223" i="22"/>
  <c r="C223" i="22"/>
  <c r="O222" i="22"/>
  <c r="L222" i="22"/>
  <c r="I222" i="22"/>
  <c r="F222" i="22"/>
  <c r="C222" i="22" s="1"/>
  <c r="O221" i="22"/>
  <c r="L221" i="22"/>
  <c r="I221" i="22"/>
  <c r="C221" i="22" s="1"/>
  <c r="F221" i="22"/>
  <c r="O220" i="22"/>
  <c r="L220" i="22"/>
  <c r="I220" i="22"/>
  <c r="F220" i="22"/>
  <c r="N219" i="22"/>
  <c r="M219" i="22"/>
  <c r="M207" i="22" s="1"/>
  <c r="K219" i="22"/>
  <c r="K207" i="22" s="1"/>
  <c r="J219" i="22"/>
  <c r="I219" i="22"/>
  <c r="H219" i="22"/>
  <c r="G219" i="22"/>
  <c r="E219" i="22"/>
  <c r="D219" i="22"/>
  <c r="F219" i="22" s="1"/>
  <c r="O218" i="22"/>
  <c r="L218" i="22"/>
  <c r="I218" i="22"/>
  <c r="F218" i="22"/>
  <c r="C218" i="22" s="1"/>
  <c r="O217" i="22"/>
  <c r="L217" i="22"/>
  <c r="I217" i="22"/>
  <c r="C217" i="22" s="1"/>
  <c r="F217" i="22"/>
  <c r="O216" i="22"/>
  <c r="L216" i="22"/>
  <c r="I216" i="22"/>
  <c r="F216" i="22"/>
  <c r="O215" i="22"/>
  <c r="L215" i="22"/>
  <c r="I215" i="22"/>
  <c r="C215" i="22" s="1"/>
  <c r="F215" i="22"/>
  <c r="O214" i="22"/>
  <c r="L214" i="22"/>
  <c r="I214" i="22"/>
  <c r="F214" i="22"/>
  <c r="O213" i="22"/>
  <c r="L213" i="22"/>
  <c r="I213" i="22"/>
  <c r="F213" i="22"/>
  <c r="C213" i="22"/>
  <c r="O212" i="22"/>
  <c r="L212" i="22"/>
  <c r="I212" i="22"/>
  <c r="F212" i="22"/>
  <c r="C212" i="22" s="1"/>
  <c r="O211" i="22"/>
  <c r="L211" i="22"/>
  <c r="I211" i="22"/>
  <c r="F211" i="22"/>
  <c r="C211" i="22"/>
  <c r="O210" i="22"/>
  <c r="L210" i="22"/>
  <c r="I210" i="22"/>
  <c r="F210" i="22"/>
  <c r="C210" i="22" s="1"/>
  <c r="O209" i="22"/>
  <c r="L209" i="22"/>
  <c r="I209" i="22"/>
  <c r="C209" i="22" s="1"/>
  <c r="F209" i="22"/>
  <c r="N208" i="22"/>
  <c r="M208" i="22"/>
  <c r="O208" i="22" s="1"/>
  <c r="L208" i="22"/>
  <c r="K208" i="22"/>
  <c r="J208" i="22"/>
  <c r="H208" i="22"/>
  <c r="H207" i="22" s="1"/>
  <c r="H198" i="22" s="1"/>
  <c r="G208" i="22"/>
  <c r="E208" i="22"/>
  <c r="D208" i="22"/>
  <c r="I207" i="22"/>
  <c r="G207" i="22"/>
  <c r="E207" i="22"/>
  <c r="O206" i="22"/>
  <c r="L206" i="22"/>
  <c r="I206" i="22"/>
  <c r="F206" i="22"/>
  <c r="O205" i="22"/>
  <c r="L205" i="22"/>
  <c r="I205" i="22"/>
  <c r="F205" i="22"/>
  <c r="C205" i="22"/>
  <c r="O204" i="22"/>
  <c r="L204" i="22"/>
  <c r="I204" i="22"/>
  <c r="F204" i="22"/>
  <c r="C204" i="22" s="1"/>
  <c r="O203" i="22"/>
  <c r="L203" i="22"/>
  <c r="I203" i="22"/>
  <c r="F203" i="22"/>
  <c r="C203" i="22"/>
  <c r="O202" i="22"/>
  <c r="L202" i="22"/>
  <c r="I202" i="22"/>
  <c r="F202" i="22"/>
  <c r="C202" i="22" s="1"/>
  <c r="N201" i="22"/>
  <c r="M201" i="22"/>
  <c r="K201" i="22"/>
  <c r="J201" i="22"/>
  <c r="H201" i="22"/>
  <c r="G201" i="22"/>
  <c r="I201" i="22" s="1"/>
  <c r="E201" i="22"/>
  <c r="D201" i="22"/>
  <c r="O200" i="22"/>
  <c r="L200" i="22"/>
  <c r="I200" i="22"/>
  <c r="F200" i="22"/>
  <c r="C200" i="22" s="1"/>
  <c r="N199" i="22"/>
  <c r="K199" i="22"/>
  <c r="K198" i="22" s="1"/>
  <c r="J199" i="22"/>
  <c r="H199" i="22"/>
  <c r="G199" i="22"/>
  <c r="E199" i="22"/>
  <c r="E198" i="22" s="1"/>
  <c r="E197" i="22" s="1"/>
  <c r="D199" i="22"/>
  <c r="O196" i="22"/>
  <c r="L196" i="22"/>
  <c r="I196" i="22"/>
  <c r="F196" i="22"/>
  <c r="C196" i="22" s="1"/>
  <c r="O195" i="22"/>
  <c r="N195" i="22"/>
  <c r="M195" i="22"/>
  <c r="M194" i="22" s="1"/>
  <c r="K195" i="22"/>
  <c r="K194" i="22" s="1"/>
  <c r="L194" i="22" s="1"/>
  <c r="J195" i="22"/>
  <c r="H195" i="22"/>
  <c r="G195" i="22"/>
  <c r="E195" i="22"/>
  <c r="D195" i="22"/>
  <c r="N194" i="22"/>
  <c r="N190" i="22" s="1"/>
  <c r="J194" i="22"/>
  <c r="H194" i="22"/>
  <c r="D194" i="22"/>
  <c r="D190" i="22" s="1"/>
  <c r="O193" i="22"/>
  <c r="L193" i="22"/>
  <c r="I193" i="22"/>
  <c r="C193" i="22" s="1"/>
  <c r="F193" i="22"/>
  <c r="O192" i="22"/>
  <c r="L192" i="22"/>
  <c r="I192" i="22"/>
  <c r="F192" i="22"/>
  <c r="N191" i="22"/>
  <c r="M191" i="22"/>
  <c r="M190" i="22" s="1"/>
  <c r="K191" i="22"/>
  <c r="J191" i="22"/>
  <c r="I191" i="22"/>
  <c r="H191" i="22"/>
  <c r="G191" i="22"/>
  <c r="E191" i="22"/>
  <c r="D191" i="22"/>
  <c r="F191" i="22" s="1"/>
  <c r="J190" i="22"/>
  <c r="H190" i="22"/>
  <c r="O189" i="22"/>
  <c r="L189" i="22"/>
  <c r="I189" i="22"/>
  <c r="F189" i="22"/>
  <c r="C189" i="22"/>
  <c r="O188" i="22"/>
  <c r="L188" i="22"/>
  <c r="I188" i="22"/>
  <c r="F188" i="22"/>
  <c r="C188" i="22" s="1"/>
  <c r="O187" i="22"/>
  <c r="N187" i="22"/>
  <c r="M187" i="22"/>
  <c r="K187" i="22"/>
  <c r="K176" i="22" s="1"/>
  <c r="J187" i="22"/>
  <c r="H187" i="22"/>
  <c r="G187" i="22"/>
  <c r="I187" i="22" s="1"/>
  <c r="E187" i="22"/>
  <c r="D187" i="22"/>
  <c r="O186" i="22"/>
  <c r="L186" i="22"/>
  <c r="I186" i="22"/>
  <c r="F186" i="22"/>
  <c r="O185" i="22"/>
  <c r="L185" i="22"/>
  <c r="I185" i="22"/>
  <c r="F185" i="22"/>
  <c r="C185" i="22"/>
  <c r="O184" i="22"/>
  <c r="L184" i="22"/>
  <c r="I184" i="22"/>
  <c r="F184" i="22"/>
  <c r="C184" i="22" s="1"/>
  <c r="O183" i="22"/>
  <c r="L183" i="22"/>
  <c r="I183" i="22"/>
  <c r="F183" i="22"/>
  <c r="C183" i="22"/>
  <c r="N182" i="22"/>
  <c r="M182" i="22"/>
  <c r="L182" i="22"/>
  <c r="K182" i="22"/>
  <c r="J182" i="22"/>
  <c r="H182" i="22"/>
  <c r="I182" i="22" s="1"/>
  <c r="G182" i="22"/>
  <c r="F182" i="22"/>
  <c r="E182" i="22"/>
  <c r="D182" i="22"/>
  <c r="O181" i="22"/>
  <c r="L181" i="22"/>
  <c r="I181" i="22"/>
  <c r="F181" i="22"/>
  <c r="C181" i="22"/>
  <c r="O180" i="22"/>
  <c r="L180" i="22"/>
  <c r="I180" i="22"/>
  <c r="F180" i="22"/>
  <c r="C180" i="22" s="1"/>
  <c r="O179" i="22"/>
  <c r="L179" i="22"/>
  <c r="I179" i="22"/>
  <c r="F179" i="22"/>
  <c r="C179" i="22"/>
  <c r="N178" i="22"/>
  <c r="N177" i="22" s="1"/>
  <c r="N176" i="22" s="1"/>
  <c r="M178" i="22"/>
  <c r="L178" i="22"/>
  <c r="K178" i="22"/>
  <c r="J178" i="22"/>
  <c r="J177" i="22" s="1"/>
  <c r="H178" i="22"/>
  <c r="G178" i="22"/>
  <c r="F178" i="22"/>
  <c r="E178" i="22"/>
  <c r="D178" i="22"/>
  <c r="O177" i="22"/>
  <c r="M177" i="22"/>
  <c r="K177" i="22"/>
  <c r="G177" i="22"/>
  <c r="G176" i="22" s="1"/>
  <c r="E177" i="22"/>
  <c r="D177" i="22"/>
  <c r="F177" i="22" s="1"/>
  <c r="M176" i="22"/>
  <c r="O176" i="22" s="1"/>
  <c r="E176" i="22"/>
  <c r="D176" i="22"/>
  <c r="O175" i="22"/>
  <c r="L175" i="22"/>
  <c r="I175" i="22"/>
  <c r="F175" i="22"/>
  <c r="O174" i="22"/>
  <c r="L174" i="22"/>
  <c r="C174" i="22" s="1"/>
  <c r="I174" i="22"/>
  <c r="F174" i="22"/>
  <c r="O173" i="22"/>
  <c r="L173" i="22"/>
  <c r="I173" i="22"/>
  <c r="F173" i="22"/>
  <c r="C173" i="22"/>
  <c r="O172" i="22"/>
  <c r="L172" i="22"/>
  <c r="I172" i="22"/>
  <c r="F172" i="22"/>
  <c r="C172" i="22" s="1"/>
  <c r="O171" i="22"/>
  <c r="L171" i="22"/>
  <c r="I171" i="22"/>
  <c r="F171" i="22"/>
  <c r="C171" i="22" s="1"/>
  <c r="O170" i="22"/>
  <c r="L170" i="22"/>
  <c r="I170" i="22"/>
  <c r="F170" i="22"/>
  <c r="C170" i="22"/>
  <c r="O169" i="22"/>
  <c r="N169" i="22"/>
  <c r="N168" i="22" s="1"/>
  <c r="M169" i="22"/>
  <c r="L169" i="22"/>
  <c r="K169" i="22"/>
  <c r="J169" i="22"/>
  <c r="J168" i="22" s="1"/>
  <c r="H169" i="22"/>
  <c r="H168" i="22" s="1"/>
  <c r="G169" i="22"/>
  <c r="G168" i="22" s="1"/>
  <c r="E169" i="22"/>
  <c r="D169" i="22"/>
  <c r="F169" i="22" s="1"/>
  <c r="O168" i="22"/>
  <c r="M168" i="22"/>
  <c r="K168" i="22"/>
  <c r="L168" i="22" s="1"/>
  <c r="E168" i="22"/>
  <c r="D168" i="22"/>
  <c r="O167" i="22"/>
  <c r="L167" i="22"/>
  <c r="I167" i="22"/>
  <c r="F167" i="22"/>
  <c r="O166" i="22"/>
  <c r="L166" i="22"/>
  <c r="I166" i="22"/>
  <c r="C166" i="22" s="1"/>
  <c r="F166" i="22"/>
  <c r="O165" i="22"/>
  <c r="L165" i="22"/>
  <c r="I165" i="22"/>
  <c r="F165" i="22"/>
  <c r="C165" i="22"/>
  <c r="O164" i="22"/>
  <c r="L164" i="22"/>
  <c r="I164" i="22"/>
  <c r="F164" i="22"/>
  <c r="C164" i="22" s="1"/>
  <c r="N163" i="22"/>
  <c r="M163" i="22"/>
  <c r="L163" i="22"/>
  <c r="K163" i="22"/>
  <c r="J163" i="22"/>
  <c r="H163" i="22"/>
  <c r="I163" i="22" s="1"/>
  <c r="G163" i="22"/>
  <c r="E163" i="22"/>
  <c r="D163" i="22"/>
  <c r="F163" i="22" s="1"/>
  <c r="O162" i="22"/>
  <c r="L162" i="22"/>
  <c r="I162" i="22"/>
  <c r="F162" i="22"/>
  <c r="C162" i="22"/>
  <c r="O161" i="22"/>
  <c r="L161" i="22"/>
  <c r="I161" i="22"/>
  <c r="F161" i="22"/>
  <c r="C161" i="22" s="1"/>
  <c r="O160" i="22"/>
  <c r="L160" i="22"/>
  <c r="I160" i="22"/>
  <c r="F160" i="22"/>
  <c r="C160" i="22" s="1"/>
  <c r="O159" i="22"/>
  <c r="L159" i="22"/>
  <c r="I159" i="22"/>
  <c r="F159" i="22"/>
  <c r="O158" i="22"/>
  <c r="L158" i="22"/>
  <c r="I158" i="22"/>
  <c r="F158" i="22"/>
  <c r="C158" i="22"/>
  <c r="O157" i="22"/>
  <c r="L157" i="22"/>
  <c r="I157" i="22"/>
  <c r="F157" i="22"/>
  <c r="C157" i="22" s="1"/>
  <c r="O156" i="22"/>
  <c r="L156" i="22"/>
  <c r="I156" i="22"/>
  <c r="F156" i="22"/>
  <c r="C156" i="22" s="1"/>
  <c r="O155" i="22"/>
  <c r="L155" i="22"/>
  <c r="I155" i="22"/>
  <c r="F155" i="22"/>
  <c r="N154" i="22"/>
  <c r="M154" i="22"/>
  <c r="O154" i="22" s="1"/>
  <c r="K154" i="22"/>
  <c r="J154" i="22"/>
  <c r="I154" i="22"/>
  <c r="H154" i="22"/>
  <c r="G154" i="22"/>
  <c r="E154" i="22"/>
  <c r="F154" i="22" s="1"/>
  <c r="D154" i="22"/>
  <c r="O153" i="22"/>
  <c r="L153" i="22"/>
  <c r="I153" i="22"/>
  <c r="F153" i="22"/>
  <c r="C153" i="22" s="1"/>
  <c r="O152" i="22"/>
  <c r="L152" i="22"/>
  <c r="I152" i="22"/>
  <c r="F152" i="22"/>
  <c r="C152" i="22"/>
  <c r="O151" i="22"/>
  <c r="L151" i="22"/>
  <c r="I151" i="22"/>
  <c r="F151" i="22"/>
  <c r="C151" i="22" s="1"/>
  <c r="O150" i="22"/>
  <c r="L150" i="22"/>
  <c r="I150" i="22"/>
  <c r="F150" i="22"/>
  <c r="C150" i="22"/>
  <c r="O149" i="22"/>
  <c r="L149" i="22"/>
  <c r="I149" i="22"/>
  <c r="F149" i="22"/>
  <c r="C149" i="22" s="1"/>
  <c r="O148" i="22"/>
  <c r="L148" i="22"/>
  <c r="I148" i="22"/>
  <c r="F148" i="22"/>
  <c r="C148" i="22" s="1"/>
  <c r="N147" i="22"/>
  <c r="M147" i="22"/>
  <c r="K147" i="22"/>
  <c r="J147" i="22"/>
  <c r="L147" i="22" s="1"/>
  <c r="I147" i="22"/>
  <c r="H147" i="22"/>
  <c r="G147" i="22"/>
  <c r="F147" i="22"/>
  <c r="E147" i="22"/>
  <c r="D147" i="22"/>
  <c r="O146" i="22"/>
  <c r="L146" i="22"/>
  <c r="I146" i="22"/>
  <c r="C146" i="22" s="1"/>
  <c r="F146" i="22"/>
  <c r="O145" i="22"/>
  <c r="L145" i="22"/>
  <c r="I145" i="22"/>
  <c r="F145" i="22"/>
  <c r="C145" i="22"/>
  <c r="O144" i="22"/>
  <c r="N144" i="22"/>
  <c r="M144" i="22"/>
  <c r="L144" i="22"/>
  <c r="K144" i="22"/>
  <c r="J144" i="22"/>
  <c r="H144" i="22"/>
  <c r="G144" i="22"/>
  <c r="I144" i="22" s="1"/>
  <c r="E144" i="22"/>
  <c r="D144" i="22"/>
  <c r="O143" i="22"/>
  <c r="L143" i="22"/>
  <c r="I143" i="22"/>
  <c r="F143" i="22"/>
  <c r="C143" i="22" s="1"/>
  <c r="O142" i="22"/>
  <c r="L142" i="22"/>
  <c r="I142" i="22"/>
  <c r="F142" i="22"/>
  <c r="C142" i="22"/>
  <c r="O141" i="22"/>
  <c r="L141" i="22"/>
  <c r="I141" i="22"/>
  <c r="F141" i="22"/>
  <c r="C141" i="22" s="1"/>
  <c r="O140" i="22"/>
  <c r="L140" i="22"/>
  <c r="I140" i="22"/>
  <c r="F140" i="22"/>
  <c r="C140" i="22" s="1"/>
  <c r="N139" i="22"/>
  <c r="N133" i="22" s="1"/>
  <c r="M139" i="22"/>
  <c r="K139" i="22"/>
  <c r="J139" i="22"/>
  <c r="L139" i="22" s="1"/>
  <c r="I139" i="22"/>
  <c r="H139" i="22"/>
  <c r="H133" i="22" s="1"/>
  <c r="G139" i="22"/>
  <c r="F139" i="22"/>
  <c r="E139" i="22"/>
  <c r="D139" i="22"/>
  <c r="O138" i="22"/>
  <c r="L138" i="22"/>
  <c r="I138" i="22"/>
  <c r="C138" i="22" s="1"/>
  <c r="F138" i="22"/>
  <c r="O137" i="22"/>
  <c r="L137" i="22"/>
  <c r="I137" i="22"/>
  <c r="F137" i="22"/>
  <c r="C137" i="22"/>
  <c r="O136" i="22"/>
  <c r="L136" i="22"/>
  <c r="I136" i="22"/>
  <c r="F136" i="22"/>
  <c r="C136" i="22" s="1"/>
  <c r="O135" i="22"/>
  <c r="L135" i="22"/>
  <c r="I135" i="22"/>
  <c r="F135" i="22"/>
  <c r="N134" i="22"/>
  <c r="M134" i="22"/>
  <c r="M133" i="22" s="1"/>
  <c r="O133" i="22" s="1"/>
  <c r="K134" i="22"/>
  <c r="J134" i="22"/>
  <c r="H134" i="22"/>
  <c r="G134" i="22"/>
  <c r="I134" i="22" s="1"/>
  <c r="F134" i="22"/>
  <c r="E134" i="22"/>
  <c r="D134" i="22"/>
  <c r="K133" i="22"/>
  <c r="G133" i="22"/>
  <c r="O132" i="22"/>
  <c r="L132" i="22"/>
  <c r="I132" i="22"/>
  <c r="F132" i="22"/>
  <c r="C132" i="22"/>
  <c r="N131" i="22"/>
  <c r="M131" i="22"/>
  <c r="K131" i="22"/>
  <c r="J131" i="22"/>
  <c r="L131" i="22" s="1"/>
  <c r="I131" i="22"/>
  <c r="H131" i="22"/>
  <c r="G131" i="22"/>
  <c r="F131" i="22"/>
  <c r="E131" i="22"/>
  <c r="D131" i="22"/>
  <c r="O130" i="22"/>
  <c r="C130" i="22" s="1"/>
  <c r="L130" i="22"/>
  <c r="I130" i="22"/>
  <c r="F130" i="22"/>
  <c r="O129" i="22"/>
  <c r="L129" i="22"/>
  <c r="I129" i="22"/>
  <c r="F129" i="22"/>
  <c r="C129" i="22" s="1"/>
  <c r="O128" i="22"/>
  <c r="L128" i="22"/>
  <c r="I128" i="22"/>
  <c r="F128" i="22"/>
  <c r="C128" i="22" s="1"/>
  <c r="O127" i="22"/>
  <c r="L127" i="22"/>
  <c r="C127" i="22" s="1"/>
  <c r="I127" i="22"/>
  <c r="F127" i="22"/>
  <c r="D127" i="22"/>
  <c r="O126" i="22"/>
  <c r="L126" i="22"/>
  <c r="I126" i="22"/>
  <c r="F126" i="22"/>
  <c r="C126" i="22" s="1"/>
  <c r="N125" i="22"/>
  <c r="M125" i="22"/>
  <c r="O125" i="22" s="1"/>
  <c r="L125" i="22"/>
  <c r="K125" i="22"/>
  <c r="J125" i="22"/>
  <c r="I125" i="22"/>
  <c r="H125" i="22"/>
  <c r="G125" i="22"/>
  <c r="E125" i="22"/>
  <c r="D125" i="22"/>
  <c r="F125" i="22" s="1"/>
  <c r="C125" i="22" s="1"/>
  <c r="O124" i="22"/>
  <c r="L124" i="22"/>
  <c r="I124" i="22"/>
  <c r="F124" i="22"/>
  <c r="O123" i="22"/>
  <c r="L123" i="22"/>
  <c r="I123" i="22"/>
  <c r="C123" i="22" s="1"/>
  <c r="F123" i="22"/>
  <c r="O122" i="22"/>
  <c r="L122" i="22"/>
  <c r="I122" i="22"/>
  <c r="F122" i="22"/>
  <c r="C122" i="22" s="1"/>
  <c r="O121" i="22"/>
  <c r="L121" i="22"/>
  <c r="I121" i="22"/>
  <c r="F121" i="22"/>
  <c r="C121" i="22"/>
  <c r="O120" i="22"/>
  <c r="L120" i="22"/>
  <c r="I120" i="22"/>
  <c r="F120" i="22"/>
  <c r="C120" i="22" s="1"/>
  <c r="O119" i="22"/>
  <c r="N119" i="22"/>
  <c r="M119" i="22"/>
  <c r="K119" i="22"/>
  <c r="J119" i="22"/>
  <c r="H119" i="22"/>
  <c r="G119" i="22"/>
  <c r="I119" i="22" s="1"/>
  <c r="F119" i="22"/>
  <c r="E119" i="22"/>
  <c r="D119" i="22"/>
  <c r="O118" i="22"/>
  <c r="L118" i="22"/>
  <c r="I118" i="22"/>
  <c r="F118" i="22"/>
  <c r="C118" i="22" s="1"/>
  <c r="O117" i="22"/>
  <c r="L117" i="22"/>
  <c r="I117" i="22"/>
  <c r="F117" i="22"/>
  <c r="C117" i="22" s="1"/>
  <c r="O116" i="22"/>
  <c r="L116" i="22"/>
  <c r="I116" i="22"/>
  <c r="F116" i="22"/>
  <c r="N115" i="22"/>
  <c r="M115" i="22"/>
  <c r="O115" i="22" s="1"/>
  <c r="K115" i="22"/>
  <c r="J115" i="22"/>
  <c r="I115" i="22"/>
  <c r="H115" i="22"/>
  <c r="G115" i="22"/>
  <c r="E115" i="22"/>
  <c r="F115" i="22" s="1"/>
  <c r="D115" i="22"/>
  <c r="O114" i="22"/>
  <c r="L114" i="22"/>
  <c r="I114" i="22"/>
  <c r="F114" i="22"/>
  <c r="C114" i="22" s="1"/>
  <c r="O113" i="22"/>
  <c r="L113" i="22"/>
  <c r="I113" i="22"/>
  <c r="F113" i="22"/>
  <c r="C113" i="22"/>
  <c r="O112" i="22"/>
  <c r="L112" i="22"/>
  <c r="I112" i="22"/>
  <c r="F112" i="22"/>
  <c r="C112" i="22" s="1"/>
  <c r="O111" i="22"/>
  <c r="L111" i="22"/>
  <c r="I111" i="22"/>
  <c r="F111" i="22"/>
  <c r="C111" i="22"/>
  <c r="O110" i="22"/>
  <c r="L110" i="22"/>
  <c r="I110" i="22"/>
  <c r="F110" i="22"/>
  <c r="C110" i="22" s="1"/>
  <c r="O109" i="22"/>
  <c r="L109" i="22"/>
  <c r="I109" i="22"/>
  <c r="F109" i="22"/>
  <c r="C109" i="22" s="1"/>
  <c r="O108" i="22"/>
  <c r="L108" i="22"/>
  <c r="I108" i="22"/>
  <c r="F108" i="22"/>
  <c r="O107" i="22"/>
  <c r="L107" i="22"/>
  <c r="I107" i="22"/>
  <c r="F107" i="22"/>
  <c r="C107" i="22"/>
  <c r="O106" i="22"/>
  <c r="N106" i="22"/>
  <c r="M106" i="22"/>
  <c r="L106" i="22"/>
  <c r="K106" i="22"/>
  <c r="J106" i="22"/>
  <c r="H106" i="22"/>
  <c r="G106" i="22"/>
  <c r="I106" i="22" s="1"/>
  <c r="C106" i="22" s="1"/>
  <c r="F106" i="22"/>
  <c r="E106" i="22"/>
  <c r="D106" i="22"/>
  <c r="O105" i="22"/>
  <c r="L105" i="22"/>
  <c r="I105" i="22"/>
  <c r="F105" i="22"/>
  <c r="C105" i="22" s="1"/>
  <c r="O104" i="22"/>
  <c r="L104" i="22"/>
  <c r="I104" i="22"/>
  <c r="F104" i="22"/>
  <c r="O103" i="22"/>
  <c r="L103" i="22"/>
  <c r="I103" i="22"/>
  <c r="C103" i="22" s="1"/>
  <c r="F103" i="22"/>
  <c r="O102" i="22"/>
  <c r="L102" i="22"/>
  <c r="I102" i="22"/>
  <c r="F102" i="22"/>
  <c r="C102" i="22" s="1"/>
  <c r="O101" i="22"/>
  <c r="C101" i="22" s="1"/>
  <c r="L101" i="22"/>
  <c r="I101" i="22"/>
  <c r="F101" i="22"/>
  <c r="O100" i="22"/>
  <c r="L100" i="22"/>
  <c r="I100" i="22"/>
  <c r="F100" i="22"/>
  <c r="C100" i="22" s="1"/>
  <c r="O99" i="22"/>
  <c r="L99" i="22"/>
  <c r="I99" i="22"/>
  <c r="F99" i="22"/>
  <c r="C99" i="22" s="1"/>
  <c r="N98" i="22"/>
  <c r="M98" i="22"/>
  <c r="O98" i="22" s="1"/>
  <c r="K98" i="22"/>
  <c r="J98" i="22"/>
  <c r="L98" i="22" s="1"/>
  <c r="I98" i="22"/>
  <c r="H98" i="22"/>
  <c r="G98" i="22"/>
  <c r="F98" i="22"/>
  <c r="C98" i="22" s="1"/>
  <c r="E98" i="22"/>
  <c r="D98" i="22"/>
  <c r="O97" i="22"/>
  <c r="L97" i="22"/>
  <c r="I97" i="22"/>
  <c r="F97" i="22"/>
  <c r="C97" i="22"/>
  <c r="O96" i="22"/>
  <c r="L96" i="22"/>
  <c r="I96" i="22"/>
  <c r="F96" i="22"/>
  <c r="C96" i="22" s="1"/>
  <c r="O95" i="22"/>
  <c r="L95" i="22"/>
  <c r="I95" i="22"/>
  <c r="F95" i="22"/>
  <c r="C95" i="22" s="1"/>
  <c r="O94" i="22"/>
  <c r="L94" i="22"/>
  <c r="I94" i="22"/>
  <c r="F94" i="22"/>
  <c r="C94" i="22" s="1"/>
  <c r="O93" i="22"/>
  <c r="C93" i="22" s="1"/>
  <c r="L93" i="22"/>
  <c r="I93" i="22"/>
  <c r="F93" i="22"/>
  <c r="O92" i="22"/>
  <c r="N92" i="22"/>
  <c r="M92" i="22"/>
  <c r="L92" i="22"/>
  <c r="K92" i="22"/>
  <c r="J92" i="22"/>
  <c r="H92" i="22"/>
  <c r="G92" i="22"/>
  <c r="I92" i="22" s="1"/>
  <c r="E92" i="22"/>
  <c r="D92" i="22"/>
  <c r="F92" i="22" s="1"/>
  <c r="C92" i="22" s="1"/>
  <c r="O91" i="22"/>
  <c r="L91" i="22"/>
  <c r="I91" i="22"/>
  <c r="F91" i="22"/>
  <c r="C91" i="22" s="1"/>
  <c r="O90" i="22"/>
  <c r="L90" i="22"/>
  <c r="I90" i="22"/>
  <c r="F90" i="22"/>
  <c r="C90" i="22" s="1"/>
  <c r="O89" i="22"/>
  <c r="C89" i="22" s="1"/>
  <c r="L89" i="22"/>
  <c r="I89" i="22"/>
  <c r="F89" i="22"/>
  <c r="O88" i="22"/>
  <c r="L88" i="22"/>
  <c r="I88" i="22"/>
  <c r="F88" i="22"/>
  <c r="C88" i="22" s="1"/>
  <c r="N87" i="22"/>
  <c r="M87" i="22"/>
  <c r="M86" i="22" s="1"/>
  <c r="O86" i="22" s="1"/>
  <c r="L87" i="22"/>
  <c r="K87" i="22"/>
  <c r="K86" i="22" s="1"/>
  <c r="J87" i="22"/>
  <c r="I87" i="22"/>
  <c r="H87" i="22"/>
  <c r="H86" i="22" s="1"/>
  <c r="G87" i="22"/>
  <c r="G86" i="22" s="1"/>
  <c r="I86" i="22" s="1"/>
  <c r="E87" i="22"/>
  <c r="E86" i="22" s="1"/>
  <c r="D87" i="22"/>
  <c r="D86" i="22" s="1"/>
  <c r="F86" i="22" s="1"/>
  <c r="N86" i="22"/>
  <c r="J86" i="22"/>
  <c r="O85" i="22"/>
  <c r="L85" i="22"/>
  <c r="I85" i="22"/>
  <c r="F85" i="22"/>
  <c r="C85" i="22"/>
  <c r="O84" i="22"/>
  <c r="L84" i="22"/>
  <c r="I84" i="22"/>
  <c r="F84" i="22"/>
  <c r="C84" i="22" s="1"/>
  <c r="N83" i="22"/>
  <c r="M83" i="22"/>
  <c r="O83" i="22" s="1"/>
  <c r="L83" i="22"/>
  <c r="K83" i="22"/>
  <c r="J83" i="22"/>
  <c r="I83" i="22"/>
  <c r="H83" i="22"/>
  <c r="G83" i="22"/>
  <c r="E83" i="22"/>
  <c r="D83" i="22"/>
  <c r="F83" i="22" s="1"/>
  <c r="C83" i="22" s="1"/>
  <c r="O82" i="22"/>
  <c r="L82" i="22"/>
  <c r="I82" i="22"/>
  <c r="F82" i="22"/>
  <c r="C82" i="22" s="1"/>
  <c r="O81" i="22"/>
  <c r="L81" i="22"/>
  <c r="I81" i="22"/>
  <c r="F81" i="22"/>
  <c r="C81" i="22"/>
  <c r="O80" i="22"/>
  <c r="N80" i="22"/>
  <c r="N79" i="22" s="1"/>
  <c r="N78" i="22" s="1"/>
  <c r="M80" i="22"/>
  <c r="L80" i="22"/>
  <c r="K80" i="22"/>
  <c r="K79" i="22" s="1"/>
  <c r="J80" i="22"/>
  <c r="J79" i="22" s="1"/>
  <c r="H80" i="22"/>
  <c r="H79" i="22" s="1"/>
  <c r="G80" i="22"/>
  <c r="G79" i="22" s="1"/>
  <c r="E80" i="22"/>
  <c r="D80" i="22"/>
  <c r="D79" i="22" s="1"/>
  <c r="M79" i="22"/>
  <c r="E79" i="22"/>
  <c r="O77" i="22"/>
  <c r="L77" i="22"/>
  <c r="I77" i="22"/>
  <c r="F77" i="22"/>
  <c r="C77" i="22"/>
  <c r="O76" i="22"/>
  <c r="L76" i="22"/>
  <c r="I76" i="22"/>
  <c r="F76" i="22"/>
  <c r="C76" i="22" s="1"/>
  <c r="O75" i="22"/>
  <c r="L75" i="22"/>
  <c r="I75" i="22"/>
  <c r="F75" i="22"/>
  <c r="C75" i="22" s="1"/>
  <c r="O74" i="22"/>
  <c r="L74" i="22"/>
  <c r="I74" i="22"/>
  <c r="F74" i="22"/>
  <c r="C74" i="22" s="1"/>
  <c r="O73" i="22"/>
  <c r="L73" i="22"/>
  <c r="I73" i="22"/>
  <c r="F73" i="22"/>
  <c r="C73" i="22"/>
  <c r="O72" i="22"/>
  <c r="N72" i="22"/>
  <c r="M72" i="22"/>
  <c r="L72" i="22"/>
  <c r="K72" i="22"/>
  <c r="K70" i="22" s="1"/>
  <c r="J72" i="22"/>
  <c r="H72" i="22"/>
  <c r="H70" i="22" s="1"/>
  <c r="G72" i="22"/>
  <c r="I72" i="22" s="1"/>
  <c r="E72" i="22"/>
  <c r="D72" i="22"/>
  <c r="F72" i="22" s="1"/>
  <c r="C72" i="22" s="1"/>
  <c r="O71" i="22"/>
  <c r="L71" i="22"/>
  <c r="I71" i="22"/>
  <c r="F71" i="22"/>
  <c r="C71" i="22" s="1"/>
  <c r="N70" i="22"/>
  <c r="M70" i="22"/>
  <c r="O70" i="22" s="1"/>
  <c r="J70" i="22"/>
  <c r="L70" i="22" s="1"/>
  <c r="E70" i="22"/>
  <c r="O69" i="22"/>
  <c r="C69" i="22" s="1"/>
  <c r="L69" i="22"/>
  <c r="I69" i="22"/>
  <c r="F69" i="22"/>
  <c r="O68" i="22"/>
  <c r="L68" i="22"/>
  <c r="I68" i="22"/>
  <c r="F68" i="22"/>
  <c r="C68" i="22" s="1"/>
  <c r="O67" i="22"/>
  <c r="L67" i="22"/>
  <c r="I67" i="22"/>
  <c r="F67" i="22"/>
  <c r="C67" i="22" s="1"/>
  <c r="O66" i="22"/>
  <c r="L66" i="22"/>
  <c r="I66" i="22"/>
  <c r="F66" i="22"/>
  <c r="C66" i="22" s="1"/>
  <c r="O65" i="22"/>
  <c r="L65" i="22"/>
  <c r="I65" i="22"/>
  <c r="F65" i="22"/>
  <c r="C65" i="22"/>
  <c r="O64" i="22"/>
  <c r="L64" i="22"/>
  <c r="I64" i="22"/>
  <c r="F64" i="22"/>
  <c r="C64" i="22" s="1"/>
  <c r="O63" i="22"/>
  <c r="L63" i="22"/>
  <c r="I63" i="22"/>
  <c r="F63" i="22"/>
  <c r="C63" i="22" s="1"/>
  <c r="O62" i="22"/>
  <c r="L62" i="22"/>
  <c r="I62" i="22"/>
  <c r="F62" i="22"/>
  <c r="C62" i="22" s="1"/>
  <c r="O61" i="22"/>
  <c r="N61" i="22"/>
  <c r="M61" i="22"/>
  <c r="K61" i="22"/>
  <c r="J61" i="22"/>
  <c r="L61" i="22" s="1"/>
  <c r="H61" i="22"/>
  <c r="G61" i="22"/>
  <c r="I61" i="22" s="1"/>
  <c r="C61" i="22" s="1"/>
  <c r="F61" i="22"/>
  <c r="E61" i="22"/>
  <c r="D61" i="22"/>
  <c r="O60" i="22"/>
  <c r="L60" i="22"/>
  <c r="I60" i="22"/>
  <c r="F60" i="22"/>
  <c r="C60" i="22" s="1"/>
  <c r="O59" i="22"/>
  <c r="L59" i="22"/>
  <c r="I59" i="22"/>
  <c r="F59" i="22"/>
  <c r="C59" i="22" s="1"/>
  <c r="N58" i="22"/>
  <c r="N57" i="22" s="1"/>
  <c r="N56" i="22" s="1"/>
  <c r="N55" i="22" s="1"/>
  <c r="M58" i="22"/>
  <c r="M57" i="22" s="1"/>
  <c r="K58" i="22"/>
  <c r="J58" i="22"/>
  <c r="J57" i="22" s="1"/>
  <c r="I58" i="22"/>
  <c r="H58" i="22"/>
  <c r="H57" i="22" s="1"/>
  <c r="H56" i="22" s="1"/>
  <c r="G58" i="22"/>
  <c r="F58" i="22"/>
  <c r="E58" i="22"/>
  <c r="E57" i="22" s="1"/>
  <c r="E56" i="22" s="1"/>
  <c r="D58" i="22"/>
  <c r="D57" i="22" s="1"/>
  <c r="K57" i="22"/>
  <c r="K56" i="22" s="1"/>
  <c r="G57" i="22"/>
  <c r="O50" i="22"/>
  <c r="C50" i="22" s="1"/>
  <c r="O49" i="22"/>
  <c r="C49" i="22"/>
  <c r="O48" i="22"/>
  <c r="N48" i="22"/>
  <c r="M48" i="22"/>
  <c r="C48" i="22"/>
  <c r="L47" i="22"/>
  <c r="I47" i="22"/>
  <c r="F47" i="22"/>
  <c r="C47" i="22"/>
  <c r="L46" i="22"/>
  <c r="K46" i="22"/>
  <c r="J46" i="22"/>
  <c r="I46" i="22"/>
  <c r="H46" i="22"/>
  <c r="G46" i="22"/>
  <c r="E46" i="22"/>
  <c r="D46" i="22"/>
  <c r="F46" i="22" s="1"/>
  <c r="C46" i="22" s="1"/>
  <c r="F45" i="22"/>
  <c r="C45" i="22"/>
  <c r="L44" i="22"/>
  <c r="C44" i="22" s="1"/>
  <c r="L43" i="22"/>
  <c r="C43" i="22"/>
  <c r="L42" i="22"/>
  <c r="C42" i="22" s="1"/>
  <c r="L41" i="22"/>
  <c r="C41" i="22"/>
  <c r="L40" i="22"/>
  <c r="K40" i="22"/>
  <c r="J40" i="22"/>
  <c r="C40" i="22"/>
  <c r="L39" i="22"/>
  <c r="C39" i="22" s="1"/>
  <c r="L38" i="22"/>
  <c r="C38" i="22"/>
  <c r="L37" i="22"/>
  <c r="K37" i="22"/>
  <c r="J37" i="22"/>
  <c r="C37" i="22"/>
  <c r="L36" i="22"/>
  <c r="C36" i="22" s="1"/>
  <c r="K35" i="22"/>
  <c r="K30" i="22" s="1"/>
  <c r="J35" i="22"/>
  <c r="L35" i="22" s="1"/>
  <c r="C35" i="22" s="1"/>
  <c r="L34" i="22"/>
  <c r="C34" i="22"/>
  <c r="L33" i="22"/>
  <c r="C33" i="22" s="1"/>
  <c r="L32" i="22"/>
  <c r="C32" i="22"/>
  <c r="L31" i="22"/>
  <c r="K31" i="22"/>
  <c r="J31" i="22"/>
  <c r="C31" i="22"/>
  <c r="F29" i="22"/>
  <c r="C29" i="22" s="1"/>
  <c r="I28" i="22"/>
  <c r="O27" i="22"/>
  <c r="L27" i="22"/>
  <c r="I27" i="22"/>
  <c r="F27" i="22"/>
  <c r="C27" i="22"/>
  <c r="O26" i="22"/>
  <c r="L26" i="22"/>
  <c r="I26" i="22"/>
  <c r="F26" i="22"/>
  <c r="C26" i="22" s="1"/>
  <c r="N25" i="22"/>
  <c r="N290" i="22" s="1"/>
  <c r="N289" i="22" s="1"/>
  <c r="M25" i="22"/>
  <c r="M290" i="22" s="1"/>
  <c r="L25" i="22"/>
  <c r="K25" i="22"/>
  <c r="K290" i="22" s="1"/>
  <c r="K289" i="22" s="1"/>
  <c r="J25" i="22"/>
  <c r="J290" i="22" s="1"/>
  <c r="I25" i="22"/>
  <c r="H25" i="22"/>
  <c r="H290" i="22" s="1"/>
  <c r="H289" i="22" s="1"/>
  <c r="G25" i="22"/>
  <c r="G290" i="22" s="1"/>
  <c r="E25" i="22"/>
  <c r="E290" i="22" s="1"/>
  <c r="E289" i="22" s="1"/>
  <c r="D25" i="22"/>
  <c r="D290" i="22" s="1"/>
  <c r="D289" i="22" s="1"/>
  <c r="N24" i="22"/>
  <c r="J56" i="22" l="1"/>
  <c r="L57" i="22"/>
  <c r="M78" i="22"/>
  <c r="O78" i="22" s="1"/>
  <c r="H78" i="22"/>
  <c r="C134" i="22"/>
  <c r="C163" i="22"/>
  <c r="G78" i="22"/>
  <c r="I78" i="22" s="1"/>
  <c r="I79" i="22"/>
  <c r="L86" i="22"/>
  <c r="C86" i="22" s="1"/>
  <c r="F79" i="22"/>
  <c r="L79" i="22"/>
  <c r="F57" i="22"/>
  <c r="D56" i="22"/>
  <c r="O57" i="22"/>
  <c r="M56" i="22"/>
  <c r="K78" i="22"/>
  <c r="K55" i="22" s="1"/>
  <c r="C119" i="22"/>
  <c r="I168" i="22"/>
  <c r="G194" i="22"/>
  <c r="I194" i="22" s="1"/>
  <c r="I195" i="22"/>
  <c r="D207" i="22"/>
  <c r="F208" i="22"/>
  <c r="L234" i="22"/>
  <c r="G56" i="23"/>
  <c r="D177" i="23"/>
  <c r="F178" i="23"/>
  <c r="C178" i="23" s="1"/>
  <c r="L177" i="23"/>
  <c r="J176" i="23"/>
  <c r="L176" i="23" s="1"/>
  <c r="G24" i="22"/>
  <c r="I24" i="22" s="1"/>
  <c r="K24" i="22"/>
  <c r="F25" i="22"/>
  <c r="C25" i="22" s="1"/>
  <c r="J289" i="22"/>
  <c r="L289" i="22" s="1"/>
  <c r="L290" i="22"/>
  <c r="J30" i="22"/>
  <c r="O58" i="22"/>
  <c r="G70" i="22"/>
  <c r="I70" i="22" s="1"/>
  <c r="I80" i="22"/>
  <c r="F87" i="22"/>
  <c r="C108" i="22"/>
  <c r="L115" i="22"/>
  <c r="C115" i="22" s="1"/>
  <c r="E133" i="22"/>
  <c r="E78" i="22" s="1"/>
  <c r="F144" i="22"/>
  <c r="C144" i="22" s="1"/>
  <c r="L154" i="22"/>
  <c r="C154" i="22" s="1"/>
  <c r="C159" i="22"/>
  <c r="O163" i="22"/>
  <c r="L177" i="22"/>
  <c r="J176" i="22"/>
  <c r="L176" i="22" s="1"/>
  <c r="G198" i="22"/>
  <c r="I199" i="22"/>
  <c r="O201" i="22"/>
  <c r="M199" i="22"/>
  <c r="J261" i="22"/>
  <c r="L261" i="22" s="1"/>
  <c r="L262" i="22"/>
  <c r="C291" i="22"/>
  <c r="E86" i="23"/>
  <c r="F87" i="23"/>
  <c r="I92" i="23"/>
  <c r="H86" i="23"/>
  <c r="H78" i="23" s="1"/>
  <c r="H287" i="23" s="1"/>
  <c r="M289" i="22"/>
  <c r="O289" i="22" s="1"/>
  <c r="O290" i="22"/>
  <c r="C139" i="22"/>
  <c r="L254" i="22"/>
  <c r="H24" i="22"/>
  <c r="I290" i="22"/>
  <c r="G289" i="22"/>
  <c r="I289" i="22" s="1"/>
  <c r="O25" i="22"/>
  <c r="I57" i="22"/>
  <c r="L58" i="22"/>
  <c r="C58" i="22" s="1"/>
  <c r="D70" i="22"/>
  <c r="F70" i="22" s="1"/>
  <c r="C70" i="22" s="1"/>
  <c r="O79" i="22"/>
  <c r="F80" i="22"/>
  <c r="C80" i="22" s="1"/>
  <c r="O87" i="22"/>
  <c r="C116" i="22"/>
  <c r="O131" i="22"/>
  <c r="D133" i="22"/>
  <c r="F133" i="22" s="1"/>
  <c r="J133" i="22"/>
  <c r="L133" i="22" s="1"/>
  <c r="L134" i="22"/>
  <c r="O134" i="22"/>
  <c r="C155" i="22"/>
  <c r="C167" i="22"/>
  <c r="C175" i="22"/>
  <c r="F176" i="22"/>
  <c r="C182" i="22"/>
  <c r="F236" i="22"/>
  <c r="D234" i="22"/>
  <c r="N233" i="22"/>
  <c r="I133" i="22"/>
  <c r="C147" i="22"/>
  <c r="M24" i="22"/>
  <c r="O24" i="22" s="1"/>
  <c r="F289" i="22"/>
  <c r="C104" i="22"/>
  <c r="L119" i="22"/>
  <c r="C124" i="22"/>
  <c r="C131" i="22"/>
  <c r="C135" i="22"/>
  <c r="O139" i="22"/>
  <c r="O147" i="22"/>
  <c r="F168" i="22"/>
  <c r="C168" i="22" s="1"/>
  <c r="I169" i="22"/>
  <c r="C169" i="22" s="1"/>
  <c r="F284" i="22"/>
  <c r="F290" i="22"/>
  <c r="N56" i="23"/>
  <c r="O57" i="23"/>
  <c r="I178" i="22"/>
  <c r="C178" i="22" s="1"/>
  <c r="H177" i="22"/>
  <c r="O178" i="22"/>
  <c r="O182" i="22"/>
  <c r="C186" i="22"/>
  <c r="L191" i="22"/>
  <c r="C191" i="22" s="1"/>
  <c r="O191" i="22"/>
  <c r="O194" i="22"/>
  <c r="F201" i="22"/>
  <c r="C206" i="22"/>
  <c r="J207" i="22"/>
  <c r="N207" i="22"/>
  <c r="N198" i="22" s="1"/>
  <c r="N197" i="22" s="1"/>
  <c r="N54" i="22" s="1"/>
  <c r="C214" i="22"/>
  <c r="L219" i="22"/>
  <c r="O219" i="22"/>
  <c r="C219" i="22" s="1"/>
  <c r="C226" i="22"/>
  <c r="G234" i="22"/>
  <c r="K234" i="22"/>
  <c r="C242" i="22"/>
  <c r="O255" i="22"/>
  <c r="F262" i="22"/>
  <c r="I272" i="22"/>
  <c r="C272" i="22" s="1"/>
  <c r="L272" i="22"/>
  <c r="O274" i="22"/>
  <c r="O282" i="22"/>
  <c r="C294" i="22"/>
  <c r="K290" i="23"/>
  <c r="K289" i="23" s="1"/>
  <c r="L25" i="23"/>
  <c r="C26" i="23"/>
  <c r="K30" i="23"/>
  <c r="L35" i="23"/>
  <c r="C35" i="23" s="1"/>
  <c r="C46" i="23"/>
  <c r="J57" i="23"/>
  <c r="L58" i="23"/>
  <c r="G86" i="23"/>
  <c r="G78" i="23" s="1"/>
  <c r="F92" i="23"/>
  <c r="D86" i="23"/>
  <c r="F86" i="23" s="1"/>
  <c r="J86" i="23"/>
  <c r="L86" i="23" s="1"/>
  <c r="F187" i="22"/>
  <c r="G190" i="22"/>
  <c r="I190" i="22" s="1"/>
  <c r="K190" i="22"/>
  <c r="L190" i="22" s="1"/>
  <c r="C192" i="22"/>
  <c r="F199" i="22"/>
  <c r="L201" i="22"/>
  <c r="C216" i="22"/>
  <c r="C220" i="22"/>
  <c r="C228" i="22"/>
  <c r="I230" i="22"/>
  <c r="C230" i="22" s="1"/>
  <c r="C232" i="22"/>
  <c r="I238" i="22"/>
  <c r="C240" i="22"/>
  <c r="M234" i="22"/>
  <c r="C244" i="22"/>
  <c r="L249" i="22"/>
  <c r="C249" i="22" s="1"/>
  <c r="I254" i="22"/>
  <c r="C254" i="22" s="1"/>
  <c r="L255" i="22"/>
  <c r="C255" i="22" s="1"/>
  <c r="K254" i="22"/>
  <c r="C256" i="22"/>
  <c r="C264" i="22"/>
  <c r="I266" i="22"/>
  <c r="C266" i="22" s="1"/>
  <c r="C268" i="22"/>
  <c r="F271" i="22"/>
  <c r="O272" i="22"/>
  <c r="I284" i="22"/>
  <c r="C286" i="22"/>
  <c r="C298" i="22"/>
  <c r="F24" i="23"/>
  <c r="G290" i="23"/>
  <c r="G24" i="23"/>
  <c r="I24" i="23" s="1"/>
  <c r="I25" i="23"/>
  <c r="M56" i="23"/>
  <c r="C71" i="23"/>
  <c r="E78" i="23"/>
  <c r="F79" i="23"/>
  <c r="L80" i="23"/>
  <c r="J79" i="23"/>
  <c r="M79" i="23"/>
  <c r="O83" i="23"/>
  <c r="C83" i="23" s="1"/>
  <c r="O86" i="23"/>
  <c r="L187" i="22"/>
  <c r="O190" i="22"/>
  <c r="E194" i="22"/>
  <c r="F194" i="22" s="1"/>
  <c r="F195" i="22"/>
  <c r="L195" i="22"/>
  <c r="L199" i="22"/>
  <c r="I208" i="22"/>
  <c r="O230" i="22"/>
  <c r="I236" i="22"/>
  <c r="O238" i="22"/>
  <c r="C238" i="22" s="1"/>
  <c r="F241" i="22"/>
  <c r="C241" i="22" s="1"/>
  <c r="I262" i="22"/>
  <c r="H261" i="22"/>
  <c r="I261" i="22" s="1"/>
  <c r="C261" i="22" s="1"/>
  <c r="O262" i="22"/>
  <c r="O266" i="22"/>
  <c r="L271" i="22"/>
  <c r="C274" i="22"/>
  <c r="C278" i="22"/>
  <c r="C282" i="22"/>
  <c r="O58" i="23"/>
  <c r="C58" i="23" s="1"/>
  <c r="E61" i="23"/>
  <c r="F67" i="23"/>
  <c r="C67" i="23" s="1"/>
  <c r="F70" i="23"/>
  <c r="C70" i="23" s="1"/>
  <c r="F72" i="23"/>
  <c r="C72" i="23" s="1"/>
  <c r="O72" i="23"/>
  <c r="M70" i="23"/>
  <c r="O70" i="23" s="1"/>
  <c r="C115" i="23"/>
  <c r="C163" i="23"/>
  <c r="M168" i="23"/>
  <c r="O168" i="23" s="1"/>
  <c r="O169" i="23"/>
  <c r="E24" i="23"/>
  <c r="M24" i="23"/>
  <c r="O24" i="23" s="1"/>
  <c r="F290" i="23"/>
  <c r="D289" i="23"/>
  <c r="F289" i="23" s="1"/>
  <c r="H57" i="23"/>
  <c r="H56" i="23" s="1"/>
  <c r="C76" i="23"/>
  <c r="L87" i="23"/>
  <c r="O87" i="23"/>
  <c r="C102" i="23"/>
  <c r="C114" i="23"/>
  <c r="C118" i="23"/>
  <c r="C122" i="23"/>
  <c r="L131" i="23"/>
  <c r="C131" i="23" s="1"/>
  <c r="D133" i="23"/>
  <c r="F133" i="23" s="1"/>
  <c r="F134" i="23"/>
  <c r="J133" i="23"/>
  <c r="K133" i="23"/>
  <c r="K78" i="23" s="1"/>
  <c r="K55" i="23" s="1"/>
  <c r="K54" i="23" s="1"/>
  <c r="K53" i="23" s="1"/>
  <c r="C140" i="23"/>
  <c r="O144" i="23"/>
  <c r="C144" i="23" s="1"/>
  <c r="C148" i="23"/>
  <c r="C160" i="23"/>
  <c r="F169" i="23"/>
  <c r="C169" i="23" s="1"/>
  <c r="I177" i="23"/>
  <c r="M289" i="23"/>
  <c r="O289" i="23" s="1"/>
  <c r="O290" i="23"/>
  <c r="C88" i="23"/>
  <c r="C104" i="23"/>
  <c r="C108" i="23"/>
  <c r="C124" i="23"/>
  <c r="C125" i="23"/>
  <c r="C132" i="23"/>
  <c r="I139" i="23"/>
  <c r="C139" i="23" s="1"/>
  <c r="G133" i="23"/>
  <c r="I133" i="23" s="1"/>
  <c r="C152" i="23"/>
  <c r="C154" i="23"/>
  <c r="C180" i="23"/>
  <c r="C182" i="23"/>
  <c r="F25" i="23"/>
  <c r="J289" i="23"/>
  <c r="L30" i="23"/>
  <c r="C30" i="23" s="1"/>
  <c r="O48" i="23"/>
  <c r="C48" i="23" s="1"/>
  <c r="I80" i="23"/>
  <c r="O80" i="23"/>
  <c r="C80" i="23" s="1"/>
  <c r="C84" i="23"/>
  <c r="C98" i="23"/>
  <c r="L115" i="23"/>
  <c r="L119" i="23"/>
  <c r="C119" i="23" s="1"/>
  <c r="I134" i="23"/>
  <c r="M176" i="23"/>
  <c r="O177" i="23"/>
  <c r="N133" i="23"/>
  <c r="O133" i="23" s="1"/>
  <c r="K168" i="23"/>
  <c r="L168" i="23" s="1"/>
  <c r="C168" i="23" s="1"/>
  <c r="N177" i="23"/>
  <c r="N176" i="23" s="1"/>
  <c r="C190" i="23"/>
  <c r="C194" i="23"/>
  <c r="C207" i="23"/>
  <c r="C208" i="23"/>
  <c r="C233" i="23"/>
  <c r="C238" i="23"/>
  <c r="C254" i="23"/>
  <c r="C274" i="23"/>
  <c r="K287" i="23"/>
  <c r="C291" i="23"/>
  <c r="G182" i="24"/>
  <c r="C234" i="23"/>
  <c r="C236" i="23"/>
  <c r="C241" i="23"/>
  <c r="C266" i="23"/>
  <c r="C282" i="23"/>
  <c r="C230" i="23"/>
  <c r="G124" i="24"/>
  <c r="G14" i="24" s="1"/>
  <c r="G13" i="24" s="1"/>
  <c r="I284" i="23"/>
  <c r="F284" i="23"/>
  <c r="C284" i="23" s="1"/>
  <c r="E124" i="24"/>
  <c r="E14" i="24" s="1"/>
  <c r="E13" i="24" s="1"/>
  <c r="O284" i="23"/>
  <c r="E260" i="24"/>
  <c r="N53" i="22" l="1"/>
  <c r="N288" i="22"/>
  <c r="I78" i="23"/>
  <c r="G287" i="23"/>
  <c r="I287" i="23" s="1"/>
  <c r="E55" i="22"/>
  <c r="E54" i="22" s="1"/>
  <c r="K288" i="23"/>
  <c r="D233" i="22"/>
  <c r="F234" i="22"/>
  <c r="M78" i="23"/>
  <c r="O79" i="23"/>
  <c r="C271" i="22"/>
  <c r="C133" i="23"/>
  <c r="O56" i="23"/>
  <c r="M55" i="23"/>
  <c r="J56" i="23"/>
  <c r="L57" i="23"/>
  <c r="D176" i="23"/>
  <c r="F177" i="23"/>
  <c r="C177" i="23" s="1"/>
  <c r="L290" i="23"/>
  <c r="C86" i="23"/>
  <c r="D78" i="23"/>
  <c r="L207" i="22"/>
  <c r="J198" i="22"/>
  <c r="C133" i="22"/>
  <c r="C87" i="22"/>
  <c r="D55" i="22"/>
  <c r="F56" i="22"/>
  <c r="O176" i="23"/>
  <c r="L289" i="23"/>
  <c r="L133" i="23"/>
  <c r="C195" i="22"/>
  <c r="L79" i="23"/>
  <c r="C79" i="23" s="1"/>
  <c r="J78" i="23"/>
  <c r="L78" i="23" s="1"/>
  <c r="C92" i="23"/>
  <c r="K233" i="22"/>
  <c r="C284" i="22"/>
  <c r="C87" i="23"/>
  <c r="H233" i="22"/>
  <c r="I198" i="22"/>
  <c r="G197" i="22"/>
  <c r="L30" i="22"/>
  <c r="C30" i="22" s="1"/>
  <c r="J24" i="22"/>
  <c r="L24" i="22" s="1"/>
  <c r="G55" i="23"/>
  <c r="I56" i="23"/>
  <c r="C208" i="22"/>
  <c r="O56" i="22"/>
  <c r="M55" i="22"/>
  <c r="C57" i="22"/>
  <c r="D78" i="22"/>
  <c r="F78" i="22" s="1"/>
  <c r="O234" i="22"/>
  <c r="M233" i="22"/>
  <c r="N287" i="22"/>
  <c r="H55" i="23"/>
  <c r="H54" i="23" s="1"/>
  <c r="C199" i="22"/>
  <c r="C187" i="22"/>
  <c r="N78" i="23"/>
  <c r="N287" i="23" s="1"/>
  <c r="C236" i="22"/>
  <c r="C290" i="22"/>
  <c r="C289" i="22" s="1"/>
  <c r="I57" i="23"/>
  <c r="J233" i="22"/>
  <c r="C79" i="22"/>
  <c r="L56" i="22"/>
  <c r="C25" i="23"/>
  <c r="C290" i="23" s="1"/>
  <c r="C289" i="23" s="1"/>
  <c r="C134" i="23"/>
  <c r="E57" i="23"/>
  <c r="F61" i="23"/>
  <c r="C61" i="23" s="1"/>
  <c r="C194" i="22"/>
  <c r="G289" i="23"/>
  <c r="I289" i="23" s="1"/>
  <c r="I290" i="23"/>
  <c r="I86" i="23"/>
  <c r="K24" i="23"/>
  <c r="L24" i="23" s="1"/>
  <c r="C24" i="23" s="1"/>
  <c r="C262" i="22"/>
  <c r="I234" i="22"/>
  <c r="G233" i="22"/>
  <c r="C201" i="22"/>
  <c r="E190" i="22"/>
  <c r="I177" i="22"/>
  <c r="C177" i="22" s="1"/>
  <c r="H176" i="22"/>
  <c r="N55" i="23"/>
  <c r="N54" i="23" s="1"/>
  <c r="O207" i="22"/>
  <c r="M198" i="22"/>
  <c r="O199" i="22"/>
  <c r="F207" i="22"/>
  <c r="C207" i="22" s="1"/>
  <c r="D198" i="22"/>
  <c r="J78" i="22"/>
  <c r="L78" i="22" s="1"/>
  <c r="G56" i="22"/>
  <c r="N53" i="23" l="1"/>
  <c r="N288" i="23"/>
  <c r="L233" i="22"/>
  <c r="J287" i="22"/>
  <c r="L287" i="22" s="1"/>
  <c r="C78" i="22"/>
  <c r="H197" i="22"/>
  <c r="H287" i="22"/>
  <c r="K197" i="22"/>
  <c r="K54" i="22" s="1"/>
  <c r="K287" i="22"/>
  <c r="J287" i="23"/>
  <c r="L287" i="23" s="1"/>
  <c r="M54" i="23"/>
  <c r="O55" i="23"/>
  <c r="G55" i="22"/>
  <c r="I56" i="22"/>
  <c r="C56" i="22" s="1"/>
  <c r="I176" i="22"/>
  <c r="C176" i="22" s="1"/>
  <c r="H55" i="22"/>
  <c r="H54" i="22" s="1"/>
  <c r="I233" i="22"/>
  <c r="G287" i="22"/>
  <c r="I287" i="22" s="1"/>
  <c r="O233" i="22"/>
  <c r="M287" i="22"/>
  <c r="O287" i="22" s="1"/>
  <c r="J197" i="22"/>
  <c r="L198" i="22"/>
  <c r="F176" i="23"/>
  <c r="C176" i="23" s="1"/>
  <c r="D287" i="23"/>
  <c r="O78" i="23"/>
  <c r="M287" i="23"/>
  <c r="O287" i="23" s="1"/>
  <c r="J55" i="22"/>
  <c r="C234" i="22"/>
  <c r="O198" i="22"/>
  <c r="M197" i="22"/>
  <c r="O197" i="22" s="1"/>
  <c r="E56" i="23"/>
  <c r="F57" i="23"/>
  <c r="C57" i="23" s="1"/>
  <c r="M54" i="22"/>
  <c r="O55" i="22"/>
  <c r="G54" i="23"/>
  <c r="I55" i="23"/>
  <c r="I197" i="22"/>
  <c r="F55" i="22"/>
  <c r="E28" i="22"/>
  <c r="E24" i="22" s="1"/>
  <c r="E53" i="22"/>
  <c r="D197" i="22"/>
  <c r="F197" i="22" s="1"/>
  <c r="F198" i="22"/>
  <c r="F190" i="22"/>
  <c r="C190" i="22" s="1"/>
  <c r="E287" i="22"/>
  <c r="H288" i="23"/>
  <c r="H53" i="23"/>
  <c r="F78" i="23"/>
  <c r="D55" i="23"/>
  <c r="J55" i="23"/>
  <c r="L56" i="23"/>
  <c r="F233" i="22"/>
  <c r="D287" i="22"/>
  <c r="F287" i="22" s="1"/>
  <c r="G288" i="23" l="1"/>
  <c r="I288" i="23" s="1"/>
  <c r="I54" i="23"/>
  <c r="G53" i="23"/>
  <c r="I53" i="23" s="1"/>
  <c r="E55" i="23"/>
  <c r="E54" i="23" s="1"/>
  <c r="F56" i="23"/>
  <c r="C56" i="23" s="1"/>
  <c r="C287" i="23" s="1"/>
  <c r="E287" i="23"/>
  <c r="H288" i="22"/>
  <c r="H53" i="22"/>
  <c r="C233" i="22"/>
  <c r="C78" i="23"/>
  <c r="D54" i="22"/>
  <c r="M53" i="23"/>
  <c r="O53" i="23" s="1"/>
  <c r="O54" i="23"/>
  <c r="M288" i="23"/>
  <c r="O288" i="23" s="1"/>
  <c r="D54" i="23"/>
  <c r="F55" i="23"/>
  <c r="C55" i="23" s="1"/>
  <c r="C55" i="22"/>
  <c r="L55" i="22"/>
  <c r="J54" i="22"/>
  <c r="M53" i="22"/>
  <c r="O53" i="22" s="1"/>
  <c r="O54" i="22"/>
  <c r="M288" i="22"/>
  <c r="O288" i="22" s="1"/>
  <c r="L197" i="22"/>
  <c r="C197" i="22" s="1"/>
  <c r="K53" i="22"/>
  <c r="K288" i="22"/>
  <c r="L55" i="23"/>
  <c r="J54" i="23"/>
  <c r="C198" i="22"/>
  <c r="E288" i="22"/>
  <c r="F287" i="23"/>
  <c r="I55" i="22"/>
  <c r="G54" i="22"/>
  <c r="C287" i="22" l="1"/>
  <c r="J53" i="22"/>
  <c r="L53" i="22" s="1"/>
  <c r="L54" i="22"/>
  <c r="J288" i="22"/>
  <c r="L288" i="22" s="1"/>
  <c r="D288" i="23"/>
  <c r="D53" i="23"/>
  <c r="F53" i="23" s="1"/>
  <c r="C53" i="23" s="1"/>
  <c r="F54" i="23"/>
  <c r="D288" i="22"/>
  <c r="F288" i="22" s="1"/>
  <c r="F54" i="22"/>
  <c r="D28" i="22"/>
  <c r="D53" i="22"/>
  <c r="F53" i="22" s="1"/>
  <c r="G288" i="22"/>
  <c r="I288" i="22" s="1"/>
  <c r="I54" i="22"/>
  <c r="G53" i="22"/>
  <c r="I53" i="22" s="1"/>
  <c r="J53" i="23"/>
  <c r="L53" i="23" s="1"/>
  <c r="L54" i="23"/>
  <c r="J288" i="23"/>
  <c r="L288" i="23" s="1"/>
  <c r="E288" i="23"/>
  <c r="E53" i="23"/>
  <c r="C53" i="22" l="1"/>
  <c r="C54" i="23"/>
  <c r="C288" i="22"/>
  <c r="F28" i="22"/>
  <c r="C28" i="22" s="1"/>
  <c r="D24" i="22"/>
  <c r="F24" i="22" s="1"/>
  <c r="C24" i="22" s="1"/>
  <c r="C54" i="22"/>
  <c r="F288" i="23"/>
  <c r="C288" i="23" s="1"/>
  <c r="I189" i="21" l="1"/>
  <c r="H189" i="21"/>
  <c r="G188" i="21"/>
  <c r="F188" i="21"/>
  <c r="F187" i="21" s="1"/>
  <c r="E188" i="21"/>
  <c r="E187" i="21" s="1"/>
  <c r="I187" i="21" s="1"/>
  <c r="D188" i="21"/>
  <c r="H188" i="21" s="1"/>
  <c r="G187" i="21"/>
  <c r="D187" i="21"/>
  <c r="H187" i="21" s="1"/>
  <c r="I186" i="21"/>
  <c r="H186" i="21"/>
  <c r="H185" i="21"/>
  <c r="I184" i="21"/>
  <c r="H184" i="21"/>
  <c r="I183" i="21"/>
  <c r="H183" i="21"/>
  <c r="H182" i="21"/>
  <c r="H181" i="21" s="1"/>
  <c r="I181" i="21"/>
  <c r="G181" i="21"/>
  <c r="F181" i="21"/>
  <c r="E181" i="21"/>
  <c r="D181" i="21"/>
  <c r="I180" i="21"/>
  <c r="H180" i="21"/>
  <c r="I179" i="21"/>
  <c r="H179" i="21"/>
  <c r="G178" i="21"/>
  <c r="F178" i="21"/>
  <c r="E178" i="21"/>
  <c r="I178" i="21" s="1"/>
  <c r="D178" i="21"/>
  <c r="H178" i="21" s="1"/>
  <c r="I177" i="21"/>
  <c r="H177" i="21"/>
  <c r="G176" i="21"/>
  <c r="G173" i="21" s="1"/>
  <c r="F176" i="21"/>
  <c r="E176" i="21"/>
  <c r="I176" i="21" s="1"/>
  <c r="D176" i="21"/>
  <c r="H176" i="21" s="1"/>
  <c r="I175" i="21"/>
  <c r="H175" i="21"/>
  <c r="I174" i="21"/>
  <c r="H174" i="21"/>
  <c r="F173" i="21"/>
  <c r="E173" i="21"/>
  <c r="I173" i="21" s="1"/>
  <c r="I172" i="21"/>
  <c r="H172" i="21"/>
  <c r="I171" i="21"/>
  <c r="H171" i="21"/>
  <c r="I170" i="21"/>
  <c r="H170" i="21"/>
  <c r="G169" i="21"/>
  <c r="F169" i="21"/>
  <c r="E169" i="21"/>
  <c r="I169" i="21" s="1"/>
  <c r="D169" i="21"/>
  <c r="H169" i="21" s="1"/>
  <c r="I168" i="21"/>
  <c r="H168" i="21"/>
  <c r="I167" i="21"/>
  <c r="H167" i="21"/>
  <c r="I166" i="21"/>
  <c r="H166" i="21"/>
  <c r="I165" i="21"/>
  <c r="H165" i="21"/>
  <c r="G164" i="21"/>
  <c r="F164" i="21"/>
  <c r="E164" i="21"/>
  <c r="I164" i="21" s="1"/>
  <c r="D164" i="21"/>
  <c r="H164" i="21" s="1"/>
  <c r="I163" i="21"/>
  <c r="H163" i="21"/>
  <c r="I162" i="21"/>
  <c r="H162" i="21"/>
  <c r="I161" i="21"/>
  <c r="H161" i="21"/>
  <c r="I160" i="21"/>
  <c r="H160" i="21"/>
  <c r="G159" i="21"/>
  <c r="F159" i="21"/>
  <c r="E159" i="21"/>
  <c r="I159" i="21" s="1"/>
  <c r="D159" i="21"/>
  <c r="H159" i="21" s="1"/>
  <c r="I158" i="21"/>
  <c r="H158" i="21"/>
  <c r="I157" i="21"/>
  <c r="H157" i="21"/>
  <c r="I156" i="21"/>
  <c r="H156" i="21"/>
  <c r="I155" i="21"/>
  <c r="H155" i="21"/>
  <c r="I154" i="21"/>
  <c r="H154" i="21"/>
  <c r="I153" i="21"/>
  <c r="H153" i="21"/>
  <c r="I152" i="21"/>
  <c r="H152" i="21"/>
  <c r="G151" i="21"/>
  <c r="F151" i="21"/>
  <c r="F150" i="21" s="1"/>
  <c r="E151" i="21"/>
  <c r="E150" i="21" s="1"/>
  <c r="I150" i="21" s="1"/>
  <c r="D151" i="21"/>
  <c r="H151" i="21" s="1"/>
  <c r="G150" i="21"/>
  <c r="D150" i="21"/>
  <c r="H150" i="21" s="1"/>
  <c r="I149" i="21"/>
  <c r="H149" i="21"/>
  <c r="I148" i="21"/>
  <c r="H148" i="21"/>
  <c r="I147" i="21"/>
  <c r="H147" i="21"/>
  <c r="G146" i="21"/>
  <c r="F146" i="21"/>
  <c r="E146" i="21"/>
  <c r="I146" i="21" s="1"/>
  <c r="D146" i="21"/>
  <c r="H146" i="21" s="1"/>
  <c r="I145" i="21"/>
  <c r="H145" i="21"/>
  <c r="H144" i="21"/>
  <c r="G143" i="21"/>
  <c r="F143" i="21"/>
  <c r="E143" i="21"/>
  <c r="I143" i="21" s="1"/>
  <c r="D143" i="21"/>
  <c r="H143" i="21" s="1"/>
  <c r="I142" i="21"/>
  <c r="H142" i="21"/>
  <c r="I141" i="21"/>
  <c r="H141" i="21"/>
  <c r="I140" i="21"/>
  <c r="H140" i="21"/>
  <c r="G139" i="21"/>
  <c r="F139" i="21"/>
  <c r="E139" i="21"/>
  <c r="I139" i="21" s="1"/>
  <c r="D139" i="21"/>
  <c r="H139" i="21" s="1"/>
  <c r="I138" i="21"/>
  <c r="H138" i="21"/>
  <c r="I137" i="21"/>
  <c r="H137" i="21"/>
  <c r="D137" i="21"/>
  <c r="I136" i="21"/>
  <c r="H136" i="21"/>
  <c r="I135" i="21"/>
  <c r="H135" i="21"/>
  <c r="H134" i="21"/>
  <c r="G133" i="21"/>
  <c r="F133" i="21"/>
  <c r="E133" i="21"/>
  <c r="I133" i="21" s="1"/>
  <c r="D133" i="21"/>
  <c r="H133" i="21" s="1"/>
  <c r="I132" i="21"/>
  <c r="H132" i="21"/>
  <c r="H131" i="21"/>
  <c r="G130" i="21"/>
  <c r="F130" i="21"/>
  <c r="E130" i="21"/>
  <c r="I130" i="21" s="1"/>
  <c r="D130" i="21"/>
  <c r="H130" i="21" s="1"/>
  <c r="I129" i="21"/>
  <c r="H129" i="21"/>
  <c r="I128" i="21"/>
  <c r="H128" i="21"/>
  <c r="G127" i="21"/>
  <c r="F127" i="21"/>
  <c r="E127" i="21"/>
  <c r="I127" i="21" s="1"/>
  <c r="D127" i="21"/>
  <c r="H127" i="21" s="1"/>
  <c r="I126" i="21"/>
  <c r="H126" i="21"/>
  <c r="H125" i="21"/>
  <c r="G124" i="21"/>
  <c r="F124" i="21"/>
  <c r="E124" i="21"/>
  <c r="I124" i="21" s="1"/>
  <c r="D124" i="21"/>
  <c r="H124" i="21" s="1"/>
  <c r="I123" i="21"/>
  <c r="D123" i="21"/>
  <c r="H123" i="21" s="1"/>
  <c r="I122" i="21"/>
  <c r="H122" i="21"/>
  <c r="G121" i="21"/>
  <c r="F121" i="21"/>
  <c r="E121" i="21"/>
  <c r="I121" i="21" s="1"/>
  <c r="D121" i="21"/>
  <c r="H121" i="21" s="1"/>
  <c r="I120" i="21"/>
  <c r="H120" i="21"/>
  <c r="I119" i="21"/>
  <c r="H119" i="21"/>
  <c r="I118" i="21"/>
  <c r="H118" i="21"/>
  <c r="I117" i="21"/>
  <c r="H117" i="21"/>
  <c r="H116" i="21" s="1"/>
  <c r="I116" i="21"/>
  <c r="G116" i="21"/>
  <c r="F116" i="21"/>
  <c r="E116" i="21"/>
  <c r="D116" i="21"/>
  <c r="I115" i="21"/>
  <c r="H115" i="21"/>
  <c r="F114" i="21"/>
  <c r="E114" i="21"/>
  <c r="I114" i="21" s="1"/>
  <c r="D114" i="21"/>
  <c r="H114" i="21" s="1"/>
  <c r="I113" i="21"/>
  <c r="H113" i="21"/>
  <c r="I112" i="21"/>
  <c r="H112" i="21"/>
  <c r="I111" i="21"/>
  <c r="H111" i="21"/>
  <c r="G110" i="21"/>
  <c r="F110" i="21"/>
  <c r="E110" i="21"/>
  <c r="I110" i="21" s="1"/>
  <c r="D110" i="21"/>
  <c r="H110" i="21" s="1"/>
  <c r="I109" i="21"/>
  <c r="H109" i="21"/>
  <c r="I108" i="21"/>
  <c r="H108" i="21"/>
  <c r="G107" i="21"/>
  <c r="F107" i="21"/>
  <c r="E107" i="21"/>
  <c r="I107" i="21" s="1"/>
  <c r="D107" i="21"/>
  <c r="H107" i="21" s="1"/>
  <c r="I106" i="21"/>
  <c r="H106" i="21"/>
  <c r="I105" i="21"/>
  <c r="H105" i="21"/>
  <c r="I104" i="21"/>
  <c r="H104" i="21"/>
  <c r="G103" i="21"/>
  <c r="F103" i="21"/>
  <c r="E103" i="21"/>
  <c r="I103" i="21" s="1"/>
  <c r="D103" i="21"/>
  <c r="H103" i="21" s="1"/>
  <c r="I102" i="21"/>
  <c r="H102" i="21"/>
  <c r="D102" i="21"/>
  <c r="I101" i="21"/>
  <c r="H101" i="21"/>
  <c r="I100" i="21"/>
  <c r="H100" i="21"/>
  <c r="I99" i="21"/>
  <c r="D99" i="21"/>
  <c r="D98" i="21" s="1"/>
  <c r="H98" i="21" s="1"/>
  <c r="G98" i="21"/>
  <c r="F98" i="21"/>
  <c r="E98" i="21"/>
  <c r="I98" i="21" s="1"/>
  <c r="I97" i="21"/>
  <c r="H97" i="21"/>
  <c r="I96" i="21"/>
  <c r="H96" i="21"/>
  <c r="G95" i="21"/>
  <c r="F95" i="21"/>
  <c r="E95" i="21"/>
  <c r="I95" i="21" s="1"/>
  <c r="D95" i="21"/>
  <c r="H95" i="21" s="1"/>
  <c r="I94" i="21"/>
  <c r="H94" i="21"/>
  <c r="I93" i="21"/>
  <c r="H93" i="21"/>
  <c r="I92" i="21"/>
  <c r="H92" i="21"/>
  <c r="I91" i="21"/>
  <c r="H91" i="21"/>
  <c r="G90" i="21"/>
  <c r="F90" i="21"/>
  <c r="E90" i="21"/>
  <c r="I90" i="21" s="1"/>
  <c r="D90" i="21"/>
  <c r="H90" i="21" s="1"/>
  <c r="I89" i="21"/>
  <c r="H89" i="21"/>
  <c r="D89" i="21"/>
  <c r="I88" i="21"/>
  <c r="D88" i="21"/>
  <c r="H88" i="21" s="1"/>
  <c r="I87" i="21"/>
  <c r="D87" i="21"/>
  <c r="H87" i="21" s="1"/>
  <c r="I86" i="21"/>
  <c r="D86" i="21"/>
  <c r="H86" i="21" s="1"/>
  <c r="G85" i="21"/>
  <c r="F85" i="21"/>
  <c r="E85" i="21"/>
  <c r="I85" i="21" s="1"/>
  <c r="D85" i="21"/>
  <c r="H85" i="21" s="1"/>
  <c r="I84" i="21"/>
  <c r="H84" i="21"/>
  <c r="I83" i="21"/>
  <c r="H83" i="21"/>
  <c r="G82" i="21"/>
  <c r="F82" i="21"/>
  <c r="E82" i="21"/>
  <c r="I82" i="21" s="1"/>
  <c r="D82" i="21"/>
  <c r="H82" i="21" s="1"/>
  <c r="I81" i="21"/>
  <c r="H81" i="21"/>
  <c r="I80" i="21"/>
  <c r="H80" i="21"/>
  <c r="I79" i="21"/>
  <c r="H79" i="21"/>
  <c r="G78" i="21"/>
  <c r="F78" i="21"/>
  <c r="E78" i="21"/>
  <c r="I78" i="21" s="1"/>
  <c r="D78" i="21"/>
  <c r="H78" i="21" s="1"/>
  <c r="I77" i="21"/>
  <c r="H77" i="21"/>
  <c r="I76" i="21"/>
  <c r="H76" i="21"/>
  <c r="G75" i="21"/>
  <c r="F75" i="21"/>
  <c r="E75" i="21"/>
  <c r="I75" i="21" s="1"/>
  <c r="D75" i="21"/>
  <c r="H75" i="21" s="1"/>
  <c r="I74" i="21"/>
  <c r="H74" i="21"/>
  <c r="I73" i="21"/>
  <c r="I72" i="21" s="1"/>
  <c r="H73" i="21"/>
  <c r="H72" i="21" s="1"/>
  <c r="G72" i="21"/>
  <c r="F72" i="21"/>
  <c r="E72" i="21"/>
  <c r="D72" i="21"/>
  <c r="I71" i="21"/>
  <c r="H71" i="21"/>
  <c r="I70" i="21"/>
  <c r="H70" i="21"/>
  <c r="G69" i="21"/>
  <c r="F69" i="21"/>
  <c r="E69" i="21"/>
  <c r="I69" i="21" s="1"/>
  <c r="D69" i="21"/>
  <c r="H69" i="21" s="1"/>
  <c r="I68" i="21"/>
  <c r="H68" i="21"/>
  <c r="H67" i="21"/>
  <c r="I66" i="21"/>
  <c r="H66" i="21"/>
  <c r="I65" i="21"/>
  <c r="H65" i="21"/>
  <c r="I64" i="21"/>
  <c r="H64" i="21"/>
  <c r="G63" i="21"/>
  <c r="F63" i="21"/>
  <c r="E63" i="21"/>
  <c r="I63" i="21" s="1"/>
  <c r="D63" i="21"/>
  <c r="H63" i="21" s="1"/>
  <c r="I62" i="21"/>
  <c r="H62" i="21"/>
  <c r="G61" i="21"/>
  <c r="G60" i="21" s="1"/>
  <c r="G12" i="21" s="1"/>
  <c r="F61" i="21"/>
  <c r="E61" i="21"/>
  <c r="I61" i="21" s="1"/>
  <c r="D61" i="21"/>
  <c r="H61" i="21" s="1"/>
  <c r="H60" i="21" s="1"/>
  <c r="F60" i="21"/>
  <c r="E60" i="21"/>
  <c r="I59" i="21"/>
  <c r="H59" i="21"/>
  <c r="I58" i="21"/>
  <c r="H58" i="21"/>
  <c r="I57" i="21"/>
  <c r="H57" i="21"/>
  <c r="G56" i="21"/>
  <c r="F56" i="21"/>
  <c r="E56" i="21"/>
  <c r="I56" i="21" s="1"/>
  <c r="D56" i="21"/>
  <c r="H56" i="21" s="1"/>
  <c r="I55" i="21"/>
  <c r="H55" i="21"/>
  <c r="I54" i="21"/>
  <c r="H54" i="21"/>
  <c r="I53" i="21"/>
  <c r="H53" i="21"/>
  <c r="G52" i="21"/>
  <c r="F52" i="21"/>
  <c r="E52" i="21"/>
  <c r="I52" i="21" s="1"/>
  <c r="D52" i="21"/>
  <c r="H52" i="21" s="1"/>
  <c r="I51" i="21"/>
  <c r="H51" i="21"/>
  <c r="I50" i="21"/>
  <c r="H50" i="21"/>
  <c r="I49" i="21"/>
  <c r="H49" i="21"/>
  <c r="I48" i="21"/>
  <c r="H48" i="21"/>
  <c r="I47" i="21"/>
  <c r="H47" i="21"/>
  <c r="G46" i="21"/>
  <c r="F46" i="21"/>
  <c r="E46" i="21"/>
  <c r="I46" i="21" s="1"/>
  <c r="D46" i="21"/>
  <c r="H46" i="21" s="1"/>
  <c r="I45" i="21"/>
  <c r="H45" i="21"/>
  <c r="I44" i="21"/>
  <c r="H44" i="21"/>
  <c r="I43" i="21"/>
  <c r="H43" i="21"/>
  <c r="I42" i="21"/>
  <c r="H42" i="21"/>
  <c r="I41" i="21"/>
  <c r="H41" i="21"/>
  <c r="G40" i="21"/>
  <c r="F40" i="21"/>
  <c r="E40" i="21"/>
  <c r="I40" i="21" s="1"/>
  <c r="D40" i="21"/>
  <c r="H40" i="21" s="1"/>
  <c r="I39" i="21"/>
  <c r="H39" i="21"/>
  <c r="I38" i="21"/>
  <c r="H38" i="21"/>
  <c r="H37" i="21"/>
  <c r="I36" i="21"/>
  <c r="H36" i="21"/>
  <c r="H35" i="21"/>
  <c r="H34" i="21"/>
  <c r="I33" i="21"/>
  <c r="H33" i="21"/>
  <c r="G32" i="21"/>
  <c r="F32" i="21"/>
  <c r="H32" i="21" s="1"/>
  <c r="E32" i="21"/>
  <c r="I32" i="21" s="1"/>
  <c r="I31" i="21"/>
  <c r="H31" i="21"/>
  <c r="G30" i="21"/>
  <c r="F30" i="21"/>
  <c r="F29" i="21" s="1"/>
  <c r="F12" i="21" s="1"/>
  <c r="E30" i="21"/>
  <c r="E29" i="21" s="1"/>
  <c r="E12" i="21" s="1"/>
  <c r="D30" i="21"/>
  <c r="H30" i="21" s="1"/>
  <c r="G29" i="21"/>
  <c r="D29" i="21"/>
  <c r="I28" i="21"/>
  <c r="H28" i="21"/>
  <c r="I27" i="21"/>
  <c r="H27" i="21"/>
  <c r="I26" i="21"/>
  <c r="H26" i="21"/>
  <c r="I25" i="21"/>
  <c r="H25" i="21"/>
  <c r="I24" i="21"/>
  <c r="H24" i="21"/>
  <c r="I23" i="21"/>
  <c r="D23" i="21"/>
  <c r="H23" i="21" s="1"/>
  <c r="I22" i="21"/>
  <c r="H22" i="21"/>
  <c r="G21" i="21"/>
  <c r="F21" i="21"/>
  <c r="E21" i="21"/>
  <c r="I21" i="21" s="1"/>
  <c r="D21" i="21"/>
  <c r="H21" i="21" s="1"/>
  <c r="I20" i="21"/>
  <c r="H20" i="21"/>
  <c r="I19" i="21"/>
  <c r="H19" i="21"/>
  <c r="I18" i="21"/>
  <c r="H18" i="21"/>
  <c r="I17" i="21"/>
  <c r="H17" i="21"/>
  <c r="I16" i="21"/>
  <c r="H16" i="21"/>
  <c r="I15" i="21"/>
  <c r="H15" i="21"/>
  <c r="I14" i="21"/>
  <c r="H14" i="21"/>
  <c r="G13" i="21"/>
  <c r="F13" i="21"/>
  <c r="E13" i="21"/>
  <c r="I13" i="21" s="1"/>
  <c r="D13" i="21"/>
  <c r="H13" i="21" s="1"/>
  <c r="I45" i="20"/>
  <c r="H45" i="20"/>
  <c r="D45" i="20"/>
  <c r="I44" i="20"/>
  <c r="D44" i="20"/>
  <c r="H44" i="20" s="1"/>
  <c r="I43" i="20"/>
  <c r="H43" i="20"/>
  <c r="I42" i="20"/>
  <c r="H42" i="20"/>
  <c r="D42" i="20"/>
  <c r="I41" i="20"/>
  <c r="D41" i="20"/>
  <c r="H41" i="20" s="1"/>
  <c r="I40" i="20"/>
  <c r="D40" i="20"/>
  <c r="H40" i="20" s="1"/>
  <c r="I39" i="20"/>
  <c r="D39" i="20"/>
  <c r="H39" i="20" s="1"/>
  <c r="I38" i="20"/>
  <c r="H38" i="20"/>
  <c r="I37" i="20"/>
  <c r="D37" i="20"/>
  <c r="H37" i="20" s="1"/>
  <c r="H36" i="20"/>
  <c r="H35" i="20"/>
  <c r="I34" i="20"/>
  <c r="D34" i="20"/>
  <c r="H34" i="20" s="1"/>
  <c r="I33" i="20"/>
  <c r="H33" i="20"/>
  <c r="I32" i="20"/>
  <c r="H32" i="20"/>
  <c r="D32" i="20"/>
  <c r="I31" i="20"/>
  <c r="D31" i="20"/>
  <c r="H31" i="20" s="1"/>
  <c r="I30" i="20"/>
  <c r="D30" i="20"/>
  <c r="H30" i="20" s="1"/>
  <c r="I29" i="20"/>
  <c r="H29" i="20"/>
  <c r="I28" i="20"/>
  <c r="H28" i="20"/>
  <c r="D28" i="20"/>
  <c r="I27" i="20"/>
  <c r="D27" i="20"/>
  <c r="H27" i="20" s="1"/>
  <c r="I26" i="20"/>
  <c r="H26" i="20"/>
  <c r="I25" i="20"/>
  <c r="H25" i="20"/>
  <c r="H24" i="20" s="1"/>
  <c r="D25" i="20"/>
  <c r="I24" i="20"/>
  <c r="G24" i="20"/>
  <c r="F24" i="20"/>
  <c r="E24" i="20"/>
  <c r="D24" i="20"/>
  <c r="H17" i="20"/>
  <c r="H16" i="20"/>
  <c r="H15" i="20"/>
  <c r="H14" i="20" s="1"/>
  <c r="E14" i="20"/>
  <c r="D14" i="20"/>
  <c r="O299" i="19"/>
  <c r="L299" i="19"/>
  <c r="I299" i="19"/>
  <c r="F299" i="19"/>
  <c r="C299" i="19"/>
  <c r="O298" i="19"/>
  <c r="L298" i="19"/>
  <c r="I298" i="19"/>
  <c r="F298" i="19"/>
  <c r="C298" i="19" s="1"/>
  <c r="O297" i="19"/>
  <c r="L297" i="19"/>
  <c r="I297" i="19"/>
  <c r="C297" i="19" s="1"/>
  <c r="F297" i="19"/>
  <c r="O296" i="19"/>
  <c r="L296" i="19"/>
  <c r="I296" i="19"/>
  <c r="F296" i="19"/>
  <c r="C296" i="19" s="1"/>
  <c r="O295" i="19"/>
  <c r="L295" i="19"/>
  <c r="I295" i="19"/>
  <c r="F295" i="19"/>
  <c r="C295" i="19"/>
  <c r="O294" i="19"/>
  <c r="L294" i="19"/>
  <c r="I294" i="19"/>
  <c r="F294" i="19"/>
  <c r="C294" i="19" s="1"/>
  <c r="O293" i="19"/>
  <c r="L293" i="19"/>
  <c r="I293" i="19"/>
  <c r="F293" i="19"/>
  <c r="C293" i="19" s="1"/>
  <c r="O292" i="19"/>
  <c r="L292" i="19"/>
  <c r="I292" i="19"/>
  <c r="F292" i="19"/>
  <c r="C292" i="19" s="1"/>
  <c r="N291" i="19"/>
  <c r="M291" i="19"/>
  <c r="O291" i="19" s="1"/>
  <c r="K291" i="19"/>
  <c r="J291" i="19"/>
  <c r="L291" i="19" s="1"/>
  <c r="H291" i="19"/>
  <c r="G291" i="19"/>
  <c r="I291" i="19" s="1"/>
  <c r="F291" i="19"/>
  <c r="E291" i="19"/>
  <c r="D291" i="19"/>
  <c r="O286" i="19"/>
  <c r="L286" i="19"/>
  <c r="I286" i="19"/>
  <c r="F286" i="19"/>
  <c r="C286" i="19"/>
  <c r="O285" i="19"/>
  <c r="L285" i="19"/>
  <c r="I285" i="19"/>
  <c r="F285" i="19"/>
  <c r="C285" i="19" s="1"/>
  <c r="N284" i="19"/>
  <c r="M284" i="19"/>
  <c r="K284" i="19"/>
  <c r="J284" i="19"/>
  <c r="I284" i="19"/>
  <c r="H284" i="19"/>
  <c r="G284" i="19"/>
  <c r="E284" i="19"/>
  <c r="D284" i="19"/>
  <c r="O283" i="19"/>
  <c r="L283" i="19"/>
  <c r="I283" i="19"/>
  <c r="F283" i="19"/>
  <c r="C283" i="19" s="1"/>
  <c r="N282" i="19"/>
  <c r="M282" i="19"/>
  <c r="O282" i="19" s="1"/>
  <c r="K282" i="19"/>
  <c r="J282" i="19"/>
  <c r="L282" i="19" s="1"/>
  <c r="H282" i="19"/>
  <c r="G282" i="19"/>
  <c r="I282" i="19" s="1"/>
  <c r="F282" i="19"/>
  <c r="E282" i="19"/>
  <c r="D282" i="19"/>
  <c r="O281" i="19"/>
  <c r="L281" i="19"/>
  <c r="I281" i="19"/>
  <c r="F281" i="19"/>
  <c r="C281" i="19"/>
  <c r="O280" i="19"/>
  <c r="L280" i="19"/>
  <c r="I280" i="19"/>
  <c r="F280" i="19"/>
  <c r="C280" i="19" s="1"/>
  <c r="O279" i="19"/>
  <c r="L279" i="19"/>
  <c r="I279" i="19"/>
  <c r="F279" i="19"/>
  <c r="C279" i="19" s="1"/>
  <c r="O278" i="19"/>
  <c r="N278" i="19"/>
  <c r="M278" i="19"/>
  <c r="K278" i="19"/>
  <c r="J278" i="19"/>
  <c r="L278" i="19" s="1"/>
  <c r="I278" i="19"/>
  <c r="H278" i="19"/>
  <c r="G278" i="19"/>
  <c r="F278" i="19"/>
  <c r="C278" i="19" s="1"/>
  <c r="E278" i="19"/>
  <c r="D278" i="19"/>
  <c r="O277" i="19"/>
  <c r="L277" i="19"/>
  <c r="I277" i="19"/>
  <c r="F277" i="19"/>
  <c r="C277" i="19"/>
  <c r="O276" i="19"/>
  <c r="L276" i="19"/>
  <c r="I276" i="19"/>
  <c r="F276" i="19"/>
  <c r="C276" i="19" s="1"/>
  <c r="O275" i="19"/>
  <c r="L275" i="19"/>
  <c r="I275" i="19"/>
  <c r="F275" i="19"/>
  <c r="C275" i="19" s="1"/>
  <c r="N274" i="19"/>
  <c r="N272" i="19" s="1"/>
  <c r="N271" i="19" s="1"/>
  <c r="M274" i="19"/>
  <c r="O274" i="19" s="1"/>
  <c r="K274" i="19"/>
  <c r="J274" i="19"/>
  <c r="L274" i="19" s="1"/>
  <c r="I274" i="19"/>
  <c r="H274" i="19"/>
  <c r="G274" i="19"/>
  <c r="F274" i="19"/>
  <c r="E274" i="19"/>
  <c r="D274" i="19"/>
  <c r="O273" i="19"/>
  <c r="L273" i="19"/>
  <c r="I273" i="19"/>
  <c r="F273" i="19"/>
  <c r="C273" i="19"/>
  <c r="M272" i="19"/>
  <c r="L272" i="19"/>
  <c r="K272" i="19"/>
  <c r="J272" i="19"/>
  <c r="H272" i="19"/>
  <c r="G272" i="19"/>
  <c r="I272" i="19" s="1"/>
  <c r="E272" i="19"/>
  <c r="D272" i="19"/>
  <c r="F272" i="19" s="1"/>
  <c r="M271" i="19"/>
  <c r="K271" i="19"/>
  <c r="J271" i="19"/>
  <c r="L271" i="19" s="1"/>
  <c r="I271" i="19"/>
  <c r="H271" i="19"/>
  <c r="G271" i="19"/>
  <c r="E271" i="19"/>
  <c r="D271" i="19"/>
  <c r="F271" i="19" s="1"/>
  <c r="O270" i="19"/>
  <c r="L270" i="19"/>
  <c r="I270" i="19"/>
  <c r="F270" i="19"/>
  <c r="C270" i="19" s="1"/>
  <c r="O269" i="19"/>
  <c r="L269" i="19"/>
  <c r="I269" i="19"/>
  <c r="F269" i="19"/>
  <c r="C269" i="19"/>
  <c r="O268" i="19"/>
  <c r="L268" i="19"/>
  <c r="I268" i="19"/>
  <c r="F268" i="19"/>
  <c r="C268" i="19" s="1"/>
  <c r="O267" i="19"/>
  <c r="L267" i="19"/>
  <c r="I267" i="19"/>
  <c r="F267" i="19"/>
  <c r="C267" i="19" s="1"/>
  <c r="N266" i="19"/>
  <c r="M266" i="19"/>
  <c r="O266" i="19" s="1"/>
  <c r="K266" i="19"/>
  <c r="J266" i="19"/>
  <c r="L266" i="19" s="1"/>
  <c r="H266" i="19"/>
  <c r="I266" i="19" s="1"/>
  <c r="G266" i="19"/>
  <c r="F266" i="19"/>
  <c r="E266" i="19"/>
  <c r="D266" i="19"/>
  <c r="O265" i="19"/>
  <c r="L265" i="19"/>
  <c r="I265" i="19"/>
  <c r="F265" i="19"/>
  <c r="C265" i="19"/>
  <c r="O264" i="19"/>
  <c r="L264" i="19"/>
  <c r="I264" i="19"/>
  <c r="F264" i="19"/>
  <c r="C264" i="19" s="1"/>
  <c r="O263" i="19"/>
  <c r="L263" i="19"/>
  <c r="I263" i="19"/>
  <c r="F263" i="19"/>
  <c r="C263" i="19" s="1"/>
  <c r="N262" i="19"/>
  <c r="M262" i="19"/>
  <c r="O262" i="19" s="1"/>
  <c r="K262" i="19"/>
  <c r="J262" i="19"/>
  <c r="L262" i="19" s="1"/>
  <c r="I262" i="19"/>
  <c r="H262" i="19"/>
  <c r="G262" i="19"/>
  <c r="F262" i="19"/>
  <c r="C262" i="19" s="1"/>
  <c r="E262" i="19"/>
  <c r="D262" i="19"/>
  <c r="N261" i="19"/>
  <c r="M261" i="19"/>
  <c r="O261" i="19" s="1"/>
  <c r="K261" i="19"/>
  <c r="J261" i="19"/>
  <c r="L261" i="19" s="1"/>
  <c r="H261" i="19"/>
  <c r="G261" i="19"/>
  <c r="I261" i="19" s="1"/>
  <c r="C261" i="19" s="1"/>
  <c r="F261" i="19"/>
  <c r="E261" i="19"/>
  <c r="D261" i="19"/>
  <c r="O260" i="19"/>
  <c r="L260" i="19"/>
  <c r="I260" i="19"/>
  <c r="F260" i="19"/>
  <c r="C260" i="19" s="1"/>
  <c r="O259" i="19"/>
  <c r="L259" i="19"/>
  <c r="I259" i="19"/>
  <c r="F259" i="19"/>
  <c r="C259" i="19" s="1"/>
  <c r="O258" i="19"/>
  <c r="L258" i="19"/>
  <c r="I258" i="19"/>
  <c r="F258" i="19"/>
  <c r="C258" i="19" s="1"/>
  <c r="O257" i="19"/>
  <c r="L257" i="19"/>
  <c r="I257" i="19"/>
  <c r="F257" i="19"/>
  <c r="C257" i="19"/>
  <c r="O256" i="19"/>
  <c r="L256" i="19"/>
  <c r="I256" i="19"/>
  <c r="F256" i="19"/>
  <c r="C256" i="19" s="1"/>
  <c r="N255" i="19"/>
  <c r="M255" i="19"/>
  <c r="O255" i="19" s="1"/>
  <c r="K255" i="19"/>
  <c r="J255" i="19"/>
  <c r="L255" i="19" s="1"/>
  <c r="I255" i="19"/>
  <c r="H255" i="19"/>
  <c r="G255" i="19"/>
  <c r="E255" i="19"/>
  <c r="D255" i="19"/>
  <c r="F255" i="19" s="1"/>
  <c r="N254" i="19"/>
  <c r="M254" i="19"/>
  <c r="O254" i="19" s="1"/>
  <c r="K254" i="19"/>
  <c r="J254" i="19"/>
  <c r="L254" i="19" s="1"/>
  <c r="H254" i="19"/>
  <c r="G254" i="19"/>
  <c r="I254" i="19" s="1"/>
  <c r="E254" i="19"/>
  <c r="D254" i="19"/>
  <c r="F254" i="19" s="1"/>
  <c r="C254" i="19" s="1"/>
  <c r="O253" i="19"/>
  <c r="L253" i="19"/>
  <c r="C253" i="19" s="1"/>
  <c r="I253" i="19"/>
  <c r="F253" i="19"/>
  <c r="O252" i="19"/>
  <c r="L252" i="19"/>
  <c r="I252" i="19"/>
  <c r="F252" i="19"/>
  <c r="C252" i="19"/>
  <c r="O251" i="19"/>
  <c r="L251" i="19"/>
  <c r="I251" i="19"/>
  <c r="F251" i="19"/>
  <c r="C251" i="19" s="1"/>
  <c r="O250" i="19"/>
  <c r="L250" i="19"/>
  <c r="I250" i="19"/>
  <c r="F250" i="19"/>
  <c r="C250" i="19" s="1"/>
  <c r="N249" i="19"/>
  <c r="O249" i="19" s="1"/>
  <c r="M249" i="19"/>
  <c r="K249" i="19"/>
  <c r="J249" i="19"/>
  <c r="L249" i="19" s="1"/>
  <c r="H249" i="19"/>
  <c r="G249" i="19"/>
  <c r="I249" i="19" s="1"/>
  <c r="F249" i="19"/>
  <c r="E249" i="19"/>
  <c r="D249" i="19"/>
  <c r="O248" i="19"/>
  <c r="L248" i="19"/>
  <c r="I248" i="19"/>
  <c r="F248" i="19"/>
  <c r="C248" i="19"/>
  <c r="O247" i="19"/>
  <c r="L247" i="19"/>
  <c r="I247" i="19"/>
  <c r="F247" i="19"/>
  <c r="C247" i="19" s="1"/>
  <c r="O246" i="19"/>
  <c r="L246" i="19"/>
  <c r="I246" i="19"/>
  <c r="F246" i="19"/>
  <c r="C246" i="19"/>
  <c r="O245" i="19"/>
  <c r="L245" i="19"/>
  <c r="I245" i="19"/>
  <c r="F245" i="19"/>
  <c r="C245" i="19" s="1"/>
  <c r="O244" i="19"/>
  <c r="L244" i="19"/>
  <c r="I244" i="19"/>
  <c r="F244" i="19"/>
  <c r="C244" i="19"/>
  <c r="O243" i="19"/>
  <c r="L243" i="19"/>
  <c r="I243" i="19"/>
  <c r="F243" i="19"/>
  <c r="C243" i="19" s="1"/>
  <c r="O242" i="19"/>
  <c r="L242" i="19"/>
  <c r="I242" i="19"/>
  <c r="C242" i="19" s="1"/>
  <c r="F242" i="19"/>
  <c r="N241" i="19"/>
  <c r="O241" i="19" s="1"/>
  <c r="M241" i="19"/>
  <c r="K241" i="19"/>
  <c r="J241" i="19"/>
  <c r="L241" i="19" s="1"/>
  <c r="H241" i="19"/>
  <c r="G241" i="19"/>
  <c r="I241" i="19" s="1"/>
  <c r="E241" i="19"/>
  <c r="D241" i="19"/>
  <c r="F241" i="19" s="1"/>
  <c r="O240" i="19"/>
  <c r="L240" i="19"/>
  <c r="I240" i="19"/>
  <c r="C240" i="19" s="1"/>
  <c r="F240" i="19"/>
  <c r="O239" i="19"/>
  <c r="L239" i="19"/>
  <c r="I239" i="19"/>
  <c r="F239" i="19"/>
  <c r="C239" i="19" s="1"/>
  <c r="N238" i="19"/>
  <c r="M238" i="19"/>
  <c r="O238" i="19" s="1"/>
  <c r="K238" i="19"/>
  <c r="J238" i="19"/>
  <c r="L238" i="19" s="1"/>
  <c r="H238" i="19"/>
  <c r="G238" i="19"/>
  <c r="I238" i="19" s="1"/>
  <c r="E238" i="19"/>
  <c r="F238" i="19" s="1"/>
  <c r="D238" i="19"/>
  <c r="O237" i="19"/>
  <c r="L237" i="19"/>
  <c r="I237" i="19"/>
  <c r="F237" i="19"/>
  <c r="C237" i="19" s="1"/>
  <c r="N236" i="19"/>
  <c r="M236" i="19"/>
  <c r="O236" i="19" s="1"/>
  <c r="K236" i="19"/>
  <c r="L236" i="19" s="1"/>
  <c r="J236" i="19"/>
  <c r="I236" i="19"/>
  <c r="H236" i="19"/>
  <c r="G236" i="19"/>
  <c r="E236" i="19"/>
  <c r="D236" i="19"/>
  <c r="F236" i="19" s="1"/>
  <c r="O235" i="19"/>
  <c r="L235" i="19"/>
  <c r="I235" i="19"/>
  <c r="F235" i="19"/>
  <c r="C235" i="19" s="1"/>
  <c r="N234" i="19"/>
  <c r="M234" i="19"/>
  <c r="O234" i="19" s="1"/>
  <c r="K234" i="19"/>
  <c r="J234" i="19"/>
  <c r="L234" i="19" s="1"/>
  <c r="H234" i="19"/>
  <c r="G234" i="19"/>
  <c r="I234" i="19" s="1"/>
  <c r="E234" i="19"/>
  <c r="D234" i="19"/>
  <c r="F234" i="19" s="1"/>
  <c r="N233" i="19"/>
  <c r="M233" i="19"/>
  <c r="O233" i="19" s="1"/>
  <c r="K233" i="19"/>
  <c r="J233" i="19"/>
  <c r="L233" i="19" s="1"/>
  <c r="H233" i="19"/>
  <c r="G233" i="19"/>
  <c r="I233" i="19" s="1"/>
  <c r="E233" i="19"/>
  <c r="D233" i="19"/>
  <c r="F233" i="19" s="1"/>
  <c r="O232" i="19"/>
  <c r="L232" i="19"/>
  <c r="I232" i="19"/>
  <c r="F232" i="19"/>
  <c r="C232" i="19" s="1"/>
  <c r="O231" i="19"/>
  <c r="L231" i="19"/>
  <c r="I231" i="19"/>
  <c r="F231" i="19"/>
  <c r="C231" i="19"/>
  <c r="N230" i="19"/>
  <c r="O230" i="19" s="1"/>
  <c r="M230" i="19"/>
  <c r="K230" i="19"/>
  <c r="J230" i="19"/>
  <c r="L230" i="19" s="1"/>
  <c r="H230" i="19"/>
  <c r="G230" i="19"/>
  <c r="I230" i="19" s="1"/>
  <c r="E230" i="19"/>
  <c r="D230" i="19"/>
  <c r="F230" i="19" s="1"/>
  <c r="C230" i="19" s="1"/>
  <c r="O229" i="19"/>
  <c r="L229" i="19"/>
  <c r="I229" i="19"/>
  <c r="F229" i="19"/>
  <c r="C229" i="19" s="1"/>
  <c r="O228" i="19"/>
  <c r="L228" i="19"/>
  <c r="I228" i="19"/>
  <c r="F228" i="19"/>
  <c r="C228" i="19" s="1"/>
  <c r="O227" i="19"/>
  <c r="L227" i="19"/>
  <c r="I227" i="19"/>
  <c r="F227" i="19"/>
  <c r="C227" i="19"/>
  <c r="O226" i="19"/>
  <c r="L226" i="19"/>
  <c r="I226" i="19"/>
  <c r="F226" i="19"/>
  <c r="C226" i="19" s="1"/>
  <c r="O225" i="19"/>
  <c r="L225" i="19"/>
  <c r="I225" i="19"/>
  <c r="F225" i="19"/>
  <c r="C225" i="19" s="1"/>
  <c r="O224" i="19"/>
  <c r="L224" i="19"/>
  <c r="I224" i="19"/>
  <c r="F224" i="19"/>
  <c r="C224" i="19" s="1"/>
  <c r="O223" i="19"/>
  <c r="L223" i="19"/>
  <c r="I223" i="19"/>
  <c r="F223" i="19"/>
  <c r="C223" i="19"/>
  <c r="O222" i="19"/>
  <c r="L222" i="19"/>
  <c r="I222" i="19"/>
  <c r="F222" i="19"/>
  <c r="C222" i="19" s="1"/>
  <c r="O221" i="19"/>
  <c r="L221" i="19"/>
  <c r="I221" i="19"/>
  <c r="F221" i="19"/>
  <c r="C221" i="19" s="1"/>
  <c r="O220" i="19"/>
  <c r="L220" i="19"/>
  <c r="I220" i="19"/>
  <c r="F220" i="19"/>
  <c r="C220" i="19" s="1"/>
  <c r="N219" i="19"/>
  <c r="O219" i="19" s="1"/>
  <c r="M219" i="19"/>
  <c r="K219" i="19"/>
  <c r="J219" i="19"/>
  <c r="L219" i="19" s="1"/>
  <c r="H219" i="19"/>
  <c r="G219" i="19"/>
  <c r="I219" i="19" s="1"/>
  <c r="E219" i="19"/>
  <c r="D219" i="19"/>
  <c r="F219" i="19" s="1"/>
  <c r="O218" i="19"/>
  <c r="L218" i="19"/>
  <c r="I218" i="19"/>
  <c r="F218" i="19"/>
  <c r="C218" i="19" s="1"/>
  <c r="O217" i="19"/>
  <c r="L217" i="19"/>
  <c r="I217" i="19"/>
  <c r="F217" i="19"/>
  <c r="C217" i="19"/>
  <c r="O216" i="19"/>
  <c r="L216" i="19"/>
  <c r="I216" i="19"/>
  <c r="F216" i="19"/>
  <c r="C216" i="19" s="1"/>
  <c r="O215" i="19"/>
  <c r="L215" i="19"/>
  <c r="I215" i="19"/>
  <c r="F215" i="19"/>
  <c r="C215" i="19"/>
  <c r="O214" i="19"/>
  <c r="L214" i="19"/>
  <c r="I214" i="19"/>
  <c r="F214" i="19"/>
  <c r="C214" i="19" s="1"/>
  <c r="O213" i="19"/>
  <c r="L213" i="19"/>
  <c r="I213" i="19"/>
  <c r="C213" i="19" s="1"/>
  <c r="F213" i="19"/>
  <c r="O212" i="19"/>
  <c r="L212" i="19"/>
  <c r="I212" i="19"/>
  <c r="F212" i="19"/>
  <c r="C212" i="19" s="1"/>
  <c r="O211" i="19"/>
  <c r="L211" i="19"/>
  <c r="I211" i="19"/>
  <c r="F211" i="19"/>
  <c r="C211" i="19"/>
  <c r="O210" i="19"/>
  <c r="L210" i="19"/>
  <c r="I210" i="19"/>
  <c r="F210" i="19"/>
  <c r="C210" i="19" s="1"/>
  <c r="O209" i="19"/>
  <c r="L209" i="19"/>
  <c r="I209" i="19"/>
  <c r="F209" i="19"/>
  <c r="C209" i="19" s="1"/>
  <c r="N208" i="19"/>
  <c r="N207" i="19" s="1"/>
  <c r="M208" i="19"/>
  <c r="O208" i="19" s="1"/>
  <c r="K208" i="19"/>
  <c r="J208" i="19"/>
  <c r="J207" i="19" s="1"/>
  <c r="L207" i="19" s="1"/>
  <c r="I208" i="19"/>
  <c r="H208" i="19"/>
  <c r="G208" i="19"/>
  <c r="F208" i="19"/>
  <c r="E208" i="19"/>
  <c r="E207" i="19" s="1"/>
  <c r="F207" i="19" s="1"/>
  <c r="D208" i="19"/>
  <c r="K207" i="19"/>
  <c r="H207" i="19"/>
  <c r="G207" i="19"/>
  <c r="I207" i="19" s="1"/>
  <c r="D207" i="19"/>
  <c r="O206" i="19"/>
  <c r="L206" i="19"/>
  <c r="I206" i="19"/>
  <c r="F206" i="19"/>
  <c r="C206" i="19" s="1"/>
  <c r="O205" i="19"/>
  <c r="L205" i="19"/>
  <c r="I205" i="19"/>
  <c r="F205" i="19"/>
  <c r="C205" i="19" s="1"/>
  <c r="O204" i="19"/>
  <c r="L204" i="19"/>
  <c r="I204" i="19"/>
  <c r="C204" i="19" s="1"/>
  <c r="F204" i="19"/>
  <c r="O203" i="19"/>
  <c r="L203" i="19"/>
  <c r="I203" i="19"/>
  <c r="F203" i="19"/>
  <c r="C203" i="19"/>
  <c r="O202" i="19"/>
  <c r="L202" i="19"/>
  <c r="I202" i="19"/>
  <c r="F202" i="19"/>
  <c r="C202" i="19" s="1"/>
  <c r="N201" i="19"/>
  <c r="M201" i="19"/>
  <c r="O201" i="19" s="1"/>
  <c r="L201" i="19"/>
  <c r="K201" i="19"/>
  <c r="J201" i="19"/>
  <c r="I201" i="19"/>
  <c r="H201" i="19"/>
  <c r="H199" i="19" s="1"/>
  <c r="H198" i="19" s="1"/>
  <c r="H197" i="19" s="1"/>
  <c r="G201" i="19"/>
  <c r="E201" i="19"/>
  <c r="E199" i="19" s="1"/>
  <c r="E198" i="19" s="1"/>
  <c r="E197" i="19" s="1"/>
  <c r="D201" i="19"/>
  <c r="F201" i="19" s="1"/>
  <c r="C201" i="19" s="1"/>
  <c r="O200" i="19"/>
  <c r="L200" i="19"/>
  <c r="I200" i="19"/>
  <c r="C200" i="19" s="1"/>
  <c r="F200" i="19"/>
  <c r="N199" i="19"/>
  <c r="N198" i="19" s="1"/>
  <c r="N197" i="19" s="1"/>
  <c r="K199" i="19"/>
  <c r="K198" i="19" s="1"/>
  <c r="K197" i="19" s="1"/>
  <c r="J199" i="19"/>
  <c r="L199" i="19" s="1"/>
  <c r="G199" i="19"/>
  <c r="G198" i="19" s="1"/>
  <c r="O196" i="19"/>
  <c r="L196" i="19"/>
  <c r="I196" i="19"/>
  <c r="C196" i="19" s="1"/>
  <c r="F196" i="19"/>
  <c r="O195" i="19"/>
  <c r="N195" i="19"/>
  <c r="N194" i="19" s="1"/>
  <c r="O194" i="19" s="1"/>
  <c r="M195" i="19"/>
  <c r="K195" i="19"/>
  <c r="K194" i="19" s="1"/>
  <c r="K190" i="19" s="1"/>
  <c r="J195" i="19"/>
  <c r="L195" i="19" s="1"/>
  <c r="H195" i="19"/>
  <c r="G195" i="19"/>
  <c r="G194" i="19" s="1"/>
  <c r="F195" i="19"/>
  <c r="E195" i="19"/>
  <c r="D195" i="19"/>
  <c r="M194" i="19"/>
  <c r="H194" i="19"/>
  <c r="E194" i="19"/>
  <c r="D194" i="19"/>
  <c r="F194" i="19" s="1"/>
  <c r="O193" i="19"/>
  <c r="L193" i="19"/>
  <c r="I193" i="19"/>
  <c r="F193" i="19"/>
  <c r="C193" i="19" s="1"/>
  <c r="O192" i="19"/>
  <c r="L192" i="19"/>
  <c r="I192" i="19"/>
  <c r="C192" i="19" s="1"/>
  <c r="F192" i="19"/>
  <c r="O191" i="19"/>
  <c r="N191" i="19"/>
  <c r="M191" i="19"/>
  <c r="K191" i="19"/>
  <c r="J191" i="19"/>
  <c r="L191" i="19" s="1"/>
  <c r="H191" i="19"/>
  <c r="G191" i="19"/>
  <c r="I191" i="19" s="1"/>
  <c r="F191" i="19"/>
  <c r="E191" i="19"/>
  <c r="D191" i="19"/>
  <c r="M190" i="19"/>
  <c r="H190" i="19"/>
  <c r="E190" i="19"/>
  <c r="D190" i="19"/>
  <c r="F190" i="19" s="1"/>
  <c r="O189" i="19"/>
  <c r="L189" i="19"/>
  <c r="I189" i="19"/>
  <c r="F189" i="19"/>
  <c r="C189" i="19" s="1"/>
  <c r="O188" i="19"/>
  <c r="L188" i="19"/>
  <c r="I188" i="19"/>
  <c r="C188" i="19" s="1"/>
  <c r="F188" i="19"/>
  <c r="O187" i="19"/>
  <c r="N187" i="19"/>
  <c r="M187" i="19"/>
  <c r="K187" i="19"/>
  <c r="J187" i="19"/>
  <c r="L187" i="19" s="1"/>
  <c r="H187" i="19"/>
  <c r="G187" i="19"/>
  <c r="I187" i="19" s="1"/>
  <c r="C187" i="19" s="1"/>
  <c r="F187" i="19"/>
  <c r="E187" i="19"/>
  <c r="D187" i="19"/>
  <c r="O186" i="19"/>
  <c r="L186" i="19"/>
  <c r="I186" i="19"/>
  <c r="F186" i="19"/>
  <c r="C186" i="19" s="1"/>
  <c r="O185" i="19"/>
  <c r="L185" i="19"/>
  <c r="I185" i="19"/>
  <c r="F185" i="19"/>
  <c r="C185" i="19" s="1"/>
  <c r="O184" i="19"/>
  <c r="L184" i="19"/>
  <c r="I184" i="19"/>
  <c r="C184" i="19" s="1"/>
  <c r="F184" i="19"/>
  <c r="O183" i="19"/>
  <c r="L183" i="19"/>
  <c r="I183" i="19"/>
  <c r="F183" i="19"/>
  <c r="C183" i="19"/>
  <c r="O182" i="19"/>
  <c r="N182" i="19"/>
  <c r="M182" i="19"/>
  <c r="L182" i="19"/>
  <c r="K182" i="19"/>
  <c r="J182" i="19"/>
  <c r="H182" i="19"/>
  <c r="G182" i="19"/>
  <c r="I182" i="19" s="1"/>
  <c r="E182" i="19"/>
  <c r="D182" i="19"/>
  <c r="F182" i="19" s="1"/>
  <c r="O181" i="19"/>
  <c r="L181" i="19"/>
  <c r="I181" i="19"/>
  <c r="F181" i="19"/>
  <c r="C181" i="19" s="1"/>
  <c r="O180" i="19"/>
  <c r="L180" i="19"/>
  <c r="I180" i="19"/>
  <c r="C180" i="19" s="1"/>
  <c r="F180" i="19"/>
  <c r="O179" i="19"/>
  <c r="L179" i="19"/>
  <c r="I179" i="19"/>
  <c r="F179" i="19"/>
  <c r="C179" i="19"/>
  <c r="O178" i="19"/>
  <c r="N178" i="19"/>
  <c r="M178" i="19"/>
  <c r="L178" i="19"/>
  <c r="K178" i="19"/>
  <c r="K177" i="19" s="1"/>
  <c r="J178" i="19"/>
  <c r="H178" i="19"/>
  <c r="G178" i="19"/>
  <c r="I178" i="19" s="1"/>
  <c r="E178" i="19"/>
  <c r="D178" i="19"/>
  <c r="F178" i="19" s="1"/>
  <c r="N177" i="19"/>
  <c r="M177" i="19"/>
  <c r="O177" i="19" s="1"/>
  <c r="J177" i="19"/>
  <c r="H177" i="19"/>
  <c r="H176" i="19" s="1"/>
  <c r="E177" i="19"/>
  <c r="D177" i="19"/>
  <c r="F177" i="19" s="1"/>
  <c r="N176" i="19"/>
  <c r="M176" i="19"/>
  <c r="O176" i="19" s="1"/>
  <c r="J176" i="19"/>
  <c r="E176" i="19"/>
  <c r="O175" i="19"/>
  <c r="L175" i="19"/>
  <c r="I175" i="19"/>
  <c r="F175" i="19"/>
  <c r="C175" i="19"/>
  <c r="O174" i="19"/>
  <c r="L174" i="19"/>
  <c r="I174" i="19"/>
  <c r="F174" i="19"/>
  <c r="C174" i="19" s="1"/>
  <c r="O173" i="19"/>
  <c r="L173" i="19"/>
  <c r="I173" i="19"/>
  <c r="F173" i="19"/>
  <c r="C173" i="19" s="1"/>
  <c r="O172" i="19"/>
  <c r="L172" i="19"/>
  <c r="I172" i="19"/>
  <c r="C172" i="19" s="1"/>
  <c r="F172" i="19"/>
  <c r="O171" i="19"/>
  <c r="L171" i="19"/>
  <c r="I171" i="19"/>
  <c r="F171" i="19"/>
  <c r="C171" i="19"/>
  <c r="O170" i="19"/>
  <c r="L170" i="19"/>
  <c r="I170" i="19"/>
  <c r="F170" i="19"/>
  <c r="C170" i="19" s="1"/>
  <c r="N169" i="19"/>
  <c r="M169" i="19"/>
  <c r="M168" i="19" s="1"/>
  <c r="O168" i="19" s="1"/>
  <c r="L169" i="19"/>
  <c r="K169" i="19"/>
  <c r="J169" i="19"/>
  <c r="I169" i="19"/>
  <c r="H169" i="19"/>
  <c r="H168" i="19" s="1"/>
  <c r="I168" i="19" s="1"/>
  <c r="G169" i="19"/>
  <c r="E169" i="19"/>
  <c r="E168" i="19" s="1"/>
  <c r="D169" i="19"/>
  <c r="F169" i="19" s="1"/>
  <c r="N168" i="19"/>
  <c r="K168" i="19"/>
  <c r="J168" i="19"/>
  <c r="L168" i="19" s="1"/>
  <c r="G168" i="19"/>
  <c r="O167" i="19"/>
  <c r="L167" i="19"/>
  <c r="I167" i="19"/>
  <c r="F167" i="19"/>
  <c r="C167" i="19"/>
  <c r="O166" i="19"/>
  <c r="L166" i="19"/>
  <c r="I166" i="19"/>
  <c r="F166" i="19"/>
  <c r="C166" i="19" s="1"/>
  <c r="O165" i="19"/>
  <c r="L165" i="19"/>
  <c r="I165" i="19"/>
  <c r="F165" i="19"/>
  <c r="C165" i="19" s="1"/>
  <c r="O164" i="19"/>
  <c r="L164" i="19"/>
  <c r="I164" i="19"/>
  <c r="C164" i="19" s="1"/>
  <c r="F164" i="19"/>
  <c r="O163" i="19"/>
  <c r="N163" i="19"/>
  <c r="M163" i="19"/>
  <c r="K163" i="19"/>
  <c r="J163" i="19"/>
  <c r="L163" i="19" s="1"/>
  <c r="H163" i="19"/>
  <c r="G163" i="19"/>
  <c r="I163" i="19" s="1"/>
  <c r="C163" i="19" s="1"/>
  <c r="F163" i="19"/>
  <c r="E163" i="19"/>
  <c r="D163" i="19"/>
  <c r="O162" i="19"/>
  <c r="L162" i="19"/>
  <c r="I162" i="19"/>
  <c r="F162" i="19"/>
  <c r="C162" i="19" s="1"/>
  <c r="O161" i="19"/>
  <c r="L161" i="19"/>
  <c r="I161" i="19"/>
  <c r="F161" i="19"/>
  <c r="C161" i="19" s="1"/>
  <c r="O160" i="19"/>
  <c r="L160" i="19"/>
  <c r="I160" i="19"/>
  <c r="C160" i="19" s="1"/>
  <c r="F160" i="19"/>
  <c r="O159" i="19"/>
  <c r="L159" i="19"/>
  <c r="I159" i="19"/>
  <c r="F159" i="19"/>
  <c r="C159" i="19"/>
  <c r="O158" i="19"/>
  <c r="L158" i="19"/>
  <c r="I158" i="19"/>
  <c r="F158" i="19"/>
  <c r="C158" i="19" s="1"/>
  <c r="O157" i="19"/>
  <c r="L157" i="19"/>
  <c r="I157" i="19"/>
  <c r="F157" i="19"/>
  <c r="C157" i="19" s="1"/>
  <c r="O156" i="19"/>
  <c r="L156" i="19"/>
  <c r="I156" i="19"/>
  <c r="C156" i="19" s="1"/>
  <c r="F156" i="19"/>
  <c r="O155" i="19"/>
  <c r="L155" i="19"/>
  <c r="I155" i="19"/>
  <c r="F155" i="19"/>
  <c r="C155" i="19"/>
  <c r="O154" i="19"/>
  <c r="N154" i="19"/>
  <c r="M154" i="19"/>
  <c r="L154" i="19"/>
  <c r="K154" i="19"/>
  <c r="J154" i="19"/>
  <c r="H154" i="19"/>
  <c r="H133" i="19" s="1"/>
  <c r="H78" i="19" s="1"/>
  <c r="G154" i="19"/>
  <c r="I154" i="19" s="1"/>
  <c r="C154" i="19" s="1"/>
  <c r="E154" i="19"/>
  <c r="D154" i="19"/>
  <c r="F154" i="19" s="1"/>
  <c r="O153" i="19"/>
  <c r="L153" i="19"/>
  <c r="I153" i="19"/>
  <c r="F153" i="19"/>
  <c r="C153" i="19" s="1"/>
  <c r="O152" i="19"/>
  <c r="L152" i="19"/>
  <c r="I152" i="19"/>
  <c r="C152" i="19" s="1"/>
  <c r="F152" i="19"/>
  <c r="O151" i="19"/>
  <c r="L151" i="19"/>
  <c r="I151" i="19"/>
  <c r="F151" i="19"/>
  <c r="C151" i="19"/>
  <c r="O150" i="19"/>
  <c r="L150" i="19"/>
  <c r="I150" i="19"/>
  <c r="F150" i="19"/>
  <c r="C150" i="19" s="1"/>
  <c r="O149" i="19"/>
  <c r="L149" i="19"/>
  <c r="I149" i="19"/>
  <c r="F149" i="19"/>
  <c r="O148" i="19"/>
  <c r="L148" i="19"/>
  <c r="I148" i="19"/>
  <c r="C148" i="19" s="1"/>
  <c r="F148" i="19"/>
  <c r="N147" i="19"/>
  <c r="O147" i="19" s="1"/>
  <c r="C147" i="19" s="1"/>
  <c r="M147" i="19"/>
  <c r="K147" i="19"/>
  <c r="J147" i="19"/>
  <c r="L147" i="19" s="1"/>
  <c r="H147" i="19"/>
  <c r="G147" i="19"/>
  <c r="I147" i="19" s="1"/>
  <c r="F147" i="19"/>
  <c r="E147" i="19"/>
  <c r="D147" i="19"/>
  <c r="O146" i="19"/>
  <c r="L146" i="19"/>
  <c r="I146" i="19"/>
  <c r="F146" i="19"/>
  <c r="C146" i="19" s="1"/>
  <c r="O145" i="19"/>
  <c r="L145" i="19"/>
  <c r="I145" i="19"/>
  <c r="F145" i="19"/>
  <c r="N144" i="19"/>
  <c r="M144" i="19"/>
  <c r="O144" i="19" s="1"/>
  <c r="K144" i="19"/>
  <c r="J144" i="19"/>
  <c r="L144" i="19" s="1"/>
  <c r="I144" i="19"/>
  <c r="H144" i="19"/>
  <c r="G144" i="19"/>
  <c r="E144" i="19"/>
  <c r="F144" i="19" s="1"/>
  <c r="C144" i="19" s="1"/>
  <c r="D144" i="19"/>
  <c r="O143" i="19"/>
  <c r="L143" i="19"/>
  <c r="I143" i="19"/>
  <c r="F143" i="19"/>
  <c r="C143" i="19"/>
  <c r="O142" i="19"/>
  <c r="L142" i="19"/>
  <c r="I142" i="19"/>
  <c r="F142" i="19"/>
  <c r="C142" i="19" s="1"/>
  <c r="O141" i="19"/>
  <c r="L141" i="19"/>
  <c r="I141" i="19"/>
  <c r="F141" i="19"/>
  <c r="O140" i="19"/>
  <c r="L140" i="19"/>
  <c r="I140" i="19"/>
  <c r="C140" i="19" s="1"/>
  <c r="F140" i="19"/>
  <c r="N139" i="19"/>
  <c r="N133" i="19" s="1"/>
  <c r="M139" i="19"/>
  <c r="K139" i="19"/>
  <c r="J139" i="19"/>
  <c r="H139" i="19"/>
  <c r="G139" i="19"/>
  <c r="I139" i="19" s="1"/>
  <c r="F139" i="19"/>
  <c r="E139" i="19"/>
  <c r="D139" i="19"/>
  <c r="O138" i="19"/>
  <c r="L138" i="19"/>
  <c r="I138" i="19"/>
  <c r="F138" i="19"/>
  <c r="C138" i="19" s="1"/>
  <c r="O137" i="19"/>
  <c r="L137" i="19"/>
  <c r="I137" i="19"/>
  <c r="F137" i="19"/>
  <c r="O136" i="19"/>
  <c r="L136" i="19"/>
  <c r="I136" i="19"/>
  <c r="C136" i="19" s="1"/>
  <c r="F136" i="19"/>
  <c r="O135" i="19"/>
  <c r="L135" i="19"/>
  <c r="C135" i="19" s="1"/>
  <c r="I135" i="19"/>
  <c r="F135" i="19"/>
  <c r="O134" i="19"/>
  <c r="N134" i="19"/>
  <c r="M134" i="19"/>
  <c r="K134" i="19"/>
  <c r="K133" i="19" s="1"/>
  <c r="J134" i="19"/>
  <c r="H134" i="19"/>
  <c r="G134" i="19"/>
  <c r="E134" i="19"/>
  <c r="D134" i="19"/>
  <c r="F134" i="19" s="1"/>
  <c r="E133" i="19"/>
  <c r="O132" i="19"/>
  <c r="L132" i="19"/>
  <c r="I132" i="19"/>
  <c r="C132" i="19" s="1"/>
  <c r="F132" i="19"/>
  <c r="O131" i="19"/>
  <c r="N131" i="19"/>
  <c r="M131" i="19"/>
  <c r="K131" i="19"/>
  <c r="J131" i="19"/>
  <c r="L131" i="19" s="1"/>
  <c r="H131" i="19"/>
  <c r="G131" i="19"/>
  <c r="I131" i="19" s="1"/>
  <c r="F131" i="19"/>
  <c r="C131" i="19" s="1"/>
  <c r="E131" i="19"/>
  <c r="D131" i="19"/>
  <c r="O130" i="19"/>
  <c r="L130" i="19"/>
  <c r="I130" i="19"/>
  <c r="F130" i="19"/>
  <c r="C130" i="19"/>
  <c r="O129" i="19"/>
  <c r="L129" i="19"/>
  <c r="I129" i="19"/>
  <c r="F129" i="19"/>
  <c r="C129" i="19" s="1"/>
  <c r="O128" i="19"/>
  <c r="L128" i="19"/>
  <c r="I128" i="19"/>
  <c r="C128" i="19" s="1"/>
  <c r="F128" i="19"/>
  <c r="O127" i="19"/>
  <c r="L127" i="19"/>
  <c r="I127" i="19"/>
  <c r="F127" i="19"/>
  <c r="C127" i="19"/>
  <c r="O126" i="19"/>
  <c r="L126" i="19"/>
  <c r="I126" i="19"/>
  <c r="F126" i="19"/>
  <c r="C126" i="19" s="1"/>
  <c r="N125" i="19"/>
  <c r="M125" i="19"/>
  <c r="O125" i="19" s="1"/>
  <c r="L125" i="19"/>
  <c r="K125" i="19"/>
  <c r="J125" i="19"/>
  <c r="H125" i="19"/>
  <c r="I125" i="19" s="1"/>
  <c r="G125" i="19"/>
  <c r="E125" i="19"/>
  <c r="D125" i="19"/>
  <c r="F125" i="19" s="1"/>
  <c r="O124" i="19"/>
  <c r="L124" i="19"/>
  <c r="I124" i="19"/>
  <c r="C124" i="19" s="1"/>
  <c r="F124" i="19"/>
  <c r="O123" i="19"/>
  <c r="L123" i="19"/>
  <c r="I123" i="19"/>
  <c r="F123" i="19"/>
  <c r="C123" i="19"/>
  <c r="O122" i="19"/>
  <c r="L122" i="19"/>
  <c r="I122" i="19"/>
  <c r="F122" i="19"/>
  <c r="C122" i="19" s="1"/>
  <c r="O121" i="19"/>
  <c r="L121" i="19"/>
  <c r="I121" i="19"/>
  <c r="F121" i="19"/>
  <c r="O120" i="19"/>
  <c r="L120" i="19"/>
  <c r="I120" i="19"/>
  <c r="C120" i="19" s="1"/>
  <c r="F120" i="19"/>
  <c r="N119" i="19"/>
  <c r="O119" i="19" s="1"/>
  <c r="C119" i="19" s="1"/>
  <c r="M119" i="19"/>
  <c r="K119" i="19"/>
  <c r="J119" i="19"/>
  <c r="L119" i="19" s="1"/>
  <c r="H119" i="19"/>
  <c r="G119" i="19"/>
  <c r="I119" i="19" s="1"/>
  <c r="F119" i="19"/>
  <c r="E119" i="19"/>
  <c r="D119" i="19"/>
  <c r="O118" i="19"/>
  <c r="L118" i="19"/>
  <c r="I118" i="19"/>
  <c r="F118" i="19"/>
  <c r="C118" i="19" s="1"/>
  <c r="O117" i="19"/>
  <c r="L117" i="19"/>
  <c r="I117" i="19"/>
  <c r="F117" i="19"/>
  <c r="O116" i="19"/>
  <c r="L116" i="19"/>
  <c r="I116" i="19"/>
  <c r="C116" i="19" s="1"/>
  <c r="F116" i="19"/>
  <c r="N115" i="19"/>
  <c r="O115" i="19" s="1"/>
  <c r="C115" i="19" s="1"/>
  <c r="M115" i="19"/>
  <c r="K115" i="19"/>
  <c r="J115" i="19"/>
  <c r="L115" i="19" s="1"/>
  <c r="H115" i="19"/>
  <c r="G115" i="19"/>
  <c r="I115" i="19" s="1"/>
  <c r="F115" i="19"/>
  <c r="E115" i="19"/>
  <c r="D115" i="19"/>
  <c r="O114" i="19"/>
  <c r="L114" i="19"/>
  <c r="I114" i="19"/>
  <c r="F114" i="19"/>
  <c r="C114" i="19" s="1"/>
  <c r="O113" i="19"/>
  <c r="L113" i="19"/>
  <c r="I113" i="19"/>
  <c r="F113" i="19"/>
  <c r="O112" i="19"/>
  <c r="L112" i="19"/>
  <c r="I112" i="19"/>
  <c r="C112" i="19" s="1"/>
  <c r="F112" i="19"/>
  <c r="O111" i="19"/>
  <c r="L111" i="19"/>
  <c r="C111" i="19" s="1"/>
  <c r="I111" i="19"/>
  <c r="F111" i="19"/>
  <c r="O110" i="19"/>
  <c r="L110" i="19"/>
  <c r="I110" i="19"/>
  <c r="F110" i="19"/>
  <c r="C110" i="19"/>
  <c r="O109" i="19"/>
  <c r="L109" i="19"/>
  <c r="I109" i="19"/>
  <c r="F109" i="19"/>
  <c r="C109" i="19" s="1"/>
  <c r="O108" i="19"/>
  <c r="L108" i="19"/>
  <c r="I108" i="19"/>
  <c r="C108" i="19" s="1"/>
  <c r="F108" i="19"/>
  <c r="O107" i="19"/>
  <c r="L107" i="19"/>
  <c r="C107" i="19" s="1"/>
  <c r="I107" i="19"/>
  <c r="F107" i="19"/>
  <c r="O106" i="19"/>
  <c r="N106" i="19"/>
  <c r="M106" i="19"/>
  <c r="K106" i="19"/>
  <c r="L106" i="19" s="1"/>
  <c r="J106" i="19"/>
  <c r="H106" i="19"/>
  <c r="G106" i="19"/>
  <c r="I106" i="19" s="1"/>
  <c r="E106" i="19"/>
  <c r="D106" i="19"/>
  <c r="O105" i="19"/>
  <c r="L105" i="19"/>
  <c r="I105" i="19"/>
  <c r="F105" i="19"/>
  <c r="O104" i="19"/>
  <c r="L104" i="19"/>
  <c r="C104" i="19" s="1"/>
  <c r="I104" i="19"/>
  <c r="F104" i="19"/>
  <c r="O103" i="19"/>
  <c r="L103" i="19"/>
  <c r="I103" i="19"/>
  <c r="F103" i="19"/>
  <c r="C103" i="19"/>
  <c r="O102" i="19"/>
  <c r="L102" i="19"/>
  <c r="I102" i="19"/>
  <c r="F102" i="19"/>
  <c r="C102" i="19" s="1"/>
  <c r="O101" i="19"/>
  <c r="L101" i="19"/>
  <c r="I101" i="19"/>
  <c r="F101" i="19"/>
  <c r="O100" i="19"/>
  <c r="L100" i="19"/>
  <c r="I100" i="19"/>
  <c r="C100" i="19" s="1"/>
  <c r="F100" i="19"/>
  <c r="O99" i="19"/>
  <c r="L99" i="19"/>
  <c r="C99" i="19" s="1"/>
  <c r="I99" i="19"/>
  <c r="F99" i="19"/>
  <c r="O98" i="19"/>
  <c r="N98" i="19"/>
  <c r="M98" i="19"/>
  <c r="K98" i="19"/>
  <c r="L98" i="19" s="1"/>
  <c r="J98" i="19"/>
  <c r="H98" i="19"/>
  <c r="G98" i="19"/>
  <c r="I98" i="19" s="1"/>
  <c r="E98" i="19"/>
  <c r="D98" i="19"/>
  <c r="F98" i="19" s="1"/>
  <c r="O97" i="19"/>
  <c r="L97" i="19"/>
  <c r="I97" i="19"/>
  <c r="F97" i="19"/>
  <c r="C97" i="19" s="1"/>
  <c r="O96" i="19"/>
  <c r="L96" i="19"/>
  <c r="I96" i="19"/>
  <c r="C96" i="19" s="1"/>
  <c r="F96" i="19"/>
  <c r="O95" i="19"/>
  <c r="L95" i="19"/>
  <c r="C95" i="19" s="1"/>
  <c r="I95" i="19"/>
  <c r="F95" i="19"/>
  <c r="O94" i="19"/>
  <c r="L94" i="19"/>
  <c r="I94" i="19"/>
  <c r="F94" i="19"/>
  <c r="C94" i="19"/>
  <c r="O93" i="19"/>
  <c r="L93" i="19"/>
  <c r="I93" i="19"/>
  <c r="F93" i="19"/>
  <c r="C93" i="19" s="1"/>
  <c r="N92" i="19"/>
  <c r="M92" i="19"/>
  <c r="O92" i="19" s="1"/>
  <c r="K92" i="19"/>
  <c r="J92" i="19"/>
  <c r="L92" i="19" s="1"/>
  <c r="I92" i="19"/>
  <c r="H92" i="19"/>
  <c r="G92" i="19"/>
  <c r="E92" i="19"/>
  <c r="E86" i="19" s="1"/>
  <c r="D92" i="19"/>
  <c r="O91" i="19"/>
  <c r="L91" i="19"/>
  <c r="C91" i="19" s="1"/>
  <c r="I91" i="19"/>
  <c r="F91" i="19"/>
  <c r="O90" i="19"/>
  <c r="L90" i="19"/>
  <c r="I90" i="19"/>
  <c r="F90" i="19"/>
  <c r="C90" i="19"/>
  <c r="O89" i="19"/>
  <c r="L89" i="19"/>
  <c r="I89" i="19"/>
  <c r="F89" i="19"/>
  <c r="C89" i="19" s="1"/>
  <c r="O88" i="19"/>
  <c r="L88" i="19"/>
  <c r="I88" i="19"/>
  <c r="C88" i="19" s="1"/>
  <c r="F88" i="19"/>
  <c r="N87" i="19"/>
  <c r="O87" i="19" s="1"/>
  <c r="M87" i="19"/>
  <c r="K87" i="19"/>
  <c r="J87" i="19"/>
  <c r="L87" i="19" s="1"/>
  <c r="H87" i="19"/>
  <c r="G87" i="19"/>
  <c r="I87" i="19" s="1"/>
  <c r="F87" i="19"/>
  <c r="E87" i="19"/>
  <c r="D87" i="19"/>
  <c r="K86" i="19"/>
  <c r="H86" i="19"/>
  <c r="G86" i="19"/>
  <c r="I86" i="19" s="1"/>
  <c r="D86" i="19"/>
  <c r="O85" i="19"/>
  <c r="L85" i="19"/>
  <c r="I85" i="19"/>
  <c r="F85" i="19"/>
  <c r="C85" i="19" s="1"/>
  <c r="O84" i="19"/>
  <c r="L84" i="19"/>
  <c r="I84" i="19"/>
  <c r="C84" i="19" s="1"/>
  <c r="F84" i="19"/>
  <c r="N83" i="19"/>
  <c r="O83" i="19" s="1"/>
  <c r="M83" i="19"/>
  <c r="K83" i="19"/>
  <c r="J83" i="19"/>
  <c r="L83" i="19" s="1"/>
  <c r="H83" i="19"/>
  <c r="G83" i="19"/>
  <c r="I83" i="19" s="1"/>
  <c r="F83" i="19"/>
  <c r="C83" i="19" s="1"/>
  <c r="E83" i="19"/>
  <c r="D83" i="19"/>
  <c r="O82" i="19"/>
  <c r="L82" i="19"/>
  <c r="I82" i="19"/>
  <c r="F82" i="19"/>
  <c r="C82" i="19"/>
  <c r="O81" i="19"/>
  <c r="L81" i="19"/>
  <c r="I81" i="19"/>
  <c r="F81" i="19"/>
  <c r="C81" i="19" s="1"/>
  <c r="N80" i="19"/>
  <c r="M80" i="19"/>
  <c r="O80" i="19" s="1"/>
  <c r="K80" i="19"/>
  <c r="J80" i="19"/>
  <c r="L80" i="19" s="1"/>
  <c r="I80" i="19"/>
  <c r="H80" i="19"/>
  <c r="G80" i="19"/>
  <c r="E80" i="19"/>
  <c r="F80" i="19" s="1"/>
  <c r="C80" i="19" s="1"/>
  <c r="D80" i="19"/>
  <c r="N79" i="19"/>
  <c r="K79" i="19"/>
  <c r="J79" i="19"/>
  <c r="L79" i="19" s="1"/>
  <c r="H79" i="19"/>
  <c r="G79" i="19"/>
  <c r="I79" i="19" s="1"/>
  <c r="D79" i="19"/>
  <c r="K78" i="19"/>
  <c r="O77" i="19"/>
  <c r="L77" i="19"/>
  <c r="I77" i="19"/>
  <c r="F77" i="19"/>
  <c r="C77" i="19" s="1"/>
  <c r="O76" i="19"/>
  <c r="L76" i="19"/>
  <c r="I76" i="19"/>
  <c r="C76" i="19" s="1"/>
  <c r="F76" i="19"/>
  <c r="O75" i="19"/>
  <c r="L75" i="19"/>
  <c r="C75" i="19" s="1"/>
  <c r="I75" i="19"/>
  <c r="F75" i="19"/>
  <c r="O74" i="19"/>
  <c r="L74" i="19"/>
  <c r="I74" i="19"/>
  <c r="F74" i="19"/>
  <c r="C74" i="19"/>
  <c r="O73" i="19"/>
  <c r="L73" i="19"/>
  <c r="I73" i="19"/>
  <c r="F73" i="19"/>
  <c r="C73" i="19" s="1"/>
  <c r="N72" i="19"/>
  <c r="N70" i="19" s="1"/>
  <c r="N56" i="19" s="1"/>
  <c r="M72" i="19"/>
  <c r="O72" i="19" s="1"/>
  <c r="K72" i="19"/>
  <c r="J72" i="19"/>
  <c r="L72" i="19" s="1"/>
  <c r="I72" i="19"/>
  <c r="H72" i="19"/>
  <c r="G72" i="19"/>
  <c r="E72" i="19"/>
  <c r="E70" i="19" s="1"/>
  <c r="E56" i="19" s="1"/>
  <c r="D72" i="19"/>
  <c r="O71" i="19"/>
  <c r="L71" i="19"/>
  <c r="C71" i="19" s="1"/>
  <c r="I71" i="19"/>
  <c r="F71" i="19"/>
  <c r="K70" i="19"/>
  <c r="H70" i="19"/>
  <c r="G70" i="19"/>
  <c r="I70" i="19" s="1"/>
  <c r="D70" i="19"/>
  <c r="O69" i="19"/>
  <c r="L69" i="19"/>
  <c r="I69" i="19"/>
  <c r="F69" i="19"/>
  <c r="C69" i="19" s="1"/>
  <c r="O68" i="19"/>
  <c r="L68" i="19"/>
  <c r="I68" i="19"/>
  <c r="C68" i="19" s="1"/>
  <c r="F68" i="19"/>
  <c r="O67" i="19"/>
  <c r="L67" i="19"/>
  <c r="C67" i="19" s="1"/>
  <c r="I67" i="19"/>
  <c r="F67" i="19"/>
  <c r="O66" i="19"/>
  <c r="L66" i="19"/>
  <c r="I66" i="19"/>
  <c r="F66" i="19"/>
  <c r="C66" i="19"/>
  <c r="O65" i="19"/>
  <c r="L65" i="19"/>
  <c r="I65" i="19"/>
  <c r="F65" i="19"/>
  <c r="C65" i="19" s="1"/>
  <c r="O64" i="19"/>
  <c r="L64" i="19"/>
  <c r="I64" i="19"/>
  <c r="C64" i="19" s="1"/>
  <c r="F64" i="19"/>
  <c r="O63" i="19"/>
  <c r="L63" i="19"/>
  <c r="C63" i="19" s="1"/>
  <c r="I63" i="19"/>
  <c r="F63" i="19"/>
  <c r="O62" i="19"/>
  <c r="L62" i="19"/>
  <c r="I62" i="19"/>
  <c r="F62" i="19"/>
  <c r="C62" i="19"/>
  <c r="N61" i="19"/>
  <c r="M61" i="19"/>
  <c r="O61" i="19" s="1"/>
  <c r="L61" i="19"/>
  <c r="K61" i="19"/>
  <c r="J61" i="19"/>
  <c r="H61" i="19"/>
  <c r="I61" i="19" s="1"/>
  <c r="G61" i="19"/>
  <c r="E61" i="19"/>
  <c r="D61" i="19"/>
  <c r="F61" i="19" s="1"/>
  <c r="C61" i="19" s="1"/>
  <c r="O60" i="19"/>
  <c r="L60" i="19"/>
  <c r="I60" i="19"/>
  <c r="C60" i="19" s="1"/>
  <c r="F60" i="19"/>
  <c r="O59" i="19"/>
  <c r="L59" i="19"/>
  <c r="C59" i="19" s="1"/>
  <c r="I59" i="19"/>
  <c r="F59" i="19"/>
  <c r="O58" i="19"/>
  <c r="N58" i="19"/>
  <c r="M58" i="19"/>
  <c r="K58" i="19"/>
  <c r="L58" i="19" s="1"/>
  <c r="J58" i="19"/>
  <c r="H58" i="19"/>
  <c r="G58" i="19"/>
  <c r="I58" i="19" s="1"/>
  <c r="E58" i="19"/>
  <c r="D58" i="19"/>
  <c r="F58" i="19" s="1"/>
  <c r="N57" i="19"/>
  <c r="M57" i="19"/>
  <c r="O57" i="19" s="1"/>
  <c r="J57" i="19"/>
  <c r="H57" i="19"/>
  <c r="H56" i="19" s="1"/>
  <c r="E57" i="19"/>
  <c r="D57" i="19"/>
  <c r="F57" i="19" s="1"/>
  <c r="O50" i="19"/>
  <c r="C50" i="19"/>
  <c r="O49" i="19"/>
  <c r="C49" i="19" s="1"/>
  <c r="N48" i="19"/>
  <c r="M48" i="19"/>
  <c r="L47" i="19"/>
  <c r="I47" i="19"/>
  <c r="F47" i="19"/>
  <c r="C47" i="19" s="1"/>
  <c r="K46" i="19"/>
  <c r="J46" i="19"/>
  <c r="L46" i="19" s="1"/>
  <c r="H46" i="19"/>
  <c r="G46" i="19"/>
  <c r="G24" i="19" s="1"/>
  <c r="F46" i="19"/>
  <c r="E46" i="19"/>
  <c r="D46" i="19"/>
  <c r="F45" i="19"/>
  <c r="C45" i="19" s="1"/>
  <c r="L44" i="19"/>
  <c r="C44" i="19"/>
  <c r="L43" i="19"/>
  <c r="C43" i="19" s="1"/>
  <c r="L42" i="19"/>
  <c r="C42" i="19"/>
  <c r="L41" i="19"/>
  <c r="C41" i="19" s="1"/>
  <c r="K40" i="19"/>
  <c r="J40" i="19"/>
  <c r="L40" i="19" s="1"/>
  <c r="C40" i="19" s="1"/>
  <c r="L39" i="19"/>
  <c r="C39" i="19"/>
  <c r="L38" i="19"/>
  <c r="C38" i="19" s="1"/>
  <c r="K37" i="19"/>
  <c r="J37" i="19"/>
  <c r="L37" i="19" s="1"/>
  <c r="C37" i="19" s="1"/>
  <c r="L36" i="19"/>
  <c r="C36" i="19"/>
  <c r="L35" i="19"/>
  <c r="C35" i="19" s="1"/>
  <c r="K35" i="19"/>
  <c r="J35" i="19"/>
  <c r="L34" i="19"/>
  <c r="C34" i="19" s="1"/>
  <c r="L33" i="19"/>
  <c r="C33" i="19"/>
  <c r="L32" i="19"/>
  <c r="C32" i="19" s="1"/>
  <c r="K31" i="19"/>
  <c r="J31" i="19"/>
  <c r="L31" i="19" s="1"/>
  <c r="C31" i="19" s="1"/>
  <c r="K30" i="19"/>
  <c r="J30" i="19"/>
  <c r="F29" i="19"/>
  <c r="C29" i="19"/>
  <c r="I28" i="19"/>
  <c r="C28" i="19" s="1"/>
  <c r="F28" i="19"/>
  <c r="O27" i="19"/>
  <c r="L27" i="19"/>
  <c r="C27" i="19" s="1"/>
  <c r="I27" i="19"/>
  <c r="F27" i="19"/>
  <c r="O26" i="19"/>
  <c r="L26" i="19"/>
  <c r="I26" i="19"/>
  <c r="F26" i="19"/>
  <c r="C26" i="19"/>
  <c r="N25" i="19"/>
  <c r="N290" i="19" s="1"/>
  <c r="N289" i="19" s="1"/>
  <c r="M25" i="19"/>
  <c r="M290" i="19" s="1"/>
  <c r="L25" i="19"/>
  <c r="K25" i="19"/>
  <c r="K290" i="19" s="1"/>
  <c r="K289" i="19" s="1"/>
  <c r="J25" i="19"/>
  <c r="J290" i="19" s="1"/>
  <c r="H25" i="19"/>
  <c r="H290" i="19" s="1"/>
  <c r="H289" i="19" s="1"/>
  <c r="G25" i="19"/>
  <c r="G290" i="19" s="1"/>
  <c r="E25" i="19"/>
  <c r="E290" i="19" s="1"/>
  <c r="E289" i="19" s="1"/>
  <c r="D25" i="19"/>
  <c r="D290" i="19" s="1"/>
  <c r="N24" i="19"/>
  <c r="M24" i="19"/>
  <c r="O24" i="19" s="1"/>
  <c r="E24" i="19"/>
  <c r="O299" i="18"/>
  <c r="L299" i="18"/>
  <c r="C299" i="18" s="1"/>
  <c r="I299" i="18"/>
  <c r="F299" i="18"/>
  <c r="O298" i="18"/>
  <c r="L298" i="18"/>
  <c r="I298" i="18"/>
  <c r="F298" i="18"/>
  <c r="C298" i="18"/>
  <c r="O297" i="18"/>
  <c r="L297" i="18"/>
  <c r="I297" i="18"/>
  <c r="F297" i="18"/>
  <c r="C297" i="18" s="1"/>
  <c r="O296" i="18"/>
  <c r="L296" i="18"/>
  <c r="I296" i="18"/>
  <c r="C296" i="18" s="1"/>
  <c r="F296" i="18"/>
  <c r="O295" i="18"/>
  <c r="L295" i="18"/>
  <c r="C295" i="18" s="1"/>
  <c r="I295" i="18"/>
  <c r="F295" i="18"/>
  <c r="O294" i="18"/>
  <c r="L294" i="18"/>
  <c r="I294" i="18"/>
  <c r="F294" i="18"/>
  <c r="C294" i="18"/>
  <c r="O293" i="18"/>
  <c r="L293" i="18"/>
  <c r="I293" i="18"/>
  <c r="F293" i="18"/>
  <c r="C293" i="18" s="1"/>
  <c r="O292" i="18"/>
  <c r="L292" i="18"/>
  <c r="I292" i="18"/>
  <c r="C292" i="18" s="1"/>
  <c r="F292" i="18"/>
  <c r="N291" i="18"/>
  <c r="O291" i="18" s="1"/>
  <c r="M291" i="18"/>
  <c r="K291" i="18"/>
  <c r="J291" i="18"/>
  <c r="L291" i="18" s="1"/>
  <c r="H291" i="18"/>
  <c r="G291" i="18"/>
  <c r="I291" i="18" s="1"/>
  <c r="F291" i="18"/>
  <c r="E291" i="18"/>
  <c r="D291" i="18"/>
  <c r="O286" i="18"/>
  <c r="L286" i="18"/>
  <c r="I286" i="18"/>
  <c r="F286" i="18"/>
  <c r="C286" i="18"/>
  <c r="O285" i="18"/>
  <c r="L285" i="18"/>
  <c r="I285" i="18"/>
  <c r="F285" i="18"/>
  <c r="C285" i="18" s="1"/>
  <c r="N284" i="18"/>
  <c r="M284" i="18"/>
  <c r="K284" i="18"/>
  <c r="J284" i="18"/>
  <c r="L284" i="18" s="1"/>
  <c r="I284" i="18"/>
  <c r="H284" i="18"/>
  <c r="G284" i="18"/>
  <c r="E284" i="18"/>
  <c r="D284" i="18"/>
  <c r="O283" i="18"/>
  <c r="L283" i="18"/>
  <c r="C283" i="18" s="1"/>
  <c r="I283" i="18"/>
  <c r="F283" i="18"/>
  <c r="O282" i="18"/>
  <c r="N282" i="18"/>
  <c r="M282" i="18"/>
  <c r="K282" i="18"/>
  <c r="L282" i="18" s="1"/>
  <c r="J282" i="18"/>
  <c r="H282" i="18"/>
  <c r="G282" i="18"/>
  <c r="I282" i="18" s="1"/>
  <c r="E282" i="18"/>
  <c r="D282" i="18"/>
  <c r="F282" i="18" s="1"/>
  <c r="C282" i="18" s="1"/>
  <c r="O281" i="18"/>
  <c r="L281" i="18"/>
  <c r="I281" i="18"/>
  <c r="F281" i="18"/>
  <c r="C281" i="18" s="1"/>
  <c r="O280" i="18"/>
  <c r="L280" i="18"/>
  <c r="I280" i="18"/>
  <c r="C280" i="18" s="1"/>
  <c r="F280" i="18"/>
  <c r="O279" i="18"/>
  <c r="L279" i="18"/>
  <c r="C279" i="18" s="1"/>
  <c r="I279" i="18"/>
  <c r="F279" i="18"/>
  <c r="O278" i="18"/>
  <c r="N278" i="18"/>
  <c r="M278" i="18"/>
  <c r="K278" i="18"/>
  <c r="L278" i="18" s="1"/>
  <c r="J278" i="18"/>
  <c r="H278" i="18"/>
  <c r="G278" i="18"/>
  <c r="I278" i="18" s="1"/>
  <c r="C278" i="18" s="1"/>
  <c r="E278" i="18"/>
  <c r="D278" i="18"/>
  <c r="F278" i="18" s="1"/>
  <c r="O277" i="18"/>
  <c r="L277" i="18"/>
  <c r="I277" i="18"/>
  <c r="F277" i="18"/>
  <c r="C277" i="18" s="1"/>
  <c r="O276" i="18"/>
  <c r="L276" i="18"/>
  <c r="I276" i="18"/>
  <c r="C276" i="18" s="1"/>
  <c r="F276" i="18"/>
  <c r="O275" i="18"/>
  <c r="L275" i="18"/>
  <c r="I275" i="18"/>
  <c r="F275" i="18"/>
  <c r="C275" i="18"/>
  <c r="O274" i="18"/>
  <c r="N274" i="18"/>
  <c r="M274" i="18"/>
  <c r="L274" i="18"/>
  <c r="K274" i="18"/>
  <c r="K272" i="18" s="1"/>
  <c r="J274" i="18"/>
  <c r="H274" i="18"/>
  <c r="H272" i="18" s="1"/>
  <c r="H271" i="18" s="1"/>
  <c r="G274" i="18"/>
  <c r="E274" i="18"/>
  <c r="D274" i="18"/>
  <c r="O273" i="18"/>
  <c r="L273" i="18"/>
  <c r="I273" i="18"/>
  <c r="F273" i="18"/>
  <c r="C273" i="18" s="1"/>
  <c r="N272" i="18"/>
  <c r="N271" i="18" s="1"/>
  <c r="M272" i="18"/>
  <c r="J272" i="18"/>
  <c r="L272" i="18" s="1"/>
  <c r="E272" i="18"/>
  <c r="E271" i="18" s="1"/>
  <c r="K271" i="18"/>
  <c r="O270" i="18"/>
  <c r="L270" i="18"/>
  <c r="I270" i="18"/>
  <c r="F270" i="18"/>
  <c r="C270" i="18" s="1"/>
  <c r="O269" i="18"/>
  <c r="L269" i="18"/>
  <c r="I269" i="18"/>
  <c r="F269" i="18"/>
  <c r="O268" i="18"/>
  <c r="L268" i="18"/>
  <c r="I268" i="18"/>
  <c r="C268" i="18" s="1"/>
  <c r="F268" i="18"/>
  <c r="O267" i="18"/>
  <c r="L267" i="18"/>
  <c r="C267" i="18" s="1"/>
  <c r="I267" i="18"/>
  <c r="F267" i="18"/>
  <c r="O266" i="18"/>
  <c r="N266" i="18"/>
  <c r="M266" i="18"/>
  <c r="K266" i="18"/>
  <c r="L266" i="18" s="1"/>
  <c r="J266" i="18"/>
  <c r="H266" i="18"/>
  <c r="G266" i="18"/>
  <c r="I266" i="18" s="1"/>
  <c r="E266" i="18"/>
  <c r="D266" i="18"/>
  <c r="F266" i="18" s="1"/>
  <c r="C266" i="18" s="1"/>
  <c r="O265" i="18"/>
  <c r="L265" i="18"/>
  <c r="I265" i="18"/>
  <c r="F265" i="18"/>
  <c r="O264" i="18"/>
  <c r="L264" i="18"/>
  <c r="I264" i="18"/>
  <c r="C264" i="18" s="1"/>
  <c r="F264" i="18"/>
  <c r="O263" i="18"/>
  <c r="L263" i="18"/>
  <c r="C263" i="18" s="1"/>
  <c r="I263" i="18"/>
  <c r="F263" i="18"/>
  <c r="O262" i="18"/>
  <c r="N262" i="18"/>
  <c r="M262" i="18"/>
  <c r="K262" i="18"/>
  <c r="K261" i="18" s="1"/>
  <c r="J262" i="18"/>
  <c r="H262" i="18"/>
  <c r="G262" i="18"/>
  <c r="E262" i="18"/>
  <c r="D262" i="18"/>
  <c r="F262" i="18" s="1"/>
  <c r="N261" i="18"/>
  <c r="M261" i="18"/>
  <c r="O261" i="18" s="1"/>
  <c r="L261" i="18"/>
  <c r="J261" i="18"/>
  <c r="H261" i="18"/>
  <c r="E261" i="18"/>
  <c r="O260" i="18"/>
  <c r="L260" i="18"/>
  <c r="I260" i="18"/>
  <c r="C260" i="18" s="1"/>
  <c r="F260" i="18"/>
  <c r="O259" i="18"/>
  <c r="L259" i="18"/>
  <c r="C259" i="18" s="1"/>
  <c r="I259" i="18"/>
  <c r="F259" i="18"/>
  <c r="O258" i="18"/>
  <c r="L258" i="18"/>
  <c r="I258" i="18"/>
  <c r="F258" i="18"/>
  <c r="C258" i="18"/>
  <c r="O257" i="18"/>
  <c r="L257" i="18"/>
  <c r="I257" i="18"/>
  <c r="F257" i="18"/>
  <c r="C257" i="18" s="1"/>
  <c r="O256" i="18"/>
  <c r="L256" i="18"/>
  <c r="I256" i="18"/>
  <c r="C256" i="18" s="1"/>
  <c r="F256" i="18"/>
  <c r="O255" i="18"/>
  <c r="N255" i="18"/>
  <c r="N254" i="18" s="1"/>
  <c r="M255" i="18"/>
  <c r="K255" i="18"/>
  <c r="K254" i="18" s="1"/>
  <c r="J255" i="18"/>
  <c r="H255" i="18"/>
  <c r="G255" i="18"/>
  <c r="I255" i="18" s="1"/>
  <c r="F255" i="18"/>
  <c r="E255" i="18"/>
  <c r="D255" i="18"/>
  <c r="O254" i="18"/>
  <c r="M254" i="18"/>
  <c r="H254" i="18"/>
  <c r="G254" i="18"/>
  <c r="I254" i="18" s="1"/>
  <c r="E254" i="18"/>
  <c r="D254" i="18"/>
  <c r="F254" i="18" s="1"/>
  <c r="O253" i="18"/>
  <c r="L253" i="18"/>
  <c r="I253" i="18"/>
  <c r="F253" i="18"/>
  <c r="C253" i="18" s="1"/>
  <c r="O252" i="18"/>
  <c r="L252" i="18"/>
  <c r="I252" i="18"/>
  <c r="C252" i="18" s="1"/>
  <c r="F252" i="18"/>
  <c r="O251" i="18"/>
  <c r="L251" i="18"/>
  <c r="I251" i="18"/>
  <c r="F251" i="18"/>
  <c r="C251" i="18"/>
  <c r="O250" i="18"/>
  <c r="L250" i="18"/>
  <c r="I250" i="18"/>
  <c r="F250" i="18"/>
  <c r="C250" i="18" s="1"/>
  <c r="N249" i="18"/>
  <c r="M249" i="18"/>
  <c r="O249" i="18" s="1"/>
  <c r="L249" i="18"/>
  <c r="K249" i="18"/>
  <c r="J249" i="18"/>
  <c r="H249" i="18"/>
  <c r="I249" i="18" s="1"/>
  <c r="G249" i="18"/>
  <c r="E249" i="18"/>
  <c r="D249" i="18"/>
  <c r="F249" i="18" s="1"/>
  <c r="O248" i="18"/>
  <c r="L248" i="18"/>
  <c r="I248" i="18"/>
  <c r="C248" i="18" s="1"/>
  <c r="F248" i="18"/>
  <c r="O247" i="18"/>
  <c r="L247" i="18"/>
  <c r="I247" i="18"/>
  <c r="F247" i="18"/>
  <c r="C247" i="18"/>
  <c r="O246" i="18"/>
  <c r="L246" i="18"/>
  <c r="I246" i="18"/>
  <c r="F246" i="18"/>
  <c r="C246" i="18" s="1"/>
  <c r="O245" i="18"/>
  <c r="L245" i="18"/>
  <c r="I245" i="18"/>
  <c r="F245" i="18"/>
  <c r="O244" i="18"/>
  <c r="L244" i="18"/>
  <c r="I244" i="18"/>
  <c r="C244" i="18" s="1"/>
  <c r="F244" i="18"/>
  <c r="O243" i="18"/>
  <c r="L243" i="18"/>
  <c r="C243" i="18" s="1"/>
  <c r="I243" i="18"/>
  <c r="F243" i="18"/>
  <c r="O242" i="18"/>
  <c r="L242" i="18"/>
  <c r="I242" i="18"/>
  <c r="F242" i="18"/>
  <c r="C242" i="18"/>
  <c r="N241" i="18"/>
  <c r="M241" i="18"/>
  <c r="O241" i="18" s="1"/>
  <c r="L241" i="18"/>
  <c r="K241" i="18"/>
  <c r="J241" i="18"/>
  <c r="H241" i="18"/>
  <c r="I241" i="18" s="1"/>
  <c r="G241" i="18"/>
  <c r="E241" i="18"/>
  <c r="D241" i="18"/>
  <c r="O240" i="18"/>
  <c r="L240" i="18"/>
  <c r="I240" i="18"/>
  <c r="C240" i="18" s="1"/>
  <c r="F240" i="18"/>
  <c r="O239" i="18"/>
  <c r="L239" i="18"/>
  <c r="C239" i="18" s="1"/>
  <c r="I239" i="18"/>
  <c r="F239" i="18"/>
  <c r="O238" i="18"/>
  <c r="N238" i="18"/>
  <c r="M238" i="18"/>
  <c r="K238" i="18"/>
  <c r="L238" i="18" s="1"/>
  <c r="J238" i="18"/>
  <c r="H238" i="18"/>
  <c r="G238" i="18"/>
  <c r="I238" i="18" s="1"/>
  <c r="E238" i="18"/>
  <c r="D238" i="18"/>
  <c r="F238" i="18" s="1"/>
  <c r="C238" i="18" s="1"/>
  <c r="O237" i="18"/>
  <c r="L237" i="18"/>
  <c r="I237" i="18"/>
  <c r="F237" i="18"/>
  <c r="N236" i="18"/>
  <c r="N234" i="18" s="1"/>
  <c r="N233" i="18" s="1"/>
  <c r="M236" i="18"/>
  <c r="K236" i="18"/>
  <c r="J236" i="18"/>
  <c r="I236" i="18"/>
  <c r="H236" i="18"/>
  <c r="G236" i="18"/>
  <c r="E236" i="18"/>
  <c r="F236" i="18" s="1"/>
  <c r="D236" i="18"/>
  <c r="O235" i="18"/>
  <c r="L235" i="18"/>
  <c r="I235" i="18"/>
  <c r="F235" i="18"/>
  <c r="C235" i="18"/>
  <c r="K234" i="18"/>
  <c r="H234" i="18"/>
  <c r="H233" i="18"/>
  <c r="O232" i="18"/>
  <c r="L232" i="18"/>
  <c r="I232" i="18"/>
  <c r="F232" i="18"/>
  <c r="C232" i="18"/>
  <c r="O231" i="18"/>
  <c r="L231" i="18"/>
  <c r="I231" i="18"/>
  <c r="F231" i="18"/>
  <c r="C231" i="18" s="1"/>
  <c r="N230" i="18"/>
  <c r="M230" i="18"/>
  <c r="O230" i="18" s="1"/>
  <c r="K230" i="18"/>
  <c r="L230" i="18" s="1"/>
  <c r="J230" i="18"/>
  <c r="I230" i="18"/>
  <c r="H230" i="18"/>
  <c r="G230" i="18"/>
  <c r="E230" i="18"/>
  <c r="D230" i="18"/>
  <c r="F230" i="18" s="1"/>
  <c r="O229" i="18"/>
  <c r="L229" i="18"/>
  <c r="I229" i="18"/>
  <c r="F229" i="18"/>
  <c r="O228" i="18"/>
  <c r="L228" i="18"/>
  <c r="I228" i="18"/>
  <c r="C228" i="18" s="1"/>
  <c r="F228" i="18"/>
  <c r="O227" i="18"/>
  <c r="L227" i="18"/>
  <c r="C227" i="18" s="1"/>
  <c r="I227" i="18"/>
  <c r="F227" i="18"/>
  <c r="O226" i="18"/>
  <c r="L226" i="18"/>
  <c r="I226" i="18"/>
  <c r="F226" i="18"/>
  <c r="C226" i="18"/>
  <c r="O225" i="18"/>
  <c r="L225" i="18"/>
  <c r="I225" i="18"/>
  <c r="F225" i="18"/>
  <c r="C225" i="18" s="1"/>
  <c r="O224" i="18"/>
  <c r="L224" i="18"/>
  <c r="I224" i="18"/>
  <c r="C224" i="18" s="1"/>
  <c r="F224" i="18"/>
  <c r="O223" i="18"/>
  <c r="L223" i="18"/>
  <c r="C223" i="18" s="1"/>
  <c r="I223" i="18"/>
  <c r="F223" i="18"/>
  <c r="O222" i="18"/>
  <c r="L222" i="18"/>
  <c r="I222" i="18"/>
  <c r="F222" i="18"/>
  <c r="C222" i="18"/>
  <c r="O221" i="18"/>
  <c r="L221" i="18"/>
  <c r="I221" i="18"/>
  <c r="F221" i="18"/>
  <c r="C221" i="18" s="1"/>
  <c r="O220" i="18"/>
  <c r="L220" i="18"/>
  <c r="I220" i="18"/>
  <c r="F220" i="18"/>
  <c r="C220" i="18"/>
  <c r="N219" i="18"/>
  <c r="O219" i="18" s="1"/>
  <c r="M219" i="18"/>
  <c r="L219" i="18"/>
  <c r="K219" i="18"/>
  <c r="J219" i="18"/>
  <c r="H219" i="18"/>
  <c r="H207" i="18" s="1"/>
  <c r="G219" i="18"/>
  <c r="I219" i="18" s="1"/>
  <c r="E219" i="18"/>
  <c r="D219" i="18"/>
  <c r="F219" i="18" s="1"/>
  <c r="C219" i="18" s="1"/>
  <c r="O218" i="18"/>
  <c r="L218" i="18"/>
  <c r="I218" i="18"/>
  <c r="F218" i="18"/>
  <c r="C218" i="18" s="1"/>
  <c r="O217" i="18"/>
  <c r="L217" i="18"/>
  <c r="I217" i="18"/>
  <c r="F217" i="18"/>
  <c r="O216" i="18"/>
  <c r="L216" i="18"/>
  <c r="I216" i="18"/>
  <c r="C216" i="18" s="1"/>
  <c r="F216" i="18"/>
  <c r="O215" i="18"/>
  <c r="L215" i="18"/>
  <c r="C215" i="18" s="1"/>
  <c r="I215" i="18"/>
  <c r="F215" i="18"/>
  <c r="O214" i="18"/>
  <c r="L214" i="18"/>
  <c r="I214" i="18"/>
  <c r="F214" i="18"/>
  <c r="C214" i="18"/>
  <c r="O213" i="18"/>
  <c r="L213" i="18"/>
  <c r="I213" i="18"/>
  <c r="F213" i="18"/>
  <c r="C213" i="18" s="1"/>
  <c r="O212" i="18"/>
  <c r="L212" i="18"/>
  <c r="I212" i="18"/>
  <c r="C212" i="18" s="1"/>
  <c r="F212" i="18"/>
  <c r="O211" i="18"/>
  <c r="L211" i="18"/>
  <c r="C211" i="18" s="1"/>
  <c r="I211" i="18"/>
  <c r="F211" i="18"/>
  <c r="O210" i="18"/>
  <c r="L210" i="18"/>
  <c r="I210" i="18"/>
  <c r="F210" i="18"/>
  <c r="C210" i="18"/>
  <c r="O209" i="18"/>
  <c r="L209" i="18"/>
  <c r="I209" i="18"/>
  <c r="F209" i="18"/>
  <c r="C209" i="18" s="1"/>
  <c r="O208" i="18"/>
  <c r="N208" i="18"/>
  <c r="M208" i="18"/>
  <c r="K208" i="18"/>
  <c r="J208" i="18"/>
  <c r="L208" i="18" s="1"/>
  <c r="H208" i="18"/>
  <c r="G208" i="18"/>
  <c r="G207" i="18" s="1"/>
  <c r="F208" i="18"/>
  <c r="E208" i="18"/>
  <c r="D208" i="18"/>
  <c r="K207" i="18"/>
  <c r="J207" i="18"/>
  <c r="L207" i="18" s="1"/>
  <c r="D207" i="18"/>
  <c r="O206" i="18"/>
  <c r="L206" i="18"/>
  <c r="I206" i="18"/>
  <c r="C206" i="18" s="1"/>
  <c r="F206" i="18"/>
  <c r="O205" i="18"/>
  <c r="L205" i="18"/>
  <c r="I205" i="18"/>
  <c r="F205" i="18"/>
  <c r="O204" i="18"/>
  <c r="L204" i="18"/>
  <c r="C204" i="18" s="1"/>
  <c r="I204" i="18"/>
  <c r="F204" i="18"/>
  <c r="O203" i="18"/>
  <c r="L203" i="18"/>
  <c r="I203" i="18"/>
  <c r="F203" i="18"/>
  <c r="C203" i="18"/>
  <c r="O202" i="18"/>
  <c r="L202" i="18"/>
  <c r="I202" i="18"/>
  <c r="F202" i="18"/>
  <c r="C202" i="18" s="1"/>
  <c r="N201" i="18"/>
  <c r="M201" i="18"/>
  <c r="L201" i="18"/>
  <c r="K201" i="18"/>
  <c r="J201" i="18"/>
  <c r="H201" i="18"/>
  <c r="I201" i="18" s="1"/>
  <c r="G201" i="18"/>
  <c r="E201" i="18"/>
  <c r="E199" i="18" s="1"/>
  <c r="D201" i="18"/>
  <c r="F201" i="18" s="1"/>
  <c r="O200" i="18"/>
  <c r="L200" i="18"/>
  <c r="I200" i="18"/>
  <c r="C200" i="18" s="1"/>
  <c r="F200" i="18"/>
  <c r="N199" i="18"/>
  <c r="L199" i="18"/>
  <c r="K199" i="18"/>
  <c r="J199" i="18"/>
  <c r="J198" i="18" s="1"/>
  <c r="G199" i="18"/>
  <c r="K198" i="18"/>
  <c r="O196" i="18"/>
  <c r="L196" i="18"/>
  <c r="I196" i="18"/>
  <c r="C196" i="18" s="1"/>
  <c r="F196" i="18"/>
  <c r="N195" i="18"/>
  <c r="O195" i="18" s="1"/>
  <c r="M195" i="18"/>
  <c r="K195" i="18"/>
  <c r="J195" i="18"/>
  <c r="L195" i="18" s="1"/>
  <c r="H195" i="18"/>
  <c r="G195" i="18"/>
  <c r="I195" i="18" s="1"/>
  <c r="F195" i="18"/>
  <c r="E195" i="18"/>
  <c r="D195" i="18"/>
  <c r="M194" i="18"/>
  <c r="K194" i="18"/>
  <c r="H194" i="18"/>
  <c r="G194" i="18"/>
  <c r="I194" i="18" s="1"/>
  <c r="E194" i="18"/>
  <c r="D194" i="18"/>
  <c r="F194" i="18" s="1"/>
  <c r="O193" i="18"/>
  <c r="L193" i="18"/>
  <c r="I193" i="18"/>
  <c r="F193" i="18"/>
  <c r="C193" i="18" s="1"/>
  <c r="O192" i="18"/>
  <c r="L192" i="18"/>
  <c r="I192" i="18"/>
  <c r="C192" i="18" s="1"/>
  <c r="F192" i="18"/>
  <c r="N191" i="18"/>
  <c r="O191" i="18" s="1"/>
  <c r="M191" i="18"/>
  <c r="K191" i="18"/>
  <c r="J191" i="18"/>
  <c r="L191" i="18" s="1"/>
  <c r="H191" i="18"/>
  <c r="G191" i="18"/>
  <c r="I191" i="18" s="1"/>
  <c r="F191" i="18"/>
  <c r="C191" i="18" s="1"/>
  <c r="E191" i="18"/>
  <c r="D191" i="18"/>
  <c r="M190" i="18"/>
  <c r="K190" i="18"/>
  <c r="H190" i="18"/>
  <c r="G190" i="18"/>
  <c r="I190" i="18" s="1"/>
  <c r="E190" i="18"/>
  <c r="D190" i="18"/>
  <c r="F190" i="18" s="1"/>
  <c r="O189" i="18"/>
  <c r="L189" i="18"/>
  <c r="I189" i="18"/>
  <c r="F189" i="18"/>
  <c r="C189" i="18" s="1"/>
  <c r="O188" i="18"/>
  <c r="L188" i="18"/>
  <c r="I188" i="18"/>
  <c r="C188" i="18" s="1"/>
  <c r="F188" i="18"/>
  <c r="N187" i="18"/>
  <c r="O187" i="18" s="1"/>
  <c r="M187" i="18"/>
  <c r="K187" i="18"/>
  <c r="J187" i="18"/>
  <c r="L187" i="18" s="1"/>
  <c r="H187" i="18"/>
  <c r="G187" i="18"/>
  <c r="I187" i="18" s="1"/>
  <c r="F187" i="18"/>
  <c r="E187" i="18"/>
  <c r="D187" i="18"/>
  <c r="O186" i="18"/>
  <c r="L186" i="18"/>
  <c r="I186" i="18"/>
  <c r="F186" i="18"/>
  <c r="C186" i="18"/>
  <c r="O185" i="18"/>
  <c r="L185" i="18"/>
  <c r="I185" i="18"/>
  <c r="F185" i="18"/>
  <c r="C185" i="18" s="1"/>
  <c r="O184" i="18"/>
  <c r="L184" i="18"/>
  <c r="I184" i="18"/>
  <c r="C184" i="18" s="1"/>
  <c r="F184" i="18"/>
  <c r="O183" i="18"/>
  <c r="L183" i="18"/>
  <c r="C183" i="18" s="1"/>
  <c r="I183" i="18"/>
  <c r="F183" i="18"/>
  <c r="O182" i="18"/>
  <c r="N182" i="18"/>
  <c r="M182" i="18"/>
  <c r="K182" i="18"/>
  <c r="L182" i="18" s="1"/>
  <c r="J182" i="18"/>
  <c r="H182" i="18"/>
  <c r="G182" i="18"/>
  <c r="I182" i="18" s="1"/>
  <c r="E182" i="18"/>
  <c r="D182" i="18"/>
  <c r="F182" i="18" s="1"/>
  <c r="O181" i="18"/>
  <c r="L181" i="18"/>
  <c r="I181" i="18"/>
  <c r="F181" i="18"/>
  <c r="C181" i="18" s="1"/>
  <c r="O180" i="18"/>
  <c r="L180" i="18"/>
  <c r="I180" i="18"/>
  <c r="C180" i="18" s="1"/>
  <c r="F180" i="18"/>
  <c r="O179" i="18"/>
  <c r="L179" i="18"/>
  <c r="C179" i="18" s="1"/>
  <c r="I179" i="18"/>
  <c r="F179" i="18"/>
  <c r="O178" i="18"/>
  <c r="N178" i="18"/>
  <c r="M178" i="18"/>
  <c r="K178" i="18"/>
  <c r="L178" i="18" s="1"/>
  <c r="J178" i="18"/>
  <c r="H178" i="18"/>
  <c r="G178" i="18"/>
  <c r="I178" i="18" s="1"/>
  <c r="E178" i="18"/>
  <c r="D178" i="18"/>
  <c r="F178" i="18" s="1"/>
  <c r="C178" i="18" s="1"/>
  <c r="N177" i="18"/>
  <c r="M177" i="18"/>
  <c r="O177" i="18" s="1"/>
  <c r="J177" i="18"/>
  <c r="H177" i="18"/>
  <c r="H176" i="18" s="1"/>
  <c r="E177" i="18"/>
  <c r="D177" i="18"/>
  <c r="F177" i="18" s="1"/>
  <c r="M176" i="18"/>
  <c r="E176" i="18"/>
  <c r="O175" i="18"/>
  <c r="L175" i="18"/>
  <c r="C175" i="18" s="1"/>
  <c r="I175" i="18"/>
  <c r="F175" i="18"/>
  <c r="O174" i="18"/>
  <c r="L174" i="18"/>
  <c r="I174" i="18"/>
  <c r="F174" i="18"/>
  <c r="C174" i="18"/>
  <c r="O173" i="18"/>
  <c r="L173" i="18"/>
  <c r="I173" i="18"/>
  <c r="F173" i="18"/>
  <c r="C173" i="18" s="1"/>
  <c r="O172" i="18"/>
  <c r="L172" i="18"/>
  <c r="I172" i="18"/>
  <c r="C172" i="18" s="1"/>
  <c r="F172" i="18"/>
  <c r="O171" i="18"/>
  <c r="L171" i="18"/>
  <c r="C171" i="18" s="1"/>
  <c r="I171" i="18"/>
  <c r="F171" i="18"/>
  <c r="O170" i="18"/>
  <c r="L170" i="18"/>
  <c r="I170" i="18"/>
  <c r="F170" i="18"/>
  <c r="C170" i="18"/>
  <c r="N169" i="18"/>
  <c r="M169" i="18"/>
  <c r="O169" i="18" s="1"/>
  <c r="L169" i="18"/>
  <c r="K169" i="18"/>
  <c r="J169" i="18"/>
  <c r="H169" i="18"/>
  <c r="I169" i="18" s="1"/>
  <c r="G169" i="18"/>
  <c r="E169" i="18"/>
  <c r="D169" i="18"/>
  <c r="F169" i="18" s="1"/>
  <c r="N168" i="18"/>
  <c r="M168" i="18"/>
  <c r="O168" i="18" s="1"/>
  <c r="K168" i="18"/>
  <c r="J168" i="18"/>
  <c r="L168" i="18" s="1"/>
  <c r="G168" i="18"/>
  <c r="E168" i="18"/>
  <c r="O167" i="18"/>
  <c r="L167" i="18"/>
  <c r="C167" i="18" s="1"/>
  <c r="I167" i="18"/>
  <c r="F167" i="18"/>
  <c r="O166" i="18"/>
  <c r="L166" i="18"/>
  <c r="I166" i="18"/>
  <c r="F166" i="18"/>
  <c r="C166" i="18"/>
  <c r="O165" i="18"/>
  <c r="L165" i="18"/>
  <c r="I165" i="18"/>
  <c r="F165" i="18"/>
  <c r="C165" i="18" s="1"/>
  <c r="O164" i="18"/>
  <c r="L164" i="18"/>
  <c r="I164" i="18"/>
  <c r="C164" i="18" s="1"/>
  <c r="F164" i="18"/>
  <c r="N163" i="18"/>
  <c r="O163" i="18" s="1"/>
  <c r="M163" i="18"/>
  <c r="K163" i="18"/>
  <c r="J163" i="18"/>
  <c r="L163" i="18" s="1"/>
  <c r="H163" i="18"/>
  <c r="G163" i="18"/>
  <c r="I163" i="18" s="1"/>
  <c r="F163" i="18"/>
  <c r="E163" i="18"/>
  <c r="D163" i="18"/>
  <c r="O162" i="18"/>
  <c r="L162" i="18"/>
  <c r="I162" i="18"/>
  <c r="F162" i="18"/>
  <c r="C162" i="18"/>
  <c r="O161" i="18"/>
  <c r="L161" i="18"/>
  <c r="I161" i="18"/>
  <c r="F161" i="18"/>
  <c r="C161" i="18" s="1"/>
  <c r="O160" i="18"/>
  <c r="L160" i="18"/>
  <c r="I160" i="18"/>
  <c r="C160" i="18" s="1"/>
  <c r="F160" i="18"/>
  <c r="O159" i="18"/>
  <c r="L159" i="18"/>
  <c r="C159" i="18" s="1"/>
  <c r="I159" i="18"/>
  <c r="F159" i="18"/>
  <c r="O158" i="18"/>
  <c r="L158" i="18"/>
  <c r="I158" i="18"/>
  <c r="F158" i="18"/>
  <c r="C158" i="18"/>
  <c r="O157" i="18"/>
  <c r="L157" i="18"/>
  <c r="I157" i="18"/>
  <c r="F157" i="18"/>
  <c r="C157" i="18" s="1"/>
  <c r="O156" i="18"/>
  <c r="L156" i="18"/>
  <c r="I156" i="18"/>
  <c r="C156" i="18" s="1"/>
  <c r="F156" i="18"/>
  <c r="O155" i="18"/>
  <c r="L155" i="18"/>
  <c r="C155" i="18" s="1"/>
  <c r="I155" i="18"/>
  <c r="F155" i="18"/>
  <c r="O154" i="18"/>
  <c r="N154" i="18"/>
  <c r="M154" i="18"/>
  <c r="K154" i="18"/>
  <c r="L154" i="18" s="1"/>
  <c r="J154" i="18"/>
  <c r="H154" i="18"/>
  <c r="G154" i="18"/>
  <c r="I154" i="18" s="1"/>
  <c r="E154" i="18"/>
  <c r="D154" i="18"/>
  <c r="F154" i="18" s="1"/>
  <c r="O153" i="18"/>
  <c r="L153" i="18"/>
  <c r="I153" i="18"/>
  <c r="F153" i="18"/>
  <c r="C153" i="18" s="1"/>
  <c r="O152" i="18"/>
  <c r="L152" i="18"/>
  <c r="I152" i="18"/>
  <c r="C152" i="18" s="1"/>
  <c r="F152" i="18"/>
  <c r="O151" i="18"/>
  <c r="L151" i="18"/>
  <c r="C151" i="18" s="1"/>
  <c r="I151" i="18"/>
  <c r="F151" i="18"/>
  <c r="O150" i="18"/>
  <c r="L150" i="18"/>
  <c r="I150" i="18"/>
  <c r="F150" i="18"/>
  <c r="C150" i="18"/>
  <c r="O149" i="18"/>
  <c r="L149" i="18"/>
  <c r="I149" i="18"/>
  <c r="F149" i="18"/>
  <c r="C149" i="18" s="1"/>
  <c r="O148" i="18"/>
  <c r="L148" i="18"/>
  <c r="I148" i="18"/>
  <c r="C148" i="18" s="1"/>
  <c r="F148" i="18"/>
  <c r="N147" i="18"/>
  <c r="O147" i="18" s="1"/>
  <c r="M147" i="18"/>
  <c r="K147" i="18"/>
  <c r="J147" i="18"/>
  <c r="L147" i="18" s="1"/>
  <c r="H147" i="18"/>
  <c r="G147" i="18"/>
  <c r="I147" i="18" s="1"/>
  <c r="F147" i="18"/>
  <c r="E147" i="18"/>
  <c r="D147" i="18"/>
  <c r="O146" i="18"/>
  <c r="L146" i="18"/>
  <c r="I146" i="18"/>
  <c r="F146" i="18"/>
  <c r="C146" i="18"/>
  <c r="O145" i="18"/>
  <c r="L145" i="18"/>
  <c r="I145" i="18"/>
  <c r="F145" i="18"/>
  <c r="C145" i="18" s="1"/>
  <c r="N144" i="18"/>
  <c r="M144" i="18"/>
  <c r="O144" i="18" s="1"/>
  <c r="K144" i="18"/>
  <c r="J144" i="18"/>
  <c r="L144" i="18" s="1"/>
  <c r="I144" i="18"/>
  <c r="H144" i="18"/>
  <c r="G144" i="18"/>
  <c r="E144" i="18"/>
  <c r="F144" i="18" s="1"/>
  <c r="D144" i="18"/>
  <c r="O143" i="18"/>
  <c r="L143" i="18"/>
  <c r="C143" i="18" s="1"/>
  <c r="I143" i="18"/>
  <c r="F143" i="18"/>
  <c r="O142" i="18"/>
  <c r="L142" i="18"/>
  <c r="I142" i="18"/>
  <c r="F142" i="18"/>
  <c r="C142" i="18"/>
  <c r="O141" i="18"/>
  <c r="L141" i="18"/>
  <c r="I141" i="18"/>
  <c r="F141" i="18"/>
  <c r="C141" i="18" s="1"/>
  <c r="O140" i="18"/>
  <c r="L140" i="18"/>
  <c r="I140" i="18"/>
  <c r="C140" i="18" s="1"/>
  <c r="F140" i="18"/>
  <c r="N139" i="18"/>
  <c r="N133" i="18" s="1"/>
  <c r="M139" i="18"/>
  <c r="K139" i="18"/>
  <c r="J139" i="18"/>
  <c r="L139" i="18" s="1"/>
  <c r="H139" i="18"/>
  <c r="G139" i="18"/>
  <c r="I139" i="18" s="1"/>
  <c r="F139" i="18"/>
  <c r="E139" i="18"/>
  <c r="D139" i="18"/>
  <c r="O138" i="18"/>
  <c r="L138" i="18"/>
  <c r="I138" i="18"/>
  <c r="F138" i="18"/>
  <c r="C138" i="18"/>
  <c r="O137" i="18"/>
  <c r="L137" i="18"/>
  <c r="I137" i="18"/>
  <c r="F137" i="18"/>
  <c r="C137" i="18" s="1"/>
  <c r="O136" i="18"/>
  <c r="L136" i="18"/>
  <c r="I136" i="18"/>
  <c r="C136" i="18" s="1"/>
  <c r="F136" i="18"/>
  <c r="O135" i="18"/>
  <c r="L135" i="18"/>
  <c r="C135" i="18" s="1"/>
  <c r="I135" i="18"/>
  <c r="F135" i="18"/>
  <c r="O134" i="18"/>
  <c r="N134" i="18"/>
  <c r="M134" i="18"/>
  <c r="K134" i="18"/>
  <c r="L134" i="18" s="1"/>
  <c r="J134" i="18"/>
  <c r="H134" i="18"/>
  <c r="G134" i="18"/>
  <c r="I134" i="18" s="1"/>
  <c r="E134" i="18"/>
  <c r="D134" i="18"/>
  <c r="F134" i="18" s="1"/>
  <c r="H133" i="18"/>
  <c r="D133" i="18"/>
  <c r="O132" i="18"/>
  <c r="L132" i="18"/>
  <c r="I132" i="18"/>
  <c r="C132" i="18" s="1"/>
  <c r="F132" i="18"/>
  <c r="N131" i="18"/>
  <c r="O131" i="18" s="1"/>
  <c r="M131" i="18"/>
  <c r="K131" i="18"/>
  <c r="J131" i="18"/>
  <c r="L131" i="18" s="1"/>
  <c r="H131" i="18"/>
  <c r="G131" i="18"/>
  <c r="I131" i="18" s="1"/>
  <c r="F131" i="18"/>
  <c r="E131" i="18"/>
  <c r="D131" i="18"/>
  <c r="O130" i="18"/>
  <c r="L130" i="18"/>
  <c r="I130" i="18"/>
  <c r="F130" i="18"/>
  <c r="C130" i="18"/>
  <c r="O129" i="18"/>
  <c r="L129" i="18"/>
  <c r="I129" i="18"/>
  <c r="F129" i="18"/>
  <c r="C129" i="18" s="1"/>
  <c r="O128" i="18"/>
  <c r="L128" i="18"/>
  <c r="I128" i="18"/>
  <c r="C128" i="18" s="1"/>
  <c r="F128" i="18"/>
  <c r="O127" i="18"/>
  <c r="L127" i="18"/>
  <c r="C127" i="18" s="1"/>
  <c r="I127" i="18"/>
  <c r="F127" i="18"/>
  <c r="O126" i="18"/>
  <c r="L126" i="18"/>
  <c r="I126" i="18"/>
  <c r="F126" i="18"/>
  <c r="C126" i="18"/>
  <c r="N125" i="18"/>
  <c r="M125" i="18"/>
  <c r="O125" i="18" s="1"/>
  <c r="L125" i="18"/>
  <c r="K125" i="18"/>
  <c r="J125" i="18"/>
  <c r="H125" i="18"/>
  <c r="I125" i="18" s="1"/>
  <c r="G125" i="18"/>
  <c r="E125" i="18"/>
  <c r="D125" i="18"/>
  <c r="F125" i="18" s="1"/>
  <c r="C125" i="18" s="1"/>
  <c r="O124" i="18"/>
  <c r="L124" i="18"/>
  <c r="I124" i="18"/>
  <c r="C124" i="18" s="1"/>
  <c r="F124" i="18"/>
  <c r="O123" i="18"/>
  <c r="L123" i="18"/>
  <c r="C123" i="18" s="1"/>
  <c r="I123" i="18"/>
  <c r="F123" i="18"/>
  <c r="O122" i="18"/>
  <c r="L122" i="18"/>
  <c r="I122" i="18"/>
  <c r="F122" i="18"/>
  <c r="C122" i="18"/>
  <c r="O121" i="18"/>
  <c r="L121" i="18"/>
  <c r="I121" i="18"/>
  <c r="F121" i="18"/>
  <c r="C121" i="18" s="1"/>
  <c r="O120" i="18"/>
  <c r="L120" i="18"/>
  <c r="I120" i="18"/>
  <c r="C120" i="18" s="1"/>
  <c r="F120" i="18"/>
  <c r="N119" i="18"/>
  <c r="O119" i="18" s="1"/>
  <c r="M119" i="18"/>
  <c r="K119" i="18"/>
  <c r="J119" i="18"/>
  <c r="L119" i="18" s="1"/>
  <c r="H119" i="18"/>
  <c r="G119" i="18"/>
  <c r="I119" i="18" s="1"/>
  <c r="F119" i="18"/>
  <c r="C119" i="18" s="1"/>
  <c r="E119" i="18"/>
  <c r="D119" i="18"/>
  <c r="O118" i="18"/>
  <c r="L118" i="18"/>
  <c r="I118" i="18"/>
  <c r="F118" i="18"/>
  <c r="C118" i="18"/>
  <c r="O117" i="18"/>
  <c r="L117" i="18"/>
  <c r="I117" i="18"/>
  <c r="F117" i="18"/>
  <c r="C117" i="18" s="1"/>
  <c r="O116" i="18"/>
  <c r="L116" i="18"/>
  <c r="I116" i="18"/>
  <c r="C116" i="18" s="1"/>
  <c r="F116" i="18"/>
  <c r="N115" i="18"/>
  <c r="O115" i="18" s="1"/>
  <c r="M115" i="18"/>
  <c r="K115" i="18"/>
  <c r="J115" i="18"/>
  <c r="L115" i="18" s="1"/>
  <c r="H115" i="18"/>
  <c r="G115" i="18"/>
  <c r="I115" i="18" s="1"/>
  <c r="F115" i="18"/>
  <c r="E115" i="18"/>
  <c r="D115" i="18"/>
  <c r="O114" i="18"/>
  <c r="L114" i="18"/>
  <c r="I114" i="18"/>
  <c r="F114" i="18"/>
  <c r="C114" i="18"/>
  <c r="O113" i="18"/>
  <c r="L113" i="18"/>
  <c r="I113" i="18"/>
  <c r="F113" i="18"/>
  <c r="C113" i="18" s="1"/>
  <c r="O112" i="18"/>
  <c r="L112" i="18"/>
  <c r="I112" i="18"/>
  <c r="C112" i="18" s="1"/>
  <c r="F112" i="18"/>
  <c r="O111" i="18"/>
  <c r="L111" i="18"/>
  <c r="C111" i="18" s="1"/>
  <c r="I111" i="18"/>
  <c r="F111" i="18"/>
  <c r="O110" i="18"/>
  <c r="L110" i="18"/>
  <c r="I110" i="18"/>
  <c r="F110" i="18"/>
  <c r="C110" i="18"/>
  <c r="O109" i="18"/>
  <c r="L109" i="18"/>
  <c r="I109" i="18"/>
  <c r="F109" i="18"/>
  <c r="C109" i="18" s="1"/>
  <c r="O108" i="18"/>
  <c r="L108" i="18"/>
  <c r="I108" i="18"/>
  <c r="C108" i="18" s="1"/>
  <c r="F108" i="18"/>
  <c r="O107" i="18"/>
  <c r="L107" i="18"/>
  <c r="C107" i="18" s="1"/>
  <c r="I107" i="18"/>
  <c r="F107" i="18"/>
  <c r="O106" i="18"/>
  <c r="N106" i="18"/>
  <c r="M106" i="18"/>
  <c r="K106" i="18"/>
  <c r="L106" i="18" s="1"/>
  <c r="J106" i="18"/>
  <c r="H106" i="18"/>
  <c r="G106" i="18"/>
  <c r="I106" i="18" s="1"/>
  <c r="E106" i="18"/>
  <c r="D106" i="18"/>
  <c r="F106" i="18" s="1"/>
  <c r="C106" i="18"/>
  <c r="O105" i="18"/>
  <c r="L105" i="18"/>
  <c r="I105" i="18"/>
  <c r="F105" i="18"/>
  <c r="C105" i="18" s="1"/>
  <c r="O104" i="18"/>
  <c r="L104" i="18"/>
  <c r="I104" i="18"/>
  <c r="C104" i="18" s="1"/>
  <c r="F104" i="18"/>
  <c r="O103" i="18"/>
  <c r="L103" i="18"/>
  <c r="C103" i="18" s="1"/>
  <c r="I103" i="18"/>
  <c r="F103" i="18"/>
  <c r="O102" i="18"/>
  <c r="L102" i="18"/>
  <c r="I102" i="18"/>
  <c r="F102" i="18"/>
  <c r="C102" i="18"/>
  <c r="O101" i="18"/>
  <c r="L101" i="18"/>
  <c r="I101" i="18"/>
  <c r="F101" i="18"/>
  <c r="C101" i="18" s="1"/>
  <c r="O100" i="18"/>
  <c r="L100" i="18"/>
  <c r="I100" i="18"/>
  <c r="C100" i="18" s="1"/>
  <c r="F100" i="18"/>
  <c r="O99" i="18"/>
  <c r="L99" i="18"/>
  <c r="C99" i="18" s="1"/>
  <c r="I99" i="18"/>
  <c r="F99" i="18"/>
  <c r="O98" i="18"/>
  <c r="N98" i="18"/>
  <c r="M98" i="18"/>
  <c r="K98" i="18"/>
  <c r="L98" i="18" s="1"/>
  <c r="J98" i="18"/>
  <c r="H98" i="18"/>
  <c r="H86" i="18" s="1"/>
  <c r="G98" i="18"/>
  <c r="E98" i="18"/>
  <c r="D98" i="18"/>
  <c r="F98" i="18" s="1"/>
  <c r="O97" i="18"/>
  <c r="L97" i="18"/>
  <c r="I97" i="18"/>
  <c r="F97" i="18"/>
  <c r="C97" i="18" s="1"/>
  <c r="O96" i="18"/>
  <c r="L96" i="18"/>
  <c r="I96" i="18"/>
  <c r="F96" i="18"/>
  <c r="O95" i="18"/>
  <c r="L95" i="18"/>
  <c r="C95" i="18" s="1"/>
  <c r="I95" i="18"/>
  <c r="F95" i="18"/>
  <c r="O94" i="18"/>
  <c r="L94" i="18"/>
  <c r="I94" i="18"/>
  <c r="F94" i="18"/>
  <c r="C94" i="18"/>
  <c r="O93" i="18"/>
  <c r="L93" i="18"/>
  <c r="I93" i="18"/>
  <c r="F93" i="18"/>
  <c r="C93" i="18" s="1"/>
  <c r="N92" i="18"/>
  <c r="M92" i="18"/>
  <c r="K92" i="18"/>
  <c r="J92" i="18"/>
  <c r="L92" i="18" s="1"/>
  <c r="I92" i="18"/>
  <c r="H92" i="18"/>
  <c r="G92" i="18"/>
  <c r="F92" i="18"/>
  <c r="E92" i="18"/>
  <c r="E86" i="18" s="1"/>
  <c r="D92" i="18"/>
  <c r="O91" i="18"/>
  <c r="L91" i="18"/>
  <c r="C91" i="18" s="1"/>
  <c r="I91" i="18"/>
  <c r="F91" i="18"/>
  <c r="O90" i="18"/>
  <c r="L90" i="18"/>
  <c r="I90" i="18"/>
  <c r="F90" i="18"/>
  <c r="C90" i="18"/>
  <c r="O89" i="18"/>
  <c r="L89" i="18"/>
  <c r="I89" i="18"/>
  <c r="F89" i="18"/>
  <c r="C89" i="18" s="1"/>
  <c r="O88" i="18"/>
  <c r="L88" i="18"/>
  <c r="I88" i="18"/>
  <c r="F88" i="18"/>
  <c r="N87" i="18"/>
  <c r="N86" i="18" s="1"/>
  <c r="M87" i="18"/>
  <c r="K87" i="18"/>
  <c r="J87" i="18"/>
  <c r="H87" i="18"/>
  <c r="G87" i="18"/>
  <c r="I87" i="18" s="1"/>
  <c r="F87" i="18"/>
  <c r="E87" i="18"/>
  <c r="D87" i="18"/>
  <c r="K86" i="18"/>
  <c r="G86" i="18"/>
  <c r="O85" i="18"/>
  <c r="L85" i="18"/>
  <c r="I85" i="18"/>
  <c r="F85" i="18"/>
  <c r="C85" i="18" s="1"/>
  <c r="O84" i="18"/>
  <c r="L84" i="18"/>
  <c r="I84" i="18"/>
  <c r="F84" i="18"/>
  <c r="N83" i="18"/>
  <c r="O83" i="18" s="1"/>
  <c r="M83" i="18"/>
  <c r="K83" i="18"/>
  <c r="J83" i="18"/>
  <c r="H83" i="18"/>
  <c r="G83" i="18"/>
  <c r="I83" i="18" s="1"/>
  <c r="F83" i="18"/>
  <c r="E83" i="18"/>
  <c r="D83" i="18"/>
  <c r="O82" i="18"/>
  <c r="L82" i="18"/>
  <c r="I82" i="18"/>
  <c r="F82" i="18"/>
  <c r="C82" i="18"/>
  <c r="O81" i="18"/>
  <c r="L81" i="18"/>
  <c r="I81" i="18"/>
  <c r="F81" i="18"/>
  <c r="C81" i="18" s="1"/>
  <c r="N80" i="18"/>
  <c r="M80" i="18"/>
  <c r="M79" i="18" s="1"/>
  <c r="O79" i="18" s="1"/>
  <c r="K80" i="18"/>
  <c r="J80" i="18"/>
  <c r="H80" i="18"/>
  <c r="G80" i="18"/>
  <c r="I80" i="18" s="1"/>
  <c r="E80" i="18"/>
  <c r="E79" i="18" s="1"/>
  <c r="D80" i="18"/>
  <c r="N79" i="18"/>
  <c r="N78" i="18" s="1"/>
  <c r="K79" i="18"/>
  <c r="L79" i="18" s="1"/>
  <c r="J79" i="18"/>
  <c r="H79" i="18"/>
  <c r="F79" i="18"/>
  <c r="D79" i="18"/>
  <c r="O77" i="18"/>
  <c r="L77" i="18"/>
  <c r="I77" i="18"/>
  <c r="F77" i="18"/>
  <c r="C77" i="18" s="1"/>
  <c r="O76" i="18"/>
  <c r="L76" i="18"/>
  <c r="I76" i="18"/>
  <c r="C76" i="18" s="1"/>
  <c r="F76" i="18"/>
  <c r="O75" i="18"/>
  <c r="L75" i="18"/>
  <c r="I75" i="18"/>
  <c r="F75" i="18"/>
  <c r="C75" i="18"/>
  <c r="O74" i="18"/>
  <c r="L74" i="18"/>
  <c r="I74" i="18"/>
  <c r="F74" i="18"/>
  <c r="C74" i="18" s="1"/>
  <c r="O73" i="18"/>
  <c r="L73" i="18"/>
  <c r="I73" i="18"/>
  <c r="F73" i="18"/>
  <c r="O72" i="18"/>
  <c r="N72" i="18"/>
  <c r="N70" i="18" s="1"/>
  <c r="M72" i="18"/>
  <c r="K72" i="18"/>
  <c r="J72" i="18"/>
  <c r="H72" i="18"/>
  <c r="G72" i="18"/>
  <c r="I72" i="18" s="1"/>
  <c r="F72" i="18"/>
  <c r="E72" i="18"/>
  <c r="D72" i="18"/>
  <c r="O71" i="18"/>
  <c r="L71" i="18"/>
  <c r="I71" i="18"/>
  <c r="F71" i="18"/>
  <c r="C71" i="18"/>
  <c r="M70" i="18"/>
  <c r="O70" i="18" s="1"/>
  <c r="K70" i="18"/>
  <c r="H70" i="18"/>
  <c r="G70" i="18"/>
  <c r="I70" i="18" s="1"/>
  <c r="E70" i="18"/>
  <c r="D70" i="18"/>
  <c r="O69" i="18"/>
  <c r="L69" i="18"/>
  <c r="I69" i="18"/>
  <c r="F69" i="18"/>
  <c r="O68" i="18"/>
  <c r="L68" i="18"/>
  <c r="C68" i="18" s="1"/>
  <c r="I68" i="18"/>
  <c r="F68" i="18"/>
  <c r="O67" i="18"/>
  <c r="L67" i="18"/>
  <c r="I67" i="18"/>
  <c r="F67" i="18"/>
  <c r="C67" i="18"/>
  <c r="O66" i="18"/>
  <c r="L66" i="18"/>
  <c r="I66" i="18"/>
  <c r="F66" i="18"/>
  <c r="C66" i="18" s="1"/>
  <c r="O65" i="18"/>
  <c r="L65" i="18"/>
  <c r="I65" i="18"/>
  <c r="F65" i="18"/>
  <c r="O64" i="18"/>
  <c r="L64" i="18"/>
  <c r="I64" i="18"/>
  <c r="C64" i="18" s="1"/>
  <c r="F64" i="18"/>
  <c r="O63" i="18"/>
  <c r="L63" i="18"/>
  <c r="I63" i="18"/>
  <c r="F63" i="18"/>
  <c r="C63" i="18" s="1"/>
  <c r="O62" i="18"/>
  <c r="L62" i="18"/>
  <c r="I62" i="18"/>
  <c r="F62" i="18"/>
  <c r="C62" i="18"/>
  <c r="N61" i="18"/>
  <c r="M61" i="18"/>
  <c r="O61" i="18" s="1"/>
  <c r="L61" i="18"/>
  <c r="K61" i="18"/>
  <c r="J61" i="18"/>
  <c r="I61" i="18"/>
  <c r="H61" i="18"/>
  <c r="G61" i="18"/>
  <c r="E61" i="18"/>
  <c r="D61" i="18"/>
  <c r="F61" i="18" s="1"/>
  <c r="C61" i="18" s="1"/>
  <c r="O60" i="18"/>
  <c r="L60" i="18"/>
  <c r="I60" i="18"/>
  <c r="F60" i="18"/>
  <c r="C60" i="18"/>
  <c r="O59" i="18"/>
  <c r="L59" i="18"/>
  <c r="I59" i="18"/>
  <c r="F59" i="18"/>
  <c r="C59" i="18" s="1"/>
  <c r="N58" i="18"/>
  <c r="M58" i="18"/>
  <c r="O58" i="18" s="1"/>
  <c r="K58" i="18"/>
  <c r="K57" i="18" s="1"/>
  <c r="J58" i="18"/>
  <c r="I58" i="18"/>
  <c r="H58" i="18"/>
  <c r="G58" i="18"/>
  <c r="G57" i="18" s="1"/>
  <c r="G56" i="18" s="1"/>
  <c r="E58" i="18"/>
  <c r="E57" i="18" s="1"/>
  <c r="E56" i="18" s="1"/>
  <c r="D58" i="18"/>
  <c r="F58" i="18" s="1"/>
  <c r="N57" i="18"/>
  <c r="L57" i="18"/>
  <c r="J57" i="18"/>
  <c r="I57" i="18"/>
  <c r="H57" i="18"/>
  <c r="D57" i="18"/>
  <c r="D56" i="18" s="1"/>
  <c r="N56" i="18"/>
  <c r="K56" i="18"/>
  <c r="O50" i="18"/>
  <c r="C50" i="18" s="1"/>
  <c r="O49" i="18"/>
  <c r="C49" i="18" s="1"/>
  <c r="N48" i="18"/>
  <c r="M48" i="18"/>
  <c r="O48" i="18" s="1"/>
  <c r="C48" i="18" s="1"/>
  <c r="L47" i="18"/>
  <c r="I47" i="18"/>
  <c r="F47" i="18"/>
  <c r="C47" i="18" s="1"/>
  <c r="K46" i="18"/>
  <c r="J46" i="18"/>
  <c r="L46" i="18" s="1"/>
  <c r="H46" i="18"/>
  <c r="I46" i="18" s="1"/>
  <c r="G46" i="18"/>
  <c r="F46" i="18"/>
  <c r="E46" i="18"/>
  <c r="D46" i="18"/>
  <c r="F45" i="18"/>
  <c r="C45" i="18" s="1"/>
  <c r="L44" i="18"/>
  <c r="C44" i="18" s="1"/>
  <c r="L43" i="18"/>
  <c r="C43" i="18" s="1"/>
  <c r="L42" i="18"/>
  <c r="C42" i="18" s="1"/>
  <c r="L41" i="18"/>
  <c r="C41" i="18" s="1"/>
  <c r="K40" i="18"/>
  <c r="J40" i="18"/>
  <c r="L40" i="18" s="1"/>
  <c r="C40" i="18" s="1"/>
  <c r="L39" i="18"/>
  <c r="C39" i="18" s="1"/>
  <c r="L38" i="18"/>
  <c r="C38" i="18" s="1"/>
  <c r="K37" i="18"/>
  <c r="J37" i="18"/>
  <c r="L37" i="18" s="1"/>
  <c r="C37" i="18" s="1"/>
  <c r="L36" i="18"/>
  <c r="C36" i="18" s="1"/>
  <c r="L35" i="18"/>
  <c r="C35" i="18" s="1"/>
  <c r="K35" i="18"/>
  <c r="K30" i="18" s="1"/>
  <c r="J35" i="18"/>
  <c r="L34" i="18"/>
  <c r="C34" i="18" s="1"/>
  <c r="L33" i="18"/>
  <c r="C33" i="18" s="1"/>
  <c r="L32" i="18"/>
  <c r="C32" i="18" s="1"/>
  <c r="K31" i="18"/>
  <c r="J31" i="18"/>
  <c r="L31" i="18" s="1"/>
  <c r="C31" i="18" s="1"/>
  <c r="J30" i="18"/>
  <c r="L30" i="18" s="1"/>
  <c r="C30" i="18" s="1"/>
  <c r="F29" i="18"/>
  <c r="C29" i="18" s="1"/>
  <c r="I28" i="18"/>
  <c r="C28" i="18" s="1"/>
  <c r="F28" i="18"/>
  <c r="O27" i="18"/>
  <c r="L27" i="18"/>
  <c r="I27" i="18"/>
  <c r="F27" i="18"/>
  <c r="C27" i="18" s="1"/>
  <c r="O26" i="18"/>
  <c r="L26" i="18"/>
  <c r="I26" i="18"/>
  <c r="F26" i="18"/>
  <c r="C26" i="18"/>
  <c r="N25" i="18"/>
  <c r="N290" i="18" s="1"/>
  <c r="N289" i="18" s="1"/>
  <c r="M25" i="18"/>
  <c r="M290" i="18" s="1"/>
  <c r="L25" i="18"/>
  <c r="K25" i="18"/>
  <c r="K290" i="18" s="1"/>
  <c r="K289" i="18" s="1"/>
  <c r="J25" i="18"/>
  <c r="J290" i="18" s="1"/>
  <c r="H25" i="18"/>
  <c r="H290" i="18" s="1"/>
  <c r="H289" i="18" s="1"/>
  <c r="G25" i="18"/>
  <c r="G290" i="18" s="1"/>
  <c r="E25" i="18"/>
  <c r="E290" i="18" s="1"/>
  <c r="E289" i="18" s="1"/>
  <c r="D25" i="18"/>
  <c r="D290" i="18" s="1"/>
  <c r="M24" i="18"/>
  <c r="G24" i="18"/>
  <c r="E24" i="18"/>
  <c r="O299" i="17"/>
  <c r="L299" i="17"/>
  <c r="I299" i="17"/>
  <c r="F299" i="17"/>
  <c r="C299" i="17" s="1"/>
  <c r="O298" i="17"/>
  <c r="L298" i="17"/>
  <c r="I298" i="17"/>
  <c r="F298" i="17"/>
  <c r="C298" i="17"/>
  <c r="O297" i="17"/>
  <c r="L297" i="17"/>
  <c r="I297" i="17"/>
  <c r="F297" i="17"/>
  <c r="C297" i="17" s="1"/>
  <c r="O296" i="17"/>
  <c r="L296" i="17"/>
  <c r="I296" i="17"/>
  <c r="C296" i="17" s="1"/>
  <c r="F296" i="17"/>
  <c r="O295" i="17"/>
  <c r="L295" i="17"/>
  <c r="I295" i="17"/>
  <c r="F295" i="17"/>
  <c r="C295" i="17" s="1"/>
  <c r="O294" i="17"/>
  <c r="L294" i="17"/>
  <c r="I294" i="17"/>
  <c r="F294" i="17"/>
  <c r="C294" i="17"/>
  <c r="O293" i="17"/>
  <c r="L293" i="17"/>
  <c r="I293" i="17"/>
  <c r="F293" i="17"/>
  <c r="C293" i="17" s="1"/>
  <c r="O292" i="17"/>
  <c r="L292" i="17"/>
  <c r="I292" i="17"/>
  <c r="C292" i="17" s="1"/>
  <c r="F292" i="17"/>
  <c r="N291" i="17"/>
  <c r="M291" i="17"/>
  <c r="O291" i="17" s="1"/>
  <c r="K291" i="17"/>
  <c r="J291" i="17"/>
  <c r="L291" i="17" s="1"/>
  <c r="H291" i="17"/>
  <c r="I291" i="17" s="1"/>
  <c r="G291" i="17"/>
  <c r="F291" i="17"/>
  <c r="E291" i="17"/>
  <c r="D291" i="17"/>
  <c r="O286" i="17"/>
  <c r="L286" i="17"/>
  <c r="I286" i="17"/>
  <c r="F286" i="17"/>
  <c r="C286" i="17"/>
  <c r="O285" i="17"/>
  <c r="L285" i="17"/>
  <c r="I285" i="17"/>
  <c r="F285" i="17"/>
  <c r="C285" i="17" s="1"/>
  <c r="N284" i="17"/>
  <c r="M284" i="17"/>
  <c r="K284" i="17"/>
  <c r="L284" i="17" s="1"/>
  <c r="J284" i="17"/>
  <c r="I284" i="17"/>
  <c r="H284" i="17"/>
  <c r="G284" i="17"/>
  <c r="E284" i="17"/>
  <c r="D284" i="17"/>
  <c r="F284" i="17" s="1"/>
  <c r="O283" i="17"/>
  <c r="L283" i="17"/>
  <c r="I283" i="17"/>
  <c r="F283" i="17"/>
  <c r="C283" i="17" s="1"/>
  <c r="O282" i="17"/>
  <c r="N282" i="17"/>
  <c r="M282" i="17"/>
  <c r="K282" i="17"/>
  <c r="J282" i="17"/>
  <c r="L282" i="17" s="1"/>
  <c r="H282" i="17"/>
  <c r="G282" i="17"/>
  <c r="I282" i="17" s="1"/>
  <c r="E282" i="17"/>
  <c r="F282" i="17" s="1"/>
  <c r="D282" i="17"/>
  <c r="O281" i="17"/>
  <c r="L281" i="17"/>
  <c r="I281" i="17"/>
  <c r="F281" i="17"/>
  <c r="C281" i="17" s="1"/>
  <c r="O280" i="17"/>
  <c r="L280" i="17"/>
  <c r="I280" i="17"/>
  <c r="C280" i="17" s="1"/>
  <c r="F280" i="17"/>
  <c r="O279" i="17"/>
  <c r="L279" i="17"/>
  <c r="I279" i="17"/>
  <c r="F279" i="17"/>
  <c r="C279" i="17" s="1"/>
  <c r="O278" i="17"/>
  <c r="N278" i="17"/>
  <c r="M278" i="17"/>
  <c r="K278" i="17"/>
  <c r="J278" i="17"/>
  <c r="L278" i="17" s="1"/>
  <c r="H278" i="17"/>
  <c r="G278" i="17"/>
  <c r="I278" i="17" s="1"/>
  <c r="E278" i="17"/>
  <c r="F278" i="17" s="1"/>
  <c r="D278" i="17"/>
  <c r="O277" i="17"/>
  <c r="L277" i="17"/>
  <c r="I277" i="17"/>
  <c r="F277" i="17"/>
  <c r="C277" i="17" s="1"/>
  <c r="O276" i="17"/>
  <c r="L276" i="17"/>
  <c r="I276" i="17"/>
  <c r="C276" i="17" s="1"/>
  <c r="F276" i="17"/>
  <c r="O275" i="17"/>
  <c r="L275" i="17"/>
  <c r="I275" i="17"/>
  <c r="F275" i="17"/>
  <c r="C275" i="17" s="1"/>
  <c r="O274" i="17"/>
  <c r="N274" i="17"/>
  <c r="N272" i="17" s="1"/>
  <c r="N271" i="17" s="1"/>
  <c r="M274" i="17"/>
  <c r="K274" i="17"/>
  <c r="K272" i="17" s="1"/>
  <c r="K271" i="17" s="1"/>
  <c r="J274" i="17"/>
  <c r="L274" i="17" s="1"/>
  <c r="H274" i="17"/>
  <c r="G274" i="17"/>
  <c r="I274" i="17" s="1"/>
  <c r="E274" i="17"/>
  <c r="F274" i="17" s="1"/>
  <c r="C274" i="17" s="1"/>
  <c r="D274" i="17"/>
  <c r="O273" i="17"/>
  <c r="L273" i="17"/>
  <c r="I273" i="17"/>
  <c r="F273" i="17"/>
  <c r="C273" i="17" s="1"/>
  <c r="M272" i="17"/>
  <c r="M271" i="17" s="1"/>
  <c r="O271" i="17" s="1"/>
  <c r="H272" i="17"/>
  <c r="E272" i="17"/>
  <c r="E271" i="17" s="1"/>
  <c r="F271" i="17" s="1"/>
  <c r="D272" i="17"/>
  <c r="F272" i="17" s="1"/>
  <c r="H271" i="17"/>
  <c r="D271" i="17"/>
  <c r="O270" i="17"/>
  <c r="L270" i="17"/>
  <c r="I270" i="17"/>
  <c r="F270" i="17"/>
  <c r="C270" i="17"/>
  <c r="O269" i="17"/>
  <c r="L269" i="17"/>
  <c r="I269" i="17"/>
  <c r="F269" i="17"/>
  <c r="C269" i="17" s="1"/>
  <c r="O268" i="17"/>
  <c r="L268" i="17"/>
  <c r="I268" i="17"/>
  <c r="C268" i="17" s="1"/>
  <c r="F268" i="17"/>
  <c r="O267" i="17"/>
  <c r="L267" i="17"/>
  <c r="I267" i="17"/>
  <c r="F267" i="17"/>
  <c r="C267" i="17" s="1"/>
  <c r="O266" i="17"/>
  <c r="N266" i="17"/>
  <c r="M266" i="17"/>
  <c r="K266" i="17"/>
  <c r="J266" i="17"/>
  <c r="L266" i="17" s="1"/>
  <c r="H266" i="17"/>
  <c r="G266" i="17"/>
  <c r="I266" i="17" s="1"/>
  <c r="E266" i="17"/>
  <c r="F266" i="17" s="1"/>
  <c r="C266" i="17" s="1"/>
  <c r="D266" i="17"/>
  <c r="O265" i="17"/>
  <c r="L265" i="17"/>
  <c r="I265" i="17"/>
  <c r="F265" i="17"/>
  <c r="C265" i="17" s="1"/>
  <c r="O264" i="17"/>
  <c r="L264" i="17"/>
  <c r="I264" i="17"/>
  <c r="C264" i="17" s="1"/>
  <c r="F264" i="17"/>
  <c r="O263" i="17"/>
  <c r="L263" i="17"/>
  <c r="I263" i="17"/>
  <c r="F263" i="17"/>
  <c r="C263" i="17" s="1"/>
  <c r="O262" i="17"/>
  <c r="N262" i="17"/>
  <c r="M262" i="17"/>
  <c r="M261" i="17" s="1"/>
  <c r="O261" i="17" s="1"/>
  <c r="K262" i="17"/>
  <c r="K261" i="17" s="1"/>
  <c r="L261" i="17" s="1"/>
  <c r="J262" i="17"/>
  <c r="L262" i="17" s="1"/>
  <c r="H262" i="17"/>
  <c r="G262" i="17"/>
  <c r="G261" i="17" s="1"/>
  <c r="I261" i="17" s="1"/>
  <c r="E262" i="17"/>
  <c r="F262" i="17" s="1"/>
  <c r="D262" i="17"/>
  <c r="N261" i="17"/>
  <c r="J261" i="17"/>
  <c r="H261" i="17"/>
  <c r="D261" i="17"/>
  <c r="O260" i="17"/>
  <c r="L260" i="17"/>
  <c r="I260" i="17"/>
  <c r="C260" i="17" s="1"/>
  <c r="F260" i="17"/>
  <c r="O259" i="17"/>
  <c r="L259" i="17"/>
  <c r="I259" i="17"/>
  <c r="F259" i="17"/>
  <c r="C259" i="17" s="1"/>
  <c r="O258" i="17"/>
  <c r="L258" i="17"/>
  <c r="I258" i="17"/>
  <c r="F258" i="17"/>
  <c r="C258" i="17"/>
  <c r="O257" i="17"/>
  <c r="L257" i="17"/>
  <c r="I257" i="17"/>
  <c r="F257" i="17"/>
  <c r="C257" i="17" s="1"/>
  <c r="O256" i="17"/>
  <c r="L256" i="17"/>
  <c r="I256" i="17"/>
  <c r="C256" i="17" s="1"/>
  <c r="F256" i="17"/>
  <c r="N255" i="17"/>
  <c r="N254" i="17" s="1"/>
  <c r="O254" i="17" s="1"/>
  <c r="M255" i="17"/>
  <c r="O255" i="17" s="1"/>
  <c r="K255" i="17"/>
  <c r="J255" i="17"/>
  <c r="J254" i="17" s="1"/>
  <c r="L254" i="17" s="1"/>
  <c r="H255" i="17"/>
  <c r="I255" i="17" s="1"/>
  <c r="G255" i="17"/>
  <c r="F255" i="17"/>
  <c r="E255" i="17"/>
  <c r="D255" i="17"/>
  <c r="D254" i="17" s="1"/>
  <c r="F254" i="17" s="1"/>
  <c r="M254" i="17"/>
  <c r="K254" i="17"/>
  <c r="G254" i="17"/>
  <c r="E254" i="17"/>
  <c r="O253" i="17"/>
  <c r="L253" i="17"/>
  <c r="I253" i="17"/>
  <c r="F253" i="17"/>
  <c r="C253" i="17" s="1"/>
  <c r="O252" i="17"/>
  <c r="L252" i="17"/>
  <c r="I252" i="17"/>
  <c r="C252" i="17" s="1"/>
  <c r="F252" i="17"/>
  <c r="O251" i="17"/>
  <c r="L251" i="17"/>
  <c r="I251" i="17"/>
  <c r="F251" i="17"/>
  <c r="C251" i="17" s="1"/>
  <c r="O250" i="17"/>
  <c r="L250" i="17"/>
  <c r="I250" i="17"/>
  <c r="F250" i="17"/>
  <c r="C250" i="17"/>
  <c r="N249" i="17"/>
  <c r="O249" i="17" s="1"/>
  <c r="M249" i="17"/>
  <c r="L249" i="17"/>
  <c r="K249" i="17"/>
  <c r="J249" i="17"/>
  <c r="H249" i="17"/>
  <c r="G249" i="17"/>
  <c r="I249" i="17" s="1"/>
  <c r="E249" i="17"/>
  <c r="D249" i="17"/>
  <c r="F249" i="17" s="1"/>
  <c r="O248" i="17"/>
  <c r="L248" i="17"/>
  <c r="I248" i="17"/>
  <c r="C248" i="17" s="1"/>
  <c r="F248" i="17"/>
  <c r="O247" i="17"/>
  <c r="L247" i="17"/>
  <c r="I247" i="17"/>
  <c r="F247" i="17"/>
  <c r="C247" i="17" s="1"/>
  <c r="O246" i="17"/>
  <c r="L246" i="17"/>
  <c r="I246" i="17"/>
  <c r="F246" i="17"/>
  <c r="C246" i="17"/>
  <c r="O245" i="17"/>
  <c r="L245" i="17"/>
  <c r="I245" i="17"/>
  <c r="F245" i="17"/>
  <c r="C245" i="17" s="1"/>
  <c r="O244" i="17"/>
  <c r="L244" i="17"/>
  <c r="I244" i="17"/>
  <c r="C244" i="17" s="1"/>
  <c r="F244" i="17"/>
  <c r="O243" i="17"/>
  <c r="L243" i="17"/>
  <c r="I243" i="17"/>
  <c r="F243" i="17"/>
  <c r="C243" i="17" s="1"/>
  <c r="O242" i="17"/>
  <c r="L242" i="17"/>
  <c r="I242" i="17"/>
  <c r="F242" i="17"/>
  <c r="C242" i="17"/>
  <c r="N241" i="17"/>
  <c r="O241" i="17" s="1"/>
  <c r="M241" i="17"/>
  <c r="L241" i="17"/>
  <c r="K241" i="17"/>
  <c r="J241" i="17"/>
  <c r="J234" i="17" s="1"/>
  <c r="J233" i="17" s="1"/>
  <c r="H241" i="17"/>
  <c r="G241" i="17"/>
  <c r="I241" i="17" s="1"/>
  <c r="E241" i="17"/>
  <c r="D241" i="17"/>
  <c r="F241" i="17" s="1"/>
  <c r="C241" i="17" s="1"/>
  <c r="O240" i="17"/>
  <c r="L240" i="17"/>
  <c r="I240" i="17"/>
  <c r="C240" i="17" s="1"/>
  <c r="F240" i="17"/>
  <c r="O239" i="17"/>
  <c r="L239" i="17"/>
  <c r="I239" i="17"/>
  <c r="F239" i="17"/>
  <c r="C239" i="17" s="1"/>
  <c r="O238" i="17"/>
  <c r="N238" i="17"/>
  <c r="M238" i="17"/>
  <c r="K238" i="17"/>
  <c r="K234" i="17" s="1"/>
  <c r="K233" i="17" s="1"/>
  <c r="J238" i="17"/>
  <c r="H238" i="17"/>
  <c r="G238" i="17"/>
  <c r="I238" i="17" s="1"/>
  <c r="E238" i="17"/>
  <c r="F238" i="17" s="1"/>
  <c r="D238" i="17"/>
  <c r="O237" i="17"/>
  <c r="L237" i="17"/>
  <c r="I237" i="17"/>
  <c r="F237" i="17"/>
  <c r="C237" i="17" s="1"/>
  <c r="N236" i="17"/>
  <c r="M236" i="17"/>
  <c r="K236" i="17"/>
  <c r="L236" i="17" s="1"/>
  <c r="J236" i="17"/>
  <c r="I236" i="17"/>
  <c r="H236" i="17"/>
  <c r="H234" i="17" s="1"/>
  <c r="G236" i="17"/>
  <c r="E236" i="17"/>
  <c r="E234" i="17" s="1"/>
  <c r="D236" i="17"/>
  <c r="F236" i="17" s="1"/>
  <c r="O235" i="17"/>
  <c r="L235" i="17"/>
  <c r="I235" i="17"/>
  <c r="F235" i="17"/>
  <c r="C235" i="17" s="1"/>
  <c r="O232" i="17"/>
  <c r="L232" i="17"/>
  <c r="I232" i="17"/>
  <c r="C232" i="17" s="1"/>
  <c r="F232" i="17"/>
  <c r="O231" i="17"/>
  <c r="L231" i="17"/>
  <c r="I231" i="17"/>
  <c r="F231" i="17"/>
  <c r="N230" i="17"/>
  <c r="M230" i="17"/>
  <c r="O230" i="17" s="1"/>
  <c r="K230" i="17"/>
  <c r="J230" i="17"/>
  <c r="L230" i="17" s="1"/>
  <c r="I230" i="17"/>
  <c r="H230" i="17"/>
  <c r="G230" i="17"/>
  <c r="E230" i="17"/>
  <c r="F230" i="17" s="1"/>
  <c r="C230" i="17" s="1"/>
  <c r="D230" i="17"/>
  <c r="O229" i="17"/>
  <c r="L229" i="17"/>
  <c r="I229" i="17"/>
  <c r="F229" i="17"/>
  <c r="C229" i="17" s="1"/>
  <c r="O228" i="17"/>
  <c r="L228" i="17"/>
  <c r="I228" i="17"/>
  <c r="C228" i="17" s="1"/>
  <c r="F228" i="17"/>
  <c r="O227" i="17"/>
  <c r="L227" i="17"/>
  <c r="I227" i="17"/>
  <c r="F227" i="17"/>
  <c r="O226" i="17"/>
  <c r="L226" i="17"/>
  <c r="I226" i="17"/>
  <c r="C226" i="17" s="1"/>
  <c r="F226" i="17"/>
  <c r="O225" i="17"/>
  <c r="L225" i="17"/>
  <c r="I225" i="17"/>
  <c r="F225" i="17"/>
  <c r="O224" i="17"/>
  <c r="L224" i="17"/>
  <c r="I224" i="17"/>
  <c r="F224" i="17"/>
  <c r="C224" i="17"/>
  <c r="O223" i="17"/>
  <c r="L223" i="17"/>
  <c r="I223" i="17"/>
  <c r="F223" i="17"/>
  <c r="C223" i="17" s="1"/>
  <c r="O222" i="17"/>
  <c r="L222" i="17"/>
  <c r="I222" i="17"/>
  <c r="F222" i="17"/>
  <c r="C222" i="17"/>
  <c r="O221" i="17"/>
  <c r="L221" i="17"/>
  <c r="I221" i="17"/>
  <c r="F221" i="17"/>
  <c r="C221" i="17" s="1"/>
  <c r="O220" i="17"/>
  <c r="L220" i="17"/>
  <c r="I220" i="17"/>
  <c r="C220" i="17" s="1"/>
  <c r="F220" i="17"/>
  <c r="N219" i="17"/>
  <c r="M219" i="17"/>
  <c r="O219" i="17" s="1"/>
  <c r="L219" i="17"/>
  <c r="K219" i="17"/>
  <c r="J219" i="17"/>
  <c r="H219" i="17"/>
  <c r="I219" i="17" s="1"/>
  <c r="G219" i="17"/>
  <c r="E219" i="17"/>
  <c r="D219" i="17"/>
  <c r="F219" i="17" s="1"/>
  <c r="C219" i="17" s="1"/>
  <c r="O218" i="17"/>
  <c r="L218" i="17"/>
  <c r="I218" i="17"/>
  <c r="F218" i="17"/>
  <c r="C218" i="17"/>
  <c r="O217" i="17"/>
  <c r="L217" i="17"/>
  <c r="I217" i="17"/>
  <c r="F217" i="17"/>
  <c r="C217" i="17" s="1"/>
  <c r="O216" i="17"/>
  <c r="L216" i="17"/>
  <c r="I216" i="17"/>
  <c r="C216" i="17" s="1"/>
  <c r="F216" i="17"/>
  <c r="O215" i="17"/>
  <c r="L215" i="17"/>
  <c r="I215" i="17"/>
  <c r="F215" i="17"/>
  <c r="O214" i="17"/>
  <c r="L214" i="17"/>
  <c r="I214" i="17"/>
  <c r="C214" i="17" s="1"/>
  <c r="F214" i="17"/>
  <c r="O213" i="17"/>
  <c r="L213" i="17"/>
  <c r="I213" i="17"/>
  <c r="F213" i="17"/>
  <c r="O212" i="17"/>
  <c r="L212" i="17"/>
  <c r="I212" i="17"/>
  <c r="F212" i="17"/>
  <c r="C212" i="17"/>
  <c r="O211" i="17"/>
  <c r="L211" i="17"/>
  <c r="I211" i="17"/>
  <c r="F211" i="17"/>
  <c r="C211" i="17" s="1"/>
  <c r="O210" i="17"/>
  <c r="L210" i="17"/>
  <c r="I210" i="17"/>
  <c r="F210" i="17"/>
  <c r="C210" i="17"/>
  <c r="O209" i="17"/>
  <c r="L209" i="17"/>
  <c r="I209" i="17"/>
  <c r="F209" i="17"/>
  <c r="C209" i="17" s="1"/>
  <c r="N208" i="17"/>
  <c r="M208" i="17"/>
  <c r="M207" i="17" s="1"/>
  <c r="O207" i="17" s="1"/>
  <c r="K208" i="17"/>
  <c r="J208" i="17"/>
  <c r="H208" i="17"/>
  <c r="G208" i="17"/>
  <c r="G207" i="17" s="1"/>
  <c r="E208" i="17"/>
  <c r="D208" i="17"/>
  <c r="F208" i="17" s="1"/>
  <c r="N207" i="17"/>
  <c r="J207" i="17"/>
  <c r="H207" i="17"/>
  <c r="O206" i="17"/>
  <c r="L206" i="17"/>
  <c r="I206" i="17"/>
  <c r="C206" i="17" s="1"/>
  <c r="F206" i="17"/>
  <c r="O205" i="17"/>
  <c r="L205" i="17"/>
  <c r="I205" i="17"/>
  <c r="F205" i="17"/>
  <c r="C205" i="17"/>
  <c r="O204" i="17"/>
  <c r="L204" i="17"/>
  <c r="I204" i="17"/>
  <c r="F204" i="17"/>
  <c r="C204" i="17" s="1"/>
  <c r="O203" i="17"/>
  <c r="L203" i="17"/>
  <c r="I203" i="17"/>
  <c r="F203" i="17"/>
  <c r="O202" i="17"/>
  <c r="L202" i="17"/>
  <c r="I202" i="17"/>
  <c r="C202" i="17" s="1"/>
  <c r="F202" i="17"/>
  <c r="N201" i="17"/>
  <c r="O201" i="17" s="1"/>
  <c r="M201" i="17"/>
  <c r="K201" i="17"/>
  <c r="K199" i="17" s="1"/>
  <c r="J201" i="17"/>
  <c r="J199" i="17" s="1"/>
  <c r="H201" i="17"/>
  <c r="G201" i="17"/>
  <c r="E201" i="17"/>
  <c r="D201" i="17"/>
  <c r="F201" i="17" s="1"/>
  <c r="O200" i="17"/>
  <c r="L200" i="17"/>
  <c r="I200" i="17"/>
  <c r="C200" i="17" s="1"/>
  <c r="F200" i="17"/>
  <c r="N199" i="17"/>
  <c r="N198" i="17" s="1"/>
  <c r="M199" i="17"/>
  <c r="H199" i="17"/>
  <c r="H198" i="17" s="1"/>
  <c r="E199" i="17"/>
  <c r="D199" i="17"/>
  <c r="F199" i="17" s="1"/>
  <c r="O196" i="17"/>
  <c r="L196" i="17"/>
  <c r="I196" i="17"/>
  <c r="F196" i="17"/>
  <c r="C196" i="17" s="1"/>
  <c r="N195" i="17"/>
  <c r="M195" i="17"/>
  <c r="O195" i="17" s="1"/>
  <c r="L195" i="17"/>
  <c r="K195" i="17"/>
  <c r="J195" i="17"/>
  <c r="H195" i="17"/>
  <c r="H194" i="17" s="1"/>
  <c r="G195" i="17"/>
  <c r="E195" i="17"/>
  <c r="D195" i="17"/>
  <c r="D194" i="17" s="1"/>
  <c r="O194" i="17"/>
  <c r="N194" i="17"/>
  <c r="M194" i="17"/>
  <c r="M190" i="17" s="1"/>
  <c r="O190" i="17" s="1"/>
  <c r="K194" i="17"/>
  <c r="K190" i="17" s="1"/>
  <c r="J194" i="17"/>
  <c r="G194" i="17"/>
  <c r="I194" i="17" s="1"/>
  <c r="F194" i="17"/>
  <c r="E194" i="17"/>
  <c r="O193" i="17"/>
  <c r="L193" i="17"/>
  <c r="C193" i="17" s="1"/>
  <c r="I193" i="17"/>
  <c r="F193" i="17"/>
  <c r="O192" i="17"/>
  <c r="L192" i="17"/>
  <c r="I192" i="17"/>
  <c r="F192" i="17"/>
  <c r="C192" i="17"/>
  <c r="N191" i="17"/>
  <c r="M191" i="17"/>
  <c r="K191" i="17"/>
  <c r="J191" i="17"/>
  <c r="L191" i="17" s="1"/>
  <c r="H191" i="17"/>
  <c r="I191" i="17" s="1"/>
  <c r="G191" i="17"/>
  <c r="F191" i="17"/>
  <c r="E191" i="17"/>
  <c r="D191" i="17"/>
  <c r="N190" i="17"/>
  <c r="J190" i="17"/>
  <c r="E190" i="17"/>
  <c r="O189" i="17"/>
  <c r="L189" i="17"/>
  <c r="I189" i="17"/>
  <c r="F189" i="17"/>
  <c r="C189" i="17" s="1"/>
  <c r="O188" i="17"/>
  <c r="L188" i="17"/>
  <c r="I188" i="17"/>
  <c r="C188" i="17" s="1"/>
  <c r="F188" i="17"/>
  <c r="N187" i="17"/>
  <c r="M187" i="17"/>
  <c r="K187" i="17"/>
  <c r="J187" i="17"/>
  <c r="L187" i="17" s="1"/>
  <c r="I187" i="17"/>
  <c r="H187" i="17"/>
  <c r="G187" i="17"/>
  <c r="F187" i="17"/>
  <c r="E187" i="17"/>
  <c r="D187" i="17"/>
  <c r="O186" i="17"/>
  <c r="L186" i="17"/>
  <c r="I186" i="17"/>
  <c r="C186" i="17" s="1"/>
  <c r="F186" i="17"/>
  <c r="O185" i="17"/>
  <c r="L185" i="17"/>
  <c r="I185" i="17"/>
  <c r="F185" i="17"/>
  <c r="C185" i="17"/>
  <c r="O184" i="17"/>
  <c r="L184" i="17"/>
  <c r="I184" i="17"/>
  <c r="F184" i="17"/>
  <c r="C184" i="17" s="1"/>
  <c r="O183" i="17"/>
  <c r="L183" i="17"/>
  <c r="I183" i="17"/>
  <c r="F183" i="17"/>
  <c r="C183" i="17" s="1"/>
  <c r="N182" i="17"/>
  <c r="M182" i="17"/>
  <c r="O182" i="17" s="1"/>
  <c r="K182" i="17"/>
  <c r="J182" i="17"/>
  <c r="L182" i="17" s="1"/>
  <c r="I182" i="17"/>
  <c r="H182" i="17"/>
  <c r="G182" i="17"/>
  <c r="F182" i="17"/>
  <c r="C182" i="17" s="1"/>
  <c r="E182" i="17"/>
  <c r="D182" i="17"/>
  <c r="O181" i="17"/>
  <c r="L181" i="17"/>
  <c r="I181" i="17"/>
  <c r="F181" i="17"/>
  <c r="C181" i="17"/>
  <c r="O180" i="17"/>
  <c r="L180" i="17"/>
  <c r="I180" i="17"/>
  <c r="F180" i="17"/>
  <c r="C180" i="17" s="1"/>
  <c r="O179" i="17"/>
  <c r="L179" i="17"/>
  <c r="I179" i="17"/>
  <c r="F179" i="17"/>
  <c r="C179" i="17" s="1"/>
  <c r="N178" i="17"/>
  <c r="N177" i="17" s="1"/>
  <c r="N176" i="17" s="1"/>
  <c r="M178" i="17"/>
  <c r="O178" i="17" s="1"/>
  <c r="K178" i="17"/>
  <c r="J178" i="17"/>
  <c r="L178" i="17" s="1"/>
  <c r="I178" i="17"/>
  <c r="H178" i="17"/>
  <c r="G178" i="17"/>
  <c r="F178" i="17"/>
  <c r="C178" i="17" s="1"/>
  <c r="E178" i="17"/>
  <c r="E177" i="17" s="1"/>
  <c r="D178" i="17"/>
  <c r="K177" i="17"/>
  <c r="J177" i="17"/>
  <c r="L177" i="17" s="1"/>
  <c r="H177" i="17"/>
  <c r="G177" i="17"/>
  <c r="I177" i="17" s="1"/>
  <c r="D177" i="17"/>
  <c r="K176" i="17"/>
  <c r="H176" i="17"/>
  <c r="G176" i="17"/>
  <c r="I176" i="17" s="1"/>
  <c r="D176" i="17"/>
  <c r="O175" i="17"/>
  <c r="L175" i="17"/>
  <c r="I175" i="17"/>
  <c r="F175" i="17"/>
  <c r="C175" i="17" s="1"/>
  <c r="O174" i="17"/>
  <c r="L174" i="17"/>
  <c r="I174" i="17"/>
  <c r="C174" i="17" s="1"/>
  <c r="F174" i="17"/>
  <c r="O173" i="17"/>
  <c r="L173" i="17"/>
  <c r="I173" i="17"/>
  <c r="F173" i="17"/>
  <c r="C173" i="17"/>
  <c r="O172" i="17"/>
  <c r="L172" i="17"/>
  <c r="I172" i="17"/>
  <c r="F172" i="17"/>
  <c r="C172" i="17" s="1"/>
  <c r="O171" i="17"/>
  <c r="L171" i="17"/>
  <c r="I171" i="17"/>
  <c r="F171" i="17"/>
  <c r="C171" i="17" s="1"/>
  <c r="O170" i="17"/>
  <c r="L170" i="17"/>
  <c r="I170" i="17"/>
  <c r="C170" i="17" s="1"/>
  <c r="F170" i="17"/>
  <c r="O169" i="17"/>
  <c r="N169" i="17"/>
  <c r="N168" i="17" s="1"/>
  <c r="O168" i="17" s="1"/>
  <c r="M169" i="17"/>
  <c r="K169" i="17"/>
  <c r="J169" i="17"/>
  <c r="L169" i="17" s="1"/>
  <c r="H169" i="17"/>
  <c r="G169" i="17"/>
  <c r="I169" i="17" s="1"/>
  <c r="F169" i="17"/>
  <c r="E169" i="17"/>
  <c r="D169" i="17"/>
  <c r="M168" i="17"/>
  <c r="K168" i="17"/>
  <c r="H168" i="17"/>
  <c r="G168" i="17"/>
  <c r="I168" i="17" s="1"/>
  <c r="E168" i="17"/>
  <c r="D168" i="17"/>
  <c r="F168" i="17" s="1"/>
  <c r="O167" i="17"/>
  <c r="L167" i="17"/>
  <c r="I167" i="17"/>
  <c r="F167" i="17"/>
  <c r="C167" i="17" s="1"/>
  <c r="O166" i="17"/>
  <c r="L166" i="17"/>
  <c r="I166" i="17"/>
  <c r="C166" i="17" s="1"/>
  <c r="F166" i="17"/>
  <c r="O165" i="17"/>
  <c r="L165" i="17"/>
  <c r="I165" i="17"/>
  <c r="F165" i="17"/>
  <c r="C165" i="17"/>
  <c r="O164" i="17"/>
  <c r="L164" i="17"/>
  <c r="I164" i="17"/>
  <c r="F164" i="17"/>
  <c r="C164" i="17" s="1"/>
  <c r="N163" i="17"/>
  <c r="M163" i="17"/>
  <c r="O163" i="17" s="1"/>
  <c r="L163" i="17"/>
  <c r="K163" i="17"/>
  <c r="J163" i="17"/>
  <c r="I163" i="17"/>
  <c r="H163" i="17"/>
  <c r="G163" i="17"/>
  <c r="E163" i="17"/>
  <c r="D163" i="17"/>
  <c r="F163" i="17" s="1"/>
  <c r="C163" i="17" s="1"/>
  <c r="O162" i="17"/>
  <c r="L162" i="17"/>
  <c r="I162" i="17"/>
  <c r="C162" i="17" s="1"/>
  <c r="F162" i="17"/>
  <c r="O161" i="17"/>
  <c r="L161" i="17"/>
  <c r="I161" i="17"/>
  <c r="F161" i="17"/>
  <c r="C161" i="17"/>
  <c r="O160" i="17"/>
  <c r="L160" i="17"/>
  <c r="I160" i="17"/>
  <c r="F160" i="17"/>
  <c r="C160" i="17" s="1"/>
  <c r="O159" i="17"/>
  <c r="L159" i="17"/>
  <c r="I159" i="17"/>
  <c r="F159" i="17"/>
  <c r="C159" i="17" s="1"/>
  <c r="O158" i="17"/>
  <c r="L158" i="17"/>
  <c r="I158" i="17"/>
  <c r="C158" i="17" s="1"/>
  <c r="F158" i="17"/>
  <c r="O157" i="17"/>
  <c r="L157" i="17"/>
  <c r="I157" i="17"/>
  <c r="F157" i="17"/>
  <c r="C157" i="17"/>
  <c r="O156" i="17"/>
  <c r="L156" i="17"/>
  <c r="I156" i="17"/>
  <c r="F156" i="17"/>
  <c r="C156" i="17" s="1"/>
  <c r="O155" i="17"/>
  <c r="L155" i="17"/>
  <c r="I155" i="17"/>
  <c r="F155" i="17"/>
  <c r="C155" i="17" s="1"/>
  <c r="N154" i="17"/>
  <c r="M154" i="17"/>
  <c r="O154" i="17" s="1"/>
  <c r="K154" i="17"/>
  <c r="J154" i="17"/>
  <c r="L154" i="17" s="1"/>
  <c r="I154" i="17"/>
  <c r="H154" i="17"/>
  <c r="G154" i="17"/>
  <c r="F154" i="17"/>
  <c r="C154" i="17" s="1"/>
  <c r="E154" i="17"/>
  <c r="D154" i="17"/>
  <c r="O153" i="17"/>
  <c r="L153" i="17"/>
  <c r="I153" i="17"/>
  <c r="F153" i="17"/>
  <c r="C153" i="17"/>
  <c r="O152" i="17"/>
  <c r="L152" i="17"/>
  <c r="I152" i="17"/>
  <c r="F152" i="17"/>
  <c r="C152" i="17" s="1"/>
  <c r="O151" i="17"/>
  <c r="L151" i="17"/>
  <c r="I151" i="17"/>
  <c r="F151" i="17"/>
  <c r="C151" i="17" s="1"/>
  <c r="O150" i="17"/>
  <c r="L150" i="17"/>
  <c r="I150" i="17"/>
  <c r="C150" i="17" s="1"/>
  <c r="F150" i="17"/>
  <c r="O149" i="17"/>
  <c r="L149" i="17"/>
  <c r="I149" i="17"/>
  <c r="F149" i="17"/>
  <c r="C149" i="17"/>
  <c r="O148" i="17"/>
  <c r="L148" i="17"/>
  <c r="I148" i="17"/>
  <c r="F148" i="17"/>
  <c r="C148" i="17" s="1"/>
  <c r="N147" i="17"/>
  <c r="M147" i="17"/>
  <c r="O147" i="17" s="1"/>
  <c r="L147" i="17"/>
  <c r="K147" i="17"/>
  <c r="J147" i="17"/>
  <c r="I147" i="17"/>
  <c r="H147" i="17"/>
  <c r="G147" i="17"/>
  <c r="E147" i="17"/>
  <c r="D147" i="17"/>
  <c r="F147" i="17" s="1"/>
  <c r="C147" i="17" s="1"/>
  <c r="O146" i="17"/>
  <c r="L146" i="17"/>
  <c r="I146" i="17"/>
  <c r="C146" i="17" s="1"/>
  <c r="F146" i="17"/>
  <c r="O145" i="17"/>
  <c r="L145" i="17"/>
  <c r="I145" i="17"/>
  <c r="F145" i="17"/>
  <c r="C145" i="17"/>
  <c r="O144" i="17"/>
  <c r="N144" i="17"/>
  <c r="M144" i="17"/>
  <c r="L144" i="17"/>
  <c r="K144" i="17"/>
  <c r="J144" i="17"/>
  <c r="H144" i="17"/>
  <c r="G144" i="17"/>
  <c r="I144" i="17" s="1"/>
  <c r="E144" i="17"/>
  <c r="D144" i="17"/>
  <c r="F144" i="17" s="1"/>
  <c r="O143" i="17"/>
  <c r="L143" i="17"/>
  <c r="I143" i="17"/>
  <c r="F143" i="17"/>
  <c r="C143" i="17" s="1"/>
  <c r="O142" i="17"/>
  <c r="L142" i="17"/>
  <c r="I142" i="17"/>
  <c r="C142" i="17" s="1"/>
  <c r="F142" i="17"/>
  <c r="O141" i="17"/>
  <c r="L141" i="17"/>
  <c r="I141" i="17"/>
  <c r="F141" i="17"/>
  <c r="C141" i="17"/>
  <c r="O140" i="17"/>
  <c r="L140" i="17"/>
  <c r="I140" i="17"/>
  <c r="F140" i="17"/>
  <c r="C140" i="17" s="1"/>
  <c r="N139" i="17"/>
  <c r="M139" i="17"/>
  <c r="O139" i="17" s="1"/>
  <c r="L139" i="17"/>
  <c r="K139" i="17"/>
  <c r="J139" i="17"/>
  <c r="I139" i="17"/>
  <c r="H139" i="17"/>
  <c r="G139" i="17"/>
  <c r="E139" i="17"/>
  <c r="D139" i="17"/>
  <c r="F139" i="17" s="1"/>
  <c r="C139" i="17" s="1"/>
  <c r="O138" i="17"/>
  <c r="L138" i="17"/>
  <c r="I138" i="17"/>
  <c r="C138" i="17" s="1"/>
  <c r="F138" i="17"/>
  <c r="O137" i="17"/>
  <c r="L137" i="17"/>
  <c r="I137" i="17"/>
  <c r="F137" i="17"/>
  <c r="C137" i="17"/>
  <c r="O136" i="17"/>
  <c r="L136" i="17"/>
  <c r="I136" i="17"/>
  <c r="F136" i="17"/>
  <c r="C136" i="17" s="1"/>
  <c r="O135" i="17"/>
  <c r="L135" i="17"/>
  <c r="I135" i="17"/>
  <c r="F135" i="17"/>
  <c r="C135" i="17" s="1"/>
  <c r="N134" i="17"/>
  <c r="N133" i="17" s="1"/>
  <c r="M134" i="17"/>
  <c r="O134" i="17" s="1"/>
  <c r="K134" i="17"/>
  <c r="J134" i="17"/>
  <c r="L134" i="17" s="1"/>
  <c r="I134" i="17"/>
  <c r="H134" i="17"/>
  <c r="G134" i="17"/>
  <c r="F134" i="17"/>
  <c r="E134" i="17"/>
  <c r="E133" i="17" s="1"/>
  <c r="D134" i="17"/>
  <c r="K133" i="17"/>
  <c r="J133" i="17"/>
  <c r="L133" i="17" s="1"/>
  <c r="H133" i="17"/>
  <c r="G133" i="17"/>
  <c r="I133" i="17" s="1"/>
  <c r="D133" i="17"/>
  <c r="F133" i="17" s="1"/>
  <c r="O132" i="17"/>
  <c r="L132" i="17"/>
  <c r="I132" i="17"/>
  <c r="F132" i="17"/>
  <c r="C132" i="17" s="1"/>
  <c r="N131" i="17"/>
  <c r="M131" i="17"/>
  <c r="O131" i="17" s="1"/>
  <c r="K131" i="17"/>
  <c r="J131" i="17"/>
  <c r="L131" i="17" s="1"/>
  <c r="I131" i="17"/>
  <c r="H131" i="17"/>
  <c r="G131" i="17"/>
  <c r="E131" i="17"/>
  <c r="D131" i="17"/>
  <c r="F131" i="17" s="1"/>
  <c r="O130" i="17"/>
  <c r="L130" i="17"/>
  <c r="I130" i="17"/>
  <c r="C130" i="17" s="1"/>
  <c r="F130" i="17"/>
  <c r="O129" i="17"/>
  <c r="L129" i="17"/>
  <c r="I129" i="17"/>
  <c r="F129" i="17"/>
  <c r="C129" i="17"/>
  <c r="O128" i="17"/>
  <c r="L128" i="17"/>
  <c r="I128" i="17"/>
  <c r="F128" i="17"/>
  <c r="C128" i="17" s="1"/>
  <c r="O127" i="17"/>
  <c r="L127" i="17"/>
  <c r="I127" i="17"/>
  <c r="F127" i="17"/>
  <c r="C127" i="17" s="1"/>
  <c r="O126" i="17"/>
  <c r="L126" i="17"/>
  <c r="I126" i="17"/>
  <c r="C126" i="17" s="1"/>
  <c r="F126" i="17"/>
  <c r="O125" i="17"/>
  <c r="N125" i="17"/>
  <c r="M125" i="17"/>
  <c r="K125" i="17"/>
  <c r="J125" i="17"/>
  <c r="L125" i="17" s="1"/>
  <c r="H125" i="17"/>
  <c r="G125" i="17"/>
  <c r="I125" i="17" s="1"/>
  <c r="F125" i="17"/>
  <c r="E125" i="17"/>
  <c r="D125" i="17"/>
  <c r="O124" i="17"/>
  <c r="L124" i="17"/>
  <c r="I124" i="17"/>
  <c r="F124" i="17"/>
  <c r="C124" i="17" s="1"/>
  <c r="O123" i="17"/>
  <c r="L123" i="17"/>
  <c r="I123" i="17"/>
  <c r="F123" i="17"/>
  <c r="C123" i="17" s="1"/>
  <c r="O122" i="17"/>
  <c r="L122" i="17"/>
  <c r="I122" i="17"/>
  <c r="C122" i="17" s="1"/>
  <c r="F122" i="17"/>
  <c r="O121" i="17"/>
  <c r="L121" i="17"/>
  <c r="I121" i="17"/>
  <c r="F121" i="17"/>
  <c r="C121" i="17"/>
  <c r="O120" i="17"/>
  <c r="L120" i="17"/>
  <c r="I120" i="17"/>
  <c r="F120" i="17"/>
  <c r="C120" i="17" s="1"/>
  <c r="N119" i="17"/>
  <c r="M119" i="17"/>
  <c r="O119" i="17" s="1"/>
  <c r="L119" i="17"/>
  <c r="K119" i="17"/>
  <c r="J119" i="17"/>
  <c r="I119" i="17"/>
  <c r="H119" i="17"/>
  <c r="G119" i="17"/>
  <c r="E119" i="17"/>
  <c r="D119" i="17"/>
  <c r="F119" i="17" s="1"/>
  <c r="C119" i="17" s="1"/>
  <c r="O118" i="17"/>
  <c r="L118" i="17"/>
  <c r="I118" i="17"/>
  <c r="C118" i="17" s="1"/>
  <c r="F118" i="17"/>
  <c r="O117" i="17"/>
  <c r="L117" i="17"/>
  <c r="I117" i="17"/>
  <c r="F117" i="17"/>
  <c r="C117" i="17"/>
  <c r="O116" i="17"/>
  <c r="L116" i="17"/>
  <c r="I116" i="17"/>
  <c r="F116" i="17"/>
  <c r="C116" i="17" s="1"/>
  <c r="N115" i="17"/>
  <c r="M115" i="17"/>
  <c r="O115" i="17" s="1"/>
  <c r="L115" i="17"/>
  <c r="K115" i="17"/>
  <c r="J115" i="17"/>
  <c r="I115" i="17"/>
  <c r="H115" i="17"/>
  <c r="G115" i="17"/>
  <c r="E115" i="17"/>
  <c r="D115" i="17"/>
  <c r="F115" i="17" s="1"/>
  <c r="C115" i="17" s="1"/>
  <c r="O114" i="17"/>
  <c r="L114" i="17"/>
  <c r="I114" i="17"/>
  <c r="C114" i="17" s="1"/>
  <c r="F114" i="17"/>
  <c r="O113" i="17"/>
  <c r="L113" i="17"/>
  <c r="I113" i="17"/>
  <c r="F113" i="17"/>
  <c r="C113" i="17"/>
  <c r="O112" i="17"/>
  <c r="L112" i="17"/>
  <c r="I112" i="17"/>
  <c r="F112" i="17"/>
  <c r="C112" i="17" s="1"/>
  <c r="O111" i="17"/>
  <c r="L111" i="17"/>
  <c r="I111" i="17"/>
  <c r="F111" i="17"/>
  <c r="C111" i="17" s="1"/>
  <c r="O110" i="17"/>
  <c r="L110" i="17"/>
  <c r="I110" i="17"/>
  <c r="C110" i="17" s="1"/>
  <c r="F110" i="17"/>
  <c r="O109" i="17"/>
  <c r="L109" i="17"/>
  <c r="I109" i="17"/>
  <c r="F109" i="17"/>
  <c r="C109" i="17"/>
  <c r="O108" i="17"/>
  <c r="L108" i="17"/>
  <c r="I108" i="17"/>
  <c r="F108" i="17"/>
  <c r="C108" i="17" s="1"/>
  <c r="O107" i="17"/>
  <c r="L107" i="17"/>
  <c r="I107" i="17"/>
  <c r="F107" i="17"/>
  <c r="C107" i="17" s="1"/>
  <c r="N106" i="17"/>
  <c r="M106" i="17"/>
  <c r="O106" i="17" s="1"/>
  <c r="K106" i="17"/>
  <c r="J106" i="17"/>
  <c r="L106" i="17" s="1"/>
  <c r="I106" i="17"/>
  <c r="H106" i="17"/>
  <c r="G106" i="17"/>
  <c r="F106" i="17"/>
  <c r="C106" i="17" s="1"/>
  <c r="E106" i="17"/>
  <c r="D106" i="17"/>
  <c r="O105" i="17"/>
  <c r="L105" i="17"/>
  <c r="I105" i="17"/>
  <c r="F105" i="17"/>
  <c r="C105" i="17"/>
  <c r="O104" i="17"/>
  <c r="L104" i="17"/>
  <c r="I104" i="17"/>
  <c r="F104" i="17"/>
  <c r="C104" i="17" s="1"/>
  <c r="O103" i="17"/>
  <c r="L103" i="17"/>
  <c r="I103" i="17"/>
  <c r="F103" i="17"/>
  <c r="C103" i="17" s="1"/>
  <c r="O102" i="17"/>
  <c r="L102" i="17"/>
  <c r="I102" i="17"/>
  <c r="C102" i="17" s="1"/>
  <c r="F102" i="17"/>
  <c r="O101" i="17"/>
  <c r="L101" i="17"/>
  <c r="I101" i="17"/>
  <c r="F101" i="17"/>
  <c r="C101" i="17"/>
  <c r="O100" i="17"/>
  <c r="L100" i="17"/>
  <c r="I100" i="17"/>
  <c r="F100" i="17"/>
  <c r="C100" i="17" s="1"/>
  <c r="O99" i="17"/>
  <c r="L99" i="17"/>
  <c r="I99" i="17"/>
  <c r="F99" i="17"/>
  <c r="C99" i="17" s="1"/>
  <c r="N98" i="17"/>
  <c r="M98" i="17"/>
  <c r="O98" i="17" s="1"/>
  <c r="K98" i="17"/>
  <c r="J98" i="17"/>
  <c r="L98" i="17" s="1"/>
  <c r="I98" i="17"/>
  <c r="H98" i="17"/>
  <c r="G98" i="17"/>
  <c r="F98" i="17"/>
  <c r="C98" i="17" s="1"/>
  <c r="E98" i="17"/>
  <c r="D98" i="17"/>
  <c r="O97" i="17"/>
  <c r="L97" i="17"/>
  <c r="I97" i="17"/>
  <c r="F97" i="17"/>
  <c r="C97" i="17"/>
  <c r="O96" i="17"/>
  <c r="L96" i="17"/>
  <c r="I96" i="17"/>
  <c r="F96" i="17"/>
  <c r="C96" i="17" s="1"/>
  <c r="O95" i="17"/>
  <c r="L95" i="17"/>
  <c r="I95" i="17"/>
  <c r="F95" i="17"/>
  <c r="C95" i="17" s="1"/>
  <c r="O94" i="17"/>
  <c r="L94" i="17"/>
  <c r="I94" i="17"/>
  <c r="C94" i="17" s="1"/>
  <c r="F94" i="17"/>
  <c r="O93" i="17"/>
  <c r="L93" i="17"/>
  <c r="I93" i="17"/>
  <c r="F93" i="17"/>
  <c r="C93" i="17"/>
  <c r="N92" i="17"/>
  <c r="M92" i="17"/>
  <c r="O92" i="17" s="1"/>
  <c r="L92" i="17"/>
  <c r="K92" i="17"/>
  <c r="J92" i="17"/>
  <c r="H92" i="17"/>
  <c r="G92" i="17"/>
  <c r="I92" i="17" s="1"/>
  <c r="E92" i="17"/>
  <c r="D92" i="17"/>
  <c r="F92" i="17" s="1"/>
  <c r="O91" i="17"/>
  <c r="L91" i="17"/>
  <c r="I91" i="17"/>
  <c r="F91" i="17"/>
  <c r="C91" i="17" s="1"/>
  <c r="O90" i="17"/>
  <c r="L90" i="17"/>
  <c r="I90" i="17"/>
  <c r="C90" i="17" s="1"/>
  <c r="F90" i="17"/>
  <c r="O89" i="17"/>
  <c r="L89" i="17"/>
  <c r="I89" i="17"/>
  <c r="F89" i="17"/>
  <c r="C89" i="17"/>
  <c r="O88" i="17"/>
  <c r="L88" i="17"/>
  <c r="I88" i="17"/>
  <c r="F88" i="17"/>
  <c r="C88" i="17" s="1"/>
  <c r="N87" i="17"/>
  <c r="M87" i="17"/>
  <c r="M86" i="17" s="1"/>
  <c r="O86" i="17" s="1"/>
  <c r="K87" i="17"/>
  <c r="J87" i="17"/>
  <c r="L87" i="17" s="1"/>
  <c r="I87" i="17"/>
  <c r="H87" i="17"/>
  <c r="H86" i="17" s="1"/>
  <c r="G87" i="17"/>
  <c r="E87" i="17"/>
  <c r="D87" i="17"/>
  <c r="F87" i="17" s="1"/>
  <c r="N86" i="17"/>
  <c r="K86" i="17"/>
  <c r="J86" i="17"/>
  <c r="L86" i="17" s="1"/>
  <c r="G86" i="17"/>
  <c r="E86" i="17"/>
  <c r="O85" i="17"/>
  <c r="L85" i="17"/>
  <c r="I85" i="17"/>
  <c r="F85" i="17"/>
  <c r="C85" i="17"/>
  <c r="O84" i="17"/>
  <c r="L84" i="17"/>
  <c r="I84" i="17"/>
  <c r="F84" i="17"/>
  <c r="C84" i="17" s="1"/>
  <c r="N83" i="17"/>
  <c r="M83" i="17"/>
  <c r="O83" i="17" s="1"/>
  <c r="K83" i="17"/>
  <c r="J83" i="17"/>
  <c r="L83" i="17" s="1"/>
  <c r="I83" i="17"/>
  <c r="H83" i="17"/>
  <c r="G83" i="17"/>
  <c r="E83" i="17"/>
  <c r="F83" i="17" s="1"/>
  <c r="D83" i="17"/>
  <c r="O82" i="17"/>
  <c r="L82" i="17"/>
  <c r="C82" i="17" s="1"/>
  <c r="I82" i="17"/>
  <c r="F82" i="17"/>
  <c r="O81" i="17"/>
  <c r="L81" i="17"/>
  <c r="I81" i="17"/>
  <c r="F81" i="17"/>
  <c r="C81" i="17"/>
  <c r="N80" i="17"/>
  <c r="M80" i="17"/>
  <c r="O80" i="17" s="1"/>
  <c r="L80" i="17"/>
  <c r="K80" i="17"/>
  <c r="K79" i="17" s="1"/>
  <c r="K78" i="17" s="1"/>
  <c r="J80" i="17"/>
  <c r="H80" i="17"/>
  <c r="I80" i="17" s="1"/>
  <c r="G80" i="17"/>
  <c r="G79" i="17" s="1"/>
  <c r="E80" i="17"/>
  <c r="D80" i="17"/>
  <c r="D79" i="17" s="1"/>
  <c r="N79" i="17"/>
  <c r="M79" i="17"/>
  <c r="J79" i="17"/>
  <c r="L79" i="17" s="1"/>
  <c r="E79" i="17"/>
  <c r="E78" i="17" s="1"/>
  <c r="O77" i="17"/>
  <c r="L77" i="17"/>
  <c r="I77" i="17"/>
  <c r="F77" i="17"/>
  <c r="C77" i="17"/>
  <c r="O76" i="17"/>
  <c r="L76" i="17"/>
  <c r="I76" i="17"/>
  <c r="F76" i="17"/>
  <c r="C76" i="17" s="1"/>
  <c r="O75" i="17"/>
  <c r="L75" i="17"/>
  <c r="I75" i="17"/>
  <c r="F75" i="17"/>
  <c r="C75" i="17" s="1"/>
  <c r="O74" i="17"/>
  <c r="L74" i="17"/>
  <c r="C74" i="17" s="1"/>
  <c r="I74" i="17"/>
  <c r="F74" i="17"/>
  <c r="O73" i="17"/>
  <c r="L73" i="17"/>
  <c r="I73" i="17"/>
  <c r="F73" i="17"/>
  <c r="C73" i="17"/>
  <c r="N72" i="17"/>
  <c r="M72" i="17"/>
  <c r="O72" i="17" s="1"/>
  <c r="L72" i="17"/>
  <c r="K72" i="17"/>
  <c r="J72" i="17"/>
  <c r="H72" i="17"/>
  <c r="I72" i="17" s="1"/>
  <c r="G72" i="17"/>
  <c r="E72" i="17"/>
  <c r="D72" i="17"/>
  <c r="F72" i="17" s="1"/>
  <c r="C72" i="17" s="1"/>
  <c r="O71" i="17"/>
  <c r="L71" i="17"/>
  <c r="I71" i="17"/>
  <c r="F71" i="17"/>
  <c r="C71" i="17" s="1"/>
  <c r="N70" i="17"/>
  <c r="O70" i="17" s="1"/>
  <c r="M70" i="17"/>
  <c r="K70" i="17"/>
  <c r="J70" i="17"/>
  <c r="L70" i="17" s="1"/>
  <c r="G70" i="17"/>
  <c r="E70" i="17"/>
  <c r="O69" i="17"/>
  <c r="L69" i="17"/>
  <c r="I69" i="17"/>
  <c r="F69" i="17"/>
  <c r="C69" i="17"/>
  <c r="O68" i="17"/>
  <c r="L68" i="17"/>
  <c r="I68" i="17"/>
  <c r="F68" i="17"/>
  <c r="C68" i="17" s="1"/>
  <c r="O67" i="17"/>
  <c r="L67" i="17"/>
  <c r="I67" i="17"/>
  <c r="F67" i="17"/>
  <c r="C67" i="17" s="1"/>
  <c r="O66" i="17"/>
  <c r="L66" i="17"/>
  <c r="C66" i="17" s="1"/>
  <c r="I66" i="17"/>
  <c r="F66" i="17"/>
  <c r="O65" i="17"/>
  <c r="L65" i="17"/>
  <c r="I65" i="17"/>
  <c r="F65" i="17"/>
  <c r="C65" i="17"/>
  <c r="O64" i="17"/>
  <c r="L64" i="17"/>
  <c r="I64" i="17"/>
  <c r="F64" i="17"/>
  <c r="C64" i="17" s="1"/>
  <c r="O63" i="17"/>
  <c r="L63" i="17"/>
  <c r="I63" i="17"/>
  <c r="F63" i="17"/>
  <c r="C63" i="17" s="1"/>
  <c r="O62" i="17"/>
  <c r="L62" i="17"/>
  <c r="C62" i="17" s="1"/>
  <c r="I62" i="17"/>
  <c r="F62" i="17"/>
  <c r="O61" i="17"/>
  <c r="N61" i="17"/>
  <c r="M61" i="17"/>
  <c r="K61" i="17"/>
  <c r="J61" i="17"/>
  <c r="L61" i="17" s="1"/>
  <c r="H61" i="17"/>
  <c r="G61" i="17"/>
  <c r="I61" i="17" s="1"/>
  <c r="E61" i="17"/>
  <c r="D61" i="17"/>
  <c r="F61" i="17" s="1"/>
  <c r="C61" i="17" s="1"/>
  <c r="O60" i="17"/>
  <c r="L60" i="17"/>
  <c r="I60" i="17"/>
  <c r="F60" i="17"/>
  <c r="C60" i="17" s="1"/>
  <c r="O59" i="17"/>
  <c r="L59" i="17"/>
  <c r="I59" i="17"/>
  <c r="F59" i="17"/>
  <c r="C59" i="17" s="1"/>
  <c r="N58" i="17"/>
  <c r="O58" i="17" s="1"/>
  <c r="M58" i="17"/>
  <c r="M57" i="17" s="1"/>
  <c r="K58" i="17"/>
  <c r="J58" i="17"/>
  <c r="L58" i="17" s="1"/>
  <c r="H58" i="17"/>
  <c r="G58" i="17"/>
  <c r="I58" i="17" s="1"/>
  <c r="F58" i="17"/>
  <c r="E58" i="17"/>
  <c r="E57" i="17" s="1"/>
  <c r="E56" i="17" s="1"/>
  <c r="D58" i="17"/>
  <c r="K57" i="17"/>
  <c r="J57" i="17"/>
  <c r="L57" i="17" s="1"/>
  <c r="H57" i="17"/>
  <c r="G57" i="17"/>
  <c r="G56" i="17" s="1"/>
  <c r="D57" i="17"/>
  <c r="K56" i="17"/>
  <c r="K55" i="17" s="1"/>
  <c r="O50" i="17"/>
  <c r="C50" i="17" s="1"/>
  <c r="O49" i="17"/>
  <c r="C49" i="17"/>
  <c r="N48" i="17"/>
  <c r="M48" i="17"/>
  <c r="O48" i="17" s="1"/>
  <c r="C48" i="17" s="1"/>
  <c r="L47" i="17"/>
  <c r="I47" i="17"/>
  <c r="F47" i="17"/>
  <c r="C47" i="17"/>
  <c r="K46" i="17"/>
  <c r="J46" i="17"/>
  <c r="L46" i="17" s="1"/>
  <c r="I46" i="17"/>
  <c r="H46" i="17"/>
  <c r="G46" i="17"/>
  <c r="E46" i="17"/>
  <c r="F46" i="17" s="1"/>
  <c r="C46" i="17" s="1"/>
  <c r="D46" i="17"/>
  <c r="F45" i="17"/>
  <c r="C45" i="17"/>
  <c r="L44" i="17"/>
  <c r="C44" i="17" s="1"/>
  <c r="L43" i="17"/>
  <c r="C43" i="17"/>
  <c r="L42" i="17"/>
  <c r="C42" i="17" s="1"/>
  <c r="L41" i="17"/>
  <c r="C41" i="17"/>
  <c r="K40" i="17"/>
  <c r="J40" i="17"/>
  <c r="L40" i="17" s="1"/>
  <c r="C40" i="17" s="1"/>
  <c r="L39" i="17"/>
  <c r="C39" i="17" s="1"/>
  <c r="L38" i="17"/>
  <c r="C38" i="17"/>
  <c r="K37" i="17"/>
  <c r="J37" i="17"/>
  <c r="L37" i="17" s="1"/>
  <c r="C37" i="17" s="1"/>
  <c r="L36" i="17"/>
  <c r="C36" i="17" s="1"/>
  <c r="K35" i="17"/>
  <c r="L35" i="17" s="1"/>
  <c r="C35" i="17" s="1"/>
  <c r="J35" i="17"/>
  <c r="L34" i="17"/>
  <c r="C34" i="17"/>
  <c r="L33" i="17"/>
  <c r="C33" i="17" s="1"/>
  <c r="L32" i="17"/>
  <c r="C32" i="17"/>
  <c r="K31" i="17"/>
  <c r="J31" i="17"/>
  <c r="L31" i="17" s="1"/>
  <c r="C31" i="17" s="1"/>
  <c r="J30" i="17"/>
  <c r="F29" i="17"/>
  <c r="C29" i="17" s="1"/>
  <c r="I28" i="17"/>
  <c r="F28" i="17"/>
  <c r="C28" i="17" s="1"/>
  <c r="O27" i="17"/>
  <c r="L27" i="17"/>
  <c r="I27" i="17"/>
  <c r="F27" i="17"/>
  <c r="C27" i="17" s="1"/>
  <c r="O26" i="17"/>
  <c r="L26" i="17"/>
  <c r="I26" i="17"/>
  <c r="F26" i="17"/>
  <c r="C26" i="17"/>
  <c r="O25" i="17"/>
  <c r="N25" i="17"/>
  <c r="N290" i="17" s="1"/>
  <c r="N289" i="17" s="1"/>
  <c r="M25" i="17"/>
  <c r="M290" i="17" s="1"/>
  <c r="L25" i="17"/>
  <c r="K25" i="17"/>
  <c r="K290" i="17" s="1"/>
  <c r="K289" i="17" s="1"/>
  <c r="J25" i="17"/>
  <c r="J290" i="17" s="1"/>
  <c r="H25" i="17"/>
  <c r="H290" i="17" s="1"/>
  <c r="H289" i="17" s="1"/>
  <c r="G25" i="17"/>
  <c r="G290" i="17" s="1"/>
  <c r="E25" i="17"/>
  <c r="E290" i="17" s="1"/>
  <c r="E289" i="17" s="1"/>
  <c r="D25" i="17"/>
  <c r="D290" i="17" s="1"/>
  <c r="M24" i="17"/>
  <c r="I24" i="17"/>
  <c r="H24" i="17"/>
  <c r="G24" i="17"/>
  <c r="E24" i="17"/>
  <c r="D24" i="17"/>
  <c r="F24" i="17" s="1"/>
  <c r="O299" i="16"/>
  <c r="L299" i="16"/>
  <c r="I299" i="16"/>
  <c r="F299" i="16"/>
  <c r="C299" i="16" s="1"/>
  <c r="O298" i="16"/>
  <c r="L298" i="16"/>
  <c r="I298" i="16"/>
  <c r="F298" i="16"/>
  <c r="C298" i="16"/>
  <c r="O297" i="16"/>
  <c r="L297" i="16"/>
  <c r="I297" i="16"/>
  <c r="F297" i="16"/>
  <c r="C297" i="16" s="1"/>
  <c r="O296" i="16"/>
  <c r="L296" i="16"/>
  <c r="I296" i="16"/>
  <c r="F296" i="16"/>
  <c r="C296" i="16" s="1"/>
  <c r="O295" i="16"/>
  <c r="L295" i="16"/>
  <c r="I295" i="16"/>
  <c r="F295" i="16"/>
  <c r="C295" i="16" s="1"/>
  <c r="O294" i="16"/>
  <c r="L294" i="16"/>
  <c r="I294" i="16"/>
  <c r="F294" i="16"/>
  <c r="C294" i="16"/>
  <c r="O293" i="16"/>
  <c r="L293" i="16"/>
  <c r="I293" i="16"/>
  <c r="F293" i="16"/>
  <c r="C293" i="16" s="1"/>
  <c r="O292" i="16"/>
  <c r="L292" i="16"/>
  <c r="I292" i="16"/>
  <c r="F292" i="16"/>
  <c r="C292" i="16" s="1"/>
  <c r="C291" i="16" s="1"/>
  <c r="N291" i="16"/>
  <c r="M291" i="16"/>
  <c r="O291" i="16" s="1"/>
  <c r="K291" i="16"/>
  <c r="J291" i="16"/>
  <c r="L291" i="16" s="1"/>
  <c r="I291" i="16"/>
  <c r="H291" i="16"/>
  <c r="G291" i="16"/>
  <c r="F291" i="16"/>
  <c r="E291" i="16"/>
  <c r="D291" i="16"/>
  <c r="O286" i="16"/>
  <c r="L286" i="16"/>
  <c r="I286" i="16"/>
  <c r="F286" i="16"/>
  <c r="C286" i="16"/>
  <c r="O285" i="16"/>
  <c r="L285" i="16"/>
  <c r="I285" i="16"/>
  <c r="F285" i="16"/>
  <c r="C285" i="16" s="1"/>
  <c r="N284" i="16"/>
  <c r="M284" i="16"/>
  <c r="L284" i="16"/>
  <c r="K284" i="16"/>
  <c r="J284" i="16"/>
  <c r="I284" i="16"/>
  <c r="H284" i="16"/>
  <c r="G284" i="16"/>
  <c r="E284" i="16"/>
  <c r="D284" i="16"/>
  <c r="O283" i="16"/>
  <c r="L283" i="16"/>
  <c r="I283" i="16"/>
  <c r="F283" i="16"/>
  <c r="C283" i="16" s="1"/>
  <c r="O282" i="16"/>
  <c r="N282" i="16"/>
  <c r="M282" i="16"/>
  <c r="K282" i="16"/>
  <c r="J282" i="16"/>
  <c r="L282" i="16" s="1"/>
  <c r="H282" i="16"/>
  <c r="G282" i="16"/>
  <c r="I282" i="16" s="1"/>
  <c r="C282" i="16" s="1"/>
  <c r="F282" i="16"/>
  <c r="E282" i="16"/>
  <c r="D282" i="16"/>
  <c r="O281" i="16"/>
  <c r="L281" i="16"/>
  <c r="I281" i="16"/>
  <c r="F281" i="16"/>
  <c r="C281" i="16" s="1"/>
  <c r="O280" i="16"/>
  <c r="L280" i="16"/>
  <c r="I280" i="16"/>
  <c r="F280" i="16"/>
  <c r="C280" i="16" s="1"/>
  <c r="O279" i="16"/>
  <c r="L279" i="16"/>
  <c r="I279" i="16"/>
  <c r="F279" i="16"/>
  <c r="C279" i="16" s="1"/>
  <c r="O278" i="16"/>
  <c r="N278" i="16"/>
  <c r="M278" i="16"/>
  <c r="K278" i="16"/>
  <c r="J278" i="16"/>
  <c r="L278" i="16" s="1"/>
  <c r="H278" i="16"/>
  <c r="G278" i="16"/>
  <c r="I278" i="16" s="1"/>
  <c r="F278" i="16"/>
  <c r="E278" i="16"/>
  <c r="D278" i="16"/>
  <c r="O277" i="16"/>
  <c r="L277" i="16"/>
  <c r="I277" i="16"/>
  <c r="F277" i="16"/>
  <c r="C277" i="16" s="1"/>
  <c r="O276" i="16"/>
  <c r="L276" i="16"/>
  <c r="I276" i="16"/>
  <c r="F276" i="16"/>
  <c r="C276" i="16" s="1"/>
  <c r="O275" i="16"/>
  <c r="L275" i="16"/>
  <c r="I275" i="16"/>
  <c r="F275" i="16"/>
  <c r="C275" i="16" s="1"/>
  <c r="O274" i="16"/>
  <c r="N274" i="16"/>
  <c r="N272" i="16" s="1"/>
  <c r="N271" i="16" s="1"/>
  <c r="M274" i="16"/>
  <c r="K274" i="16"/>
  <c r="K272" i="16" s="1"/>
  <c r="K271" i="16" s="1"/>
  <c r="J274" i="16"/>
  <c r="L274" i="16" s="1"/>
  <c r="H274" i="16"/>
  <c r="G274" i="16"/>
  <c r="I274" i="16" s="1"/>
  <c r="C274" i="16" s="1"/>
  <c r="F274" i="16"/>
  <c r="E274" i="16"/>
  <c r="D274" i="16"/>
  <c r="O273" i="16"/>
  <c r="L273" i="16"/>
  <c r="I273" i="16"/>
  <c r="F273" i="16"/>
  <c r="C273" i="16" s="1"/>
  <c r="M272" i="16"/>
  <c r="O272" i="16" s="1"/>
  <c r="H272" i="16"/>
  <c r="E272" i="16"/>
  <c r="D272" i="16"/>
  <c r="D271" i="16" s="1"/>
  <c r="F271" i="16" s="1"/>
  <c r="M271" i="16"/>
  <c r="O271" i="16" s="1"/>
  <c r="H271" i="16"/>
  <c r="E271" i="16"/>
  <c r="O270" i="16"/>
  <c r="L270" i="16"/>
  <c r="I270" i="16"/>
  <c r="F270" i="16"/>
  <c r="C270" i="16"/>
  <c r="O269" i="16"/>
  <c r="L269" i="16"/>
  <c r="I269" i="16"/>
  <c r="F269" i="16"/>
  <c r="C269" i="16" s="1"/>
  <c r="O268" i="16"/>
  <c r="L268" i="16"/>
  <c r="I268" i="16"/>
  <c r="F268" i="16"/>
  <c r="C268" i="16" s="1"/>
  <c r="O267" i="16"/>
  <c r="L267" i="16"/>
  <c r="I267" i="16"/>
  <c r="F267" i="16"/>
  <c r="C267" i="16" s="1"/>
  <c r="O266" i="16"/>
  <c r="N266" i="16"/>
  <c r="M266" i="16"/>
  <c r="K266" i="16"/>
  <c r="J266" i="16"/>
  <c r="L266" i="16" s="1"/>
  <c r="H266" i="16"/>
  <c r="G266" i="16"/>
  <c r="I266" i="16" s="1"/>
  <c r="F266" i="16"/>
  <c r="E266" i="16"/>
  <c r="D266" i="16"/>
  <c r="O265" i="16"/>
  <c r="L265" i="16"/>
  <c r="I265" i="16"/>
  <c r="F265" i="16"/>
  <c r="C265" i="16" s="1"/>
  <c r="O264" i="16"/>
  <c r="L264" i="16"/>
  <c r="I264" i="16"/>
  <c r="F264" i="16"/>
  <c r="C264" i="16" s="1"/>
  <c r="O263" i="16"/>
  <c r="L263" i="16"/>
  <c r="I263" i="16"/>
  <c r="F263" i="16"/>
  <c r="C263" i="16" s="1"/>
  <c r="O262" i="16"/>
  <c r="N262" i="16"/>
  <c r="N261" i="16" s="1"/>
  <c r="M262" i="16"/>
  <c r="M261" i="16" s="1"/>
  <c r="O261" i="16" s="1"/>
  <c r="K262" i="16"/>
  <c r="J262" i="16"/>
  <c r="J261" i="16" s="1"/>
  <c r="L261" i="16" s="1"/>
  <c r="H262" i="16"/>
  <c r="G262" i="16"/>
  <c r="I262" i="16" s="1"/>
  <c r="F262" i="16"/>
  <c r="E262" i="16"/>
  <c r="E261" i="16" s="1"/>
  <c r="D262" i="16"/>
  <c r="K261" i="16"/>
  <c r="H261" i="16"/>
  <c r="G261" i="16"/>
  <c r="I261" i="16" s="1"/>
  <c r="D261" i="16"/>
  <c r="O260" i="16"/>
  <c r="L260" i="16"/>
  <c r="I260" i="16"/>
  <c r="F260" i="16"/>
  <c r="C260" i="16" s="1"/>
  <c r="O259" i="16"/>
  <c r="L259" i="16"/>
  <c r="I259" i="16"/>
  <c r="F259" i="16"/>
  <c r="C259" i="16" s="1"/>
  <c r="O258" i="16"/>
  <c r="L258" i="16"/>
  <c r="I258" i="16"/>
  <c r="F258" i="16"/>
  <c r="C258" i="16"/>
  <c r="O257" i="16"/>
  <c r="L257" i="16"/>
  <c r="I257" i="16"/>
  <c r="F257" i="16"/>
  <c r="C257" i="16" s="1"/>
  <c r="O256" i="16"/>
  <c r="L256" i="16"/>
  <c r="I256" i="16"/>
  <c r="F256" i="16"/>
  <c r="C256" i="16" s="1"/>
  <c r="N255" i="16"/>
  <c r="N254" i="16" s="1"/>
  <c r="M255" i="16"/>
  <c r="M254" i="16" s="1"/>
  <c r="K255" i="16"/>
  <c r="J255" i="16"/>
  <c r="L255" i="16" s="1"/>
  <c r="I255" i="16"/>
  <c r="H255" i="16"/>
  <c r="H254" i="16" s="1"/>
  <c r="G255" i="16"/>
  <c r="F255" i="16"/>
  <c r="E255" i="16"/>
  <c r="D255" i="16"/>
  <c r="D254" i="16" s="1"/>
  <c r="F254" i="16" s="1"/>
  <c r="K254" i="16"/>
  <c r="J254" i="16"/>
  <c r="L254" i="16" s="1"/>
  <c r="G254" i="16"/>
  <c r="I254" i="16" s="1"/>
  <c r="E254" i="16"/>
  <c r="O253" i="16"/>
  <c r="L253" i="16"/>
  <c r="I253" i="16"/>
  <c r="F253" i="16"/>
  <c r="C253" i="16" s="1"/>
  <c r="O252" i="16"/>
  <c r="L252" i="16"/>
  <c r="I252" i="16"/>
  <c r="F252" i="16"/>
  <c r="C252" i="16" s="1"/>
  <c r="O251" i="16"/>
  <c r="L251" i="16"/>
  <c r="I251" i="16"/>
  <c r="F251" i="16"/>
  <c r="C251" i="16" s="1"/>
  <c r="O250" i="16"/>
  <c r="L250" i="16"/>
  <c r="I250" i="16"/>
  <c r="F250" i="16"/>
  <c r="C250" i="16"/>
  <c r="O249" i="16"/>
  <c r="N249" i="16"/>
  <c r="M249" i="16"/>
  <c r="L249" i="16"/>
  <c r="K249" i="16"/>
  <c r="J249" i="16"/>
  <c r="H249" i="16"/>
  <c r="G249" i="16"/>
  <c r="I249" i="16" s="1"/>
  <c r="E249" i="16"/>
  <c r="D249" i="16"/>
  <c r="F249" i="16" s="1"/>
  <c r="C249" i="16" s="1"/>
  <c r="O248" i="16"/>
  <c r="L248" i="16"/>
  <c r="I248" i="16"/>
  <c r="F248" i="16"/>
  <c r="C248" i="16" s="1"/>
  <c r="O247" i="16"/>
  <c r="L247" i="16"/>
  <c r="I247" i="16"/>
  <c r="F247" i="16"/>
  <c r="C247" i="16" s="1"/>
  <c r="O246" i="16"/>
  <c r="L246" i="16"/>
  <c r="I246" i="16"/>
  <c r="F246" i="16"/>
  <c r="C246" i="16"/>
  <c r="O245" i="16"/>
  <c r="L245" i="16"/>
  <c r="I245" i="16"/>
  <c r="F245" i="16"/>
  <c r="C245" i="16" s="1"/>
  <c r="O244" i="16"/>
  <c r="L244" i="16"/>
  <c r="I244" i="16"/>
  <c r="F244" i="16"/>
  <c r="C244" i="16" s="1"/>
  <c r="O243" i="16"/>
  <c r="L243" i="16"/>
  <c r="I243" i="16"/>
  <c r="F243" i="16"/>
  <c r="C243" i="16" s="1"/>
  <c r="O242" i="16"/>
  <c r="L242" i="16"/>
  <c r="I242" i="16"/>
  <c r="F242" i="16"/>
  <c r="C242" i="16"/>
  <c r="O241" i="16"/>
  <c r="N241" i="16"/>
  <c r="M241" i="16"/>
  <c r="L241" i="16"/>
  <c r="K241" i="16"/>
  <c r="J241" i="16"/>
  <c r="H241" i="16"/>
  <c r="G241" i="16"/>
  <c r="I241" i="16" s="1"/>
  <c r="E241" i="16"/>
  <c r="D241" i="16"/>
  <c r="F241" i="16" s="1"/>
  <c r="C241" i="16" s="1"/>
  <c r="O240" i="16"/>
  <c r="L240" i="16"/>
  <c r="I240" i="16"/>
  <c r="F240" i="16"/>
  <c r="C240" i="16" s="1"/>
  <c r="O239" i="16"/>
  <c r="L239" i="16"/>
  <c r="I239" i="16"/>
  <c r="F239" i="16"/>
  <c r="C239" i="16" s="1"/>
  <c r="O238" i="16"/>
  <c r="N238" i="16"/>
  <c r="M238" i="16"/>
  <c r="K238" i="16"/>
  <c r="J238" i="16"/>
  <c r="L238" i="16" s="1"/>
  <c r="H238" i="16"/>
  <c r="G238" i="16"/>
  <c r="I238" i="16" s="1"/>
  <c r="C238" i="16" s="1"/>
  <c r="F238" i="16"/>
  <c r="E238" i="16"/>
  <c r="D238" i="16"/>
  <c r="O237" i="16"/>
  <c r="L237" i="16"/>
  <c r="I237" i="16"/>
  <c r="F237" i="16"/>
  <c r="C237" i="16" s="1"/>
  <c r="N236" i="16"/>
  <c r="M236" i="16"/>
  <c r="O236" i="16" s="1"/>
  <c r="L236" i="16"/>
  <c r="K236" i="16"/>
  <c r="J236" i="16"/>
  <c r="I236" i="16"/>
  <c r="H236" i="16"/>
  <c r="H234" i="16" s="1"/>
  <c r="H233" i="16" s="1"/>
  <c r="G236" i="16"/>
  <c r="E236" i="16"/>
  <c r="E234" i="16" s="1"/>
  <c r="E233" i="16" s="1"/>
  <c r="D236" i="16"/>
  <c r="F236" i="16" s="1"/>
  <c r="C236" i="16" s="1"/>
  <c r="O235" i="16"/>
  <c r="L235" i="16"/>
  <c r="I235" i="16"/>
  <c r="F235" i="16"/>
  <c r="C235" i="16" s="1"/>
  <c r="N234" i="16"/>
  <c r="K234" i="16"/>
  <c r="J234" i="16"/>
  <c r="J233" i="16" s="1"/>
  <c r="L233" i="16" s="1"/>
  <c r="G234" i="16"/>
  <c r="G233" i="16" s="1"/>
  <c r="I233" i="16" s="1"/>
  <c r="K233" i="16"/>
  <c r="O232" i="16"/>
  <c r="L232" i="16"/>
  <c r="I232" i="16"/>
  <c r="F232" i="16"/>
  <c r="C232" i="16" s="1"/>
  <c r="O231" i="16"/>
  <c r="L231" i="16"/>
  <c r="I231" i="16"/>
  <c r="F231" i="16"/>
  <c r="C231" i="16" s="1"/>
  <c r="O230" i="16"/>
  <c r="N230" i="16"/>
  <c r="M230" i="16"/>
  <c r="K230" i="16"/>
  <c r="J230" i="16"/>
  <c r="L230" i="16" s="1"/>
  <c r="H230" i="16"/>
  <c r="G230" i="16"/>
  <c r="I230" i="16" s="1"/>
  <c r="C230" i="16" s="1"/>
  <c r="F230" i="16"/>
  <c r="E230" i="16"/>
  <c r="D230" i="16"/>
  <c r="O229" i="16"/>
  <c r="L229" i="16"/>
  <c r="I229" i="16"/>
  <c r="F229" i="16"/>
  <c r="C229" i="16" s="1"/>
  <c r="O228" i="16"/>
  <c r="L228" i="16"/>
  <c r="I228" i="16"/>
  <c r="F228" i="16"/>
  <c r="C228" i="16" s="1"/>
  <c r="O227" i="16"/>
  <c r="L227" i="16"/>
  <c r="I227" i="16"/>
  <c r="F227" i="16"/>
  <c r="C227" i="16" s="1"/>
  <c r="O226" i="16"/>
  <c r="L226" i="16"/>
  <c r="I226" i="16"/>
  <c r="F226" i="16"/>
  <c r="C226" i="16"/>
  <c r="O225" i="16"/>
  <c r="L225" i="16"/>
  <c r="I225" i="16"/>
  <c r="F225" i="16"/>
  <c r="C225" i="16" s="1"/>
  <c r="O224" i="16"/>
  <c r="L224" i="16"/>
  <c r="I224" i="16"/>
  <c r="F224" i="16"/>
  <c r="C224" i="16" s="1"/>
  <c r="O223" i="16"/>
  <c r="L223" i="16"/>
  <c r="I223" i="16"/>
  <c r="F223" i="16"/>
  <c r="C223" i="16" s="1"/>
  <c r="O222" i="16"/>
  <c r="L222" i="16"/>
  <c r="I222" i="16"/>
  <c r="F222" i="16"/>
  <c r="C222" i="16"/>
  <c r="O221" i="16"/>
  <c r="L221" i="16"/>
  <c r="I221" i="16"/>
  <c r="F221" i="16"/>
  <c r="C221" i="16" s="1"/>
  <c r="O220" i="16"/>
  <c r="L220" i="16"/>
  <c r="I220" i="16"/>
  <c r="F220" i="16"/>
  <c r="N219" i="16"/>
  <c r="M219" i="16"/>
  <c r="O219" i="16" s="1"/>
  <c r="K219" i="16"/>
  <c r="J219" i="16"/>
  <c r="L219" i="16" s="1"/>
  <c r="I219" i="16"/>
  <c r="H219" i="16"/>
  <c r="G219" i="16"/>
  <c r="E219" i="16"/>
  <c r="F219" i="16" s="1"/>
  <c r="C219" i="16" s="1"/>
  <c r="D219" i="16"/>
  <c r="O218" i="16"/>
  <c r="L218" i="16"/>
  <c r="I218" i="16"/>
  <c r="F218" i="16"/>
  <c r="C218" i="16"/>
  <c r="O217" i="16"/>
  <c r="L217" i="16"/>
  <c r="I217" i="16"/>
  <c r="F217" i="16"/>
  <c r="C217" i="16" s="1"/>
  <c r="O216" i="16"/>
  <c r="L216" i="16"/>
  <c r="I216" i="16"/>
  <c r="F216" i="16"/>
  <c r="O215" i="16"/>
  <c r="L215" i="16"/>
  <c r="I215" i="16"/>
  <c r="F215" i="16"/>
  <c r="O214" i="16"/>
  <c r="L214" i="16"/>
  <c r="C214" i="16" s="1"/>
  <c r="I214" i="16"/>
  <c r="F214" i="16"/>
  <c r="O213" i="16"/>
  <c r="L213" i="16"/>
  <c r="I213" i="16"/>
  <c r="F213" i="16"/>
  <c r="C213" i="16"/>
  <c r="O212" i="16"/>
  <c r="L212" i="16"/>
  <c r="I212" i="16"/>
  <c r="F212" i="16"/>
  <c r="C212" i="16" s="1"/>
  <c r="O211" i="16"/>
  <c r="L211" i="16"/>
  <c r="I211" i="16"/>
  <c r="F211" i="16"/>
  <c r="O210" i="16"/>
  <c r="L210" i="16"/>
  <c r="I210" i="16"/>
  <c r="C210" i="16" s="1"/>
  <c r="F210" i="16"/>
  <c r="O209" i="16"/>
  <c r="L209" i="16"/>
  <c r="C209" i="16" s="1"/>
  <c r="I209" i="16"/>
  <c r="F209" i="16"/>
  <c r="O208" i="16"/>
  <c r="N208" i="16"/>
  <c r="M208" i="16"/>
  <c r="K208" i="16"/>
  <c r="K207" i="16" s="1"/>
  <c r="J208" i="16"/>
  <c r="H208" i="16"/>
  <c r="H207" i="16" s="1"/>
  <c r="I207" i="16" s="1"/>
  <c r="G208" i="16"/>
  <c r="G207" i="16" s="1"/>
  <c r="E208" i="16"/>
  <c r="D208" i="16"/>
  <c r="N207" i="16"/>
  <c r="J207" i="16"/>
  <c r="L207" i="16" s="1"/>
  <c r="E207" i="16"/>
  <c r="D207" i="16"/>
  <c r="F207" i="16" s="1"/>
  <c r="O206" i="16"/>
  <c r="L206" i="16"/>
  <c r="I206" i="16"/>
  <c r="C206" i="16" s="1"/>
  <c r="F206" i="16"/>
  <c r="O205" i="16"/>
  <c r="L205" i="16"/>
  <c r="I205" i="16"/>
  <c r="F205" i="16"/>
  <c r="C205" i="16" s="1"/>
  <c r="O204" i="16"/>
  <c r="L204" i="16"/>
  <c r="I204" i="16"/>
  <c r="F204" i="16"/>
  <c r="C204" i="16"/>
  <c r="O203" i="16"/>
  <c r="L203" i="16"/>
  <c r="I203" i="16"/>
  <c r="F203" i="16"/>
  <c r="C203" i="16" s="1"/>
  <c r="O202" i="16"/>
  <c r="L202" i="16"/>
  <c r="I202" i="16"/>
  <c r="F202" i="16"/>
  <c r="C202" i="16"/>
  <c r="O201" i="16"/>
  <c r="N201" i="16"/>
  <c r="M201" i="16"/>
  <c r="L201" i="16"/>
  <c r="K201" i="16"/>
  <c r="K199" i="16" s="1"/>
  <c r="K198" i="16" s="1"/>
  <c r="K197" i="16" s="1"/>
  <c r="J201" i="16"/>
  <c r="H201" i="16"/>
  <c r="G201" i="16"/>
  <c r="E201" i="16"/>
  <c r="D201" i="16"/>
  <c r="F201" i="16" s="1"/>
  <c r="O200" i="16"/>
  <c r="L200" i="16"/>
  <c r="I200" i="16"/>
  <c r="F200" i="16"/>
  <c r="C200" i="16" s="1"/>
  <c r="N199" i="16"/>
  <c r="M199" i="16"/>
  <c r="O199" i="16" s="1"/>
  <c r="L199" i="16"/>
  <c r="J199" i="16"/>
  <c r="H199" i="16"/>
  <c r="E199" i="16"/>
  <c r="N198" i="16"/>
  <c r="J198" i="16"/>
  <c r="E198" i="16"/>
  <c r="E197" i="16" s="1"/>
  <c r="O196" i="16"/>
  <c r="L196" i="16"/>
  <c r="I196" i="16"/>
  <c r="F196" i="16"/>
  <c r="C196" i="16"/>
  <c r="N195" i="16"/>
  <c r="M195" i="16"/>
  <c r="K195" i="16"/>
  <c r="J195" i="16"/>
  <c r="J194" i="16" s="1"/>
  <c r="L194" i="16" s="1"/>
  <c r="I195" i="16"/>
  <c r="H195" i="16"/>
  <c r="H194" i="16" s="1"/>
  <c r="G195" i="16"/>
  <c r="F195" i="16"/>
  <c r="E195" i="16"/>
  <c r="D195" i="16"/>
  <c r="D194" i="16" s="1"/>
  <c r="N194" i="16"/>
  <c r="O194" i="16" s="1"/>
  <c r="M194" i="16"/>
  <c r="K194" i="16"/>
  <c r="I194" i="16"/>
  <c r="G194" i="16"/>
  <c r="E194" i="16"/>
  <c r="F194" i="16" s="1"/>
  <c r="C194" i="16" s="1"/>
  <c r="O193" i="16"/>
  <c r="L193" i="16"/>
  <c r="I193" i="16"/>
  <c r="F193" i="16"/>
  <c r="C193" i="16" s="1"/>
  <c r="O192" i="16"/>
  <c r="L192" i="16"/>
  <c r="I192" i="16"/>
  <c r="F192" i="16"/>
  <c r="C192" i="16" s="1"/>
  <c r="N191" i="16"/>
  <c r="M191" i="16"/>
  <c r="O191" i="16" s="1"/>
  <c r="K191" i="16"/>
  <c r="J191" i="16"/>
  <c r="L191" i="16" s="1"/>
  <c r="I191" i="16"/>
  <c r="H191" i="16"/>
  <c r="H190" i="16" s="1"/>
  <c r="G191" i="16"/>
  <c r="E191" i="16"/>
  <c r="F191" i="16" s="1"/>
  <c r="C191" i="16" s="1"/>
  <c r="D191" i="16"/>
  <c r="D190" i="16" s="1"/>
  <c r="M190" i="16"/>
  <c r="K190" i="16"/>
  <c r="G190" i="16"/>
  <c r="I190" i="16" s="1"/>
  <c r="O189" i="16"/>
  <c r="L189" i="16"/>
  <c r="I189" i="16"/>
  <c r="F189" i="16"/>
  <c r="C189" i="16"/>
  <c r="O188" i="16"/>
  <c r="L188" i="16"/>
  <c r="I188" i="16"/>
  <c r="F188" i="16"/>
  <c r="C188" i="16" s="1"/>
  <c r="N187" i="16"/>
  <c r="M187" i="16"/>
  <c r="O187" i="16" s="1"/>
  <c r="L187" i="16"/>
  <c r="K187" i="16"/>
  <c r="J187" i="16"/>
  <c r="H187" i="16"/>
  <c r="I187" i="16" s="1"/>
  <c r="G187" i="16"/>
  <c r="E187" i="16"/>
  <c r="D187" i="16"/>
  <c r="F187" i="16" s="1"/>
  <c r="C187" i="16" s="1"/>
  <c r="O186" i="16"/>
  <c r="L186" i="16"/>
  <c r="I186" i="16"/>
  <c r="C186" i="16" s="1"/>
  <c r="F186" i="16"/>
  <c r="O185" i="16"/>
  <c r="L185" i="16"/>
  <c r="I185" i="16"/>
  <c r="F185" i="16"/>
  <c r="C185" i="16" s="1"/>
  <c r="O184" i="16"/>
  <c r="L184" i="16"/>
  <c r="I184" i="16"/>
  <c r="F184" i="16"/>
  <c r="C184" i="16"/>
  <c r="O183" i="16"/>
  <c r="L183" i="16"/>
  <c r="I183" i="16"/>
  <c r="F183" i="16"/>
  <c r="C183" i="16" s="1"/>
  <c r="O182" i="16"/>
  <c r="N182" i="16"/>
  <c r="M182" i="16"/>
  <c r="K182" i="16"/>
  <c r="K177" i="16" s="1"/>
  <c r="K176" i="16" s="1"/>
  <c r="J182" i="16"/>
  <c r="L182" i="16" s="1"/>
  <c r="H182" i="16"/>
  <c r="G182" i="16"/>
  <c r="I182" i="16" s="1"/>
  <c r="F182" i="16"/>
  <c r="E182" i="16"/>
  <c r="D182" i="16"/>
  <c r="O181" i="16"/>
  <c r="L181" i="16"/>
  <c r="I181" i="16"/>
  <c r="F181" i="16"/>
  <c r="C181" i="16"/>
  <c r="O180" i="16"/>
  <c r="L180" i="16"/>
  <c r="I180" i="16"/>
  <c r="F180" i="16"/>
  <c r="C180" i="16" s="1"/>
  <c r="O179" i="16"/>
  <c r="L179" i="16"/>
  <c r="I179" i="16"/>
  <c r="F179" i="16"/>
  <c r="N178" i="16"/>
  <c r="M178" i="16"/>
  <c r="M177" i="16" s="1"/>
  <c r="M176" i="16" s="1"/>
  <c r="O176" i="16" s="1"/>
  <c r="K178" i="16"/>
  <c r="J178" i="16"/>
  <c r="I178" i="16"/>
  <c r="H178" i="16"/>
  <c r="G178" i="16"/>
  <c r="E178" i="16"/>
  <c r="E177" i="16" s="1"/>
  <c r="F177" i="16" s="1"/>
  <c r="D178" i="16"/>
  <c r="N177" i="16"/>
  <c r="N176" i="16" s="1"/>
  <c r="H177" i="16"/>
  <c r="H176" i="16" s="1"/>
  <c r="G177" i="16"/>
  <c r="I177" i="16" s="1"/>
  <c r="D177" i="16"/>
  <c r="E176" i="16"/>
  <c r="D176" i="16"/>
  <c r="F176" i="16" s="1"/>
  <c r="O175" i="16"/>
  <c r="L175" i="16"/>
  <c r="I175" i="16"/>
  <c r="F175" i="16"/>
  <c r="O174" i="16"/>
  <c r="L174" i="16"/>
  <c r="I174" i="16"/>
  <c r="C174" i="16" s="1"/>
  <c r="F174" i="16"/>
  <c r="O173" i="16"/>
  <c r="L173" i="16"/>
  <c r="C173" i="16" s="1"/>
  <c r="I173" i="16"/>
  <c r="F173" i="16"/>
  <c r="O172" i="16"/>
  <c r="L172" i="16"/>
  <c r="I172" i="16"/>
  <c r="F172" i="16"/>
  <c r="C172" i="16"/>
  <c r="O171" i="16"/>
  <c r="L171" i="16"/>
  <c r="I171" i="16"/>
  <c r="F171" i="16"/>
  <c r="C171" i="16" s="1"/>
  <c r="O170" i="16"/>
  <c r="L170" i="16"/>
  <c r="I170" i="16"/>
  <c r="C170" i="16" s="1"/>
  <c r="F170" i="16"/>
  <c r="N169" i="16"/>
  <c r="N168" i="16" s="1"/>
  <c r="M169" i="16"/>
  <c r="K169" i="16"/>
  <c r="J169" i="16"/>
  <c r="J168" i="16" s="1"/>
  <c r="H169" i="16"/>
  <c r="G169" i="16"/>
  <c r="E169" i="16"/>
  <c r="D169" i="16"/>
  <c r="F169" i="16" s="1"/>
  <c r="M168" i="16"/>
  <c r="O168" i="16" s="1"/>
  <c r="L168" i="16"/>
  <c r="K168" i="16"/>
  <c r="H168" i="16"/>
  <c r="G168" i="16"/>
  <c r="I168" i="16" s="1"/>
  <c r="E168" i="16"/>
  <c r="O167" i="16"/>
  <c r="L167" i="16"/>
  <c r="I167" i="16"/>
  <c r="F167" i="16"/>
  <c r="C167" i="16" s="1"/>
  <c r="O166" i="16"/>
  <c r="L166" i="16"/>
  <c r="I166" i="16"/>
  <c r="F166" i="16"/>
  <c r="C166" i="16"/>
  <c r="O165" i="16"/>
  <c r="L165" i="16"/>
  <c r="I165" i="16"/>
  <c r="F165" i="16"/>
  <c r="C165" i="16" s="1"/>
  <c r="O164" i="16"/>
  <c r="L164" i="16"/>
  <c r="I164" i="16"/>
  <c r="F164" i="16"/>
  <c r="C164" i="16" s="1"/>
  <c r="N163" i="16"/>
  <c r="M163" i="16"/>
  <c r="O163" i="16" s="1"/>
  <c r="K163" i="16"/>
  <c r="J163" i="16"/>
  <c r="L163" i="16" s="1"/>
  <c r="I163" i="16"/>
  <c r="H163" i="16"/>
  <c r="G163" i="16"/>
  <c r="E163" i="16"/>
  <c r="F163" i="16" s="1"/>
  <c r="C163" i="16" s="1"/>
  <c r="D163" i="16"/>
  <c r="O162" i="16"/>
  <c r="L162" i="16"/>
  <c r="I162" i="16"/>
  <c r="C162" i="16" s="1"/>
  <c r="F162" i="16"/>
  <c r="O161" i="16"/>
  <c r="L161" i="16"/>
  <c r="C161" i="16" s="1"/>
  <c r="I161" i="16"/>
  <c r="F161" i="16"/>
  <c r="O160" i="16"/>
  <c r="L160" i="16"/>
  <c r="I160" i="16"/>
  <c r="F160" i="16"/>
  <c r="C160" i="16"/>
  <c r="O159" i="16"/>
  <c r="L159" i="16"/>
  <c r="I159" i="16"/>
  <c r="F159" i="16"/>
  <c r="C159" i="16" s="1"/>
  <c r="O158" i="16"/>
  <c r="L158" i="16"/>
  <c r="I158" i="16"/>
  <c r="F158" i="16"/>
  <c r="C158" i="16" s="1"/>
  <c r="O157" i="16"/>
  <c r="L157" i="16"/>
  <c r="I157" i="16"/>
  <c r="F157" i="16"/>
  <c r="C157" i="16" s="1"/>
  <c r="O156" i="16"/>
  <c r="L156" i="16"/>
  <c r="C156" i="16" s="1"/>
  <c r="I156" i="16"/>
  <c r="F156" i="16"/>
  <c r="O155" i="16"/>
  <c r="L155" i="16"/>
  <c r="I155" i="16"/>
  <c r="F155" i="16"/>
  <c r="C155" i="16"/>
  <c r="N154" i="16"/>
  <c r="M154" i="16"/>
  <c r="O154" i="16" s="1"/>
  <c r="L154" i="16"/>
  <c r="K154" i="16"/>
  <c r="J154" i="16"/>
  <c r="H154" i="16"/>
  <c r="I154" i="16" s="1"/>
  <c r="G154" i="16"/>
  <c r="E154" i="16"/>
  <c r="D154" i="16"/>
  <c r="F154" i="16" s="1"/>
  <c r="C154" i="16" s="1"/>
  <c r="O153" i="16"/>
  <c r="L153" i="16"/>
  <c r="I153" i="16"/>
  <c r="F153" i="16"/>
  <c r="C153" i="16" s="1"/>
  <c r="O152" i="16"/>
  <c r="L152" i="16"/>
  <c r="C152" i="16" s="1"/>
  <c r="I152" i="16"/>
  <c r="F152" i="16"/>
  <c r="O151" i="16"/>
  <c r="L151" i="16"/>
  <c r="I151" i="16"/>
  <c r="F151" i="16"/>
  <c r="C151" i="16"/>
  <c r="O150" i="16"/>
  <c r="L150" i="16"/>
  <c r="I150" i="16"/>
  <c r="F150" i="16"/>
  <c r="C150" i="16" s="1"/>
  <c r="O149" i="16"/>
  <c r="L149" i="16"/>
  <c r="I149" i="16"/>
  <c r="F149" i="16"/>
  <c r="C149" i="16" s="1"/>
  <c r="O148" i="16"/>
  <c r="L148" i="16"/>
  <c r="C148" i="16" s="1"/>
  <c r="I148" i="16"/>
  <c r="F148" i="16"/>
  <c r="O147" i="16"/>
  <c r="N147" i="16"/>
  <c r="M147" i="16"/>
  <c r="K147" i="16"/>
  <c r="L147" i="16" s="1"/>
  <c r="J147" i="16"/>
  <c r="H147" i="16"/>
  <c r="G147" i="16"/>
  <c r="I147" i="16" s="1"/>
  <c r="E147" i="16"/>
  <c r="D147" i="16"/>
  <c r="F147" i="16" s="1"/>
  <c r="O146" i="16"/>
  <c r="L146" i="16"/>
  <c r="I146" i="16"/>
  <c r="F146" i="16"/>
  <c r="C146" i="16" s="1"/>
  <c r="O145" i="16"/>
  <c r="L145" i="16"/>
  <c r="I145" i="16"/>
  <c r="F145" i="16"/>
  <c r="C145" i="16" s="1"/>
  <c r="N144" i="16"/>
  <c r="O144" i="16" s="1"/>
  <c r="M144" i="16"/>
  <c r="K144" i="16"/>
  <c r="J144" i="16"/>
  <c r="L144" i="16" s="1"/>
  <c r="H144" i="16"/>
  <c r="G144" i="16"/>
  <c r="I144" i="16" s="1"/>
  <c r="F144" i="16"/>
  <c r="E144" i="16"/>
  <c r="D144" i="16"/>
  <c r="O143" i="16"/>
  <c r="L143" i="16"/>
  <c r="I143" i="16"/>
  <c r="F143" i="16"/>
  <c r="C143" i="16"/>
  <c r="O142" i="16"/>
  <c r="L142" i="16"/>
  <c r="I142" i="16"/>
  <c r="F142" i="16"/>
  <c r="C142" i="16" s="1"/>
  <c r="O141" i="16"/>
  <c r="L141" i="16"/>
  <c r="I141" i="16"/>
  <c r="F141" i="16"/>
  <c r="C141" i="16" s="1"/>
  <c r="O140" i="16"/>
  <c r="L140" i="16"/>
  <c r="C140" i="16" s="1"/>
  <c r="I140" i="16"/>
  <c r="F140" i="16"/>
  <c r="O139" i="16"/>
  <c r="N139" i="16"/>
  <c r="M139" i="16"/>
  <c r="K139" i="16"/>
  <c r="L139" i="16" s="1"/>
  <c r="J139" i="16"/>
  <c r="H139" i="16"/>
  <c r="G139" i="16"/>
  <c r="I139" i="16" s="1"/>
  <c r="E139" i="16"/>
  <c r="D139" i="16"/>
  <c r="F139" i="16" s="1"/>
  <c r="O138" i="16"/>
  <c r="L138" i="16"/>
  <c r="I138" i="16"/>
  <c r="F138" i="16"/>
  <c r="C138" i="16" s="1"/>
  <c r="O137" i="16"/>
  <c r="L137" i="16"/>
  <c r="I137" i="16"/>
  <c r="F137" i="16"/>
  <c r="C137" i="16" s="1"/>
  <c r="O136" i="16"/>
  <c r="L136" i="16"/>
  <c r="I136" i="16"/>
  <c r="D136" i="16"/>
  <c r="D134" i="16" s="1"/>
  <c r="O135" i="16"/>
  <c r="L135" i="16"/>
  <c r="I135" i="16"/>
  <c r="F135" i="16"/>
  <c r="C135" i="16" s="1"/>
  <c r="N134" i="16"/>
  <c r="M134" i="16"/>
  <c r="M133" i="16" s="1"/>
  <c r="O133" i="16" s="1"/>
  <c r="K134" i="16"/>
  <c r="J134" i="16"/>
  <c r="L134" i="16" s="1"/>
  <c r="I134" i="16"/>
  <c r="H134" i="16"/>
  <c r="H133" i="16" s="1"/>
  <c r="G134" i="16"/>
  <c r="E134" i="16"/>
  <c r="E133" i="16" s="1"/>
  <c r="N133" i="16"/>
  <c r="K133" i="16"/>
  <c r="J133" i="16"/>
  <c r="L133" i="16" s="1"/>
  <c r="G133" i="16"/>
  <c r="I133" i="16" s="1"/>
  <c r="O132" i="16"/>
  <c r="L132" i="16"/>
  <c r="I132" i="16"/>
  <c r="F132" i="16"/>
  <c r="C132" i="16"/>
  <c r="N131" i="16"/>
  <c r="M131" i="16"/>
  <c r="O131" i="16" s="1"/>
  <c r="L131" i="16"/>
  <c r="K131" i="16"/>
  <c r="J131" i="16"/>
  <c r="H131" i="16"/>
  <c r="I131" i="16" s="1"/>
  <c r="G131" i="16"/>
  <c r="E131" i="16"/>
  <c r="D131" i="16"/>
  <c r="F131" i="16" s="1"/>
  <c r="O130" i="16"/>
  <c r="L130" i="16"/>
  <c r="I130" i="16"/>
  <c r="C130" i="16" s="1"/>
  <c r="F130" i="16"/>
  <c r="D130" i="16"/>
  <c r="O129" i="16"/>
  <c r="L129" i="16"/>
  <c r="I129" i="16"/>
  <c r="F129" i="16"/>
  <c r="C129" i="16"/>
  <c r="O128" i="16"/>
  <c r="L128" i="16"/>
  <c r="I128" i="16"/>
  <c r="F128" i="16"/>
  <c r="C128" i="16" s="1"/>
  <c r="D128" i="16"/>
  <c r="O127" i="16"/>
  <c r="L127" i="16"/>
  <c r="C127" i="16" s="1"/>
  <c r="I127" i="16"/>
  <c r="F127" i="16"/>
  <c r="O126" i="16"/>
  <c r="L126" i="16"/>
  <c r="I126" i="16"/>
  <c r="F126" i="16"/>
  <c r="C126" i="16"/>
  <c r="N125" i="16"/>
  <c r="M125" i="16"/>
  <c r="O125" i="16" s="1"/>
  <c r="L125" i="16"/>
  <c r="K125" i="16"/>
  <c r="J125" i="16"/>
  <c r="H125" i="16"/>
  <c r="I125" i="16" s="1"/>
  <c r="G125" i="16"/>
  <c r="E125" i="16"/>
  <c r="D125" i="16"/>
  <c r="F125" i="16" s="1"/>
  <c r="O124" i="16"/>
  <c r="L124" i="16"/>
  <c r="I124" i="16"/>
  <c r="F124" i="16"/>
  <c r="C124" i="16" s="1"/>
  <c r="O123" i="16"/>
  <c r="L123" i="16"/>
  <c r="C123" i="16" s="1"/>
  <c r="I123" i="16"/>
  <c r="F123" i="16"/>
  <c r="O122" i="16"/>
  <c r="L122" i="16"/>
  <c r="I122" i="16"/>
  <c r="D122" i="16"/>
  <c r="F122" i="16" s="1"/>
  <c r="C122" i="16" s="1"/>
  <c r="O121" i="16"/>
  <c r="L121" i="16"/>
  <c r="I121" i="16"/>
  <c r="F121" i="16"/>
  <c r="C121" i="16" s="1"/>
  <c r="O120" i="16"/>
  <c r="L120" i="16"/>
  <c r="I120" i="16"/>
  <c r="D120" i="16"/>
  <c r="F120" i="16" s="1"/>
  <c r="C120" i="16" s="1"/>
  <c r="N119" i="16"/>
  <c r="M119" i="16"/>
  <c r="O119" i="16" s="1"/>
  <c r="L119" i="16"/>
  <c r="K119" i="16"/>
  <c r="J119" i="16"/>
  <c r="H119" i="16"/>
  <c r="I119" i="16" s="1"/>
  <c r="G119" i="16"/>
  <c r="E119" i="16"/>
  <c r="D119" i="16"/>
  <c r="F119" i="16" s="1"/>
  <c r="C119" i="16" s="1"/>
  <c r="O118" i="16"/>
  <c r="L118" i="16"/>
  <c r="I118" i="16"/>
  <c r="F118" i="16"/>
  <c r="C118" i="16" s="1"/>
  <c r="O117" i="16"/>
  <c r="L117" i="16"/>
  <c r="C117" i="16" s="1"/>
  <c r="I117" i="16"/>
  <c r="F117" i="16"/>
  <c r="O116" i="16"/>
  <c r="L116" i="16"/>
  <c r="I116" i="16"/>
  <c r="F116" i="16"/>
  <c r="C116" i="16"/>
  <c r="N115" i="16"/>
  <c r="M115" i="16"/>
  <c r="O115" i="16" s="1"/>
  <c r="L115" i="16"/>
  <c r="K115" i="16"/>
  <c r="J115" i="16"/>
  <c r="H115" i="16"/>
  <c r="I115" i="16" s="1"/>
  <c r="G115" i="16"/>
  <c r="E115" i="16"/>
  <c r="D115" i="16"/>
  <c r="F115" i="16" s="1"/>
  <c r="O114" i="16"/>
  <c r="L114" i="16"/>
  <c r="I114" i="16"/>
  <c r="F114" i="16"/>
  <c r="C114" i="16" s="1"/>
  <c r="O113" i="16"/>
  <c r="L113" i="16"/>
  <c r="C113" i="16" s="1"/>
  <c r="I113" i="16"/>
  <c r="F113" i="16"/>
  <c r="O112" i="16"/>
  <c r="L112" i="16"/>
  <c r="I112" i="16"/>
  <c r="D112" i="16"/>
  <c r="F112" i="16" s="1"/>
  <c r="C112" i="16" s="1"/>
  <c r="O111" i="16"/>
  <c r="L111" i="16"/>
  <c r="I111" i="16"/>
  <c r="F111" i="16"/>
  <c r="C111" i="16" s="1"/>
  <c r="O110" i="16"/>
  <c r="L110" i="16"/>
  <c r="I110" i="16"/>
  <c r="D110" i="16"/>
  <c r="F110" i="16" s="1"/>
  <c r="C110" i="16" s="1"/>
  <c r="O109" i="16"/>
  <c r="L109" i="16"/>
  <c r="I109" i="16"/>
  <c r="F109" i="16"/>
  <c r="C109" i="16" s="1"/>
  <c r="O108" i="16"/>
  <c r="L108" i="16"/>
  <c r="I108" i="16"/>
  <c r="F108" i="16"/>
  <c r="C108" i="16" s="1"/>
  <c r="O107" i="16"/>
  <c r="L107" i="16"/>
  <c r="I107" i="16"/>
  <c r="D107" i="16"/>
  <c r="F107" i="16" s="1"/>
  <c r="C107" i="16" s="1"/>
  <c r="N106" i="16"/>
  <c r="M106" i="16"/>
  <c r="O106" i="16" s="1"/>
  <c r="L106" i="16"/>
  <c r="K106" i="16"/>
  <c r="J106" i="16"/>
  <c r="H106" i="16"/>
  <c r="I106" i="16" s="1"/>
  <c r="G106" i="16"/>
  <c r="E106" i="16"/>
  <c r="D106" i="16"/>
  <c r="F106" i="16" s="1"/>
  <c r="O105" i="16"/>
  <c r="L105" i="16"/>
  <c r="I105" i="16"/>
  <c r="F105" i="16"/>
  <c r="C105" i="16" s="1"/>
  <c r="O104" i="16"/>
  <c r="L104" i="16"/>
  <c r="C104" i="16" s="1"/>
  <c r="I104" i="16"/>
  <c r="F104" i="16"/>
  <c r="O103" i="16"/>
  <c r="L103" i="16"/>
  <c r="I103" i="16"/>
  <c r="F103" i="16"/>
  <c r="C103" i="16"/>
  <c r="O102" i="16"/>
  <c r="L102" i="16"/>
  <c r="I102" i="16"/>
  <c r="F102" i="16"/>
  <c r="C102" i="16" s="1"/>
  <c r="O101" i="16"/>
  <c r="L101" i="16"/>
  <c r="I101" i="16"/>
  <c r="F101" i="16"/>
  <c r="C101" i="16" s="1"/>
  <c r="O100" i="16"/>
  <c r="L100" i="16"/>
  <c r="C100" i="16" s="1"/>
  <c r="I100" i="16"/>
  <c r="F100" i="16"/>
  <c r="O99" i="16"/>
  <c r="L99" i="16"/>
  <c r="I99" i="16"/>
  <c r="F99" i="16"/>
  <c r="C99" i="16"/>
  <c r="N98" i="16"/>
  <c r="M98" i="16"/>
  <c r="O98" i="16" s="1"/>
  <c r="L98" i="16"/>
  <c r="K98" i="16"/>
  <c r="J98" i="16"/>
  <c r="H98" i="16"/>
  <c r="I98" i="16" s="1"/>
  <c r="G98" i="16"/>
  <c r="E98" i="16"/>
  <c r="D98" i="16"/>
  <c r="F98" i="16" s="1"/>
  <c r="O97" i="16"/>
  <c r="L97" i="16"/>
  <c r="I97" i="16"/>
  <c r="F97" i="16"/>
  <c r="C97" i="16" s="1"/>
  <c r="O96" i="16"/>
  <c r="L96" i="16"/>
  <c r="C96" i="16" s="1"/>
  <c r="I96" i="16"/>
  <c r="F96" i="16"/>
  <c r="O95" i="16"/>
  <c r="L95" i="16"/>
  <c r="I95" i="16"/>
  <c r="F95" i="16"/>
  <c r="C95" i="16"/>
  <c r="O94" i="16"/>
  <c r="L94" i="16"/>
  <c r="I94" i="16"/>
  <c r="F94" i="16"/>
  <c r="C94" i="16" s="1"/>
  <c r="D94" i="16"/>
  <c r="O93" i="16"/>
  <c r="L93" i="16"/>
  <c r="I93" i="16"/>
  <c r="D93" i="16"/>
  <c r="F93" i="16" s="1"/>
  <c r="C93" i="16" s="1"/>
  <c r="N92" i="16"/>
  <c r="M92" i="16"/>
  <c r="O92" i="16" s="1"/>
  <c r="L92" i="16"/>
  <c r="K92" i="16"/>
  <c r="J92" i="16"/>
  <c r="H92" i="16"/>
  <c r="I92" i="16" s="1"/>
  <c r="G92" i="16"/>
  <c r="E92" i="16"/>
  <c r="D92" i="16"/>
  <c r="F92" i="16" s="1"/>
  <c r="O91" i="16"/>
  <c r="L91" i="16"/>
  <c r="I91" i="16"/>
  <c r="F91" i="16"/>
  <c r="C91" i="16" s="1"/>
  <c r="O90" i="16"/>
  <c r="L90" i="16"/>
  <c r="C90" i="16" s="1"/>
  <c r="I90" i="16"/>
  <c r="F90" i="16"/>
  <c r="O89" i="16"/>
  <c r="L89" i="16"/>
  <c r="I89" i="16"/>
  <c r="F89" i="16"/>
  <c r="C89" i="16"/>
  <c r="O88" i="16"/>
  <c r="L88" i="16"/>
  <c r="I88" i="16"/>
  <c r="F88" i="16"/>
  <c r="C88" i="16" s="1"/>
  <c r="N87" i="16"/>
  <c r="M87" i="16"/>
  <c r="M86" i="16" s="1"/>
  <c r="O86" i="16" s="1"/>
  <c r="K87" i="16"/>
  <c r="J87" i="16"/>
  <c r="L87" i="16" s="1"/>
  <c r="I87" i="16"/>
  <c r="H87" i="16"/>
  <c r="H86" i="16" s="1"/>
  <c r="G87" i="16"/>
  <c r="E87" i="16"/>
  <c r="F87" i="16" s="1"/>
  <c r="D87" i="16"/>
  <c r="D86" i="16" s="1"/>
  <c r="N86" i="16"/>
  <c r="K86" i="16"/>
  <c r="J86" i="16"/>
  <c r="L86" i="16" s="1"/>
  <c r="G86" i="16"/>
  <c r="O85" i="16"/>
  <c r="L85" i="16"/>
  <c r="I85" i="16"/>
  <c r="F85" i="16"/>
  <c r="C85" i="16"/>
  <c r="O84" i="16"/>
  <c r="L84" i="16"/>
  <c r="I84" i="16"/>
  <c r="F84" i="16"/>
  <c r="C84" i="16" s="1"/>
  <c r="N83" i="16"/>
  <c r="M83" i="16"/>
  <c r="O83" i="16" s="1"/>
  <c r="K83" i="16"/>
  <c r="J83" i="16"/>
  <c r="L83" i="16" s="1"/>
  <c r="I83" i="16"/>
  <c r="H83" i="16"/>
  <c r="G83" i="16"/>
  <c r="E83" i="16"/>
  <c r="F83" i="16" s="1"/>
  <c r="C83" i="16" s="1"/>
  <c r="D83" i="16"/>
  <c r="O82" i="16"/>
  <c r="L82" i="16"/>
  <c r="C82" i="16" s="1"/>
  <c r="I82" i="16"/>
  <c r="F82" i="16"/>
  <c r="O81" i="16"/>
  <c r="L81" i="16"/>
  <c r="I81" i="16"/>
  <c r="F81" i="16"/>
  <c r="C81" i="16"/>
  <c r="N80" i="16"/>
  <c r="M80" i="16"/>
  <c r="O80" i="16" s="1"/>
  <c r="L80" i="16"/>
  <c r="K80" i="16"/>
  <c r="K79" i="16" s="1"/>
  <c r="K78" i="16" s="1"/>
  <c r="J80" i="16"/>
  <c r="H80" i="16"/>
  <c r="I80" i="16" s="1"/>
  <c r="G80" i="16"/>
  <c r="G79" i="16" s="1"/>
  <c r="E80" i="16"/>
  <c r="D80" i="16"/>
  <c r="D79" i="16" s="1"/>
  <c r="N79" i="16"/>
  <c r="M79" i="16"/>
  <c r="J79" i="16"/>
  <c r="L79" i="16" s="1"/>
  <c r="E79" i="16"/>
  <c r="N78" i="16"/>
  <c r="J78" i="16"/>
  <c r="O77" i="16"/>
  <c r="L77" i="16"/>
  <c r="I77" i="16"/>
  <c r="F77" i="16"/>
  <c r="C77" i="16"/>
  <c r="O76" i="16"/>
  <c r="L76" i="16"/>
  <c r="I76" i="16"/>
  <c r="F76" i="16"/>
  <c r="C76" i="16" s="1"/>
  <c r="O75" i="16"/>
  <c r="L75" i="16"/>
  <c r="I75" i="16"/>
  <c r="F75" i="16"/>
  <c r="C75" i="16" s="1"/>
  <c r="O74" i="16"/>
  <c r="L74" i="16"/>
  <c r="C74" i="16" s="1"/>
  <c r="I74" i="16"/>
  <c r="F74" i="16"/>
  <c r="O73" i="16"/>
  <c r="L73" i="16"/>
  <c r="I73" i="16"/>
  <c r="F73" i="16"/>
  <c r="C73" i="16"/>
  <c r="N72" i="16"/>
  <c r="M72" i="16"/>
  <c r="O72" i="16" s="1"/>
  <c r="L72" i="16"/>
  <c r="K72" i="16"/>
  <c r="J72" i="16"/>
  <c r="H72" i="16"/>
  <c r="I72" i="16" s="1"/>
  <c r="G72" i="16"/>
  <c r="E72" i="16"/>
  <c r="E70" i="16" s="1"/>
  <c r="D72" i="16"/>
  <c r="F72" i="16" s="1"/>
  <c r="C72" i="16" s="1"/>
  <c r="O71" i="16"/>
  <c r="L71" i="16"/>
  <c r="I71" i="16"/>
  <c r="F71" i="16"/>
  <c r="C71" i="16" s="1"/>
  <c r="N70" i="16"/>
  <c r="K70" i="16"/>
  <c r="J70" i="16"/>
  <c r="L70" i="16" s="1"/>
  <c r="G70" i="16"/>
  <c r="O69" i="16"/>
  <c r="L69" i="16"/>
  <c r="I69" i="16"/>
  <c r="F69" i="16"/>
  <c r="C69" i="16"/>
  <c r="O68" i="16"/>
  <c r="L68" i="16"/>
  <c r="I68" i="16"/>
  <c r="F68" i="16"/>
  <c r="C68" i="16" s="1"/>
  <c r="O67" i="16"/>
  <c r="L67" i="16"/>
  <c r="I67" i="16"/>
  <c r="F67" i="16"/>
  <c r="C67" i="16" s="1"/>
  <c r="O66" i="16"/>
  <c r="L66" i="16"/>
  <c r="C66" i="16" s="1"/>
  <c r="I66" i="16"/>
  <c r="F66" i="16"/>
  <c r="O65" i="16"/>
  <c r="L65" i="16"/>
  <c r="I65" i="16"/>
  <c r="F65" i="16"/>
  <c r="C65" i="16"/>
  <c r="O64" i="16"/>
  <c r="L64" i="16"/>
  <c r="I64" i="16"/>
  <c r="F64" i="16"/>
  <c r="C64" i="16" s="1"/>
  <c r="O63" i="16"/>
  <c r="L63" i="16"/>
  <c r="I63" i="16"/>
  <c r="F63" i="16"/>
  <c r="C63" i="16" s="1"/>
  <c r="O62" i="16"/>
  <c r="L62" i="16"/>
  <c r="C62" i="16" s="1"/>
  <c r="I62" i="16"/>
  <c r="F62" i="16"/>
  <c r="O61" i="16"/>
  <c r="N61" i="16"/>
  <c r="M61" i="16"/>
  <c r="K61" i="16"/>
  <c r="L61" i="16" s="1"/>
  <c r="J61" i="16"/>
  <c r="H61" i="16"/>
  <c r="G61" i="16"/>
  <c r="I61" i="16" s="1"/>
  <c r="E61" i="16"/>
  <c r="D61" i="16"/>
  <c r="F61" i="16" s="1"/>
  <c r="C61" i="16" s="1"/>
  <c r="O60" i="16"/>
  <c r="L60" i="16"/>
  <c r="I60" i="16"/>
  <c r="F60" i="16"/>
  <c r="C60" i="16" s="1"/>
  <c r="O59" i="16"/>
  <c r="L59" i="16"/>
  <c r="I59" i="16"/>
  <c r="F59" i="16"/>
  <c r="C59" i="16" s="1"/>
  <c r="N58" i="16"/>
  <c r="O58" i="16" s="1"/>
  <c r="M58" i="16"/>
  <c r="M57" i="16" s="1"/>
  <c r="K58" i="16"/>
  <c r="J58" i="16"/>
  <c r="J57" i="16" s="1"/>
  <c r="H58" i="16"/>
  <c r="G58" i="16"/>
  <c r="I58" i="16" s="1"/>
  <c r="F58" i="16"/>
  <c r="E58" i="16"/>
  <c r="E57" i="16" s="1"/>
  <c r="E56" i="16" s="1"/>
  <c r="D58" i="16"/>
  <c r="K57" i="16"/>
  <c r="K56" i="16" s="1"/>
  <c r="H57" i="16"/>
  <c r="G57" i="16"/>
  <c r="G56" i="16" s="1"/>
  <c r="D57" i="16"/>
  <c r="O50" i="16"/>
  <c r="C50" i="16" s="1"/>
  <c r="O49" i="16"/>
  <c r="C49" i="16"/>
  <c r="N48" i="16"/>
  <c r="M48" i="16"/>
  <c r="O48" i="16" s="1"/>
  <c r="C48" i="16" s="1"/>
  <c r="L47" i="16"/>
  <c r="I47" i="16"/>
  <c r="F47" i="16"/>
  <c r="C47" i="16"/>
  <c r="K46" i="16"/>
  <c r="J46" i="16"/>
  <c r="L46" i="16" s="1"/>
  <c r="I46" i="16"/>
  <c r="H46" i="16"/>
  <c r="G46" i="16"/>
  <c r="E46" i="16"/>
  <c r="F46" i="16" s="1"/>
  <c r="C46" i="16" s="1"/>
  <c r="D46" i="16"/>
  <c r="F45" i="16"/>
  <c r="C45" i="16"/>
  <c r="L44" i="16"/>
  <c r="C44" i="16" s="1"/>
  <c r="L43" i="16"/>
  <c r="C43" i="16"/>
  <c r="L42" i="16"/>
  <c r="C42" i="16" s="1"/>
  <c r="L41" i="16"/>
  <c r="C41" i="16"/>
  <c r="K40" i="16"/>
  <c r="J40" i="16"/>
  <c r="L40" i="16" s="1"/>
  <c r="C40" i="16" s="1"/>
  <c r="L39" i="16"/>
  <c r="C39" i="16" s="1"/>
  <c r="L38" i="16"/>
  <c r="C38" i="16"/>
  <c r="K37" i="16"/>
  <c r="J37" i="16"/>
  <c r="L37" i="16" s="1"/>
  <c r="C37" i="16" s="1"/>
  <c r="L36" i="16"/>
  <c r="C36" i="16" s="1"/>
  <c r="K35" i="16"/>
  <c r="L35" i="16" s="1"/>
  <c r="C35" i="16" s="1"/>
  <c r="J35" i="16"/>
  <c r="L34" i="16"/>
  <c r="C34" i="16"/>
  <c r="L33" i="16"/>
  <c r="C33" i="16" s="1"/>
  <c r="L32" i="16"/>
  <c r="C32" i="16"/>
  <c r="K31" i="16"/>
  <c r="J31" i="16"/>
  <c r="L31" i="16" s="1"/>
  <c r="C31" i="16" s="1"/>
  <c r="J30" i="16"/>
  <c r="F29" i="16"/>
  <c r="C29" i="16" s="1"/>
  <c r="I28" i="16"/>
  <c r="O27" i="16"/>
  <c r="L27" i="16"/>
  <c r="C27" i="16" s="1"/>
  <c r="I27" i="16"/>
  <c r="F27" i="16"/>
  <c r="O26" i="16"/>
  <c r="L26" i="16"/>
  <c r="I26" i="16"/>
  <c r="F26" i="16"/>
  <c r="C26" i="16"/>
  <c r="N25" i="16"/>
  <c r="N290" i="16" s="1"/>
  <c r="N289" i="16" s="1"/>
  <c r="M25" i="16"/>
  <c r="M290" i="16" s="1"/>
  <c r="L25" i="16"/>
  <c r="K25" i="16"/>
  <c r="K290" i="16" s="1"/>
  <c r="K289" i="16" s="1"/>
  <c r="J25" i="16"/>
  <c r="J290" i="16" s="1"/>
  <c r="H25" i="16"/>
  <c r="H290" i="16" s="1"/>
  <c r="H289" i="16" s="1"/>
  <c r="G25" i="16"/>
  <c r="G290" i="16" s="1"/>
  <c r="E25" i="16"/>
  <c r="E290" i="16" s="1"/>
  <c r="E289" i="16" s="1"/>
  <c r="D25" i="16"/>
  <c r="D290" i="16" s="1"/>
  <c r="N24" i="16"/>
  <c r="M24" i="16"/>
  <c r="O24" i="16" s="1"/>
  <c r="J24" i="16"/>
  <c r="E24" i="16"/>
  <c r="O299" i="15"/>
  <c r="L299" i="15"/>
  <c r="C299" i="15" s="1"/>
  <c r="I299" i="15"/>
  <c r="F299" i="15"/>
  <c r="O298" i="15"/>
  <c r="L298" i="15"/>
  <c r="I298" i="15"/>
  <c r="F298" i="15"/>
  <c r="C298" i="15"/>
  <c r="O297" i="15"/>
  <c r="L297" i="15"/>
  <c r="I297" i="15"/>
  <c r="F297" i="15"/>
  <c r="C297" i="15" s="1"/>
  <c r="O296" i="15"/>
  <c r="L296" i="15"/>
  <c r="I296" i="15"/>
  <c r="F296" i="15"/>
  <c r="C296" i="15" s="1"/>
  <c r="O295" i="15"/>
  <c r="L295" i="15"/>
  <c r="C295" i="15" s="1"/>
  <c r="I295" i="15"/>
  <c r="F295" i="15"/>
  <c r="O294" i="15"/>
  <c r="L294" i="15"/>
  <c r="I294" i="15"/>
  <c r="F294" i="15"/>
  <c r="C294" i="15"/>
  <c r="O293" i="15"/>
  <c r="L293" i="15"/>
  <c r="I293" i="15"/>
  <c r="F293" i="15"/>
  <c r="C293" i="15" s="1"/>
  <c r="O292" i="15"/>
  <c r="L292" i="15"/>
  <c r="I292" i="15"/>
  <c r="F292" i="15"/>
  <c r="C292" i="15" s="1"/>
  <c r="N291" i="15"/>
  <c r="O291" i="15" s="1"/>
  <c r="M291" i="15"/>
  <c r="K291" i="15"/>
  <c r="J291" i="15"/>
  <c r="L291" i="15" s="1"/>
  <c r="H291" i="15"/>
  <c r="G291" i="15"/>
  <c r="I291" i="15" s="1"/>
  <c r="F291" i="15"/>
  <c r="E291" i="15"/>
  <c r="D291" i="15"/>
  <c r="O286" i="15"/>
  <c r="L286" i="15"/>
  <c r="I286" i="15"/>
  <c r="F286" i="15"/>
  <c r="C286" i="15"/>
  <c r="O285" i="15"/>
  <c r="L285" i="15"/>
  <c r="I285" i="15"/>
  <c r="F285" i="15"/>
  <c r="C285" i="15" s="1"/>
  <c r="N284" i="15"/>
  <c r="M284" i="15"/>
  <c r="K284" i="15"/>
  <c r="J284" i="15"/>
  <c r="L284" i="15" s="1"/>
  <c r="I284" i="15"/>
  <c r="H284" i="15"/>
  <c r="G284" i="15"/>
  <c r="E284" i="15"/>
  <c r="F284" i="15" s="1"/>
  <c r="D284" i="15"/>
  <c r="O283" i="15"/>
  <c r="L283" i="15"/>
  <c r="C283" i="15" s="1"/>
  <c r="I283" i="15"/>
  <c r="F283" i="15"/>
  <c r="O282" i="15"/>
  <c r="N282" i="15"/>
  <c r="M282" i="15"/>
  <c r="K282" i="15"/>
  <c r="L282" i="15" s="1"/>
  <c r="J282" i="15"/>
  <c r="H282" i="15"/>
  <c r="G282" i="15"/>
  <c r="I282" i="15" s="1"/>
  <c r="E282" i="15"/>
  <c r="D282" i="15"/>
  <c r="F282" i="15" s="1"/>
  <c r="O281" i="15"/>
  <c r="L281" i="15"/>
  <c r="I281" i="15"/>
  <c r="F281" i="15"/>
  <c r="C281" i="15" s="1"/>
  <c r="O280" i="15"/>
  <c r="L280" i="15"/>
  <c r="I280" i="15"/>
  <c r="F280" i="15"/>
  <c r="C280" i="15" s="1"/>
  <c r="O279" i="15"/>
  <c r="L279" i="15"/>
  <c r="C279" i="15" s="1"/>
  <c r="I279" i="15"/>
  <c r="F279" i="15"/>
  <c r="O278" i="15"/>
  <c r="N278" i="15"/>
  <c r="M278" i="15"/>
  <c r="K278" i="15"/>
  <c r="L278" i="15" s="1"/>
  <c r="J278" i="15"/>
  <c r="H278" i="15"/>
  <c r="G278" i="15"/>
  <c r="I278" i="15" s="1"/>
  <c r="E278" i="15"/>
  <c r="D278" i="15"/>
  <c r="F278" i="15" s="1"/>
  <c r="O277" i="15"/>
  <c r="L277" i="15"/>
  <c r="I277" i="15"/>
  <c r="F277" i="15"/>
  <c r="C277" i="15" s="1"/>
  <c r="O276" i="15"/>
  <c r="L276" i="15"/>
  <c r="I276" i="15"/>
  <c r="F276" i="15"/>
  <c r="C276" i="15" s="1"/>
  <c r="O275" i="15"/>
  <c r="L275" i="15"/>
  <c r="C275" i="15" s="1"/>
  <c r="I275" i="15"/>
  <c r="F275" i="15"/>
  <c r="O274" i="15"/>
  <c r="N274" i="15"/>
  <c r="M274" i="15"/>
  <c r="K274" i="15"/>
  <c r="L274" i="15" s="1"/>
  <c r="J274" i="15"/>
  <c r="H274" i="15"/>
  <c r="H272" i="15" s="1"/>
  <c r="H271" i="15" s="1"/>
  <c r="G274" i="15"/>
  <c r="I274" i="15" s="1"/>
  <c r="E274" i="15"/>
  <c r="D274" i="15"/>
  <c r="F274" i="15" s="1"/>
  <c r="O273" i="15"/>
  <c r="L273" i="15"/>
  <c r="I273" i="15"/>
  <c r="F273" i="15"/>
  <c r="C273" i="15" s="1"/>
  <c r="N272" i="15"/>
  <c r="M272" i="15"/>
  <c r="M271" i="15" s="1"/>
  <c r="O271" i="15" s="1"/>
  <c r="J272" i="15"/>
  <c r="E272" i="15"/>
  <c r="E271" i="15" s="1"/>
  <c r="N271" i="15"/>
  <c r="J271" i="15"/>
  <c r="O270" i="15"/>
  <c r="L270" i="15"/>
  <c r="I270" i="15"/>
  <c r="F270" i="15"/>
  <c r="C270" i="15"/>
  <c r="O269" i="15"/>
  <c r="L269" i="15"/>
  <c r="I269" i="15"/>
  <c r="F269" i="15"/>
  <c r="C269" i="15" s="1"/>
  <c r="O268" i="15"/>
  <c r="L268" i="15"/>
  <c r="I268" i="15"/>
  <c r="F268" i="15"/>
  <c r="C268" i="15" s="1"/>
  <c r="O267" i="15"/>
  <c r="L267" i="15"/>
  <c r="C267" i="15" s="1"/>
  <c r="I267" i="15"/>
  <c r="F267" i="15"/>
  <c r="O266" i="15"/>
  <c r="N266" i="15"/>
  <c r="M266" i="15"/>
  <c r="K266" i="15"/>
  <c r="L266" i="15" s="1"/>
  <c r="J266" i="15"/>
  <c r="H266" i="15"/>
  <c r="G266" i="15"/>
  <c r="I266" i="15" s="1"/>
  <c r="E266" i="15"/>
  <c r="D266" i="15"/>
  <c r="F266" i="15" s="1"/>
  <c r="O265" i="15"/>
  <c r="L265" i="15"/>
  <c r="I265" i="15"/>
  <c r="F265" i="15"/>
  <c r="C265" i="15" s="1"/>
  <c r="O264" i="15"/>
  <c r="L264" i="15"/>
  <c r="I264" i="15"/>
  <c r="F264" i="15"/>
  <c r="C264" i="15" s="1"/>
  <c r="O263" i="15"/>
  <c r="L263" i="15"/>
  <c r="C263" i="15" s="1"/>
  <c r="I263" i="15"/>
  <c r="F263" i="15"/>
  <c r="O262" i="15"/>
  <c r="N262" i="15"/>
  <c r="N261" i="15" s="1"/>
  <c r="M262" i="15"/>
  <c r="K262" i="15"/>
  <c r="L262" i="15" s="1"/>
  <c r="J262" i="15"/>
  <c r="J261" i="15" s="1"/>
  <c r="H262" i="15"/>
  <c r="G262" i="15"/>
  <c r="G261" i="15" s="1"/>
  <c r="I261" i="15" s="1"/>
  <c r="E262" i="15"/>
  <c r="D262" i="15"/>
  <c r="F262" i="15" s="1"/>
  <c r="M261" i="15"/>
  <c r="O261" i="15" s="1"/>
  <c r="H261" i="15"/>
  <c r="E261" i="15"/>
  <c r="D261" i="15"/>
  <c r="F261" i="15" s="1"/>
  <c r="O260" i="15"/>
  <c r="L260" i="15"/>
  <c r="I260" i="15"/>
  <c r="F260" i="15"/>
  <c r="C260" i="15" s="1"/>
  <c r="O259" i="15"/>
  <c r="L259" i="15"/>
  <c r="C259" i="15" s="1"/>
  <c r="I259" i="15"/>
  <c r="F259" i="15"/>
  <c r="O258" i="15"/>
  <c r="L258" i="15"/>
  <c r="I258" i="15"/>
  <c r="F258" i="15"/>
  <c r="C258" i="15"/>
  <c r="O257" i="15"/>
  <c r="L257" i="15"/>
  <c r="I257" i="15"/>
  <c r="F257" i="15"/>
  <c r="C257" i="15" s="1"/>
  <c r="O256" i="15"/>
  <c r="L256" i="15"/>
  <c r="I256" i="15"/>
  <c r="F256" i="15"/>
  <c r="C256" i="15" s="1"/>
  <c r="N255" i="15"/>
  <c r="O255" i="15" s="1"/>
  <c r="M255" i="15"/>
  <c r="M254" i="15" s="1"/>
  <c r="K255" i="15"/>
  <c r="J255" i="15"/>
  <c r="J254" i="15" s="1"/>
  <c r="L254" i="15" s="1"/>
  <c r="H255" i="15"/>
  <c r="G255" i="15"/>
  <c r="I255" i="15" s="1"/>
  <c r="F255" i="15"/>
  <c r="E255" i="15"/>
  <c r="E254" i="15" s="1"/>
  <c r="D255" i="15"/>
  <c r="K254" i="15"/>
  <c r="H254" i="15"/>
  <c r="G254" i="15"/>
  <c r="I254" i="15" s="1"/>
  <c r="D254" i="15"/>
  <c r="O253" i="15"/>
  <c r="L253" i="15"/>
  <c r="I253" i="15"/>
  <c r="F253" i="15"/>
  <c r="C253" i="15" s="1"/>
  <c r="O252" i="15"/>
  <c r="L252" i="15"/>
  <c r="I252" i="15"/>
  <c r="F252" i="15"/>
  <c r="C252" i="15" s="1"/>
  <c r="O251" i="15"/>
  <c r="L251" i="15"/>
  <c r="C251" i="15" s="1"/>
  <c r="I251" i="15"/>
  <c r="F251" i="15"/>
  <c r="O250" i="15"/>
  <c r="L250" i="15"/>
  <c r="I250" i="15"/>
  <c r="F250" i="15"/>
  <c r="C250" i="15"/>
  <c r="N249" i="15"/>
  <c r="M249" i="15"/>
  <c r="O249" i="15" s="1"/>
  <c r="L249" i="15"/>
  <c r="K249" i="15"/>
  <c r="J249" i="15"/>
  <c r="H249" i="15"/>
  <c r="I249" i="15" s="1"/>
  <c r="G249" i="15"/>
  <c r="E249" i="15"/>
  <c r="D249" i="15"/>
  <c r="F249" i="15" s="1"/>
  <c r="C249" i="15" s="1"/>
  <c r="O248" i="15"/>
  <c r="L248" i="15"/>
  <c r="I248" i="15"/>
  <c r="F248" i="15"/>
  <c r="C248" i="15" s="1"/>
  <c r="O247" i="15"/>
  <c r="L247" i="15"/>
  <c r="C247" i="15" s="1"/>
  <c r="I247" i="15"/>
  <c r="F247" i="15"/>
  <c r="O246" i="15"/>
  <c r="L246" i="15"/>
  <c r="I246" i="15"/>
  <c r="F246" i="15"/>
  <c r="C246" i="15"/>
  <c r="O245" i="15"/>
  <c r="L245" i="15"/>
  <c r="I245" i="15"/>
  <c r="F245" i="15"/>
  <c r="C245" i="15" s="1"/>
  <c r="O244" i="15"/>
  <c r="L244" i="15"/>
  <c r="I244" i="15"/>
  <c r="F244" i="15"/>
  <c r="C244" i="15" s="1"/>
  <c r="O243" i="15"/>
  <c r="L243" i="15"/>
  <c r="C243" i="15" s="1"/>
  <c r="I243" i="15"/>
  <c r="F243" i="15"/>
  <c r="O242" i="15"/>
  <c r="L242" i="15"/>
  <c r="I242" i="15"/>
  <c r="F242" i="15"/>
  <c r="C242" i="15"/>
  <c r="N241" i="15"/>
  <c r="M241" i="15"/>
  <c r="O241" i="15" s="1"/>
  <c r="L241" i="15"/>
  <c r="K241" i="15"/>
  <c r="J241" i="15"/>
  <c r="H241" i="15"/>
  <c r="I241" i="15" s="1"/>
  <c r="G241" i="15"/>
  <c r="E241" i="15"/>
  <c r="D241" i="15"/>
  <c r="F241" i="15" s="1"/>
  <c r="O240" i="15"/>
  <c r="L240" i="15"/>
  <c r="I240" i="15"/>
  <c r="F240" i="15"/>
  <c r="C240" i="15" s="1"/>
  <c r="O239" i="15"/>
  <c r="L239" i="15"/>
  <c r="C239" i="15" s="1"/>
  <c r="I239" i="15"/>
  <c r="F239" i="15"/>
  <c r="O238" i="15"/>
  <c r="N238" i="15"/>
  <c r="M238" i="15"/>
  <c r="K238" i="15"/>
  <c r="L238" i="15" s="1"/>
  <c r="J238" i="15"/>
  <c r="H238" i="15"/>
  <c r="G238" i="15"/>
  <c r="I238" i="15" s="1"/>
  <c r="E238" i="15"/>
  <c r="D238" i="15"/>
  <c r="F238" i="15" s="1"/>
  <c r="C238" i="15" s="1"/>
  <c r="O237" i="15"/>
  <c r="L237" i="15"/>
  <c r="I237" i="15"/>
  <c r="F237" i="15"/>
  <c r="C237" i="15" s="1"/>
  <c r="N236" i="15"/>
  <c r="N234" i="15" s="1"/>
  <c r="M236" i="15"/>
  <c r="O236" i="15" s="1"/>
  <c r="K236" i="15"/>
  <c r="J236" i="15"/>
  <c r="L236" i="15" s="1"/>
  <c r="I236" i="15"/>
  <c r="H236" i="15"/>
  <c r="G236" i="15"/>
  <c r="E236" i="15"/>
  <c r="F236" i="15" s="1"/>
  <c r="C236" i="15" s="1"/>
  <c r="D236" i="15"/>
  <c r="O235" i="15"/>
  <c r="L235" i="15"/>
  <c r="C235" i="15" s="1"/>
  <c r="I235" i="15"/>
  <c r="F235" i="15"/>
  <c r="K234" i="15"/>
  <c r="H234" i="15"/>
  <c r="G234" i="15"/>
  <c r="G233" i="15" s="1"/>
  <c r="I233" i="15" s="1"/>
  <c r="D234" i="15"/>
  <c r="H233" i="15"/>
  <c r="D233" i="15"/>
  <c r="O232" i="15"/>
  <c r="L232" i="15"/>
  <c r="I232" i="15"/>
  <c r="F232" i="15"/>
  <c r="C232" i="15" s="1"/>
  <c r="O231" i="15"/>
  <c r="L231" i="15"/>
  <c r="C231" i="15" s="1"/>
  <c r="I231" i="15"/>
  <c r="F231" i="15"/>
  <c r="O230" i="15"/>
  <c r="N230" i="15"/>
  <c r="M230" i="15"/>
  <c r="K230" i="15"/>
  <c r="L230" i="15" s="1"/>
  <c r="J230" i="15"/>
  <c r="H230" i="15"/>
  <c r="G230" i="15"/>
  <c r="I230" i="15" s="1"/>
  <c r="E230" i="15"/>
  <c r="D230" i="15"/>
  <c r="F230" i="15" s="1"/>
  <c r="C230" i="15" s="1"/>
  <c r="O229" i="15"/>
  <c r="L229" i="15"/>
  <c r="I229" i="15"/>
  <c r="F229" i="15"/>
  <c r="C229" i="15" s="1"/>
  <c r="O228" i="15"/>
  <c r="L228" i="15"/>
  <c r="I228" i="15"/>
  <c r="F228" i="15"/>
  <c r="C228" i="15" s="1"/>
  <c r="O227" i="15"/>
  <c r="L227" i="15"/>
  <c r="I227" i="15"/>
  <c r="D227" i="15"/>
  <c r="F227" i="15" s="1"/>
  <c r="C227" i="15" s="1"/>
  <c r="O226" i="15"/>
  <c r="L226" i="15"/>
  <c r="I226" i="15"/>
  <c r="F226" i="15"/>
  <c r="C226" i="15" s="1"/>
  <c r="O225" i="15"/>
  <c r="L225" i="15"/>
  <c r="I225" i="15"/>
  <c r="F225" i="15"/>
  <c r="C225" i="15" s="1"/>
  <c r="O224" i="15"/>
  <c r="L224" i="15"/>
  <c r="I224" i="15"/>
  <c r="F224" i="15"/>
  <c r="C224" i="15"/>
  <c r="O223" i="15"/>
  <c r="L223" i="15"/>
  <c r="I223" i="15"/>
  <c r="F223" i="15"/>
  <c r="C223" i="15" s="1"/>
  <c r="O222" i="15"/>
  <c r="L222" i="15"/>
  <c r="I222" i="15"/>
  <c r="F222" i="15"/>
  <c r="C222" i="15" s="1"/>
  <c r="O221" i="15"/>
  <c r="L221" i="15"/>
  <c r="I221" i="15"/>
  <c r="C221" i="15" s="1"/>
  <c r="F221" i="15"/>
  <c r="D221" i="15"/>
  <c r="O220" i="15"/>
  <c r="L220" i="15"/>
  <c r="I220" i="15"/>
  <c r="D220" i="15"/>
  <c r="F220" i="15" s="1"/>
  <c r="C220" i="15" s="1"/>
  <c r="N219" i="15"/>
  <c r="M219" i="15"/>
  <c r="O219" i="15" s="1"/>
  <c r="K219" i="15"/>
  <c r="J219" i="15"/>
  <c r="L219" i="15" s="1"/>
  <c r="I219" i="15"/>
  <c r="H219" i="15"/>
  <c r="G219" i="15"/>
  <c r="E219" i="15"/>
  <c r="O218" i="15"/>
  <c r="L218" i="15"/>
  <c r="C218" i="15" s="1"/>
  <c r="I218" i="15"/>
  <c r="F218" i="15"/>
  <c r="O217" i="15"/>
  <c r="L217" i="15"/>
  <c r="I217" i="15"/>
  <c r="F217" i="15"/>
  <c r="C217" i="15"/>
  <c r="O216" i="15"/>
  <c r="L216" i="15"/>
  <c r="I216" i="15"/>
  <c r="F216" i="15"/>
  <c r="C216" i="15" s="1"/>
  <c r="O215" i="15"/>
  <c r="L215" i="15"/>
  <c r="I215" i="15"/>
  <c r="F215" i="15"/>
  <c r="C215" i="15" s="1"/>
  <c r="O214" i="15"/>
  <c r="L214" i="15"/>
  <c r="C214" i="15" s="1"/>
  <c r="I214" i="15"/>
  <c r="F214" i="15"/>
  <c r="O213" i="15"/>
  <c r="L213" i="15"/>
  <c r="I213" i="15"/>
  <c r="F213" i="15"/>
  <c r="C213" i="15"/>
  <c r="O212" i="15"/>
  <c r="L212" i="15"/>
  <c r="I212" i="15"/>
  <c r="F212" i="15"/>
  <c r="C212" i="15" s="1"/>
  <c r="O211" i="15"/>
  <c r="L211" i="15"/>
  <c r="I211" i="15"/>
  <c r="F211" i="15"/>
  <c r="C211" i="15" s="1"/>
  <c r="O210" i="15"/>
  <c r="L210" i="15"/>
  <c r="C210" i="15" s="1"/>
  <c r="I210" i="15"/>
  <c r="F210" i="15"/>
  <c r="O209" i="15"/>
  <c r="L209" i="15"/>
  <c r="I209" i="15"/>
  <c r="F209" i="15"/>
  <c r="C209" i="15"/>
  <c r="N208" i="15"/>
  <c r="M208" i="15"/>
  <c r="O208" i="15" s="1"/>
  <c r="L208" i="15"/>
  <c r="K208" i="15"/>
  <c r="K207" i="15" s="1"/>
  <c r="J208" i="15"/>
  <c r="H208" i="15"/>
  <c r="I208" i="15" s="1"/>
  <c r="G208" i="15"/>
  <c r="G207" i="15" s="1"/>
  <c r="E208" i="15"/>
  <c r="D208" i="15"/>
  <c r="N207" i="15"/>
  <c r="M207" i="15"/>
  <c r="O207" i="15" s="1"/>
  <c r="J207" i="15"/>
  <c r="L207" i="15" s="1"/>
  <c r="E207" i="15"/>
  <c r="O206" i="15"/>
  <c r="L206" i="15"/>
  <c r="C206" i="15" s="1"/>
  <c r="I206" i="15"/>
  <c r="F206" i="15"/>
  <c r="O205" i="15"/>
  <c r="L205" i="15"/>
  <c r="I205" i="15"/>
  <c r="F205" i="15"/>
  <c r="C205" i="15"/>
  <c r="O204" i="15"/>
  <c r="L204" i="15"/>
  <c r="I204" i="15"/>
  <c r="F204" i="15"/>
  <c r="C204" i="15" s="1"/>
  <c r="O203" i="15"/>
  <c r="L203" i="15"/>
  <c r="I203" i="15"/>
  <c r="F203" i="15"/>
  <c r="C203" i="15" s="1"/>
  <c r="O202" i="15"/>
  <c r="L202" i="15"/>
  <c r="C202" i="15" s="1"/>
  <c r="I202" i="15"/>
  <c r="F202" i="15"/>
  <c r="O201" i="15"/>
  <c r="N201" i="15"/>
  <c r="M201" i="15"/>
  <c r="K201" i="15"/>
  <c r="L201" i="15" s="1"/>
  <c r="J201" i="15"/>
  <c r="H201" i="15"/>
  <c r="H199" i="15" s="1"/>
  <c r="G201" i="15"/>
  <c r="I201" i="15" s="1"/>
  <c r="E201" i="15"/>
  <c r="D201" i="15"/>
  <c r="F201" i="15" s="1"/>
  <c r="C201" i="15" s="1"/>
  <c r="O200" i="15"/>
  <c r="L200" i="15"/>
  <c r="I200" i="15"/>
  <c r="F200" i="15"/>
  <c r="C200" i="15" s="1"/>
  <c r="N199" i="15"/>
  <c r="M199" i="15"/>
  <c r="M198" i="15" s="1"/>
  <c r="J199" i="15"/>
  <c r="E199" i="15"/>
  <c r="E198" i="15" s="1"/>
  <c r="O198" i="15"/>
  <c r="N198" i="15"/>
  <c r="J198" i="15"/>
  <c r="O196" i="15"/>
  <c r="L196" i="15"/>
  <c r="I196" i="15"/>
  <c r="F196" i="15"/>
  <c r="N195" i="15"/>
  <c r="N194" i="15" s="1"/>
  <c r="N190" i="15" s="1"/>
  <c r="M195" i="15"/>
  <c r="K195" i="15"/>
  <c r="J195" i="15"/>
  <c r="L195" i="15" s="1"/>
  <c r="I195" i="15"/>
  <c r="H195" i="15"/>
  <c r="H194" i="15" s="1"/>
  <c r="G195" i="15"/>
  <c r="E195" i="15"/>
  <c r="E194" i="15" s="1"/>
  <c r="D195" i="15"/>
  <c r="D194" i="15" s="1"/>
  <c r="F194" i="15" s="1"/>
  <c r="K194" i="15"/>
  <c r="J194" i="15"/>
  <c r="L194" i="15" s="1"/>
  <c r="G194" i="15"/>
  <c r="O193" i="15"/>
  <c r="L193" i="15"/>
  <c r="I193" i="15"/>
  <c r="F193" i="15"/>
  <c r="C193" i="15"/>
  <c r="O192" i="15"/>
  <c r="L192" i="15"/>
  <c r="I192" i="15"/>
  <c r="F192" i="15"/>
  <c r="C192" i="15" s="1"/>
  <c r="N191" i="15"/>
  <c r="M191" i="15"/>
  <c r="K191" i="15"/>
  <c r="J191" i="15"/>
  <c r="L191" i="15" s="1"/>
  <c r="I191" i="15"/>
  <c r="H191" i="15"/>
  <c r="G191" i="15"/>
  <c r="F191" i="15"/>
  <c r="E191" i="15"/>
  <c r="E190" i="15" s="1"/>
  <c r="D191" i="15"/>
  <c r="K190" i="15"/>
  <c r="O189" i="15"/>
  <c r="L189" i="15"/>
  <c r="I189" i="15"/>
  <c r="F189" i="15"/>
  <c r="C189" i="15" s="1"/>
  <c r="O188" i="15"/>
  <c r="L188" i="15"/>
  <c r="I188" i="15"/>
  <c r="F188" i="15"/>
  <c r="N187" i="15"/>
  <c r="M187" i="15"/>
  <c r="O187" i="15" s="1"/>
  <c r="K187" i="15"/>
  <c r="J187" i="15"/>
  <c r="L187" i="15" s="1"/>
  <c r="I187" i="15"/>
  <c r="H187" i="15"/>
  <c r="G187" i="15"/>
  <c r="E187" i="15"/>
  <c r="F187" i="15" s="1"/>
  <c r="C187" i="15" s="1"/>
  <c r="D187" i="15"/>
  <c r="O186" i="15"/>
  <c r="L186" i="15"/>
  <c r="I186" i="15"/>
  <c r="F186" i="15"/>
  <c r="C186" i="15"/>
  <c r="O185" i="15"/>
  <c r="L185" i="15"/>
  <c r="I185" i="15"/>
  <c r="F185" i="15"/>
  <c r="C185" i="15" s="1"/>
  <c r="O184" i="15"/>
  <c r="L184" i="15"/>
  <c r="I184" i="15"/>
  <c r="F184" i="15"/>
  <c r="O183" i="15"/>
  <c r="L183" i="15"/>
  <c r="I183" i="15"/>
  <c r="F183" i="15"/>
  <c r="N182" i="15"/>
  <c r="O182" i="15" s="1"/>
  <c r="C182" i="15" s="1"/>
  <c r="M182" i="15"/>
  <c r="K182" i="15"/>
  <c r="J182" i="15"/>
  <c r="L182" i="15" s="1"/>
  <c r="H182" i="15"/>
  <c r="G182" i="15"/>
  <c r="I182" i="15" s="1"/>
  <c r="F182" i="15"/>
  <c r="E182" i="15"/>
  <c r="D182" i="15"/>
  <c r="O181" i="15"/>
  <c r="L181" i="15"/>
  <c r="I181" i="15"/>
  <c r="F181" i="15"/>
  <c r="C181" i="15" s="1"/>
  <c r="O180" i="15"/>
  <c r="L180" i="15"/>
  <c r="I180" i="15"/>
  <c r="F180" i="15"/>
  <c r="O179" i="15"/>
  <c r="L179" i="15"/>
  <c r="I179" i="15"/>
  <c r="F179" i="15"/>
  <c r="N178" i="15"/>
  <c r="N177" i="15" s="1"/>
  <c r="N176" i="15" s="1"/>
  <c r="M178" i="15"/>
  <c r="M177" i="15" s="1"/>
  <c r="O177" i="15" s="1"/>
  <c r="K178" i="15"/>
  <c r="J178" i="15"/>
  <c r="H178" i="15"/>
  <c r="G178" i="15"/>
  <c r="I178" i="15" s="1"/>
  <c r="F178" i="15"/>
  <c r="E178" i="15"/>
  <c r="E177" i="15" s="1"/>
  <c r="D178" i="15"/>
  <c r="K177" i="15"/>
  <c r="K176" i="15" s="1"/>
  <c r="H177" i="15"/>
  <c r="D177" i="15"/>
  <c r="F177" i="15" s="1"/>
  <c r="H176" i="15"/>
  <c r="E176" i="15"/>
  <c r="O175" i="15"/>
  <c r="L175" i="15"/>
  <c r="I175" i="15"/>
  <c r="F175" i="15"/>
  <c r="O174" i="15"/>
  <c r="L174" i="15"/>
  <c r="C174" i="15" s="1"/>
  <c r="I174" i="15"/>
  <c r="F174" i="15"/>
  <c r="O173" i="15"/>
  <c r="L173" i="15"/>
  <c r="I173" i="15"/>
  <c r="F173" i="15"/>
  <c r="C173" i="15"/>
  <c r="O172" i="15"/>
  <c r="L172" i="15"/>
  <c r="I172" i="15"/>
  <c r="F172" i="15"/>
  <c r="C172" i="15" s="1"/>
  <c r="O171" i="15"/>
  <c r="L171" i="15"/>
  <c r="I171" i="15"/>
  <c r="F171" i="15"/>
  <c r="C171" i="15" s="1"/>
  <c r="O170" i="15"/>
  <c r="L170" i="15"/>
  <c r="I170" i="15"/>
  <c r="F170" i="15"/>
  <c r="C170" i="15"/>
  <c r="O169" i="15"/>
  <c r="N169" i="15"/>
  <c r="N168" i="15" s="1"/>
  <c r="M169" i="15"/>
  <c r="L169" i="15"/>
  <c r="K169" i="15"/>
  <c r="K168" i="15" s="1"/>
  <c r="J169" i="15"/>
  <c r="J168" i="15" s="1"/>
  <c r="L168" i="15" s="1"/>
  <c r="H169" i="15"/>
  <c r="G169" i="15"/>
  <c r="E169" i="15"/>
  <c r="D169" i="15"/>
  <c r="F169" i="15" s="1"/>
  <c r="M168" i="15"/>
  <c r="O168" i="15" s="1"/>
  <c r="H168" i="15"/>
  <c r="E168" i="15"/>
  <c r="O167" i="15"/>
  <c r="L167" i="15"/>
  <c r="I167" i="15"/>
  <c r="F167" i="15"/>
  <c r="O166" i="15"/>
  <c r="L166" i="15"/>
  <c r="C166" i="15" s="1"/>
  <c r="I166" i="15"/>
  <c r="F166" i="15"/>
  <c r="O165" i="15"/>
  <c r="L165" i="15"/>
  <c r="I165" i="15"/>
  <c r="F165" i="15"/>
  <c r="C165" i="15"/>
  <c r="O164" i="15"/>
  <c r="L164" i="15"/>
  <c r="I164" i="15"/>
  <c r="F164" i="15"/>
  <c r="C164" i="15" s="1"/>
  <c r="N163" i="15"/>
  <c r="M163" i="15"/>
  <c r="K163" i="15"/>
  <c r="J163" i="15"/>
  <c r="L163" i="15" s="1"/>
  <c r="I163" i="15"/>
  <c r="H163" i="15"/>
  <c r="G163" i="15"/>
  <c r="F163" i="15"/>
  <c r="E163" i="15"/>
  <c r="D163" i="15"/>
  <c r="O162" i="15"/>
  <c r="L162" i="15"/>
  <c r="C162" i="15" s="1"/>
  <c r="I162" i="15"/>
  <c r="F162" i="15"/>
  <c r="O161" i="15"/>
  <c r="L161" i="15"/>
  <c r="I161" i="15"/>
  <c r="F161" i="15"/>
  <c r="C161" i="15"/>
  <c r="O160" i="15"/>
  <c r="L160" i="15"/>
  <c r="I160" i="15"/>
  <c r="F160" i="15"/>
  <c r="C160" i="15" s="1"/>
  <c r="O159" i="15"/>
  <c r="L159" i="15"/>
  <c r="I159" i="15"/>
  <c r="F159" i="15"/>
  <c r="C159" i="15" s="1"/>
  <c r="O158" i="15"/>
  <c r="L158" i="15"/>
  <c r="I158" i="15"/>
  <c r="D158" i="15"/>
  <c r="F158" i="15" s="1"/>
  <c r="C158" i="15" s="1"/>
  <c r="O157" i="15"/>
  <c r="L157" i="15"/>
  <c r="I157" i="15"/>
  <c r="F157" i="15"/>
  <c r="O156" i="15"/>
  <c r="L156" i="15"/>
  <c r="I156" i="15"/>
  <c r="F156" i="15"/>
  <c r="O155" i="15"/>
  <c r="L155" i="15"/>
  <c r="C155" i="15" s="1"/>
  <c r="I155" i="15"/>
  <c r="F155" i="15"/>
  <c r="O154" i="15"/>
  <c r="N154" i="15"/>
  <c r="M154" i="15"/>
  <c r="K154" i="15"/>
  <c r="L154" i="15" s="1"/>
  <c r="J154" i="15"/>
  <c r="H154" i="15"/>
  <c r="G154" i="15"/>
  <c r="E154" i="15"/>
  <c r="D154" i="15"/>
  <c r="F154" i="15" s="1"/>
  <c r="O153" i="15"/>
  <c r="L153" i="15"/>
  <c r="I153" i="15"/>
  <c r="F153" i="15"/>
  <c r="O152" i="15"/>
  <c r="L152" i="15"/>
  <c r="I152" i="15"/>
  <c r="F152" i="15"/>
  <c r="O151" i="15"/>
  <c r="L151" i="15"/>
  <c r="C151" i="15" s="1"/>
  <c r="I151" i="15"/>
  <c r="F151" i="15"/>
  <c r="O150" i="15"/>
  <c r="L150" i="15"/>
  <c r="I150" i="15"/>
  <c r="F150" i="15"/>
  <c r="C150" i="15"/>
  <c r="O149" i="15"/>
  <c r="J149" i="15"/>
  <c r="L149" i="15" s="1"/>
  <c r="I149" i="15"/>
  <c r="F149" i="15"/>
  <c r="O148" i="15"/>
  <c r="L148" i="15"/>
  <c r="J148" i="15"/>
  <c r="I148" i="15"/>
  <c r="F148" i="15"/>
  <c r="C148" i="15" s="1"/>
  <c r="N147" i="15"/>
  <c r="M147" i="15"/>
  <c r="O147" i="15" s="1"/>
  <c r="K147" i="15"/>
  <c r="H147" i="15"/>
  <c r="I147" i="15" s="1"/>
  <c r="G147" i="15"/>
  <c r="E147" i="15"/>
  <c r="E133" i="15" s="1"/>
  <c r="D147" i="15"/>
  <c r="O146" i="15"/>
  <c r="L146" i="15"/>
  <c r="I146" i="15"/>
  <c r="F146" i="15"/>
  <c r="O145" i="15"/>
  <c r="L145" i="15"/>
  <c r="C145" i="15" s="1"/>
  <c r="I145" i="15"/>
  <c r="F145" i="15"/>
  <c r="O144" i="15"/>
  <c r="N144" i="15"/>
  <c r="M144" i="15"/>
  <c r="K144" i="15"/>
  <c r="L144" i="15" s="1"/>
  <c r="J144" i="15"/>
  <c r="H144" i="15"/>
  <c r="G144" i="15"/>
  <c r="I144" i="15" s="1"/>
  <c r="E144" i="15"/>
  <c r="D144" i="15"/>
  <c r="F144" i="15" s="1"/>
  <c r="O143" i="15"/>
  <c r="L143" i="15"/>
  <c r="I143" i="15"/>
  <c r="F143" i="15"/>
  <c r="O142" i="15"/>
  <c r="L142" i="15"/>
  <c r="I142" i="15"/>
  <c r="F142" i="15"/>
  <c r="O141" i="15"/>
  <c r="L141" i="15"/>
  <c r="J141" i="15"/>
  <c r="I141" i="15"/>
  <c r="D141" i="15"/>
  <c r="D139" i="15" s="1"/>
  <c r="O140" i="15"/>
  <c r="L140" i="15"/>
  <c r="I140" i="15"/>
  <c r="F140" i="15"/>
  <c r="C140" i="15" s="1"/>
  <c r="O139" i="15"/>
  <c r="N139" i="15"/>
  <c r="M139" i="15"/>
  <c r="K139" i="15"/>
  <c r="J139" i="15"/>
  <c r="H139" i="15"/>
  <c r="G139" i="15"/>
  <c r="I139" i="15" s="1"/>
  <c r="F139" i="15"/>
  <c r="E139" i="15"/>
  <c r="O138" i="15"/>
  <c r="L138" i="15"/>
  <c r="I138" i="15"/>
  <c r="F138" i="15"/>
  <c r="C138" i="15"/>
  <c r="O137" i="15"/>
  <c r="L137" i="15"/>
  <c r="I137" i="15"/>
  <c r="F137" i="15"/>
  <c r="C137" i="15" s="1"/>
  <c r="O136" i="15"/>
  <c r="L136" i="15"/>
  <c r="I136" i="15"/>
  <c r="F136" i="15"/>
  <c r="D136" i="15"/>
  <c r="C136" i="15"/>
  <c r="O135" i="15"/>
  <c r="L135" i="15"/>
  <c r="I135" i="15"/>
  <c r="F135" i="15"/>
  <c r="C135" i="15" s="1"/>
  <c r="D135" i="15"/>
  <c r="O134" i="15"/>
  <c r="N134" i="15"/>
  <c r="N133" i="15" s="1"/>
  <c r="O133" i="15" s="1"/>
  <c r="M134" i="15"/>
  <c r="K134" i="15"/>
  <c r="K133" i="15" s="1"/>
  <c r="K78" i="15" s="1"/>
  <c r="J134" i="15"/>
  <c r="L134" i="15" s="1"/>
  <c r="H134" i="15"/>
  <c r="G134" i="15"/>
  <c r="G133" i="15" s="1"/>
  <c r="F134" i="15"/>
  <c r="E134" i="15"/>
  <c r="D134" i="15"/>
  <c r="M133" i="15"/>
  <c r="H133" i="15"/>
  <c r="D133" i="15"/>
  <c r="F133" i="15" s="1"/>
  <c r="O132" i="15"/>
  <c r="L132" i="15"/>
  <c r="I132" i="15"/>
  <c r="F132" i="15"/>
  <c r="C132" i="15" s="1"/>
  <c r="N131" i="15"/>
  <c r="M131" i="15"/>
  <c r="O131" i="15" s="1"/>
  <c r="K131" i="15"/>
  <c r="J131" i="15"/>
  <c r="L131" i="15" s="1"/>
  <c r="I131" i="15"/>
  <c r="H131" i="15"/>
  <c r="G131" i="15"/>
  <c r="F131" i="15"/>
  <c r="C131" i="15" s="1"/>
  <c r="E131" i="15"/>
  <c r="D131" i="15"/>
  <c r="O130" i="15"/>
  <c r="L130" i="15"/>
  <c r="I130" i="15"/>
  <c r="F130" i="15"/>
  <c r="C130" i="15"/>
  <c r="O129" i="15"/>
  <c r="L129" i="15"/>
  <c r="I129" i="15"/>
  <c r="F129" i="15"/>
  <c r="C129" i="15" s="1"/>
  <c r="O128" i="15"/>
  <c r="L128" i="15"/>
  <c r="I128" i="15"/>
  <c r="F128" i="15"/>
  <c r="C128" i="15" s="1"/>
  <c r="O127" i="15"/>
  <c r="L127" i="15"/>
  <c r="I127" i="15"/>
  <c r="C127" i="15" s="1"/>
  <c r="F127" i="15"/>
  <c r="O126" i="15"/>
  <c r="L126" i="15"/>
  <c r="I126" i="15"/>
  <c r="F126" i="15"/>
  <c r="C126" i="15"/>
  <c r="O125" i="15"/>
  <c r="N125" i="15"/>
  <c r="M125" i="15"/>
  <c r="L125" i="15"/>
  <c r="K125" i="15"/>
  <c r="J125" i="15"/>
  <c r="H125" i="15"/>
  <c r="H86" i="15" s="1"/>
  <c r="G125" i="15"/>
  <c r="I125" i="15" s="1"/>
  <c r="E125" i="15"/>
  <c r="D125" i="15"/>
  <c r="F125" i="15" s="1"/>
  <c r="O124" i="15"/>
  <c r="L124" i="15"/>
  <c r="I124" i="15"/>
  <c r="F124" i="15"/>
  <c r="C124" i="15" s="1"/>
  <c r="O123" i="15"/>
  <c r="L123" i="15"/>
  <c r="I123" i="15"/>
  <c r="C123" i="15" s="1"/>
  <c r="F123" i="15"/>
  <c r="O122" i="15"/>
  <c r="L122" i="15"/>
  <c r="I122" i="15"/>
  <c r="F122" i="15"/>
  <c r="C122" i="15"/>
  <c r="O121" i="15"/>
  <c r="L121" i="15"/>
  <c r="I121" i="15"/>
  <c r="F121" i="15"/>
  <c r="C121" i="15" s="1"/>
  <c r="O120" i="15"/>
  <c r="L120" i="15"/>
  <c r="I120" i="15"/>
  <c r="F120" i="15"/>
  <c r="C120" i="15" s="1"/>
  <c r="N119" i="15"/>
  <c r="M119" i="15"/>
  <c r="O119" i="15" s="1"/>
  <c r="K119" i="15"/>
  <c r="J119" i="15"/>
  <c r="L119" i="15" s="1"/>
  <c r="I119" i="15"/>
  <c r="H119" i="15"/>
  <c r="G119" i="15"/>
  <c r="F119" i="15"/>
  <c r="C119" i="15" s="1"/>
  <c r="E119" i="15"/>
  <c r="D119" i="15"/>
  <c r="O118" i="15"/>
  <c r="L118" i="15"/>
  <c r="I118" i="15"/>
  <c r="F118" i="15"/>
  <c r="C118" i="15"/>
  <c r="O117" i="15"/>
  <c r="L117" i="15"/>
  <c r="I117" i="15"/>
  <c r="F117" i="15"/>
  <c r="C117" i="15" s="1"/>
  <c r="O116" i="15"/>
  <c r="L116" i="15"/>
  <c r="I116" i="15"/>
  <c r="F116" i="15"/>
  <c r="C116" i="15" s="1"/>
  <c r="N115" i="15"/>
  <c r="M115" i="15"/>
  <c r="O115" i="15" s="1"/>
  <c r="K115" i="15"/>
  <c r="J115" i="15"/>
  <c r="L115" i="15" s="1"/>
  <c r="I115" i="15"/>
  <c r="H115" i="15"/>
  <c r="G115" i="15"/>
  <c r="F115" i="15"/>
  <c r="E115" i="15"/>
  <c r="D115" i="15"/>
  <c r="O114" i="15"/>
  <c r="L114" i="15"/>
  <c r="I114" i="15"/>
  <c r="F114" i="15"/>
  <c r="C114" i="15"/>
  <c r="O113" i="15"/>
  <c r="L113" i="15"/>
  <c r="I113" i="15"/>
  <c r="F113" i="15"/>
  <c r="C113" i="15" s="1"/>
  <c r="O112" i="15"/>
  <c r="L112" i="15"/>
  <c r="I112" i="15"/>
  <c r="F112" i="15"/>
  <c r="C112" i="15" s="1"/>
  <c r="D112" i="15"/>
  <c r="O111" i="15"/>
  <c r="L111" i="15"/>
  <c r="I111" i="15"/>
  <c r="F111" i="15"/>
  <c r="C111" i="15"/>
  <c r="O110" i="15"/>
  <c r="L110" i="15"/>
  <c r="I110" i="15"/>
  <c r="F110" i="15"/>
  <c r="C110" i="15" s="1"/>
  <c r="D110" i="15"/>
  <c r="O109" i="15"/>
  <c r="L109" i="15"/>
  <c r="I109" i="15"/>
  <c r="D109" i="15"/>
  <c r="F109" i="15" s="1"/>
  <c r="C109" i="15" s="1"/>
  <c r="O108" i="15"/>
  <c r="L108" i="15"/>
  <c r="I108" i="15"/>
  <c r="F108" i="15"/>
  <c r="C108" i="15" s="1"/>
  <c r="D108" i="15"/>
  <c r="D106" i="15" s="1"/>
  <c r="O107" i="15"/>
  <c r="L107" i="15"/>
  <c r="I107" i="15"/>
  <c r="C107" i="15" s="1"/>
  <c r="F107" i="15"/>
  <c r="O106" i="15"/>
  <c r="N106" i="15"/>
  <c r="M106" i="15"/>
  <c r="K106" i="15"/>
  <c r="J106" i="15"/>
  <c r="L106" i="15" s="1"/>
  <c r="H106" i="15"/>
  <c r="G106" i="15"/>
  <c r="I106" i="15" s="1"/>
  <c r="E106" i="15"/>
  <c r="O105" i="15"/>
  <c r="L105" i="15"/>
  <c r="I105" i="15"/>
  <c r="F105" i="15"/>
  <c r="C105" i="15" s="1"/>
  <c r="O104" i="15"/>
  <c r="L104" i="15"/>
  <c r="I104" i="15"/>
  <c r="F104" i="15"/>
  <c r="C104" i="15" s="1"/>
  <c r="O103" i="15"/>
  <c r="L103" i="15"/>
  <c r="I103" i="15"/>
  <c r="C103" i="15" s="1"/>
  <c r="F103" i="15"/>
  <c r="O102" i="15"/>
  <c r="L102" i="15"/>
  <c r="I102" i="15"/>
  <c r="F102" i="15"/>
  <c r="C102" i="15"/>
  <c r="O101" i="15"/>
  <c r="L101" i="15"/>
  <c r="I101" i="15"/>
  <c r="F101" i="15"/>
  <c r="C101" i="15" s="1"/>
  <c r="O100" i="15"/>
  <c r="L100" i="15"/>
  <c r="I100" i="15"/>
  <c r="F100" i="15"/>
  <c r="C100" i="15" s="1"/>
  <c r="O99" i="15"/>
  <c r="L99" i="15"/>
  <c r="I99" i="15"/>
  <c r="C99" i="15" s="1"/>
  <c r="F99" i="15"/>
  <c r="O98" i="15"/>
  <c r="N98" i="15"/>
  <c r="M98" i="15"/>
  <c r="K98" i="15"/>
  <c r="J98" i="15"/>
  <c r="L98" i="15" s="1"/>
  <c r="H98" i="15"/>
  <c r="G98" i="15"/>
  <c r="I98" i="15" s="1"/>
  <c r="F98" i="15"/>
  <c r="E98" i="15"/>
  <c r="D98" i="15"/>
  <c r="O97" i="15"/>
  <c r="L97" i="15"/>
  <c r="I97" i="15"/>
  <c r="F97" i="15"/>
  <c r="C97" i="15" s="1"/>
  <c r="O96" i="15"/>
  <c r="L96" i="15"/>
  <c r="I96" i="15"/>
  <c r="F96" i="15"/>
  <c r="C96" i="15" s="1"/>
  <c r="O95" i="15"/>
  <c r="L95" i="15"/>
  <c r="J95" i="15"/>
  <c r="I95" i="15"/>
  <c r="F95" i="15"/>
  <c r="C95" i="15"/>
  <c r="O94" i="15"/>
  <c r="L94" i="15"/>
  <c r="I94" i="15"/>
  <c r="F94" i="15"/>
  <c r="C94" i="15" s="1"/>
  <c r="O93" i="15"/>
  <c r="L93" i="15"/>
  <c r="I93" i="15"/>
  <c r="F93" i="15"/>
  <c r="C93" i="15" s="1"/>
  <c r="N92" i="15"/>
  <c r="M92" i="15"/>
  <c r="O92" i="15" s="1"/>
  <c r="K92" i="15"/>
  <c r="J92" i="15"/>
  <c r="L92" i="15" s="1"/>
  <c r="I92" i="15"/>
  <c r="H92" i="15"/>
  <c r="G92" i="15"/>
  <c r="F92" i="15"/>
  <c r="E92" i="15"/>
  <c r="D92" i="15"/>
  <c r="O91" i="15"/>
  <c r="L91" i="15"/>
  <c r="I91" i="15"/>
  <c r="F91" i="15"/>
  <c r="C91" i="15"/>
  <c r="O90" i="15"/>
  <c r="J90" i="15"/>
  <c r="L90" i="15" s="1"/>
  <c r="I90" i="15"/>
  <c r="F90" i="15"/>
  <c r="D90" i="15"/>
  <c r="O89" i="15"/>
  <c r="L89" i="15"/>
  <c r="J89" i="15"/>
  <c r="I89" i="15"/>
  <c r="F89" i="15"/>
  <c r="C89" i="15" s="1"/>
  <c r="O88" i="15"/>
  <c r="L88" i="15"/>
  <c r="I88" i="15"/>
  <c r="F88" i="15"/>
  <c r="C88" i="15" s="1"/>
  <c r="N87" i="15"/>
  <c r="N86" i="15" s="1"/>
  <c r="M87" i="15"/>
  <c r="O87" i="15" s="1"/>
  <c r="K87" i="15"/>
  <c r="J87" i="15"/>
  <c r="J86" i="15" s="1"/>
  <c r="L86" i="15" s="1"/>
  <c r="I87" i="15"/>
  <c r="H87" i="15"/>
  <c r="G87" i="15"/>
  <c r="F87" i="15"/>
  <c r="E87" i="15"/>
  <c r="E86" i="15" s="1"/>
  <c r="D87" i="15"/>
  <c r="K86" i="15"/>
  <c r="G86" i="15"/>
  <c r="I86" i="15" s="1"/>
  <c r="O85" i="15"/>
  <c r="L85" i="15"/>
  <c r="I85" i="15"/>
  <c r="F85" i="15"/>
  <c r="C85" i="15" s="1"/>
  <c r="O84" i="15"/>
  <c r="L84" i="15"/>
  <c r="I84" i="15"/>
  <c r="F84" i="15"/>
  <c r="C84" i="15" s="1"/>
  <c r="N83" i="15"/>
  <c r="M83" i="15"/>
  <c r="O83" i="15" s="1"/>
  <c r="K83" i="15"/>
  <c r="J83" i="15"/>
  <c r="L83" i="15" s="1"/>
  <c r="I83" i="15"/>
  <c r="H83" i="15"/>
  <c r="G83" i="15"/>
  <c r="F83" i="15"/>
  <c r="C83" i="15" s="1"/>
  <c r="E83" i="15"/>
  <c r="D83" i="15"/>
  <c r="O82" i="15"/>
  <c r="L82" i="15"/>
  <c r="I82" i="15"/>
  <c r="F82" i="15"/>
  <c r="C82" i="15"/>
  <c r="O81" i="15"/>
  <c r="L81" i="15"/>
  <c r="I81" i="15"/>
  <c r="F81" i="15"/>
  <c r="C81" i="15" s="1"/>
  <c r="N80" i="15"/>
  <c r="M80" i="15"/>
  <c r="M79" i="15" s="1"/>
  <c r="L80" i="15"/>
  <c r="K80" i="15"/>
  <c r="J80" i="15"/>
  <c r="I80" i="15"/>
  <c r="H80" i="15"/>
  <c r="H79" i="15" s="1"/>
  <c r="G80" i="15"/>
  <c r="E80" i="15"/>
  <c r="E79" i="15" s="1"/>
  <c r="D80" i="15"/>
  <c r="F80" i="15" s="1"/>
  <c r="N79" i="15"/>
  <c r="K79" i="15"/>
  <c r="J79" i="15"/>
  <c r="G79" i="15"/>
  <c r="O77" i="15"/>
  <c r="L77" i="15"/>
  <c r="I77" i="15"/>
  <c r="F77" i="15"/>
  <c r="C77" i="15" s="1"/>
  <c r="D77" i="15"/>
  <c r="O76" i="15"/>
  <c r="L76" i="15"/>
  <c r="I76" i="15"/>
  <c r="D76" i="15"/>
  <c r="F76" i="15" s="1"/>
  <c r="C76" i="15" s="1"/>
  <c r="O75" i="15"/>
  <c r="L75" i="15"/>
  <c r="I75" i="15"/>
  <c r="F75" i="15"/>
  <c r="C75" i="15" s="1"/>
  <c r="O74" i="15"/>
  <c r="L74" i="15"/>
  <c r="I74" i="15"/>
  <c r="F74" i="15"/>
  <c r="C74" i="15" s="1"/>
  <c r="D74" i="15"/>
  <c r="O73" i="15"/>
  <c r="L73" i="15"/>
  <c r="I73" i="15"/>
  <c r="D73" i="15"/>
  <c r="F73" i="15" s="1"/>
  <c r="C73" i="15" s="1"/>
  <c r="N72" i="15"/>
  <c r="N70" i="15" s="1"/>
  <c r="N56" i="15" s="1"/>
  <c r="M72" i="15"/>
  <c r="M70" i="15" s="1"/>
  <c r="O70" i="15" s="1"/>
  <c r="L72" i="15"/>
  <c r="K72" i="15"/>
  <c r="J72" i="15"/>
  <c r="J70" i="15" s="1"/>
  <c r="I72" i="15"/>
  <c r="H72" i="15"/>
  <c r="G72" i="15"/>
  <c r="E72" i="15"/>
  <c r="E70" i="15" s="1"/>
  <c r="O71" i="15"/>
  <c r="L71" i="15"/>
  <c r="I71" i="15"/>
  <c r="D71" i="15"/>
  <c r="F71" i="15" s="1"/>
  <c r="C71" i="15" s="1"/>
  <c r="K70" i="15"/>
  <c r="H70" i="15"/>
  <c r="G70" i="15"/>
  <c r="I70" i="15" s="1"/>
  <c r="O69" i="15"/>
  <c r="L69" i="15"/>
  <c r="I69" i="15"/>
  <c r="F69" i="15"/>
  <c r="C69" i="15" s="1"/>
  <c r="D69" i="15"/>
  <c r="O68" i="15"/>
  <c r="L68" i="15"/>
  <c r="I68" i="15"/>
  <c r="F68" i="15"/>
  <c r="C68" i="15"/>
  <c r="O67" i="15"/>
  <c r="L67" i="15"/>
  <c r="I67" i="15"/>
  <c r="F67" i="15"/>
  <c r="C67" i="15" s="1"/>
  <c r="O66" i="15"/>
  <c r="L66" i="15"/>
  <c r="I66" i="15"/>
  <c r="F66" i="15"/>
  <c r="C66" i="15" s="1"/>
  <c r="D66" i="15"/>
  <c r="O65" i="15"/>
  <c r="L65" i="15"/>
  <c r="I65" i="15"/>
  <c r="F65" i="15"/>
  <c r="C65" i="15"/>
  <c r="O64" i="15"/>
  <c r="L64" i="15"/>
  <c r="I64" i="15"/>
  <c r="F64" i="15"/>
  <c r="C64" i="15" s="1"/>
  <c r="O63" i="15"/>
  <c r="L63" i="15"/>
  <c r="I63" i="15"/>
  <c r="F63" i="15"/>
  <c r="C63" i="15" s="1"/>
  <c r="D63" i="15"/>
  <c r="O62" i="15"/>
  <c r="L62" i="15"/>
  <c r="I62" i="15"/>
  <c r="F62" i="15"/>
  <c r="C62" i="15"/>
  <c r="O61" i="15"/>
  <c r="N61" i="15"/>
  <c r="M61" i="15"/>
  <c r="L61" i="15"/>
  <c r="K61" i="15"/>
  <c r="J61" i="15"/>
  <c r="H61" i="15"/>
  <c r="G61" i="15"/>
  <c r="I61" i="15" s="1"/>
  <c r="E61" i="15"/>
  <c r="D61" i="15"/>
  <c r="F61" i="15" s="1"/>
  <c r="O60" i="15"/>
  <c r="L60" i="15"/>
  <c r="I60" i="15"/>
  <c r="F60" i="15"/>
  <c r="C60" i="15" s="1"/>
  <c r="D60" i="15"/>
  <c r="O59" i="15"/>
  <c r="L59" i="15"/>
  <c r="I59" i="15"/>
  <c r="F59" i="15"/>
  <c r="C59" i="15"/>
  <c r="O58" i="15"/>
  <c r="N58" i="15"/>
  <c r="M58" i="15"/>
  <c r="L58" i="15"/>
  <c r="K58" i="15"/>
  <c r="K57" i="15" s="1"/>
  <c r="J58" i="15"/>
  <c r="H58" i="15"/>
  <c r="H57" i="15" s="1"/>
  <c r="H56" i="15" s="1"/>
  <c r="G58" i="15"/>
  <c r="I58" i="15" s="1"/>
  <c r="E58" i="15"/>
  <c r="D58" i="15"/>
  <c r="D57" i="15" s="1"/>
  <c r="N57" i="15"/>
  <c r="M57" i="15"/>
  <c r="M56" i="15" s="1"/>
  <c r="J57" i="15"/>
  <c r="E57" i="15"/>
  <c r="O50" i="15"/>
  <c r="C50" i="15"/>
  <c r="O49" i="15"/>
  <c r="C49" i="15" s="1"/>
  <c r="N48" i="15"/>
  <c r="M48" i="15"/>
  <c r="L47" i="15"/>
  <c r="I47" i="15"/>
  <c r="F47" i="15"/>
  <c r="C47" i="15" s="1"/>
  <c r="K46" i="15"/>
  <c r="J46" i="15"/>
  <c r="L46" i="15" s="1"/>
  <c r="H46" i="15"/>
  <c r="G46" i="15"/>
  <c r="I46" i="15" s="1"/>
  <c r="F46" i="15"/>
  <c r="E46" i="15"/>
  <c r="D46" i="15"/>
  <c r="F45" i="15"/>
  <c r="C45" i="15" s="1"/>
  <c r="J44" i="15"/>
  <c r="L44" i="15" s="1"/>
  <c r="C44" i="15" s="1"/>
  <c r="L43" i="15"/>
  <c r="C43" i="15"/>
  <c r="L42" i="15"/>
  <c r="C42" i="15" s="1"/>
  <c r="L41" i="15"/>
  <c r="C41" i="15"/>
  <c r="K40" i="15"/>
  <c r="L39" i="15"/>
  <c r="C39" i="15" s="1"/>
  <c r="L38" i="15"/>
  <c r="C38" i="15"/>
  <c r="L37" i="15"/>
  <c r="C37" i="15" s="1"/>
  <c r="K37" i="15"/>
  <c r="J37" i="15"/>
  <c r="L36" i="15"/>
  <c r="C36" i="15" s="1"/>
  <c r="K35" i="15"/>
  <c r="J35" i="15"/>
  <c r="L35" i="15" s="1"/>
  <c r="C35" i="15" s="1"/>
  <c r="L34" i="15"/>
  <c r="C34" i="15"/>
  <c r="L33" i="15"/>
  <c r="C33" i="15" s="1"/>
  <c r="L32" i="15"/>
  <c r="C32" i="15"/>
  <c r="L31" i="15"/>
  <c r="C31" i="15" s="1"/>
  <c r="K31" i="15"/>
  <c r="J31" i="15"/>
  <c r="K30" i="15"/>
  <c r="F29" i="15"/>
  <c r="C29" i="15" s="1"/>
  <c r="I28" i="15"/>
  <c r="O27" i="15"/>
  <c r="J27" i="15"/>
  <c r="L27" i="15" s="1"/>
  <c r="I27" i="15"/>
  <c r="C27" i="15" s="1"/>
  <c r="F27" i="15"/>
  <c r="O26" i="15"/>
  <c r="L26" i="15"/>
  <c r="I26" i="15"/>
  <c r="F26" i="15"/>
  <c r="C26" i="15"/>
  <c r="O25" i="15"/>
  <c r="N25" i="15"/>
  <c r="N290" i="15" s="1"/>
  <c r="N289" i="15" s="1"/>
  <c r="M25" i="15"/>
  <c r="M290" i="15" s="1"/>
  <c r="K25" i="15"/>
  <c r="K290" i="15" s="1"/>
  <c r="K289" i="15" s="1"/>
  <c r="H25" i="15"/>
  <c r="H290" i="15" s="1"/>
  <c r="H289" i="15" s="1"/>
  <c r="G25" i="15"/>
  <c r="G290" i="15" s="1"/>
  <c r="E25" i="15"/>
  <c r="E290" i="15" s="1"/>
  <c r="E289" i="15" s="1"/>
  <c r="D25" i="15"/>
  <c r="D290" i="15" s="1"/>
  <c r="M24" i="15"/>
  <c r="E24" i="15"/>
  <c r="O299" i="14"/>
  <c r="L299" i="14"/>
  <c r="I299" i="14"/>
  <c r="C299" i="14" s="1"/>
  <c r="F299" i="14"/>
  <c r="O298" i="14"/>
  <c r="L298" i="14"/>
  <c r="I298" i="14"/>
  <c r="F298" i="14"/>
  <c r="C298" i="14"/>
  <c r="O297" i="14"/>
  <c r="L297" i="14"/>
  <c r="I297" i="14"/>
  <c r="F297" i="14"/>
  <c r="C297" i="14" s="1"/>
  <c r="O296" i="14"/>
  <c r="L296" i="14"/>
  <c r="I296" i="14"/>
  <c r="F296" i="14"/>
  <c r="C296" i="14" s="1"/>
  <c r="O295" i="14"/>
  <c r="L295" i="14"/>
  <c r="I295" i="14"/>
  <c r="C295" i="14" s="1"/>
  <c r="F295" i="14"/>
  <c r="O294" i="14"/>
  <c r="L294" i="14"/>
  <c r="I294" i="14"/>
  <c r="F294" i="14"/>
  <c r="C294" i="14"/>
  <c r="O293" i="14"/>
  <c r="L293" i="14"/>
  <c r="I293" i="14"/>
  <c r="F293" i="14"/>
  <c r="C293" i="14" s="1"/>
  <c r="O292" i="14"/>
  <c r="L292" i="14"/>
  <c r="I292" i="14"/>
  <c r="F292" i="14"/>
  <c r="C292" i="14" s="1"/>
  <c r="N291" i="14"/>
  <c r="M291" i="14"/>
  <c r="O291" i="14" s="1"/>
  <c r="K291" i="14"/>
  <c r="J291" i="14"/>
  <c r="L291" i="14" s="1"/>
  <c r="I291" i="14"/>
  <c r="H291" i="14"/>
  <c r="G291" i="14"/>
  <c r="F291" i="14"/>
  <c r="E291" i="14"/>
  <c r="D291" i="14"/>
  <c r="O286" i="14"/>
  <c r="L286" i="14"/>
  <c r="I286" i="14"/>
  <c r="F286" i="14"/>
  <c r="C286" i="14"/>
  <c r="O285" i="14"/>
  <c r="J285" i="14"/>
  <c r="L285" i="14" s="1"/>
  <c r="I285" i="14"/>
  <c r="F285" i="14"/>
  <c r="N284" i="14"/>
  <c r="M284" i="14"/>
  <c r="O284" i="14" s="1"/>
  <c r="K284" i="14"/>
  <c r="J284" i="14"/>
  <c r="I284" i="14"/>
  <c r="H284" i="14"/>
  <c r="G284" i="14"/>
  <c r="F284" i="14"/>
  <c r="E284" i="14"/>
  <c r="D284" i="14"/>
  <c r="O283" i="14"/>
  <c r="L283" i="14"/>
  <c r="I283" i="14"/>
  <c r="F283" i="14"/>
  <c r="C283" i="14"/>
  <c r="O282" i="14"/>
  <c r="N282" i="14"/>
  <c r="M282" i="14"/>
  <c r="L282" i="14"/>
  <c r="K282" i="14"/>
  <c r="J282" i="14"/>
  <c r="H282" i="14"/>
  <c r="G282" i="14"/>
  <c r="I282" i="14" s="1"/>
  <c r="E282" i="14"/>
  <c r="D282" i="14"/>
  <c r="F282" i="14" s="1"/>
  <c r="O281" i="14"/>
  <c r="L281" i="14"/>
  <c r="I281" i="14"/>
  <c r="F281" i="14"/>
  <c r="C281" i="14" s="1"/>
  <c r="O280" i="14"/>
  <c r="L280" i="14"/>
  <c r="I280" i="14"/>
  <c r="C280" i="14" s="1"/>
  <c r="F280" i="14"/>
  <c r="O279" i="14"/>
  <c r="O278" i="14" s="1"/>
  <c r="L279" i="14"/>
  <c r="I279" i="14"/>
  <c r="F279" i="14"/>
  <c r="C279" i="14"/>
  <c r="N278" i="14"/>
  <c r="M278" i="14"/>
  <c r="L278" i="14"/>
  <c r="K278" i="14"/>
  <c r="J278" i="14"/>
  <c r="H278" i="14"/>
  <c r="G278" i="14"/>
  <c r="I278" i="14" s="1"/>
  <c r="E278" i="14"/>
  <c r="D278" i="14"/>
  <c r="F278" i="14" s="1"/>
  <c r="C278" i="14" s="1"/>
  <c r="O277" i="14"/>
  <c r="L277" i="14"/>
  <c r="I277" i="14"/>
  <c r="F277" i="14"/>
  <c r="C277" i="14" s="1"/>
  <c r="O276" i="14"/>
  <c r="L276" i="14"/>
  <c r="I276" i="14"/>
  <c r="C276" i="14" s="1"/>
  <c r="F276" i="14"/>
  <c r="O275" i="14"/>
  <c r="L275" i="14"/>
  <c r="I275" i="14"/>
  <c r="F275" i="14"/>
  <c r="C275" i="14"/>
  <c r="O274" i="14"/>
  <c r="N274" i="14"/>
  <c r="M274" i="14"/>
  <c r="L274" i="14"/>
  <c r="K274" i="14"/>
  <c r="K272" i="14" s="1"/>
  <c r="K271" i="14" s="1"/>
  <c r="J274" i="14"/>
  <c r="H274" i="14"/>
  <c r="H272" i="14" s="1"/>
  <c r="H271" i="14" s="1"/>
  <c r="G274" i="14"/>
  <c r="I274" i="14" s="1"/>
  <c r="E274" i="14"/>
  <c r="D274" i="14"/>
  <c r="F274" i="14" s="1"/>
  <c r="C274" i="14" s="1"/>
  <c r="O273" i="14"/>
  <c r="L273" i="14"/>
  <c r="I273" i="14"/>
  <c r="F273" i="14"/>
  <c r="C273" i="14" s="1"/>
  <c r="N272" i="14"/>
  <c r="N271" i="14" s="1"/>
  <c r="M272" i="14"/>
  <c r="O272" i="14" s="1"/>
  <c r="J272" i="14"/>
  <c r="J271" i="14" s="1"/>
  <c r="L271" i="14" s="1"/>
  <c r="E272" i="14"/>
  <c r="E271" i="14" s="1"/>
  <c r="O270" i="14"/>
  <c r="L270" i="14"/>
  <c r="I270" i="14"/>
  <c r="F270" i="14"/>
  <c r="C270" i="14" s="1"/>
  <c r="O269" i="14"/>
  <c r="L269" i="14"/>
  <c r="I269" i="14"/>
  <c r="F269" i="14"/>
  <c r="C269" i="14" s="1"/>
  <c r="O268" i="14"/>
  <c r="L268" i="14"/>
  <c r="I268" i="14"/>
  <c r="D268" i="14"/>
  <c r="F268" i="14" s="1"/>
  <c r="C268" i="14" s="1"/>
  <c r="O267" i="14"/>
  <c r="L267" i="14"/>
  <c r="I267" i="14"/>
  <c r="F267" i="14"/>
  <c r="C267" i="14" s="1"/>
  <c r="N266" i="14"/>
  <c r="M266" i="14"/>
  <c r="O266" i="14" s="1"/>
  <c r="L266" i="14"/>
  <c r="K266" i="14"/>
  <c r="J266" i="14"/>
  <c r="I266" i="14"/>
  <c r="H266" i="14"/>
  <c r="G266" i="14"/>
  <c r="E266" i="14"/>
  <c r="D266" i="14"/>
  <c r="F266" i="14" s="1"/>
  <c r="C266" i="14" s="1"/>
  <c r="O265" i="14"/>
  <c r="L265" i="14"/>
  <c r="I265" i="14"/>
  <c r="C265" i="14" s="1"/>
  <c r="F265" i="14"/>
  <c r="O264" i="14"/>
  <c r="L264" i="14"/>
  <c r="I264" i="14"/>
  <c r="F264" i="14"/>
  <c r="C264" i="14"/>
  <c r="O263" i="14"/>
  <c r="L263" i="14"/>
  <c r="I263" i="14"/>
  <c r="F263" i="14"/>
  <c r="C263" i="14" s="1"/>
  <c r="N262" i="14"/>
  <c r="M262" i="14"/>
  <c r="M261" i="14" s="1"/>
  <c r="O261" i="14" s="1"/>
  <c r="L262" i="14"/>
  <c r="K262" i="14"/>
  <c r="J262" i="14"/>
  <c r="I262" i="14"/>
  <c r="H262" i="14"/>
  <c r="H261" i="14" s="1"/>
  <c r="I261" i="14" s="1"/>
  <c r="G262" i="14"/>
  <c r="E262" i="14"/>
  <c r="E261" i="14" s="1"/>
  <c r="D262" i="14"/>
  <c r="F262" i="14" s="1"/>
  <c r="N261" i="14"/>
  <c r="K261" i="14"/>
  <c r="J261" i="14"/>
  <c r="L261" i="14" s="1"/>
  <c r="G261" i="14"/>
  <c r="O260" i="14"/>
  <c r="L260" i="14"/>
  <c r="I260" i="14"/>
  <c r="F260" i="14"/>
  <c r="C260" i="14"/>
  <c r="O259" i="14"/>
  <c r="L259" i="14"/>
  <c r="I259" i="14"/>
  <c r="F259" i="14"/>
  <c r="C259" i="14" s="1"/>
  <c r="O258" i="14"/>
  <c r="L258" i="14"/>
  <c r="I258" i="14"/>
  <c r="F258" i="14"/>
  <c r="C258" i="14" s="1"/>
  <c r="O257" i="14"/>
  <c r="L257" i="14"/>
  <c r="I257" i="14"/>
  <c r="C257" i="14" s="1"/>
  <c r="F257" i="14"/>
  <c r="O256" i="14"/>
  <c r="L256" i="14"/>
  <c r="I256" i="14"/>
  <c r="F256" i="14"/>
  <c r="C256" i="14"/>
  <c r="O255" i="14"/>
  <c r="N255" i="14"/>
  <c r="M255" i="14"/>
  <c r="L255" i="14"/>
  <c r="K255" i="14"/>
  <c r="K254" i="14" s="1"/>
  <c r="L254" i="14" s="1"/>
  <c r="J255" i="14"/>
  <c r="H255" i="14"/>
  <c r="H254" i="14" s="1"/>
  <c r="G255" i="14"/>
  <c r="I255" i="14" s="1"/>
  <c r="E255" i="14"/>
  <c r="D255" i="14"/>
  <c r="D254" i="14" s="1"/>
  <c r="F254" i="14" s="1"/>
  <c r="N254" i="14"/>
  <c r="M254" i="14"/>
  <c r="O254" i="14" s="1"/>
  <c r="J254" i="14"/>
  <c r="E254" i="14"/>
  <c r="O253" i="14"/>
  <c r="L253" i="14"/>
  <c r="I253" i="14"/>
  <c r="C253" i="14" s="1"/>
  <c r="F253" i="14"/>
  <c r="O252" i="14"/>
  <c r="L252" i="14"/>
  <c r="I252" i="14"/>
  <c r="F252" i="14"/>
  <c r="C252" i="14"/>
  <c r="O251" i="14"/>
  <c r="L251" i="14"/>
  <c r="I251" i="14"/>
  <c r="F251" i="14"/>
  <c r="C251" i="14" s="1"/>
  <c r="O250" i="14"/>
  <c r="L250" i="14"/>
  <c r="I250" i="14"/>
  <c r="F250" i="14"/>
  <c r="C250" i="14" s="1"/>
  <c r="N249" i="14"/>
  <c r="M249" i="14"/>
  <c r="O249" i="14" s="1"/>
  <c r="K249" i="14"/>
  <c r="J249" i="14"/>
  <c r="L249" i="14" s="1"/>
  <c r="I249" i="14"/>
  <c r="H249" i="14"/>
  <c r="G249" i="14"/>
  <c r="F249" i="14"/>
  <c r="E249" i="14"/>
  <c r="D249" i="14"/>
  <c r="O248" i="14"/>
  <c r="L248" i="14"/>
  <c r="I248" i="14"/>
  <c r="F248" i="14"/>
  <c r="C248" i="14"/>
  <c r="O247" i="14"/>
  <c r="L247" i="14"/>
  <c r="I247" i="14"/>
  <c r="F247" i="14"/>
  <c r="C247" i="14" s="1"/>
  <c r="O246" i="14"/>
  <c r="L246" i="14"/>
  <c r="I246" i="14"/>
  <c r="F246" i="14"/>
  <c r="C246" i="14" s="1"/>
  <c r="O245" i="14"/>
  <c r="L245" i="14"/>
  <c r="I245" i="14"/>
  <c r="C245" i="14" s="1"/>
  <c r="F245" i="14"/>
  <c r="O244" i="14"/>
  <c r="L244" i="14"/>
  <c r="I244" i="14"/>
  <c r="F244" i="14"/>
  <c r="C244" i="14"/>
  <c r="O243" i="14"/>
  <c r="L243" i="14"/>
  <c r="I243" i="14"/>
  <c r="F243" i="14"/>
  <c r="C243" i="14" s="1"/>
  <c r="O242" i="14"/>
  <c r="L242" i="14"/>
  <c r="I242" i="14"/>
  <c r="F242" i="14"/>
  <c r="C242" i="14" s="1"/>
  <c r="N241" i="14"/>
  <c r="M241" i="14"/>
  <c r="O241" i="14" s="1"/>
  <c r="K241" i="14"/>
  <c r="J241" i="14"/>
  <c r="L241" i="14" s="1"/>
  <c r="I241" i="14"/>
  <c r="H241" i="14"/>
  <c r="G241" i="14"/>
  <c r="F241" i="14"/>
  <c r="E241" i="14"/>
  <c r="D241" i="14"/>
  <c r="O240" i="14"/>
  <c r="L240" i="14"/>
  <c r="I240" i="14"/>
  <c r="F240" i="14"/>
  <c r="C240" i="14"/>
  <c r="O239" i="14"/>
  <c r="L239" i="14"/>
  <c r="I239" i="14"/>
  <c r="F239" i="14"/>
  <c r="C239" i="14" s="1"/>
  <c r="N238" i="14"/>
  <c r="M238" i="14"/>
  <c r="O238" i="14" s="1"/>
  <c r="L238" i="14"/>
  <c r="K238" i="14"/>
  <c r="J238" i="14"/>
  <c r="I238" i="14"/>
  <c r="H238" i="14"/>
  <c r="G238" i="14"/>
  <c r="E238" i="14"/>
  <c r="D238" i="14"/>
  <c r="F238" i="14" s="1"/>
  <c r="C238" i="14" s="1"/>
  <c r="O237" i="14"/>
  <c r="L237" i="14"/>
  <c r="I237" i="14"/>
  <c r="C237" i="14" s="1"/>
  <c r="F237" i="14"/>
  <c r="O236" i="14"/>
  <c r="N236" i="14"/>
  <c r="N234" i="14" s="1"/>
  <c r="N233" i="14" s="1"/>
  <c r="M236" i="14"/>
  <c r="K236" i="14"/>
  <c r="K234" i="14" s="1"/>
  <c r="J236" i="14"/>
  <c r="L236" i="14" s="1"/>
  <c r="H236" i="14"/>
  <c r="G236" i="14"/>
  <c r="I236" i="14" s="1"/>
  <c r="F236" i="14"/>
  <c r="E236" i="14"/>
  <c r="D236" i="14"/>
  <c r="O235" i="14"/>
  <c r="L235" i="14"/>
  <c r="I235" i="14"/>
  <c r="F235" i="14"/>
  <c r="C235" i="14" s="1"/>
  <c r="M234" i="14"/>
  <c r="H234" i="14"/>
  <c r="H233" i="14" s="1"/>
  <c r="E234" i="14"/>
  <c r="E233" i="14" s="1"/>
  <c r="D234" i="14"/>
  <c r="F234" i="14" s="1"/>
  <c r="O232" i="14"/>
  <c r="L232" i="14"/>
  <c r="I232" i="14"/>
  <c r="F232" i="14"/>
  <c r="C232" i="14"/>
  <c r="O231" i="14"/>
  <c r="L231" i="14"/>
  <c r="I231" i="14"/>
  <c r="F231" i="14"/>
  <c r="C231" i="14" s="1"/>
  <c r="N230" i="14"/>
  <c r="M230" i="14"/>
  <c r="M207" i="14" s="1"/>
  <c r="L230" i="14"/>
  <c r="K230" i="14"/>
  <c r="J230" i="14"/>
  <c r="I230" i="14"/>
  <c r="H230" i="14"/>
  <c r="G230" i="14"/>
  <c r="E230" i="14"/>
  <c r="E207" i="14" s="1"/>
  <c r="D230" i="14"/>
  <c r="F230" i="14" s="1"/>
  <c r="O229" i="14"/>
  <c r="L229" i="14"/>
  <c r="I229" i="14"/>
  <c r="C229" i="14" s="1"/>
  <c r="F229" i="14"/>
  <c r="O228" i="14"/>
  <c r="L228" i="14"/>
  <c r="I228" i="14"/>
  <c r="F228" i="14"/>
  <c r="C228" i="14"/>
  <c r="O227" i="14"/>
  <c r="L227" i="14"/>
  <c r="I227" i="14"/>
  <c r="F227" i="14"/>
  <c r="C227" i="14" s="1"/>
  <c r="O226" i="14"/>
  <c r="L226" i="14"/>
  <c r="I226" i="14"/>
  <c r="F226" i="14"/>
  <c r="C226" i="14" s="1"/>
  <c r="O225" i="14"/>
  <c r="L225" i="14"/>
  <c r="I225" i="14"/>
  <c r="F225" i="14"/>
  <c r="C225" i="14" s="1"/>
  <c r="O224" i="14"/>
  <c r="L224" i="14"/>
  <c r="I224" i="14"/>
  <c r="F224" i="14"/>
  <c r="C224" i="14"/>
  <c r="O223" i="14"/>
  <c r="L223" i="14"/>
  <c r="I223" i="14"/>
  <c r="F223" i="14"/>
  <c r="C223" i="14" s="1"/>
  <c r="O222" i="14"/>
  <c r="L222" i="14"/>
  <c r="I222" i="14"/>
  <c r="F222" i="14"/>
  <c r="C222" i="14" s="1"/>
  <c r="O221" i="14"/>
  <c r="L221" i="14"/>
  <c r="I221" i="14"/>
  <c r="F221" i="14"/>
  <c r="C221" i="14" s="1"/>
  <c r="O220" i="14"/>
  <c r="L220" i="14"/>
  <c r="I220" i="14"/>
  <c r="F220" i="14"/>
  <c r="C220" i="14"/>
  <c r="O219" i="14"/>
  <c r="N219" i="14"/>
  <c r="M219" i="14"/>
  <c r="L219" i="14"/>
  <c r="K219" i="14"/>
  <c r="J219" i="14"/>
  <c r="H219" i="14"/>
  <c r="G219" i="14"/>
  <c r="I219" i="14" s="1"/>
  <c r="E219" i="14"/>
  <c r="D219" i="14"/>
  <c r="F219" i="14" s="1"/>
  <c r="C219" i="14" s="1"/>
  <c r="O218" i="14"/>
  <c r="L218" i="14"/>
  <c r="I218" i="14"/>
  <c r="F218" i="14"/>
  <c r="C218" i="14" s="1"/>
  <c r="O217" i="14"/>
  <c r="L217" i="14"/>
  <c r="I217" i="14"/>
  <c r="F217" i="14"/>
  <c r="C217" i="14" s="1"/>
  <c r="O216" i="14"/>
  <c r="L216" i="14"/>
  <c r="I216" i="14"/>
  <c r="F216" i="14"/>
  <c r="C216" i="14"/>
  <c r="O215" i="14"/>
  <c r="L215" i="14"/>
  <c r="I215" i="14"/>
  <c r="F215" i="14"/>
  <c r="C215" i="14" s="1"/>
  <c r="O214" i="14"/>
  <c r="L214" i="14"/>
  <c r="I214" i="14"/>
  <c r="F214" i="14"/>
  <c r="C214" i="14" s="1"/>
  <c r="O213" i="14"/>
  <c r="L213" i="14"/>
  <c r="I213" i="14"/>
  <c r="F213" i="14"/>
  <c r="C213" i="14" s="1"/>
  <c r="O212" i="14"/>
  <c r="L212" i="14"/>
  <c r="I212" i="14"/>
  <c r="F212" i="14"/>
  <c r="C212" i="14"/>
  <c r="O211" i="14"/>
  <c r="L211" i="14"/>
  <c r="I211" i="14"/>
  <c r="F211" i="14"/>
  <c r="C211" i="14" s="1"/>
  <c r="O210" i="14"/>
  <c r="L210" i="14"/>
  <c r="I210" i="14"/>
  <c r="F210" i="14"/>
  <c r="C210" i="14" s="1"/>
  <c r="O209" i="14"/>
  <c r="L209" i="14"/>
  <c r="I209" i="14"/>
  <c r="F209" i="14"/>
  <c r="C209" i="14" s="1"/>
  <c r="O208" i="14"/>
  <c r="N208" i="14"/>
  <c r="N207" i="14" s="1"/>
  <c r="M208" i="14"/>
  <c r="K208" i="14"/>
  <c r="K207" i="14" s="1"/>
  <c r="J208" i="14"/>
  <c r="L208" i="14" s="1"/>
  <c r="H208" i="14"/>
  <c r="G208" i="14"/>
  <c r="G207" i="14" s="1"/>
  <c r="I207" i="14" s="1"/>
  <c r="F208" i="14"/>
  <c r="E208" i="14"/>
  <c r="D208" i="14"/>
  <c r="H207" i="14"/>
  <c r="D207" i="14"/>
  <c r="F207" i="14" s="1"/>
  <c r="O206" i="14"/>
  <c r="L206" i="14"/>
  <c r="I206" i="14"/>
  <c r="F206" i="14"/>
  <c r="C206" i="14" s="1"/>
  <c r="O205" i="14"/>
  <c r="L205" i="14"/>
  <c r="I205" i="14"/>
  <c r="C205" i="14" s="1"/>
  <c r="F205" i="14"/>
  <c r="O204" i="14"/>
  <c r="L204" i="14"/>
  <c r="I204" i="14"/>
  <c r="F204" i="14"/>
  <c r="C204" i="14"/>
  <c r="O203" i="14"/>
  <c r="L203" i="14"/>
  <c r="I203" i="14"/>
  <c r="F203" i="14"/>
  <c r="C203" i="14" s="1"/>
  <c r="O202" i="14"/>
  <c r="L202" i="14"/>
  <c r="I202" i="14"/>
  <c r="F202" i="14"/>
  <c r="C202" i="14" s="1"/>
  <c r="N201" i="14"/>
  <c r="N199" i="14" s="1"/>
  <c r="N198" i="14" s="1"/>
  <c r="N197" i="14" s="1"/>
  <c r="M201" i="14"/>
  <c r="O201" i="14" s="1"/>
  <c r="K201" i="14"/>
  <c r="J201" i="14"/>
  <c r="L201" i="14" s="1"/>
  <c r="I201" i="14"/>
  <c r="H201" i="14"/>
  <c r="G201" i="14"/>
  <c r="F201" i="14"/>
  <c r="C201" i="14" s="1"/>
  <c r="E201" i="14"/>
  <c r="E199" i="14" s="1"/>
  <c r="E198" i="14" s="1"/>
  <c r="E197" i="14" s="1"/>
  <c r="D201" i="14"/>
  <c r="O200" i="14"/>
  <c r="L200" i="14"/>
  <c r="I200" i="14"/>
  <c r="F200" i="14"/>
  <c r="C200" i="14"/>
  <c r="K199" i="14"/>
  <c r="K198" i="14" s="1"/>
  <c r="H199" i="14"/>
  <c r="H198" i="14" s="1"/>
  <c r="H197" i="14" s="1"/>
  <c r="G199" i="14"/>
  <c r="I199" i="14" s="1"/>
  <c r="D199" i="14"/>
  <c r="D198" i="14" s="1"/>
  <c r="O196" i="14"/>
  <c r="L196" i="14"/>
  <c r="I196" i="14"/>
  <c r="F196" i="14"/>
  <c r="C196" i="14"/>
  <c r="O195" i="14"/>
  <c r="N195" i="14"/>
  <c r="M195" i="14"/>
  <c r="L195" i="14"/>
  <c r="K195" i="14"/>
  <c r="K194" i="14" s="1"/>
  <c r="L194" i="14" s="1"/>
  <c r="J195" i="14"/>
  <c r="H195" i="14"/>
  <c r="H194" i="14" s="1"/>
  <c r="G195" i="14"/>
  <c r="I195" i="14" s="1"/>
  <c r="E195" i="14"/>
  <c r="D195" i="14"/>
  <c r="D194" i="14" s="1"/>
  <c r="F194" i="14" s="1"/>
  <c r="N194" i="14"/>
  <c r="M194" i="14"/>
  <c r="O194" i="14" s="1"/>
  <c r="J194" i="14"/>
  <c r="E194" i="14"/>
  <c r="O193" i="14"/>
  <c r="L193" i="14"/>
  <c r="I193" i="14"/>
  <c r="F193" i="14"/>
  <c r="C193" i="14" s="1"/>
  <c r="O192" i="14"/>
  <c r="L192" i="14"/>
  <c r="I192" i="14"/>
  <c r="F192" i="14"/>
  <c r="C192" i="14"/>
  <c r="O191" i="14"/>
  <c r="N191" i="14"/>
  <c r="M191" i="14"/>
  <c r="L191" i="14"/>
  <c r="K191" i="14"/>
  <c r="J191" i="14"/>
  <c r="H191" i="14"/>
  <c r="G191" i="14"/>
  <c r="I191" i="14" s="1"/>
  <c r="E191" i="14"/>
  <c r="D191" i="14"/>
  <c r="D190" i="14" s="1"/>
  <c r="F190" i="14" s="1"/>
  <c r="N190" i="14"/>
  <c r="M190" i="14"/>
  <c r="O190" i="14" s="1"/>
  <c r="J190" i="14"/>
  <c r="E190" i="14"/>
  <c r="O189" i="14"/>
  <c r="L189" i="14"/>
  <c r="I189" i="14"/>
  <c r="F189" i="14"/>
  <c r="C189" i="14" s="1"/>
  <c r="O188" i="14"/>
  <c r="L188" i="14"/>
  <c r="I188" i="14"/>
  <c r="F188" i="14"/>
  <c r="C188" i="14"/>
  <c r="O187" i="14"/>
  <c r="N187" i="14"/>
  <c r="M187" i="14"/>
  <c r="L187" i="14"/>
  <c r="K187" i="14"/>
  <c r="J187" i="14"/>
  <c r="H187" i="14"/>
  <c r="G187" i="14"/>
  <c r="I187" i="14" s="1"/>
  <c r="E187" i="14"/>
  <c r="D187" i="14"/>
  <c r="F187" i="14" s="1"/>
  <c r="C187" i="14" s="1"/>
  <c r="O186" i="14"/>
  <c r="L186" i="14"/>
  <c r="I186" i="14"/>
  <c r="F186" i="14"/>
  <c r="C186" i="14" s="1"/>
  <c r="O185" i="14"/>
  <c r="L185" i="14"/>
  <c r="I185" i="14"/>
  <c r="F185" i="14"/>
  <c r="C185" i="14" s="1"/>
  <c r="O184" i="14"/>
  <c r="L184" i="14"/>
  <c r="I184" i="14"/>
  <c r="F184" i="14"/>
  <c r="C184" i="14"/>
  <c r="O183" i="14"/>
  <c r="L183" i="14"/>
  <c r="I183" i="14"/>
  <c r="F183" i="14"/>
  <c r="C183" i="14" s="1"/>
  <c r="N182" i="14"/>
  <c r="M182" i="14"/>
  <c r="O182" i="14" s="1"/>
  <c r="L182" i="14"/>
  <c r="K182" i="14"/>
  <c r="J182" i="14"/>
  <c r="I182" i="14"/>
  <c r="H182" i="14"/>
  <c r="G182" i="14"/>
  <c r="E182" i="14"/>
  <c r="D182" i="14"/>
  <c r="F182" i="14" s="1"/>
  <c r="C182" i="14" s="1"/>
  <c r="O181" i="14"/>
  <c r="L181" i="14"/>
  <c r="I181" i="14"/>
  <c r="C181" i="14" s="1"/>
  <c r="F181" i="14"/>
  <c r="O180" i="14"/>
  <c r="L180" i="14"/>
  <c r="I180" i="14"/>
  <c r="F180" i="14"/>
  <c r="C180" i="14"/>
  <c r="O179" i="14"/>
  <c r="L179" i="14"/>
  <c r="I179" i="14"/>
  <c r="F179" i="14"/>
  <c r="C179" i="14" s="1"/>
  <c r="N178" i="14"/>
  <c r="M178" i="14"/>
  <c r="M177" i="14" s="1"/>
  <c r="L178" i="14"/>
  <c r="K178" i="14"/>
  <c r="J178" i="14"/>
  <c r="I178" i="14"/>
  <c r="H178" i="14"/>
  <c r="H177" i="14" s="1"/>
  <c r="G178" i="14"/>
  <c r="E178" i="14"/>
  <c r="E177" i="14" s="1"/>
  <c r="E176" i="14" s="1"/>
  <c r="D178" i="14"/>
  <c r="F178" i="14" s="1"/>
  <c r="N177" i="14"/>
  <c r="N176" i="14" s="1"/>
  <c r="K177" i="14"/>
  <c r="J177" i="14"/>
  <c r="J176" i="14" s="1"/>
  <c r="L176" i="14" s="1"/>
  <c r="G177" i="14"/>
  <c r="K176" i="14"/>
  <c r="G176" i="14"/>
  <c r="O175" i="14"/>
  <c r="L175" i="14"/>
  <c r="I175" i="14"/>
  <c r="F175" i="14"/>
  <c r="C175" i="14" s="1"/>
  <c r="O174" i="14"/>
  <c r="L174" i="14"/>
  <c r="I174" i="14"/>
  <c r="F174" i="14"/>
  <c r="C174" i="14" s="1"/>
  <c r="O173" i="14"/>
  <c r="L173" i="14"/>
  <c r="I173" i="14"/>
  <c r="C173" i="14" s="1"/>
  <c r="F173" i="14"/>
  <c r="O172" i="14"/>
  <c r="L172" i="14"/>
  <c r="I172" i="14"/>
  <c r="F172" i="14"/>
  <c r="C172" i="14"/>
  <c r="O171" i="14"/>
  <c r="L171" i="14"/>
  <c r="I171" i="14"/>
  <c r="F171" i="14"/>
  <c r="C171" i="14" s="1"/>
  <c r="O170" i="14"/>
  <c r="L170" i="14"/>
  <c r="I170" i="14"/>
  <c r="F170" i="14"/>
  <c r="C170" i="14" s="1"/>
  <c r="N169" i="14"/>
  <c r="N168" i="14" s="1"/>
  <c r="M169" i="14"/>
  <c r="O169" i="14" s="1"/>
  <c r="K169" i="14"/>
  <c r="J169" i="14"/>
  <c r="J168" i="14" s="1"/>
  <c r="L168" i="14" s="1"/>
  <c r="I169" i="14"/>
  <c r="H169" i="14"/>
  <c r="G169" i="14"/>
  <c r="F169" i="14"/>
  <c r="E169" i="14"/>
  <c r="E168" i="14" s="1"/>
  <c r="F168" i="14" s="1"/>
  <c r="D169" i="14"/>
  <c r="K168" i="14"/>
  <c r="H168" i="14"/>
  <c r="G168" i="14"/>
  <c r="I168" i="14" s="1"/>
  <c r="D168" i="14"/>
  <c r="O167" i="14"/>
  <c r="L167" i="14"/>
  <c r="I167" i="14"/>
  <c r="F167" i="14"/>
  <c r="C167" i="14" s="1"/>
  <c r="O166" i="14"/>
  <c r="L166" i="14"/>
  <c r="I166" i="14"/>
  <c r="F166" i="14"/>
  <c r="C166" i="14" s="1"/>
  <c r="O165" i="14"/>
  <c r="L165" i="14"/>
  <c r="I165" i="14"/>
  <c r="C165" i="14" s="1"/>
  <c r="F165" i="14"/>
  <c r="O164" i="14"/>
  <c r="L164" i="14"/>
  <c r="I164" i="14"/>
  <c r="F164" i="14"/>
  <c r="C164" i="14"/>
  <c r="O163" i="14"/>
  <c r="N163" i="14"/>
  <c r="M163" i="14"/>
  <c r="L163" i="14"/>
  <c r="K163" i="14"/>
  <c r="J163" i="14"/>
  <c r="H163" i="14"/>
  <c r="G163" i="14"/>
  <c r="I163" i="14" s="1"/>
  <c r="E163" i="14"/>
  <c r="D163" i="14"/>
  <c r="F163" i="14" s="1"/>
  <c r="O162" i="14"/>
  <c r="L162" i="14"/>
  <c r="I162" i="14"/>
  <c r="F162" i="14"/>
  <c r="C162" i="14" s="1"/>
  <c r="O161" i="14"/>
  <c r="L161" i="14"/>
  <c r="I161" i="14"/>
  <c r="C161" i="14" s="1"/>
  <c r="F161" i="14"/>
  <c r="O160" i="14"/>
  <c r="L160" i="14"/>
  <c r="I160" i="14"/>
  <c r="F160" i="14"/>
  <c r="C160" i="14"/>
  <c r="O159" i="14"/>
  <c r="L159" i="14"/>
  <c r="I159" i="14"/>
  <c r="F159" i="14"/>
  <c r="C159" i="14" s="1"/>
  <c r="O158" i="14"/>
  <c r="L158" i="14"/>
  <c r="I158" i="14"/>
  <c r="F158" i="14"/>
  <c r="C158" i="14" s="1"/>
  <c r="O157" i="14"/>
  <c r="L157" i="14"/>
  <c r="I157" i="14"/>
  <c r="C157" i="14" s="1"/>
  <c r="F157" i="14"/>
  <c r="O156" i="14"/>
  <c r="L156" i="14"/>
  <c r="I156" i="14"/>
  <c r="F156" i="14"/>
  <c r="C156" i="14"/>
  <c r="O155" i="14"/>
  <c r="L155" i="14"/>
  <c r="I155" i="14"/>
  <c r="F155" i="14"/>
  <c r="C155" i="14" s="1"/>
  <c r="N154" i="14"/>
  <c r="M154" i="14"/>
  <c r="M133" i="14" s="1"/>
  <c r="L154" i="14"/>
  <c r="K154" i="14"/>
  <c r="J154" i="14"/>
  <c r="I154" i="14"/>
  <c r="H154" i="14"/>
  <c r="G154" i="14"/>
  <c r="E154" i="14"/>
  <c r="E133" i="14" s="1"/>
  <c r="D154" i="14"/>
  <c r="F154" i="14" s="1"/>
  <c r="O153" i="14"/>
  <c r="L153" i="14"/>
  <c r="I153" i="14"/>
  <c r="C153" i="14" s="1"/>
  <c r="F153" i="14"/>
  <c r="O152" i="14"/>
  <c r="L152" i="14"/>
  <c r="I152" i="14"/>
  <c r="F152" i="14"/>
  <c r="C152" i="14"/>
  <c r="O151" i="14"/>
  <c r="L151" i="14"/>
  <c r="I151" i="14"/>
  <c r="F151" i="14"/>
  <c r="C151" i="14" s="1"/>
  <c r="O150" i="14"/>
  <c r="L150" i="14"/>
  <c r="I150" i="14"/>
  <c r="F150" i="14"/>
  <c r="C150" i="14" s="1"/>
  <c r="O149" i="14"/>
  <c r="L149" i="14"/>
  <c r="I149" i="14"/>
  <c r="F149" i="14"/>
  <c r="C149" i="14" s="1"/>
  <c r="O148" i="14"/>
  <c r="L148" i="14"/>
  <c r="I148" i="14"/>
  <c r="F148" i="14"/>
  <c r="C148" i="14"/>
  <c r="O147" i="14"/>
  <c r="N147" i="14"/>
  <c r="M147" i="14"/>
  <c r="L147" i="14"/>
  <c r="K147" i="14"/>
  <c r="J147" i="14"/>
  <c r="H147" i="14"/>
  <c r="G147" i="14"/>
  <c r="I147" i="14" s="1"/>
  <c r="E147" i="14"/>
  <c r="D147" i="14"/>
  <c r="F147" i="14" s="1"/>
  <c r="O146" i="14"/>
  <c r="L146" i="14"/>
  <c r="I146" i="14"/>
  <c r="F146" i="14"/>
  <c r="C146" i="14" s="1"/>
  <c r="O145" i="14"/>
  <c r="L145" i="14"/>
  <c r="I145" i="14"/>
  <c r="F145" i="14"/>
  <c r="C145" i="14" s="1"/>
  <c r="O144" i="14"/>
  <c r="N144" i="14"/>
  <c r="M144" i="14"/>
  <c r="K144" i="14"/>
  <c r="J144" i="14"/>
  <c r="L144" i="14" s="1"/>
  <c r="H144" i="14"/>
  <c r="G144" i="14"/>
  <c r="I144" i="14" s="1"/>
  <c r="C144" i="14" s="1"/>
  <c r="F144" i="14"/>
  <c r="E144" i="14"/>
  <c r="D144" i="14"/>
  <c r="O143" i="14"/>
  <c r="L143" i="14"/>
  <c r="I143" i="14"/>
  <c r="F143" i="14"/>
  <c r="C143" i="14" s="1"/>
  <c r="O142" i="14"/>
  <c r="L142" i="14"/>
  <c r="I142" i="14"/>
  <c r="F142" i="14"/>
  <c r="C142" i="14" s="1"/>
  <c r="O141" i="14"/>
  <c r="L141" i="14"/>
  <c r="I141" i="14"/>
  <c r="C141" i="14" s="1"/>
  <c r="F141" i="14"/>
  <c r="O140" i="14"/>
  <c r="L140" i="14"/>
  <c r="I140" i="14"/>
  <c r="F140" i="14"/>
  <c r="C140" i="14"/>
  <c r="O139" i="14"/>
  <c r="N139" i="14"/>
  <c r="M139" i="14"/>
  <c r="L139" i="14"/>
  <c r="K139" i="14"/>
  <c r="J139" i="14"/>
  <c r="H139" i="14"/>
  <c r="G139" i="14"/>
  <c r="I139" i="14" s="1"/>
  <c r="E139" i="14"/>
  <c r="D139" i="14"/>
  <c r="F139" i="14" s="1"/>
  <c r="O138" i="14"/>
  <c r="J138" i="14"/>
  <c r="L138" i="14" s="1"/>
  <c r="I138" i="14"/>
  <c r="D138" i="14"/>
  <c r="F138" i="14" s="1"/>
  <c r="O137" i="14"/>
  <c r="L137" i="14"/>
  <c r="I137" i="14"/>
  <c r="F137" i="14"/>
  <c r="C137" i="14" s="1"/>
  <c r="O136" i="14"/>
  <c r="L136" i="14"/>
  <c r="I136" i="14"/>
  <c r="F136" i="14"/>
  <c r="C136" i="14" s="1"/>
  <c r="O135" i="14"/>
  <c r="L135" i="14"/>
  <c r="I135" i="14"/>
  <c r="F135" i="14"/>
  <c r="C135" i="14" s="1"/>
  <c r="O134" i="14"/>
  <c r="N134" i="14"/>
  <c r="N133" i="14" s="1"/>
  <c r="M134" i="14"/>
  <c r="K134" i="14"/>
  <c r="K133" i="14" s="1"/>
  <c r="H134" i="14"/>
  <c r="G134" i="14"/>
  <c r="G133" i="14" s="1"/>
  <c r="I133" i="14" s="1"/>
  <c r="F134" i="14"/>
  <c r="E134" i="14"/>
  <c r="D134" i="14"/>
  <c r="H133" i="14"/>
  <c r="D133" i="14"/>
  <c r="O132" i="14"/>
  <c r="L132" i="14"/>
  <c r="I132" i="14"/>
  <c r="F132" i="14"/>
  <c r="C132" i="14" s="1"/>
  <c r="N131" i="14"/>
  <c r="M131" i="14"/>
  <c r="O131" i="14" s="1"/>
  <c r="K131" i="14"/>
  <c r="J131" i="14"/>
  <c r="L131" i="14" s="1"/>
  <c r="I131" i="14"/>
  <c r="H131" i="14"/>
  <c r="G131" i="14"/>
  <c r="F131" i="14"/>
  <c r="E131" i="14"/>
  <c r="D131" i="14"/>
  <c r="O130" i="14"/>
  <c r="L130" i="14"/>
  <c r="I130" i="14"/>
  <c r="D130" i="14"/>
  <c r="F130" i="14" s="1"/>
  <c r="C130" i="14" s="1"/>
  <c r="O129" i="14"/>
  <c r="L129" i="14"/>
  <c r="I129" i="14"/>
  <c r="F129" i="14"/>
  <c r="C129" i="14" s="1"/>
  <c r="O128" i="14"/>
  <c r="L128" i="14"/>
  <c r="I128" i="14"/>
  <c r="C128" i="14" s="1"/>
  <c r="F128" i="14"/>
  <c r="O127" i="14"/>
  <c r="L127" i="14"/>
  <c r="I127" i="14"/>
  <c r="F127" i="14"/>
  <c r="C127" i="14"/>
  <c r="O126" i="14"/>
  <c r="L126" i="14"/>
  <c r="I126" i="14"/>
  <c r="F126" i="14"/>
  <c r="C126" i="14" s="1"/>
  <c r="N125" i="14"/>
  <c r="M125" i="14"/>
  <c r="O125" i="14" s="1"/>
  <c r="L125" i="14"/>
  <c r="K125" i="14"/>
  <c r="J125" i="14"/>
  <c r="I125" i="14"/>
  <c r="H125" i="14"/>
  <c r="G125" i="14"/>
  <c r="E125" i="14"/>
  <c r="O124" i="14"/>
  <c r="L124" i="14"/>
  <c r="I124" i="14"/>
  <c r="C124" i="14" s="1"/>
  <c r="F124" i="14"/>
  <c r="O123" i="14"/>
  <c r="L123" i="14"/>
  <c r="I123" i="14"/>
  <c r="F123" i="14"/>
  <c r="C123" i="14"/>
  <c r="O122" i="14"/>
  <c r="L122" i="14"/>
  <c r="I122" i="14"/>
  <c r="F122" i="14"/>
  <c r="C122" i="14" s="1"/>
  <c r="O121" i="14"/>
  <c r="L121" i="14"/>
  <c r="I121" i="14"/>
  <c r="F121" i="14"/>
  <c r="C121" i="14" s="1"/>
  <c r="O120" i="14"/>
  <c r="L120" i="14"/>
  <c r="I120" i="14"/>
  <c r="C120" i="14" s="1"/>
  <c r="F120" i="14"/>
  <c r="O119" i="14"/>
  <c r="N119" i="14"/>
  <c r="M119" i="14"/>
  <c r="K119" i="14"/>
  <c r="J119" i="14"/>
  <c r="L119" i="14" s="1"/>
  <c r="H119" i="14"/>
  <c r="G119" i="14"/>
  <c r="I119" i="14" s="1"/>
  <c r="F119" i="14"/>
  <c r="E119" i="14"/>
  <c r="D119" i="14"/>
  <c r="O118" i="14"/>
  <c r="L118" i="14"/>
  <c r="I118" i="14"/>
  <c r="F118" i="14"/>
  <c r="C118" i="14" s="1"/>
  <c r="O117" i="14"/>
  <c r="L117" i="14"/>
  <c r="I117" i="14"/>
  <c r="F117" i="14"/>
  <c r="C117" i="14" s="1"/>
  <c r="O116" i="14"/>
  <c r="L116" i="14"/>
  <c r="I116" i="14"/>
  <c r="C116" i="14" s="1"/>
  <c r="F116" i="14"/>
  <c r="O115" i="14"/>
  <c r="N115" i="14"/>
  <c r="M115" i="14"/>
  <c r="K115" i="14"/>
  <c r="K86" i="14" s="1"/>
  <c r="J115" i="14"/>
  <c r="L115" i="14" s="1"/>
  <c r="H115" i="14"/>
  <c r="G115" i="14"/>
  <c r="G86" i="14" s="1"/>
  <c r="F115" i="14"/>
  <c r="E115" i="14"/>
  <c r="D115" i="14"/>
  <c r="O114" i="14"/>
  <c r="L114" i="14"/>
  <c r="I114" i="14"/>
  <c r="F114" i="14"/>
  <c r="C114" i="14" s="1"/>
  <c r="O113" i="14"/>
  <c r="L113" i="14"/>
  <c r="I113" i="14"/>
  <c r="F113" i="14"/>
  <c r="C113" i="14" s="1"/>
  <c r="O112" i="14"/>
  <c r="L112" i="14"/>
  <c r="I112" i="14"/>
  <c r="C112" i="14" s="1"/>
  <c r="F112" i="14"/>
  <c r="O111" i="14"/>
  <c r="L111" i="14"/>
  <c r="I111" i="14"/>
  <c r="F111" i="14"/>
  <c r="C111" i="14"/>
  <c r="O110" i="14"/>
  <c r="L110" i="14"/>
  <c r="I110" i="14"/>
  <c r="F110" i="14"/>
  <c r="C110" i="14" s="1"/>
  <c r="O109" i="14"/>
  <c r="L109" i="14"/>
  <c r="I109" i="14"/>
  <c r="F109" i="14"/>
  <c r="C109" i="14" s="1"/>
  <c r="O108" i="14"/>
  <c r="L108" i="14"/>
  <c r="I108" i="14"/>
  <c r="C108" i="14" s="1"/>
  <c r="F108" i="14"/>
  <c r="O107" i="14"/>
  <c r="L107" i="14"/>
  <c r="I107" i="14"/>
  <c r="F107" i="14"/>
  <c r="C107" i="14"/>
  <c r="O106" i="14"/>
  <c r="N106" i="14"/>
  <c r="M106" i="14"/>
  <c r="L106" i="14"/>
  <c r="K106" i="14"/>
  <c r="J106" i="14"/>
  <c r="H106" i="14"/>
  <c r="G106" i="14"/>
  <c r="I106" i="14" s="1"/>
  <c r="E106" i="14"/>
  <c r="D106" i="14"/>
  <c r="F106" i="14" s="1"/>
  <c r="O105" i="14"/>
  <c r="L105" i="14"/>
  <c r="I105" i="14"/>
  <c r="F105" i="14"/>
  <c r="C105" i="14" s="1"/>
  <c r="D105" i="14"/>
  <c r="O104" i="14"/>
  <c r="L104" i="14"/>
  <c r="I104" i="14"/>
  <c r="F104" i="14"/>
  <c r="C104" i="14"/>
  <c r="O103" i="14"/>
  <c r="L103" i="14"/>
  <c r="I103" i="14"/>
  <c r="F103" i="14"/>
  <c r="C103" i="14" s="1"/>
  <c r="O102" i="14"/>
  <c r="L102" i="14"/>
  <c r="I102" i="14"/>
  <c r="F102" i="14"/>
  <c r="C102" i="14" s="1"/>
  <c r="O101" i="14"/>
  <c r="L101" i="14"/>
  <c r="I101" i="14"/>
  <c r="C101" i="14" s="1"/>
  <c r="F101" i="14"/>
  <c r="O100" i="14"/>
  <c r="L100" i="14"/>
  <c r="I100" i="14"/>
  <c r="F100" i="14"/>
  <c r="C100" i="14"/>
  <c r="O99" i="14"/>
  <c r="L99" i="14"/>
  <c r="I99" i="14"/>
  <c r="F99" i="14"/>
  <c r="C99" i="14" s="1"/>
  <c r="D99" i="14"/>
  <c r="D98" i="14" s="1"/>
  <c r="F98" i="14" s="1"/>
  <c r="N98" i="14"/>
  <c r="M98" i="14"/>
  <c r="O98" i="14" s="1"/>
  <c r="K98" i="14"/>
  <c r="J98" i="14"/>
  <c r="L98" i="14" s="1"/>
  <c r="I98" i="14"/>
  <c r="H98" i="14"/>
  <c r="G98" i="14"/>
  <c r="E98" i="14"/>
  <c r="O97" i="14"/>
  <c r="L97" i="14"/>
  <c r="I97" i="14"/>
  <c r="F97" i="14"/>
  <c r="C97" i="14"/>
  <c r="O96" i="14"/>
  <c r="L96" i="14"/>
  <c r="I96" i="14"/>
  <c r="F96" i="14"/>
  <c r="C96" i="14" s="1"/>
  <c r="O95" i="14"/>
  <c r="L95" i="14"/>
  <c r="I95" i="14"/>
  <c r="F95" i="14"/>
  <c r="C95" i="14" s="1"/>
  <c r="O94" i="14"/>
  <c r="L94" i="14"/>
  <c r="I94" i="14"/>
  <c r="C94" i="14" s="1"/>
  <c r="F94" i="14"/>
  <c r="O93" i="14"/>
  <c r="L93" i="14"/>
  <c r="I93" i="14"/>
  <c r="F93" i="14"/>
  <c r="C93" i="14"/>
  <c r="O92" i="14"/>
  <c r="N92" i="14"/>
  <c r="M92" i="14"/>
  <c r="L92" i="14"/>
  <c r="K92" i="14"/>
  <c r="J92" i="14"/>
  <c r="H92" i="14"/>
  <c r="H86" i="14" s="1"/>
  <c r="G92" i="14"/>
  <c r="I92" i="14" s="1"/>
  <c r="E92" i="14"/>
  <c r="D92" i="14"/>
  <c r="F92" i="14" s="1"/>
  <c r="O91" i="14"/>
  <c r="L91" i="14"/>
  <c r="I91" i="14"/>
  <c r="F91" i="14"/>
  <c r="C91" i="14" s="1"/>
  <c r="O90" i="14"/>
  <c r="L90" i="14"/>
  <c r="I90" i="14"/>
  <c r="C90" i="14" s="1"/>
  <c r="F90" i="14"/>
  <c r="O89" i="14"/>
  <c r="L89" i="14"/>
  <c r="I89" i="14"/>
  <c r="F89" i="14"/>
  <c r="C89" i="14"/>
  <c r="O88" i="14"/>
  <c r="L88" i="14"/>
  <c r="I88" i="14"/>
  <c r="F88" i="14"/>
  <c r="C88" i="14" s="1"/>
  <c r="N87" i="14"/>
  <c r="M87" i="14"/>
  <c r="M86" i="14" s="1"/>
  <c r="O86" i="14" s="1"/>
  <c r="L87" i="14"/>
  <c r="K87" i="14"/>
  <c r="J87" i="14"/>
  <c r="I87" i="14"/>
  <c r="H87" i="14"/>
  <c r="G87" i="14"/>
  <c r="E87" i="14"/>
  <c r="E86" i="14" s="1"/>
  <c r="D87" i="14"/>
  <c r="F87" i="14" s="1"/>
  <c r="N86" i="14"/>
  <c r="J86" i="14"/>
  <c r="O85" i="14"/>
  <c r="L85" i="14"/>
  <c r="I85" i="14"/>
  <c r="D85" i="14"/>
  <c r="F85" i="14" s="1"/>
  <c r="C85" i="14" s="1"/>
  <c r="O84" i="14"/>
  <c r="L84" i="14"/>
  <c r="I84" i="14"/>
  <c r="C84" i="14" s="1"/>
  <c r="F84" i="14"/>
  <c r="N83" i="14"/>
  <c r="M83" i="14"/>
  <c r="O83" i="14" s="1"/>
  <c r="K83" i="14"/>
  <c r="J83" i="14"/>
  <c r="L83" i="14" s="1"/>
  <c r="H83" i="14"/>
  <c r="G83" i="14"/>
  <c r="I83" i="14" s="1"/>
  <c r="E83" i="14"/>
  <c r="O82" i="14"/>
  <c r="L82" i="14"/>
  <c r="I82" i="14"/>
  <c r="F82" i="14"/>
  <c r="C82" i="14"/>
  <c r="O81" i="14"/>
  <c r="L81" i="14"/>
  <c r="I81" i="14"/>
  <c r="F81" i="14"/>
  <c r="C81" i="14" s="1"/>
  <c r="D81" i="14"/>
  <c r="N80" i="14"/>
  <c r="O80" i="14" s="1"/>
  <c r="M80" i="14"/>
  <c r="K80" i="14"/>
  <c r="J80" i="14"/>
  <c r="J79" i="14" s="1"/>
  <c r="H80" i="14"/>
  <c r="H79" i="14" s="1"/>
  <c r="G80" i="14"/>
  <c r="I80" i="14" s="1"/>
  <c r="F80" i="14"/>
  <c r="E80" i="14"/>
  <c r="D80" i="14"/>
  <c r="M79" i="14"/>
  <c r="K79" i="14"/>
  <c r="G79" i="14"/>
  <c r="G78" i="14" s="1"/>
  <c r="E79" i="14"/>
  <c r="O77" i="14"/>
  <c r="L77" i="14"/>
  <c r="I77" i="14"/>
  <c r="D77" i="14"/>
  <c r="F77" i="14" s="1"/>
  <c r="C77" i="14" s="1"/>
  <c r="O76" i="14"/>
  <c r="L76" i="14"/>
  <c r="I76" i="14"/>
  <c r="D76" i="14"/>
  <c r="F76" i="14" s="1"/>
  <c r="C76" i="14" s="1"/>
  <c r="O75" i="14"/>
  <c r="L75" i="14"/>
  <c r="I75" i="14"/>
  <c r="C75" i="14" s="1"/>
  <c r="F75" i="14"/>
  <c r="O74" i="14"/>
  <c r="L74" i="14"/>
  <c r="I74" i="14"/>
  <c r="F74" i="14"/>
  <c r="C74" i="14" s="1"/>
  <c r="O73" i="14"/>
  <c r="L73" i="14"/>
  <c r="I73" i="14"/>
  <c r="D73" i="14"/>
  <c r="N72" i="14"/>
  <c r="M72" i="14"/>
  <c r="O72" i="14" s="1"/>
  <c r="K72" i="14"/>
  <c r="L72" i="14" s="1"/>
  <c r="J72" i="14"/>
  <c r="I72" i="14"/>
  <c r="H72" i="14"/>
  <c r="G72" i="14"/>
  <c r="E72" i="14"/>
  <c r="E70" i="14" s="1"/>
  <c r="O71" i="14"/>
  <c r="L71" i="14"/>
  <c r="I71" i="14"/>
  <c r="F71" i="14"/>
  <c r="N70" i="14"/>
  <c r="K70" i="14"/>
  <c r="J70" i="14"/>
  <c r="H70" i="14"/>
  <c r="G70" i="14"/>
  <c r="I70" i="14" s="1"/>
  <c r="O69" i="14"/>
  <c r="L69" i="14"/>
  <c r="I69" i="14"/>
  <c r="F69" i="14"/>
  <c r="C69" i="14" s="1"/>
  <c r="D69" i="14"/>
  <c r="O68" i="14"/>
  <c r="L68" i="14"/>
  <c r="I68" i="14"/>
  <c r="F68" i="14"/>
  <c r="O67" i="14"/>
  <c r="L67" i="14"/>
  <c r="I67" i="14"/>
  <c r="F67" i="14"/>
  <c r="C67" i="14"/>
  <c r="O66" i="14"/>
  <c r="L66" i="14"/>
  <c r="I66" i="14"/>
  <c r="F66" i="14"/>
  <c r="C66" i="14" s="1"/>
  <c r="O65" i="14"/>
  <c r="L65" i="14"/>
  <c r="I65" i="14"/>
  <c r="C65" i="14" s="1"/>
  <c r="F65" i="14"/>
  <c r="O64" i="14"/>
  <c r="L64" i="14"/>
  <c r="I64" i="14"/>
  <c r="F64" i="14"/>
  <c r="O63" i="14"/>
  <c r="L63" i="14"/>
  <c r="I63" i="14"/>
  <c r="F63" i="14"/>
  <c r="C63" i="14"/>
  <c r="O62" i="14"/>
  <c r="L62" i="14"/>
  <c r="I62" i="14"/>
  <c r="F62" i="14"/>
  <c r="C62" i="14" s="1"/>
  <c r="N61" i="14"/>
  <c r="M61" i="14"/>
  <c r="K61" i="14"/>
  <c r="J61" i="14"/>
  <c r="L61" i="14" s="1"/>
  <c r="I61" i="14"/>
  <c r="H61" i="14"/>
  <c r="G61" i="14"/>
  <c r="E61" i="14"/>
  <c r="E57" i="14" s="1"/>
  <c r="D61" i="14"/>
  <c r="F61" i="14" s="1"/>
  <c r="O60" i="14"/>
  <c r="L60" i="14"/>
  <c r="I60" i="14"/>
  <c r="F60" i="14"/>
  <c r="D60" i="14"/>
  <c r="C60" i="14"/>
  <c r="O59" i="14"/>
  <c r="L59" i="14"/>
  <c r="I59" i="14"/>
  <c r="F59" i="14"/>
  <c r="C59" i="14" s="1"/>
  <c r="D59" i="14"/>
  <c r="N58" i="14"/>
  <c r="N57" i="14" s="1"/>
  <c r="N56" i="14" s="1"/>
  <c r="M58" i="14"/>
  <c r="K58" i="14"/>
  <c r="J58" i="14"/>
  <c r="H58" i="14"/>
  <c r="I58" i="14" s="1"/>
  <c r="G58" i="14"/>
  <c r="F58" i="14"/>
  <c r="E58" i="14"/>
  <c r="D58" i="14"/>
  <c r="K57" i="14"/>
  <c r="H57" i="14"/>
  <c r="G57" i="14"/>
  <c r="D57" i="14"/>
  <c r="H56" i="14"/>
  <c r="O50" i="14"/>
  <c r="C50" i="14" s="1"/>
  <c r="O49" i="14"/>
  <c r="C49" i="14"/>
  <c r="N48" i="14"/>
  <c r="M48" i="14"/>
  <c r="L47" i="14"/>
  <c r="I47" i="14"/>
  <c r="F47" i="14"/>
  <c r="C47" i="14"/>
  <c r="K46" i="14"/>
  <c r="L46" i="14" s="1"/>
  <c r="J46" i="14"/>
  <c r="I46" i="14"/>
  <c r="H46" i="14"/>
  <c r="G46" i="14"/>
  <c r="E46" i="14"/>
  <c r="E24" i="14" s="1"/>
  <c r="D46" i="14"/>
  <c r="F46" i="14" s="1"/>
  <c r="C46" i="14" s="1"/>
  <c r="F45" i="14"/>
  <c r="C45" i="14"/>
  <c r="J44" i="14"/>
  <c r="L44" i="14" s="1"/>
  <c r="C44" i="14" s="1"/>
  <c r="L43" i="14"/>
  <c r="C43" i="14" s="1"/>
  <c r="L42" i="14"/>
  <c r="C42" i="14" s="1"/>
  <c r="L41" i="14"/>
  <c r="C41" i="14" s="1"/>
  <c r="K40" i="14"/>
  <c r="J40" i="14"/>
  <c r="L40" i="14" s="1"/>
  <c r="C40" i="14" s="1"/>
  <c r="L39" i="14"/>
  <c r="C39" i="14" s="1"/>
  <c r="L38" i="14"/>
  <c r="C38" i="14" s="1"/>
  <c r="K37" i="14"/>
  <c r="J37" i="14"/>
  <c r="L37" i="14" s="1"/>
  <c r="C37" i="14" s="1"/>
  <c r="L36" i="14"/>
  <c r="C36" i="14" s="1"/>
  <c r="L35" i="14"/>
  <c r="C35" i="14" s="1"/>
  <c r="K35" i="14"/>
  <c r="J35" i="14"/>
  <c r="L34" i="14"/>
  <c r="C34" i="14" s="1"/>
  <c r="L33" i="14"/>
  <c r="C33" i="14" s="1"/>
  <c r="L32" i="14"/>
  <c r="C32" i="14" s="1"/>
  <c r="K31" i="14"/>
  <c r="J31" i="14"/>
  <c r="L31" i="14" s="1"/>
  <c r="C31" i="14" s="1"/>
  <c r="K30" i="14"/>
  <c r="F29" i="14"/>
  <c r="C29" i="14" s="1"/>
  <c r="I28" i="14"/>
  <c r="O27" i="14"/>
  <c r="J27" i="14"/>
  <c r="L27" i="14" s="1"/>
  <c r="I27" i="14"/>
  <c r="F27" i="14"/>
  <c r="O26" i="14"/>
  <c r="L26" i="14"/>
  <c r="I26" i="14"/>
  <c r="C26" i="14" s="1"/>
  <c r="F26" i="14"/>
  <c r="N25" i="14"/>
  <c r="M25" i="14"/>
  <c r="O25" i="14" s="1"/>
  <c r="K25" i="14"/>
  <c r="K290" i="14" s="1"/>
  <c r="K289" i="14" s="1"/>
  <c r="J25" i="14"/>
  <c r="H25" i="14"/>
  <c r="H290" i="14" s="1"/>
  <c r="H289" i="14" s="1"/>
  <c r="G25" i="14"/>
  <c r="G290" i="14" s="1"/>
  <c r="F25" i="14"/>
  <c r="E25" i="14"/>
  <c r="E290" i="14" s="1"/>
  <c r="E289" i="14" s="1"/>
  <c r="D25" i="14"/>
  <c r="D290" i="14" s="1"/>
  <c r="M24" i="14"/>
  <c r="K24" i="14"/>
  <c r="H24" i="14"/>
  <c r="G24" i="14"/>
  <c r="I24" i="14" s="1"/>
  <c r="G289" i="14" l="1"/>
  <c r="I289" i="14" s="1"/>
  <c r="I290" i="14"/>
  <c r="J57" i="14"/>
  <c r="L58" i="14"/>
  <c r="L86" i="14"/>
  <c r="J290" i="14"/>
  <c r="L25" i="14"/>
  <c r="C27" i="14"/>
  <c r="O58" i="14"/>
  <c r="O61" i="14"/>
  <c r="M57" i="14"/>
  <c r="C68" i="14"/>
  <c r="L70" i="14"/>
  <c r="C71" i="14"/>
  <c r="F73" i="14"/>
  <c r="C73" i="14" s="1"/>
  <c r="D72" i="14"/>
  <c r="E78" i="14"/>
  <c r="H78" i="14"/>
  <c r="H55" i="14" s="1"/>
  <c r="H54" i="14" s="1"/>
  <c r="C119" i="14"/>
  <c r="C131" i="14"/>
  <c r="F133" i="14"/>
  <c r="C147" i="14"/>
  <c r="O133" i="14"/>
  <c r="C163" i="14"/>
  <c r="O177" i="14"/>
  <c r="M176" i="14"/>
  <c r="O176" i="14" s="1"/>
  <c r="H190" i="14"/>
  <c r="M233" i="14"/>
  <c r="O233" i="14" s="1"/>
  <c r="C236" i="14"/>
  <c r="C241" i="14"/>
  <c r="C249" i="14"/>
  <c r="C285" i="14"/>
  <c r="K56" i="15"/>
  <c r="K55" i="15" s="1"/>
  <c r="L57" i="15"/>
  <c r="N78" i="15"/>
  <c r="H78" i="15"/>
  <c r="I79" i="15"/>
  <c r="C90" i="15"/>
  <c r="C98" i="15"/>
  <c r="D86" i="15"/>
  <c r="F86" i="15" s="1"/>
  <c r="F106" i="15"/>
  <c r="C106" i="15" s="1"/>
  <c r="C144" i="15"/>
  <c r="G56" i="14"/>
  <c r="I57" i="14"/>
  <c r="O56" i="15"/>
  <c r="O79" i="15"/>
  <c r="C61" i="14"/>
  <c r="L79" i="14"/>
  <c r="J30" i="14"/>
  <c r="K78" i="14"/>
  <c r="I86" i="14"/>
  <c r="K190" i="14"/>
  <c r="L190" i="14" s="1"/>
  <c r="O207" i="14"/>
  <c r="L70" i="15"/>
  <c r="J56" i="15"/>
  <c r="N55" i="15"/>
  <c r="E78" i="15"/>
  <c r="I78" i="14"/>
  <c r="E56" i="14"/>
  <c r="E55" i="14" s="1"/>
  <c r="E54" i="14" s="1"/>
  <c r="F57" i="14"/>
  <c r="D289" i="14"/>
  <c r="F289" i="14" s="1"/>
  <c r="F290" i="14"/>
  <c r="N290" i="14"/>
  <c r="N289" i="14" s="1"/>
  <c r="N24" i="14"/>
  <c r="O24" i="14" s="1"/>
  <c r="K56" i="14"/>
  <c r="K55" i="14" s="1"/>
  <c r="C58" i="14"/>
  <c r="C64" i="14"/>
  <c r="C92" i="14"/>
  <c r="C98" i="14"/>
  <c r="C106" i="14"/>
  <c r="C138" i="14"/>
  <c r="C139" i="14"/>
  <c r="H176" i="14"/>
  <c r="H287" i="14" s="1"/>
  <c r="I177" i="14"/>
  <c r="F198" i="14"/>
  <c r="C207" i="14"/>
  <c r="K233" i="14"/>
  <c r="K197" i="14" s="1"/>
  <c r="C282" i="14"/>
  <c r="E287" i="14"/>
  <c r="C291" i="14"/>
  <c r="C46" i="15"/>
  <c r="E56" i="15"/>
  <c r="E55" i="15" s="1"/>
  <c r="F57" i="15"/>
  <c r="C61" i="15"/>
  <c r="C92" i="15"/>
  <c r="C115" i="15"/>
  <c r="C125" i="15"/>
  <c r="I133" i="15"/>
  <c r="C133" i="15" s="1"/>
  <c r="M70" i="14"/>
  <c r="O70" i="14" s="1"/>
  <c r="I79" i="14"/>
  <c r="L80" i="14"/>
  <c r="C80" i="14" s="1"/>
  <c r="D83" i="14"/>
  <c r="F83" i="14" s="1"/>
  <c r="C83" i="14" s="1"/>
  <c r="O87" i="14"/>
  <c r="C87" i="14" s="1"/>
  <c r="I115" i="14"/>
  <c r="C115" i="14" s="1"/>
  <c r="I134" i="14"/>
  <c r="O154" i="14"/>
  <c r="C154" i="14" s="1"/>
  <c r="M168" i="14"/>
  <c r="O168" i="14" s="1"/>
  <c r="C168" i="14" s="1"/>
  <c r="L169" i="14"/>
  <c r="C169" i="14" s="1"/>
  <c r="D177" i="14"/>
  <c r="L177" i="14"/>
  <c r="O178" i="14"/>
  <c r="C178" i="14" s="1"/>
  <c r="G190" i="14"/>
  <c r="I190" i="14" s="1"/>
  <c r="C190" i="14" s="1"/>
  <c r="F191" i="14"/>
  <c r="C191" i="14" s="1"/>
  <c r="G194" i="14"/>
  <c r="I194" i="14" s="1"/>
  <c r="C194" i="14" s="1"/>
  <c r="F195" i="14"/>
  <c r="C195" i="14" s="1"/>
  <c r="G198" i="14"/>
  <c r="F199" i="14"/>
  <c r="J199" i="14"/>
  <c r="J207" i="14"/>
  <c r="L207" i="14" s="1"/>
  <c r="I208" i="14"/>
  <c r="C208" i="14" s="1"/>
  <c r="O230" i="14"/>
  <c r="C230" i="14" s="1"/>
  <c r="D233" i="14"/>
  <c r="F233" i="14" s="1"/>
  <c r="G234" i="14"/>
  <c r="O234" i="14"/>
  <c r="G254" i="14"/>
  <c r="I254" i="14" s="1"/>
  <c r="C254" i="14" s="1"/>
  <c r="F255" i="14"/>
  <c r="C255" i="14" s="1"/>
  <c r="D261" i="14"/>
  <c r="F261" i="14" s="1"/>
  <c r="C261" i="14" s="1"/>
  <c r="O262" i="14"/>
  <c r="C262" i="14" s="1"/>
  <c r="M271" i="14"/>
  <c r="O271" i="14" s="1"/>
  <c r="D272" i="14"/>
  <c r="L272" i="14"/>
  <c r="L284" i="14"/>
  <c r="C284" i="14" s="1"/>
  <c r="M290" i="14"/>
  <c r="G24" i="15"/>
  <c r="K24" i="15"/>
  <c r="F25" i="15"/>
  <c r="J25" i="15"/>
  <c r="J30" i="15"/>
  <c r="J40" i="15"/>
  <c r="L40" i="15" s="1"/>
  <c r="C40" i="15" s="1"/>
  <c r="G57" i="15"/>
  <c r="O57" i="15"/>
  <c r="F58" i="15"/>
  <c r="C58" i="15" s="1"/>
  <c r="O72" i="15"/>
  <c r="D79" i="15"/>
  <c r="L79" i="15"/>
  <c r="O80" i="15"/>
  <c r="C80" i="15" s="1"/>
  <c r="M86" i="15"/>
  <c r="O86" i="15" s="1"/>
  <c r="L87" i="15"/>
  <c r="C87" i="15" s="1"/>
  <c r="J133" i="15"/>
  <c r="L133" i="15" s="1"/>
  <c r="I134" i="15"/>
  <c r="C134" i="15" s="1"/>
  <c r="C142" i="15"/>
  <c r="C143" i="15"/>
  <c r="C146" i="15"/>
  <c r="F147" i="15"/>
  <c r="C147" i="15" s="1"/>
  <c r="J147" i="15"/>
  <c r="L147" i="15" s="1"/>
  <c r="I154" i="15"/>
  <c r="C154" i="15" s="1"/>
  <c r="O163" i="15"/>
  <c r="C167" i="15"/>
  <c r="D168" i="15"/>
  <c r="F168" i="15" s="1"/>
  <c r="C175" i="15"/>
  <c r="D176" i="15"/>
  <c r="F176" i="15" s="1"/>
  <c r="G177" i="15"/>
  <c r="C179" i="15"/>
  <c r="C180" i="15"/>
  <c r="C183" i="15"/>
  <c r="C184" i="15"/>
  <c r="C188" i="15"/>
  <c r="J190" i="15"/>
  <c r="L190" i="15" s="1"/>
  <c r="D190" i="15"/>
  <c r="F190" i="15" s="1"/>
  <c r="H190" i="15"/>
  <c r="H55" i="15" s="1"/>
  <c r="O191" i="15"/>
  <c r="F195" i="15"/>
  <c r="C196" i="15"/>
  <c r="F254" i="15"/>
  <c r="C278" i="15"/>
  <c r="K55" i="16"/>
  <c r="K54" i="16" s="1"/>
  <c r="K53" i="16" s="1"/>
  <c r="L78" i="16"/>
  <c r="M78" i="16"/>
  <c r="O78" i="16" s="1"/>
  <c r="G78" i="16"/>
  <c r="C92" i="16"/>
  <c r="C147" i="16"/>
  <c r="C182" i="16"/>
  <c r="I25" i="14"/>
  <c r="C25" i="14" s="1"/>
  <c r="O48" i="14"/>
  <c r="C48" i="14" s="1"/>
  <c r="N79" i="14"/>
  <c r="D125" i="14"/>
  <c r="F125" i="14" s="1"/>
  <c r="C125" i="14" s="1"/>
  <c r="J134" i="14"/>
  <c r="H24" i="15"/>
  <c r="G289" i="15"/>
  <c r="I289" i="15" s="1"/>
  <c r="I290" i="15"/>
  <c r="D72" i="15"/>
  <c r="L139" i="15"/>
  <c r="C139" i="15" s="1"/>
  <c r="C152" i="15"/>
  <c r="C153" i="15"/>
  <c r="C156" i="15"/>
  <c r="C157" i="15"/>
  <c r="G168" i="15"/>
  <c r="I168" i="15" s="1"/>
  <c r="I169" i="15"/>
  <c r="C169" i="15" s="1"/>
  <c r="M176" i="15"/>
  <c r="O176" i="15" s="1"/>
  <c r="I194" i="15"/>
  <c r="C194" i="15" s="1"/>
  <c r="C282" i="15"/>
  <c r="C291" i="15"/>
  <c r="F57" i="16"/>
  <c r="F134" i="16"/>
  <c r="D133" i="16"/>
  <c r="F133" i="16" s="1"/>
  <c r="C133" i="16" s="1"/>
  <c r="C139" i="16"/>
  <c r="C144" i="16"/>
  <c r="D289" i="15"/>
  <c r="F289" i="15" s="1"/>
  <c r="F290" i="15"/>
  <c r="C163" i="15"/>
  <c r="C191" i="15"/>
  <c r="M194" i="15"/>
  <c r="O194" i="15" s="1"/>
  <c r="O195" i="15"/>
  <c r="L57" i="16"/>
  <c r="J56" i="16"/>
  <c r="F79" i="16"/>
  <c r="I86" i="16"/>
  <c r="C106" i="16"/>
  <c r="C125" i="16"/>
  <c r="M199" i="14"/>
  <c r="J234" i="14"/>
  <c r="G272" i="14"/>
  <c r="N24" i="15"/>
  <c r="O24" i="15" s="1"/>
  <c r="I25" i="15"/>
  <c r="M289" i="15"/>
  <c r="O289" i="15" s="1"/>
  <c r="O290" i="15"/>
  <c r="O48" i="15"/>
  <c r="C48" i="15" s="1"/>
  <c r="F141" i="15"/>
  <c r="C141" i="15" s="1"/>
  <c r="C149" i="15"/>
  <c r="J177" i="15"/>
  <c r="L178" i="15"/>
  <c r="C178" i="15" s="1"/>
  <c r="O178" i="15"/>
  <c r="G190" i="15"/>
  <c r="I190" i="15" s="1"/>
  <c r="L199" i="15"/>
  <c r="C241" i="15"/>
  <c r="C266" i="15"/>
  <c r="C274" i="15"/>
  <c r="C98" i="16"/>
  <c r="C115" i="16"/>
  <c r="C131" i="16"/>
  <c r="G199" i="15"/>
  <c r="K199" i="15"/>
  <c r="K198" i="15" s="1"/>
  <c r="O199" i="15"/>
  <c r="F208" i="15"/>
  <c r="C208" i="15" s="1"/>
  <c r="E234" i="15"/>
  <c r="E233" i="15" s="1"/>
  <c r="E197" i="15" s="1"/>
  <c r="I234" i="15"/>
  <c r="M234" i="15"/>
  <c r="L255" i="15"/>
  <c r="C255" i="15" s="1"/>
  <c r="I262" i="15"/>
  <c r="C262" i="15" s="1"/>
  <c r="G272" i="15"/>
  <c r="K272" i="15"/>
  <c r="K271" i="15" s="1"/>
  <c r="L271" i="15" s="1"/>
  <c r="O272" i="15"/>
  <c r="O284" i="15"/>
  <c r="C284" i="15" s="1"/>
  <c r="G24" i="16"/>
  <c r="I24" i="16" s="1"/>
  <c r="F25" i="16"/>
  <c r="J289" i="16"/>
  <c r="L289" i="16" s="1"/>
  <c r="L290" i="16"/>
  <c r="K30" i="16"/>
  <c r="K288" i="16" s="1"/>
  <c r="I57" i="16"/>
  <c r="L58" i="16"/>
  <c r="C58" i="16" s="1"/>
  <c r="D70" i="16"/>
  <c r="H70" i="16"/>
  <c r="H56" i="16" s="1"/>
  <c r="O79" i="16"/>
  <c r="F80" i="16"/>
  <c r="C80" i="16" s="1"/>
  <c r="O87" i="16"/>
  <c r="C87" i="16" s="1"/>
  <c r="O134" i="16"/>
  <c r="F136" i="16"/>
  <c r="C136" i="16" s="1"/>
  <c r="D168" i="16"/>
  <c r="F168" i="16" s="1"/>
  <c r="C168" i="16" s="1"/>
  <c r="O169" i="16"/>
  <c r="G176" i="16"/>
  <c r="I176" i="16" s="1"/>
  <c r="J177" i="16"/>
  <c r="O177" i="16"/>
  <c r="F178" i="16"/>
  <c r="L178" i="16"/>
  <c r="O178" i="16"/>
  <c r="E190" i="16"/>
  <c r="F190" i="16" s="1"/>
  <c r="J190" i="16"/>
  <c r="L190" i="16" s="1"/>
  <c r="L195" i="16"/>
  <c r="D199" i="16"/>
  <c r="F208" i="16"/>
  <c r="I208" i="16"/>
  <c r="C215" i="16"/>
  <c r="C216" i="16"/>
  <c r="C220" i="16"/>
  <c r="F261" i="16"/>
  <c r="C261" i="16" s="1"/>
  <c r="K287" i="16"/>
  <c r="F57" i="17"/>
  <c r="M56" i="17"/>
  <c r="G78" i="17"/>
  <c r="N78" i="17"/>
  <c r="C169" i="17"/>
  <c r="F176" i="17"/>
  <c r="J198" i="17"/>
  <c r="L199" i="17"/>
  <c r="D199" i="15"/>
  <c r="H207" i="15"/>
  <c r="I207" i="15" s="1"/>
  <c r="D219" i="15"/>
  <c r="F219" i="15" s="1"/>
  <c r="C219" i="15" s="1"/>
  <c r="J234" i="15"/>
  <c r="N254" i="15"/>
  <c r="O254" i="15" s="1"/>
  <c r="K261" i="15"/>
  <c r="L261" i="15" s="1"/>
  <c r="C261" i="15" s="1"/>
  <c r="D272" i="15"/>
  <c r="E287" i="15"/>
  <c r="H24" i="16"/>
  <c r="G289" i="16"/>
  <c r="I289" i="16" s="1"/>
  <c r="I290" i="16"/>
  <c r="O25" i="16"/>
  <c r="N57" i="16"/>
  <c r="N56" i="16" s="1"/>
  <c r="M70" i="16"/>
  <c r="O70" i="16" s="1"/>
  <c r="H79" i="16"/>
  <c r="H78" i="16" s="1"/>
  <c r="E86" i="16"/>
  <c r="E78" i="16" s="1"/>
  <c r="I169" i="16"/>
  <c r="C169" i="16" s="1"/>
  <c r="L169" i="16"/>
  <c r="C175" i="16"/>
  <c r="C179" i="16"/>
  <c r="O195" i="16"/>
  <c r="M207" i="16"/>
  <c r="O207" i="16" s="1"/>
  <c r="C207" i="16" s="1"/>
  <c r="C211" i="16"/>
  <c r="N233" i="16"/>
  <c r="N197" i="16" s="1"/>
  <c r="O254" i="16"/>
  <c r="C254" i="16" s="1"/>
  <c r="C266" i="16"/>
  <c r="C278" i="16"/>
  <c r="I56" i="17"/>
  <c r="C83" i="17"/>
  <c r="C92" i="17"/>
  <c r="C125" i="17"/>
  <c r="C131" i="17"/>
  <c r="C134" i="17"/>
  <c r="C144" i="17"/>
  <c r="L233" i="17"/>
  <c r="D289" i="16"/>
  <c r="F289" i="16" s="1"/>
  <c r="F290" i="16"/>
  <c r="C195" i="16"/>
  <c r="I201" i="16"/>
  <c r="C201" i="16" s="1"/>
  <c r="G199" i="16"/>
  <c r="E55" i="17"/>
  <c r="F79" i="17"/>
  <c r="E176" i="17"/>
  <c r="F177" i="17"/>
  <c r="I25" i="16"/>
  <c r="O290" i="16"/>
  <c r="M289" i="16"/>
  <c r="O289" i="16" s="1"/>
  <c r="N190" i="16"/>
  <c r="O190" i="16" s="1"/>
  <c r="L198" i="16"/>
  <c r="H198" i="16"/>
  <c r="H197" i="16" s="1"/>
  <c r="L208" i="16"/>
  <c r="C58" i="17"/>
  <c r="I86" i="17"/>
  <c r="C87" i="17"/>
  <c r="D234" i="16"/>
  <c r="L234" i="16"/>
  <c r="O255" i="16"/>
  <c r="C255" i="16" s="1"/>
  <c r="L262" i="16"/>
  <c r="C262" i="16" s="1"/>
  <c r="F272" i="16"/>
  <c r="J272" i="16"/>
  <c r="F284" i="16"/>
  <c r="C284" i="16" s="1"/>
  <c r="J24" i="17"/>
  <c r="N24" i="17"/>
  <c r="O24" i="17" s="1"/>
  <c r="I25" i="17"/>
  <c r="O290" i="17"/>
  <c r="M289" i="17"/>
  <c r="O289" i="17" s="1"/>
  <c r="K30" i="17"/>
  <c r="L30" i="17" s="1"/>
  <c r="C30" i="17" s="1"/>
  <c r="J56" i="17"/>
  <c r="I57" i="17"/>
  <c r="D70" i="17"/>
  <c r="H70" i="17"/>
  <c r="H56" i="17" s="1"/>
  <c r="O79" i="17"/>
  <c r="F80" i="17"/>
  <c r="C80" i="17" s="1"/>
  <c r="D86" i="17"/>
  <c r="F86" i="17" s="1"/>
  <c r="C86" i="17" s="1"/>
  <c r="O87" i="17"/>
  <c r="M133" i="17"/>
  <c r="O133" i="17" s="1"/>
  <c r="C133" i="17" s="1"/>
  <c r="J168" i="17"/>
  <c r="J176" i="17"/>
  <c r="L176" i="17" s="1"/>
  <c r="M177" i="17"/>
  <c r="G190" i="17"/>
  <c r="G55" i="17" s="1"/>
  <c r="O191" i="17"/>
  <c r="F195" i="17"/>
  <c r="I201" i="17"/>
  <c r="C201" i="17" s="1"/>
  <c r="G199" i="17"/>
  <c r="L201" i="17"/>
  <c r="D207" i="17"/>
  <c r="F207" i="17" s="1"/>
  <c r="E207" i="17"/>
  <c r="E198" i="17" s="1"/>
  <c r="O208" i="17"/>
  <c r="C215" i="17"/>
  <c r="C227" i="17"/>
  <c r="C231" i="17"/>
  <c r="L238" i="17"/>
  <c r="C238" i="17" s="1"/>
  <c r="C249" i="17"/>
  <c r="C282" i="17"/>
  <c r="C291" i="17"/>
  <c r="K24" i="18"/>
  <c r="C46" i="18"/>
  <c r="I234" i="16"/>
  <c r="M234" i="16"/>
  <c r="G272" i="16"/>
  <c r="O284" i="16"/>
  <c r="F25" i="17"/>
  <c r="C25" i="17" s="1"/>
  <c r="J289" i="17"/>
  <c r="L289" i="17" s="1"/>
  <c r="L290" i="17"/>
  <c r="N57" i="17"/>
  <c r="N56" i="17" s="1"/>
  <c r="N55" i="17" s="1"/>
  <c r="H79" i="17"/>
  <c r="H78" i="17" s="1"/>
  <c r="O187" i="17"/>
  <c r="C191" i="17"/>
  <c r="L194" i="17"/>
  <c r="C194" i="17" s="1"/>
  <c r="O199" i="17"/>
  <c r="C203" i="17"/>
  <c r="I207" i="17"/>
  <c r="L208" i="17"/>
  <c r="K207" i="17"/>
  <c r="K198" i="17" s="1"/>
  <c r="K197" i="17" s="1"/>
  <c r="K54" i="17" s="1"/>
  <c r="K53" i="17" s="1"/>
  <c r="O236" i="17"/>
  <c r="M234" i="17"/>
  <c r="L234" i="17"/>
  <c r="F56" i="18"/>
  <c r="G289" i="17"/>
  <c r="I289" i="17" s="1"/>
  <c r="I290" i="17"/>
  <c r="C187" i="17"/>
  <c r="L190" i="17"/>
  <c r="C236" i="17"/>
  <c r="I56" i="18"/>
  <c r="D289" i="17"/>
  <c r="F289" i="17" s="1"/>
  <c r="F290" i="17"/>
  <c r="D190" i="17"/>
  <c r="F190" i="17" s="1"/>
  <c r="H190" i="17"/>
  <c r="I195" i="17"/>
  <c r="M198" i="17"/>
  <c r="I208" i="17"/>
  <c r="C208" i="17" s="1"/>
  <c r="C213" i="17"/>
  <c r="C225" i="17"/>
  <c r="G234" i="17"/>
  <c r="E233" i="17"/>
  <c r="E287" i="17" s="1"/>
  <c r="C278" i="17"/>
  <c r="D234" i="17"/>
  <c r="H254" i="17"/>
  <c r="H233" i="17" s="1"/>
  <c r="H197" i="17" s="1"/>
  <c r="E261" i="17"/>
  <c r="F261" i="17" s="1"/>
  <c r="C261" i="17" s="1"/>
  <c r="J272" i="17"/>
  <c r="J24" i="18"/>
  <c r="L24" i="18" s="1"/>
  <c r="N24" i="18"/>
  <c r="O24" i="18" s="1"/>
  <c r="I25" i="18"/>
  <c r="M289" i="18"/>
  <c r="O289" i="18" s="1"/>
  <c r="O290" i="18"/>
  <c r="L58" i="18"/>
  <c r="C58" i="18" s="1"/>
  <c r="C65" i="18"/>
  <c r="F70" i="18"/>
  <c r="F80" i="18"/>
  <c r="L80" i="18"/>
  <c r="O80" i="18"/>
  <c r="L83" i="18"/>
  <c r="C83" i="18" s="1"/>
  <c r="C88" i="18"/>
  <c r="I98" i="18"/>
  <c r="C98" i="18" s="1"/>
  <c r="C144" i="18"/>
  <c r="C163" i="18"/>
  <c r="C195" i="18"/>
  <c r="L255" i="17"/>
  <c r="C255" i="17" s="1"/>
  <c r="I262" i="17"/>
  <c r="C262" i="17" s="1"/>
  <c r="G272" i="17"/>
  <c r="O272" i="17"/>
  <c r="O284" i="17"/>
  <c r="C284" i="17" s="1"/>
  <c r="F25" i="18"/>
  <c r="C25" i="18" s="1"/>
  <c r="J289" i="18"/>
  <c r="L289" i="18" s="1"/>
  <c r="L290" i="18"/>
  <c r="F57" i="18"/>
  <c r="L72" i="18"/>
  <c r="C72" i="18" s="1"/>
  <c r="J70" i="18"/>
  <c r="O92" i="18"/>
  <c r="C92" i="18" s="1"/>
  <c r="M86" i="18"/>
  <c r="F133" i="18"/>
  <c r="L198" i="18"/>
  <c r="I207" i="18"/>
  <c r="G198" i="18"/>
  <c r="N234" i="17"/>
  <c r="N233" i="17" s="1"/>
  <c r="N197" i="17" s="1"/>
  <c r="D24" i="18"/>
  <c r="F24" i="18" s="1"/>
  <c r="H24" i="18"/>
  <c r="I24" i="18" s="1"/>
  <c r="I290" i="18"/>
  <c r="G289" i="18"/>
  <c r="I289" i="18" s="1"/>
  <c r="O25" i="18"/>
  <c r="H56" i="18"/>
  <c r="M57" i="18"/>
  <c r="C73" i="18"/>
  <c r="G79" i="18"/>
  <c r="C84" i="18"/>
  <c r="D86" i="18"/>
  <c r="L87" i="18"/>
  <c r="C87" i="18" s="1"/>
  <c r="J86" i="18"/>
  <c r="L86" i="18" s="1"/>
  <c r="O87" i="18"/>
  <c r="C96" i="18"/>
  <c r="C131" i="18"/>
  <c r="C169" i="18"/>
  <c r="C182" i="18"/>
  <c r="C187" i="18"/>
  <c r="C230" i="18"/>
  <c r="D289" i="18"/>
  <c r="F289" i="18" s="1"/>
  <c r="F290" i="18"/>
  <c r="C69" i="18"/>
  <c r="I86" i="18"/>
  <c r="C115" i="18"/>
  <c r="C134" i="18"/>
  <c r="C147" i="18"/>
  <c r="C154" i="18"/>
  <c r="K197" i="18"/>
  <c r="G133" i="18"/>
  <c r="I133" i="18" s="1"/>
  <c r="K133" i="18"/>
  <c r="K78" i="18" s="1"/>
  <c r="D168" i="18"/>
  <c r="F168" i="18" s="1"/>
  <c r="H168" i="18"/>
  <c r="I168" i="18" s="1"/>
  <c r="D176" i="18"/>
  <c r="F176" i="18" s="1"/>
  <c r="G177" i="18"/>
  <c r="K177" i="18"/>
  <c r="J190" i="18"/>
  <c r="L190" i="18" s="1"/>
  <c r="C190" i="18" s="1"/>
  <c r="N190" i="18"/>
  <c r="O190" i="18" s="1"/>
  <c r="J194" i="18"/>
  <c r="L194" i="18" s="1"/>
  <c r="C194" i="18" s="1"/>
  <c r="N194" i="18"/>
  <c r="O194" i="18" s="1"/>
  <c r="N207" i="18"/>
  <c r="N198" i="18" s="1"/>
  <c r="E207" i="18"/>
  <c r="E198" i="18" s="1"/>
  <c r="I208" i="18"/>
  <c r="C208" i="18" s="1"/>
  <c r="C217" i="18"/>
  <c r="C229" i="18"/>
  <c r="G234" i="18"/>
  <c r="L236" i="18"/>
  <c r="C236" i="18" s="1"/>
  <c r="J234" i="18"/>
  <c r="C237" i="18"/>
  <c r="F241" i="18"/>
  <c r="C241" i="18" s="1"/>
  <c r="C245" i="18"/>
  <c r="D261" i="18"/>
  <c r="F261" i="18" s="1"/>
  <c r="C265" i="18"/>
  <c r="C269" i="18"/>
  <c r="J271" i="18"/>
  <c r="O272" i="18"/>
  <c r="M271" i="18"/>
  <c r="O271" i="18" s="1"/>
  <c r="H55" i="19"/>
  <c r="H54" i="19" s="1"/>
  <c r="C58" i="19"/>
  <c r="F70" i="19"/>
  <c r="F86" i="19"/>
  <c r="C98" i="19"/>
  <c r="L255" i="18"/>
  <c r="C255" i="18" s="1"/>
  <c r="J254" i="18"/>
  <c r="L254" i="18" s="1"/>
  <c r="C254" i="18" s="1"/>
  <c r="I274" i="18"/>
  <c r="G272" i="18"/>
  <c r="O284" i="18"/>
  <c r="C46" i="19"/>
  <c r="E133" i="18"/>
  <c r="E78" i="18" s="1"/>
  <c r="E55" i="18" s="1"/>
  <c r="M133" i="18"/>
  <c r="O133" i="18" s="1"/>
  <c r="O139" i="18"/>
  <c r="C139" i="18" s="1"/>
  <c r="J176" i="18"/>
  <c r="N176" i="18"/>
  <c r="H199" i="18"/>
  <c r="H198" i="18" s="1"/>
  <c r="H197" i="18" s="1"/>
  <c r="O201" i="18"/>
  <c r="C201" i="18" s="1"/>
  <c r="M199" i="18"/>
  <c r="K233" i="18"/>
  <c r="O236" i="18"/>
  <c r="M234" i="18"/>
  <c r="C249" i="18"/>
  <c r="C291" i="18"/>
  <c r="I24" i="19"/>
  <c r="C87" i="19"/>
  <c r="J133" i="18"/>
  <c r="L133" i="18" s="1"/>
  <c r="D199" i="18"/>
  <c r="C205" i="18"/>
  <c r="M207" i="18"/>
  <c r="O207" i="18" s="1"/>
  <c r="D234" i="18"/>
  <c r="E234" i="18"/>
  <c r="E233" i="18" s="1"/>
  <c r="I262" i="18"/>
  <c r="G261" i="18"/>
  <c r="I261" i="18" s="1"/>
  <c r="L262" i="18"/>
  <c r="C262" i="18" s="1"/>
  <c r="F274" i="18"/>
  <c r="C274" i="18" s="1"/>
  <c r="D272" i="18"/>
  <c r="F284" i="18"/>
  <c r="C284" i="18" s="1"/>
  <c r="D24" i="19"/>
  <c r="F24" i="19" s="1"/>
  <c r="H24" i="19"/>
  <c r="G289" i="19"/>
  <c r="I289" i="19" s="1"/>
  <c r="I290" i="19"/>
  <c r="O25" i="19"/>
  <c r="I46" i="19"/>
  <c r="D56" i="19"/>
  <c r="G57" i="19"/>
  <c r="K57" i="19"/>
  <c r="J70" i="19"/>
  <c r="E79" i="19"/>
  <c r="M79" i="19"/>
  <c r="J86" i="19"/>
  <c r="L86" i="19" s="1"/>
  <c r="N86" i="19"/>
  <c r="N78" i="19" s="1"/>
  <c r="N55" i="19" s="1"/>
  <c r="N54" i="19" s="1"/>
  <c r="C101" i="19"/>
  <c r="F106" i="19"/>
  <c r="C106" i="19" s="1"/>
  <c r="C113" i="19"/>
  <c r="C117" i="19"/>
  <c r="C121" i="19"/>
  <c r="C137" i="19"/>
  <c r="C141" i="19"/>
  <c r="C145" i="19"/>
  <c r="C149" i="19"/>
  <c r="C178" i="19"/>
  <c r="N190" i="19"/>
  <c r="O190" i="19" s="1"/>
  <c r="I198" i="19"/>
  <c r="G197" i="19"/>
  <c r="I197" i="19" s="1"/>
  <c r="D289" i="19"/>
  <c r="F289" i="19" s="1"/>
  <c r="F290" i="19"/>
  <c r="K176" i="19"/>
  <c r="L176" i="19" s="1"/>
  <c r="L177" i="19"/>
  <c r="I194" i="19"/>
  <c r="G190" i="19"/>
  <c r="I190" i="19" s="1"/>
  <c r="C190" i="19" s="1"/>
  <c r="J24" i="19"/>
  <c r="I25" i="19"/>
  <c r="O290" i="19"/>
  <c r="M289" i="19"/>
  <c r="O289" i="19" s="1"/>
  <c r="F72" i="19"/>
  <c r="C72" i="19" s="1"/>
  <c r="F92" i="19"/>
  <c r="C92" i="19" s="1"/>
  <c r="C125" i="19"/>
  <c r="D133" i="19"/>
  <c r="K24" i="19"/>
  <c r="F25" i="19"/>
  <c r="J289" i="19"/>
  <c r="L289" i="19" s="1"/>
  <c r="L290" i="19"/>
  <c r="L30" i="19"/>
  <c r="C30" i="19" s="1"/>
  <c r="O48" i="19"/>
  <c r="C48" i="19" s="1"/>
  <c r="M70" i="19"/>
  <c r="M86" i="19"/>
  <c r="O86" i="19" s="1"/>
  <c r="C105" i="19"/>
  <c r="M133" i="19"/>
  <c r="O133" i="19" s="1"/>
  <c r="I134" i="19"/>
  <c r="C134" i="19" s="1"/>
  <c r="G133" i="19"/>
  <c r="L134" i="19"/>
  <c r="L139" i="19"/>
  <c r="J133" i="19"/>
  <c r="L133" i="19" s="1"/>
  <c r="O139" i="19"/>
  <c r="C182" i="19"/>
  <c r="C191" i="19"/>
  <c r="D168" i="19"/>
  <c r="F168" i="19" s="1"/>
  <c r="C168" i="19" s="1"/>
  <c r="O169" i="19"/>
  <c r="C169" i="19" s="1"/>
  <c r="D176" i="19"/>
  <c r="F176" i="19" s="1"/>
  <c r="G177" i="19"/>
  <c r="J190" i="19"/>
  <c r="L190" i="19" s="1"/>
  <c r="J194" i="19"/>
  <c r="L194" i="19" s="1"/>
  <c r="C194" i="19" s="1"/>
  <c r="I195" i="19"/>
  <c r="C195" i="19" s="1"/>
  <c r="J198" i="19"/>
  <c r="I199" i="19"/>
  <c r="M199" i="19"/>
  <c r="M207" i="19"/>
  <c r="O207" i="19" s="1"/>
  <c r="C207" i="19" s="1"/>
  <c r="L208" i="19"/>
  <c r="C208" i="19" s="1"/>
  <c r="C219" i="19"/>
  <c r="C241" i="19"/>
  <c r="O271" i="19"/>
  <c r="O272" i="19"/>
  <c r="C272" i="19" s="1"/>
  <c r="C274" i="19"/>
  <c r="H29" i="21"/>
  <c r="C238" i="19"/>
  <c r="C249" i="19"/>
  <c r="C255" i="19"/>
  <c r="C266" i="19"/>
  <c r="C271" i="19"/>
  <c r="H287" i="19"/>
  <c r="C291" i="19"/>
  <c r="D199" i="19"/>
  <c r="C233" i="19"/>
  <c r="C234" i="19"/>
  <c r="C236" i="19"/>
  <c r="C282" i="19"/>
  <c r="I12" i="21"/>
  <c r="I60" i="21"/>
  <c r="F284" i="19"/>
  <c r="D60" i="21"/>
  <c r="D12" i="21" s="1"/>
  <c r="D173" i="21"/>
  <c r="H173" i="21" s="1"/>
  <c r="H12" i="21" s="1"/>
  <c r="O284" i="19"/>
  <c r="I30" i="21"/>
  <c r="I29" i="21" s="1"/>
  <c r="I151" i="21"/>
  <c r="I188" i="21"/>
  <c r="L284" i="19"/>
  <c r="H99" i="21"/>
  <c r="E197" i="18" l="1"/>
  <c r="E287" i="18"/>
  <c r="C290" i="14"/>
  <c r="C289" i="14" s="1"/>
  <c r="N53" i="19"/>
  <c r="N288" i="19"/>
  <c r="E54" i="18"/>
  <c r="N197" i="18"/>
  <c r="N287" i="18"/>
  <c r="I55" i="17"/>
  <c r="E287" i="16"/>
  <c r="E55" i="16"/>
  <c r="E54" i="16" s="1"/>
  <c r="C176" i="16"/>
  <c r="H53" i="14"/>
  <c r="H288" i="14"/>
  <c r="C284" i="19"/>
  <c r="N287" i="19"/>
  <c r="C139" i="19"/>
  <c r="C25" i="19"/>
  <c r="C290" i="19" s="1"/>
  <c r="C289" i="19" s="1"/>
  <c r="L70" i="19"/>
  <c r="J56" i="19"/>
  <c r="D271" i="18"/>
  <c r="F272" i="18"/>
  <c r="N55" i="18"/>
  <c r="N54" i="18" s="1"/>
  <c r="C261" i="18"/>
  <c r="L234" i="18"/>
  <c r="J233" i="18"/>
  <c r="K176" i="18"/>
  <c r="K55" i="18" s="1"/>
  <c r="K54" i="18" s="1"/>
  <c r="L177" i="18"/>
  <c r="C168" i="18"/>
  <c r="F207" i="18"/>
  <c r="C207" i="18" s="1"/>
  <c r="O176" i="18"/>
  <c r="O86" i="18"/>
  <c r="M78" i="18"/>
  <c r="O78" i="18" s="1"/>
  <c r="K287" i="17"/>
  <c r="F234" i="17"/>
  <c r="D233" i="17"/>
  <c r="G233" i="17"/>
  <c r="I233" i="17" s="1"/>
  <c r="I234" i="17"/>
  <c r="O198" i="17"/>
  <c r="H78" i="18"/>
  <c r="H287" i="18" s="1"/>
  <c r="D198" i="17"/>
  <c r="N54" i="17"/>
  <c r="E197" i="17"/>
  <c r="M176" i="17"/>
  <c r="O176" i="17" s="1"/>
  <c r="O177" i="17"/>
  <c r="H55" i="17"/>
  <c r="H54" i="17" s="1"/>
  <c r="J271" i="16"/>
  <c r="L272" i="16"/>
  <c r="I70" i="17"/>
  <c r="N55" i="16"/>
  <c r="N54" i="16" s="1"/>
  <c r="I79" i="17"/>
  <c r="O56" i="17"/>
  <c r="N287" i="16"/>
  <c r="D198" i="16"/>
  <c r="F199" i="16"/>
  <c r="C199" i="16" s="1"/>
  <c r="J176" i="16"/>
  <c r="L176" i="16" s="1"/>
  <c r="L177" i="16"/>
  <c r="C177" i="16" s="1"/>
  <c r="M198" i="14"/>
  <c r="O199" i="14"/>
  <c r="L198" i="15"/>
  <c r="H198" i="15"/>
  <c r="O79" i="14"/>
  <c r="N78" i="14"/>
  <c r="C254" i="15"/>
  <c r="M190" i="15"/>
  <c r="O190" i="15" s="1"/>
  <c r="C168" i="15"/>
  <c r="G233" i="14"/>
  <c r="I233" i="14" s="1"/>
  <c r="I234" i="14"/>
  <c r="M78" i="14"/>
  <c r="L30" i="14"/>
  <c r="C30" i="14" s="1"/>
  <c r="D79" i="14"/>
  <c r="J24" i="14"/>
  <c r="L24" i="14" s="1"/>
  <c r="D198" i="19"/>
  <c r="F199" i="19"/>
  <c r="M198" i="19"/>
  <c r="O199" i="19"/>
  <c r="F133" i="19"/>
  <c r="D78" i="19"/>
  <c r="F78" i="19" s="1"/>
  <c r="M78" i="19"/>
  <c r="O78" i="19" s="1"/>
  <c r="O79" i="19"/>
  <c r="K56" i="19"/>
  <c r="K55" i="19" s="1"/>
  <c r="K54" i="19" s="1"/>
  <c r="L57" i="19"/>
  <c r="D198" i="18"/>
  <c r="F199" i="18"/>
  <c r="O199" i="18"/>
  <c r="M198" i="18"/>
  <c r="L176" i="18"/>
  <c r="C86" i="19"/>
  <c r="L271" i="18"/>
  <c r="G176" i="18"/>
  <c r="I176" i="18" s="1"/>
  <c r="C176" i="18" s="1"/>
  <c r="I177" i="18"/>
  <c r="C177" i="18" s="1"/>
  <c r="I79" i="18"/>
  <c r="C79" i="18" s="1"/>
  <c r="G78" i="18"/>
  <c r="C24" i="18"/>
  <c r="I198" i="18"/>
  <c r="C80" i="18"/>
  <c r="J271" i="17"/>
  <c r="L272" i="17"/>
  <c r="M233" i="17"/>
  <c r="O234" i="17"/>
  <c r="I272" i="16"/>
  <c r="G271" i="16"/>
  <c r="C195" i="17"/>
  <c r="F70" i="17"/>
  <c r="C70" i="17" s="1"/>
  <c r="D56" i="17"/>
  <c r="K288" i="17"/>
  <c r="K24" i="17"/>
  <c r="C272" i="16"/>
  <c r="D233" i="16"/>
  <c r="F234" i="16"/>
  <c r="E54" i="17"/>
  <c r="G198" i="16"/>
  <c r="I199" i="16"/>
  <c r="F199" i="15"/>
  <c r="C199" i="15" s="1"/>
  <c r="D198" i="15"/>
  <c r="C176" i="17"/>
  <c r="I78" i="17"/>
  <c r="H55" i="16"/>
  <c r="H54" i="16" s="1"/>
  <c r="C25" i="16"/>
  <c r="C290" i="16" s="1"/>
  <c r="C289" i="16" s="1"/>
  <c r="I199" i="15"/>
  <c r="G198" i="15"/>
  <c r="F233" i="15"/>
  <c r="F86" i="16"/>
  <c r="C86" i="16" s="1"/>
  <c r="G55" i="16"/>
  <c r="K233" i="15"/>
  <c r="K197" i="15" s="1"/>
  <c r="K54" i="15" s="1"/>
  <c r="G176" i="15"/>
  <c r="I176" i="15" s="1"/>
  <c r="I177" i="15"/>
  <c r="C177" i="15" s="1"/>
  <c r="L30" i="15"/>
  <c r="C30" i="15" s="1"/>
  <c r="I24" i="15"/>
  <c r="D271" i="14"/>
  <c r="F272" i="14"/>
  <c r="J198" i="14"/>
  <c r="L199" i="14"/>
  <c r="C199" i="14" s="1"/>
  <c r="D86" i="14"/>
  <c r="F86" i="14" s="1"/>
  <c r="C86" i="14" s="1"/>
  <c r="E288" i="14"/>
  <c r="E53" i="14"/>
  <c r="J78" i="15"/>
  <c r="L78" i="15" s="1"/>
  <c r="I176" i="14"/>
  <c r="M78" i="15"/>
  <c r="C86" i="15"/>
  <c r="L290" i="14"/>
  <c r="J289" i="14"/>
  <c r="L289" i="14" s="1"/>
  <c r="I133" i="19"/>
  <c r="G78" i="19"/>
  <c r="I78" i="19" s="1"/>
  <c r="L24" i="19"/>
  <c r="C24" i="19" s="1"/>
  <c r="E78" i="19"/>
  <c r="F79" i="19"/>
  <c r="G56" i="19"/>
  <c r="I57" i="19"/>
  <c r="C57" i="19" s="1"/>
  <c r="F234" i="18"/>
  <c r="D233" i="18"/>
  <c r="F233" i="18" s="1"/>
  <c r="M233" i="18"/>
  <c r="O233" i="18" s="1"/>
  <c r="O234" i="18"/>
  <c r="G271" i="18"/>
  <c r="I272" i="18"/>
  <c r="H288" i="19"/>
  <c r="H53" i="19"/>
  <c r="I234" i="18"/>
  <c r="G233" i="18"/>
  <c r="I233" i="18" s="1"/>
  <c r="L70" i="18"/>
  <c r="J56" i="18"/>
  <c r="I272" i="17"/>
  <c r="C272" i="17" s="1"/>
  <c r="G271" i="17"/>
  <c r="J78" i="18"/>
  <c r="L78" i="18" s="1"/>
  <c r="I254" i="17"/>
  <c r="C254" i="17" s="1"/>
  <c r="O234" i="16"/>
  <c r="M233" i="16"/>
  <c r="N287" i="17"/>
  <c r="L168" i="17"/>
  <c r="C168" i="17" s="1"/>
  <c r="J78" i="17"/>
  <c r="L78" i="17" s="1"/>
  <c r="L24" i="17"/>
  <c r="C24" i="17" s="1"/>
  <c r="L207" i="17"/>
  <c r="C207" i="17" s="1"/>
  <c r="D78" i="17"/>
  <c r="F78" i="17" s="1"/>
  <c r="L234" i="15"/>
  <c r="J233" i="15"/>
  <c r="M78" i="17"/>
  <c r="O78" i="17" s="1"/>
  <c r="C178" i="16"/>
  <c r="F70" i="16"/>
  <c r="D56" i="16"/>
  <c r="K24" i="16"/>
  <c r="L24" i="16" s="1"/>
  <c r="J176" i="15"/>
  <c r="L176" i="15" s="1"/>
  <c r="L177" i="15"/>
  <c r="G271" i="14"/>
  <c r="I272" i="14"/>
  <c r="J55" i="16"/>
  <c r="L56" i="16"/>
  <c r="I56" i="16"/>
  <c r="C134" i="16"/>
  <c r="N233" i="15"/>
  <c r="F72" i="15"/>
  <c r="C72" i="15" s="1"/>
  <c r="D70" i="15"/>
  <c r="L134" i="14"/>
  <c r="J133" i="14"/>
  <c r="I79" i="16"/>
  <c r="C79" i="16" s="1"/>
  <c r="O57" i="16"/>
  <c r="C57" i="16" s="1"/>
  <c r="D207" i="15"/>
  <c r="F207" i="15" s="1"/>
  <c r="C207" i="15" s="1"/>
  <c r="C195" i="15"/>
  <c r="C190" i="15"/>
  <c r="C176" i="15"/>
  <c r="J290" i="15"/>
  <c r="J24" i="15"/>
  <c r="L24" i="15" s="1"/>
  <c r="L25" i="15"/>
  <c r="M289" i="14"/>
  <c r="O289" i="14" s="1"/>
  <c r="O290" i="14"/>
  <c r="D176" i="14"/>
  <c r="F176" i="14" s="1"/>
  <c r="C176" i="14" s="1"/>
  <c r="F177" i="14"/>
  <c r="C177" i="14" s="1"/>
  <c r="C134" i="14"/>
  <c r="K287" i="14"/>
  <c r="I56" i="14"/>
  <c r="G55" i="14"/>
  <c r="F72" i="14"/>
  <c r="C72" i="14" s="1"/>
  <c r="D70" i="14"/>
  <c r="L57" i="14"/>
  <c r="C57" i="14" s="1"/>
  <c r="J56" i="14"/>
  <c r="J197" i="19"/>
  <c r="L197" i="19" s="1"/>
  <c r="L198" i="19"/>
  <c r="G176" i="19"/>
  <c r="I177" i="19"/>
  <c r="C177" i="19" s="1"/>
  <c r="O70" i="19"/>
  <c r="C70" i="19" s="1"/>
  <c r="M56" i="19"/>
  <c r="J78" i="19"/>
  <c r="D55" i="19"/>
  <c r="F56" i="19"/>
  <c r="I199" i="18"/>
  <c r="F86" i="18"/>
  <c r="C86" i="18" s="1"/>
  <c r="D78" i="18"/>
  <c r="O57" i="18"/>
  <c r="C57" i="18" s="1"/>
  <c r="M56" i="18"/>
  <c r="C133" i="18"/>
  <c r="C290" i="18"/>
  <c r="C289" i="18" s="1"/>
  <c r="C70" i="18"/>
  <c r="C290" i="17"/>
  <c r="C289" i="17" s="1"/>
  <c r="H287" i="17"/>
  <c r="G198" i="17"/>
  <c r="I199" i="17"/>
  <c r="C199" i="17" s="1"/>
  <c r="I190" i="17"/>
  <c r="C190" i="17" s="1"/>
  <c r="J55" i="17"/>
  <c r="L56" i="17"/>
  <c r="C177" i="17"/>
  <c r="C79" i="17"/>
  <c r="H287" i="16"/>
  <c r="M198" i="16"/>
  <c r="F272" i="15"/>
  <c r="D271" i="15"/>
  <c r="L198" i="17"/>
  <c r="J197" i="17"/>
  <c r="L197" i="17" s="1"/>
  <c r="O57" i="17"/>
  <c r="C57" i="17" s="1"/>
  <c r="C208" i="16"/>
  <c r="C190" i="16"/>
  <c r="G271" i="15"/>
  <c r="I272" i="15"/>
  <c r="M233" i="15"/>
  <c r="O234" i="15"/>
  <c r="L30" i="16"/>
  <c r="C30" i="16" s="1"/>
  <c r="J233" i="14"/>
  <c r="L234" i="14"/>
  <c r="D78" i="16"/>
  <c r="F78" i="16" s="1"/>
  <c r="I70" i="16"/>
  <c r="F234" i="15"/>
  <c r="C234" i="15" s="1"/>
  <c r="I78" i="16"/>
  <c r="M56" i="16"/>
  <c r="L272" i="15"/>
  <c r="D78" i="15"/>
  <c r="F78" i="15" s="1"/>
  <c r="F79" i="15"/>
  <c r="C79" i="15" s="1"/>
  <c r="G56" i="15"/>
  <c r="I57" i="15"/>
  <c r="C57" i="15" s="1"/>
  <c r="C25" i="15"/>
  <c r="C290" i="15" s="1"/>
  <c r="C289" i="15" s="1"/>
  <c r="G197" i="14"/>
  <c r="I197" i="14" s="1"/>
  <c r="I198" i="14"/>
  <c r="G78" i="15"/>
  <c r="I78" i="15" s="1"/>
  <c r="E54" i="15"/>
  <c r="D197" i="14"/>
  <c r="F197" i="14" s="1"/>
  <c r="K54" i="14"/>
  <c r="J55" i="15"/>
  <c r="L56" i="15"/>
  <c r="M56" i="14"/>
  <c r="O57" i="14"/>
  <c r="K53" i="18" l="1"/>
  <c r="K288" i="18"/>
  <c r="K53" i="15"/>
  <c r="K288" i="15"/>
  <c r="O56" i="14"/>
  <c r="M55" i="14"/>
  <c r="K53" i="14"/>
  <c r="K288" i="14"/>
  <c r="G55" i="15"/>
  <c r="I56" i="15"/>
  <c r="M55" i="16"/>
  <c r="O56" i="16"/>
  <c r="C78" i="16"/>
  <c r="G197" i="17"/>
  <c r="I198" i="17"/>
  <c r="M55" i="18"/>
  <c r="O56" i="18"/>
  <c r="L78" i="19"/>
  <c r="J287" i="19"/>
  <c r="I176" i="19"/>
  <c r="C176" i="19" s="1"/>
  <c r="G287" i="19"/>
  <c r="I287" i="19" s="1"/>
  <c r="L290" i="15"/>
  <c r="J289" i="15"/>
  <c r="L289" i="15" s="1"/>
  <c r="K287" i="15"/>
  <c r="C78" i="17"/>
  <c r="L56" i="18"/>
  <c r="J55" i="18"/>
  <c r="G287" i="18"/>
  <c r="I287" i="18" s="1"/>
  <c r="I271" i="18"/>
  <c r="C234" i="18"/>
  <c r="E55" i="19"/>
  <c r="E54" i="19" s="1"/>
  <c r="E287" i="19"/>
  <c r="C272" i="14"/>
  <c r="I55" i="16"/>
  <c r="F233" i="16"/>
  <c r="D287" i="16"/>
  <c r="F287" i="16" s="1"/>
  <c r="D55" i="17"/>
  <c r="F56" i="17"/>
  <c r="C56" i="17" s="1"/>
  <c r="I271" i="16"/>
  <c r="G287" i="16"/>
  <c r="I287" i="16" s="1"/>
  <c r="C199" i="18"/>
  <c r="K53" i="19"/>
  <c r="K288" i="19"/>
  <c r="C133" i="19"/>
  <c r="D197" i="19"/>
  <c r="F197" i="19" s="1"/>
  <c r="F198" i="19"/>
  <c r="D287" i="19"/>
  <c r="F287" i="19" s="1"/>
  <c r="H197" i="15"/>
  <c r="H54" i="15" s="1"/>
  <c r="H287" i="15"/>
  <c r="D197" i="17"/>
  <c r="F197" i="17" s="1"/>
  <c r="F198" i="17"/>
  <c r="C198" i="17" s="1"/>
  <c r="H55" i="18"/>
  <c r="H54" i="18" s="1"/>
  <c r="K287" i="19"/>
  <c r="O233" i="15"/>
  <c r="M197" i="15"/>
  <c r="M287" i="15"/>
  <c r="F271" i="15"/>
  <c r="J54" i="17"/>
  <c r="L55" i="17"/>
  <c r="O56" i="19"/>
  <c r="M55" i="19"/>
  <c r="F70" i="14"/>
  <c r="C70" i="14" s="1"/>
  <c r="D56" i="14"/>
  <c r="F70" i="15"/>
  <c r="C70" i="15" s="1"/>
  <c r="D56" i="15"/>
  <c r="I271" i="14"/>
  <c r="G287" i="14"/>
  <c r="I287" i="14" s="1"/>
  <c r="F271" i="14"/>
  <c r="G197" i="16"/>
  <c r="I197" i="16" s="1"/>
  <c r="I198" i="16"/>
  <c r="J287" i="17"/>
  <c r="L287" i="17" s="1"/>
  <c r="L271" i="17"/>
  <c r="D197" i="18"/>
  <c r="F197" i="18" s="1"/>
  <c r="F198" i="18"/>
  <c r="C198" i="18" s="1"/>
  <c r="C234" i="14"/>
  <c r="M197" i="14"/>
  <c r="O197" i="14" s="1"/>
  <c r="O198" i="14"/>
  <c r="M287" i="14"/>
  <c r="O287" i="14" s="1"/>
  <c r="M55" i="17"/>
  <c r="C272" i="18"/>
  <c r="E288" i="18"/>
  <c r="E53" i="18"/>
  <c r="C197" i="14"/>
  <c r="E288" i="15"/>
  <c r="E53" i="15"/>
  <c r="C78" i="15"/>
  <c r="L233" i="14"/>
  <c r="C233" i="14" s="1"/>
  <c r="C272" i="15"/>
  <c r="F78" i="18"/>
  <c r="C78" i="18" s="1"/>
  <c r="D55" i="18"/>
  <c r="D55" i="16"/>
  <c r="F56" i="16"/>
  <c r="C56" i="16" s="1"/>
  <c r="L233" i="15"/>
  <c r="J287" i="15"/>
  <c r="L287" i="15" s="1"/>
  <c r="J197" i="15"/>
  <c r="L197" i="15" s="1"/>
  <c r="O233" i="16"/>
  <c r="M287" i="16"/>
  <c r="O287" i="16" s="1"/>
  <c r="I271" i="17"/>
  <c r="C271" i="17" s="1"/>
  <c r="G287" i="17"/>
  <c r="I287" i="17" s="1"/>
  <c r="G55" i="19"/>
  <c r="I56" i="19"/>
  <c r="C56" i="19" s="1"/>
  <c r="J197" i="14"/>
  <c r="L197" i="14" s="1"/>
  <c r="L198" i="14"/>
  <c r="C198" i="14" s="1"/>
  <c r="C233" i="15"/>
  <c r="H288" i="16"/>
  <c r="H53" i="16"/>
  <c r="D197" i="15"/>
  <c r="F197" i="15" s="1"/>
  <c r="F198" i="15"/>
  <c r="E288" i="17"/>
  <c r="E53" i="17"/>
  <c r="I78" i="18"/>
  <c r="G55" i="18"/>
  <c r="J287" i="18"/>
  <c r="M197" i="18"/>
  <c r="O197" i="18" s="1"/>
  <c r="O198" i="18"/>
  <c r="M197" i="19"/>
  <c r="O197" i="19" s="1"/>
  <c r="O198" i="19"/>
  <c r="M287" i="19"/>
  <c r="O287" i="19" s="1"/>
  <c r="F79" i="14"/>
  <c r="C79" i="14" s="1"/>
  <c r="D78" i="14"/>
  <c r="F78" i="14" s="1"/>
  <c r="N55" i="14"/>
  <c r="N54" i="14" s="1"/>
  <c r="N287" i="14"/>
  <c r="D197" i="16"/>
  <c r="F197" i="16" s="1"/>
  <c r="F198" i="16"/>
  <c r="C198" i="16" s="1"/>
  <c r="J287" i="16"/>
  <c r="L287" i="16" s="1"/>
  <c r="L271" i="16"/>
  <c r="J197" i="16"/>
  <c r="L197" i="16" s="1"/>
  <c r="F233" i="17"/>
  <c r="C233" i="17" s="1"/>
  <c r="D287" i="17"/>
  <c r="F287" i="17" s="1"/>
  <c r="L233" i="18"/>
  <c r="J197" i="18"/>
  <c r="L197" i="18" s="1"/>
  <c r="M287" i="18"/>
  <c r="O287" i="18" s="1"/>
  <c r="D287" i="18"/>
  <c r="F287" i="18" s="1"/>
  <c r="F271" i="18"/>
  <c r="C271" i="18" s="1"/>
  <c r="K287" i="18"/>
  <c r="L55" i="15"/>
  <c r="J54" i="15"/>
  <c r="G287" i="15"/>
  <c r="I287" i="15" s="1"/>
  <c r="I271" i="15"/>
  <c r="M197" i="16"/>
  <c r="O197" i="16" s="1"/>
  <c r="O198" i="16"/>
  <c r="D54" i="19"/>
  <c r="F55" i="19"/>
  <c r="J55" i="14"/>
  <c r="L56" i="14"/>
  <c r="G54" i="14"/>
  <c r="I55" i="14"/>
  <c r="L133" i="14"/>
  <c r="C133" i="14" s="1"/>
  <c r="J78" i="14"/>
  <c r="L78" i="14" s="1"/>
  <c r="N197" i="15"/>
  <c r="N54" i="15" s="1"/>
  <c r="N287" i="15"/>
  <c r="J54" i="16"/>
  <c r="L55" i="16"/>
  <c r="C70" i="16"/>
  <c r="C233" i="18"/>
  <c r="C79" i="19"/>
  <c r="O78" i="15"/>
  <c r="M55" i="15"/>
  <c r="I198" i="15"/>
  <c r="G197" i="15"/>
  <c r="I197" i="15" s="1"/>
  <c r="C234" i="16"/>
  <c r="O233" i="17"/>
  <c r="M287" i="17"/>
  <c r="O287" i="17" s="1"/>
  <c r="G197" i="18"/>
  <c r="I197" i="18" s="1"/>
  <c r="C78" i="19"/>
  <c r="C199" i="19"/>
  <c r="O78" i="14"/>
  <c r="N53" i="16"/>
  <c r="N288" i="16"/>
  <c r="H288" i="17"/>
  <c r="H53" i="17"/>
  <c r="N53" i="17"/>
  <c r="N288" i="17"/>
  <c r="M197" i="17"/>
  <c r="O197" i="17" s="1"/>
  <c r="C234" i="17"/>
  <c r="N53" i="18"/>
  <c r="N288" i="18"/>
  <c r="J55" i="19"/>
  <c r="L56" i="19"/>
  <c r="E288" i="16"/>
  <c r="E53" i="16"/>
  <c r="J53" i="15" l="1"/>
  <c r="L53" i="15" s="1"/>
  <c r="L54" i="15"/>
  <c r="J288" i="15"/>
  <c r="L288" i="15" s="1"/>
  <c r="C287" i="17"/>
  <c r="J287" i="14"/>
  <c r="L287" i="14" s="1"/>
  <c r="D287" i="14"/>
  <c r="F287" i="14" s="1"/>
  <c r="D55" i="15"/>
  <c r="F56" i="15"/>
  <c r="C56" i="15" s="1"/>
  <c r="M54" i="19"/>
  <c r="O55" i="19"/>
  <c r="D287" i="15"/>
  <c r="F287" i="15" s="1"/>
  <c r="C198" i="19"/>
  <c r="C287" i="19" s="1"/>
  <c r="E288" i="19"/>
  <c r="E53" i="19"/>
  <c r="L55" i="18"/>
  <c r="J54" i="18"/>
  <c r="L287" i="19"/>
  <c r="M54" i="16"/>
  <c r="O55" i="16"/>
  <c r="J53" i="16"/>
  <c r="L53" i="16" s="1"/>
  <c r="L54" i="16"/>
  <c r="J288" i="16"/>
  <c r="L288" i="16" s="1"/>
  <c r="L55" i="14"/>
  <c r="J54" i="14"/>
  <c r="N53" i="14"/>
  <c r="N288" i="14"/>
  <c r="L287" i="18"/>
  <c r="F55" i="18"/>
  <c r="D54" i="18"/>
  <c r="M54" i="17"/>
  <c r="O55" i="17"/>
  <c r="C271" i="14"/>
  <c r="C271" i="15"/>
  <c r="C197" i="19"/>
  <c r="F55" i="17"/>
  <c r="C55" i="17" s="1"/>
  <c r="D54" i="17"/>
  <c r="G54" i="16"/>
  <c r="C56" i="18"/>
  <c r="C287" i="18" s="1"/>
  <c r="I197" i="17"/>
  <c r="C197" i="17" s="1"/>
  <c r="G54" i="17"/>
  <c r="M54" i="14"/>
  <c r="O55" i="14"/>
  <c r="C78" i="14"/>
  <c r="I55" i="18"/>
  <c r="G54" i="18"/>
  <c r="C198" i="15"/>
  <c r="G54" i="19"/>
  <c r="I55" i="19"/>
  <c r="C55" i="19" s="1"/>
  <c r="D55" i="14"/>
  <c r="F56" i="14"/>
  <c r="C56" i="14" s="1"/>
  <c r="O287" i="15"/>
  <c r="H288" i="18"/>
  <c r="H53" i="18"/>
  <c r="H288" i="15"/>
  <c r="H53" i="15"/>
  <c r="G54" i="15"/>
  <c r="I55" i="15"/>
  <c r="L55" i="19"/>
  <c r="J54" i="19"/>
  <c r="M54" i="15"/>
  <c r="O55" i="15"/>
  <c r="N53" i="15"/>
  <c r="N288" i="15"/>
  <c r="I54" i="14"/>
  <c r="G288" i="14"/>
  <c r="I288" i="14" s="1"/>
  <c r="G53" i="14"/>
  <c r="I53" i="14" s="1"/>
  <c r="D288" i="19"/>
  <c r="F288" i="19" s="1"/>
  <c r="D53" i="19"/>
  <c r="F53" i="19" s="1"/>
  <c r="F54" i="19"/>
  <c r="C197" i="16"/>
  <c r="C197" i="15"/>
  <c r="F55" i="16"/>
  <c r="C55" i="16" s="1"/>
  <c r="D54" i="16"/>
  <c r="C197" i="18"/>
  <c r="J53" i="17"/>
  <c r="L53" i="17" s="1"/>
  <c r="L54" i="17"/>
  <c r="J288" i="17"/>
  <c r="L288" i="17" s="1"/>
  <c r="O197" i="15"/>
  <c r="C271" i="16"/>
  <c r="C287" i="16" s="1"/>
  <c r="C233" i="16"/>
  <c r="M54" i="18"/>
  <c r="O55" i="18"/>
  <c r="J53" i="19" l="1"/>
  <c r="L53" i="19" s="1"/>
  <c r="L54" i="19"/>
  <c r="J288" i="19"/>
  <c r="L288" i="19" s="1"/>
  <c r="D288" i="17"/>
  <c r="F288" i="17" s="1"/>
  <c r="D53" i="17"/>
  <c r="F53" i="17" s="1"/>
  <c r="F54" i="17"/>
  <c r="O54" i="18"/>
  <c r="M53" i="18"/>
  <c r="O53" i="18" s="1"/>
  <c r="M288" i="18"/>
  <c r="O288" i="18" s="1"/>
  <c r="D53" i="16"/>
  <c r="F53" i="16" s="1"/>
  <c r="F54" i="16"/>
  <c r="D28" i="16"/>
  <c r="D288" i="16" s="1"/>
  <c r="F288" i="16" s="1"/>
  <c r="C288" i="16" s="1"/>
  <c r="F55" i="14"/>
  <c r="C55" i="14" s="1"/>
  <c r="D54" i="14"/>
  <c r="G288" i="18"/>
  <c r="I288" i="18" s="1"/>
  <c r="G53" i="18"/>
  <c r="I53" i="18" s="1"/>
  <c r="I54" i="18"/>
  <c r="O54" i="17"/>
  <c r="M53" i="17"/>
  <c r="O53" i="17" s="1"/>
  <c r="M288" i="17"/>
  <c r="O288" i="17" s="1"/>
  <c r="O54" i="16"/>
  <c r="M53" i="16"/>
  <c r="O53" i="16" s="1"/>
  <c r="M288" i="16"/>
  <c r="O288" i="16" s="1"/>
  <c r="D54" i="15"/>
  <c r="F55" i="15"/>
  <c r="C55" i="15" s="1"/>
  <c r="M53" i="15"/>
  <c r="O53" i="15" s="1"/>
  <c r="O54" i="15"/>
  <c r="M288" i="15"/>
  <c r="O288" i="15" s="1"/>
  <c r="G288" i="15"/>
  <c r="I288" i="15" s="1"/>
  <c r="I54" i="15"/>
  <c r="G53" i="15"/>
  <c r="I53" i="15" s="1"/>
  <c r="O54" i="14"/>
  <c r="M53" i="14"/>
  <c r="O53" i="14" s="1"/>
  <c r="M288" i="14"/>
  <c r="O288" i="14" s="1"/>
  <c r="G288" i="16"/>
  <c r="I288" i="16" s="1"/>
  <c r="G53" i="16"/>
  <c r="I53" i="16" s="1"/>
  <c r="I54" i="16"/>
  <c r="C287" i="15"/>
  <c r="D288" i="18"/>
  <c r="F288" i="18" s="1"/>
  <c r="D53" i="18"/>
  <c r="F53" i="18" s="1"/>
  <c r="F54" i="18"/>
  <c r="G288" i="19"/>
  <c r="I288" i="19" s="1"/>
  <c r="C288" i="19" s="1"/>
  <c r="I54" i="19"/>
  <c r="C54" i="19" s="1"/>
  <c r="G53" i="19"/>
  <c r="I53" i="19" s="1"/>
  <c r="C53" i="19" s="1"/>
  <c r="G288" i="17"/>
  <c r="I288" i="17" s="1"/>
  <c r="G53" i="17"/>
  <c r="I53" i="17" s="1"/>
  <c r="I54" i="17"/>
  <c r="C287" i="14"/>
  <c r="C55" i="18"/>
  <c r="J53" i="14"/>
  <c r="L53" i="14" s="1"/>
  <c r="L54" i="14"/>
  <c r="J288" i="14"/>
  <c r="L288" i="14" s="1"/>
  <c r="J53" i="18"/>
  <c r="L53" i="18" s="1"/>
  <c r="L54" i="18"/>
  <c r="J288" i="18"/>
  <c r="L288" i="18" s="1"/>
  <c r="M53" i="19"/>
  <c r="O53" i="19" s="1"/>
  <c r="O54" i="19"/>
  <c r="M288" i="19"/>
  <c r="O288" i="19" s="1"/>
  <c r="C53" i="18" l="1"/>
  <c r="C53" i="16"/>
  <c r="C288" i="18"/>
  <c r="D28" i="15"/>
  <c r="D53" i="15"/>
  <c r="F53" i="15" s="1"/>
  <c r="C53" i="15" s="1"/>
  <c r="F54" i="15"/>
  <c r="C54" i="15" s="1"/>
  <c r="C54" i="17"/>
  <c r="F28" i="16"/>
  <c r="C28" i="16" s="1"/>
  <c r="D24" i="16"/>
  <c r="F24" i="16" s="1"/>
  <c r="C24" i="16" s="1"/>
  <c r="C53" i="17"/>
  <c r="C54" i="18"/>
  <c r="D53" i="14"/>
  <c r="F53" i="14" s="1"/>
  <c r="C53" i="14" s="1"/>
  <c r="D288" i="14"/>
  <c r="F288" i="14" s="1"/>
  <c r="C288" i="14" s="1"/>
  <c r="D28" i="14"/>
  <c r="F54" i="14"/>
  <c r="C54" i="14" s="1"/>
  <c r="C54" i="16"/>
  <c r="C288" i="17"/>
  <c r="F28" i="15" l="1"/>
  <c r="C28" i="15" s="1"/>
  <c r="D24" i="15"/>
  <c r="F24" i="15" s="1"/>
  <c r="C24" i="15" s="1"/>
  <c r="D288" i="15"/>
  <c r="F288" i="15" s="1"/>
  <c r="C288" i="15" s="1"/>
  <c r="F28" i="14"/>
  <c r="C28" i="14" s="1"/>
  <c r="D24" i="14"/>
  <c r="F24" i="14" s="1"/>
  <c r="C24" i="14" s="1"/>
  <c r="G22" i="13" l="1"/>
  <c r="G21" i="13"/>
  <c r="G20" i="13"/>
  <c r="G19" i="13"/>
  <c r="G18" i="13"/>
  <c r="E17" i="13"/>
  <c r="G17" i="13" s="1"/>
  <c r="G12" i="13" s="1"/>
  <c r="G16" i="13"/>
  <c r="G15" i="13"/>
  <c r="G14" i="13"/>
  <c r="F14" i="13"/>
  <c r="G13" i="13"/>
  <c r="H12" i="13"/>
  <c r="F12" i="13"/>
  <c r="E12" i="13"/>
  <c r="G268" i="12"/>
  <c r="G267" i="12" s="1"/>
  <c r="F267" i="12"/>
  <c r="E267" i="12"/>
  <c r="E260" i="12"/>
  <c r="G260" i="12" s="1"/>
  <c r="G259" i="12" s="1"/>
  <c r="F259" i="12"/>
  <c r="E259" i="12"/>
  <c r="G258" i="12"/>
  <c r="G257" i="12"/>
  <c r="G256" i="12"/>
  <c r="G255" i="12"/>
  <c r="G254" i="12"/>
  <c r="G253" i="12"/>
  <c r="G252" i="12"/>
  <c r="G251" i="12"/>
  <c r="E251" i="12"/>
  <c r="G250" i="12"/>
  <c r="G249" i="12"/>
  <c r="G248" i="12"/>
  <c r="G247" i="12"/>
  <c r="G246" i="12"/>
  <c r="G245" i="12"/>
  <c r="G244" i="12"/>
  <c r="G243" i="12"/>
  <c r="G242" i="12"/>
  <c r="G241" i="12"/>
  <c r="G240" i="12"/>
  <c r="G239" i="12"/>
  <c r="G238" i="12"/>
  <c r="G237" i="12"/>
  <c r="G236" i="12"/>
  <c r="G235" i="12"/>
  <c r="G234" i="12"/>
  <c r="G233" i="12"/>
  <c r="G232" i="12"/>
  <c r="G231" i="12"/>
  <c r="G230" i="12"/>
  <c r="G229" i="12"/>
  <c r="G228" i="12"/>
  <c r="G227" i="12"/>
  <c r="G226" i="12"/>
  <c r="G225" i="12"/>
  <c r="G224" i="12"/>
  <c r="G223" i="12"/>
  <c r="G222" i="12"/>
  <c r="G221" i="12"/>
  <c r="G220" i="12"/>
  <c r="G219" i="12"/>
  <c r="G218" i="12"/>
  <c r="G217" i="12"/>
  <c r="G216" i="12"/>
  <c r="G215" i="12"/>
  <c r="G214" i="12"/>
  <c r="G213" i="12"/>
  <c r="G212" i="12"/>
  <c r="G211" i="12"/>
  <c r="G210" i="12"/>
  <c r="G209" i="12"/>
  <c r="G208" i="12"/>
  <c r="G207" i="12"/>
  <c r="G206" i="12"/>
  <c r="G205" i="12"/>
  <c r="G204" i="12"/>
  <c r="G203" i="12"/>
  <c r="G202" i="12"/>
  <c r="G201" i="12"/>
  <c r="G200" i="12"/>
  <c r="G199" i="12"/>
  <c r="G198" i="12"/>
  <c r="G197" i="12"/>
  <c r="G196" i="12"/>
  <c r="G195" i="12"/>
  <c r="G194" i="12"/>
  <c r="G193" i="12"/>
  <c r="E193" i="12"/>
  <c r="G192" i="12"/>
  <c r="E191" i="12"/>
  <c r="G191" i="12" s="1"/>
  <c r="E190" i="12"/>
  <c r="G190" i="12" s="1"/>
  <c r="G181" i="12" s="1"/>
  <c r="G189" i="12"/>
  <c r="G188" i="12"/>
  <c r="E188" i="12"/>
  <c r="G187" i="12"/>
  <c r="G186" i="12"/>
  <c r="G185" i="12"/>
  <c r="G184" i="12"/>
  <c r="G183" i="12"/>
  <c r="G182" i="12"/>
  <c r="F181" i="12"/>
  <c r="E181" i="12"/>
  <c r="G180" i="12"/>
  <c r="G179" i="12"/>
  <c r="F179" i="12"/>
  <c r="E179" i="12"/>
  <c r="G178" i="12"/>
  <c r="G177" i="12"/>
  <c r="G176" i="12"/>
  <c r="G175" i="12"/>
  <c r="F175" i="12"/>
  <c r="E175" i="12"/>
  <c r="G174" i="12"/>
  <c r="G173" i="12"/>
  <c r="G172" i="12" s="1"/>
  <c r="F172" i="12"/>
  <c r="E172" i="12"/>
  <c r="G171" i="12"/>
  <c r="G170" i="12" s="1"/>
  <c r="F170" i="12"/>
  <c r="E170" i="12"/>
  <c r="G169" i="12"/>
  <c r="G167" i="12" s="1"/>
  <c r="G168" i="12"/>
  <c r="F167" i="12"/>
  <c r="E167" i="12"/>
  <c r="G166" i="12"/>
  <c r="G165" i="12"/>
  <c r="G164" i="12"/>
  <c r="G163" i="12"/>
  <c r="F163" i="12"/>
  <c r="E163" i="12"/>
  <c r="G162" i="12"/>
  <c r="G161" i="12"/>
  <c r="G160" i="12"/>
  <c r="G159" i="12"/>
  <c r="G158" i="12"/>
  <c r="G157" i="12"/>
  <c r="G156" i="12"/>
  <c r="G155" i="12"/>
  <c r="G154" i="12"/>
  <c r="G153" i="12"/>
  <c r="G152" i="12"/>
  <c r="G151" i="12"/>
  <c r="G150" i="12"/>
  <c r="G149" i="12"/>
  <c r="E149" i="12"/>
  <c r="G148" i="12"/>
  <c r="G147" i="12"/>
  <c r="G146" i="12"/>
  <c r="G145" i="12"/>
  <c r="G144" i="12"/>
  <c r="F144" i="12"/>
  <c r="E144" i="12"/>
  <c r="G143" i="12"/>
  <c r="G142" i="12"/>
  <c r="G141" i="12"/>
  <c r="G140" i="12"/>
  <c r="G139" i="12" s="1"/>
  <c r="F139" i="12"/>
  <c r="E139" i="12"/>
  <c r="G138" i="12"/>
  <c r="G137" i="12"/>
  <c r="G136" i="12"/>
  <c r="G135" i="12"/>
  <c r="G134" i="12"/>
  <c r="G133" i="12"/>
  <c r="G132" i="12" s="1"/>
  <c r="F132" i="12"/>
  <c r="E132" i="12"/>
  <c r="E131" i="12"/>
  <c r="G131" i="12" s="1"/>
  <c r="G129" i="12" s="1"/>
  <c r="G130" i="12"/>
  <c r="F129" i="12"/>
  <c r="E129" i="12"/>
  <c r="E128" i="12"/>
  <c r="G128" i="12" s="1"/>
  <c r="G127" i="12"/>
  <c r="E127" i="12"/>
  <c r="E126" i="12"/>
  <c r="G126" i="12" s="1"/>
  <c r="G125" i="12"/>
  <c r="G124" i="12" s="1"/>
  <c r="E125" i="12"/>
  <c r="F124" i="12"/>
  <c r="E124" i="12"/>
  <c r="G123" i="12"/>
  <c r="G122" i="12"/>
  <c r="G121" i="12"/>
  <c r="G120" i="12"/>
  <c r="G119" i="12" s="1"/>
  <c r="F119" i="12"/>
  <c r="E119" i="12"/>
  <c r="G118" i="12"/>
  <c r="G117" i="12"/>
  <c r="G116" i="12"/>
  <c r="G115" i="12"/>
  <c r="G114" i="12"/>
  <c r="F114" i="12"/>
  <c r="E114" i="12"/>
  <c r="G113" i="12"/>
  <c r="G112" i="12"/>
  <c r="F112" i="12"/>
  <c r="E112" i="12"/>
  <c r="G111" i="12"/>
  <c r="G110" i="12"/>
  <c r="G109" i="12"/>
  <c r="E109" i="12"/>
  <c r="G108" i="12"/>
  <c r="G107" i="12"/>
  <c r="G106" i="12" s="1"/>
  <c r="F106" i="12"/>
  <c r="E106" i="12"/>
  <c r="G105" i="12"/>
  <c r="G104" i="12"/>
  <c r="G103" i="12"/>
  <c r="G102" i="12"/>
  <c r="G101" i="12"/>
  <c r="G100" i="12"/>
  <c r="G99" i="12"/>
  <c r="G98" i="12"/>
  <c r="G97" i="12"/>
  <c r="G96" i="12"/>
  <c r="G95" i="12"/>
  <c r="G94" i="12"/>
  <c r="G93" i="12"/>
  <c r="G92" i="12"/>
  <c r="G91" i="12"/>
  <c r="F91" i="12"/>
  <c r="E91" i="12"/>
  <c r="G90" i="12"/>
  <c r="G89" i="12"/>
  <c r="G88" i="12"/>
  <c r="G87" i="12"/>
  <c r="G86" i="12"/>
  <c r="G85" i="12"/>
  <c r="G84" i="12"/>
  <c r="G83" i="12"/>
  <c r="G82" i="12"/>
  <c r="G81" i="12"/>
  <c r="F81" i="12"/>
  <c r="E81" i="12"/>
  <c r="G80" i="12"/>
  <c r="G79" i="12"/>
  <c r="G78" i="12"/>
  <c r="G77" i="12"/>
  <c r="G76" i="12"/>
  <c r="G75" i="12"/>
  <c r="G74" i="12"/>
  <c r="G73" i="12"/>
  <c r="G72" i="12"/>
  <c r="G71" i="12"/>
  <c r="G70" i="12"/>
  <c r="G69" i="12"/>
  <c r="G68" i="12"/>
  <c r="G67" i="12"/>
  <c r="G66" i="12"/>
  <c r="G65" i="12"/>
  <c r="F65" i="12"/>
  <c r="E65" i="12"/>
  <c r="G64" i="12"/>
  <c r="G63" i="12"/>
  <c r="G62" i="12"/>
  <c r="G61" i="12"/>
  <c r="G60" i="12"/>
  <c r="G59" i="12"/>
  <c r="G58" i="12"/>
  <c r="G57" i="12"/>
  <c r="G56" i="12"/>
  <c r="G55" i="12"/>
  <c r="G54" i="12"/>
  <c r="G53" i="12"/>
  <c r="F53" i="12"/>
  <c r="E53" i="12"/>
  <c r="G52" i="12"/>
  <c r="G51" i="12"/>
  <c r="G50" i="12"/>
  <c r="G49" i="12"/>
  <c r="G48" i="12"/>
  <c r="G47" i="12"/>
  <c r="G46" i="12"/>
  <c r="G45" i="12"/>
  <c r="F45" i="12"/>
  <c r="E45" i="12"/>
  <c r="G44" i="12"/>
  <c r="G43" i="12"/>
  <c r="G42" i="12"/>
  <c r="G41" i="12"/>
  <c r="G40" i="12"/>
  <c r="G39" i="12"/>
  <c r="G38" i="12" s="1"/>
  <c r="F38" i="12"/>
  <c r="E38" i="12"/>
  <c r="G37" i="12"/>
  <c r="G36" i="12"/>
  <c r="G35" i="12"/>
  <c r="F35" i="12"/>
  <c r="E35" i="12"/>
  <c r="G34" i="12"/>
  <c r="G33" i="12"/>
  <c r="G32" i="12"/>
  <c r="G31" i="12"/>
  <c r="G30" i="12"/>
  <c r="G29" i="12"/>
  <c r="G28" i="12"/>
  <c r="G27" i="12"/>
  <c r="F27" i="12"/>
  <c r="E27" i="12"/>
  <c r="G23" i="12"/>
  <c r="G22" i="12"/>
  <c r="G21" i="12"/>
  <c r="G18" i="12"/>
  <c r="G17" i="12"/>
  <c r="G16" i="12"/>
  <c r="G15" i="12" s="1"/>
  <c r="F15" i="12"/>
  <c r="E15" i="12"/>
  <c r="F14" i="12"/>
  <c r="F13" i="12" s="1"/>
  <c r="E14" i="12"/>
  <c r="E13" i="12"/>
  <c r="O299" i="11"/>
  <c r="L299" i="11"/>
  <c r="I299" i="11"/>
  <c r="F299" i="11"/>
  <c r="C299" i="11"/>
  <c r="O298" i="11"/>
  <c r="L298" i="11"/>
  <c r="I298" i="11"/>
  <c r="F298" i="11"/>
  <c r="C298" i="11" s="1"/>
  <c r="O297" i="11"/>
  <c r="L297" i="11"/>
  <c r="I297" i="11"/>
  <c r="F297" i="11"/>
  <c r="C297" i="11" s="1"/>
  <c r="O296" i="11"/>
  <c r="L296" i="11"/>
  <c r="I296" i="11"/>
  <c r="F296" i="11"/>
  <c r="C296" i="11" s="1"/>
  <c r="O295" i="11"/>
  <c r="L295" i="11"/>
  <c r="I295" i="11"/>
  <c r="F295" i="11"/>
  <c r="C295" i="11"/>
  <c r="O294" i="11"/>
  <c r="L294" i="11"/>
  <c r="I294" i="11"/>
  <c r="F294" i="11"/>
  <c r="C294" i="11" s="1"/>
  <c r="O293" i="11"/>
  <c r="L293" i="11"/>
  <c r="I293" i="11"/>
  <c r="F293" i="11"/>
  <c r="C293" i="11" s="1"/>
  <c r="O292" i="11"/>
  <c r="L292" i="11"/>
  <c r="I292" i="11"/>
  <c r="F292" i="11"/>
  <c r="C292" i="11" s="1"/>
  <c r="O291" i="11"/>
  <c r="N291" i="11"/>
  <c r="M291" i="11"/>
  <c r="L291" i="11"/>
  <c r="K291" i="11"/>
  <c r="J291" i="11"/>
  <c r="I291" i="11"/>
  <c r="H291" i="11"/>
  <c r="G291" i="11"/>
  <c r="F291" i="11"/>
  <c r="E291" i="11"/>
  <c r="D291" i="11"/>
  <c r="C291" i="11"/>
  <c r="O286" i="11"/>
  <c r="L286" i="11"/>
  <c r="I286" i="11"/>
  <c r="F286" i="11"/>
  <c r="C286" i="11" s="1"/>
  <c r="O285" i="11"/>
  <c r="L285" i="11"/>
  <c r="I285" i="11"/>
  <c r="F285" i="11"/>
  <c r="C285" i="11"/>
  <c r="O284" i="11"/>
  <c r="N284" i="11"/>
  <c r="M284" i="11"/>
  <c r="L284" i="11"/>
  <c r="K284" i="11"/>
  <c r="J284" i="11"/>
  <c r="I284" i="11"/>
  <c r="H284" i="11"/>
  <c r="G284" i="11"/>
  <c r="F284" i="11"/>
  <c r="E284" i="11"/>
  <c r="D284" i="11"/>
  <c r="C284" i="11"/>
  <c r="O283" i="11"/>
  <c r="L283" i="11"/>
  <c r="I283" i="11"/>
  <c r="F283" i="11"/>
  <c r="C283" i="11" s="1"/>
  <c r="O282" i="11"/>
  <c r="N282" i="11"/>
  <c r="M282" i="11"/>
  <c r="L282" i="11"/>
  <c r="K282" i="11"/>
  <c r="J282" i="11"/>
  <c r="I282" i="11"/>
  <c r="H282" i="11"/>
  <c r="G282" i="11"/>
  <c r="F282" i="11"/>
  <c r="E282" i="11"/>
  <c r="D282" i="11"/>
  <c r="C282" i="11"/>
  <c r="O281" i="11"/>
  <c r="L281" i="11"/>
  <c r="I281" i="11"/>
  <c r="F281" i="11"/>
  <c r="C281" i="11" s="1"/>
  <c r="O280" i="11"/>
  <c r="L280" i="11"/>
  <c r="I280" i="11"/>
  <c r="F280" i="11"/>
  <c r="C280" i="11"/>
  <c r="O279" i="11"/>
  <c r="L279" i="11"/>
  <c r="L278" i="11" s="1"/>
  <c r="L272" i="11" s="1"/>
  <c r="L271" i="11" s="1"/>
  <c r="I279" i="11"/>
  <c r="F279" i="11"/>
  <c r="C279" i="11" s="1"/>
  <c r="O278" i="11"/>
  <c r="N278" i="11"/>
  <c r="M278" i="11"/>
  <c r="K278" i="11"/>
  <c r="J278" i="11"/>
  <c r="I278" i="11"/>
  <c r="H278" i="11"/>
  <c r="G278" i="11"/>
  <c r="E278" i="11"/>
  <c r="D278" i="11"/>
  <c r="O277" i="11"/>
  <c r="L277" i="11"/>
  <c r="I277" i="11"/>
  <c r="F277" i="11"/>
  <c r="C277" i="11" s="1"/>
  <c r="O276" i="11"/>
  <c r="L276" i="11"/>
  <c r="I276" i="11"/>
  <c r="F276" i="11"/>
  <c r="C276" i="11"/>
  <c r="O275" i="11"/>
  <c r="L275" i="11"/>
  <c r="I275" i="11"/>
  <c r="F275" i="11"/>
  <c r="C275" i="11" s="1"/>
  <c r="O274" i="11"/>
  <c r="N274" i="11"/>
  <c r="M274" i="11"/>
  <c r="L274" i="11"/>
  <c r="K274" i="11"/>
  <c r="J274" i="11"/>
  <c r="I274" i="11"/>
  <c r="H274" i="11"/>
  <c r="G274" i="11"/>
  <c r="F274" i="11"/>
  <c r="E274" i="11"/>
  <c r="D274" i="11"/>
  <c r="C274" i="11"/>
  <c r="O273" i="11"/>
  <c r="L273" i="11"/>
  <c r="I273" i="11"/>
  <c r="F273" i="11"/>
  <c r="C273" i="11" s="1"/>
  <c r="O272" i="11"/>
  <c r="N272" i="11"/>
  <c r="M272" i="11"/>
  <c r="K272" i="11"/>
  <c r="J272" i="11"/>
  <c r="I272" i="11"/>
  <c r="H272" i="11"/>
  <c r="G272" i="11"/>
  <c r="E272" i="11"/>
  <c r="D272" i="11"/>
  <c r="O271" i="11"/>
  <c r="N271" i="11"/>
  <c r="M271" i="11"/>
  <c r="K271" i="11"/>
  <c r="J271" i="11"/>
  <c r="I271" i="11"/>
  <c r="H271" i="11"/>
  <c r="G271" i="11"/>
  <c r="E271" i="11"/>
  <c r="D271" i="11"/>
  <c r="O270" i="11"/>
  <c r="L270" i="11"/>
  <c r="I270" i="11"/>
  <c r="F270" i="11"/>
  <c r="C270" i="11"/>
  <c r="O269" i="11"/>
  <c r="L269" i="11"/>
  <c r="I269" i="11"/>
  <c r="F269" i="11"/>
  <c r="C269" i="11" s="1"/>
  <c r="O268" i="11"/>
  <c r="L268" i="11"/>
  <c r="I268" i="11"/>
  <c r="F268" i="11"/>
  <c r="C268" i="11"/>
  <c r="O267" i="11"/>
  <c r="L267" i="11"/>
  <c r="I267" i="11"/>
  <c r="F267" i="11"/>
  <c r="C267" i="11" s="1"/>
  <c r="O266" i="11"/>
  <c r="N266" i="11"/>
  <c r="M266" i="11"/>
  <c r="L266" i="11"/>
  <c r="K266" i="11"/>
  <c r="J266" i="11"/>
  <c r="I266" i="11"/>
  <c r="H266" i="11"/>
  <c r="G266" i="11"/>
  <c r="E266" i="11"/>
  <c r="D266" i="11"/>
  <c r="O265" i="11"/>
  <c r="L265" i="11"/>
  <c r="I265" i="11"/>
  <c r="F265" i="11"/>
  <c r="C265" i="11" s="1"/>
  <c r="O264" i="11"/>
  <c r="L264" i="11"/>
  <c r="I264" i="11"/>
  <c r="F264" i="11"/>
  <c r="C264" i="11"/>
  <c r="O263" i="11"/>
  <c r="L263" i="11"/>
  <c r="I263" i="11"/>
  <c r="F263" i="11"/>
  <c r="C263" i="11" s="1"/>
  <c r="O262" i="11"/>
  <c r="N262" i="11"/>
  <c r="M262" i="11"/>
  <c r="L262" i="11"/>
  <c r="K262" i="11"/>
  <c r="K261" i="11" s="1"/>
  <c r="K233" i="11" s="1"/>
  <c r="J262" i="11"/>
  <c r="I262" i="11"/>
  <c r="H262" i="11"/>
  <c r="G262" i="11"/>
  <c r="E262" i="11"/>
  <c r="D262" i="11"/>
  <c r="O261" i="11"/>
  <c r="N261" i="11"/>
  <c r="M261" i="11"/>
  <c r="L261" i="11"/>
  <c r="J261" i="11"/>
  <c r="I261" i="11"/>
  <c r="H261" i="11"/>
  <c r="G261" i="11"/>
  <c r="E261" i="11"/>
  <c r="D261" i="11"/>
  <c r="O260" i="11"/>
  <c r="L260" i="11"/>
  <c r="I260" i="11"/>
  <c r="F260" i="11"/>
  <c r="C260" i="11"/>
  <c r="O259" i="11"/>
  <c r="L259" i="11"/>
  <c r="I259" i="11"/>
  <c r="F259" i="11"/>
  <c r="C259" i="11" s="1"/>
  <c r="O258" i="11"/>
  <c r="L258" i="11"/>
  <c r="I258" i="11"/>
  <c r="C258" i="11" s="1"/>
  <c r="F258" i="11"/>
  <c r="O257" i="11"/>
  <c r="L257" i="11"/>
  <c r="I257" i="11"/>
  <c r="F257" i="11"/>
  <c r="C257" i="11" s="1"/>
  <c r="O256" i="11"/>
  <c r="O255" i="11" s="1"/>
  <c r="O254" i="11" s="1"/>
  <c r="O233" i="11" s="1"/>
  <c r="L256" i="11"/>
  <c r="I256" i="11"/>
  <c r="I255" i="11" s="1"/>
  <c r="I254" i="11" s="1"/>
  <c r="F256" i="11"/>
  <c r="C256" i="11"/>
  <c r="N255" i="11"/>
  <c r="N254" i="11" s="1"/>
  <c r="N233" i="11" s="1"/>
  <c r="N197" i="11" s="1"/>
  <c r="M255" i="11"/>
  <c r="L255" i="11"/>
  <c r="L254" i="11" s="1"/>
  <c r="L233" i="11" s="1"/>
  <c r="K255" i="11"/>
  <c r="J255" i="11"/>
  <c r="H255" i="11"/>
  <c r="G255" i="11"/>
  <c r="F255" i="11"/>
  <c r="C255" i="11" s="1"/>
  <c r="E255" i="11"/>
  <c r="D255" i="11"/>
  <c r="M254" i="11"/>
  <c r="K254" i="11"/>
  <c r="J254" i="11"/>
  <c r="H254" i="11"/>
  <c r="G254" i="11"/>
  <c r="F254" i="11"/>
  <c r="E254" i="11"/>
  <c r="D254" i="11"/>
  <c r="O253" i="11"/>
  <c r="L253" i="11"/>
  <c r="I253" i="11"/>
  <c r="F253" i="11"/>
  <c r="C253" i="11" s="1"/>
  <c r="O252" i="11"/>
  <c r="L252" i="11"/>
  <c r="I252" i="11"/>
  <c r="F252" i="11"/>
  <c r="C252" i="11"/>
  <c r="O251" i="11"/>
  <c r="L251" i="11"/>
  <c r="I251" i="11"/>
  <c r="F251" i="11"/>
  <c r="C251" i="11" s="1"/>
  <c r="O250" i="11"/>
  <c r="L250" i="11"/>
  <c r="I250" i="11"/>
  <c r="I249" i="11" s="1"/>
  <c r="F250" i="11"/>
  <c r="O249" i="11"/>
  <c r="N249" i="11"/>
  <c r="M249" i="11"/>
  <c r="L249" i="11"/>
  <c r="K249" i="11"/>
  <c r="J249" i="11"/>
  <c r="H249" i="11"/>
  <c r="G249" i="11"/>
  <c r="F249" i="11"/>
  <c r="C249" i="11" s="1"/>
  <c r="E249" i="11"/>
  <c r="D249" i="11"/>
  <c r="O248" i="11"/>
  <c r="L248" i="11"/>
  <c r="I248" i="11"/>
  <c r="F248" i="11"/>
  <c r="C248" i="11"/>
  <c r="O247" i="11"/>
  <c r="L247" i="11"/>
  <c r="I247" i="11"/>
  <c r="F247" i="11"/>
  <c r="C247" i="11" s="1"/>
  <c r="O246" i="11"/>
  <c r="L246" i="11"/>
  <c r="I246" i="11"/>
  <c r="F246" i="11"/>
  <c r="C246" i="11"/>
  <c r="O245" i="11"/>
  <c r="L245" i="11"/>
  <c r="I245" i="11"/>
  <c r="F245" i="11"/>
  <c r="C245" i="11" s="1"/>
  <c r="O244" i="11"/>
  <c r="L244" i="11"/>
  <c r="I244" i="11"/>
  <c r="F244" i="11"/>
  <c r="C244" i="11" s="1"/>
  <c r="O243" i="11"/>
  <c r="L243" i="11"/>
  <c r="I243" i="11"/>
  <c r="F243" i="11"/>
  <c r="C243" i="11" s="1"/>
  <c r="O242" i="11"/>
  <c r="L242" i="11"/>
  <c r="I242" i="11"/>
  <c r="I241" i="11" s="1"/>
  <c r="F242" i="11"/>
  <c r="O241" i="11"/>
  <c r="N241" i="11"/>
  <c r="M241" i="11"/>
  <c r="L241" i="11"/>
  <c r="K241" i="11"/>
  <c r="J241" i="11"/>
  <c r="H241" i="11"/>
  <c r="G241" i="11"/>
  <c r="F241" i="11"/>
  <c r="E241" i="11"/>
  <c r="D241" i="11"/>
  <c r="O240" i="11"/>
  <c r="L240" i="11"/>
  <c r="I240" i="11"/>
  <c r="F240" i="11"/>
  <c r="C240" i="11" s="1"/>
  <c r="O239" i="11"/>
  <c r="L239" i="11"/>
  <c r="I239" i="11"/>
  <c r="F239" i="11"/>
  <c r="C239" i="11" s="1"/>
  <c r="O238" i="11"/>
  <c r="N238" i="11"/>
  <c r="M238" i="11"/>
  <c r="L238" i="11"/>
  <c r="K238" i="11"/>
  <c r="J238" i="11"/>
  <c r="I238" i="11"/>
  <c r="H238" i="11"/>
  <c r="G238" i="11"/>
  <c r="F238" i="11"/>
  <c r="C238" i="11" s="1"/>
  <c r="E238" i="11"/>
  <c r="D238" i="11"/>
  <c r="O237" i="11"/>
  <c r="L237" i="11"/>
  <c r="I237" i="11"/>
  <c r="F237" i="11"/>
  <c r="C237" i="11"/>
  <c r="O236" i="11"/>
  <c r="N236" i="11"/>
  <c r="M236" i="11"/>
  <c r="L236" i="11"/>
  <c r="K236" i="11"/>
  <c r="J236" i="11"/>
  <c r="I236" i="11"/>
  <c r="H236" i="11"/>
  <c r="G236" i="11"/>
  <c r="F236" i="11"/>
  <c r="E236" i="11"/>
  <c r="D236" i="11"/>
  <c r="C236" i="11"/>
  <c r="O235" i="11"/>
  <c r="L235" i="11"/>
  <c r="I235" i="11"/>
  <c r="F235" i="11"/>
  <c r="C235" i="11" s="1"/>
  <c r="O234" i="11"/>
  <c r="N234" i="11"/>
  <c r="M234" i="11"/>
  <c r="L234" i="11"/>
  <c r="K234" i="11"/>
  <c r="J234" i="11"/>
  <c r="H234" i="11"/>
  <c r="G234" i="11"/>
  <c r="F234" i="11"/>
  <c r="E234" i="11"/>
  <c r="E233" i="11" s="1"/>
  <c r="D234" i="11"/>
  <c r="M233" i="11"/>
  <c r="J233" i="11"/>
  <c r="H233" i="11"/>
  <c r="G233" i="11"/>
  <c r="D233" i="11"/>
  <c r="O232" i="11"/>
  <c r="L232" i="11"/>
  <c r="I232" i="11"/>
  <c r="F232" i="11"/>
  <c r="C232" i="11"/>
  <c r="O231" i="11"/>
  <c r="L231" i="11"/>
  <c r="L230" i="11" s="1"/>
  <c r="L207" i="11" s="1"/>
  <c r="I231" i="11"/>
  <c r="F231" i="11"/>
  <c r="C231" i="11" s="1"/>
  <c r="O230" i="11"/>
  <c r="N230" i="11"/>
  <c r="M230" i="11"/>
  <c r="K230" i="11"/>
  <c r="J230" i="11"/>
  <c r="I230" i="11"/>
  <c r="H230" i="11"/>
  <c r="G230" i="11"/>
  <c r="F230" i="11"/>
  <c r="E230" i="11"/>
  <c r="D230" i="11"/>
  <c r="O229" i="11"/>
  <c r="L229" i="11"/>
  <c r="I229" i="11"/>
  <c r="F229" i="11"/>
  <c r="C229" i="11"/>
  <c r="O228" i="11"/>
  <c r="L228" i="11"/>
  <c r="I228" i="11"/>
  <c r="F228" i="11"/>
  <c r="C228" i="11" s="1"/>
  <c r="O227" i="11"/>
  <c r="L227" i="11"/>
  <c r="I227" i="11"/>
  <c r="F227" i="11"/>
  <c r="C227" i="11" s="1"/>
  <c r="O226" i="11"/>
  <c r="L226" i="11"/>
  <c r="I226" i="11"/>
  <c r="C226" i="11" s="1"/>
  <c r="F226" i="11"/>
  <c r="O225" i="11"/>
  <c r="L225" i="11"/>
  <c r="I225" i="11"/>
  <c r="F225" i="11"/>
  <c r="C225" i="11"/>
  <c r="O224" i="11"/>
  <c r="L224" i="11"/>
  <c r="I224" i="11"/>
  <c r="F224" i="11"/>
  <c r="C224" i="11" s="1"/>
  <c r="O223" i="11"/>
  <c r="L223" i="11"/>
  <c r="I223" i="11"/>
  <c r="F223" i="11"/>
  <c r="C223" i="11" s="1"/>
  <c r="O222" i="11"/>
  <c r="L222" i="11"/>
  <c r="I222" i="11"/>
  <c r="C222" i="11" s="1"/>
  <c r="F222" i="11"/>
  <c r="O221" i="11"/>
  <c r="L221" i="11"/>
  <c r="I221" i="11"/>
  <c r="F221" i="11"/>
  <c r="C221" i="11"/>
  <c r="O220" i="11"/>
  <c r="O219" i="11" s="1"/>
  <c r="L220" i="11"/>
  <c r="I220" i="11"/>
  <c r="F220" i="11"/>
  <c r="F219" i="11" s="1"/>
  <c r="C219" i="11" s="1"/>
  <c r="N219" i="11"/>
  <c r="M219" i="11"/>
  <c r="L219" i="11"/>
  <c r="K219" i="11"/>
  <c r="J219" i="11"/>
  <c r="I219" i="11"/>
  <c r="H219" i="11"/>
  <c r="G219" i="11"/>
  <c r="E219" i="11"/>
  <c r="D219" i="11"/>
  <c r="O218" i="11"/>
  <c r="L218" i="11"/>
  <c r="I218" i="11"/>
  <c r="C218" i="11" s="1"/>
  <c r="F218" i="11"/>
  <c r="O217" i="11"/>
  <c r="L217" i="11"/>
  <c r="I217" i="11"/>
  <c r="F217" i="11"/>
  <c r="C217" i="11"/>
  <c r="O216" i="11"/>
  <c r="L216" i="11"/>
  <c r="I216" i="11"/>
  <c r="F216" i="11"/>
  <c r="C216" i="11" s="1"/>
  <c r="O215" i="11"/>
  <c r="L215" i="11"/>
  <c r="I215" i="11"/>
  <c r="F215" i="11"/>
  <c r="C215" i="11" s="1"/>
  <c r="O214" i="11"/>
  <c r="L214" i="11"/>
  <c r="I214" i="11"/>
  <c r="C214" i="11" s="1"/>
  <c r="F214" i="11"/>
  <c r="O213" i="11"/>
  <c r="L213" i="11"/>
  <c r="I213" i="11"/>
  <c r="F213" i="11"/>
  <c r="C213" i="11"/>
  <c r="O212" i="11"/>
  <c r="L212" i="11"/>
  <c r="I212" i="11"/>
  <c r="F212" i="11"/>
  <c r="C212" i="11" s="1"/>
  <c r="O211" i="11"/>
  <c r="L211" i="11"/>
  <c r="I211" i="11"/>
  <c r="F211" i="11"/>
  <c r="C211" i="11" s="1"/>
  <c r="O210" i="11"/>
  <c r="L210" i="11"/>
  <c r="I210" i="11"/>
  <c r="C210" i="11" s="1"/>
  <c r="F210" i="11"/>
  <c r="O209" i="11"/>
  <c r="O208" i="11" s="1"/>
  <c r="O207" i="11" s="1"/>
  <c r="L209" i="11"/>
  <c r="I209" i="11"/>
  <c r="F209" i="11"/>
  <c r="F208" i="11" s="1"/>
  <c r="C209" i="11"/>
  <c r="N208" i="11"/>
  <c r="M208" i="11"/>
  <c r="L208" i="11"/>
  <c r="K208" i="11"/>
  <c r="K207" i="11" s="1"/>
  <c r="J208" i="11"/>
  <c r="I208" i="11"/>
  <c r="H208" i="11"/>
  <c r="G208" i="11"/>
  <c r="G207" i="11" s="1"/>
  <c r="E208" i="11"/>
  <c r="D208" i="11"/>
  <c r="N207" i="11"/>
  <c r="M207" i="11"/>
  <c r="J207" i="11"/>
  <c r="I207" i="11"/>
  <c r="H207" i="11"/>
  <c r="E207" i="11"/>
  <c r="D207" i="11"/>
  <c r="O206" i="11"/>
  <c r="L206" i="11"/>
  <c r="I206" i="11"/>
  <c r="C206" i="11" s="1"/>
  <c r="F206" i="11"/>
  <c r="O205" i="11"/>
  <c r="L205" i="11"/>
  <c r="I205" i="11"/>
  <c r="F205" i="11"/>
  <c r="C205" i="11"/>
  <c r="O204" i="11"/>
  <c r="L204" i="11"/>
  <c r="I204" i="11"/>
  <c r="F204" i="11"/>
  <c r="C204" i="11" s="1"/>
  <c r="O203" i="11"/>
  <c r="L203" i="11"/>
  <c r="I203" i="11"/>
  <c r="F203" i="11"/>
  <c r="C203" i="11" s="1"/>
  <c r="O202" i="11"/>
  <c r="L202" i="11"/>
  <c r="C202" i="11" s="1"/>
  <c r="I202" i="11"/>
  <c r="I201" i="11" s="1"/>
  <c r="F202" i="11"/>
  <c r="O201" i="11"/>
  <c r="N201" i="11"/>
  <c r="M201" i="11"/>
  <c r="K201" i="11"/>
  <c r="K199" i="11" s="1"/>
  <c r="K198" i="11" s="1"/>
  <c r="K197" i="11" s="1"/>
  <c r="J201" i="11"/>
  <c r="H201" i="11"/>
  <c r="G201" i="11"/>
  <c r="G199" i="11" s="1"/>
  <c r="F201" i="11"/>
  <c r="E201" i="11"/>
  <c r="D201" i="11"/>
  <c r="O200" i="11"/>
  <c r="O199" i="11" s="1"/>
  <c r="O198" i="11" s="1"/>
  <c r="O197" i="11" s="1"/>
  <c r="L200" i="11"/>
  <c r="I200" i="11"/>
  <c r="F200" i="11"/>
  <c r="C200" i="11" s="1"/>
  <c r="N199" i="11"/>
  <c r="M199" i="11"/>
  <c r="J199" i="11"/>
  <c r="H199" i="11"/>
  <c r="H198" i="11" s="1"/>
  <c r="H197" i="11" s="1"/>
  <c r="F199" i="11"/>
  <c r="E199" i="11"/>
  <c r="D199" i="11"/>
  <c r="D198" i="11" s="1"/>
  <c r="D197" i="11" s="1"/>
  <c r="N198" i="11"/>
  <c r="M198" i="11"/>
  <c r="M197" i="11" s="1"/>
  <c r="J198" i="11"/>
  <c r="E198" i="11"/>
  <c r="E197" i="11" s="1"/>
  <c r="J197" i="11"/>
  <c r="O196" i="11"/>
  <c r="L196" i="11"/>
  <c r="I196" i="11"/>
  <c r="C196" i="11"/>
  <c r="O195" i="11"/>
  <c r="O194" i="11" s="1"/>
  <c r="O190" i="11" s="1"/>
  <c r="N195" i="11"/>
  <c r="M195" i="11"/>
  <c r="L195" i="11"/>
  <c r="K195" i="11"/>
  <c r="K194" i="11" s="1"/>
  <c r="K190" i="11" s="1"/>
  <c r="J195" i="11"/>
  <c r="I195" i="11"/>
  <c r="H195" i="11"/>
  <c r="G195" i="11"/>
  <c r="G194" i="11" s="1"/>
  <c r="G190" i="11" s="1"/>
  <c r="F195" i="11"/>
  <c r="E195" i="11"/>
  <c r="D195" i="11"/>
  <c r="C195" i="11"/>
  <c r="N194" i="11"/>
  <c r="M194" i="11"/>
  <c r="L194" i="11"/>
  <c r="J194" i="11"/>
  <c r="I194" i="11"/>
  <c r="H194" i="11"/>
  <c r="F194" i="11"/>
  <c r="C194" i="11" s="1"/>
  <c r="E194" i="11"/>
  <c r="D194" i="11"/>
  <c r="O193" i="11"/>
  <c r="L193" i="11"/>
  <c r="I193" i="11"/>
  <c r="C193" i="11" s="1"/>
  <c r="O192" i="11"/>
  <c r="L192" i="11"/>
  <c r="L191" i="11" s="1"/>
  <c r="I192" i="11"/>
  <c r="C192" i="11" s="1"/>
  <c r="O191" i="11"/>
  <c r="N191" i="11"/>
  <c r="M191" i="11"/>
  <c r="M190" i="11" s="1"/>
  <c r="K191" i="11"/>
  <c r="J191" i="11"/>
  <c r="I191" i="11"/>
  <c r="I190" i="11" s="1"/>
  <c r="H191" i="11"/>
  <c r="G191" i="11"/>
  <c r="F191" i="11"/>
  <c r="E191" i="11"/>
  <c r="E190" i="11" s="1"/>
  <c r="D191" i="11"/>
  <c r="N190" i="11"/>
  <c r="J190" i="11"/>
  <c r="H190" i="11"/>
  <c r="F190" i="11"/>
  <c r="D190" i="11"/>
  <c r="O189" i="11"/>
  <c r="L189" i="11"/>
  <c r="I189" i="11"/>
  <c r="F189" i="11"/>
  <c r="C189" i="11"/>
  <c r="O188" i="11"/>
  <c r="L188" i="11"/>
  <c r="L187" i="11" s="1"/>
  <c r="C187" i="11" s="1"/>
  <c r="I188" i="11"/>
  <c r="F188" i="11"/>
  <c r="C188" i="11" s="1"/>
  <c r="O187" i="11"/>
  <c r="N187" i="11"/>
  <c r="M187" i="11"/>
  <c r="K187" i="11"/>
  <c r="J187" i="11"/>
  <c r="I187" i="11"/>
  <c r="H187" i="11"/>
  <c r="G187" i="11"/>
  <c r="F187" i="11"/>
  <c r="E187" i="11"/>
  <c r="D187" i="11"/>
  <c r="O186" i="11"/>
  <c r="L186" i="11"/>
  <c r="I186" i="11"/>
  <c r="F186" i="11"/>
  <c r="C186" i="11" s="1"/>
  <c r="O185" i="11"/>
  <c r="L185" i="11"/>
  <c r="I185" i="11"/>
  <c r="C185" i="11" s="1"/>
  <c r="F185" i="11"/>
  <c r="O184" i="11"/>
  <c r="L184" i="11"/>
  <c r="I184" i="11"/>
  <c r="F184" i="11"/>
  <c r="C184" i="11" s="1"/>
  <c r="O183" i="11"/>
  <c r="O182" i="11" s="1"/>
  <c r="L183" i="11"/>
  <c r="I183" i="11"/>
  <c r="I182" i="11" s="1"/>
  <c r="F183" i="11"/>
  <c r="C183" i="11"/>
  <c r="N182" i="11"/>
  <c r="M182" i="11"/>
  <c r="L182" i="11"/>
  <c r="K182" i="11"/>
  <c r="J182" i="11"/>
  <c r="H182" i="11"/>
  <c r="G182" i="11"/>
  <c r="F182" i="11"/>
  <c r="E182" i="11"/>
  <c r="D182" i="11"/>
  <c r="O181" i="11"/>
  <c r="L181" i="11"/>
  <c r="I181" i="11"/>
  <c r="C181" i="11" s="1"/>
  <c r="F181" i="11"/>
  <c r="O180" i="11"/>
  <c r="L180" i="11"/>
  <c r="I180" i="11"/>
  <c r="F180" i="11"/>
  <c r="C180" i="11" s="1"/>
  <c r="O179" i="11"/>
  <c r="O178" i="11" s="1"/>
  <c r="O177" i="11" s="1"/>
  <c r="O176" i="11" s="1"/>
  <c r="L179" i="11"/>
  <c r="I179" i="11"/>
  <c r="I178" i="11" s="1"/>
  <c r="F179" i="11"/>
  <c r="C179" i="11"/>
  <c r="N178" i="11"/>
  <c r="N177" i="11" s="1"/>
  <c r="M178" i="11"/>
  <c r="L178" i="11"/>
  <c r="L177" i="11" s="1"/>
  <c r="K178" i="11"/>
  <c r="J178" i="11"/>
  <c r="J177" i="11" s="1"/>
  <c r="J176" i="11" s="1"/>
  <c r="H178" i="11"/>
  <c r="G178" i="11"/>
  <c r="F178" i="11"/>
  <c r="F177" i="11" s="1"/>
  <c r="C177" i="11" s="1"/>
  <c r="E178" i="11"/>
  <c r="D178" i="11"/>
  <c r="M177" i="11"/>
  <c r="K177" i="11"/>
  <c r="K176" i="11" s="1"/>
  <c r="I177" i="11"/>
  <c r="H177" i="11"/>
  <c r="G177" i="11"/>
  <c r="E177" i="11"/>
  <c r="D177" i="11"/>
  <c r="N176" i="11"/>
  <c r="M176" i="11"/>
  <c r="L176" i="11"/>
  <c r="I176" i="11"/>
  <c r="H176" i="11"/>
  <c r="G176" i="11"/>
  <c r="E176" i="11"/>
  <c r="D176" i="11"/>
  <c r="O175" i="11"/>
  <c r="L175" i="11"/>
  <c r="I175" i="11"/>
  <c r="F175" i="11"/>
  <c r="C175" i="11" s="1"/>
  <c r="O174" i="11"/>
  <c r="L174" i="11"/>
  <c r="C174" i="11" s="1"/>
  <c r="I174" i="11"/>
  <c r="F174" i="11"/>
  <c r="O173" i="11"/>
  <c r="L173" i="11"/>
  <c r="I173" i="11"/>
  <c r="F173" i="11"/>
  <c r="C173" i="11"/>
  <c r="O172" i="11"/>
  <c r="L172" i="11"/>
  <c r="I172" i="11"/>
  <c r="F172" i="11"/>
  <c r="C172" i="11" s="1"/>
  <c r="O171" i="11"/>
  <c r="L171" i="11"/>
  <c r="I171" i="11"/>
  <c r="F171" i="11"/>
  <c r="C171" i="11" s="1"/>
  <c r="O170" i="11"/>
  <c r="L170" i="11"/>
  <c r="I170" i="11"/>
  <c r="I169" i="11" s="1"/>
  <c r="F170" i="11"/>
  <c r="C170" i="11"/>
  <c r="O169" i="11"/>
  <c r="O168" i="11" s="1"/>
  <c r="N169" i="11"/>
  <c r="N168" i="11" s="1"/>
  <c r="M169" i="11"/>
  <c r="L169" i="11"/>
  <c r="K169" i="11"/>
  <c r="K168" i="11" s="1"/>
  <c r="K78" i="11" s="1"/>
  <c r="J169" i="11"/>
  <c r="H169" i="11"/>
  <c r="G169" i="11"/>
  <c r="F169" i="11"/>
  <c r="E169" i="11"/>
  <c r="D169" i="11"/>
  <c r="M168" i="11"/>
  <c r="L168" i="11"/>
  <c r="J168" i="11"/>
  <c r="H168" i="11"/>
  <c r="G168" i="11"/>
  <c r="F168" i="11"/>
  <c r="E168" i="11"/>
  <c r="D168" i="11"/>
  <c r="O167" i="11"/>
  <c r="L167" i="11"/>
  <c r="I167" i="11"/>
  <c r="F167" i="11"/>
  <c r="C167" i="11" s="1"/>
  <c r="O166" i="11"/>
  <c r="L166" i="11"/>
  <c r="I166" i="11"/>
  <c r="F166" i="11"/>
  <c r="C166" i="11"/>
  <c r="O165" i="11"/>
  <c r="L165" i="11"/>
  <c r="I165" i="11"/>
  <c r="F165" i="11"/>
  <c r="C165" i="11" s="1"/>
  <c r="O164" i="11"/>
  <c r="O163" i="11" s="1"/>
  <c r="L164" i="11"/>
  <c r="I164" i="11"/>
  <c r="F164" i="11"/>
  <c r="C164" i="11" s="1"/>
  <c r="N163" i="11"/>
  <c r="M163" i="11"/>
  <c r="L163" i="11"/>
  <c r="K163" i="11"/>
  <c r="J163" i="11"/>
  <c r="I163" i="11"/>
  <c r="H163" i="11"/>
  <c r="G163" i="11"/>
  <c r="F163" i="11"/>
  <c r="C163" i="11" s="1"/>
  <c r="E163" i="11"/>
  <c r="D163" i="11"/>
  <c r="O162" i="11"/>
  <c r="L162" i="11"/>
  <c r="I162" i="11"/>
  <c r="F162" i="11"/>
  <c r="C162" i="11"/>
  <c r="O161" i="11"/>
  <c r="L161" i="11"/>
  <c r="I161" i="11"/>
  <c r="F161" i="11"/>
  <c r="C161" i="11" s="1"/>
  <c r="O160" i="11"/>
  <c r="L160" i="11"/>
  <c r="I160" i="11"/>
  <c r="F160" i="11"/>
  <c r="C160" i="11" s="1"/>
  <c r="O159" i="11"/>
  <c r="L159" i="11"/>
  <c r="I159" i="11"/>
  <c r="F159" i="11"/>
  <c r="C159" i="11" s="1"/>
  <c r="O158" i="11"/>
  <c r="L158" i="11"/>
  <c r="I158" i="11"/>
  <c r="F158" i="11"/>
  <c r="C158" i="11"/>
  <c r="O157" i="11"/>
  <c r="L157" i="11"/>
  <c r="I157" i="11"/>
  <c r="F157" i="11"/>
  <c r="C157" i="11" s="1"/>
  <c r="O156" i="11"/>
  <c r="L156" i="11"/>
  <c r="I156" i="11"/>
  <c r="F156" i="11"/>
  <c r="C156" i="11" s="1"/>
  <c r="O155" i="11"/>
  <c r="L155" i="11"/>
  <c r="L154" i="11" s="1"/>
  <c r="L133" i="11" s="1"/>
  <c r="I155" i="11"/>
  <c r="I154" i="11" s="1"/>
  <c r="C154" i="11" s="1"/>
  <c r="F155" i="11"/>
  <c r="C155" i="11" s="1"/>
  <c r="O154" i="11"/>
  <c r="N154" i="11"/>
  <c r="M154" i="11"/>
  <c r="K154" i="11"/>
  <c r="J154" i="11"/>
  <c r="H154" i="11"/>
  <c r="G154" i="11"/>
  <c r="F154" i="11"/>
  <c r="E154" i="11"/>
  <c r="D154" i="11"/>
  <c r="O153" i="11"/>
  <c r="L153" i="11"/>
  <c r="I153" i="11"/>
  <c r="F153" i="11"/>
  <c r="C153" i="11" s="1"/>
  <c r="O152" i="11"/>
  <c r="L152" i="11"/>
  <c r="I152" i="11"/>
  <c r="F152" i="11"/>
  <c r="C152" i="11" s="1"/>
  <c r="O151" i="11"/>
  <c r="L151" i="11"/>
  <c r="I151" i="11"/>
  <c r="F151" i="11"/>
  <c r="C151" i="11" s="1"/>
  <c r="O150" i="11"/>
  <c r="L150" i="11"/>
  <c r="I150" i="11"/>
  <c r="F150" i="11"/>
  <c r="C150" i="11"/>
  <c r="O149" i="11"/>
  <c r="O147" i="11" s="1"/>
  <c r="L149" i="11"/>
  <c r="I149" i="11"/>
  <c r="F149" i="11"/>
  <c r="C149" i="11" s="1"/>
  <c r="O148" i="11"/>
  <c r="L148" i="11"/>
  <c r="I148" i="11"/>
  <c r="I147" i="11" s="1"/>
  <c r="I133" i="11" s="1"/>
  <c r="F148" i="11"/>
  <c r="C148" i="11" s="1"/>
  <c r="N147" i="11"/>
  <c r="M147" i="11"/>
  <c r="L147" i="11"/>
  <c r="K147" i="11"/>
  <c r="J147" i="11"/>
  <c r="H147" i="11"/>
  <c r="G147" i="11"/>
  <c r="F147" i="11"/>
  <c r="C147" i="11" s="1"/>
  <c r="E147" i="11"/>
  <c r="D147" i="11"/>
  <c r="O146" i="11"/>
  <c r="L146" i="11"/>
  <c r="I146" i="11"/>
  <c r="F146" i="11"/>
  <c r="C146" i="11"/>
  <c r="O145" i="11"/>
  <c r="O144" i="11" s="1"/>
  <c r="O133" i="11" s="1"/>
  <c r="L145" i="11"/>
  <c r="I145" i="11"/>
  <c r="F145" i="11"/>
  <c r="F144" i="11" s="1"/>
  <c r="N144" i="11"/>
  <c r="M144" i="11"/>
  <c r="L144" i="11"/>
  <c r="K144" i="11"/>
  <c r="J144" i="11"/>
  <c r="I144" i="11"/>
  <c r="H144" i="11"/>
  <c r="G144" i="11"/>
  <c r="E144" i="11"/>
  <c r="D144" i="11"/>
  <c r="O143" i="11"/>
  <c r="L143" i="11"/>
  <c r="I143" i="11"/>
  <c r="C143" i="11" s="1"/>
  <c r="F143" i="11"/>
  <c r="O142" i="11"/>
  <c r="L142" i="11"/>
  <c r="I142" i="11"/>
  <c r="F142" i="11"/>
  <c r="C142" i="11"/>
  <c r="O141" i="11"/>
  <c r="L141" i="11"/>
  <c r="I141" i="11"/>
  <c r="F141" i="11"/>
  <c r="C141" i="11" s="1"/>
  <c r="O140" i="11"/>
  <c r="L140" i="11"/>
  <c r="I140" i="11"/>
  <c r="F140" i="11"/>
  <c r="C140" i="11" s="1"/>
  <c r="O139" i="11"/>
  <c r="N139" i="11"/>
  <c r="M139" i="11"/>
  <c r="L139" i="11"/>
  <c r="K139" i="11"/>
  <c r="J139" i="11"/>
  <c r="I139" i="11"/>
  <c r="H139" i="11"/>
  <c r="G139" i="11"/>
  <c r="F139" i="11"/>
  <c r="C139" i="11" s="1"/>
  <c r="E139" i="11"/>
  <c r="D139" i="11"/>
  <c r="O138" i="11"/>
  <c r="L138" i="11"/>
  <c r="I138" i="11"/>
  <c r="F138" i="11"/>
  <c r="C138" i="11"/>
  <c r="O137" i="11"/>
  <c r="L137" i="11"/>
  <c r="I137" i="11"/>
  <c r="F137" i="11"/>
  <c r="C137" i="11" s="1"/>
  <c r="O136" i="11"/>
  <c r="L136" i="11"/>
  <c r="I136" i="11"/>
  <c r="F136" i="11"/>
  <c r="C136" i="11" s="1"/>
  <c r="O135" i="11"/>
  <c r="L135" i="11"/>
  <c r="I135" i="11"/>
  <c r="F135" i="11"/>
  <c r="C135" i="11"/>
  <c r="O134" i="11"/>
  <c r="N134" i="11"/>
  <c r="M134" i="11"/>
  <c r="L134" i="11"/>
  <c r="K134" i="11"/>
  <c r="J134" i="11"/>
  <c r="I134" i="11"/>
  <c r="H134" i="11"/>
  <c r="G134" i="11"/>
  <c r="F134" i="11"/>
  <c r="C134" i="11" s="1"/>
  <c r="E134" i="11"/>
  <c r="D134" i="11"/>
  <c r="N133" i="11"/>
  <c r="M133" i="11"/>
  <c r="K133" i="11"/>
  <c r="J133" i="11"/>
  <c r="H133" i="11"/>
  <c r="G133" i="11"/>
  <c r="E133" i="11"/>
  <c r="D133" i="11"/>
  <c r="O132" i="11"/>
  <c r="L132" i="11"/>
  <c r="L131" i="11" s="1"/>
  <c r="C131" i="11" s="1"/>
  <c r="I132" i="11"/>
  <c r="F132" i="11"/>
  <c r="C132" i="11" s="1"/>
  <c r="O131" i="11"/>
  <c r="N131" i="11"/>
  <c r="M131" i="11"/>
  <c r="K131" i="11"/>
  <c r="J131" i="11"/>
  <c r="I131" i="11"/>
  <c r="H131" i="11"/>
  <c r="G131" i="11"/>
  <c r="F131" i="11"/>
  <c r="E131" i="11"/>
  <c r="D131" i="11"/>
  <c r="O130" i="11"/>
  <c r="L130" i="11"/>
  <c r="I130" i="11"/>
  <c r="F130" i="11"/>
  <c r="C130" i="11" s="1"/>
  <c r="O129" i="11"/>
  <c r="L129" i="11"/>
  <c r="I129" i="11"/>
  <c r="C129" i="11" s="1"/>
  <c r="F129" i="11"/>
  <c r="O128" i="11"/>
  <c r="L128" i="11"/>
  <c r="I128" i="11"/>
  <c r="F128" i="11"/>
  <c r="C128" i="11" s="1"/>
  <c r="O127" i="11"/>
  <c r="L127" i="11"/>
  <c r="I127" i="11"/>
  <c r="F127" i="11"/>
  <c r="C127" i="11"/>
  <c r="O126" i="11"/>
  <c r="L126" i="11"/>
  <c r="I126" i="11"/>
  <c r="F126" i="11"/>
  <c r="F125" i="11" s="1"/>
  <c r="C125" i="11" s="1"/>
  <c r="O125" i="11"/>
  <c r="N125" i="11"/>
  <c r="M125" i="11"/>
  <c r="L125" i="11"/>
  <c r="K125" i="11"/>
  <c r="J125" i="11"/>
  <c r="I125" i="11"/>
  <c r="H125" i="11"/>
  <c r="G125" i="11"/>
  <c r="E125" i="11"/>
  <c r="D125" i="11"/>
  <c r="O124" i="11"/>
  <c r="L124" i="11"/>
  <c r="I124" i="11"/>
  <c r="F124" i="11"/>
  <c r="C124" i="11" s="1"/>
  <c r="O123" i="11"/>
  <c r="L123" i="11"/>
  <c r="I123" i="11"/>
  <c r="F123" i="11"/>
  <c r="C123" i="11"/>
  <c r="O122" i="11"/>
  <c r="L122" i="11"/>
  <c r="I122" i="11"/>
  <c r="F122" i="11"/>
  <c r="C122" i="11" s="1"/>
  <c r="O121" i="11"/>
  <c r="L121" i="11"/>
  <c r="I121" i="11"/>
  <c r="F121" i="11"/>
  <c r="C121" i="11" s="1"/>
  <c r="O120" i="11"/>
  <c r="L120" i="11"/>
  <c r="I120" i="11"/>
  <c r="F120" i="11"/>
  <c r="C120" i="11" s="1"/>
  <c r="O119" i="11"/>
  <c r="N119" i="11"/>
  <c r="M119" i="11"/>
  <c r="L119" i="11"/>
  <c r="K119" i="11"/>
  <c r="J119" i="11"/>
  <c r="I119" i="11"/>
  <c r="H119" i="11"/>
  <c r="G119" i="11"/>
  <c r="F119" i="11"/>
  <c r="E119" i="11"/>
  <c r="D119" i="11"/>
  <c r="C119" i="11"/>
  <c r="O118" i="11"/>
  <c r="L118" i="11"/>
  <c r="I118" i="11"/>
  <c r="F118" i="11"/>
  <c r="C118" i="11"/>
  <c r="O117" i="11"/>
  <c r="L117" i="11"/>
  <c r="I117" i="11"/>
  <c r="F117" i="11"/>
  <c r="C117" i="11" s="1"/>
  <c r="O116" i="11"/>
  <c r="L116" i="11"/>
  <c r="L115" i="11" s="1"/>
  <c r="C115" i="11" s="1"/>
  <c r="I116" i="11"/>
  <c r="F116" i="11"/>
  <c r="C116" i="11" s="1"/>
  <c r="O115" i="11"/>
  <c r="N115" i="11"/>
  <c r="M115" i="11"/>
  <c r="K115" i="11"/>
  <c r="J115" i="11"/>
  <c r="I115" i="11"/>
  <c r="H115" i="11"/>
  <c r="G115" i="11"/>
  <c r="F115" i="11"/>
  <c r="E115" i="11"/>
  <c r="D115" i="11"/>
  <c r="O114" i="11"/>
  <c r="L114" i="11"/>
  <c r="I114" i="11"/>
  <c r="F114" i="11"/>
  <c r="C114" i="11" s="1"/>
  <c r="O113" i="11"/>
  <c r="L113" i="11"/>
  <c r="I113" i="11"/>
  <c r="F113" i="11"/>
  <c r="C113" i="11" s="1"/>
  <c r="O112" i="11"/>
  <c r="L112" i="11"/>
  <c r="I112" i="11"/>
  <c r="C112" i="11" s="1"/>
  <c r="F112" i="11"/>
  <c r="O111" i="11"/>
  <c r="L111" i="11"/>
  <c r="I111" i="11"/>
  <c r="F111" i="11"/>
  <c r="C111" i="11"/>
  <c r="O110" i="11"/>
  <c r="L110" i="11"/>
  <c r="I110" i="11"/>
  <c r="F110" i="11"/>
  <c r="C110" i="11" s="1"/>
  <c r="O109" i="11"/>
  <c r="L109" i="11"/>
  <c r="I109" i="11"/>
  <c r="F109" i="11"/>
  <c r="C109" i="11" s="1"/>
  <c r="O108" i="11"/>
  <c r="L108" i="11"/>
  <c r="I108" i="11"/>
  <c r="F108" i="11"/>
  <c r="C108" i="11"/>
  <c r="O107" i="11"/>
  <c r="L107" i="11"/>
  <c r="I107" i="11"/>
  <c r="F107" i="11"/>
  <c r="C107" i="11" s="1"/>
  <c r="O106" i="11"/>
  <c r="N106" i="11"/>
  <c r="M106" i="11"/>
  <c r="L106" i="11"/>
  <c r="K106" i="11"/>
  <c r="J106" i="11"/>
  <c r="I106" i="11"/>
  <c r="H106" i="11"/>
  <c r="G106" i="11"/>
  <c r="F106" i="11"/>
  <c r="E106" i="11"/>
  <c r="D106" i="11"/>
  <c r="C106" i="11"/>
  <c r="O105" i="11"/>
  <c r="L105" i="11"/>
  <c r="I105" i="11"/>
  <c r="F105" i="11"/>
  <c r="C105" i="11" s="1"/>
  <c r="O104" i="11"/>
  <c r="L104" i="11"/>
  <c r="I104" i="11"/>
  <c r="F104" i="11"/>
  <c r="C104" i="11"/>
  <c r="O103" i="11"/>
  <c r="L103" i="11"/>
  <c r="I103" i="11"/>
  <c r="F103" i="11"/>
  <c r="C103" i="11" s="1"/>
  <c r="O102" i="11"/>
  <c r="L102" i="11"/>
  <c r="I102" i="11"/>
  <c r="F102" i="11"/>
  <c r="C102" i="11" s="1"/>
  <c r="O101" i="11"/>
  <c r="L101" i="11"/>
  <c r="I101" i="11"/>
  <c r="F101" i="11"/>
  <c r="C101" i="11" s="1"/>
  <c r="O100" i="11"/>
  <c r="L100" i="11"/>
  <c r="I100" i="11"/>
  <c r="F100" i="11"/>
  <c r="C100" i="11"/>
  <c r="O99" i="11"/>
  <c r="O98" i="11" s="1"/>
  <c r="O86" i="11" s="1"/>
  <c r="O78" i="11" s="1"/>
  <c r="L99" i="11"/>
  <c r="I99" i="11"/>
  <c r="F99" i="11"/>
  <c r="C99" i="11" s="1"/>
  <c r="N98" i="11"/>
  <c r="M98" i="11"/>
  <c r="L98" i="11"/>
  <c r="K98" i="11"/>
  <c r="J98" i="11"/>
  <c r="I98" i="11"/>
  <c r="H98" i="11"/>
  <c r="G98" i="11"/>
  <c r="E98" i="11"/>
  <c r="D98" i="11"/>
  <c r="O97" i="11"/>
  <c r="L97" i="11"/>
  <c r="I97" i="11"/>
  <c r="F97" i="11"/>
  <c r="C97" i="11" s="1"/>
  <c r="O96" i="11"/>
  <c r="L96" i="11"/>
  <c r="I96" i="11"/>
  <c r="F96" i="11"/>
  <c r="C96" i="11"/>
  <c r="O95" i="11"/>
  <c r="L95" i="11"/>
  <c r="I95" i="11"/>
  <c r="F95" i="11"/>
  <c r="C95" i="11" s="1"/>
  <c r="O94" i="11"/>
  <c r="L94" i="11"/>
  <c r="I94" i="11"/>
  <c r="F94" i="11"/>
  <c r="C94" i="11" s="1"/>
  <c r="O93" i="11"/>
  <c r="L93" i="11"/>
  <c r="L92" i="11" s="1"/>
  <c r="I93" i="11"/>
  <c r="F93" i="11"/>
  <c r="C93" i="11" s="1"/>
  <c r="O92" i="11"/>
  <c r="N92" i="11"/>
  <c r="M92" i="11"/>
  <c r="K92" i="11"/>
  <c r="J92" i="11"/>
  <c r="I92" i="11"/>
  <c r="H92" i="11"/>
  <c r="G92" i="11"/>
  <c r="F92" i="11"/>
  <c r="E92" i="11"/>
  <c r="D92" i="11"/>
  <c r="O91" i="11"/>
  <c r="L91" i="11"/>
  <c r="I91" i="11"/>
  <c r="F91" i="11"/>
  <c r="C91" i="11" s="1"/>
  <c r="O90" i="11"/>
  <c r="L90" i="11"/>
  <c r="I90" i="11"/>
  <c r="F90" i="11"/>
  <c r="C90" i="11" s="1"/>
  <c r="O89" i="11"/>
  <c r="L89" i="11"/>
  <c r="I89" i="11"/>
  <c r="F89" i="11"/>
  <c r="C89" i="11" s="1"/>
  <c r="O88" i="11"/>
  <c r="L88" i="11"/>
  <c r="I88" i="11"/>
  <c r="I87" i="11" s="1"/>
  <c r="F88" i="11"/>
  <c r="C88" i="11"/>
  <c r="O87" i="11"/>
  <c r="N87" i="11"/>
  <c r="M87" i="11"/>
  <c r="L87" i="11"/>
  <c r="K87" i="11"/>
  <c r="J87" i="11"/>
  <c r="H87" i="11"/>
  <c r="G87" i="11"/>
  <c r="F87" i="11"/>
  <c r="E87" i="11"/>
  <c r="D87" i="11"/>
  <c r="N86" i="11"/>
  <c r="M86" i="11"/>
  <c r="K86" i="11"/>
  <c r="J86" i="11"/>
  <c r="H86" i="11"/>
  <c r="G86" i="11"/>
  <c r="E86" i="11"/>
  <c r="D86" i="11"/>
  <c r="O85" i="11"/>
  <c r="L85" i="11"/>
  <c r="I85" i="11"/>
  <c r="F85" i="11"/>
  <c r="C85" i="11" s="1"/>
  <c r="O84" i="11"/>
  <c r="L84" i="11"/>
  <c r="I84" i="11"/>
  <c r="I83" i="11" s="1"/>
  <c r="C83" i="11" s="1"/>
  <c r="F84" i="11"/>
  <c r="C84" i="11"/>
  <c r="O83" i="11"/>
  <c r="N83" i="11"/>
  <c r="M83" i="11"/>
  <c r="L83" i="11"/>
  <c r="K83" i="11"/>
  <c r="J83" i="11"/>
  <c r="H83" i="11"/>
  <c r="G83" i="11"/>
  <c r="F83" i="11"/>
  <c r="E83" i="11"/>
  <c r="D83" i="11"/>
  <c r="O82" i="11"/>
  <c r="L82" i="11"/>
  <c r="I82" i="11"/>
  <c r="F82" i="11"/>
  <c r="C82" i="11" s="1"/>
  <c r="O81" i="11"/>
  <c r="L81" i="11"/>
  <c r="L80" i="11" s="1"/>
  <c r="L79" i="11" s="1"/>
  <c r="I81" i="11"/>
  <c r="I80" i="11" s="1"/>
  <c r="F81" i="11"/>
  <c r="C81" i="11" s="1"/>
  <c r="O80" i="11"/>
  <c r="N80" i="11"/>
  <c r="M80" i="11"/>
  <c r="M79" i="11" s="1"/>
  <c r="M78" i="11" s="1"/>
  <c r="K80" i="11"/>
  <c r="J80" i="11"/>
  <c r="H80" i="11"/>
  <c r="G80" i="11"/>
  <c r="F80" i="11"/>
  <c r="E80" i="11"/>
  <c r="E79" i="11" s="1"/>
  <c r="E78" i="11" s="1"/>
  <c r="D80" i="11"/>
  <c r="O79" i="11"/>
  <c r="N79" i="11"/>
  <c r="N78" i="11" s="1"/>
  <c r="K79" i="11"/>
  <c r="J79" i="11"/>
  <c r="J78" i="11" s="1"/>
  <c r="H79" i="11"/>
  <c r="G79" i="11"/>
  <c r="F79" i="11"/>
  <c r="D79" i="11"/>
  <c r="H78" i="11"/>
  <c r="G78" i="11"/>
  <c r="D78" i="11"/>
  <c r="O77" i="11"/>
  <c r="L77" i="11"/>
  <c r="I77" i="11"/>
  <c r="F77" i="11"/>
  <c r="C77" i="11" s="1"/>
  <c r="O76" i="11"/>
  <c r="L76" i="11"/>
  <c r="I76" i="11"/>
  <c r="F76" i="11"/>
  <c r="C76" i="11"/>
  <c r="O75" i="11"/>
  <c r="L75" i="11"/>
  <c r="I75" i="11"/>
  <c r="F75" i="11"/>
  <c r="C75" i="11"/>
  <c r="O74" i="11"/>
  <c r="L74" i="11"/>
  <c r="I74" i="11"/>
  <c r="F74" i="11"/>
  <c r="C74" i="11" s="1"/>
  <c r="O73" i="11"/>
  <c r="L73" i="11"/>
  <c r="L72" i="11" s="1"/>
  <c r="L70" i="11" s="1"/>
  <c r="I73" i="11"/>
  <c r="I72" i="11" s="1"/>
  <c r="I70" i="11" s="1"/>
  <c r="F73" i="11"/>
  <c r="C73" i="11" s="1"/>
  <c r="O72" i="11"/>
  <c r="N72" i="11"/>
  <c r="N70" i="11" s="1"/>
  <c r="N56" i="11" s="1"/>
  <c r="M72" i="11"/>
  <c r="K72" i="11"/>
  <c r="J72" i="11"/>
  <c r="J70" i="11" s="1"/>
  <c r="J56" i="11" s="1"/>
  <c r="J55" i="11" s="1"/>
  <c r="J54" i="11" s="1"/>
  <c r="J53" i="11" s="1"/>
  <c r="H72" i="11"/>
  <c r="G72" i="11"/>
  <c r="F72" i="11"/>
  <c r="C72" i="11" s="1"/>
  <c r="E72" i="11"/>
  <c r="D72" i="11"/>
  <c r="O71" i="11"/>
  <c r="O70" i="11" s="1"/>
  <c r="L71" i="11"/>
  <c r="I71" i="11"/>
  <c r="F71" i="11"/>
  <c r="F70" i="11" s="1"/>
  <c r="C70" i="11" s="1"/>
  <c r="C71" i="11"/>
  <c r="M70" i="11"/>
  <c r="K70" i="11"/>
  <c r="H70" i="11"/>
  <c r="G70" i="11"/>
  <c r="E70" i="11"/>
  <c r="D70" i="11"/>
  <c r="O69" i="11"/>
  <c r="L69" i="11"/>
  <c r="I69" i="11"/>
  <c r="F69" i="11"/>
  <c r="C69" i="11" s="1"/>
  <c r="O68" i="11"/>
  <c r="L68" i="11"/>
  <c r="C68" i="11" s="1"/>
  <c r="I68" i="11"/>
  <c r="F68" i="11"/>
  <c r="O67" i="11"/>
  <c r="L67" i="11"/>
  <c r="I67" i="11"/>
  <c r="F67" i="11"/>
  <c r="C67" i="11"/>
  <c r="O66" i="11"/>
  <c r="L66" i="11"/>
  <c r="I66" i="11"/>
  <c r="F66" i="11"/>
  <c r="C66" i="11" s="1"/>
  <c r="O65" i="11"/>
  <c r="L65" i="11"/>
  <c r="I65" i="11"/>
  <c r="F65" i="11"/>
  <c r="C65" i="11" s="1"/>
  <c r="O64" i="11"/>
  <c r="L64" i="11"/>
  <c r="C64" i="11" s="1"/>
  <c r="I64" i="11"/>
  <c r="F64" i="11"/>
  <c r="O63" i="11"/>
  <c r="L63" i="11"/>
  <c r="I63" i="11"/>
  <c r="F63" i="11"/>
  <c r="C63" i="11"/>
  <c r="O62" i="11"/>
  <c r="O61" i="11" s="1"/>
  <c r="L62" i="11"/>
  <c r="I62" i="11"/>
  <c r="F62" i="11"/>
  <c r="C62" i="11" s="1"/>
  <c r="N61" i="11"/>
  <c r="M61" i="11"/>
  <c r="K61" i="11"/>
  <c r="J61" i="11"/>
  <c r="I61" i="11"/>
  <c r="H61" i="11"/>
  <c r="G61" i="11"/>
  <c r="F61" i="11"/>
  <c r="E61" i="11"/>
  <c r="D61" i="11"/>
  <c r="O60" i="11"/>
  <c r="L60" i="11"/>
  <c r="C60" i="11" s="1"/>
  <c r="I60" i="11"/>
  <c r="F60" i="11"/>
  <c r="O59" i="11"/>
  <c r="O58" i="11" s="1"/>
  <c r="L59" i="11"/>
  <c r="I59" i="11"/>
  <c r="F59" i="11"/>
  <c r="F58" i="11" s="1"/>
  <c r="C59" i="11"/>
  <c r="N58" i="11"/>
  <c r="M58" i="11"/>
  <c r="L58" i="11"/>
  <c r="K58" i="11"/>
  <c r="K57" i="11" s="1"/>
  <c r="K56" i="11" s="1"/>
  <c r="K55" i="11" s="1"/>
  <c r="K54" i="11" s="1"/>
  <c r="K53" i="11" s="1"/>
  <c r="J58" i="11"/>
  <c r="I58" i="11"/>
  <c r="H58" i="11"/>
  <c r="H57" i="11" s="1"/>
  <c r="H56" i="11" s="1"/>
  <c r="H55" i="11" s="1"/>
  <c r="H54" i="11" s="1"/>
  <c r="G58" i="11"/>
  <c r="G57" i="11" s="1"/>
  <c r="G56" i="11" s="1"/>
  <c r="G55" i="11" s="1"/>
  <c r="E58" i="11"/>
  <c r="D58" i="11"/>
  <c r="D57" i="11" s="1"/>
  <c r="D56" i="11" s="1"/>
  <c r="D55" i="11" s="1"/>
  <c r="D54" i="11" s="1"/>
  <c r="N57" i="11"/>
  <c r="M57" i="11"/>
  <c r="M56" i="11" s="1"/>
  <c r="M55" i="11" s="1"/>
  <c r="M54" i="11" s="1"/>
  <c r="M53" i="11" s="1"/>
  <c r="J57" i="11"/>
  <c r="I57" i="11"/>
  <c r="I56" i="11" s="1"/>
  <c r="E57" i="11"/>
  <c r="E56" i="11" s="1"/>
  <c r="E55" i="11" s="1"/>
  <c r="E54" i="11" s="1"/>
  <c r="O50" i="11"/>
  <c r="C50" i="11"/>
  <c r="O49" i="11"/>
  <c r="C49" i="11" s="1"/>
  <c r="O48" i="11"/>
  <c r="C48" i="11" s="1"/>
  <c r="N48" i="11"/>
  <c r="M48" i="11"/>
  <c r="L47" i="11"/>
  <c r="I47" i="11"/>
  <c r="I46" i="11" s="1"/>
  <c r="F47" i="11"/>
  <c r="C47" i="11" s="1"/>
  <c r="L46" i="11"/>
  <c r="K46" i="11"/>
  <c r="J46" i="11"/>
  <c r="H46" i="11"/>
  <c r="G46" i="11"/>
  <c r="F46" i="11"/>
  <c r="E46" i="11"/>
  <c r="D46" i="11"/>
  <c r="F45" i="11"/>
  <c r="C45" i="11" s="1"/>
  <c r="L44" i="11"/>
  <c r="C44" i="11"/>
  <c r="L43" i="11"/>
  <c r="C43" i="11" s="1"/>
  <c r="L42" i="11"/>
  <c r="C42" i="11"/>
  <c r="L41" i="11"/>
  <c r="C41" i="11" s="1"/>
  <c r="L40" i="11"/>
  <c r="C40" i="11" s="1"/>
  <c r="K40" i="11"/>
  <c r="J40" i="11"/>
  <c r="L39" i="11"/>
  <c r="L37" i="11" s="1"/>
  <c r="C37" i="11" s="1"/>
  <c r="C39" i="11"/>
  <c r="C38" i="11"/>
  <c r="K37" i="11"/>
  <c r="J37" i="11"/>
  <c r="L36" i="11"/>
  <c r="C36" i="11"/>
  <c r="L35" i="11"/>
  <c r="C35" i="11" s="1"/>
  <c r="K35" i="11"/>
  <c r="J35" i="11"/>
  <c r="L34" i="11"/>
  <c r="C34" i="11" s="1"/>
  <c r="L33" i="11"/>
  <c r="C33" i="11"/>
  <c r="L32" i="11"/>
  <c r="C32" i="11" s="1"/>
  <c r="K31" i="11"/>
  <c r="J31" i="11"/>
  <c r="K30" i="11"/>
  <c r="J30" i="11"/>
  <c r="F29" i="11"/>
  <c r="C29" i="11"/>
  <c r="I28" i="11"/>
  <c r="O27" i="11"/>
  <c r="L27" i="11"/>
  <c r="I27" i="11"/>
  <c r="F27" i="11"/>
  <c r="C27" i="11"/>
  <c r="O26" i="11"/>
  <c r="O25" i="11" s="1"/>
  <c r="L26" i="11"/>
  <c r="I26" i="11"/>
  <c r="F26" i="11"/>
  <c r="C26" i="11" s="1"/>
  <c r="N25" i="11"/>
  <c r="N290" i="11" s="1"/>
  <c r="N289" i="11" s="1"/>
  <c r="M25" i="11"/>
  <c r="M290" i="11" s="1"/>
  <c r="M289" i="11" s="1"/>
  <c r="L25" i="11"/>
  <c r="L290" i="11" s="1"/>
  <c r="L289" i="11" s="1"/>
  <c r="K25" i="11"/>
  <c r="K290" i="11" s="1"/>
  <c r="K289" i="11" s="1"/>
  <c r="J25" i="11"/>
  <c r="J290" i="11" s="1"/>
  <c r="J289" i="11" s="1"/>
  <c r="I25" i="11"/>
  <c r="I290" i="11" s="1"/>
  <c r="I289" i="11" s="1"/>
  <c r="H25" i="11"/>
  <c r="H290" i="11" s="1"/>
  <c r="H289" i="11" s="1"/>
  <c r="G25" i="11"/>
  <c r="G290" i="11" s="1"/>
  <c r="G289" i="11" s="1"/>
  <c r="F25" i="11"/>
  <c r="F290" i="11" s="1"/>
  <c r="E25" i="11"/>
  <c r="E290" i="11" s="1"/>
  <c r="E289" i="11" s="1"/>
  <c r="D25" i="11"/>
  <c r="D290" i="11" s="1"/>
  <c r="D289" i="11" s="1"/>
  <c r="N24" i="11"/>
  <c r="M24" i="11"/>
  <c r="K24" i="11"/>
  <c r="J24" i="11"/>
  <c r="H24" i="11"/>
  <c r="G24" i="11"/>
  <c r="E24" i="11"/>
  <c r="O299" i="10"/>
  <c r="L299" i="10"/>
  <c r="I299" i="10"/>
  <c r="F299" i="10"/>
  <c r="C299" i="10"/>
  <c r="O298" i="10"/>
  <c r="L298" i="10"/>
  <c r="I298" i="10"/>
  <c r="F298" i="10"/>
  <c r="C298" i="10" s="1"/>
  <c r="O297" i="10"/>
  <c r="L297" i="10"/>
  <c r="I297" i="10"/>
  <c r="F297" i="10"/>
  <c r="C297" i="10" s="1"/>
  <c r="O296" i="10"/>
  <c r="L296" i="10"/>
  <c r="I296" i="10"/>
  <c r="F296" i="10"/>
  <c r="C296" i="10" s="1"/>
  <c r="O295" i="10"/>
  <c r="L295" i="10"/>
  <c r="I295" i="10"/>
  <c r="F295" i="10"/>
  <c r="C295" i="10" s="1"/>
  <c r="O294" i="10"/>
  <c r="L294" i="10"/>
  <c r="L291" i="10" s="1"/>
  <c r="I294" i="10"/>
  <c r="C294" i="10" s="1"/>
  <c r="F294" i="10"/>
  <c r="O293" i="10"/>
  <c r="L293" i="10"/>
  <c r="I293" i="10"/>
  <c r="F293" i="10"/>
  <c r="C293" i="10"/>
  <c r="O292" i="10"/>
  <c r="O291" i="10" s="1"/>
  <c r="L292" i="10"/>
  <c r="I292" i="10"/>
  <c r="F292" i="10"/>
  <c r="F291" i="10" s="1"/>
  <c r="C291" i="10" s="1"/>
  <c r="N291" i="10"/>
  <c r="M291" i="10"/>
  <c r="K291" i="10"/>
  <c r="J291" i="10"/>
  <c r="I291" i="10"/>
  <c r="H291" i="10"/>
  <c r="G291" i="10"/>
  <c r="E291" i="10"/>
  <c r="D291" i="10"/>
  <c r="O286" i="10"/>
  <c r="L286" i="10"/>
  <c r="I286" i="10"/>
  <c r="C286" i="10" s="1"/>
  <c r="F286" i="10"/>
  <c r="O285" i="10"/>
  <c r="O284" i="10" s="1"/>
  <c r="L285" i="10"/>
  <c r="I285" i="10"/>
  <c r="F285" i="10"/>
  <c r="F284" i="10" s="1"/>
  <c r="C285" i="10"/>
  <c r="N284" i="10"/>
  <c r="M284" i="10"/>
  <c r="L284" i="10"/>
  <c r="K284" i="10"/>
  <c r="J284" i="10"/>
  <c r="I284" i="10"/>
  <c r="H284" i="10"/>
  <c r="G284" i="10"/>
  <c r="E284" i="10"/>
  <c r="D284" i="10"/>
  <c r="O283" i="10"/>
  <c r="L283" i="10"/>
  <c r="L282" i="10" s="1"/>
  <c r="I283" i="10"/>
  <c r="I282" i="10" s="1"/>
  <c r="F283" i="10"/>
  <c r="C283" i="10" s="1"/>
  <c r="O282" i="10"/>
  <c r="N282" i="10"/>
  <c r="M282" i="10"/>
  <c r="K282" i="10"/>
  <c r="J282" i="10"/>
  <c r="H282" i="10"/>
  <c r="G282" i="10"/>
  <c r="F282" i="10"/>
  <c r="C282" i="10" s="1"/>
  <c r="E282" i="10"/>
  <c r="D282" i="10"/>
  <c r="O281" i="10"/>
  <c r="L281" i="10"/>
  <c r="I281" i="10"/>
  <c r="F281" i="10"/>
  <c r="C281" i="10"/>
  <c r="O280" i="10"/>
  <c r="L280" i="10"/>
  <c r="I280" i="10"/>
  <c r="F280" i="10"/>
  <c r="C280" i="10" s="1"/>
  <c r="O279" i="10"/>
  <c r="L279" i="10"/>
  <c r="L278" i="10" s="1"/>
  <c r="I279" i="10"/>
  <c r="I278" i="10" s="1"/>
  <c r="F279" i="10"/>
  <c r="C279" i="10" s="1"/>
  <c r="O278" i="10"/>
  <c r="N278" i="10"/>
  <c r="M278" i="10"/>
  <c r="K278" i="10"/>
  <c r="J278" i="10"/>
  <c r="H278" i="10"/>
  <c r="G278" i="10"/>
  <c r="F278" i="10"/>
  <c r="E278" i="10"/>
  <c r="D278" i="10"/>
  <c r="O277" i="10"/>
  <c r="L277" i="10"/>
  <c r="I277" i="10"/>
  <c r="F277" i="10"/>
  <c r="C277" i="10"/>
  <c r="O276" i="10"/>
  <c r="L276" i="10"/>
  <c r="I276" i="10"/>
  <c r="F276" i="10"/>
  <c r="C276" i="10" s="1"/>
  <c r="O275" i="10"/>
  <c r="L275" i="10"/>
  <c r="L274" i="10" s="1"/>
  <c r="L272" i="10" s="1"/>
  <c r="L271" i="10" s="1"/>
  <c r="I275" i="10"/>
  <c r="I274" i="10" s="1"/>
  <c r="I272" i="10" s="1"/>
  <c r="I271" i="10" s="1"/>
  <c r="F275" i="10"/>
  <c r="C275" i="10" s="1"/>
  <c r="O274" i="10"/>
  <c r="N274" i="10"/>
  <c r="N272" i="10" s="1"/>
  <c r="N271" i="10" s="1"/>
  <c r="M274" i="10"/>
  <c r="K274" i="10"/>
  <c r="J274" i="10"/>
  <c r="J272" i="10" s="1"/>
  <c r="J271" i="10" s="1"/>
  <c r="H274" i="10"/>
  <c r="G274" i="10"/>
  <c r="F274" i="10"/>
  <c r="E274" i="10"/>
  <c r="D274" i="10"/>
  <c r="O273" i="10"/>
  <c r="O272" i="10" s="1"/>
  <c r="O271" i="10" s="1"/>
  <c r="L273" i="10"/>
  <c r="I273" i="10"/>
  <c r="F273" i="10"/>
  <c r="F272" i="10" s="1"/>
  <c r="C273" i="10"/>
  <c r="M272" i="10"/>
  <c r="K272" i="10"/>
  <c r="K271" i="10" s="1"/>
  <c r="H272" i="10"/>
  <c r="H271" i="10" s="1"/>
  <c r="G272" i="10"/>
  <c r="G271" i="10" s="1"/>
  <c r="E272" i="10"/>
  <c r="D272" i="10"/>
  <c r="D271" i="10" s="1"/>
  <c r="M271" i="10"/>
  <c r="E271" i="10"/>
  <c r="O270" i="10"/>
  <c r="L270" i="10"/>
  <c r="I270" i="10"/>
  <c r="C270" i="10" s="1"/>
  <c r="F270" i="10"/>
  <c r="O269" i="10"/>
  <c r="L269" i="10"/>
  <c r="I269" i="10"/>
  <c r="F269" i="10"/>
  <c r="C269" i="10"/>
  <c r="O268" i="10"/>
  <c r="O266" i="10" s="1"/>
  <c r="L268" i="10"/>
  <c r="I268" i="10"/>
  <c r="F268" i="10"/>
  <c r="C268" i="10" s="1"/>
  <c r="O267" i="10"/>
  <c r="L267" i="10"/>
  <c r="L266" i="10" s="1"/>
  <c r="I267" i="10"/>
  <c r="I266" i="10" s="1"/>
  <c r="F267" i="10"/>
  <c r="C267" i="10" s="1"/>
  <c r="N266" i="10"/>
  <c r="M266" i="10"/>
  <c r="K266" i="10"/>
  <c r="J266" i="10"/>
  <c r="H266" i="10"/>
  <c r="G266" i="10"/>
  <c r="F266" i="10"/>
  <c r="E266" i="10"/>
  <c r="D266" i="10"/>
  <c r="O265" i="10"/>
  <c r="O262" i="10" s="1"/>
  <c r="O261" i="10" s="1"/>
  <c r="L265" i="10"/>
  <c r="I265" i="10"/>
  <c r="F265" i="10"/>
  <c r="C265" i="10"/>
  <c r="O264" i="10"/>
  <c r="L264" i="10"/>
  <c r="I264" i="10"/>
  <c r="F264" i="10"/>
  <c r="C264" i="10" s="1"/>
  <c r="O263" i="10"/>
  <c r="L263" i="10"/>
  <c r="L262" i="10" s="1"/>
  <c r="I263" i="10"/>
  <c r="I262" i="10" s="1"/>
  <c r="F263" i="10"/>
  <c r="C263" i="10" s="1"/>
  <c r="N262" i="10"/>
  <c r="N261" i="10" s="1"/>
  <c r="N233" i="10" s="1"/>
  <c r="M262" i="10"/>
  <c r="M261" i="10" s="1"/>
  <c r="K262" i="10"/>
  <c r="J262" i="10"/>
  <c r="J261" i="10" s="1"/>
  <c r="J233" i="10" s="1"/>
  <c r="H262" i="10"/>
  <c r="G262" i="10"/>
  <c r="F262" i="10"/>
  <c r="E262" i="10"/>
  <c r="E261" i="10" s="1"/>
  <c r="D262" i="10"/>
  <c r="K261" i="10"/>
  <c r="H261" i="10"/>
  <c r="G261" i="10"/>
  <c r="D261" i="10"/>
  <c r="O260" i="10"/>
  <c r="L260" i="10"/>
  <c r="I260" i="10"/>
  <c r="F260" i="10"/>
  <c r="C260" i="10" s="1"/>
  <c r="O259" i="10"/>
  <c r="L259" i="10"/>
  <c r="I259" i="10"/>
  <c r="F259" i="10"/>
  <c r="C259" i="10" s="1"/>
  <c r="O258" i="10"/>
  <c r="L258" i="10"/>
  <c r="L255" i="10" s="1"/>
  <c r="L254" i="10" s="1"/>
  <c r="I258" i="10"/>
  <c r="C258" i="10" s="1"/>
  <c r="F258" i="10"/>
  <c r="O257" i="10"/>
  <c r="L257" i="10"/>
  <c r="I257" i="10"/>
  <c r="F257" i="10"/>
  <c r="C257" i="10"/>
  <c r="O256" i="10"/>
  <c r="O255" i="10" s="1"/>
  <c r="O254" i="10" s="1"/>
  <c r="L256" i="10"/>
  <c r="I256" i="10"/>
  <c r="F256" i="10"/>
  <c r="F255" i="10" s="1"/>
  <c r="N255" i="10"/>
  <c r="M255" i="10"/>
  <c r="M254" i="10" s="1"/>
  <c r="K255" i="10"/>
  <c r="J255" i="10"/>
  <c r="I255" i="10"/>
  <c r="I254" i="10" s="1"/>
  <c r="H255" i="10"/>
  <c r="H254" i="10" s="1"/>
  <c r="G255" i="10"/>
  <c r="E255" i="10"/>
  <c r="E254" i="10" s="1"/>
  <c r="D255" i="10"/>
  <c r="D254" i="10" s="1"/>
  <c r="N254" i="10"/>
  <c r="K254" i="10"/>
  <c r="J254" i="10"/>
  <c r="G254" i="10"/>
  <c r="O253" i="10"/>
  <c r="L253" i="10"/>
  <c r="I253" i="10"/>
  <c r="F253" i="10"/>
  <c r="C253" i="10"/>
  <c r="O252" i="10"/>
  <c r="L252" i="10"/>
  <c r="I252" i="10"/>
  <c r="F252" i="10"/>
  <c r="C252" i="10" s="1"/>
  <c r="O251" i="10"/>
  <c r="L251" i="10"/>
  <c r="I251" i="10"/>
  <c r="F251" i="10"/>
  <c r="C251" i="10" s="1"/>
  <c r="O250" i="10"/>
  <c r="L250" i="10"/>
  <c r="C250" i="10" s="1"/>
  <c r="I250" i="10"/>
  <c r="I249" i="10" s="1"/>
  <c r="F250" i="10"/>
  <c r="O249" i="10"/>
  <c r="N249" i="10"/>
  <c r="M249" i="10"/>
  <c r="K249" i="10"/>
  <c r="J249" i="10"/>
  <c r="H249" i="10"/>
  <c r="G249" i="10"/>
  <c r="E249" i="10"/>
  <c r="D249" i="10"/>
  <c r="O248" i="10"/>
  <c r="L248" i="10"/>
  <c r="I248" i="10"/>
  <c r="F248" i="10"/>
  <c r="C248" i="10" s="1"/>
  <c r="O247" i="10"/>
  <c r="L247" i="10"/>
  <c r="I247" i="10"/>
  <c r="F247" i="10"/>
  <c r="C247" i="10" s="1"/>
  <c r="O246" i="10"/>
  <c r="L246" i="10"/>
  <c r="C246" i="10" s="1"/>
  <c r="I246" i="10"/>
  <c r="F246" i="10"/>
  <c r="O245" i="10"/>
  <c r="L245" i="10"/>
  <c r="I245" i="10"/>
  <c r="F245" i="10"/>
  <c r="C245" i="10"/>
  <c r="O244" i="10"/>
  <c r="L244" i="10"/>
  <c r="I244" i="10"/>
  <c r="F244" i="10"/>
  <c r="C244" i="10" s="1"/>
  <c r="O243" i="10"/>
  <c r="L243" i="10"/>
  <c r="I243" i="10"/>
  <c r="F243" i="10"/>
  <c r="C243" i="10" s="1"/>
  <c r="O242" i="10"/>
  <c r="L242" i="10"/>
  <c r="C242" i="10" s="1"/>
  <c r="I242" i="10"/>
  <c r="I241" i="10" s="1"/>
  <c r="F242" i="10"/>
  <c r="O241" i="10"/>
  <c r="N241" i="10"/>
  <c r="M241" i="10"/>
  <c r="K241" i="10"/>
  <c r="J241" i="10"/>
  <c r="H241" i="10"/>
  <c r="G241" i="10"/>
  <c r="E241" i="10"/>
  <c r="D241" i="10"/>
  <c r="O240" i="10"/>
  <c r="L240" i="10"/>
  <c r="I240" i="10"/>
  <c r="F240" i="10"/>
  <c r="C240" i="10" s="1"/>
  <c r="O239" i="10"/>
  <c r="L239" i="10"/>
  <c r="L238" i="10" s="1"/>
  <c r="I239" i="10"/>
  <c r="I238" i="10" s="1"/>
  <c r="F239" i="10"/>
  <c r="C239" i="10" s="1"/>
  <c r="O238" i="10"/>
  <c r="N238" i="10"/>
  <c r="M238" i="10"/>
  <c r="K238" i="10"/>
  <c r="J238" i="10"/>
  <c r="H238" i="10"/>
  <c r="G238" i="10"/>
  <c r="F238" i="10"/>
  <c r="C238" i="10" s="1"/>
  <c r="E238" i="10"/>
  <c r="D238" i="10"/>
  <c r="O237" i="10"/>
  <c r="O236" i="10" s="1"/>
  <c r="O234" i="10" s="1"/>
  <c r="O233" i="10" s="1"/>
  <c r="L237" i="10"/>
  <c r="I237" i="10"/>
  <c r="F237" i="10"/>
  <c r="F236" i="10" s="1"/>
  <c r="C237" i="10"/>
  <c r="N236" i="10"/>
  <c r="M236" i="10"/>
  <c r="L236" i="10"/>
  <c r="K236" i="10"/>
  <c r="J236" i="10"/>
  <c r="I236" i="10"/>
  <c r="H236" i="10"/>
  <c r="H234" i="10" s="1"/>
  <c r="G236" i="10"/>
  <c r="E236" i="10"/>
  <c r="D236" i="10"/>
  <c r="D234" i="10" s="1"/>
  <c r="D233" i="10" s="1"/>
  <c r="O235" i="10"/>
  <c r="L235" i="10"/>
  <c r="I235" i="10"/>
  <c r="F235" i="10"/>
  <c r="C235" i="10" s="1"/>
  <c r="N234" i="10"/>
  <c r="M234" i="10"/>
  <c r="K234" i="10"/>
  <c r="J234" i="10"/>
  <c r="G234" i="10"/>
  <c r="E234" i="10"/>
  <c r="E233" i="10" s="1"/>
  <c r="K233" i="10"/>
  <c r="G233" i="10"/>
  <c r="O232" i="10"/>
  <c r="L232" i="10"/>
  <c r="I232" i="10"/>
  <c r="F232" i="10"/>
  <c r="C232" i="10" s="1"/>
  <c r="O231" i="10"/>
  <c r="L231" i="10"/>
  <c r="L230" i="10" s="1"/>
  <c r="I231" i="10"/>
  <c r="I230" i="10" s="1"/>
  <c r="I207" i="10" s="1"/>
  <c r="F231" i="10"/>
  <c r="C231" i="10" s="1"/>
  <c r="O230" i="10"/>
  <c r="N230" i="10"/>
  <c r="M230" i="10"/>
  <c r="K230" i="10"/>
  <c r="J230" i="10"/>
  <c r="H230" i="10"/>
  <c r="G230" i="10"/>
  <c r="F230" i="10"/>
  <c r="C230" i="10" s="1"/>
  <c r="E230" i="10"/>
  <c r="D230" i="10"/>
  <c r="O229" i="10"/>
  <c r="L229" i="10"/>
  <c r="I229" i="10"/>
  <c r="F229" i="10"/>
  <c r="C229" i="10"/>
  <c r="O228" i="10"/>
  <c r="L228" i="10"/>
  <c r="I228" i="10"/>
  <c r="F228" i="10"/>
  <c r="C228" i="10" s="1"/>
  <c r="O227" i="10"/>
  <c r="L227" i="10"/>
  <c r="I227" i="10"/>
  <c r="F227" i="10"/>
  <c r="C227" i="10" s="1"/>
  <c r="O226" i="10"/>
  <c r="L226" i="10"/>
  <c r="C226" i="10" s="1"/>
  <c r="I226" i="10"/>
  <c r="F226" i="10"/>
  <c r="O225" i="10"/>
  <c r="L225" i="10"/>
  <c r="I225" i="10"/>
  <c r="F225" i="10"/>
  <c r="C225" i="10"/>
  <c r="O224" i="10"/>
  <c r="L224" i="10"/>
  <c r="I224" i="10"/>
  <c r="F224" i="10"/>
  <c r="C224" i="10" s="1"/>
  <c r="O223" i="10"/>
  <c r="L223" i="10"/>
  <c r="I223" i="10"/>
  <c r="F223" i="10"/>
  <c r="C223" i="10" s="1"/>
  <c r="O222" i="10"/>
  <c r="L222" i="10"/>
  <c r="I222" i="10"/>
  <c r="F222" i="10"/>
  <c r="C222" i="10"/>
  <c r="O221" i="10"/>
  <c r="L221" i="10"/>
  <c r="I221" i="10"/>
  <c r="F221" i="10"/>
  <c r="C221" i="10"/>
  <c r="O220" i="10"/>
  <c r="O219" i="10" s="1"/>
  <c r="L220" i="10"/>
  <c r="I220" i="10"/>
  <c r="F220" i="10"/>
  <c r="C220" i="10" s="1"/>
  <c r="N219" i="10"/>
  <c r="M219" i="10"/>
  <c r="L219" i="10"/>
  <c r="K219" i="10"/>
  <c r="J219" i="10"/>
  <c r="I219" i="10"/>
  <c r="H219" i="10"/>
  <c r="G219" i="10"/>
  <c r="F219" i="10"/>
  <c r="C219" i="10" s="1"/>
  <c r="E219" i="10"/>
  <c r="D219" i="10"/>
  <c r="O218" i="10"/>
  <c r="L218" i="10"/>
  <c r="I218" i="10"/>
  <c r="F218" i="10"/>
  <c r="C218" i="10"/>
  <c r="O217" i="10"/>
  <c r="L217" i="10"/>
  <c r="I217" i="10"/>
  <c r="F217" i="10"/>
  <c r="C217" i="10" s="1"/>
  <c r="O216" i="10"/>
  <c r="L216" i="10"/>
  <c r="I216" i="10"/>
  <c r="F216" i="10"/>
  <c r="C216" i="10" s="1"/>
  <c r="O215" i="10"/>
  <c r="L215" i="10"/>
  <c r="I215" i="10"/>
  <c r="F215" i="10"/>
  <c r="C215" i="10" s="1"/>
  <c r="O214" i="10"/>
  <c r="L214" i="10"/>
  <c r="I214" i="10"/>
  <c r="F214" i="10"/>
  <c r="C214" i="10"/>
  <c r="O213" i="10"/>
  <c r="L213" i="10"/>
  <c r="I213" i="10"/>
  <c r="F213" i="10"/>
  <c r="C213" i="10" s="1"/>
  <c r="O212" i="10"/>
  <c r="L212" i="10"/>
  <c r="I212" i="10"/>
  <c r="F212" i="10"/>
  <c r="C212" i="10" s="1"/>
  <c r="O211" i="10"/>
  <c r="L211" i="10"/>
  <c r="I211" i="10"/>
  <c r="F211" i="10"/>
  <c r="C211" i="10" s="1"/>
  <c r="O210" i="10"/>
  <c r="L210" i="10"/>
  <c r="I210" i="10"/>
  <c r="F210" i="10"/>
  <c r="C210" i="10"/>
  <c r="O209" i="10"/>
  <c r="O208" i="10" s="1"/>
  <c r="O207" i="10" s="1"/>
  <c r="L209" i="10"/>
  <c r="I209" i="10"/>
  <c r="F209" i="10"/>
  <c r="F208" i="10" s="1"/>
  <c r="N208" i="10"/>
  <c r="M208" i="10"/>
  <c r="L208" i="10"/>
  <c r="L207" i="10" s="1"/>
  <c r="K208" i="10"/>
  <c r="K207" i="10" s="1"/>
  <c r="J208" i="10"/>
  <c r="I208" i="10"/>
  <c r="H208" i="10"/>
  <c r="H207" i="10" s="1"/>
  <c r="G208" i="10"/>
  <c r="G207" i="10" s="1"/>
  <c r="E208" i="10"/>
  <c r="D208" i="10"/>
  <c r="D207" i="10" s="1"/>
  <c r="N207" i="10"/>
  <c r="M207" i="10"/>
  <c r="J207" i="10"/>
  <c r="E207" i="10"/>
  <c r="O206" i="10"/>
  <c r="L206" i="10"/>
  <c r="I206" i="10"/>
  <c r="F206" i="10"/>
  <c r="C206" i="10"/>
  <c r="O205" i="10"/>
  <c r="L205" i="10"/>
  <c r="I205" i="10"/>
  <c r="F205" i="10"/>
  <c r="C205" i="10" s="1"/>
  <c r="O204" i="10"/>
  <c r="L204" i="10"/>
  <c r="I204" i="10"/>
  <c r="F204" i="10"/>
  <c r="C204" i="10" s="1"/>
  <c r="O203" i="10"/>
  <c r="L203" i="10"/>
  <c r="I203" i="10"/>
  <c r="F203" i="10"/>
  <c r="C203" i="10" s="1"/>
  <c r="O202" i="10"/>
  <c r="O201" i="10" s="1"/>
  <c r="L202" i="10"/>
  <c r="I202" i="10"/>
  <c r="I201" i="10" s="1"/>
  <c r="F202" i="10"/>
  <c r="C202" i="10"/>
  <c r="N201" i="10"/>
  <c r="M201" i="10"/>
  <c r="L201" i="10"/>
  <c r="L199" i="10" s="1"/>
  <c r="L198" i="10" s="1"/>
  <c r="K201" i="10"/>
  <c r="K199" i="10" s="1"/>
  <c r="K198" i="10" s="1"/>
  <c r="K197" i="10" s="1"/>
  <c r="J201" i="10"/>
  <c r="H201" i="10"/>
  <c r="H199" i="10" s="1"/>
  <c r="H198" i="10" s="1"/>
  <c r="G201" i="10"/>
  <c r="G199" i="10" s="1"/>
  <c r="F201" i="10"/>
  <c r="E201" i="10"/>
  <c r="D201" i="10"/>
  <c r="D199" i="10" s="1"/>
  <c r="D198" i="10" s="1"/>
  <c r="D197" i="10" s="1"/>
  <c r="O200" i="10"/>
  <c r="L200" i="10"/>
  <c r="I200" i="10"/>
  <c r="F200" i="10"/>
  <c r="C200" i="10" s="1"/>
  <c r="N199" i="10"/>
  <c r="M199" i="10"/>
  <c r="M198" i="10" s="1"/>
  <c r="J199" i="10"/>
  <c r="F199" i="10"/>
  <c r="E199" i="10"/>
  <c r="E198" i="10" s="1"/>
  <c r="E197" i="10" s="1"/>
  <c r="N198" i="10"/>
  <c r="N197" i="10" s="1"/>
  <c r="J198" i="10"/>
  <c r="J197" i="10" s="1"/>
  <c r="O196" i="10"/>
  <c r="L196" i="10"/>
  <c r="I196" i="10"/>
  <c r="C196" i="10" s="1"/>
  <c r="O195" i="10"/>
  <c r="O194" i="10" s="1"/>
  <c r="O190" i="10" s="1"/>
  <c r="N195" i="10"/>
  <c r="M195" i="10"/>
  <c r="L195" i="10"/>
  <c r="L194" i="10" s="1"/>
  <c r="K195" i="10"/>
  <c r="K194" i="10" s="1"/>
  <c r="K190" i="10" s="1"/>
  <c r="J195" i="10"/>
  <c r="I195" i="10"/>
  <c r="C195" i="10" s="1"/>
  <c r="H195" i="10"/>
  <c r="H194" i="10" s="1"/>
  <c r="H190" i="10" s="1"/>
  <c r="G195" i="10"/>
  <c r="G194" i="10" s="1"/>
  <c r="G190" i="10" s="1"/>
  <c r="F195" i="10"/>
  <c r="E195" i="10"/>
  <c r="D195" i="10"/>
  <c r="D194" i="10" s="1"/>
  <c r="D190" i="10" s="1"/>
  <c r="N194" i="10"/>
  <c r="M194" i="10"/>
  <c r="J194" i="10"/>
  <c r="I194" i="10"/>
  <c r="F194" i="10"/>
  <c r="E194" i="10"/>
  <c r="O193" i="10"/>
  <c r="L193" i="10"/>
  <c r="I193" i="10"/>
  <c r="C193" i="10" s="1"/>
  <c r="O192" i="10"/>
  <c r="L192" i="10"/>
  <c r="L191" i="10" s="1"/>
  <c r="I192" i="10"/>
  <c r="C192" i="10" s="1"/>
  <c r="O191" i="10"/>
  <c r="N191" i="10"/>
  <c r="N190" i="10" s="1"/>
  <c r="M191" i="10"/>
  <c r="M190" i="10" s="1"/>
  <c r="K191" i="10"/>
  <c r="J191" i="10"/>
  <c r="J190" i="10" s="1"/>
  <c r="I191" i="10"/>
  <c r="I190" i="10" s="1"/>
  <c r="H191" i="10"/>
  <c r="G191" i="10"/>
  <c r="F191" i="10"/>
  <c r="F190" i="10" s="1"/>
  <c r="E191" i="10"/>
  <c r="E190" i="10" s="1"/>
  <c r="D191" i="10"/>
  <c r="O189" i="10"/>
  <c r="L189" i="10"/>
  <c r="I189" i="10"/>
  <c r="F189" i="10"/>
  <c r="C189" i="10" s="1"/>
  <c r="O188" i="10"/>
  <c r="L188" i="10"/>
  <c r="L187" i="10" s="1"/>
  <c r="I188" i="10"/>
  <c r="I187" i="10" s="1"/>
  <c r="C187" i="10" s="1"/>
  <c r="F188" i="10"/>
  <c r="C188" i="10" s="1"/>
  <c r="O187" i="10"/>
  <c r="N187" i="10"/>
  <c r="M187" i="10"/>
  <c r="K187" i="10"/>
  <c r="J187" i="10"/>
  <c r="H187" i="10"/>
  <c r="G187" i="10"/>
  <c r="F187" i="10"/>
  <c r="E187" i="10"/>
  <c r="D187" i="10"/>
  <c r="O186" i="10"/>
  <c r="L186" i="10"/>
  <c r="I186" i="10"/>
  <c r="F186" i="10"/>
  <c r="C186" i="10" s="1"/>
  <c r="O185" i="10"/>
  <c r="L185" i="10"/>
  <c r="I185" i="10"/>
  <c r="F185" i="10"/>
  <c r="C185" i="10" s="1"/>
  <c r="O184" i="10"/>
  <c r="L184" i="10"/>
  <c r="I184" i="10"/>
  <c r="F184" i="10"/>
  <c r="C184" i="10" s="1"/>
  <c r="O183" i="10"/>
  <c r="O182" i="10" s="1"/>
  <c r="L183" i="10"/>
  <c r="I183" i="10"/>
  <c r="I182" i="10" s="1"/>
  <c r="F183" i="10"/>
  <c r="C183" i="10"/>
  <c r="N182" i="10"/>
  <c r="M182" i="10"/>
  <c r="L182" i="10"/>
  <c r="K182" i="10"/>
  <c r="J182" i="10"/>
  <c r="H182" i="10"/>
  <c r="G182" i="10"/>
  <c r="E182" i="10"/>
  <c r="D182" i="10"/>
  <c r="O181" i="10"/>
  <c r="L181" i="10"/>
  <c r="I181" i="10"/>
  <c r="F181" i="10"/>
  <c r="C181" i="10" s="1"/>
  <c r="O180" i="10"/>
  <c r="L180" i="10"/>
  <c r="I180" i="10"/>
  <c r="F180" i="10"/>
  <c r="C180" i="10" s="1"/>
  <c r="O179" i="10"/>
  <c r="O178" i="10" s="1"/>
  <c r="O177" i="10" s="1"/>
  <c r="O176" i="10" s="1"/>
  <c r="L179" i="10"/>
  <c r="I179" i="10"/>
  <c r="I178" i="10" s="1"/>
  <c r="F179" i="10"/>
  <c r="C179" i="10"/>
  <c r="N178" i="10"/>
  <c r="N177" i="10" s="1"/>
  <c r="M178" i="10"/>
  <c r="L178" i="10"/>
  <c r="K178" i="10"/>
  <c r="K177" i="10" s="1"/>
  <c r="K176" i="10" s="1"/>
  <c r="J178" i="10"/>
  <c r="J177" i="10" s="1"/>
  <c r="H178" i="10"/>
  <c r="H177" i="10" s="1"/>
  <c r="H176" i="10" s="1"/>
  <c r="G178" i="10"/>
  <c r="G177" i="10" s="1"/>
  <c r="G176" i="10" s="1"/>
  <c r="E178" i="10"/>
  <c r="D178" i="10"/>
  <c r="D177" i="10" s="1"/>
  <c r="D176" i="10" s="1"/>
  <c r="M177" i="10"/>
  <c r="M176" i="10" s="1"/>
  <c r="L177" i="10"/>
  <c r="L176" i="10" s="1"/>
  <c r="I177" i="10"/>
  <c r="I176" i="10" s="1"/>
  <c r="E177" i="10"/>
  <c r="E176" i="10" s="1"/>
  <c r="N176" i="10"/>
  <c r="J176" i="10"/>
  <c r="O175" i="10"/>
  <c r="L175" i="10"/>
  <c r="I175" i="10"/>
  <c r="F175" i="10"/>
  <c r="C175" i="10"/>
  <c r="O174" i="10"/>
  <c r="L174" i="10"/>
  <c r="I174" i="10"/>
  <c r="F174" i="10"/>
  <c r="C174" i="10" s="1"/>
  <c r="O173" i="10"/>
  <c r="L173" i="10"/>
  <c r="I173" i="10"/>
  <c r="I169" i="10" s="1"/>
  <c r="I168" i="10" s="1"/>
  <c r="F173" i="10"/>
  <c r="O172" i="10"/>
  <c r="L172" i="10"/>
  <c r="L169" i="10" s="1"/>
  <c r="L168" i="10" s="1"/>
  <c r="I172" i="10"/>
  <c r="F172" i="10"/>
  <c r="O171" i="10"/>
  <c r="L171" i="10"/>
  <c r="I171" i="10"/>
  <c r="F171" i="10"/>
  <c r="C171" i="10"/>
  <c r="O170" i="10"/>
  <c r="O169" i="10" s="1"/>
  <c r="O168" i="10" s="1"/>
  <c r="L170" i="10"/>
  <c r="I170" i="10"/>
  <c r="F170" i="10"/>
  <c r="N169" i="10"/>
  <c r="M169" i="10"/>
  <c r="M168" i="10" s="1"/>
  <c r="K169" i="10"/>
  <c r="K168" i="10" s="1"/>
  <c r="J169" i="10"/>
  <c r="H169" i="10"/>
  <c r="H168" i="10" s="1"/>
  <c r="G169" i="10"/>
  <c r="G168" i="10" s="1"/>
  <c r="E169" i="10"/>
  <c r="E168" i="10" s="1"/>
  <c r="D169" i="10"/>
  <c r="D168" i="10" s="1"/>
  <c r="N168" i="10"/>
  <c r="J168" i="10"/>
  <c r="O167" i="10"/>
  <c r="L167" i="10"/>
  <c r="I167" i="10"/>
  <c r="F167" i="10"/>
  <c r="C167" i="10"/>
  <c r="O166" i="10"/>
  <c r="L166" i="10"/>
  <c r="I166" i="10"/>
  <c r="F166" i="10"/>
  <c r="C166" i="10" s="1"/>
  <c r="O165" i="10"/>
  <c r="L165" i="10"/>
  <c r="I165" i="10"/>
  <c r="F165" i="10"/>
  <c r="C165" i="10" s="1"/>
  <c r="O164" i="10"/>
  <c r="L164" i="10"/>
  <c r="L163" i="10" s="1"/>
  <c r="I164" i="10"/>
  <c r="I163" i="10" s="1"/>
  <c r="F164" i="10"/>
  <c r="C164" i="10" s="1"/>
  <c r="O163" i="10"/>
  <c r="C163" i="10" s="1"/>
  <c r="N163" i="10"/>
  <c r="M163" i="10"/>
  <c r="K163" i="10"/>
  <c r="J163" i="10"/>
  <c r="H163" i="10"/>
  <c r="G163" i="10"/>
  <c r="F163" i="10"/>
  <c r="E163" i="10"/>
  <c r="D163" i="10"/>
  <c r="O162" i="10"/>
  <c r="L162" i="10"/>
  <c r="I162" i="10"/>
  <c r="F162" i="10"/>
  <c r="C162" i="10" s="1"/>
  <c r="O161" i="10"/>
  <c r="L161" i="10"/>
  <c r="I161" i="10"/>
  <c r="F161" i="10"/>
  <c r="C161" i="10" s="1"/>
  <c r="O160" i="10"/>
  <c r="L160" i="10"/>
  <c r="I160" i="10"/>
  <c r="F160" i="10"/>
  <c r="O159" i="10"/>
  <c r="L159" i="10"/>
  <c r="I159" i="10"/>
  <c r="F159" i="10"/>
  <c r="C159" i="10"/>
  <c r="O158" i="10"/>
  <c r="L158" i="10"/>
  <c r="I158" i="10"/>
  <c r="F158" i="10"/>
  <c r="C158" i="10" s="1"/>
  <c r="O157" i="10"/>
  <c r="L157" i="10"/>
  <c r="I157" i="10"/>
  <c r="F157" i="10"/>
  <c r="C157" i="10" s="1"/>
  <c r="O156" i="10"/>
  <c r="L156" i="10"/>
  <c r="I156" i="10"/>
  <c r="F156" i="10"/>
  <c r="C156" i="10" s="1"/>
  <c r="O155" i="10"/>
  <c r="O154" i="10" s="1"/>
  <c r="L155" i="10"/>
  <c r="I155" i="10"/>
  <c r="I154" i="10" s="1"/>
  <c r="F155" i="10"/>
  <c r="C155" i="10"/>
  <c r="N154" i="10"/>
  <c r="M154" i="10"/>
  <c r="L154" i="10"/>
  <c r="K154" i="10"/>
  <c r="J154" i="10"/>
  <c r="H154" i="10"/>
  <c r="G154" i="10"/>
  <c r="E154" i="10"/>
  <c r="D154" i="10"/>
  <c r="O153" i="10"/>
  <c r="L153" i="10"/>
  <c r="I153" i="10"/>
  <c r="F153" i="10"/>
  <c r="O152" i="10"/>
  <c r="L152" i="10"/>
  <c r="I152" i="10"/>
  <c r="F152" i="10"/>
  <c r="O151" i="10"/>
  <c r="L151" i="10"/>
  <c r="I151" i="10"/>
  <c r="F151" i="10"/>
  <c r="C151" i="10"/>
  <c r="O150" i="10"/>
  <c r="L150" i="10"/>
  <c r="I150" i="10"/>
  <c r="F150" i="10"/>
  <c r="O149" i="10"/>
  <c r="L149" i="10"/>
  <c r="I149" i="10"/>
  <c r="F149" i="10"/>
  <c r="C149" i="10" s="1"/>
  <c r="O148" i="10"/>
  <c r="L148" i="10"/>
  <c r="I148" i="10"/>
  <c r="F148" i="10"/>
  <c r="O147" i="10"/>
  <c r="N147" i="10"/>
  <c r="M147" i="10"/>
  <c r="K147" i="10"/>
  <c r="J147" i="10"/>
  <c r="H147" i="10"/>
  <c r="G147" i="10"/>
  <c r="E147" i="10"/>
  <c r="D147" i="10"/>
  <c r="O146" i="10"/>
  <c r="L146" i="10"/>
  <c r="I146" i="10"/>
  <c r="F146" i="10"/>
  <c r="C146" i="10" s="1"/>
  <c r="O145" i="10"/>
  <c r="O144" i="10" s="1"/>
  <c r="L145" i="10"/>
  <c r="I145" i="10"/>
  <c r="I144" i="10" s="1"/>
  <c r="F145" i="10"/>
  <c r="C145" i="10" s="1"/>
  <c r="N144" i="10"/>
  <c r="M144" i="10"/>
  <c r="L144" i="10"/>
  <c r="K144" i="10"/>
  <c r="J144" i="10"/>
  <c r="H144" i="10"/>
  <c r="G144" i="10"/>
  <c r="F144" i="10"/>
  <c r="C144" i="10" s="1"/>
  <c r="E144" i="10"/>
  <c r="D144" i="10"/>
  <c r="O143" i="10"/>
  <c r="L143" i="10"/>
  <c r="I143" i="10"/>
  <c r="F143" i="10"/>
  <c r="C143" i="10"/>
  <c r="O142" i="10"/>
  <c r="L142" i="10"/>
  <c r="I142" i="10"/>
  <c r="F142" i="10"/>
  <c r="O141" i="10"/>
  <c r="L141" i="10"/>
  <c r="I141" i="10"/>
  <c r="F141" i="10"/>
  <c r="C141" i="10" s="1"/>
  <c r="O140" i="10"/>
  <c r="L140" i="10"/>
  <c r="L139" i="10" s="1"/>
  <c r="I140" i="10"/>
  <c r="I139" i="10" s="1"/>
  <c r="F140" i="10"/>
  <c r="C140" i="10" s="1"/>
  <c r="O139" i="10"/>
  <c r="N139" i="10"/>
  <c r="M139" i="10"/>
  <c r="K139" i="10"/>
  <c r="J139" i="10"/>
  <c r="H139" i="10"/>
  <c r="G139" i="10"/>
  <c r="E139" i="10"/>
  <c r="D139" i="10"/>
  <c r="O138" i="10"/>
  <c r="L138" i="10"/>
  <c r="I138" i="10"/>
  <c r="F138" i="10"/>
  <c r="C138" i="10" s="1"/>
  <c r="O137" i="10"/>
  <c r="L137" i="10"/>
  <c r="I137" i="10"/>
  <c r="F137" i="10"/>
  <c r="O136" i="10"/>
  <c r="L136" i="10"/>
  <c r="L134" i="10" s="1"/>
  <c r="I136" i="10"/>
  <c r="F136" i="10"/>
  <c r="O135" i="10"/>
  <c r="O134" i="10" s="1"/>
  <c r="L135" i="10"/>
  <c r="I135" i="10"/>
  <c r="I134" i="10" s="1"/>
  <c r="F135" i="10"/>
  <c r="C135" i="10"/>
  <c r="N134" i="10"/>
  <c r="N133" i="10" s="1"/>
  <c r="M134" i="10"/>
  <c r="K134" i="10"/>
  <c r="J134" i="10"/>
  <c r="J133" i="10" s="1"/>
  <c r="H134" i="10"/>
  <c r="H133" i="10" s="1"/>
  <c r="G134" i="10"/>
  <c r="G133" i="10" s="1"/>
  <c r="E134" i="10"/>
  <c r="D134" i="10"/>
  <c r="D133" i="10" s="1"/>
  <c r="M133" i="10"/>
  <c r="E133" i="10"/>
  <c r="O132" i="10"/>
  <c r="L132" i="10"/>
  <c r="L131" i="10" s="1"/>
  <c r="C131" i="10" s="1"/>
  <c r="I132" i="10"/>
  <c r="I131" i="10" s="1"/>
  <c r="F132" i="10"/>
  <c r="O131" i="10"/>
  <c r="N131" i="10"/>
  <c r="M131" i="10"/>
  <c r="K131" i="10"/>
  <c r="J131" i="10"/>
  <c r="H131" i="10"/>
  <c r="G131" i="10"/>
  <c r="F131" i="10"/>
  <c r="E131" i="10"/>
  <c r="D131" i="10"/>
  <c r="O130" i="10"/>
  <c r="L130" i="10"/>
  <c r="I130" i="10"/>
  <c r="F130" i="10"/>
  <c r="C130" i="10" s="1"/>
  <c r="O129" i="10"/>
  <c r="L129" i="10"/>
  <c r="I129" i="10"/>
  <c r="F129" i="10"/>
  <c r="O128" i="10"/>
  <c r="L128" i="10"/>
  <c r="L125" i="10" s="1"/>
  <c r="I128" i="10"/>
  <c r="F128" i="10"/>
  <c r="O127" i="10"/>
  <c r="L127" i="10"/>
  <c r="I127" i="10"/>
  <c r="F127" i="10"/>
  <c r="C127" i="10"/>
  <c r="O126" i="10"/>
  <c r="O125" i="10" s="1"/>
  <c r="L126" i="10"/>
  <c r="I126" i="10"/>
  <c r="F126" i="10"/>
  <c r="N125" i="10"/>
  <c r="M125" i="10"/>
  <c r="K125" i="10"/>
  <c r="J125" i="10"/>
  <c r="I125" i="10"/>
  <c r="H125" i="10"/>
  <c r="G125" i="10"/>
  <c r="E125" i="10"/>
  <c r="D125" i="10"/>
  <c r="O124" i="10"/>
  <c r="L124" i="10"/>
  <c r="I124" i="10"/>
  <c r="F124" i="10"/>
  <c r="C124" i="10" s="1"/>
  <c r="O123" i="10"/>
  <c r="O119" i="10" s="1"/>
  <c r="L123" i="10"/>
  <c r="I123" i="10"/>
  <c r="F123" i="10"/>
  <c r="C123" i="10"/>
  <c r="O122" i="10"/>
  <c r="L122" i="10"/>
  <c r="I122" i="10"/>
  <c r="F122" i="10"/>
  <c r="O121" i="10"/>
  <c r="L121" i="10"/>
  <c r="I121" i="10"/>
  <c r="F121" i="10"/>
  <c r="O120" i="10"/>
  <c r="L120" i="10"/>
  <c r="L119" i="10" s="1"/>
  <c r="I120" i="10"/>
  <c r="I119" i="10" s="1"/>
  <c r="F120" i="10"/>
  <c r="C120" i="10" s="1"/>
  <c r="N119" i="10"/>
  <c r="M119" i="10"/>
  <c r="K119" i="10"/>
  <c r="J119" i="10"/>
  <c r="H119" i="10"/>
  <c r="G119" i="10"/>
  <c r="E119" i="10"/>
  <c r="D119" i="10"/>
  <c r="O118" i="10"/>
  <c r="L118" i="10"/>
  <c r="I118" i="10"/>
  <c r="F118" i="10"/>
  <c r="O117" i="10"/>
  <c r="L117" i="10"/>
  <c r="I117" i="10"/>
  <c r="F117" i="10"/>
  <c r="C117" i="10" s="1"/>
  <c r="O116" i="10"/>
  <c r="L116" i="10"/>
  <c r="L115" i="10" s="1"/>
  <c r="I116" i="10"/>
  <c r="I115" i="10" s="1"/>
  <c r="F116" i="10"/>
  <c r="O115" i="10"/>
  <c r="N115" i="10"/>
  <c r="M115" i="10"/>
  <c r="K115" i="10"/>
  <c r="J115" i="10"/>
  <c r="H115" i="10"/>
  <c r="G115" i="10"/>
  <c r="E115" i="10"/>
  <c r="D115" i="10"/>
  <c r="O114" i="10"/>
  <c r="L114" i="10"/>
  <c r="I114" i="10"/>
  <c r="F114" i="10"/>
  <c r="C114" i="10" s="1"/>
  <c r="O113" i="10"/>
  <c r="L113" i="10"/>
  <c r="I113" i="10"/>
  <c r="F113" i="10"/>
  <c r="O112" i="10"/>
  <c r="L112" i="10"/>
  <c r="I112" i="10"/>
  <c r="F112" i="10"/>
  <c r="C112" i="10" s="1"/>
  <c r="O111" i="10"/>
  <c r="L111" i="10"/>
  <c r="I111" i="10"/>
  <c r="F111" i="10"/>
  <c r="C111" i="10"/>
  <c r="O110" i="10"/>
  <c r="L110" i="10"/>
  <c r="I110" i="10"/>
  <c r="F110" i="10"/>
  <c r="C110" i="10" s="1"/>
  <c r="O109" i="10"/>
  <c r="L109" i="10"/>
  <c r="I109" i="10"/>
  <c r="F109" i="10"/>
  <c r="O108" i="10"/>
  <c r="L108" i="10"/>
  <c r="I108" i="10"/>
  <c r="I106" i="10" s="1"/>
  <c r="F108" i="10"/>
  <c r="O107" i="10"/>
  <c r="L107" i="10"/>
  <c r="C107" i="10" s="1"/>
  <c r="I107" i="10"/>
  <c r="F107" i="10"/>
  <c r="O106" i="10"/>
  <c r="N106" i="10"/>
  <c r="M106" i="10"/>
  <c r="K106" i="10"/>
  <c r="J106" i="10"/>
  <c r="H106" i="10"/>
  <c r="G106" i="10"/>
  <c r="E106" i="10"/>
  <c r="D106" i="10"/>
  <c r="O105" i="10"/>
  <c r="L105" i="10"/>
  <c r="I105" i="10"/>
  <c r="C105" i="10" s="1"/>
  <c r="F105" i="10"/>
  <c r="O104" i="10"/>
  <c r="L104" i="10"/>
  <c r="C104" i="10" s="1"/>
  <c r="I104" i="10"/>
  <c r="F104" i="10"/>
  <c r="O103" i="10"/>
  <c r="L103" i="10"/>
  <c r="I103" i="10"/>
  <c r="F103" i="10"/>
  <c r="C103" i="10"/>
  <c r="O102" i="10"/>
  <c r="L102" i="10"/>
  <c r="I102" i="10"/>
  <c r="F102" i="10"/>
  <c r="C102" i="10" s="1"/>
  <c r="O101" i="10"/>
  <c r="L101" i="10"/>
  <c r="I101" i="10"/>
  <c r="C101" i="10" s="1"/>
  <c r="F101" i="10"/>
  <c r="O100" i="10"/>
  <c r="L100" i="10"/>
  <c r="C100" i="10" s="1"/>
  <c r="I100" i="10"/>
  <c r="F100" i="10"/>
  <c r="O99" i="10"/>
  <c r="O98" i="10" s="1"/>
  <c r="L99" i="10"/>
  <c r="I99" i="10"/>
  <c r="F99" i="10"/>
  <c r="F98" i="10" s="1"/>
  <c r="C98" i="10" s="1"/>
  <c r="C99" i="10"/>
  <c r="N98" i="10"/>
  <c r="M98" i="10"/>
  <c r="L98" i="10"/>
  <c r="K98" i="10"/>
  <c r="J98" i="10"/>
  <c r="I98" i="10"/>
  <c r="H98" i="10"/>
  <c r="G98" i="10"/>
  <c r="E98" i="10"/>
  <c r="D98" i="10"/>
  <c r="O97" i="10"/>
  <c r="L97" i="10"/>
  <c r="I97" i="10"/>
  <c r="C97" i="10" s="1"/>
  <c r="F97" i="10"/>
  <c r="O96" i="10"/>
  <c r="L96" i="10"/>
  <c r="I96" i="10"/>
  <c r="F96" i="10"/>
  <c r="C96" i="10"/>
  <c r="O95" i="10"/>
  <c r="L95" i="10"/>
  <c r="I95" i="10"/>
  <c r="F95" i="10"/>
  <c r="C95" i="10" s="1"/>
  <c r="O94" i="10"/>
  <c r="L94" i="10"/>
  <c r="I94" i="10"/>
  <c r="F94" i="10"/>
  <c r="C94" i="10" s="1"/>
  <c r="O93" i="10"/>
  <c r="L93" i="10"/>
  <c r="L92" i="10" s="1"/>
  <c r="I93" i="10"/>
  <c r="I92" i="10" s="1"/>
  <c r="F93" i="10"/>
  <c r="O92" i="10"/>
  <c r="N92" i="10"/>
  <c r="M92" i="10"/>
  <c r="K92" i="10"/>
  <c r="J92" i="10"/>
  <c r="H92" i="10"/>
  <c r="G92" i="10"/>
  <c r="F92" i="10"/>
  <c r="E92" i="10"/>
  <c r="D92" i="10"/>
  <c r="O91" i="10"/>
  <c r="L91" i="10"/>
  <c r="I91" i="10"/>
  <c r="F91" i="10"/>
  <c r="C91" i="10" s="1"/>
  <c r="O90" i="10"/>
  <c r="L90" i="10"/>
  <c r="I90" i="10"/>
  <c r="F90" i="10"/>
  <c r="C90" i="10" s="1"/>
  <c r="O89" i="10"/>
  <c r="L89" i="10"/>
  <c r="I89" i="10"/>
  <c r="C89" i="10" s="1"/>
  <c r="F89" i="10"/>
  <c r="O88" i="10"/>
  <c r="O87" i="10" s="1"/>
  <c r="O86" i="10" s="1"/>
  <c r="L88" i="10"/>
  <c r="I88" i="10"/>
  <c r="F88" i="10"/>
  <c r="F87" i="10" s="1"/>
  <c r="C88" i="10"/>
  <c r="N87" i="10"/>
  <c r="M87" i="10"/>
  <c r="L87" i="10"/>
  <c r="K87" i="10"/>
  <c r="K86" i="10" s="1"/>
  <c r="J87" i="10"/>
  <c r="H87" i="10"/>
  <c r="G87" i="10"/>
  <c r="G86" i="10" s="1"/>
  <c r="E87" i="10"/>
  <c r="D87" i="10"/>
  <c r="N86" i="10"/>
  <c r="M86" i="10"/>
  <c r="J86" i="10"/>
  <c r="H86" i="10"/>
  <c r="E86" i="10"/>
  <c r="D86" i="10"/>
  <c r="O85" i="10"/>
  <c r="L85" i="10"/>
  <c r="I85" i="10"/>
  <c r="C85" i="10" s="1"/>
  <c r="F85" i="10"/>
  <c r="O84" i="10"/>
  <c r="O83" i="10" s="1"/>
  <c r="O79" i="10" s="1"/>
  <c r="L84" i="10"/>
  <c r="I84" i="10"/>
  <c r="F84" i="10"/>
  <c r="F83" i="10" s="1"/>
  <c r="C84" i="10"/>
  <c r="N83" i="10"/>
  <c r="M83" i="10"/>
  <c r="L83" i="10"/>
  <c r="K83" i="10"/>
  <c r="J83" i="10"/>
  <c r="H83" i="10"/>
  <c r="G83" i="10"/>
  <c r="E83" i="10"/>
  <c r="D83" i="10"/>
  <c r="O82" i="10"/>
  <c r="L82" i="10"/>
  <c r="I82" i="10"/>
  <c r="F82" i="10"/>
  <c r="C82" i="10" s="1"/>
  <c r="O81" i="10"/>
  <c r="L81" i="10"/>
  <c r="L80" i="10" s="1"/>
  <c r="L79" i="10" s="1"/>
  <c r="I81" i="10"/>
  <c r="I80" i="10" s="1"/>
  <c r="F81" i="10"/>
  <c r="O80" i="10"/>
  <c r="N80" i="10"/>
  <c r="N79" i="10" s="1"/>
  <c r="N78" i="10" s="1"/>
  <c r="M80" i="10"/>
  <c r="K80" i="10"/>
  <c r="J80" i="10"/>
  <c r="J79" i="10" s="1"/>
  <c r="J78" i="10" s="1"/>
  <c r="H80" i="10"/>
  <c r="G80" i="10"/>
  <c r="F80" i="10"/>
  <c r="E80" i="10"/>
  <c r="D80" i="10"/>
  <c r="M79" i="10"/>
  <c r="K79" i="10"/>
  <c r="H79" i="10"/>
  <c r="G79" i="10"/>
  <c r="G78" i="10" s="1"/>
  <c r="E79" i="10"/>
  <c r="D79" i="10"/>
  <c r="M78" i="10"/>
  <c r="H78" i="10"/>
  <c r="E78" i="10"/>
  <c r="D78" i="10"/>
  <c r="O77" i="10"/>
  <c r="L77" i="10"/>
  <c r="I77" i="10"/>
  <c r="C77" i="10" s="1"/>
  <c r="F77" i="10"/>
  <c r="O76" i="10"/>
  <c r="L76" i="10"/>
  <c r="I76" i="10"/>
  <c r="F76" i="10"/>
  <c r="C76" i="10"/>
  <c r="O75" i="10"/>
  <c r="L75" i="10"/>
  <c r="I75" i="10"/>
  <c r="F75" i="10"/>
  <c r="C75" i="10" s="1"/>
  <c r="O74" i="10"/>
  <c r="L74" i="10"/>
  <c r="I74" i="10"/>
  <c r="F74" i="10"/>
  <c r="C74" i="10" s="1"/>
  <c r="O73" i="10"/>
  <c r="L73" i="10"/>
  <c r="L72" i="10" s="1"/>
  <c r="L70" i="10" s="1"/>
  <c r="I73" i="10"/>
  <c r="I72" i="10" s="1"/>
  <c r="F73" i="10"/>
  <c r="O72" i="10"/>
  <c r="N72" i="10"/>
  <c r="N70" i="10" s="1"/>
  <c r="N56" i="10" s="1"/>
  <c r="M72" i="10"/>
  <c r="K72" i="10"/>
  <c r="K70" i="10" s="1"/>
  <c r="K56" i="10" s="1"/>
  <c r="J72" i="10"/>
  <c r="J70" i="10" s="1"/>
  <c r="J56" i="10" s="1"/>
  <c r="J55" i="10" s="1"/>
  <c r="J54" i="10" s="1"/>
  <c r="H72" i="10"/>
  <c r="G72" i="10"/>
  <c r="G70" i="10" s="1"/>
  <c r="G56" i="10" s="1"/>
  <c r="F72" i="10"/>
  <c r="E72" i="10"/>
  <c r="D72" i="10"/>
  <c r="O71" i="10"/>
  <c r="O70" i="10" s="1"/>
  <c r="L71" i="10"/>
  <c r="I71" i="10"/>
  <c r="F71" i="10"/>
  <c r="F70" i="10" s="1"/>
  <c r="M70" i="10"/>
  <c r="H70" i="10"/>
  <c r="E70" i="10"/>
  <c r="D70" i="10"/>
  <c r="O69" i="10"/>
  <c r="L69" i="10"/>
  <c r="I69" i="10"/>
  <c r="C69" i="10" s="1"/>
  <c r="F69" i="10"/>
  <c r="O68" i="10"/>
  <c r="L68" i="10"/>
  <c r="I68" i="10"/>
  <c r="F68" i="10"/>
  <c r="C68" i="10"/>
  <c r="O67" i="10"/>
  <c r="L67" i="10"/>
  <c r="I67" i="10"/>
  <c r="F67" i="10"/>
  <c r="C67" i="10" s="1"/>
  <c r="O66" i="10"/>
  <c r="L66" i="10"/>
  <c r="I66" i="10"/>
  <c r="F66" i="10"/>
  <c r="C66" i="10" s="1"/>
  <c r="O65" i="10"/>
  <c r="L65" i="10"/>
  <c r="I65" i="10"/>
  <c r="C65" i="10" s="1"/>
  <c r="F65" i="10"/>
  <c r="O64" i="10"/>
  <c r="L64" i="10"/>
  <c r="L61" i="10" s="1"/>
  <c r="I64" i="10"/>
  <c r="F64" i="10"/>
  <c r="C64" i="10"/>
  <c r="O63" i="10"/>
  <c r="O61" i="10" s="1"/>
  <c r="L63" i="10"/>
  <c r="I63" i="10"/>
  <c r="F63" i="10"/>
  <c r="C63" i="10" s="1"/>
  <c r="O62" i="10"/>
  <c r="L62" i="10"/>
  <c r="I62" i="10"/>
  <c r="F62" i="10"/>
  <c r="C62" i="10" s="1"/>
  <c r="N61" i="10"/>
  <c r="M61" i="10"/>
  <c r="K61" i="10"/>
  <c r="J61" i="10"/>
  <c r="I61" i="10"/>
  <c r="H61" i="10"/>
  <c r="G61" i="10"/>
  <c r="F61" i="10"/>
  <c r="E61" i="10"/>
  <c r="D61" i="10"/>
  <c r="O60" i="10"/>
  <c r="L60" i="10"/>
  <c r="I60" i="10"/>
  <c r="F60" i="10"/>
  <c r="C60" i="10"/>
  <c r="O59" i="10"/>
  <c r="O58" i="10" s="1"/>
  <c r="L59" i="10"/>
  <c r="I59" i="10"/>
  <c r="F59" i="10"/>
  <c r="F58" i="10" s="1"/>
  <c r="N58" i="10"/>
  <c r="M58" i="10"/>
  <c r="L58" i="10"/>
  <c r="K58" i="10"/>
  <c r="J58" i="10"/>
  <c r="I58" i="10"/>
  <c r="H58" i="10"/>
  <c r="H57" i="10" s="1"/>
  <c r="H56" i="10" s="1"/>
  <c r="H55" i="10" s="1"/>
  <c r="G58" i="10"/>
  <c r="E58" i="10"/>
  <c r="D58" i="10"/>
  <c r="D57" i="10" s="1"/>
  <c r="D56" i="10" s="1"/>
  <c r="D55" i="10" s="1"/>
  <c r="D54" i="10" s="1"/>
  <c r="N57" i="10"/>
  <c r="M57" i="10"/>
  <c r="M56" i="10" s="1"/>
  <c r="M55" i="10" s="1"/>
  <c r="K57" i="10"/>
  <c r="J57" i="10"/>
  <c r="I57" i="10"/>
  <c r="G57" i="10"/>
  <c r="E57" i="10"/>
  <c r="E56" i="10" s="1"/>
  <c r="E55" i="10" s="1"/>
  <c r="E54" i="10" s="1"/>
  <c r="O50" i="10"/>
  <c r="C50" i="10" s="1"/>
  <c r="O49" i="10"/>
  <c r="C49" i="10"/>
  <c r="O48" i="10"/>
  <c r="N48" i="10"/>
  <c r="M48" i="10"/>
  <c r="L47" i="10"/>
  <c r="I47" i="10"/>
  <c r="C47" i="10" s="1"/>
  <c r="F47" i="10"/>
  <c r="L46" i="10"/>
  <c r="K46" i="10"/>
  <c r="J46" i="10"/>
  <c r="H46" i="10"/>
  <c r="G46" i="10"/>
  <c r="F46" i="10"/>
  <c r="E46" i="10"/>
  <c r="D46" i="10"/>
  <c r="F45" i="10"/>
  <c r="C45" i="10"/>
  <c r="L44" i="10"/>
  <c r="C44" i="10"/>
  <c r="L43" i="10"/>
  <c r="C43" i="10"/>
  <c r="L42" i="10"/>
  <c r="C42" i="10"/>
  <c r="L41" i="10"/>
  <c r="C41" i="10"/>
  <c r="L40" i="10"/>
  <c r="C40" i="10" s="1"/>
  <c r="K40" i="10"/>
  <c r="J40" i="10"/>
  <c r="L39" i="10"/>
  <c r="C39" i="10"/>
  <c r="K37" i="10"/>
  <c r="L36" i="10"/>
  <c r="C36" i="10" s="1"/>
  <c r="K35" i="10"/>
  <c r="K30" i="10" s="1"/>
  <c r="J35" i="10"/>
  <c r="L34" i="10"/>
  <c r="C34" i="10"/>
  <c r="L33" i="10"/>
  <c r="C33" i="10" s="1"/>
  <c r="L32" i="10"/>
  <c r="C32" i="10"/>
  <c r="L31" i="10"/>
  <c r="K31" i="10"/>
  <c r="J31" i="10"/>
  <c r="C31" i="10"/>
  <c r="F29" i="10"/>
  <c r="C29" i="10" s="1"/>
  <c r="I28" i="10"/>
  <c r="O27" i="10"/>
  <c r="L27" i="10"/>
  <c r="I27" i="10"/>
  <c r="C27" i="10" s="1"/>
  <c r="F27" i="10"/>
  <c r="O26" i="10"/>
  <c r="O25" i="10" s="1"/>
  <c r="L26" i="10"/>
  <c r="I26" i="10"/>
  <c r="F26" i="10"/>
  <c r="C26" i="10"/>
  <c r="N25" i="10"/>
  <c r="N290" i="10" s="1"/>
  <c r="N289" i="10" s="1"/>
  <c r="M25" i="10"/>
  <c r="M290" i="10" s="1"/>
  <c r="M289" i="10" s="1"/>
  <c r="L25" i="10"/>
  <c r="L290" i="10" s="1"/>
  <c r="L289" i="10" s="1"/>
  <c r="K25" i="10"/>
  <c r="K290" i="10" s="1"/>
  <c r="K289" i="10" s="1"/>
  <c r="J25" i="10"/>
  <c r="J290" i="10" s="1"/>
  <c r="J289" i="10" s="1"/>
  <c r="H25" i="10"/>
  <c r="H290" i="10" s="1"/>
  <c r="H289" i="10" s="1"/>
  <c r="G25" i="10"/>
  <c r="G290" i="10" s="1"/>
  <c r="G289" i="10" s="1"/>
  <c r="F25" i="10"/>
  <c r="F290" i="10" s="1"/>
  <c r="E25" i="10"/>
  <c r="E290" i="10" s="1"/>
  <c r="E289" i="10" s="1"/>
  <c r="D25" i="10"/>
  <c r="D290" i="10" s="1"/>
  <c r="D289" i="10" s="1"/>
  <c r="N24" i="10"/>
  <c r="M24" i="10"/>
  <c r="H24" i="10"/>
  <c r="E24" i="10"/>
  <c r="O299" i="9"/>
  <c r="L299" i="9"/>
  <c r="I299" i="9"/>
  <c r="C299" i="9" s="1"/>
  <c r="F299" i="9"/>
  <c r="O298" i="9"/>
  <c r="L298" i="9"/>
  <c r="I298" i="9"/>
  <c r="F298" i="9"/>
  <c r="C298" i="9"/>
  <c r="O297" i="9"/>
  <c r="L297" i="9"/>
  <c r="I297" i="9"/>
  <c r="F297" i="9"/>
  <c r="C297" i="9" s="1"/>
  <c r="O296" i="9"/>
  <c r="L296" i="9"/>
  <c r="I296" i="9"/>
  <c r="F296" i="9"/>
  <c r="C296" i="9" s="1"/>
  <c r="O295" i="9"/>
  <c r="L295" i="9"/>
  <c r="I295" i="9"/>
  <c r="C295" i="9" s="1"/>
  <c r="F295" i="9"/>
  <c r="O294" i="9"/>
  <c r="L294" i="9"/>
  <c r="I294" i="9"/>
  <c r="F294" i="9"/>
  <c r="C294" i="9"/>
  <c r="O293" i="9"/>
  <c r="L293" i="9"/>
  <c r="I293" i="9"/>
  <c r="F293" i="9"/>
  <c r="C293" i="9" s="1"/>
  <c r="O292" i="9"/>
  <c r="L292" i="9"/>
  <c r="I292" i="9"/>
  <c r="F292" i="9"/>
  <c r="N291" i="9"/>
  <c r="M291" i="9"/>
  <c r="K291" i="9"/>
  <c r="J291" i="9"/>
  <c r="L291" i="9" s="1"/>
  <c r="I291" i="9"/>
  <c r="H291" i="9"/>
  <c r="G291" i="9"/>
  <c r="E291" i="9"/>
  <c r="F291" i="9" s="1"/>
  <c r="D291" i="9"/>
  <c r="O286" i="9"/>
  <c r="L286" i="9"/>
  <c r="I286" i="9"/>
  <c r="F286" i="9"/>
  <c r="C286" i="9"/>
  <c r="O285" i="9"/>
  <c r="L285" i="9"/>
  <c r="I285" i="9"/>
  <c r="F285" i="9"/>
  <c r="C285" i="9" s="1"/>
  <c r="N284" i="9"/>
  <c r="M284" i="9"/>
  <c r="K284" i="9"/>
  <c r="J284" i="9"/>
  <c r="L284" i="9" s="1"/>
  <c r="I284" i="9"/>
  <c r="H284" i="9"/>
  <c r="G284" i="9"/>
  <c r="E284" i="9"/>
  <c r="D284" i="9"/>
  <c r="O283" i="9"/>
  <c r="L283" i="9"/>
  <c r="I283" i="9"/>
  <c r="C283" i="9" s="1"/>
  <c r="F283" i="9"/>
  <c r="O282" i="9"/>
  <c r="N282" i="9"/>
  <c r="M282" i="9"/>
  <c r="K282" i="9"/>
  <c r="J282" i="9"/>
  <c r="L282" i="9" s="1"/>
  <c r="H282" i="9"/>
  <c r="G282" i="9"/>
  <c r="I282" i="9" s="1"/>
  <c r="E282" i="9"/>
  <c r="D282" i="9"/>
  <c r="F282" i="9" s="1"/>
  <c r="C282" i="9" s="1"/>
  <c r="O281" i="9"/>
  <c r="L281" i="9"/>
  <c r="I281" i="9"/>
  <c r="F281" i="9"/>
  <c r="C281" i="9" s="1"/>
  <c r="O280" i="9"/>
  <c r="L280" i="9"/>
  <c r="I280" i="9"/>
  <c r="F280" i="9"/>
  <c r="C280" i="9" s="1"/>
  <c r="O279" i="9"/>
  <c r="L279" i="9"/>
  <c r="C279" i="9" s="1"/>
  <c r="I279" i="9"/>
  <c r="F279" i="9"/>
  <c r="O278" i="9"/>
  <c r="N278" i="9"/>
  <c r="M278" i="9"/>
  <c r="K278" i="9"/>
  <c r="J278" i="9"/>
  <c r="L278" i="9" s="1"/>
  <c r="H278" i="9"/>
  <c r="G278" i="9"/>
  <c r="I278" i="9" s="1"/>
  <c r="C278" i="9" s="1"/>
  <c r="F278" i="9"/>
  <c r="E278" i="9"/>
  <c r="D278" i="9"/>
  <c r="O277" i="9"/>
  <c r="L277" i="9"/>
  <c r="I277" i="9"/>
  <c r="F277" i="9"/>
  <c r="C277" i="9" s="1"/>
  <c r="O276" i="9"/>
  <c r="L276" i="9"/>
  <c r="I276" i="9"/>
  <c r="F276" i="9"/>
  <c r="C276" i="9" s="1"/>
  <c r="O275" i="9"/>
  <c r="L275" i="9"/>
  <c r="I275" i="9"/>
  <c r="C275" i="9" s="1"/>
  <c r="F275" i="9"/>
  <c r="O274" i="9"/>
  <c r="N274" i="9"/>
  <c r="M274" i="9"/>
  <c r="K274" i="9"/>
  <c r="K272" i="9" s="1"/>
  <c r="K271" i="9" s="1"/>
  <c r="K197" i="9" s="1"/>
  <c r="J274" i="9"/>
  <c r="L274" i="9" s="1"/>
  <c r="H274" i="9"/>
  <c r="G274" i="9"/>
  <c r="I274" i="9" s="1"/>
  <c r="E274" i="9"/>
  <c r="D274" i="9"/>
  <c r="F274" i="9" s="1"/>
  <c r="C274" i="9" s="1"/>
  <c r="O273" i="9"/>
  <c r="L273" i="9"/>
  <c r="I273" i="9"/>
  <c r="F273" i="9"/>
  <c r="C273" i="9" s="1"/>
  <c r="N272" i="9"/>
  <c r="M272" i="9"/>
  <c r="O272" i="9" s="1"/>
  <c r="J272" i="9"/>
  <c r="L272" i="9" s="1"/>
  <c r="H272" i="9"/>
  <c r="E272" i="9"/>
  <c r="D272" i="9"/>
  <c r="F272" i="9" s="1"/>
  <c r="N271" i="9"/>
  <c r="M271" i="9"/>
  <c r="O271" i="9" s="1"/>
  <c r="J271" i="9"/>
  <c r="H271" i="9"/>
  <c r="F271" i="9"/>
  <c r="E271" i="9"/>
  <c r="D271" i="9"/>
  <c r="O270" i="9"/>
  <c r="L270" i="9"/>
  <c r="I270" i="9"/>
  <c r="F270" i="9"/>
  <c r="C270" i="9"/>
  <c r="O269" i="9"/>
  <c r="L269" i="9"/>
  <c r="I269" i="9"/>
  <c r="F269" i="9"/>
  <c r="C269" i="9" s="1"/>
  <c r="O268" i="9"/>
  <c r="L268" i="9"/>
  <c r="I268" i="9"/>
  <c r="F268" i="9"/>
  <c r="C268" i="9" s="1"/>
  <c r="D268" i="9"/>
  <c r="O267" i="9"/>
  <c r="L267" i="9"/>
  <c r="I267" i="9"/>
  <c r="F267" i="9"/>
  <c r="C267" i="9"/>
  <c r="O266" i="9"/>
  <c r="N266" i="9"/>
  <c r="M266" i="9"/>
  <c r="L266" i="9"/>
  <c r="K266" i="9"/>
  <c r="J266" i="9"/>
  <c r="H266" i="9"/>
  <c r="G266" i="9"/>
  <c r="I266" i="9" s="1"/>
  <c r="E266" i="9"/>
  <c r="D266" i="9"/>
  <c r="F266" i="9" s="1"/>
  <c r="O265" i="9"/>
  <c r="L265" i="9"/>
  <c r="I265" i="9"/>
  <c r="F265" i="9"/>
  <c r="C265" i="9" s="1"/>
  <c r="O264" i="9"/>
  <c r="L264" i="9"/>
  <c r="I264" i="9"/>
  <c r="C264" i="9" s="1"/>
  <c r="F264" i="9"/>
  <c r="O263" i="9"/>
  <c r="L263" i="9"/>
  <c r="I263" i="9"/>
  <c r="F263" i="9"/>
  <c r="C263" i="9"/>
  <c r="N262" i="9"/>
  <c r="M262" i="9"/>
  <c r="O262" i="9" s="1"/>
  <c r="L262" i="9"/>
  <c r="K262" i="9"/>
  <c r="J262" i="9"/>
  <c r="H262" i="9"/>
  <c r="H261" i="9" s="1"/>
  <c r="G262" i="9"/>
  <c r="I262" i="9" s="1"/>
  <c r="E262" i="9"/>
  <c r="D262" i="9"/>
  <c r="D261" i="9" s="1"/>
  <c r="N261" i="9"/>
  <c r="M261" i="9"/>
  <c r="O261" i="9" s="1"/>
  <c r="K261" i="9"/>
  <c r="J261" i="9"/>
  <c r="L261" i="9" s="1"/>
  <c r="G261" i="9"/>
  <c r="E261" i="9"/>
  <c r="O260" i="9"/>
  <c r="L260" i="9"/>
  <c r="I260" i="9"/>
  <c r="C260" i="9" s="1"/>
  <c r="F260" i="9"/>
  <c r="O259" i="9"/>
  <c r="L259" i="9"/>
  <c r="I259" i="9"/>
  <c r="F259" i="9"/>
  <c r="C259" i="9"/>
  <c r="O258" i="9"/>
  <c r="L258" i="9"/>
  <c r="I258" i="9"/>
  <c r="F258" i="9"/>
  <c r="C258" i="9" s="1"/>
  <c r="O257" i="9"/>
  <c r="L257" i="9"/>
  <c r="I257" i="9"/>
  <c r="F257" i="9"/>
  <c r="C257" i="9" s="1"/>
  <c r="O256" i="9"/>
  <c r="L256" i="9"/>
  <c r="C256" i="9" s="1"/>
  <c r="I256" i="9"/>
  <c r="F256" i="9"/>
  <c r="O255" i="9"/>
  <c r="N255" i="9"/>
  <c r="M255" i="9"/>
  <c r="K255" i="9"/>
  <c r="J255" i="9"/>
  <c r="L255" i="9" s="1"/>
  <c r="H255" i="9"/>
  <c r="G255" i="9"/>
  <c r="I255" i="9" s="1"/>
  <c r="E255" i="9"/>
  <c r="D255" i="9"/>
  <c r="F255" i="9" s="1"/>
  <c r="C255" i="9" s="1"/>
  <c r="N254" i="9"/>
  <c r="M254" i="9"/>
  <c r="O254" i="9" s="1"/>
  <c r="L254" i="9"/>
  <c r="K254" i="9"/>
  <c r="J254" i="9"/>
  <c r="H254" i="9"/>
  <c r="G254" i="9"/>
  <c r="I254" i="9" s="1"/>
  <c r="E254" i="9"/>
  <c r="D254" i="9"/>
  <c r="F254" i="9" s="1"/>
  <c r="C254" i="9" s="1"/>
  <c r="O253" i="9"/>
  <c r="L253" i="9"/>
  <c r="I253" i="9"/>
  <c r="F253" i="9"/>
  <c r="C253" i="9" s="1"/>
  <c r="O252" i="9"/>
  <c r="L252" i="9"/>
  <c r="C252" i="9" s="1"/>
  <c r="I252" i="9"/>
  <c r="F252" i="9"/>
  <c r="O251" i="9"/>
  <c r="L251" i="9"/>
  <c r="I251" i="9"/>
  <c r="F251" i="9"/>
  <c r="C251" i="9"/>
  <c r="O250" i="9"/>
  <c r="L250" i="9"/>
  <c r="I250" i="9"/>
  <c r="F250" i="9"/>
  <c r="C250" i="9" s="1"/>
  <c r="N249" i="9"/>
  <c r="M249" i="9"/>
  <c r="O249" i="9" s="1"/>
  <c r="K249" i="9"/>
  <c r="J249" i="9"/>
  <c r="L249" i="9" s="1"/>
  <c r="I249" i="9"/>
  <c r="H249" i="9"/>
  <c r="G249" i="9"/>
  <c r="E249" i="9"/>
  <c r="D249" i="9"/>
  <c r="F249" i="9" s="1"/>
  <c r="C249" i="9" s="1"/>
  <c r="O248" i="9"/>
  <c r="L248" i="9"/>
  <c r="I248" i="9"/>
  <c r="C248" i="9" s="1"/>
  <c r="F248" i="9"/>
  <c r="O247" i="9"/>
  <c r="L247" i="9"/>
  <c r="I247" i="9"/>
  <c r="F247" i="9"/>
  <c r="C247" i="9"/>
  <c r="O246" i="9"/>
  <c r="L246" i="9"/>
  <c r="I246" i="9"/>
  <c r="F246" i="9"/>
  <c r="C246" i="9" s="1"/>
  <c r="O245" i="9"/>
  <c r="L245" i="9"/>
  <c r="I245" i="9"/>
  <c r="F245" i="9"/>
  <c r="C245" i="9" s="1"/>
  <c r="O244" i="9"/>
  <c r="L244" i="9"/>
  <c r="I244" i="9"/>
  <c r="F244" i="9"/>
  <c r="C244" i="9" s="1"/>
  <c r="O243" i="9"/>
  <c r="L243" i="9"/>
  <c r="I243" i="9"/>
  <c r="F243" i="9"/>
  <c r="C243" i="9"/>
  <c r="O242" i="9"/>
  <c r="L242" i="9"/>
  <c r="I242" i="9"/>
  <c r="F242" i="9"/>
  <c r="C242" i="9" s="1"/>
  <c r="N241" i="9"/>
  <c r="M241" i="9"/>
  <c r="O241" i="9" s="1"/>
  <c r="K241" i="9"/>
  <c r="L241" i="9" s="1"/>
  <c r="J241" i="9"/>
  <c r="H241" i="9"/>
  <c r="G241" i="9"/>
  <c r="I241" i="9" s="1"/>
  <c r="E241" i="9"/>
  <c r="D241" i="9"/>
  <c r="F241" i="9" s="1"/>
  <c r="C241" i="9" s="1"/>
  <c r="O240" i="9"/>
  <c r="L240" i="9"/>
  <c r="I240" i="9"/>
  <c r="F240" i="9"/>
  <c r="C240" i="9" s="1"/>
  <c r="O239" i="9"/>
  <c r="L239" i="9"/>
  <c r="I239" i="9"/>
  <c r="F239" i="9"/>
  <c r="C239" i="9"/>
  <c r="O238" i="9"/>
  <c r="N238" i="9"/>
  <c r="M238" i="9"/>
  <c r="K238" i="9"/>
  <c r="L238" i="9" s="1"/>
  <c r="J238" i="9"/>
  <c r="H238" i="9"/>
  <c r="G238" i="9"/>
  <c r="I238" i="9" s="1"/>
  <c r="E238" i="9"/>
  <c r="D238" i="9"/>
  <c r="F238" i="9" s="1"/>
  <c r="O237" i="9"/>
  <c r="L237" i="9"/>
  <c r="I237" i="9"/>
  <c r="F237" i="9"/>
  <c r="C237" i="9" s="1"/>
  <c r="N236" i="9"/>
  <c r="M236" i="9"/>
  <c r="O236" i="9" s="1"/>
  <c r="K236" i="9"/>
  <c r="J236" i="9"/>
  <c r="L236" i="9" s="1"/>
  <c r="I236" i="9"/>
  <c r="H236" i="9"/>
  <c r="G236" i="9"/>
  <c r="E236" i="9"/>
  <c r="F236" i="9" s="1"/>
  <c r="D236" i="9"/>
  <c r="O235" i="9"/>
  <c r="L235" i="9"/>
  <c r="C235" i="9" s="1"/>
  <c r="I235" i="9"/>
  <c r="F235" i="9"/>
  <c r="O234" i="9"/>
  <c r="N234" i="9"/>
  <c r="M234" i="9"/>
  <c r="K234" i="9"/>
  <c r="J234" i="9"/>
  <c r="L234" i="9" s="1"/>
  <c r="H234" i="9"/>
  <c r="G234" i="9"/>
  <c r="I234" i="9" s="1"/>
  <c r="E234" i="9"/>
  <c r="D234" i="9"/>
  <c r="F234" i="9" s="1"/>
  <c r="C234" i="9" s="1"/>
  <c r="N233" i="9"/>
  <c r="M233" i="9"/>
  <c r="O233" i="9" s="1"/>
  <c r="L233" i="9"/>
  <c r="K233" i="9"/>
  <c r="J233" i="9"/>
  <c r="G233" i="9"/>
  <c r="E233" i="9"/>
  <c r="O232" i="9"/>
  <c r="L232" i="9"/>
  <c r="I232" i="9"/>
  <c r="F232" i="9"/>
  <c r="C232" i="9" s="1"/>
  <c r="O231" i="9"/>
  <c r="L231" i="9"/>
  <c r="C231" i="9" s="1"/>
  <c r="I231" i="9"/>
  <c r="F231" i="9"/>
  <c r="O230" i="9"/>
  <c r="N230" i="9"/>
  <c r="M230" i="9"/>
  <c r="K230" i="9"/>
  <c r="L230" i="9" s="1"/>
  <c r="J230" i="9"/>
  <c r="H230" i="9"/>
  <c r="G230" i="9"/>
  <c r="I230" i="9" s="1"/>
  <c r="E230" i="9"/>
  <c r="D230" i="9"/>
  <c r="F230" i="9" s="1"/>
  <c r="C230" i="9" s="1"/>
  <c r="O229" i="9"/>
  <c r="L229" i="9"/>
  <c r="I229" i="9"/>
  <c r="F229" i="9"/>
  <c r="C229" i="9" s="1"/>
  <c r="O228" i="9"/>
  <c r="L228" i="9"/>
  <c r="I228" i="9"/>
  <c r="F228" i="9"/>
  <c r="C228" i="9" s="1"/>
  <c r="O227" i="9"/>
  <c r="L227" i="9"/>
  <c r="C227" i="9" s="1"/>
  <c r="I227" i="9"/>
  <c r="F227" i="9"/>
  <c r="O226" i="9"/>
  <c r="L226" i="9"/>
  <c r="I226" i="9"/>
  <c r="F226" i="9"/>
  <c r="C226" i="9"/>
  <c r="O225" i="9"/>
  <c r="L225" i="9"/>
  <c r="I225" i="9"/>
  <c r="F225" i="9"/>
  <c r="C225" i="9" s="1"/>
  <c r="O224" i="9"/>
  <c r="L224" i="9"/>
  <c r="I224" i="9"/>
  <c r="F224" i="9"/>
  <c r="C224" i="9" s="1"/>
  <c r="O223" i="9"/>
  <c r="L223" i="9"/>
  <c r="C223" i="9" s="1"/>
  <c r="I223" i="9"/>
  <c r="F223" i="9"/>
  <c r="O222" i="9"/>
  <c r="L222" i="9"/>
  <c r="I222" i="9"/>
  <c r="F222" i="9"/>
  <c r="C222" i="9"/>
  <c r="O221" i="9"/>
  <c r="L221" i="9"/>
  <c r="I221" i="9"/>
  <c r="F221" i="9"/>
  <c r="C221" i="9" s="1"/>
  <c r="O220" i="9"/>
  <c r="L220" i="9"/>
  <c r="I220" i="9"/>
  <c r="F220" i="9"/>
  <c r="C220" i="9" s="1"/>
  <c r="N219" i="9"/>
  <c r="M219" i="9"/>
  <c r="O219" i="9" s="1"/>
  <c r="K219" i="9"/>
  <c r="J219" i="9"/>
  <c r="L219" i="9" s="1"/>
  <c r="H219" i="9"/>
  <c r="G219" i="9"/>
  <c r="I219" i="9" s="1"/>
  <c r="E219" i="9"/>
  <c r="D219" i="9"/>
  <c r="F219" i="9" s="1"/>
  <c r="O218" i="9"/>
  <c r="L218" i="9"/>
  <c r="I218" i="9"/>
  <c r="F218" i="9"/>
  <c r="C218" i="9" s="1"/>
  <c r="O217" i="9"/>
  <c r="L217" i="9"/>
  <c r="I217" i="9"/>
  <c r="F217" i="9"/>
  <c r="C217" i="9"/>
  <c r="O216" i="9"/>
  <c r="L216" i="9"/>
  <c r="I216" i="9"/>
  <c r="F216" i="9"/>
  <c r="C216" i="9" s="1"/>
  <c r="O215" i="9"/>
  <c r="L215" i="9"/>
  <c r="I215" i="9"/>
  <c r="F215" i="9"/>
  <c r="C215" i="9" s="1"/>
  <c r="O214" i="9"/>
  <c r="L214" i="9"/>
  <c r="I214" i="9"/>
  <c r="F214" i="9"/>
  <c r="C214" i="9" s="1"/>
  <c r="O213" i="9"/>
  <c r="L213" i="9"/>
  <c r="I213" i="9"/>
  <c r="F213" i="9"/>
  <c r="C213" i="9"/>
  <c r="O212" i="9"/>
  <c r="L212" i="9"/>
  <c r="I212" i="9"/>
  <c r="F212" i="9"/>
  <c r="C212" i="9" s="1"/>
  <c r="O211" i="9"/>
  <c r="L211" i="9"/>
  <c r="I211" i="9"/>
  <c r="C211" i="9" s="1"/>
  <c r="F211" i="9"/>
  <c r="O210" i="9"/>
  <c r="L210" i="9"/>
  <c r="I210" i="9"/>
  <c r="F210" i="9"/>
  <c r="C210" i="9" s="1"/>
  <c r="O209" i="9"/>
  <c r="L209" i="9"/>
  <c r="I209" i="9"/>
  <c r="F209" i="9"/>
  <c r="C209" i="9"/>
  <c r="N208" i="9"/>
  <c r="M208" i="9"/>
  <c r="O208" i="9" s="1"/>
  <c r="K208" i="9"/>
  <c r="J208" i="9"/>
  <c r="L208" i="9" s="1"/>
  <c r="H208" i="9"/>
  <c r="I208" i="9" s="1"/>
  <c r="G208" i="9"/>
  <c r="E208" i="9"/>
  <c r="D208" i="9"/>
  <c r="F208" i="9" s="1"/>
  <c r="N207" i="9"/>
  <c r="M207" i="9"/>
  <c r="O207" i="9" s="1"/>
  <c r="K207" i="9"/>
  <c r="J207" i="9"/>
  <c r="L207" i="9" s="1"/>
  <c r="G207" i="9"/>
  <c r="E207" i="9"/>
  <c r="O206" i="9"/>
  <c r="L206" i="9"/>
  <c r="I206" i="9"/>
  <c r="F206" i="9"/>
  <c r="C206" i="9" s="1"/>
  <c r="O205" i="9"/>
  <c r="L205" i="9"/>
  <c r="I205" i="9"/>
  <c r="F205" i="9"/>
  <c r="C205" i="9"/>
  <c r="O204" i="9"/>
  <c r="L204" i="9"/>
  <c r="I204" i="9"/>
  <c r="F204" i="9"/>
  <c r="C204" i="9" s="1"/>
  <c r="O203" i="9"/>
  <c r="L203" i="9"/>
  <c r="I203" i="9"/>
  <c r="C203" i="9" s="1"/>
  <c r="F203" i="9"/>
  <c r="O202" i="9"/>
  <c r="L202" i="9"/>
  <c r="I202" i="9"/>
  <c r="F202" i="9"/>
  <c r="C202" i="9" s="1"/>
  <c r="N201" i="9"/>
  <c r="M201" i="9"/>
  <c r="O201" i="9" s="1"/>
  <c r="K201" i="9"/>
  <c r="L201" i="9" s="1"/>
  <c r="J201" i="9"/>
  <c r="H201" i="9"/>
  <c r="H199" i="9" s="1"/>
  <c r="G201" i="9"/>
  <c r="I201" i="9" s="1"/>
  <c r="E201" i="9"/>
  <c r="D201" i="9"/>
  <c r="F201" i="9" s="1"/>
  <c r="C201" i="9" s="1"/>
  <c r="O200" i="9"/>
  <c r="L200" i="9"/>
  <c r="I200" i="9"/>
  <c r="F200" i="9"/>
  <c r="C200" i="9" s="1"/>
  <c r="N199" i="9"/>
  <c r="M199" i="9"/>
  <c r="O199" i="9" s="1"/>
  <c r="K199" i="9"/>
  <c r="J199" i="9"/>
  <c r="L199" i="9" s="1"/>
  <c r="G199" i="9"/>
  <c r="I199" i="9" s="1"/>
  <c r="E199" i="9"/>
  <c r="E198" i="9" s="1"/>
  <c r="E197" i="9" s="1"/>
  <c r="N198" i="9"/>
  <c r="N197" i="9" s="1"/>
  <c r="K198" i="9"/>
  <c r="J198" i="9"/>
  <c r="L198" i="9" s="1"/>
  <c r="G198" i="9"/>
  <c r="O196" i="9"/>
  <c r="L196" i="9"/>
  <c r="I196" i="9"/>
  <c r="F196" i="9"/>
  <c r="C196" i="9" s="1"/>
  <c r="N195" i="9"/>
  <c r="M195" i="9"/>
  <c r="O195" i="9" s="1"/>
  <c r="K195" i="9"/>
  <c r="J195" i="9"/>
  <c r="L195" i="9" s="1"/>
  <c r="H195" i="9"/>
  <c r="G195" i="9"/>
  <c r="I195" i="9" s="1"/>
  <c r="E195" i="9"/>
  <c r="F195" i="9" s="1"/>
  <c r="D195" i="9"/>
  <c r="N194" i="9"/>
  <c r="K194" i="9"/>
  <c r="J194" i="9"/>
  <c r="L194" i="9" s="1"/>
  <c r="H194" i="9"/>
  <c r="G194" i="9"/>
  <c r="I194" i="9" s="1"/>
  <c r="D194" i="9"/>
  <c r="O193" i="9"/>
  <c r="L193" i="9"/>
  <c r="I193" i="9"/>
  <c r="F193" i="9"/>
  <c r="C193" i="9" s="1"/>
  <c r="O192" i="9"/>
  <c r="L192" i="9"/>
  <c r="I192" i="9"/>
  <c r="F192" i="9"/>
  <c r="C192" i="9" s="1"/>
  <c r="N191" i="9"/>
  <c r="M191" i="9"/>
  <c r="O191" i="9" s="1"/>
  <c r="K191" i="9"/>
  <c r="J191" i="9"/>
  <c r="L191" i="9" s="1"/>
  <c r="H191" i="9"/>
  <c r="G191" i="9"/>
  <c r="I191" i="9" s="1"/>
  <c r="F191" i="9"/>
  <c r="E191" i="9"/>
  <c r="D191" i="9"/>
  <c r="N190" i="9"/>
  <c r="K190" i="9"/>
  <c r="J190" i="9"/>
  <c r="L190" i="9" s="1"/>
  <c r="H190" i="9"/>
  <c r="G190" i="9"/>
  <c r="I190" i="9" s="1"/>
  <c r="D190" i="9"/>
  <c r="O189" i="9"/>
  <c r="L189" i="9"/>
  <c r="I189" i="9"/>
  <c r="F189" i="9"/>
  <c r="C189" i="9" s="1"/>
  <c r="O188" i="9"/>
  <c r="L188" i="9"/>
  <c r="I188" i="9"/>
  <c r="F188" i="9"/>
  <c r="C188" i="9" s="1"/>
  <c r="N187" i="9"/>
  <c r="M187" i="9"/>
  <c r="O187" i="9" s="1"/>
  <c r="K187" i="9"/>
  <c r="J187" i="9"/>
  <c r="L187" i="9" s="1"/>
  <c r="H187" i="9"/>
  <c r="G187" i="9"/>
  <c r="I187" i="9" s="1"/>
  <c r="F187" i="9"/>
  <c r="C187" i="9" s="1"/>
  <c r="E187" i="9"/>
  <c r="D187" i="9"/>
  <c r="O186" i="9"/>
  <c r="L186" i="9"/>
  <c r="I186" i="9"/>
  <c r="F186" i="9"/>
  <c r="C186" i="9"/>
  <c r="O185" i="9"/>
  <c r="L185" i="9"/>
  <c r="I185" i="9"/>
  <c r="F185" i="9"/>
  <c r="C185" i="9" s="1"/>
  <c r="O184" i="9"/>
  <c r="L184" i="9"/>
  <c r="I184" i="9"/>
  <c r="F184" i="9"/>
  <c r="C184" i="9" s="1"/>
  <c r="O183" i="9"/>
  <c r="L183" i="9"/>
  <c r="I183" i="9"/>
  <c r="C183" i="9" s="1"/>
  <c r="F183" i="9"/>
  <c r="O182" i="9"/>
  <c r="N182" i="9"/>
  <c r="M182" i="9"/>
  <c r="K182" i="9"/>
  <c r="J182" i="9"/>
  <c r="L182" i="9" s="1"/>
  <c r="H182" i="9"/>
  <c r="G182" i="9"/>
  <c r="I182" i="9" s="1"/>
  <c r="C182" i="9" s="1"/>
  <c r="F182" i="9"/>
  <c r="E182" i="9"/>
  <c r="D182" i="9"/>
  <c r="O181" i="9"/>
  <c r="L181" i="9"/>
  <c r="I181" i="9"/>
  <c r="F181" i="9"/>
  <c r="C181" i="9" s="1"/>
  <c r="O180" i="9"/>
  <c r="L180" i="9"/>
  <c r="I180" i="9"/>
  <c r="F180" i="9"/>
  <c r="C180" i="9" s="1"/>
  <c r="O179" i="9"/>
  <c r="L179" i="9"/>
  <c r="I179" i="9"/>
  <c r="C179" i="9" s="1"/>
  <c r="F179" i="9"/>
  <c r="O178" i="9"/>
  <c r="N178" i="9"/>
  <c r="N177" i="9" s="1"/>
  <c r="N176" i="9" s="1"/>
  <c r="M178" i="9"/>
  <c r="K178" i="9"/>
  <c r="J178" i="9"/>
  <c r="L178" i="9" s="1"/>
  <c r="H178" i="9"/>
  <c r="G178" i="9"/>
  <c r="I178" i="9" s="1"/>
  <c r="F178" i="9"/>
  <c r="E178" i="9"/>
  <c r="D178" i="9"/>
  <c r="M177" i="9"/>
  <c r="O177" i="9" s="1"/>
  <c r="K177" i="9"/>
  <c r="K176" i="9" s="1"/>
  <c r="H177" i="9"/>
  <c r="G177" i="9"/>
  <c r="I177" i="9" s="1"/>
  <c r="E177" i="9"/>
  <c r="D177" i="9"/>
  <c r="F177" i="9" s="1"/>
  <c r="M176" i="9"/>
  <c r="O176" i="9" s="1"/>
  <c r="H176" i="9"/>
  <c r="E176" i="9"/>
  <c r="D176" i="9"/>
  <c r="F176" i="9" s="1"/>
  <c r="O175" i="9"/>
  <c r="L175" i="9"/>
  <c r="I175" i="9"/>
  <c r="C175" i="9" s="1"/>
  <c r="F175" i="9"/>
  <c r="O174" i="9"/>
  <c r="L174" i="9"/>
  <c r="I174" i="9"/>
  <c r="F174" i="9"/>
  <c r="C174" i="9"/>
  <c r="O173" i="9"/>
  <c r="L173" i="9"/>
  <c r="I173" i="9"/>
  <c r="F173" i="9"/>
  <c r="C173" i="9" s="1"/>
  <c r="O172" i="9"/>
  <c r="L172" i="9"/>
  <c r="I172" i="9"/>
  <c r="F172" i="9"/>
  <c r="C172" i="9" s="1"/>
  <c r="O171" i="9"/>
  <c r="L171" i="9"/>
  <c r="I171" i="9"/>
  <c r="C171" i="9" s="1"/>
  <c r="F171" i="9"/>
  <c r="O170" i="9"/>
  <c r="L170" i="9"/>
  <c r="I170" i="9"/>
  <c r="F170" i="9"/>
  <c r="C170" i="9"/>
  <c r="O169" i="9"/>
  <c r="N169" i="9"/>
  <c r="M169" i="9"/>
  <c r="L169" i="9"/>
  <c r="K169" i="9"/>
  <c r="K168" i="9" s="1"/>
  <c r="L168" i="9" s="1"/>
  <c r="J169" i="9"/>
  <c r="H169" i="9"/>
  <c r="G169" i="9"/>
  <c r="I169" i="9" s="1"/>
  <c r="E169" i="9"/>
  <c r="D169" i="9"/>
  <c r="F169" i="9" s="1"/>
  <c r="C169" i="9" s="1"/>
  <c r="N168" i="9"/>
  <c r="M168" i="9"/>
  <c r="O168" i="9" s="1"/>
  <c r="J168" i="9"/>
  <c r="H168" i="9"/>
  <c r="E168" i="9"/>
  <c r="D168" i="9"/>
  <c r="F168" i="9" s="1"/>
  <c r="O167" i="9"/>
  <c r="L167" i="9"/>
  <c r="I167" i="9"/>
  <c r="C167" i="9" s="1"/>
  <c r="F167" i="9"/>
  <c r="O166" i="9"/>
  <c r="L166" i="9"/>
  <c r="I166" i="9"/>
  <c r="F166" i="9"/>
  <c r="C166" i="9"/>
  <c r="O165" i="9"/>
  <c r="L165" i="9"/>
  <c r="I165" i="9"/>
  <c r="F165" i="9"/>
  <c r="C165" i="9" s="1"/>
  <c r="O164" i="9"/>
  <c r="L164" i="9"/>
  <c r="I164" i="9"/>
  <c r="F164" i="9"/>
  <c r="C164" i="9" s="1"/>
  <c r="N163" i="9"/>
  <c r="M163" i="9"/>
  <c r="O163" i="9" s="1"/>
  <c r="K163" i="9"/>
  <c r="J163" i="9"/>
  <c r="L163" i="9" s="1"/>
  <c r="I163" i="9"/>
  <c r="H163" i="9"/>
  <c r="G163" i="9"/>
  <c r="F163" i="9"/>
  <c r="E163" i="9"/>
  <c r="D163" i="9"/>
  <c r="O162" i="9"/>
  <c r="L162" i="9"/>
  <c r="I162" i="9"/>
  <c r="F162" i="9"/>
  <c r="C162" i="9"/>
  <c r="O161" i="9"/>
  <c r="L161" i="9"/>
  <c r="I161" i="9"/>
  <c r="F161" i="9"/>
  <c r="C161" i="9" s="1"/>
  <c r="O160" i="9"/>
  <c r="L160" i="9"/>
  <c r="I160" i="9"/>
  <c r="F160" i="9"/>
  <c r="C160" i="9" s="1"/>
  <c r="O159" i="9"/>
  <c r="L159" i="9"/>
  <c r="I159" i="9"/>
  <c r="C159" i="9" s="1"/>
  <c r="F159" i="9"/>
  <c r="O158" i="9"/>
  <c r="L158" i="9"/>
  <c r="I158" i="9"/>
  <c r="F158" i="9"/>
  <c r="C158" i="9"/>
  <c r="O157" i="9"/>
  <c r="L157" i="9"/>
  <c r="I157" i="9"/>
  <c r="F157" i="9"/>
  <c r="C157" i="9" s="1"/>
  <c r="D157" i="9"/>
  <c r="O156" i="9"/>
  <c r="L156" i="9"/>
  <c r="I156" i="9"/>
  <c r="C156" i="9" s="1"/>
  <c r="F156" i="9"/>
  <c r="O155" i="9"/>
  <c r="L155" i="9"/>
  <c r="I155" i="9"/>
  <c r="D155" i="9"/>
  <c r="F155" i="9" s="1"/>
  <c r="C155" i="9" s="1"/>
  <c r="N154" i="9"/>
  <c r="M154" i="9"/>
  <c r="O154" i="9" s="1"/>
  <c r="L154" i="9"/>
  <c r="K154" i="9"/>
  <c r="J154" i="9"/>
  <c r="I154" i="9"/>
  <c r="H154" i="9"/>
  <c r="G154" i="9"/>
  <c r="E154" i="9"/>
  <c r="D154" i="9"/>
  <c r="F154" i="9" s="1"/>
  <c r="C154" i="9" s="1"/>
  <c r="O153" i="9"/>
  <c r="L153" i="9"/>
  <c r="I153" i="9"/>
  <c r="C153" i="9" s="1"/>
  <c r="F153" i="9"/>
  <c r="O152" i="9"/>
  <c r="L152" i="9"/>
  <c r="I152" i="9"/>
  <c r="F152" i="9"/>
  <c r="C152" i="9"/>
  <c r="O151" i="9"/>
  <c r="L151" i="9"/>
  <c r="I151" i="9"/>
  <c r="F151" i="9"/>
  <c r="C151" i="9" s="1"/>
  <c r="O150" i="9"/>
  <c r="L150" i="9"/>
  <c r="I150" i="9"/>
  <c r="F150" i="9"/>
  <c r="C150" i="9" s="1"/>
  <c r="O149" i="9"/>
  <c r="L149" i="9"/>
  <c r="I149" i="9"/>
  <c r="C149" i="9" s="1"/>
  <c r="F149" i="9"/>
  <c r="O148" i="9"/>
  <c r="L148" i="9"/>
  <c r="I148" i="9"/>
  <c r="F148" i="9"/>
  <c r="C148" i="9"/>
  <c r="O147" i="9"/>
  <c r="N147" i="9"/>
  <c r="M147" i="9"/>
  <c r="L147" i="9"/>
  <c r="K147" i="9"/>
  <c r="J147" i="9"/>
  <c r="H147" i="9"/>
  <c r="G147" i="9"/>
  <c r="I147" i="9" s="1"/>
  <c r="E147" i="9"/>
  <c r="D147" i="9"/>
  <c r="F147" i="9" s="1"/>
  <c r="O146" i="9"/>
  <c r="L146" i="9"/>
  <c r="I146" i="9"/>
  <c r="F146" i="9"/>
  <c r="C146" i="9" s="1"/>
  <c r="O145" i="9"/>
  <c r="L145" i="9"/>
  <c r="I145" i="9"/>
  <c r="C145" i="9" s="1"/>
  <c r="F145" i="9"/>
  <c r="O144" i="9"/>
  <c r="N144" i="9"/>
  <c r="M144" i="9"/>
  <c r="K144" i="9"/>
  <c r="J144" i="9"/>
  <c r="L144" i="9" s="1"/>
  <c r="H144" i="9"/>
  <c r="G144" i="9"/>
  <c r="I144" i="9" s="1"/>
  <c r="C144" i="9" s="1"/>
  <c r="F144" i="9"/>
  <c r="E144" i="9"/>
  <c r="D144" i="9"/>
  <c r="O143" i="9"/>
  <c r="L143" i="9"/>
  <c r="I143" i="9"/>
  <c r="F143" i="9"/>
  <c r="C143" i="9" s="1"/>
  <c r="O142" i="9"/>
  <c r="L142" i="9"/>
  <c r="I142" i="9"/>
  <c r="F142" i="9"/>
  <c r="C142" i="9" s="1"/>
  <c r="O141" i="9"/>
  <c r="L141" i="9"/>
  <c r="I141" i="9"/>
  <c r="D141" i="9"/>
  <c r="F141" i="9" s="1"/>
  <c r="C141" i="9" s="1"/>
  <c r="O140" i="9"/>
  <c r="L140" i="9"/>
  <c r="I140" i="9"/>
  <c r="F140" i="9"/>
  <c r="C140" i="9" s="1"/>
  <c r="N139" i="9"/>
  <c r="M139" i="9"/>
  <c r="O139" i="9" s="1"/>
  <c r="L139" i="9"/>
  <c r="K139" i="9"/>
  <c r="J139" i="9"/>
  <c r="I139" i="9"/>
  <c r="H139" i="9"/>
  <c r="G139" i="9"/>
  <c r="E139" i="9"/>
  <c r="D139" i="9"/>
  <c r="F139" i="9" s="1"/>
  <c r="C139" i="9" s="1"/>
  <c r="O138" i="9"/>
  <c r="L138" i="9"/>
  <c r="I138" i="9"/>
  <c r="D138" i="9"/>
  <c r="F138" i="9" s="1"/>
  <c r="C138" i="9" s="1"/>
  <c r="O137" i="9"/>
  <c r="L137" i="9"/>
  <c r="I137" i="9"/>
  <c r="F137" i="9"/>
  <c r="C137" i="9" s="1"/>
  <c r="O136" i="9"/>
  <c r="L136" i="9"/>
  <c r="I136" i="9"/>
  <c r="F136" i="9"/>
  <c r="C136" i="9" s="1"/>
  <c r="O135" i="9"/>
  <c r="L135" i="9"/>
  <c r="I135" i="9"/>
  <c r="C135" i="9" s="1"/>
  <c r="F135" i="9"/>
  <c r="O134" i="9"/>
  <c r="N134" i="9"/>
  <c r="N133" i="9" s="1"/>
  <c r="M134" i="9"/>
  <c r="K134" i="9"/>
  <c r="J134" i="9"/>
  <c r="L134" i="9" s="1"/>
  <c r="H134" i="9"/>
  <c r="G134" i="9"/>
  <c r="I134" i="9" s="1"/>
  <c r="C134" i="9" s="1"/>
  <c r="F134" i="9"/>
  <c r="E134" i="9"/>
  <c r="D134" i="9"/>
  <c r="M133" i="9"/>
  <c r="O133" i="9" s="1"/>
  <c r="K133" i="9"/>
  <c r="H133" i="9"/>
  <c r="G133" i="9"/>
  <c r="I133" i="9" s="1"/>
  <c r="E133" i="9"/>
  <c r="D133" i="9"/>
  <c r="F133" i="9" s="1"/>
  <c r="O132" i="9"/>
  <c r="L132" i="9"/>
  <c r="I132" i="9"/>
  <c r="F132" i="9"/>
  <c r="C132" i="9" s="1"/>
  <c r="N131" i="9"/>
  <c r="M131" i="9"/>
  <c r="O131" i="9" s="1"/>
  <c r="K131" i="9"/>
  <c r="J131" i="9"/>
  <c r="L131" i="9" s="1"/>
  <c r="I131" i="9"/>
  <c r="H131" i="9"/>
  <c r="G131" i="9"/>
  <c r="F131" i="9"/>
  <c r="E131" i="9"/>
  <c r="D131" i="9"/>
  <c r="O130" i="9"/>
  <c r="L130" i="9"/>
  <c r="I130" i="9"/>
  <c r="D130" i="9"/>
  <c r="F130" i="9" s="1"/>
  <c r="C130" i="9" s="1"/>
  <c r="O129" i="9"/>
  <c r="L129" i="9"/>
  <c r="I129" i="9"/>
  <c r="F129" i="9"/>
  <c r="C129" i="9" s="1"/>
  <c r="O128" i="9"/>
  <c r="L128" i="9"/>
  <c r="I128" i="9"/>
  <c r="C128" i="9" s="1"/>
  <c r="F128" i="9"/>
  <c r="O127" i="9"/>
  <c r="L127" i="9"/>
  <c r="I127" i="9"/>
  <c r="D127" i="9"/>
  <c r="F127" i="9" s="1"/>
  <c r="C127" i="9" s="1"/>
  <c r="O126" i="9"/>
  <c r="L126" i="9"/>
  <c r="I126" i="9"/>
  <c r="F126" i="9"/>
  <c r="C126" i="9" s="1"/>
  <c r="N125" i="9"/>
  <c r="M125" i="9"/>
  <c r="O125" i="9" s="1"/>
  <c r="K125" i="9"/>
  <c r="J125" i="9"/>
  <c r="L125" i="9" s="1"/>
  <c r="I125" i="9"/>
  <c r="H125" i="9"/>
  <c r="G125" i="9"/>
  <c r="E125" i="9"/>
  <c r="O124" i="9"/>
  <c r="L124" i="9"/>
  <c r="I124" i="9"/>
  <c r="F124" i="9"/>
  <c r="C124" i="9"/>
  <c r="O123" i="9"/>
  <c r="L123" i="9"/>
  <c r="I123" i="9"/>
  <c r="F123" i="9"/>
  <c r="C123" i="9" s="1"/>
  <c r="D123" i="9"/>
  <c r="O122" i="9"/>
  <c r="L122" i="9"/>
  <c r="I122" i="9"/>
  <c r="C122" i="9" s="1"/>
  <c r="F122" i="9"/>
  <c r="O121" i="9"/>
  <c r="L121" i="9"/>
  <c r="I121" i="9"/>
  <c r="E121" i="9"/>
  <c r="E119" i="9" s="1"/>
  <c r="E86" i="9" s="1"/>
  <c r="E78" i="9" s="1"/>
  <c r="D121" i="9"/>
  <c r="F121" i="9" s="1"/>
  <c r="C121" i="9" s="1"/>
  <c r="O120" i="9"/>
  <c r="L120" i="9"/>
  <c r="I120" i="9"/>
  <c r="D120" i="9"/>
  <c r="F120" i="9" s="1"/>
  <c r="C120" i="9" s="1"/>
  <c r="O119" i="9"/>
  <c r="N119" i="9"/>
  <c r="M119" i="9"/>
  <c r="L119" i="9"/>
  <c r="K119" i="9"/>
  <c r="J119" i="9"/>
  <c r="H119" i="9"/>
  <c r="G119" i="9"/>
  <c r="I119" i="9" s="1"/>
  <c r="D119" i="9"/>
  <c r="F119" i="9" s="1"/>
  <c r="O118" i="9"/>
  <c r="L118" i="9"/>
  <c r="I118" i="9"/>
  <c r="F118" i="9"/>
  <c r="C118" i="9" s="1"/>
  <c r="O117" i="9"/>
  <c r="L117" i="9"/>
  <c r="I117" i="9"/>
  <c r="C117" i="9" s="1"/>
  <c r="F117" i="9"/>
  <c r="O116" i="9"/>
  <c r="L116" i="9"/>
  <c r="I116" i="9"/>
  <c r="F116" i="9"/>
  <c r="C116" i="9"/>
  <c r="O115" i="9"/>
  <c r="N115" i="9"/>
  <c r="M115" i="9"/>
  <c r="L115" i="9"/>
  <c r="K115" i="9"/>
  <c r="J115" i="9"/>
  <c r="H115" i="9"/>
  <c r="G115" i="9"/>
  <c r="I115" i="9" s="1"/>
  <c r="E115" i="9"/>
  <c r="D115" i="9"/>
  <c r="F115" i="9" s="1"/>
  <c r="C115" i="9" s="1"/>
  <c r="O114" i="9"/>
  <c r="L114" i="9"/>
  <c r="I114" i="9"/>
  <c r="F114" i="9"/>
  <c r="C114" i="9" s="1"/>
  <c r="O113" i="9"/>
  <c r="L113" i="9"/>
  <c r="I113" i="9"/>
  <c r="C113" i="9" s="1"/>
  <c r="F113" i="9"/>
  <c r="O112" i="9"/>
  <c r="L112" i="9"/>
  <c r="I112" i="9"/>
  <c r="F112" i="9"/>
  <c r="C112" i="9"/>
  <c r="O111" i="9"/>
  <c r="L111" i="9"/>
  <c r="I111" i="9"/>
  <c r="F111" i="9"/>
  <c r="C111" i="9" s="1"/>
  <c r="O110" i="9"/>
  <c r="L110" i="9"/>
  <c r="I110" i="9"/>
  <c r="F110" i="9"/>
  <c r="C110" i="9" s="1"/>
  <c r="O109" i="9"/>
  <c r="L109" i="9"/>
  <c r="I109" i="9"/>
  <c r="C109" i="9" s="1"/>
  <c r="F109" i="9"/>
  <c r="O108" i="9"/>
  <c r="L108" i="9"/>
  <c r="I108" i="9"/>
  <c r="F108" i="9"/>
  <c r="C108" i="9"/>
  <c r="O107" i="9"/>
  <c r="L107" i="9"/>
  <c r="I107" i="9"/>
  <c r="F107" i="9"/>
  <c r="C107" i="9" s="1"/>
  <c r="N106" i="9"/>
  <c r="M106" i="9"/>
  <c r="O106" i="9" s="1"/>
  <c r="K106" i="9"/>
  <c r="J106" i="9"/>
  <c r="L106" i="9" s="1"/>
  <c r="I106" i="9"/>
  <c r="H106" i="9"/>
  <c r="G106" i="9"/>
  <c r="E106" i="9"/>
  <c r="D106" i="9"/>
  <c r="F106" i="9" s="1"/>
  <c r="O105" i="9"/>
  <c r="L105" i="9"/>
  <c r="I105" i="9"/>
  <c r="C105" i="9" s="1"/>
  <c r="F105" i="9"/>
  <c r="O104" i="9"/>
  <c r="L104" i="9"/>
  <c r="I104" i="9"/>
  <c r="F104" i="9"/>
  <c r="C104" i="9"/>
  <c r="O103" i="9"/>
  <c r="L103" i="9"/>
  <c r="I103" i="9"/>
  <c r="F103" i="9"/>
  <c r="C103" i="9" s="1"/>
  <c r="O102" i="9"/>
  <c r="L102" i="9"/>
  <c r="I102" i="9"/>
  <c r="F102" i="9"/>
  <c r="C102" i="9" s="1"/>
  <c r="O101" i="9"/>
  <c r="L101" i="9"/>
  <c r="I101" i="9"/>
  <c r="C101" i="9" s="1"/>
  <c r="F101" i="9"/>
  <c r="O100" i="9"/>
  <c r="L100" i="9"/>
  <c r="I100" i="9"/>
  <c r="F100" i="9"/>
  <c r="C100" i="9"/>
  <c r="O99" i="9"/>
  <c r="L99" i="9"/>
  <c r="I99" i="9"/>
  <c r="F99" i="9"/>
  <c r="C99" i="9" s="1"/>
  <c r="N98" i="9"/>
  <c r="M98" i="9"/>
  <c r="O98" i="9" s="1"/>
  <c r="K98" i="9"/>
  <c r="J98" i="9"/>
  <c r="L98" i="9" s="1"/>
  <c r="I98" i="9"/>
  <c r="H98" i="9"/>
  <c r="G98" i="9"/>
  <c r="E98" i="9"/>
  <c r="D98" i="9"/>
  <c r="F98" i="9" s="1"/>
  <c r="C98" i="9" s="1"/>
  <c r="O97" i="9"/>
  <c r="L97" i="9"/>
  <c r="I97" i="9"/>
  <c r="C97" i="9" s="1"/>
  <c r="F97" i="9"/>
  <c r="O96" i="9"/>
  <c r="L96" i="9"/>
  <c r="I96" i="9"/>
  <c r="F96" i="9"/>
  <c r="C96" i="9"/>
  <c r="O95" i="9"/>
  <c r="L95" i="9"/>
  <c r="I95" i="9"/>
  <c r="F95" i="9"/>
  <c r="C95" i="9" s="1"/>
  <c r="O94" i="9"/>
  <c r="L94" i="9"/>
  <c r="I94" i="9"/>
  <c r="F94" i="9"/>
  <c r="C94" i="9" s="1"/>
  <c r="O93" i="9"/>
  <c r="L93" i="9"/>
  <c r="I93" i="9"/>
  <c r="C93" i="9" s="1"/>
  <c r="F93" i="9"/>
  <c r="O92" i="9"/>
  <c r="N92" i="9"/>
  <c r="M92" i="9"/>
  <c r="K92" i="9"/>
  <c r="J92" i="9"/>
  <c r="L92" i="9" s="1"/>
  <c r="H92" i="9"/>
  <c r="G92" i="9"/>
  <c r="I92" i="9" s="1"/>
  <c r="E92" i="9"/>
  <c r="D92" i="9"/>
  <c r="F92" i="9" s="1"/>
  <c r="C92" i="9" s="1"/>
  <c r="O91" i="9"/>
  <c r="L91" i="9"/>
  <c r="I91" i="9"/>
  <c r="F91" i="9"/>
  <c r="C91" i="9" s="1"/>
  <c r="O90" i="9"/>
  <c r="L90" i="9"/>
  <c r="I90" i="9"/>
  <c r="F90" i="9"/>
  <c r="C90" i="9" s="1"/>
  <c r="O89" i="9"/>
  <c r="L89" i="9"/>
  <c r="I89" i="9"/>
  <c r="C89" i="9" s="1"/>
  <c r="F89" i="9"/>
  <c r="O88" i="9"/>
  <c r="L88" i="9"/>
  <c r="I88" i="9"/>
  <c r="F88" i="9"/>
  <c r="C88" i="9"/>
  <c r="N87" i="9"/>
  <c r="M87" i="9"/>
  <c r="O87" i="9" s="1"/>
  <c r="L87" i="9"/>
  <c r="K87" i="9"/>
  <c r="K86" i="9" s="1"/>
  <c r="J87" i="9"/>
  <c r="H87" i="9"/>
  <c r="H86" i="9" s="1"/>
  <c r="G87" i="9"/>
  <c r="I87" i="9" s="1"/>
  <c r="E87" i="9"/>
  <c r="D87" i="9"/>
  <c r="F87" i="9" s="1"/>
  <c r="N86" i="9"/>
  <c r="M86" i="9"/>
  <c r="O86" i="9" s="1"/>
  <c r="J86" i="9"/>
  <c r="L86" i="9" s="1"/>
  <c r="O85" i="9"/>
  <c r="L85" i="9"/>
  <c r="C85" i="9" s="1"/>
  <c r="I85" i="9"/>
  <c r="F85" i="9"/>
  <c r="O84" i="9"/>
  <c r="L84" i="9"/>
  <c r="I84" i="9"/>
  <c r="F84" i="9"/>
  <c r="C84" i="9"/>
  <c r="N83" i="9"/>
  <c r="M83" i="9"/>
  <c r="O83" i="9" s="1"/>
  <c r="L83" i="9"/>
  <c r="K83" i="9"/>
  <c r="J83" i="9"/>
  <c r="H83" i="9"/>
  <c r="G83" i="9"/>
  <c r="I83" i="9" s="1"/>
  <c r="E83" i="9"/>
  <c r="D83" i="9"/>
  <c r="F83" i="9" s="1"/>
  <c r="O82" i="9"/>
  <c r="L82" i="9"/>
  <c r="I82" i="9"/>
  <c r="F82" i="9"/>
  <c r="C82" i="9" s="1"/>
  <c r="O81" i="9"/>
  <c r="L81" i="9"/>
  <c r="C81" i="9" s="1"/>
  <c r="I81" i="9"/>
  <c r="F81" i="9"/>
  <c r="O80" i="9"/>
  <c r="N80" i="9"/>
  <c r="N79" i="9" s="1"/>
  <c r="N78" i="9" s="1"/>
  <c r="M80" i="9"/>
  <c r="K80" i="9"/>
  <c r="L80" i="9" s="1"/>
  <c r="J80" i="9"/>
  <c r="J79" i="9" s="1"/>
  <c r="H80" i="9"/>
  <c r="G80" i="9"/>
  <c r="G79" i="9" s="1"/>
  <c r="E80" i="9"/>
  <c r="D80" i="9"/>
  <c r="F80" i="9" s="1"/>
  <c r="M79" i="9"/>
  <c r="O79" i="9" s="1"/>
  <c r="H79" i="9"/>
  <c r="H78" i="9" s="1"/>
  <c r="E79" i="9"/>
  <c r="D79" i="9"/>
  <c r="M78" i="9"/>
  <c r="O78" i="9" s="1"/>
  <c r="O77" i="9"/>
  <c r="L77" i="9"/>
  <c r="C77" i="9" s="1"/>
  <c r="I77" i="9"/>
  <c r="F77" i="9"/>
  <c r="O76" i="9"/>
  <c r="L76" i="9"/>
  <c r="I76" i="9"/>
  <c r="F76" i="9"/>
  <c r="C76" i="9"/>
  <c r="O75" i="9"/>
  <c r="L75" i="9"/>
  <c r="I75" i="9"/>
  <c r="F75" i="9"/>
  <c r="C75" i="9" s="1"/>
  <c r="O74" i="9"/>
  <c r="L74" i="9"/>
  <c r="I74" i="9"/>
  <c r="F74" i="9"/>
  <c r="C74" i="9" s="1"/>
  <c r="O73" i="9"/>
  <c r="L73" i="9"/>
  <c r="C73" i="9" s="1"/>
  <c r="I73" i="9"/>
  <c r="F73" i="9"/>
  <c r="O72" i="9"/>
  <c r="N72" i="9"/>
  <c r="M72" i="9"/>
  <c r="L72" i="9"/>
  <c r="K72" i="9"/>
  <c r="K70" i="9" s="1"/>
  <c r="J72" i="9"/>
  <c r="H72" i="9"/>
  <c r="G72" i="9"/>
  <c r="E72" i="9"/>
  <c r="D72" i="9"/>
  <c r="F72" i="9" s="1"/>
  <c r="O71" i="9"/>
  <c r="L71" i="9"/>
  <c r="I71" i="9"/>
  <c r="C71" i="9" s="1"/>
  <c r="F71" i="9"/>
  <c r="N70" i="9"/>
  <c r="M70" i="9"/>
  <c r="O70" i="9" s="1"/>
  <c r="J70" i="9"/>
  <c r="L70" i="9" s="1"/>
  <c r="H70" i="9"/>
  <c r="E70" i="9"/>
  <c r="O69" i="9"/>
  <c r="L69" i="9"/>
  <c r="I69" i="9"/>
  <c r="F69" i="9"/>
  <c r="C69" i="9"/>
  <c r="O68" i="9"/>
  <c r="L68" i="9"/>
  <c r="I68" i="9"/>
  <c r="F68" i="9"/>
  <c r="C68" i="9" s="1"/>
  <c r="O67" i="9"/>
  <c r="L67" i="9"/>
  <c r="I67" i="9"/>
  <c r="C67" i="9" s="1"/>
  <c r="F67" i="9"/>
  <c r="O66" i="9"/>
  <c r="L66" i="9"/>
  <c r="I66" i="9"/>
  <c r="F66" i="9"/>
  <c r="O65" i="9"/>
  <c r="L65" i="9"/>
  <c r="C65" i="9" s="1"/>
  <c r="I65" i="9"/>
  <c r="F65" i="9"/>
  <c r="O64" i="9"/>
  <c r="L64" i="9"/>
  <c r="I64" i="9"/>
  <c r="F64" i="9"/>
  <c r="C64" i="9"/>
  <c r="O63" i="9"/>
  <c r="L63" i="9"/>
  <c r="I63" i="9"/>
  <c r="F63" i="9"/>
  <c r="C63" i="9" s="1"/>
  <c r="O62" i="9"/>
  <c r="L62" i="9"/>
  <c r="I62" i="9"/>
  <c r="F62" i="9"/>
  <c r="N61" i="9"/>
  <c r="M61" i="9"/>
  <c r="O61" i="9" s="1"/>
  <c r="K61" i="9"/>
  <c r="J61" i="9"/>
  <c r="L61" i="9" s="1"/>
  <c r="H61" i="9"/>
  <c r="G61" i="9"/>
  <c r="I61" i="9" s="1"/>
  <c r="E61" i="9"/>
  <c r="D61" i="9"/>
  <c r="F61" i="9" s="1"/>
  <c r="O60" i="9"/>
  <c r="L60" i="9"/>
  <c r="I60" i="9"/>
  <c r="C60" i="9" s="1"/>
  <c r="F60" i="9"/>
  <c r="O59" i="9"/>
  <c r="L59" i="9"/>
  <c r="I59" i="9"/>
  <c r="F59" i="9"/>
  <c r="C59" i="9" s="1"/>
  <c r="O58" i="9"/>
  <c r="N58" i="9"/>
  <c r="M58" i="9"/>
  <c r="K58" i="9"/>
  <c r="L58" i="9" s="1"/>
  <c r="J58" i="9"/>
  <c r="H58" i="9"/>
  <c r="G58" i="9"/>
  <c r="G57" i="9" s="1"/>
  <c r="E58" i="9"/>
  <c r="D58" i="9"/>
  <c r="F58" i="9" s="1"/>
  <c r="N57" i="9"/>
  <c r="M57" i="9"/>
  <c r="O57" i="9" s="1"/>
  <c r="J57" i="9"/>
  <c r="H57" i="9"/>
  <c r="H56" i="9" s="1"/>
  <c r="H55" i="9" s="1"/>
  <c r="E57" i="9"/>
  <c r="D57" i="9"/>
  <c r="N56" i="9"/>
  <c r="M56" i="9"/>
  <c r="J56" i="9"/>
  <c r="E56" i="9"/>
  <c r="N55" i="9"/>
  <c r="N54" i="9" s="1"/>
  <c r="N53" i="9" s="1"/>
  <c r="O50" i="9"/>
  <c r="C50" i="9"/>
  <c r="O49" i="9"/>
  <c r="C49" i="9" s="1"/>
  <c r="N48" i="9"/>
  <c r="M48" i="9"/>
  <c r="O48" i="9" s="1"/>
  <c r="C48" i="9" s="1"/>
  <c r="L47" i="9"/>
  <c r="I47" i="9"/>
  <c r="F47" i="9"/>
  <c r="C47" i="9" s="1"/>
  <c r="K46" i="9"/>
  <c r="J46" i="9"/>
  <c r="L46" i="9" s="1"/>
  <c r="H46" i="9"/>
  <c r="G46" i="9"/>
  <c r="I46" i="9" s="1"/>
  <c r="F46" i="9"/>
  <c r="C46" i="9" s="1"/>
  <c r="E46" i="9"/>
  <c r="D46" i="9"/>
  <c r="F45" i="9"/>
  <c r="C45" i="9" s="1"/>
  <c r="L44" i="9"/>
  <c r="C44" i="9"/>
  <c r="L43" i="9"/>
  <c r="C43" i="9" s="1"/>
  <c r="L42" i="9"/>
  <c r="C42" i="9"/>
  <c r="L41" i="9"/>
  <c r="C41" i="9" s="1"/>
  <c r="K40" i="9"/>
  <c r="J40" i="9"/>
  <c r="L40" i="9" s="1"/>
  <c r="C40" i="9" s="1"/>
  <c r="L39" i="9"/>
  <c r="C39" i="9"/>
  <c r="L38" i="9"/>
  <c r="C38" i="9" s="1"/>
  <c r="K37" i="9"/>
  <c r="J37" i="9"/>
  <c r="L37" i="9" s="1"/>
  <c r="C37" i="9" s="1"/>
  <c r="L36" i="9"/>
  <c r="C36" i="9"/>
  <c r="L35" i="9"/>
  <c r="C35" i="9" s="1"/>
  <c r="K35" i="9"/>
  <c r="J35" i="9"/>
  <c r="L34" i="9"/>
  <c r="C34" i="9" s="1"/>
  <c r="L33" i="9"/>
  <c r="C33" i="9" s="1"/>
  <c r="L32" i="9"/>
  <c r="C32" i="9" s="1"/>
  <c r="K31" i="9"/>
  <c r="J31" i="9"/>
  <c r="L31" i="9" s="1"/>
  <c r="C31" i="9" s="1"/>
  <c r="K30" i="9"/>
  <c r="J30" i="9"/>
  <c r="L30" i="9" s="1"/>
  <c r="C30" i="9" s="1"/>
  <c r="F29" i="9"/>
  <c r="C29" i="9"/>
  <c r="I28" i="9"/>
  <c r="O27" i="9"/>
  <c r="L27" i="9"/>
  <c r="I27" i="9"/>
  <c r="F27" i="9"/>
  <c r="C27" i="9"/>
  <c r="O26" i="9"/>
  <c r="L26" i="9"/>
  <c r="I26" i="9"/>
  <c r="F26" i="9"/>
  <c r="C26" i="9" s="1"/>
  <c r="N25" i="9"/>
  <c r="N290" i="9" s="1"/>
  <c r="N289" i="9" s="1"/>
  <c r="M25" i="9"/>
  <c r="M290" i="9" s="1"/>
  <c r="K25" i="9"/>
  <c r="K290" i="9" s="1"/>
  <c r="K289" i="9" s="1"/>
  <c r="J25" i="9"/>
  <c r="J290" i="9" s="1"/>
  <c r="I25" i="9"/>
  <c r="H25" i="9"/>
  <c r="H290" i="9" s="1"/>
  <c r="H289" i="9" s="1"/>
  <c r="G25" i="9"/>
  <c r="G290" i="9" s="1"/>
  <c r="E25" i="9"/>
  <c r="E290" i="9" s="1"/>
  <c r="E289" i="9" s="1"/>
  <c r="D25" i="9"/>
  <c r="D290" i="9" s="1"/>
  <c r="N24" i="9"/>
  <c r="K24" i="9"/>
  <c r="J24" i="9"/>
  <c r="L24" i="9" s="1"/>
  <c r="H24" i="9"/>
  <c r="G24" i="9"/>
  <c r="I24" i="9" s="1"/>
  <c r="D24" i="9"/>
  <c r="O299" i="8"/>
  <c r="L299" i="8"/>
  <c r="I299" i="8"/>
  <c r="F299" i="8"/>
  <c r="C299" i="8"/>
  <c r="O298" i="8"/>
  <c r="L298" i="8"/>
  <c r="I298" i="8"/>
  <c r="F298" i="8"/>
  <c r="C298" i="8" s="1"/>
  <c r="O297" i="8"/>
  <c r="L297" i="8"/>
  <c r="I297" i="8"/>
  <c r="C297" i="8" s="1"/>
  <c r="F297" i="8"/>
  <c r="O296" i="8"/>
  <c r="L296" i="8"/>
  <c r="C296" i="8" s="1"/>
  <c r="I296" i="8"/>
  <c r="F296" i="8"/>
  <c r="O295" i="8"/>
  <c r="L295" i="8"/>
  <c r="I295" i="8"/>
  <c r="F295" i="8"/>
  <c r="C295" i="8"/>
  <c r="O294" i="8"/>
  <c r="L294" i="8"/>
  <c r="I294" i="8"/>
  <c r="F294" i="8"/>
  <c r="C294" i="8" s="1"/>
  <c r="O293" i="8"/>
  <c r="L293" i="8"/>
  <c r="I293" i="8"/>
  <c r="C293" i="8" s="1"/>
  <c r="F293" i="8"/>
  <c r="O292" i="8"/>
  <c r="L292" i="8"/>
  <c r="C292" i="8" s="1"/>
  <c r="I292" i="8"/>
  <c r="F292" i="8"/>
  <c r="N291" i="8"/>
  <c r="M291" i="8"/>
  <c r="O291" i="8" s="1"/>
  <c r="K291" i="8"/>
  <c r="J291" i="8"/>
  <c r="L291" i="8" s="1"/>
  <c r="H291" i="8"/>
  <c r="G291" i="8"/>
  <c r="I291" i="8" s="1"/>
  <c r="E291" i="8"/>
  <c r="D291" i="8"/>
  <c r="F291" i="8" s="1"/>
  <c r="O286" i="8"/>
  <c r="L286" i="8"/>
  <c r="I286" i="8"/>
  <c r="F286" i="8"/>
  <c r="C286" i="8" s="1"/>
  <c r="O285" i="8"/>
  <c r="L285" i="8"/>
  <c r="I285" i="8"/>
  <c r="F285" i="8"/>
  <c r="C285" i="8" s="1"/>
  <c r="N284" i="8"/>
  <c r="M284" i="8"/>
  <c r="O284" i="8" s="1"/>
  <c r="K284" i="8"/>
  <c r="J284" i="8"/>
  <c r="H284" i="8"/>
  <c r="G284" i="8"/>
  <c r="F284" i="8"/>
  <c r="E284" i="8"/>
  <c r="D284" i="8"/>
  <c r="O283" i="8"/>
  <c r="L283" i="8"/>
  <c r="I283" i="8"/>
  <c r="F283" i="8"/>
  <c r="C283" i="8"/>
  <c r="N282" i="8"/>
  <c r="M282" i="8"/>
  <c r="O282" i="8" s="1"/>
  <c r="L282" i="8"/>
  <c r="K282" i="8"/>
  <c r="J282" i="8"/>
  <c r="H282" i="8"/>
  <c r="G282" i="8"/>
  <c r="I282" i="8" s="1"/>
  <c r="E282" i="8"/>
  <c r="D282" i="8"/>
  <c r="F282" i="8" s="1"/>
  <c r="O281" i="8"/>
  <c r="L281" i="8"/>
  <c r="I281" i="8"/>
  <c r="F281" i="8"/>
  <c r="C281" i="8" s="1"/>
  <c r="O280" i="8"/>
  <c r="L280" i="8"/>
  <c r="C280" i="8" s="1"/>
  <c r="I280" i="8"/>
  <c r="F280" i="8"/>
  <c r="O279" i="8"/>
  <c r="O278" i="8" s="1"/>
  <c r="L279" i="8"/>
  <c r="I279" i="8"/>
  <c r="F279" i="8"/>
  <c r="C279" i="8"/>
  <c r="N278" i="8"/>
  <c r="M278" i="8"/>
  <c r="L278" i="8"/>
  <c r="K278" i="8"/>
  <c r="J278" i="8"/>
  <c r="H278" i="8"/>
  <c r="G278" i="8"/>
  <c r="I278" i="8" s="1"/>
  <c r="E278" i="8"/>
  <c r="D278" i="8"/>
  <c r="F278" i="8" s="1"/>
  <c r="C278" i="8" s="1"/>
  <c r="O277" i="8"/>
  <c r="L277" i="8"/>
  <c r="I277" i="8"/>
  <c r="F277" i="8"/>
  <c r="C277" i="8" s="1"/>
  <c r="O276" i="8"/>
  <c r="L276" i="8"/>
  <c r="I276" i="8"/>
  <c r="C276" i="8" s="1"/>
  <c r="F276" i="8"/>
  <c r="O275" i="8"/>
  <c r="L275" i="8"/>
  <c r="I275" i="8"/>
  <c r="F275" i="8"/>
  <c r="C275" i="8"/>
  <c r="O274" i="8"/>
  <c r="N274" i="8"/>
  <c r="M274" i="8"/>
  <c r="L274" i="8"/>
  <c r="K274" i="8"/>
  <c r="J274" i="8"/>
  <c r="H274" i="8"/>
  <c r="H272" i="8" s="1"/>
  <c r="H271" i="8" s="1"/>
  <c r="H197" i="8" s="1"/>
  <c r="G274" i="8"/>
  <c r="I274" i="8" s="1"/>
  <c r="E274" i="8"/>
  <c r="D274" i="8"/>
  <c r="F274" i="8" s="1"/>
  <c r="C274" i="8" s="1"/>
  <c r="O273" i="8"/>
  <c r="L273" i="8"/>
  <c r="I273" i="8"/>
  <c r="F273" i="8"/>
  <c r="C273" i="8" s="1"/>
  <c r="N272" i="8"/>
  <c r="M272" i="8"/>
  <c r="O272" i="8" s="1"/>
  <c r="K272" i="8"/>
  <c r="J272" i="8"/>
  <c r="L272" i="8" s="1"/>
  <c r="G272" i="8"/>
  <c r="I272" i="8" s="1"/>
  <c r="F272" i="8"/>
  <c r="E272" i="8"/>
  <c r="D272" i="8"/>
  <c r="O271" i="8"/>
  <c r="N271" i="8"/>
  <c r="M271" i="8"/>
  <c r="K271" i="8"/>
  <c r="J271" i="8"/>
  <c r="L271" i="8" s="1"/>
  <c r="G271" i="8"/>
  <c r="F271" i="8"/>
  <c r="E271" i="8"/>
  <c r="D271" i="8"/>
  <c r="O270" i="8"/>
  <c r="L270" i="8"/>
  <c r="I270" i="8"/>
  <c r="F270" i="8"/>
  <c r="C270" i="8" s="1"/>
  <c r="O269" i="8"/>
  <c r="L269" i="8"/>
  <c r="I269" i="8"/>
  <c r="F269" i="8"/>
  <c r="C269" i="8" s="1"/>
  <c r="O268" i="8"/>
  <c r="L268" i="8"/>
  <c r="I268" i="8"/>
  <c r="C268" i="8" s="1"/>
  <c r="F268" i="8"/>
  <c r="O267" i="8"/>
  <c r="L267" i="8"/>
  <c r="I267" i="8"/>
  <c r="F267" i="8"/>
  <c r="C267" i="8"/>
  <c r="N266" i="8"/>
  <c r="M266" i="8"/>
  <c r="O266" i="8" s="1"/>
  <c r="L266" i="8"/>
  <c r="K266" i="8"/>
  <c r="J266" i="8"/>
  <c r="H266" i="8"/>
  <c r="G266" i="8"/>
  <c r="I266" i="8" s="1"/>
  <c r="E266" i="8"/>
  <c r="D266" i="8"/>
  <c r="F266" i="8" s="1"/>
  <c r="O265" i="8"/>
  <c r="L265" i="8"/>
  <c r="I265" i="8"/>
  <c r="F265" i="8"/>
  <c r="C265" i="8" s="1"/>
  <c r="O264" i="8"/>
  <c r="L264" i="8"/>
  <c r="I264" i="8"/>
  <c r="C264" i="8" s="1"/>
  <c r="F264" i="8"/>
  <c r="O263" i="8"/>
  <c r="L263" i="8"/>
  <c r="I263" i="8"/>
  <c r="F263" i="8"/>
  <c r="C263" i="8"/>
  <c r="N262" i="8"/>
  <c r="M262" i="8"/>
  <c r="O262" i="8" s="1"/>
  <c r="K262" i="8"/>
  <c r="L262" i="8" s="1"/>
  <c r="J262" i="8"/>
  <c r="H262" i="8"/>
  <c r="G262" i="8"/>
  <c r="I262" i="8" s="1"/>
  <c r="E262" i="8"/>
  <c r="D262" i="8"/>
  <c r="F262" i="8" s="1"/>
  <c r="N261" i="8"/>
  <c r="M261" i="8"/>
  <c r="O261" i="8" s="1"/>
  <c r="K261" i="8"/>
  <c r="J261" i="8"/>
  <c r="L261" i="8" s="1"/>
  <c r="I261" i="8"/>
  <c r="H261" i="8"/>
  <c r="G261" i="8"/>
  <c r="E261" i="8"/>
  <c r="D261" i="8"/>
  <c r="F261" i="8" s="1"/>
  <c r="C261" i="8" s="1"/>
  <c r="O260" i="8"/>
  <c r="L260" i="8"/>
  <c r="I260" i="8"/>
  <c r="C260" i="8" s="1"/>
  <c r="F260" i="8"/>
  <c r="O259" i="8"/>
  <c r="L259" i="8"/>
  <c r="I259" i="8"/>
  <c r="F259" i="8"/>
  <c r="C259" i="8"/>
  <c r="O258" i="8"/>
  <c r="L258" i="8"/>
  <c r="I258" i="8"/>
  <c r="F258" i="8"/>
  <c r="C258" i="8" s="1"/>
  <c r="O257" i="8"/>
  <c r="L257" i="8"/>
  <c r="I257" i="8"/>
  <c r="F257" i="8"/>
  <c r="C257" i="8" s="1"/>
  <c r="O256" i="8"/>
  <c r="L256" i="8"/>
  <c r="I256" i="8"/>
  <c r="C256" i="8" s="1"/>
  <c r="F256" i="8"/>
  <c r="N255" i="8"/>
  <c r="O255" i="8" s="1"/>
  <c r="M255" i="8"/>
  <c r="K255" i="8"/>
  <c r="J255" i="8"/>
  <c r="L255" i="8" s="1"/>
  <c r="H255" i="8"/>
  <c r="G255" i="8"/>
  <c r="I255" i="8" s="1"/>
  <c r="E255" i="8"/>
  <c r="D255" i="8"/>
  <c r="F255" i="8" s="1"/>
  <c r="N254" i="8"/>
  <c r="M254" i="8"/>
  <c r="O254" i="8" s="1"/>
  <c r="K254" i="8"/>
  <c r="J254" i="8"/>
  <c r="L254" i="8" s="1"/>
  <c r="H254" i="8"/>
  <c r="G254" i="8"/>
  <c r="I254" i="8" s="1"/>
  <c r="E254" i="8"/>
  <c r="D254" i="8"/>
  <c r="F254" i="8" s="1"/>
  <c r="O253" i="8"/>
  <c r="L253" i="8"/>
  <c r="I253" i="8"/>
  <c r="C253" i="8" s="1"/>
  <c r="F253" i="8"/>
  <c r="O252" i="8"/>
  <c r="L252" i="8"/>
  <c r="I252" i="8"/>
  <c r="F252" i="8"/>
  <c r="C252" i="8"/>
  <c r="O251" i="8"/>
  <c r="L251" i="8"/>
  <c r="I251" i="8"/>
  <c r="F251" i="8"/>
  <c r="C251" i="8" s="1"/>
  <c r="O250" i="8"/>
  <c r="L250" i="8"/>
  <c r="I250" i="8"/>
  <c r="F250" i="8"/>
  <c r="C250" i="8" s="1"/>
  <c r="N249" i="8"/>
  <c r="M249" i="8"/>
  <c r="O249" i="8" s="1"/>
  <c r="K249" i="8"/>
  <c r="J249" i="8"/>
  <c r="L249" i="8" s="1"/>
  <c r="I249" i="8"/>
  <c r="H249" i="8"/>
  <c r="G249" i="8"/>
  <c r="F249" i="8"/>
  <c r="E249" i="8"/>
  <c r="D249" i="8"/>
  <c r="O248" i="8"/>
  <c r="L248" i="8"/>
  <c r="I248" i="8"/>
  <c r="F248" i="8"/>
  <c r="C248" i="8"/>
  <c r="O247" i="8"/>
  <c r="L247" i="8"/>
  <c r="I247" i="8"/>
  <c r="F247" i="8"/>
  <c r="C247" i="8" s="1"/>
  <c r="O246" i="8"/>
  <c r="L246" i="8"/>
  <c r="I246" i="8"/>
  <c r="F246" i="8"/>
  <c r="C246" i="8" s="1"/>
  <c r="O245" i="8"/>
  <c r="L245" i="8"/>
  <c r="I245" i="8"/>
  <c r="C245" i="8" s="1"/>
  <c r="F245" i="8"/>
  <c r="O244" i="8"/>
  <c r="L244" i="8"/>
  <c r="I244" i="8"/>
  <c r="F244" i="8"/>
  <c r="C244" i="8"/>
  <c r="O243" i="8"/>
  <c r="L243" i="8"/>
  <c r="I243" i="8"/>
  <c r="F243" i="8"/>
  <c r="C243" i="8" s="1"/>
  <c r="O242" i="8"/>
  <c r="L242" i="8"/>
  <c r="I242" i="8"/>
  <c r="F242" i="8"/>
  <c r="C242" i="8"/>
  <c r="N241" i="8"/>
  <c r="M241" i="8"/>
  <c r="O241" i="8" s="1"/>
  <c r="K241" i="8"/>
  <c r="J241" i="8"/>
  <c r="L241" i="8" s="1"/>
  <c r="H241" i="8"/>
  <c r="G241" i="8"/>
  <c r="I241" i="8" s="1"/>
  <c r="E241" i="8"/>
  <c r="D241" i="8"/>
  <c r="F241" i="8" s="1"/>
  <c r="O240" i="8"/>
  <c r="L240" i="8"/>
  <c r="I240" i="8"/>
  <c r="C240" i="8" s="1"/>
  <c r="F240" i="8"/>
  <c r="O239" i="8"/>
  <c r="L239" i="8"/>
  <c r="I239" i="8"/>
  <c r="F239" i="8"/>
  <c r="C239" i="8" s="1"/>
  <c r="N238" i="8"/>
  <c r="M238" i="8"/>
  <c r="O238" i="8" s="1"/>
  <c r="K238" i="8"/>
  <c r="J238" i="8"/>
  <c r="L238" i="8" s="1"/>
  <c r="H238" i="8"/>
  <c r="G238" i="8"/>
  <c r="I238" i="8" s="1"/>
  <c r="E238" i="8"/>
  <c r="D238" i="8"/>
  <c r="F238" i="8" s="1"/>
  <c r="O237" i="8"/>
  <c r="L237" i="8"/>
  <c r="I237" i="8"/>
  <c r="F237" i="8"/>
  <c r="C237" i="8" s="1"/>
  <c r="N236" i="8"/>
  <c r="M236" i="8"/>
  <c r="O236" i="8" s="1"/>
  <c r="K236" i="8"/>
  <c r="J236" i="8"/>
  <c r="L236" i="8" s="1"/>
  <c r="H236" i="8"/>
  <c r="G236" i="8"/>
  <c r="I236" i="8" s="1"/>
  <c r="E236" i="8"/>
  <c r="F236" i="8" s="1"/>
  <c r="D236" i="8"/>
  <c r="O235" i="8"/>
  <c r="L235" i="8"/>
  <c r="I235" i="8"/>
  <c r="F235" i="8"/>
  <c r="C235" i="8" s="1"/>
  <c r="N234" i="8"/>
  <c r="M234" i="8"/>
  <c r="O234" i="8" s="1"/>
  <c r="K234" i="8"/>
  <c r="J234" i="8"/>
  <c r="L234" i="8" s="1"/>
  <c r="H234" i="8"/>
  <c r="G234" i="8"/>
  <c r="I234" i="8" s="1"/>
  <c r="E234" i="8"/>
  <c r="D234" i="8"/>
  <c r="F234" i="8" s="1"/>
  <c r="C234" i="8" s="1"/>
  <c r="N233" i="8"/>
  <c r="M233" i="8"/>
  <c r="O233" i="8" s="1"/>
  <c r="K233" i="8"/>
  <c r="J233" i="8"/>
  <c r="L233" i="8" s="1"/>
  <c r="I233" i="8"/>
  <c r="H233" i="8"/>
  <c r="G233" i="8"/>
  <c r="E233" i="8"/>
  <c r="D233" i="8"/>
  <c r="F233" i="8" s="1"/>
  <c r="C233" i="8" s="1"/>
  <c r="O232" i="8"/>
  <c r="L232" i="8"/>
  <c r="C232" i="8" s="1"/>
  <c r="I232" i="8"/>
  <c r="F232" i="8"/>
  <c r="O231" i="8"/>
  <c r="L231" i="8"/>
  <c r="I231" i="8"/>
  <c r="F231" i="8"/>
  <c r="C231" i="8"/>
  <c r="N230" i="8"/>
  <c r="M230" i="8"/>
  <c r="O230" i="8" s="1"/>
  <c r="L230" i="8"/>
  <c r="K230" i="8"/>
  <c r="J230" i="8"/>
  <c r="H230" i="8"/>
  <c r="G230" i="8"/>
  <c r="I230" i="8" s="1"/>
  <c r="E230" i="8"/>
  <c r="D230" i="8"/>
  <c r="F230" i="8" s="1"/>
  <c r="O229" i="8"/>
  <c r="L229" i="8"/>
  <c r="I229" i="8"/>
  <c r="F229" i="8"/>
  <c r="C229" i="8" s="1"/>
  <c r="O228" i="8"/>
  <c r="L228" i="8"/>
  <c r="C228" i="8" s="1"/>
  <c r="I228" i="8"/>
  <c r="F228" i="8"/>
  <c r="O227" i="8"/>
  <c r="L227" i="8"/>
  <c r="I227" i="8"/>
  <c r="F227" i="8"/>
  <c r="C227" i="8"/>
  <c r="O226" i="8"/>
  <c r="L226" i="8"/>
  <c r="I226" i="8"/>
  <c r="F226" i="8"/>
  <c r="C226" i="8" s="1"/>
  <c r="O225" i="8"/>
  <c r="L225" i="8"/>
  <c r="I225" i="8"/>
  <c r="C225" i="8" s="1"/>
  <c r="F225" i="8"/>
  <c r="O224" i="8"/>
  <c r="L224" i="8"/>
  <c r="I224" i="8"/>
  <c r="F224" i="8"/>
  <c r="C224" i="8"/>
  <c r="O223" i="8"/>
  <c r="L223" i="8"/>
  <c r="I223" i="8"/>
  <c r="F223" i="8"/>
  <c r="C223" i="8" s="1"/>
  <c r="O222" i="8"/>
  <c r="L222" i="8"/>
  <c r="I222" i="8"/>
  <c r="F222" i="8"/>
  <c r="C222" i="8" s="1"/>
  <c r="O221" i="8"/>
  <c r="L221" i="8"/>
  <c r="I221" i="8"/>
  <c r="C221" i="8" s="1"/>
  <c r="F221" i="8"/>
  <c r="O220" i="8"/>
  <c r="L220" i="8"/>
  <c r="I220" i="8"/>
  <c r="F220" i="8"/>
  <c r="C220" i="8"/>
  <c r="N219" i="8"/>
  <c r="M219" i="8"/>
  <c r="O219" i="8" s="1"/>
  <c r="K219" i="8"/>
  <c r="L219" i="8" s="1"/>
  <c r="J219" i="8"/>
  <c r="H219" i="8"/>
  <c r="G219" i="8"/>
  <c r="I219" i="8" s="1"/>
  <c r="E219" i="8"/>
  <c r="D219" i="8"/>
  <c r="F219" i="8" s="1"/>
  <c r="O218" i="8"/>
  <c r="L218" i="8"/>
  <c r="I218" i="8"/>
  <c r="F218" i="8"/>
  <c r="C218" i="8" s="1"/>
  <c r="O217" i="8"/>
  <c r="L217" i="8"/>
  <c r="I217" i="8"/>
  <c r="C217" i="8" s="1"/>
  <c r="F217" i="8"/>
  <c r="O216" i="8"/>
  <c r="L216" i="8"/>
  <c r="I216" i="8"/>
  <c r="F216" i="8"/>
  <c r="C216" i="8" s="1"/>
  <c r="O215" i="8"/>
  <c r="L215" i="8"/>
  <c r="I215" i="8"/>
  <c r="F215" i="8"/>
  <c r="C215" i="8" s="1"/>
  <c r="O214" i="8"/>
  <c r="L214" i="8"/>
  <c r="I214" i="8"/>
  <c r="F214" i="8"/>
  <c r="C214" i="8" s="1"/>
  <c r="O213" i="8"/>
  <c r="L213" i="8"/>
  <c r="I213" i="8"/>
  <c r="C213" i="8" s="1"/>
  <c r="F213" i="8"/>
  <c r="O212" i="8"/>
  <c r="L212" i="8"/>
  <c r="I212" i="8"/>
  <c r="F212" i="8"/>
  <c r="C212" i="8"/>
  <c r="O211" i="8"/>
  <c r="L211" i="8"/>
  <c r="I211" i="8"/>
  <c r="F211" i="8"/>
  <c r="C211" i="8" s="1"/>
  <c r="O210" i="8"/>
  <c r="L210" i="8"/>
  <c r="I210" i="8"/>
  <c r="F210" i="8"/>
  <c r="C210" i="8" s="1"/>
  <c r="O209" i="8"/>
  <c r="L209" i="8"/>
  <c r="I209" i="8"/>
  <c r="F209" i="8"/>
  <c r="C209" i="8" s="1"/>
  <c r="N208" i="8"/>
  <c r="O208" i="8" s="1"/>
  <c r="M208" i="8"/>
  <c r="K208" i="8"/>
  <c r="J208" i="8"/>
  <c r="L208" i="8" s="1"/>
  <c r="H208" i="8"/>
  <c r="G208" i="8"/>
  <c r="I208" i="8" s="1"/>
  <c r="E208" i="8"/>
  <c r="D208" i="8"/>
  <c r="F208" i="8" s="1"/>
  <c r="N207" i="8"/>
  <c r="M207" i="8"/>
  <c r="O207" i="8" s="1"/>
  <c r="K207" i="8"/>
  <c r="J207" i="8"/>
  <c r="L207" i="8" s="1"/>
  <c r="H207" i="8"/>
  <c r="G207" i="8"/>
  <c r="I207" i="8" s="1"/>
  <c r="E207" i="8"/>
  <c r="D207" i="8"/>
  <c r="F207" i="8" s="1"/>
  <c r="O206" i="8"/>
  <c r="L206" i="8"/>
  <c r="I206" i="8"/>
  <c r="F206" i="8"/>
  <c r="C206" i="8" s="1"/>
  <c r="O205" i="8"/>
  <c r="L205" i="8"/>
  <c r="I205" i="8"/>
  <c r="F205" i="8"/>
  <c r="C205" i="8"/>
  <c r="O204" i="8"/>
  <c r="L204" i="8"/>
  <c r="I204" i="8"/>
  <c r="F204" i="8"/>
  <c r="C204" i="8"/>
  <c r="O203" i="8"/>
  <c r="L203" i="8"/>
  <c r="I203" i="8"/>
  <c r="F203" i="8"/>
  <c r="C203" i="8" s="1"/>
  <c r="O202" i="8"/>
  <c r="L202" i="8"/>
  <c r="I202" i="8"/>
  <c r="F202" i="8"/>
  <c r="C202" i="8" s="1"/>
  <c r="N201" i="8"/>
  <c r="M201" i="8"/>
  <c r="O201" i="8" s="1"/>
  <c r="K201" i="8"/>
  <c r="J201" i="8"/>
  <c r="L201" i="8" s="1"/>
  <c r="H201" i="8"/>
  <c r="G201" i="8"/>
  <c r="I201" i="8" s="1"/>
  <c r="F201" i="8"/>
  <c r="E201" i="8"/>
  <c r="D201" i="8"/>
  <c r="O200" i="8"/>
  <c r="L200" i="8"/>
  <c r="I200" i="8"/>
  <c r="F200" i="8"/>
  <c r="C200" i="8"/>
  <c r="N199" i="8"/>
  <c r="M199" i="8"/>
  <c r="O199" i="8" s="1"/>
  <c r="K199" i="8"/>
  <c r="J199" i="8"/>
  <c r="L199" i="8" s="1"/>
  <c r="H199" i="8"/>
  <c r="G199" i="8"/>
  <c r="I199" i="8" s="1"/>
  <c r="E199" i="8"/>
  <c r="D199" i="8"/>
  <c r="F199" i="8" s="1"/>
  <c r="N198" i="8"/>
  <c r="M198" i="8"/>
  <c r="O198" i="8" s="1"/>
  <c r="K198" i="8"/>
  <c r="J198" i="8"/>
  <c r="L198" i="8" s="1"/>
  <c r="H198" i="8"/>
  <c r="G198" i="8"/>
  <c r="I198" i="8" s="1"/>
  <c r="E198" i="8"/>
  <c r="D198" i="8"/>
  <c r="F198" i="8" s="1"/>
  <c r="N197" i="8"/>
  <c r="M197" i="8"/>
  <c r="O197" i="8" s="1"/>
  <c r="K197" i="8"/>
  <c r="J197" i="8"/>
  <c r="L197" i="8" s="1"/>
  <c r="G197" i="8"/>
  <c r="I197" i="8" s="1"/>
  <c r="E197" i="8"/>
  <c r="D197" i="8"/>
  <c r="F197" i="8" s="1"/>
  <c r="O196" i="8"/>
  <c r="L196" i="8"/>
  <c r="I196" i="8"/>
  <c r="C196" i="8" s="1"/>
  <c r="F196" i="8"/>
  <c r="N195" i="8"/>
  <c r="M195" i="8"/>
  <c r="O195" i="8" s="1"/>
  <c r="K195" i="8"/>
  <c r="J195" i="8"/>
  <c r="L195" i="8" s="1"/>
  <c r="I195" i="8"/>
  <c r="H195" i="8"/>
  <c r="G195" i="8"/>
  <c r="E195" i="8"/>
  <c r="D195" i="8"/>
  <c r="F195" i="8" s="1"/>
  <c r="C195" i="8" s="1"/>
  <c r="N194" i="8"/>
  <c r="M194" i="8"/>
  <c r="O194" i="8" s="1"/>
  <c r="K194" i="8"/>
  <c r="J194" i="8"/>
  <c r="L194" i="8" s="1"/>
  <c r="H194" i="8"/>
  <c r="G194" i="8"/>
  <c r="I194" i="8" s="1"/>
  <c r="E194" i="8"/>
  <c r="D194" i="8"/>
  <c r="F194" i="8" s="1"/>
  <c r="O193" i="8"/>
  <c r="L193" i="8"/>
  <c r="I193" i="8"/>
  <c r="F193" i="8"/>
  <c r="C193" i="8"/>
  <c r="O192" i="8"/>
  <c r="L192" i="8"/>
  <c r="I192" i="8"/>
  <c r="F192" i="8"/>
  <c r="C192" i="8"/>
  <c r="N191" i="8"/>
  <c r="M191" i="8"/>
  <c r="O191" i="8" s="1"/>
  <c r="K191" i="8"/>
  <c r="J191" i="8"/>
  <c r="L191" i="8" s="1"/>
  <c r="H191" i="8"/>
  <c r="G191" i="8"/>
  <c r="I191" i="8" s="1"/>
  <c r="E191" i="8"/>
  <c r="D191" i="8"/>
  <c r="F191" i="8" s="1"/>
  <c r="C191" i="8" s="1"/>
  <c r="N190" i="8"/>
  <c r="M190" i="8"/>
  <c r="O190" i="8" s="1"/>
  <c r="K190" i="8"/>
  <c r="J190" i="8"/>
  <c r="L190" i="8" s="1"/>
  <c r="H190" i="8"/>
  <c r="G190" i="8"/>
  <c r="I190" i="8" s="1"/>
  <c r="E190" i="8"/>
  <c r="D190" i="8"/>
  <c r="F190" i="8" s="1"/>
  <c r="C190" i="8" s="1"/>
  <c r="O189" i="8"/>
  <c r="L189" i="8"/>
  <c r="I189" i="8"/>
  <c r="F189" i="8"/>
  <c r="C189" i="8" s="1"/>
  <c r="O188" i="8"/>
  <c r="L188" i="8"/>
  <c r="C188" i="8" s="1"/>
  <c r="I188" i="8"/>
  <c r="F188" i="8"/>
  <c r="O187" i="8"/>
  <c r="N187" i="8"/>
  <c r="M187" i="8"/>
  <c r="K187" i="8"/>
  <c r="J187" i="8"/>
  <c r="L187" i="8" s="1"/>
  <c r="H187" i="8"/>
  <c r="G187" i="8"/>
  <c r="I187" i="8" s="1"/>
  <c r="E187" i="8"/>
  <c r="D187" i="8"/>
  <c r="F187" i="8" s="1"/>
  <c r="C187" i="8" s="1"/>
  <c r="O186" i="8"/>
  <c r="L186" i="8"/>
  <c r="I186" i="8"/>
  <c r="F186" i="8"/>
  <c r="C186" i="8" s="1"/>
  <c r="O185" i="8"/>
  <c r="L185" i="8"/>
  <c r="I185" i="8"/>
  <c r="F185" i="8"/>
  <c r="C185" i="8" s="1"/>
  <c r="O184" i="8"/>
  <c r="L184" i="8"/>
  <c r="C184" i="8" s="1"/>
  <c r="I184" i="8"/>
  <c r="F184" i="8"/>
  <c r="O183" i="8"/>
  <c r="L183" i="8"/>
  <c r="I183" i="8"/>
  <c r="F183" i="8"/>
  <c r="C183" i="8"/>
  <c r="N182" i="8"/>
  <c r="M182" i="8"/>
  <c r="O182" i="8" s="1"/>
  <c r="L182" i="8"/>
  <c r="K182" i="8"/>
  <c r="J182" i="8"/>
  <c r="H182" i="8"/>
  <c r="G182" i="8"/>
  <c r="I182" i="8" s="1"/>
  <c r="E182" i="8"/>
  <c r="D182" i="8"/>
  <c r="F182" i="8" s="1"/>
  <c r="O181" i="8"/>
  <c r="L181" i="8"/>
  <c r="I181" i="8"/>
  <c r="C181" i="8" s="1"/>
  <c r="F181" i="8"/>
  <c r="O180" i="8"/>
  <c r="L180" i="8"/>
  <c r="I180" i="8"/>
  <c r="F180" i="8"/>
  <c r="C180" i="8"/>
  <c r="O179" i="8"/>
  <c r="L179" i="8"/>
  <c r="I179" i="8"/>
  <c r="F179" i="8"/>
  <c r="C179" i="8" s="1"/>
  <c r="N178" i="8"/>
  <c r="M178" i="8"/>
  <c r="O178" i="8" s="1"/>
  <c r="K178" i="8"/>
  <c r="J178" i="8"/>
  <c r="L178" i="8" s="1"/>
  <c r="I178" i="8"/>
  <c r="H178" i="8"/>
  <c r="G178" i="8"/>
  <c r="E178" i="8"/>
  <c r="D178" i="8"/>
  <c r="D177" i="8" s="1"/>
  <c r="N177" i="8"/>
  <c r="M177" i="8"/>
  <c r="M176" i="8" s="1"/>
  <c r="O176" i="8" s="1"/>
  <c r="K177" i="8"/>
  <c r="J177" i="8"/>
  <c r="L177" i="8" s="1"/>
  <c r="I177" i="8"/>
  <c r="H177" i="8"/>
  <c r="G177" i="8"/>
  <c r="E177" i="8"/>
  <c r="E176" i="8" s="1"/>
  <c r="N176" i="8"/>
  <c r="K176" i="8"/>
  <c r="J176" i="8"/>
  <c r="L176" i="8" s="1"/>
  <c r="H176" i="8"/>
  <c r="G176" i="8"/>
  <c r="I176" i="8" s="1"/>
  <c r="O175" i="8"/>
  <c r="L175" i="8"/>
  <c r="I175" i="8"/>
  <c r="F175" i="8"/>
  <c r="C175" i="8"/>
  <c r="O174" i="8"/>
  <c r="L174" i="8"/>
  <c r="I174" i="8"/>
  <c r="F174" i="8"/>
  <c r="C174" i="8" s="1"/>
  <c r="O173" i="8"/>
  <c r="L173" i="8"/>
  <c r="I173" i="8"/>
  <c r="C173" i="8" s="1"/>
  <c r="F173" i="8"/>
  <c r="O172" i="8"/>
  <c r="L172" i="8"/>
  <c r="C172" i="8" s="1"/>
  <c r="I172" i="8"/>
  <c r="F172" i="8"/>
  <c r="O171" i="8"/>
  <c r="L171" i="8"/>
  <c r="I171" i="8"/>
  <c r="F171" i="8"/>
  <c r="C171" i="8"/>
  <c r="O170" i="8"/>
  <c r="L170" i="8"/>
  <c r="I170" i="8"/>
  <c r="F170" i="8"/>
  <c r="C170" i="8" s="1"/>
  <c r="N169" i="8"/>
  <c r="M169" i="8"/>
  <c r="M168" i="8" s="1"/>
  <c r="O168" i="8" s="1"/>
  <c r="K169" i="8"/>
  <c r="J169" i="8"/>
  <c r="L169" i="8" s="1"/>
  <c r="I169" i="8"/>
  <c r="H169" i="8"/>
  <c r="G169" i="8"/>
  <c r="E169" i="8"/>
  <c r="F169" i="8" s="1"/>
  <c r="D169" i="8"/>
  <c r="N168" i="8"/>
  <c r="K168" i="8"/>
  <c r="J168" i="8"/>
  <c r="L168" i="8" s="1"/>
  <c r="H168" i="8"/>
  <c r="G168" i="8"/>
  <c r="I168" i="8" s="1"/>
  <c r="D168" i="8"/>
  <c r="O167" i="8"/>
  <c r="L167" i="8"/>
  <c r="I167" i="8"/>
  <c r="F167" i="8"/>
  <c r="C167" i="8"/>
  <c r="O166" i="8"/>
  <c r="L166" i="8"/>
  <c r="I166" i="8"/>
  <c r="F166" i="8"/>
  <c r="C166" i="8" s="1"/>
  <c r="O165" i="8"/>
  <c r="L165" i="8"/>
  <c r="I165" i="8"/>
  <c r="C165" i="8" s="1"/>
  <c r="F165" i="8"/>
  <c r="O164" i="8"/>
  <c r="L164" i="8"/>
  <c r="I164" i="8"/>
  <c r="F164" i="8"/>
  <c r="C164" i="8"/>
  <c r="O163" i="8"/>
  <c r="N163" i="8"/>
  <c r="M163" i="8"/>
  <c r="L163" i="8"/>
  <c r="K163" i="8"/>
  <c r="J163" i="8"/>
  <c r="H163" i="8"/>
  <c r="G163" i="8"/>
  <c r="I163" i="8" s="1"/>
  <c r="E163" i="8"/>
  <c r="D163" i="8"/>
  <c r="F163" i="8" s="1"/>
  <c r="O162" i="8"/>
  <c r="L162" i="8"/>
  <c r="I162" i="8"/>
  <c r="F162" i="8"/>
  <c r="C162" i="8" s="1"/>
  <c r="O161" i="8"/>
  <c r="L161" i="8"/>
  <c r="I161" i="8"/>
  <c r="C161" i="8" s="1"/>
  <c r="F161" i="8"/>
  <c r="O160" i="8"/>
  <c r="L160" i="8"/>
  <c r="I160" i="8"/>
  <c r="F160" i="8"/>
  <c r="C160" i="8"/>
  <c r="O159" i="8"/>
  <c r="L159" i="8"/>
  <c r="I159" i="8"/>
  <c r="F159" i="8"/>
  <c r="C159" i="8" s="1"/>
  <c r="O158" i="8"/>
  <c r="L158" i="8"/>
  <c r="I158" i="8"/>
  <c r="F158" i="8"/>
  <c r="C158" i="8" s="1"/>
  <c r="O157" i="8"/>
  <c r="L157" i="8"/>
  <c r="I157" i="8"/>
  <c r="C157" i="8" s="1"/>
  <c r="F157" i="8"/>
  <c r="O156" i="8"/>
  <c r="L156" i="8"/>
  <c r="I156" i="8"/>
  <c r="F156" i="8"/>
  <c r="C156" i="8"/>
  <c r="O155" i="8"/>
  <c r="L155" i="8"/>
  <c r="I155" i="8"/>
  <c r="F155" i="8"/>
  <c r="C155" i="8" s="1"/>
  <c r="N154" i="8"/>
  <c r="M154" i="8"/>
  <c r="O154" i="8" s="1"/>
  <c r="L154" i="8"/>
  <c r="K154" i="8"/>
  <c r="J154" i="8"/>
  <c r="I154" i="8"/>
  <c r="H154" i="8"/>
  <c r="G154" i="8"/>
  <c r="E154" i="8"/>
  <c r="D154" i="8"/>
  <c r="F154" i="8" s="1"/>
  <c r="C154" i="8" s="1"/>
  <c r="O153" i="8"/>
  <c r="L153" i="8"/>
  <c r="I153" i="8"/>
  <c r="C153" i="8" s="1"/>
  <c r="F153" i="8"/>
  <c r="O152" i="8"/>
  <c r="L152" i="8"/>
  <c r="I152" i="8"/>
  <c r="F152" i="8"/>
  <c r="C152" i="8"/>
  <c r="O151" i="8"/>
  <c r="L151" i="8"/>
  <c r="I151" i="8"/>
  <c r="F151" i="8"/>
  <c r="C151" i="8" s="1"/>
  <c r="O150" i="8"/>
  <c r="L150" i="8"/>
  <c r="I150" i="8"/>
  <c r="F150" i="8"/>
  <c r="C150" i="8" s="1"/>
  <c r="O149" i="8"/>
  <c r="L149" i="8"/>
  <c r="I149" i="8"/>
  <c r="C149" i="8" s="1"/>
  <c r="F149" i="8"/>
  <c r="O148" i="8"/>
  <c r="L148" i="8"/>
  <c r="I148" i="8"/>
  <c r="F148" i="8"/>
  <c r="C148" i="8"/>
  <c r="O147" i="8"/>
  <c r="N147" i="8"/>
  <c r="M147" i="8"/>
  <c r="L147" i="8"/>
  <c r="K147" i="8"/>
  <c r="J147" i="8"/>
  <c r="H147" i="8"/>
  <c r="G147" i="8"/>
  <c r="I147" i="8" s="1"/>
  <c r="E147" i="8"/>
  <c r="D147" i="8"/>
  <c r="F147" i="8" s="1"/>
  <c r="C147" i="8" s="1"/>
  <c r="O146" i="8"/>
  <c r="L146" i="8"/>
  <c r="I146" i="8"/>
  <c r="F146" i="8"/>
  <c r="C146" i="8" s="1"/>
  <c r="O145" i="8"/>
  <c r="L145" i="8"/>
  <c r="I145" i="8"/>
  <c r="C145" i="8" s="1"/>
  <c r="F145" i="8"/>
  <c r="O144" i="8"/>
  <c r="N144" i="8"/>
  <c r="M144" i="8"/>
  <c r="K144" i="8"/>
  <c r="J144" i="8"/>
  <c r="L144" i="8" s="1"/>
  <c r="H144" i="8"/>
  <c r="G144" i="8"/>
  <c r="I144" i="8" s="1"/>
  <c r="F144" i="8"/>
  <c r="E144" i="8"/>
  <c r="D144" i="8"/>
  <c r="O143" i="8"/>
  <c r="L143" i="8"/>
  <c r="I143" i="8"/>
  <c r="F143" i="8"/>
  <c r="C143" i="8" s="1"/>
  <c r="O142" i="8"/>
  <c r="L142" i="8"/>
  <c r="I142" i="8"/>
  <c r="F142" i="8"/>
  <c r="C142" i="8" s="1"/>
  <c r="O141" i="8"/>
  <c r="L141" i="8"/>
  <c r="I141" i="8"/>
  <c r="C141" i="8" s="1"/>
  <c r="F141" i="8"/>
  <c r="O140" i="8"/>
  <c r="L140" i="8"/>
  <c r="I140" i="8"/>
  <c r="F140" i="8"/>
  <c r="C140" i="8"/>
  <c r="N139" i="8"/>
  <c r="M139" i="8"/>
  <c r="O139" i="8" s="1"/>
  <c r="L139" i="8"/>
  <c r="K139" i="8"/>
  <c r="J139" i="8"/>
  <c r="H139" i="8"/>
  <c r="G139" i="8"/>
  <c r="I139" i="8" s="1"/>
  <c r="E139" i="8"/>
  <c r="D139" i="8"/>
  <c r="F139" i="8" s="1"/>
  <c r="O138" i="8"/>
  <c r="L138" i="8"/>
  <c r="I138" i="8"/>
  <c r="F138" i="8"/>
  <c r="C138" i="8" s="1"/>
  <c r="D138" i="8"/>
  <c r="O137" i="8"/>
  <c r="L137" i="8"/>
  <c r="I137" i="8"/>
  <c r="F137" i="8"/>
  <c r="C137" i="8"/>
  <c r="O136" i="8"/>
  <c r="L136" i="8"/>
  <c r="I136" i="8"/>
  <c r="F136" i="8"/>
  <c r="C136" i="8" s="1"/>
  <c r="O135" i="8"/>
  <c r="L135" i="8"/>
  <c r="I135" i="8"/>
  <c r="F135" i="8"/>
  <c r="C135" i="8" s="1"/>
  <c r="N134" i="8"/>
  <c r="N133" i="8" s="1"/>
  <c r="O133" i="8" s="1"/>
  <c r="M134" i="8"/>
  <c r="O134" i="8" s="1"/>
  <c r="K134" i="8"/>
  <c r="J134" i="8"/>
  <c r="L134" i="8" s="1"/>
  <c r="H134" i="8"/>
  <c r="G134" i="8"/>
  <c r="I134" i="8" s="1"/>
  <c r="F134" i="8"/>
  <c r="C134" i="8" s="1"/>
  <c r="E134" i="8"/>
  <c r="D134" i="8"/>
  <c r="M133" i="8"/>
  <c r="K133" i="8"/>
  <c r="J133" i="8"/>
  <c r="L133" i="8" s="1"/>
  <c r="H133" i="8"/>
  <c r="G133" i="8"/>
  <c r="I133" i="8" s="1"/>
  <c r="E133" i="8"/>
  <c r="D133" i="8"/>
  <c r="F133" i="8" s="1"/>
  <c r="O132" i="8"/>
  <c r="L132" i="8"/>
  <c r="I132" i="8"/>
  <c r="F132" i="8"/>
  <c r="C132" i="8" s="1"/>
  <c r="N131" i="8"/>
  <c r="M131" i="8"/>
  <c r="O131" i="8" s="1"/>
  <c r="K131" i="8"/>
  <c r="J131" i="8"/>
  <c r="L131" i="8" s="1"/>
  <c r="I131" i="8"/>
  <c r="H131" i="8"/>
  <c r="G131" i="8"/>
  <c r="E131" i="8"/>
  <c r="F131" i="8" s="1"/>
  <c r="C131" i="8" s="1"/>
  <c r="D131" i="8"/>
  <c r="O130" i="8"/>
  <c r="L130" i="8"/>
  <c r="C130" i="8" s="1"/>
  <c r="I130" i="8"/>
  <c r="F130" i="8"/>
  <c r="O129" i="8"/>
  <c r="L129" i="8"/>
  <c r="I129" i="8"/>
  <c r="F129" i="8"/>
  <c r="C129" i="8"/>
  <c r="O128" i="8"/>
  <c r="L128" i="8"/>
  <c r="I128" i="8"/>
  <c r="F128" i="8"/>
  <c r="C128" i="8" s="1"/>
  <c r="O127" i="8"/>
  <c r="L127" i="8"/>
  <c r="I127" i="8"/>
  <c r="F127" i="8"/>
  <c r="C127" i="8" s="1"/>
  <c r="O126" i="8"/>
  <c r="L126" i="8"/>
  <c r="C126" i="8" s="1"/>
  <c r="I126" i="8"/>
  <c r="F126" i="8"/>
  <c r="O125" i="8"/>
  <c r="N125" i="8"/>
  <c r="M125" i="8"/>
  <c r="K125" i="8"/>
  <c r="J125" i="8"/>
  <c r="L125" i="8" s="1"/>
  <c r="H125" i="8"/>
  <c r="G125" i="8"/>
  <c r="I125" i="8" s="1"/>
  <c r="E125" i="8"/>
  <c r="D125" i="8"/>
  <c r="F125" i="8" s="1"/>
  <c r="C125" i="8" s="1"/>
  <c r="O124" i="8"/>
  <c r="L124" i="8"/>
  <c r="I124" i="8"/>
  <c r="F124" i="8"/>
  <c r="C124" i="8" s="1"/>
  <c r="O123" i="8"/>
  <c r="L123" i="8"/>
  <c r="I123" i="8"/>
  <c r="F123" i="8"/>
  <c r="C123" i="8" s="1"/>
  <c r="O122" i="8"/>
  <c r="L122" i="8"/>
  <c r="I122" i="8"/>
  <c r="F122" i="8"/>
  <c r="C122" i="8"/>
  <c r="O121" i="8"/>
  <c r="L121" i="8"/>
  <c r="I121" i="8"/>
  <c r="F121" i="8"/>
  <c r="C121" i="8" s="1"/>
  <c r="O120" i="8"/>
  <c r="L120" i="8"/>
  <c r="I120" i="8"/>
  <c r="F120" i="8"/>
  <c r="C120" i="8" s="1"/>
  <c r="N119" i="8"/>
  <c r="M119" i="8"/>
  <c r="O119" i="8" s="1"/>
  <c r="K119" i="8"/>
  <c r="J119" i="8"/>
  <c r="L119" i="8" s="1"/>
  <c r="I119" i="8"/>
  <c r="H119" i="8"/>
  <c r="G119" i="8"/>
  <c r="F119" i="8"/>
  <c r="C119" i="8" s="1"/>
  <c r="E119" i="8"/>
  <c r="D119" i="8"/>
  <c r="O118" i="8"/>
  <c r="L118" i="8"/>
  <c r="I118" i="8"/>
  <c r="F118" i="8"/>
  <c r="C118" i="8"/>
  <c r="O117" i="8"/>
  <c r="L117" i="8"/>
  <c r="I117" i="8"/>
  <c r="F117" i="8"/>
  <c r="C117" i="8" s="1"/>
  <c r="O116" i="8"/>
  <c r="L116" i="8"/>
  <c r="I116" i="8"/>
  <c r="F116" i="8"/>
  <c r="C116" i="8"/>
  <c r="N115" i="8"/>
  <c r="M115" i="8"/>
  <c r="O115" i="8" s="1"/>
  <c r="K115" i="8"/>
  <c r="J115" i="8"/>
  <c r="L115" i="8" s="1"/>
  <c r="H115" i="8"/>
  <c r="G115" i="8"/>
  <c r="I115" i="8" s="1"/>
  <c r="E115" i="8"/>
  <c r="D115" i="8"/>
  <c r="F115" i="8" s="1"/>
  <c r="C115" i="8" s="1"/>
  <c r="O114" i="8"/>
  <c r="L114" i="8"/>
  <c r="I114" i="8"/>
  <c r="C114" i="8" s="1"/>
  <c r="F114" i="8"/>
  <c r="O113" i="8"/>
  <c r="L113" i="8"/>
  <c r="C113" i="8" s="1"/>
  <c r="I113" i="8"/>
  <c r="F113" i="8"/>
  <c r="O112" i="8"/>
  <c r="L112" i="8"/>
  <c r="I112" i="8"/>
  <c r="F112" i="8"/>
  <c r="C112" i="8"/>
  <c r="O111" i="8"/>
  <c r="L111" i="8"/>
  <c r="I111" i="8"/>
  <c r="F111" i="8"/>
  <c r="C111" i="8" s="1"/>
  <c r="O110" i="8"/>
  <c r="L110" i="8"/>
  <c r="I110" i="8"/>
  <c r="C110" i="8" s="1"/>
  <c r="F110" i="8"/>
  <c r="O109" i="8"/>
  <c r="L109" i="8"/>
  <c r="I109" i="8"/>
  <c r="F109" i="8"/>
  <c r="C109" i="8"/>
  <c r="O108" i="8"/>
  <c r="L108" i="8"/>
  <c r="I108" i="8"/>
  <c r="F108" i="8"/>
  <c r="C108" i="8" s="1"/>
  <c r="O107" i="8"/>
  <c r="L107" i="8"/>
  <c r="I107" i="8"/>
  <c r="F107" i="8"/>
  <c r="C107" i="8" s="1"/>
  <c r="N106" i="8"/>
  <c r="M106" i="8"/>
  <c r="O106" i="8" s="1"/>
  <c r="K106" i="8"/>
  <c r="J106" i="8"/>
  <c r="L106" i="8" s="1"/>
  <c r="I106" i="8"/>
  <c r="H106" i="8"/>
  <c r="G106" i="8"/>
  <c r="E106" i="8"/>
  <c r="F106" i="8" s="1"/>
  <c r="D106" i="8"/>
  <c r="O105" i="8"/>
  <c r="L105" i="8"/>
  <c r="I105" i="8"/>
  <c r="F105" i="8"/>
  <c r="C105" i="8"/>
  <c r="O104" i="8"/>
  <c r="L104" i="8"/>
  <c r="I104" i="8"/>
  <c r="F104" i="8"/>
  <c r="C104" i="8" s="1"/>
  <c r="O103" i="8"/>
  <c r="L103" i="8"/>
  <c r="I103" i="8"/>
  <c r="F103" i="8"/>
  <c r="C103" i="8" s="1"/>
  <c r="O102" i="8"/>
  <c r="L102" i="8"/>
  <c r="I102" i="8"/>
  <c r="C102" i="8" s="1"/>
  <c r="F102" i="8"/>
  <c r="O101" i="8"/>
  <c r="L101" i="8"/>
  <c r="I101" i="8"/>
  <c r="F101" i="8"/>
  <c r="C101" i="8"/>
  <c r="O100" i="8"/>
  <c r="L100" i="8"/>
  <c r="I100" i="8"/>
  <c r="F100" i="8"/>
  <c r="C100" i="8" s="1"/>
  <c r="O99" i="8"/>
  <c r="L99" i="8"/>
  <c r="I99" i="8"/>
  <c r="F99" i="8"/>
  <c r="C99" i="8" s="1"/>
  <c r="N98" i="8"/>
  <c r="M98" i="8"/>
  <c r="O98" i="8" s="1"/>
  <c r="K98" i="8"/>
  <c r="J98" i="8"/>
  <c r="L98" i="8" s="1"/>
  <c r="I98" i="8"/>
  <c r="H98" i="8"/>
  <c r="G98" i="8"/>
  <c r="E98" i="8"/>
  <c r="F98" i="8" s="1"/>
  <c r="D98" i="8"/>
  <c r="O97" i="8"/>
  <c r="L97" i="8"/>
  <c r="I97" i="8"/>
  <c r="F97" i="8"/>
  <c r="C97" i="8"/>
  <c r="O96" i="8"/>
  <c r="L96" i="8"/>
  <c r="I96" i="8"/>
  <c r="F96" i="8"/>
  <c r="C96" i="8" s="1"/>
  <c r="O95" i="8"/>
  <c r="L95" i="8"/>
  <c r="I95" i="8"/>
  <c r="F95" i="8"/>
  <c r="C95" i="8" s="1"/>
  <c r="O94" i="8"/>
  <c r="L94" i="8"/>
  <c r="I94" i="8"/>
  <c r="F94" i="8"/>
  <c r="C94" i="8" s="1"/>
  <c r="O93" i="8"/>
  <c r="L93" i="8"/>
  <c r="I93" i="8"/>
  <c r="F93" i="8"/>
  <c r="C93" i="8"/>
  <c r="O92" i="8"/>
  <c r="N92" i="8"/>
  <c r="M92" i="8"/>
  <c r="L92" i="8"/>
  <c r="K92" i="8"/>
  <c r="J92" i="8"/>
  <c r="H92" i="8"/>
  <c r="G92" i="8"/>
  <c r="I92" i="8" s="1"/>
  <c r="E92" i="8"/>
  <c r="D92" i="8"/>
  <c r="F92" i="8" s="1"/>
  <c r="O91" i="8"/>
  <c r="L91" i="8"/>
  <c r="I91" i="8"/>
  <c r="F91" i="8"/>
  <c r="C91" i="8" s="1"/>
  <c r="O90" i="8"/>
  <c r="L90" i="8"/>
  <c r="I90" i="8"/>
  <c r="F90" i="8"/>
  <c r="C90" i="8" s="1"/>
  <c r="O89" i="8"/>
  <c r="L89" i="8"/>
  <c r="I89" i="8"/>
  <c r="F89" i="8"/>
  <c r="C89" i="8"/>
  <c r="O88" i="8"/>
  <c r="L88" i="8"/>
  <c r="I88" i="8"/>
  <c r="F88" i="8"/>
  <c r="C88" i="8" s="1"/>
  <c r="N87" i="8"/>
  <c r="M87" i="8"/>
  <c r="O87" i="8" s="1"/>
  <c r="L87" i="8"/>
  <c r="K87" i="8"/>
  <c r="J87" i="8"/>
  <c r="I87" i="8"/>
  <c r="H87" i="8"/>
  <c r="G87" i="8"/>
  <c r="E87" i="8"/>
  <c r="D87" i="8"/>
  <c r="F87" i="8" s="1"/>
  <c r="C87" i="8" s="1"/>
  <c r="N86" i="8"/>
  <c r="M86" i="8"/>
  <c r="O86" i="8" s="1"/>
  <c r="K86" i="8"/>
  <c r="J86" i="8"/>
  <c r="L86" i="8" s="1"/>
  <c r="I86" i="8"/>
  <c r="H86" i="8"/>
  <c r="G86" i="8"/>
  <c r="E86" i="8"/>
  <c r="D86" i="8"/>
  <c r="F86" i="8" s="1"/>
  <c r="C86" i="8" s="1"/>
  <c r="O85" i="8"/>
  <c r="L85" i="8"/>
  <c r="I85" i="8"/>
  <c r="E85" i="8"/>
  <c r="F85" i="8" s="1"/>
  <c r="C85" i="8" s="1"/>
  <c r="O84" i="8"/>
  <c r="L84" i="8"/>
  <c r="I84" i="8"/>
  <c r="F84" i="8"/>
  <c r="C84" i="8" s="1"/>
  <c r="N83" i="8"/>
  <c r="M83" i="8"/>
  <c r="O83" i="8" s="1"/>
  <c r="K83" i="8"/>
  <c r="J83" i="8"/>
  <c r="L83" i="8" s="1"/>
  <c r="I83" i="8"/>
  <c r="H83" i="8"/>
  <c r="G83" i="8"/>
  <c r="E83" i="8"/>
  <c r="D83" i="8"/>
  <c r="F83" i="8" s="1"/>
  <c r="O82" i="8"/>
  <c r="L82" i="8"/>
  <c r="C82" i="8" s="1"/>
  <c r="I82" i="8"/>
  <c r="F82" i="8"/>
  <c r="O81" i="8"/>
  <c r="L81" i="8"/>
  <c r="I81" i="8"/>
  <c r="F81" i="8"/>
  <c r="C81" i="8"/>
  <c r="N80" i="8"/>
  <c r="M80" i="8"/>
  <c r="O80" i="8" s="1"/>
  <c r="L80" i="8"/>
  <c r="K80" i="8"/>
  <c r="J80" i="8"/>
  <c r="H80" i="8"/>
  <c r="G80" i="8"/>
  <c r="I80" i="8" s="1"/>
  <c r="E80" i="8"/>
  <c r="D80" i="8"/>
  <c r="F80" i="8" s="1"/>
  <c r="N79" i="8"/>
  <c r="M79" i="8"/>
  <c r="O79" i="8" s="1"/>
  <c r="K79" i="8"/>
  <c r="J79" i="8"/>
  <c r="L79" i="8" s="1"/>
  <c r="H79" i="8"/>
  <c r="G79" i="8"/>
  <c r="I79" i="8" s="1"/>
  <c r="E79" i="8"/>
  <c r="D79" i="8"/>
  <c r="F79" i="8" s="1"/>
  <c r="N78" i="8"/>
  <c r="M78" i="8"/>
  <c r="O78" i="8" s="1"/>
  <c r="K78" i="8"/>
  <c r="J78" i="8"/>
  <c r="L78" i="8" s="1"/>
  <c r="I78" i="8"/>
  <c r="H78" i="8"/>
  <c r="G78" i="8"/>
  <c r="D78" i="8"/>
  <c r="O77" i="8"/>
  <c r="L77" i="8"/>
  <c r="I77" i="8"/>
  <c r="F77" i="8"/>
  <c r="C77" i="8"/>
  <c r="O76" i="8"/>
  <c r="L76" i="8"/>
  <c r="I76" i="8"/>
  <c r="F76" i="8"/>
  <c r="C76" i="8" s="1"/>
  <c r="O75" i="8"/>
  <c r="L75" i="8"/>
  <c r="I75" i="8"/>
  <c r="F75" i="8"/>
  <c r="C75" i="8" s="1"/>
  <c r="O74" i="8"/>
  <c r="L74" i="8"/>
  <c r="I74" i="8"/>
  <c r="F74" i="8"/>
  <c r="C74" i="8" s="1"/>
  <c r="O73" i="8"/>
  <c r="L73" i="8"/>
  <c r="I73" i="8"/>
  <c r="F73" i="8"/>
  <c r="C73" i="8"/>
  <c r="O72" i="8"/>
  <c r="N72" i="8"/>
  <c r="M72" i="8"/>
  <c r="L72" i="8"/>
  <c r="K72" i="8"/>
  <c r="J72" i="8"/>
  <c r="H72" i="8"/>
  <c r="G72" i="8"/>
  <c r="I72" i="8" s="1"/>
  <c r="E72" i="8"/>
  <c r="D72" i="8"/>
  <c r="F72" i="8" s="1"/>
  <c r="O71" i="8"/>
  <c r="L71" i="8"/>
  <c r="I71" i="8"/>
  <c r="F71" i="8"/>
  <c r="C71" i="8" s="1"/>
  <c r="N70" i="8"/>
  <c r="M70" i="8"/>
  <c r="O70" i="8" s="1"/>
  <c r="K70" i="8"/>
  <c r="J70" i="8"/>
  <c r="L70" i="8" s="1"/>
  <c r="I70" i="8"/>
  <c r="H70" i="8"/>
  <c r="G70" i="8"/>
  <c r="F70" i="8"/>
  <c r="E70" i="8"/>
  <c r="D70" i="8"/>
  <c r="O69" i="8"/>
  <c r="L69" i="8"/>
  <c r="I69" i="8"/>
  <c r="F69" i="8"/>
  <c r="C69" i="8"/>
  <c r="O68" i="8"/>
  <c r="L68" i="8"/>
  <c r="I68" i="8"/>
  <c r="F68" i="8"/>
  <c r="C68" i="8" s="1"/>
  <c r="O67" i="8"/>
  <c r="L67" i="8"/>
  <c r="I67" i="8"/>
  <c r="F67" i="8"/>
  <c r="C67" i="8" s="1"/>
  <c r="O66" i="8"/>
  <c r="L66" i="8"/>
  <c r="I66" i="8"/>
  <c r="F66" i="8"/>
  <c r="C66" i="8" s="1"/>
  <c r="O65" i="8"/>
  <c r="L65" i="8"/>
  <c r="I65" i="8"/>
  <c r="F65" i="8"/>
  <c r="C65" i="8"/>
  <c r="O64" i="8"/>
  <c r="L64" i="8"/>
  <c r="I64" i="8"/>
  <c r="F64" i="8"/>
  <c r="C64" i="8" s="1"/>
  <c r="O63" i="8"/>
  <c r="L63" i="8"/>
  <c r="I63" i="8"/>
  <c r="F63" i="8"/>
  <c r="C63" i="8" s="1"/>
  <c r="O62" i="8"/>
  <c r="L62" i="8"/>
  <c r="I62" i="8"/>
  <c r="F62" i="8"/>
  <c r="C62" i="8" s="1"/>
  <c r="O61" i="8"/>
  <c r="N61" i="8"/>
  <c r="M61" i="8"/>
  <c r="K61" i="8"/>
  <c r="J61" i="8"/>
  <c r="L61" i="8" s="1"/>
  <c r="H61" i="8"/>
  <c r="G61" i="8"/>
  <c r="I61" i="8" s="1"/>
  <c r="F61" i="8"/>
  <c r="E61" i="8"/>
  <c r="D61" i="8"/>
  <c r="O60" i="8"/>
  <c r="L60" i="8"/>
  <c r="I60" i="8"/>
  <c r="F60" i="8"/>
  <c r="C60" i="8" s="1"/>
  <c r="O59" i="8"/>
  <c r="L59" i="8"/>
  <c r="I59" i="8"/>
  <c r="F59" i="8"/>
  <c r="C59" i="8" s="1"/>
  <c r="N58" i="8"/>
  <c r="N57" i="8" s="1"/>
  <c r="M58" i="8"/>
  <c r="O58" i="8" s="1"/>
  <c r="K58" i="8"/>
  <c r="J58" i="8"/>
  <c r="L58" i="8" s="1"/>
  <c r="I58" i="8"/>
  <c r="H58" i="8"/>
  <c r="G58" i="8"/>
  <c r="F58" i="8"/>
  <c r="C58" i="8" s="1"/>
  <c r="E58" i="8"/>
  <c r="D58" i="8"/>
  <c r="M57" i="8"/>
  <c r="K57" i="8"/>
  <c r="J57" i="8"/>
  <c r="L57" i="8" s="1"/>
  <c r="H57" i="8"/>
  <c r="G57" i="8"/>
  <c r="G56" i="8" s="1"/>
  <c r="F57" i="8"/>
  <c r="E57" i="8"/>
  <c r="D57" i="8"/>
  <c r="M56" i="8"/>
  <c r="L56" i="8"/>
  <c r="K56" i="8"/>
  <c r="J56" i="8"/>
  <c r="H56" i="8"/>
  <c r="H55" i="8" s="1"/>
  <c r="H54" i="8" s="1"/>
  <c r="E56" i="8"/>
  <c r="D56" i="8"/>
  <c r="F56" i="8" s="1"/>
  <c r="M55" i="8"/>
  <c r="M54" i="8" s="1"/>
  <c r="K55" i="8"/>
  <c r="J55" i="8"/>
  <c r="L55" i="8" s="1"/>
  <c r="K54" i="8"/>
  <c r="J54" i="8"/>
  <c r="J53" i="8" s="1"/>
  <c r="L53" i="8" s="1"/>
  <c r="K53" i="8"/>
  <c r="O50" i="8"/>
  <c r="C50" i="8" s="1"/>
  <c r="O49" i="8"/>
  <c r="C49" i="8"/>
  <c r="O48" i="8"/>
  <c r="N48" i="8"/>
  <c r="M48" i="8"/>
  <c r="C48" i="8"/>
  <c r="L47" i="8"/>
  <c r="I47" i="8"/>
  <c r="F47" i="8"/>
  <c r="C47" i="8"/>
  <c r="L46" i="8"/>
  <c r="K46" i="8"/>
  <c r="J46" i="8"/>
  <c r="I46" i="8"/>
  <c r="H46" i="8"/>
  <c r="G46" i="8"/>
  <c r="E46" i="8"/>
  <c r="D46" i="8"/>
  <c r="F46" i="8" s="1"/>
  <c r="C46" i="8" s="1"/>
  <c r="F45" i="8"/>
  <c r="C45" i="8"/>
  <c r="L44" i="8"/>
  <c r="C44" i="8" s="1"/>
  <c r="L43" i="8"/>
  <c r="C43" i="8"/>
  <c r="L42" i="8"/>
  <c r="C42" i="8" s="1"/>
  <c r="L41" i="8"/>
  <c r="C41" i="8"/>
  <c r="L40" i="8"/>
  <c r="K40" i="8"/>
  <c r="J40" i="8"/>
  <c r="C40" i="8"/>
  <c r="L39" i="8"/>
  <c r="C39" i="8" s="1"/>
  <c r="L38" i="8"/>
  <c r="C38" i="8"/>
  <c r="L37" i="8"/>
  <c r="K37" i="8"/>
  <c r="J37" i="8"/>
  <c r="C37" i="8"/>
  <c r="L36" i="8"/>
  <c r="C36" i="8" s="1"/>
  <c r="K35" i="8"/>
  <c r="K30" i="8" s="1"/>
  <c r="J35" i="8"/>
  <c r="L35" i="8" s="1"/>
  <c r="C35" i="8" s="1"/>
  <c r="L34" i="8"/>
  <c r="C34" i="8"/>
  <c r="L33" i="8"/>
  <c r="C33" i="8" s="1"/>
  <c r="L32" i="8"/>
  <c r="C32" i="8"/>
  <c r="L31" i="8"/>
  <c r="K31" i="8"/>
  <c r="J31" i="8"/>
  <c r="C31" i="8"/>
  <c r="J30" i="8"/>
  <c r="J288" i="8" s="1"/>
  <c r="F29" i="8"/>
  <c r="C29" i="8" s="1"/>
  <c r="O27" i="8"/>
  <c r="L27" i="8"/>
  <c r="I27" i="8"/>
  <c r="F27" i="8"/>
  <c r="C27" i="8" s="1"/>
  <c r="O26" i="8"/>
  <c r="L26" i="8"/>
  <c r="I26" i="8"/>
  <c r="F26" i="8"/>
  <c r="C26" i="8" s="1"/>
  <c r="O25" i="8"/>
  <c r="N25" i="8"/>
  <c r="N290" i="8" s="1"/>
  <c r="N289" i="8" s="1"/>
  <c r="M25" i="8"/>
  <c r="M290" i="8" s="1"/>
  <c r="K25" i="8"/>
  <c r="K290" i="8" s="1"/>
  <c r="K289" i="8" s="1"/>
  <c r="J25" i="8"/>
  <c r="J290" i="8" s="1"/>
  <c r="H25" i="8"/>
  <c r="H290" i="8" s="1"/>
  <c r="H289" i="8" s="1"/>
  <c r="G25" i="8"/>
  <c r="G290" i="8" s="1"/>
  <c r="F25" i="8"/>
  <c r="E25" i="8"/>
  <c r="E290" i="8" s="1"/>
  <c r="E289" i="8" s="1"/>
  <c r="D25" i="8"/>
  <c r="D290" i="8" s="1"/>
  <c r="O24" i="8"/>
  <c r="N24" i="8"/>
  <c r="M24" i="8"/>
  <c r="J24" i="8"/>
  <c r="H24" i="8"/>
  <c r="C83" i="8" l="1"/>
  <c r="H288" i="8"/>
  <c r="H53" i="8"/>
  <c r="G55" i="8"/>
  <c r="I56" i="8"/>
  <c r="M53" i="8"/>
  <c r="C70" i="8"/>
  <c r="C72" i="8"/>
  <c r="C79" i="8"/>
  <c r="C80" i="8"/>
  <c r="K288" i="8"/>
  <c r="K24" i="8"/>
  <c r="L24" i="8"/>
  <c r="N56" i="8"/>
  <c r="O57" i="8"/>
  <c r="C61" i="8"/>
  <c r="J289" i="8"/>
  <c r="L289" i="8" s="1"/>
  <c r="L290" i="8"/>
  <c r="H287" i="8"/>
  <c r="N287" i="8"/>
  <c r="I57" i="9"/>
  <c r="I290" i="8"/>
  <c r="G289" i="8"/>
  <c r="I289" i="8" s="1"/>
  <c r="L288" i="8"/>
  <c r="M288" i="8"/>
  <c r="C92" i="8"/>
  <c r="C106" i="8"/>
  <c r="C139" i="8"/>
  <c r="C163" i="8"/>
  <c r="C182" i="8"/>
  <c r="C201" i="8"/>
  <c r="C238" i="8"/>
  <c r="C241" i="8"/>
  <c r="C262" i="8"/>
  <c r="J287" i="8"/>
  <c r="D289" i="8"/>
  <c r="F289" i="8" s="1"/>
  <c r="F290" i="8"/>
  <c r="L25" i="8"/>
  <c r="L54" i="8"/>
  <c r="I57" i="8"/>
  <c r="C57" i="8" s="1"/>
  <c r="C98" i="8"/>
  <c r="C144" i="8"/>
  <c r="C194" i="8"/>
  <c r="C198" i="8"/>
  <c r="C199" i="8"/>
  <c r="C207" i="8"/>
  <c r="C208" i="8"/>
  <c r="C230" i="8"/>
  <c r="C236" i="8"/>
  <c r="C249" i="8"/>
  <c r="C266" i="8"/>
  <c r="C282" i="8"/>
  <c r="K287" i="8"/>
  <c r="I25" i="8"/>
  <c r="C25" i="8" s="1"/>
  <c r="M289" i="8"/>
  <c r="O289" i="8" s="1"/>
  <c r="O290" i="8"/>
  <c r="L30" i="8"/>
  <c r="C30" i="8" s="1"/>
  <c r="C133" i="8"/>
  <c r="F177" i="8"/>
  <c r="D176" i="8"/>
  <c r="D287" i="8" s="1"/>
  <c r="C197" i="8"/>
  <c r="C219" i="8"/>
  <c r="C254" i="8"/>
  <c r="C255" i="8"/>
  <c r="I271" i="8"/>
  <c r="C271" i="8" s="1"/>
  <c r="C272" i="8"/>
  <c r="G287" i="8"/>
  <c r="I287" i="8" s="1"/>
  <c r="C291" i="8"/>
  <c r="C61" i="9"/>
  <c r="O169" i="8"/>
  <c r="C169" i="8" s="1"/>
  <c r="O177" i="8"/>
  <c r="F178" i="8"/>
  <c r="C178" i="8" s="1"/>
  <c r="L284" i="8"/>
  <c r="M287" i="8"/>
  <c r="O287" i="8" s="1"/>
  <c r="I290" i="9"/>
  <c r="G289" i="9"/>
  <c r="I289" i="9" s="1"/>
  <c r="O25" i="9"/>
  <c r="O56" i="9"/>
  <c r="F57" i="9"/>
  <c r="I58" i="9"/>
  <c r="C58" i="9" s="1"/>
  <c r="C66" i="9"/>
  <c r="I72" i="9"/>
  <c r="C72" i="9" s="1"/>
  <c r="G70" i="9"/>
  <c r="I70" i="9" s="1"/>
  <c r="I79" i="9"/>
  <c r="C87" i="9"/>
  <c r="I261" i="9"/>
  <c r="H233" i="9"/>
  <c r="I233" i="9" s="1"/>
  <c r="E168" i="8"/>
  <c r="I284" i="8"/>
  <c r="C284" i="8" s="1"/>
  <c r="M24" i="9"/>
  <c r="O24" i="9" s="1"/>
  <c r="D289" i="9"/>
  <c r="F289" i="9" s="1"/>
  <c r="F290" i="9"/>
  <c r="L25" i="9"/>
  <c r="K57" i="9"/>
  <c r="C62" i="9"/>
  <c r="C119" i="9"/>
  <c r="C191" i="9"/>
  <c r="D233" i="9"/>
  <c r="F233" i="9" s="1"/>
  <c r="C233" i="9" s="1"/>
  <c r="F261" i="9"/>
  <c r="C261" i="9" s="1"/>
  <c r="O290" i="9"/>
  <c r="M289" i="9"/>
  <c r="O289" i="9" s="1"/>
  <c r="C163" i="9"/>
  <c r="C178" i="9"/>
  <c r="C219" i="9"/>
  <c r="C236" i="9"/>
  <c r="C238" i="9"/>
  <c r="N287" i="9"/>
  <c r="F25" i="9"/>
  <c r="C25" i="9" s="1"/>
  <c r="L290" i="9"/>
  <c r="J289" i="9"/>
  <c r="L289" i="9" s="1"/>
  <c r="N288" i="9"/>
  <c r="D70" i="9"/>
  <c r="F70" i="9" s="1"/>
  <c r="C70" i="9" s="1"/>
  <c r="C83" i="9"/>
  <c r="C106" i="9"/>
  <c r="C131" i="9"/>
  <c r="C147" i="9"/>
  <c r="C195" i="9"/>
  <c r="C208" i="9"/>
  <c r="C266" i="9"/>
  <c r="F79" i="9"/>
  <c r="I80" i="9"/>
  <c r="C80" i="9" s="1"/>
  <c r="G86" i="9"/>
  <c r="I86" i="9" s="1"/>
  <c r="D125" i="9"/>
  <c r="J133" i="9"/>
  <c r="L133" i="9" s="1"/>
  <c r="C133" i="9" s="1"/>
  <c r="G168" i="9"/>
  <c r="I168" i="9" s="1"/>
  <c r="C168" i="9" s="1"/>
  <c r="G176" i="9"/>
  <c r="I176" i="9" s="1"/>
  <c r="J177" i="9"/>
  <c r="M190" i="9"/>
  <c r="O190" i="9" s="1"/>
  <c r="E194" i="9"/>
  <c r="F194" i="9" s="1"/>
  <c r="C194" i="9" s="1"/>
  <c r="M194" i="9"/>
  <c r="O194" i="9" s="1"/>
  <c r="J197" i="9"/>
  <c r="L197" i="9" s="1"/>
  <c r="M198" i="9"/>
  <c r="D199" i="9"/>
  <c r="D207" i="9"/>
  <c r="F207" i="9" s="1"/>
  <c r="H207" i="9"/>
  <c r="I207" i="9" s="1"/>
  <c r="F284" i="9"/>
  <c r="C284" i="9" s="1"/>
  <c r="C292" i="9"/>
  <c r="C291" i="9" s="1"/>
  <c r="O290" i="10"/>
  <c r="O289" i="10" s="1"/>
  <c r="O24" i="10"/>
  <c r="E288" i="10"/>
  <c r="E53" i="10"/>
  <c r="O57" i="10"/>
  <c r="O56" i="10" s="1"/>
  <c r="C61" i="10"/>
  <c r="K79" i="9"/>
  <c r="K78" i="9" s="1"/>
  <c r="F262" i="9"/>
  <c r="C262" i="9" s="1"/>
  <c r="L271" i="9"/>
  <c r="G272" i="9"/>
  <c r="O284" i="9"/>
  <c r="C58" i="10"/>
  <c r="F57" i="10"/>
  <c r="G55" i="10"/>
  <c r="C72" i="10"/>
  <c r="I70" i="10"/>
  <c r="F79" i="10"/>
  <c r="O291" i="9"/>
  <c r="I56" i="10"/>
  <c r="L57" i="10"/>
  <c r="L56" i="10" s="1"/>
  <c r="C70" i="10"/>
  <c r="N55" i="10"/>
  <c r="N54" i="10" s="1"/>
  <c r="N53" i="10" s="1"/>
  <c r="C80" i="10"/>
  <c r="C92" i="10"/>
  <c r="D288" i="10"/>
  <c r="D53" i="10"/>
  <c r="D28" i="10"/>
  <c r="J38" i="10"/>
  <c r="J53" i="10"/>
  <c r="C59" i="10"/>
  <c r="C71" i="10"/>
  <c r="C113" i="10"/>
  <c r="C121" i="10"/>
  <c r="C122" i="10"/>
  <c r="F119" i="10"/>
  <c r="C119" i="10" s="1"/>
  <c r="L147" i="10"/>
  <c r="L133" i="10" s="1"/>
  <c r="F207" i="10"/>
  <c r="C207" i="10" s="1"/>
  <c r="C208" i="10"/>
  <c r="F271" i="10"/>
  <c r="C271" i="10" s="1"/>
  <c r="C272" i="10"/>
  <c r="N287" i="10"/>
  <c r="D287" i="10"/>
  <c r="C142" i="10"/>
  <c r="F139" i="10"/>
  <c r="C139" i="10" s="1"/>
  <c r="C191" i="10"/>
  <c r="L190" i="10"/>
  <c r="O199" i="10"/>
  <c r="O198" i="10" s="1"/>
  <c r="O197" i="10" s="1"/>
  <c r="G198" i="10"/>
  <c r="G197" i="10" s="1"/>
  <c r="C262" i="10"/>
  <c r="I261" i="10"/>
  <c r="J287" i="10"/>
  <c r="C278" i="10"/>
  <c r="I25" i="10"/>
  <c r="L35" i="10"/>
  <c r="I46" i="10"/>
  <c r="C46" i="10" s="1"/>
  <c r="C48" i="10"/>
  <c r="C73" i="10"/>
  <c r="C81" i="10"/>
  <c r="I83" i="10"/>
  <c r="I79" i="10" s="1"/>
  <c r="I87" i="10"/>
  <c r="I86" i="10" s="1"/>
  <c r="C93" i="10"/>
  <c r="L106" i="10"/>
  <c r="L86" i="10" s="1"/>
  <c r="L78" i="10" s="1"/>
  <c r="C116" i="10"/>
  <c r="C118" i="10"/>
  <c r="F115" i="10"/>
  <c r="C115" i="10" s="1"/>
  <c r="F125" i="10"/>
  <c r="C125" i="10" s="1"/>
  <c r="C126" i="10"/>
  <c r="C132" i="10"/>
  <c r="K133" i="10"/>
  <c r="K78" i="10" s="1"/>
  <c r="O133" i="10"/>
  <c r="O78" i="10" s="1"/>
  <c r="O287" i="10" s="1"/>
  <c r="C148" i="10"/>
  <c r="C150" i="10"/>
  <c r="F147" i="10"/>
  <c r="C160" i="10"/>
  <c r="F169" i="10"/>
  <c r="C170" i="10"/>
  <c r="C201" i="10"/>
  <c r="I199" i="10"/>
  <c r="I198" i="10" s="1"/>
  <c r="M233" i="10"/>
  <c r="M197" i="10" s="1"/>
  <c r="M54" i="10" s="1"/>
  <c r="I234" i="10"/>
  <c r="I233" i="10" s="1"/>
  <c r="C255" i="10"/>
  <c r="F254" i="10"/>
  <c r="C254" i="10" s="1"/>
  <c r="L261" i="10"/>
  <c r="C274" i="10"/>
  <c r="G287" i="10"/>
  <c r="G24" i="10"/>
  <c r="K24" i="10"/>
  <c r="F289" i="10"/>
  <c r="C108" i="10"/>
  <c r="C109" i="10"/>
  <c r="F106" i="10"/>
  <c r="C106" i="10" s="1"/>
  <c r="C128" i="10"/>
  <c r="C129" i="10"/>
  <c r="C136" i="10"/>
  <c r="C137" i="10"/>
  <c r="I147" i="10"/>
  <c r="I133" i="10" s="1"/>
  <c r="C152" i="10"/>
  <c r="C153" i="10"/>
  <c r="C172" i="10"/>
  <c r="C173" i="10"/>
  <c r="C190" i="10"/>
  <c r="C194" i="10"/>
  <c r="H233" i="10"/>
  <c r="H197" i="10" s="1"/>
  <c r="H54" i="10" s="1"/>
  <c r="C236" i="10"/>
  <c r="C266" i="10"/>
  <c r="E287" i="10"/>
  <c r="C284" i="10"/>
  <c r="F134" i="10"/>
  <c r="F154" i="10"/>
  <c r="C154" i="10" s="1"/>
  <c r="F178" i="10"/>
  <c r="F182" i="10"/>
  <c r="C182" i="10" s="1"/>
  <c r="F241" i="10"/>
  <c r="F249" i="10"/>
  <c r="C256" i="10"/>
  <c r="F261" i="10"/>
  <c r="C261" i="10" s="1"/>
  <c r="C292" i="10"/>
  <c r="O57" i="11"/>
  <c r="O56" i="11" s="1"/>
  <c r="O55" i="11" s="1"/>
  <c r="O54" i="11" s="1"/>
  <c r="O53" i="11" s="1"/>
  <c r="N55" i="11"/>
  <c r="N54" i="11" s="1"/>
  <c r="N53" i="11" s="1"/>
  <c r="F198" i="10"/>
  <c r="C209" i="10"/>
  <c r="C46" i="11"/>
  <c r="I24" i="11"/>
  <c r="E288" i="11"/>
  <c r="E53" i="11"/>
  <c r="H288" i="11"/>
  <c r="H53" i="11"/>
  <c r="F57" i="11"/>
  <c r="C58" i="11"/>
  <c r="L241" i="10"/>
  <c r="L234" i="10" s="1"/>
  <c r="L233" i="10" s="1"/>
  <c r="L249" i="10"/>
  <c r="D288" i="11"/>
  <c r="D53" i="11"/>
  <c r="D28" i="11"/>
  <c r="C80" i="11"/>
  <c r="I79" i="11"/>
  <c r="I86" i="11"/>
  <c r="C87" i="11"/>
  <c r="C92" i="11"/>
  <c r="L86" i="11"/>
  <c r="L78" i="11" s="1"/>
  <c r="C144" i="11"/>
  <c r="F133" i="11"/>
  <c r="C133" i="11" s="1"/>
  <c r="O290" i="11"/>
  <c r="O289" i="11" s="1"/>
  <c r="O24" i="11"/>
  <c r="I168" i="11"/>
  <c r="C168" i="11" s="1"/>
  <c r="C169" i="11"/>
  <c r="C25" i="11"/>
  <c r="L31" i="11"/>
  <c r="F98" i="11"/>
  <c r="C145" i="11"/>
  <c r="K287" i="11"/>
  <c r="O287" i="11"/>
  <c r="M288" i="11"/>
  <c r="L61" i="11"/>
  <c r="L57" i="11" s="1"/>
  <c r="L56" i="11" s="1"/>
  <c r="L55" i="11" s="1"/>
  <c r="L54" i="11" s="1"/>
  <c r="L53" i="11" s="1"/>
  <c r="C126" i="11"/>
  <c r="C190" i="11"/>
  <c r="C191" i="11"/>
  <c r="L190" i="11"/>
  <c r="F207" i="11"/>
  <c r="C208" i="11"/>
  <c r="D287" i="11"/>
  <c r="H287" i="11"/>
  <c r="J288" i="11"/>
  <c r="N288" i="11"/>
  <c r="F176" i="11"/>
  <c r="C176" i="11" s="1"/>
  <c r="C230" i="11"/>
  <c r="C241" i="11"/>
  <c r="I234" i="11"/>
  <c r="I233" i="11" s="1"/>
  <c r="E287" i="11"/>
  <c r="M287" i="11"/>
  <c r="G14" i="12"/>
  <c r="G13" i="12" s="1"/>
  <c r="C290" i="11"/>
  <c r="F289" i="11"/>
  <c r="K288" i="11"/>
  <c r="O288" i="11"/>
  <c r="C182" i="11"/>
  <c r="G198" i="11"/>
  <c r="G197" i="11" s="1"/>
  <c r="G54" i="11" s="1"/>
  <c r="I199" i="11"/>
  <c r="I198" i="11" s="1"/>
  <c r="I197" i="11" s="1"/>
  <c r="C254" i="11"/>
  <c r="J287" i="11"/>
  <c r="N287" i="11"/>
  <c r="C220" i="11"/>
  <c r="C178" i="11"/>
  <c r="F262" i="11"/>
  <c r="F266" i="11"/>
  <c r="C266" i="11" s="1"/>
  <c r="F278" i="11"/>
  <c r="L201" i="11"/>
  <c r="L199" i="11" s="1"/>
  <c r="L198" i="11" s="1"/>
  <c r="L197" i="11" s="1"/>
  <c r="C242" i="11"/>
  <c r="C250" i="11"/>
  <c r="H288" i="10" l="1"/>
  <c r="H53" i="10"/>
  <c r="M53" i="10"/>
  <c r="M288" i="10"/>
  <c r="I78" i="10"/>
  <c r="I287" i="10" s="1"/>
  <c r="L287" i="10"/>
  <c r="L197" i="10"/>
  <c r="K287" i="10"/>
  <c r="K55" i="10"/>
  <c r="K54" i="10" s="1"/>
  <c r="G288" i="11"/>
  <c r="G53" i="11"/>
  <c r="C262" i="11"/>
  <c r="F261" i="11"/>
  <c r="G287" i="11"/>
  <c r="C61" i="11"/>
  <c r="C241" i="10"/>
  <c r="F133" i="10"/>
  <c r="C133" i="10" s="1"/>
  <c r="C134" i="10"/>
  <c r="H287" i="10"/>
  <c r="I197" i="10"/>
  <c r="M287" i="10"/>
  <c r="C83" i="10"/>
  <c r="F28" i="10"/>
  <c r="D24" i="10"/>
  <c r="I55" i="10"/>
  <c r="I54" i="10" s="1"/>
  <c r="I272" i="9"/>
  <c r="C272" i="9" s="1"/>
  <c r="G271" i="9"/>
  <c r="D198" i="9"/>
  <c r="F199" i="9"/>
  <c r="C199" i="9" s="1"/>
  <c r="C290" i="9"/>
  <c r="C289" i="9" s="1"/>
  <c r="J78" i="9"/>
  <c r="E190" i="9"/>
  <c r="C177" i="8"/>
  <c r="G56" i="9"/>
  <c r="O56" i="8"/>
  <c r="C56" i="8" s="1"/>
  <c r="N55" i="8"/>
  <c r="G54" i="8"/>
  <c r="I55" i="8"/>
  <c r="C201" i="11"/>
  <c r="I78" i="11"/>
  <c r="I55" i="11" s="1"/>
  <c r="I54" i="11" s="1"/>
  <c r="C79" i="11"/>
  <c r="F234" i="10"/>
  <c r="C169" i="10"/>
  <c r="F168" i="10"/>
  <c r="C168" i="10" s="1"/>
  <c r="M197" i="9"/>
  <c r="O197" i="9" s="1"/>
  <c r="O198" i="9"/>
  <c r="C290" i="8"/>
  <c r="C289" i="8" s="1"/>
  <c r="M55" i="9"/>
  <c r="L287" i="8"/>
  <c r="F272" i="11"/>
  <c r="C278" i="11"/>
  <c r="C98" i="11"/>
  <c r="F86" i="11"/>
  <c r="F56" i="11"/>
  <c r="C57" i="11"/>
  <c r="F177" i="10"/>
  <c r="C178" i="10"/>
  <c r="C35" i="10"/>
  <c r="C87" i="10"/>
  <c r="L55" i="10"/>
  <c r="L54" i="10" s="1"/>
  <c r="L53" i="10" s="1"/>
  <c r="C79" i="10"/>
  <c r="G54" i="10"/>
  <c r="O55" i="10"/>
  <c r="O54" i="10" s="1"/>
  <c r="J176" i="9"/>
  <c r="L177" i="9"/>
  <c r="C177" i="9" s="1"/>
  <c r="F125" i="9"/>
  <c r="C125" i="9" s="1"/>
  <c r="D86" i="9"/>
  <c r="F168" i="8"/>
  <c r="C168" i="8" s="1"/>
  <c r="E78" i="8"/>
  <c r="G78" i="9"/>
  <c r="I78" i="9" s="1"/>
  <c r="D56" i="9"/>
  <c r="C234" i="11"/>
  <c r="C199" i="11"/>
  <c r="C289" i="11"/>
  <c r="L287" i="11"/>
  <c r="C207" i="11"/>
  <c r="F198" i="11"/>
  <c r="C31" i="11"/>
  <c r="L30" i="11"/>
  <c r="F28" i="11"/>
  <c r="D24" i="11"/>
  <c r="C198" i="10"/>
  <c r="C249" i="10"/>
  <c r="C199" i="10"/>
  <c r="C147" i="10"/>
  <c r="I290" i="10"/>
  <c r="I24" i="10"/>
  <c r="C25" i="10"/>
  <c r="N288" i="10"/>
  <c r="F86" i="10"/>
  <c r="C86" i="10" s="1"/>
  <c r="L38" i="10"/>
  <c r="J37" i="10"/>
  <c r="J30" i="10" s="1"/>
  <c r="C57" i="10"/>
  <c r="F56" i="10"/>
  <c r="C207" i="9"/>
  <c r="H198" i="9"/>
  <c r="L79" i="9"/>
  <c r="C79" i="9" s="1"/>
  <c r="L57" i="9"/>
  <c r="C57" i="9" s="1"/>
  <c r="K56" i="9"/>
  <c r="K287" i="9" s="1"/>
  <c r="M287" i="9"/>
  <c r="O287" i="9" s="1"/>
  <c r="F176" i="8"/>
  <c r="C176" i="8" s="1"/>
  <c r="D55" i="8"/>
  <c r="C56" i="10" l="1"/>
  <c r="I289" i="10"/>
  <c r="C289" i="10" s="1"/>
  <c r="C290" i="10"/>
  <c r="L288" i="11"/>
  <c r="C30" i="11"/>
  <c r="L24" i="11"/>
  <c r="L176" i="9"/>
  <c r="C176" i="9" s="1"/>
  <c r="J287" i="9"/>
  <c r="L287" i="9" s="1"/>
  <c r="F78" i="10"/>
  <c r="C78" i="10" s="1"/>
  <c r="I54" i="8"/>
  <c r="G53" i="8"/>
  <c r="I53" i="8" s="1"/>
  <c r="G28" i="8"/>
  <c r="G288" i="8" s="1"/>
  <c r="I288" i="8" s="1"/>
  <c r="L78" i="9"/>
  <c r="J55" i="9"/>
  <c r="I271" i="9"/>
  <c r="C271" i="9" s="1"/>
  <c r="G197" i="9"/>
  <c r="G287" i="9"/>
  <c r="C28" i="10"/>
  <c r="F24" i="10"/>
  <c r="K53" i="10"/>
  <c r="K288" i="10"/>
  <c r="F56" i="9"/>
  <c r="F86" i="9"/>
  <c r="C86" i="9" s="1"/>
  <c r="D78" i="9"/>
  <c r="O53" i="10"/>
  <c r="O288" i="10"/>
  <c r="C56" i="11"/>
  <c r="F271" i="11"/>
  <c r="C272" i="11"/>
  <c r="I288" i="11"/>
  <c r="I53" i="11"/>
  <c r="N54" i="8"/>
  <c r="O55" i="8"/>
  <c r="K55" i="9"/>
  <c r="K54" i="9" s="1"/>
  <c r="L56" i="9"/>
  <c r="H197" i="9"/>
  <c r="H54" i="9" s="1"/>
  <c r="H287" i="9"/>
  <c r="I198" i="9"/>
  <c r="J288" i="10"/>
  <c r="J24" i="10"/>
  <c r="C198" i="11"/>
  <c r="G288" i="10"/>
  <c r="G53" i="10"/>
  <c r="C86" i="11"/>
  <c r="F78" i="11"/>
  <c r="C78" i="11" s="1"/>
  <c r="I288" i="10"/>
  <c r="I53" i="10"/>
  <c r="C261" i="11"/>
  <c r="F233" i="11"/>
  <c r="C233" i="11" s="1"/>
  <c r="D54" i="8"/>
  <c r="C38" i="10"/>
  <c r="L37" i="10"/>
  <c r="C28" i="11"/>
  <c r="F24" i="11"/>
  <c r="C24" i="11" s="1"/>
  <c r="F78" i="8"/>
  <c r="C78" i="8" s="1"/>
  <c r="C287" i="8" s="1"/>
  <c r="E55" i="8"/>
  <c r="E54" i="8" s="1"/>
  <c r="E287" i="8"/>
  <c r="F287" i="8" s="1"/>
  <c r="C177" i="10"/>
  <c r="F176" i="10"/>
  <c r="C176" i="10" s="1"/>
  <c r="O55" i="9"/>
  <c r="M54" i="9"/>
  <c r="C234" i="10"/>
  <c r="F233" i="10"/>
  <c r="G55" i="9"/>
  <c r="I56" i="9"/>
  <c r="F190" i="9"/>
  <c r="C190" i="9" s="1"/>
  <c r="E55" i="9"/>
  <c r="E54" i="9" s="1"/>
  <c r="E287" i="9"/>
  <c r="D197" i="9"/>
  <c r="F197" i="9" s="1"/>
  <c r="F198" i="9"/>
  <c r="C198" i="9" s="1"/>
  <c r="I287" i="11"/>
  <c r="M53" i="9" l="1"/>
  <c r="O53" i="9" s="1"/>
  <c r="O54" i="9"/>
  <c r="M288" i="9"/>
  <c r="O288" i="9" s="1"/>
  <c r="D53" i="8"/>
  <c r="D28" i="8"/>
  <c r="F54" i="8"/>
  <c r="F55" i="11"/>
  <c r="F78" i="9"/>
  <c r="C78" i="9" s="1"/>
  <c r="D287" i="9"/>
  <c r="F287" i="9" s="1"/>
  <c r="I287" i="9"/>
  <c r="G54" i="9"/>
  <c r="I55" i="9"/>
  <c r="E288" i="8"/>
  <c r="E53" i="8"/>
  <c r="E28" i="8"/>
  <c r="E24" i="8" s="1"/>
  <c r="C37" i="10"/>
  <c r="L30" i="10"/>
  <c r="F197" i="11"/>
  <c r="C197" i="11" s="1"/>
  <c r="K53" i="9"/>
  <c r="K288" i="9"/>
  <c r="I197" i="9"/>
  <c r="C197" i="9" s="1"/>
  <c r="I28" i="8"/>
  <c r="G24" i="8"/>
  <c r="I24" i="8" s="1"/>
  <c r="E53" i="9"/>
  <c r="E28" i="9"/>
  <c r="C233" i="10"/>
  <c r="F287" i="10"/>
  <c r="C287" i="10" s="1"/>
  <c r="F197" i="10"/>
  <c r="C197" i="10" s="1"/>
  <c r="D55" i="9"/>
  <c r="C287" i="9"/>
  <c r="F55" i="10"/>
  <c r="F55" i="8"/>
  <c r="C55" i="8" s="1"/>
  <c r="H288" i="9"/>
  <c r="H53" i="9"/>
  <c r="N53" i="8"/>
  <c r="O53" i="8" s="1"/>
  <c r="O54" i="8"/>
  <c r="N288" i="8"/>
  <c r="O288" i="8" s="1"/>
  <c r="C271" i="11"/>
  <c r="F287" i="11"/>
  <c r="C287" i="11" s="1"/>
  <c r="C56" i="9"/>
  <c r="J54" i="9"/>
  <c r="L55" i="9"/>
  <c r="D54" i="9" l="1"/>
  <c r="F55" i="9"/>
  <c r="C55" i="9" s="1"/>
  <c r="F28" i="9"/>
  <c r="C28" i="9" s="1"/>
  <c r="E24" i="9"/>
  <c r="F24" i="9" s="1"/>
  <c r="C24" i="9" s="1"/>
  <c r="C54" i="8"/>
  <c r="F54" i="10"/>
  <c r="C55" i="10"/>
  <c r="L288" i="10"/>
  <c r="C30" i="10"/>
  <c r="L24" i="10"/>
  <c r="C24" i="10" s="1"/>
  <c r="F28" i="8"/>
  <c r="C28" i="8" s="1"/>
  <c r="D24" i="8"/>
  <c r="F24" i="8" s="1"/>
  <c r="C24" i="8" s="1"/>
  <c r="E288" i="9"/>
  <c r="F53" i="8"/>
  <c r="C53" i="8" s="1"/>
  <c r="L54" i="9"/>
  <c r="J53" i="9"/>
  <c r="L53" i="9" s="1"/>
  <c r="J288" i="9"/>
  <c r="L288" i="9" s="1"/>
  <c r="G288" i="9"/>
  <c r="I288" i="9" s="1"/>
  <c r="G53" i="9"/>
  <c r="I53" i="9" s="1"/>
  <c r="I54" i="9"/>
  <c r="C55" i="11"/>
  <c r="F54" i="11"/>
  <c r="D288" i="8"/>
  <c r="F288" i="8" s="1"/>
  <c r="C288" i="8" s="1"/>
  <c r="F288" i="10" l="1"/>
  <c r="C288" i="10" s="1"/>
  <c r="C54" i="10"/>
  <c r="F53" i="10"/>
  <c r="C53" i="10" s="1"/>
  <c r="F288" i="11"/>
  <c r="C288" i="11" s="1"/>
  <c r="F53" i="11"/>
  <c r="C53" i="11" s="1"/>
  <c r="C54" i="11"/>
  <c r="D288" i="9"/>
  <c r="F288" i="9" s="1"/>
  <c r="C288" i="9" s="1"/>
  <c r="D53" i="9"/>
  <c r="F53" i="9" s="1"/>
  <c r="C53" i="9" s="1"/>
  <c r="F54" i="9"/>
  <c r="C54" i="9" s="1"/>
  <c r="D228" i="7" l="1"/>
  <c r="D28" i="7"/>
  <c r="D229" i="6"/>
  <c r="D107" i="6"/>
  <c r="D105" i="6"/>
  <c r="D28" i="6"/>
  <c r="O299" i="7"/>
  <c r="L299" i="7"/>
  <c r="I299" i="7"/>
  <c r="F299" i="7"/>
  <c r="O298" i="7"/>
  <c r="L298" i="7"/>
  <c r="I298" i="7"/>
  <c r="F298" i="7"/>
  <c r="O297" i="7"/>
  <c r="L297" i="7"/>
  <c r="I297" i="7"/>
  <c r="F297" i="7"/>
  <c r="O296" i="7"/>
  <c r="L296" i="7"/>
  <c r="I296" i="7"/>
  <c r="F296" i="7"/>
  <c r="O295" i="7"/>
  <c r="L295" i="7"/>
  <c r="I295" i="7"/>
  <c r="F295" i="7"/>
  <c r="C295" i="7" s="1"/>
  <c r="O294" i="7"/>
  <c r="L294" i="7"/>
  <c r="I294" i="7"/>
  <c r="F294" i="7"/>
  <c r="O293" i="7"/>
  <c r="L293" i="7"/>
  <c r="I293" i="7"/>
  <c r="F293" i="7"/>
  <c r="O292" i="7"/>
  <c r="L292" i="7"/>
  <c r="I292" i="7"/>
  <c r="F292" i="7"/>
  <c r="N291" i="7"/>
  <c r="M291" i="7"/>
  <c r="K291" i="7"/>
  <c r="J291" i="7"/>
  <c r="H291" i="7"/>
  <c r="G291" i="7"/>
  <c r="E291" i="7"/>
  <c r="F291" i="7" s="1"/>
  <c r="D291" i="7"/>
  <c r="O286" i="7"/>
  <c r="L286" i="7"/>
  <c r="I286" i="7"/>
  <c r="F286" i="7"/>
  <c r="O285" i="7"/>
  <c r="L285" i="7"/>
  <c r="I285" i="7"/>
  <c r="F285" i="7"/>
  <c r="N284" i="7"/>
  <c r="M284" i="7"/>
  <c r="K284" i="7"/>
  <c r="J284" i="7"/>
  <c r="H284" i="7"/>
  <c r="G284" i="7"/>
  <c r="E284" i="7"/>
  <c r="D284" i="7"/>
  <c r="F284" i="7" s="1"/>
  <c r="O283" i="7"/>
  <c r="L283" i="7"/>
  <c r="I283" i="7"/>
  <c r="F283" i="7"/>
  <c r="C283" i="7" s="1"/>
  <c r="N282" i="7"/>
  <c r="M282" i="7"/>
  <c r="K282" i="7"/>
  <c r="J282" i="7"/>
  <c r="L282" i="7" s="1"/>
  <c r="H282" i="7"/>
  <c r="G282" i="7"/>
  <c r="I282" i="7" s="1"/>
  <c r="E282" i="7"/>
  <c r="D282" i="7"/>
  <c r="F282" i="7" s="1"/>
  <c r="O281" i="7"/>
  <c r="L281" i="7"/>
  <c r="I281" i="7"/>
  <c r="F281" i="7"/>
  <c r="O280" i="7"/>
  <c r="L280" i="7"/>
  <c r="I280" i="7"/>
  <c r="F280" i="7"/>
  <c r="C280" i="7" s="1"/>
  <c r="O279" i="7"/>
  <c r="O278" i="7" s="1"/>
  <c r="L279" i="7"/>
  <c r="I279" i="7"/>
  <c r="F279" i="7"/>
  <c r="C279" i="7" s="1"/>
  <c r="N278" i="7"/>
  <c r="M278" i="7"/>
  <c r="K278" i="7"/>
  <c r="J278" i="7"/>
  <c r="L278" i="7" s="1"/>
  <c r="H278" i="7"/>
  <c r="G278" i="7"/>
  <c r="E278" i="7"/>
  <c r="D278" i="7"/>
  <c r="O277" i="7"/>
  <c r="L277" i="7"/>
  <c r="I277" i="7"/>
  <c r="F277" i="7"/>
  <c r="O276" i="7"/>
  <c r="L276" i="7"/>
  <c r="I276" i="7"/>
  <c r="F276" i="7"/>
  <c r="O275" i="7"/>
  <c r="L275" i="7"/>
  <c r="I275" i="7"/>
  <c r="F275" i="7"/>
  <c r="N274" i="7"/>
  <c r="N272" i="7" s="1"/>
  <c r="N271" i="7" s="1"/>
  <c r="M274" i="7"/>
  <c r="K274" i="7"/>
  <c r="K272" i="7" s="1"/>
  <c r="K271" i="7" s="1"/>
  <c r="J274" i="7"/>
  <c r="H274" i="7"/>
  <c r="H272" i="7" s="1"/>
  <c r="H271" i="7" s="1"/>
  <c r="G274" i="7"/>
  <c r="E274" i="7"/>
  <c r="E272" i="7" s="1"/>
  <c r="E271" i="7" s="1"/>
  <c r="D274" i="7"/>
  <c r="O273" i="7"/>
  <c r="L273" i="7"/>
  <c r="I273" i="7"/>
  <c r="F273" i="7"/>
  <c r="M272" i="7"/>
  <c r="J272" i="7"/>
  <c r="M271" i="7"/>
  <c r="O271" i="7" s="1"/>
  <c r="O270" i="7"/>
  <c r="L270" i="7"/>
  <c r="I270" i="7"/>
  <c r="F270" i="7"/>
  <c r="O269" i="7"/>
  <c r="L269" i="7"/>
  <c r="I269" i="7"/>
  <c r="F269" i="7"/>
  <c r="O268" i="7"/>
  <c r="L268" i="7"/>
  <c r="I268" i="7"/>
  <c r="F268" i="7"/>
  <c r="O267" i="7"/>
  <c r="C267" i="7" s="1"/>
  <c r="L267" i="7"/>
  <c r="I267" i="7"/>
  <c r="F267" i="7"/>
  <c r="N266" i="7"/>
  <c r="M266" i="7"/>
  <c r="O266" i="7" s="1"/>
  <c r="K266" i="7"/>
  <c r="J266" i="7"/>
  <c r="L266" i="7" s="1"/>
  <c r="H266" i="7"/>
  <c r="G266" i="7"/>
  <c r="E266" i="7"/>
  <c r="D266" i="7"/>
  <c r="O265" i="7"/>
  <c r="L265" i="7"/>
  <c r="I265" i="7"/>
  <c r="F265" i="7"/>
  <c r="O264" i="7"/>
  <c r="L264" i="7"/>
  <c r="I264" i="7"/>
  <c r="F264" i="7"/>
  <c r="O263" i="7"/>
  <c r="L263" i="7"/>
  <c r="I263" i="7"/>
  <c r="F263" i="7"/>
  <c r="N262" i="7"/>
  <c r="N261" i="7" s="1"/>
  <c r="M262" i="7"/>
  <c r="O262" i="7" s="1"/>
  <c r="K262" i="7"/>
  <c r="K261" i="7" s="1"/>
  <c r="J262" i="7"/>
  <c r="J261" i="7" s="1"/>
  <c r="H262" i="7"/>
  <c r="G262" i="7"/>
  <c r="G261" i="7" s="1"/>
  <c r="E262" i="7"/>
  <c r="E261" i="7" s="1"/>
  <c r="D262" i="7"/>
  <c r="O260" i="7"/>
  <c r="L260" i="7"/>
  <c r="I260" i="7"/>
  <c r="F260" i="7"/>
  <c r="O259" i="7"/>
  <c r="L259" i="7"/>
  <c r="I259" i="7"/>
  <c r="C259" i="7" s="1"/>
  <c r="F259" i="7"/>
  <c r="O258" i="7"/>
  <c r="L258" i="7"/>
  <c r="I258" i="7"/>
  <c r="F258" i="7"/>
  <c r="O257" i="7"/>
  <c r="L257" i="7"/>
  <c r="I257" i="7"/>
  <c r="F257" i="7"/>
  <c r="O256" i="7"/>
  <c r="L256" i="7"/>
  <c r="I256" i="7"/>
  <c r="F256" i="7"/>
  <c r="N255" i="7"/>
  <c r="M255" i="7"/>
  <c r="M254" i="7" s="1"/>
  <c r="K255" i="7"/>
  <c r="J255" i="7"/>
  <c r="H255" i="7"/>
  <c r="G255" i="7"/>
  <c r="E255" i="7"/>
  <c r="E254" i="7" s="1"/>
  <c r="D255" i="7"/>
  <c r="N254" i="7"/>
  <c r="J254" i="7"/>
  <c r="H254" i="7"/>
  <c r="D254" i="7"/>
  <c r="O253" i="7"/>
  <c r="L253" i="7"/>
  <c r="I253" i="7"/>
  <c r="F253" i="7"/>
  <c r="O252" i="7"/>
  <c r="L252" i="7"/>
  <c r="I252" i="7"/>
  <c r="F252" i="7"/>
  <c r="O251" i="7"/>
  <c r="L251" i="7"/>
  <c r="I251" i="7"/>
  <c r="F251" i="7"/>
  <c r="O250" i="7"/>
  <c r="L250" i="7"/>
  <c r="I250" i="7"/>
  <c r="F250" i="7"/>
  <c r="N249" i="7"/>
  <c r="M249" i="7"/>
  <c r="O249" i="7" s="1"/>
  <c r="K249" i="7"/>
  <c r="J249" i="7"/>
  <c r="L249" i="7" s="1"/>
  <c r="H249" i="7"/>
  <c r="G249" i="7"/>
  <c r="E249" i="7"/>
  <c r="D249" i="7"/>
  <c r="O248" i="7"/>
  <c r="L248" i="7"/>
  <c r="I248" i="7"/>
  <c r="F248" i="7"/>
  <c r="O247" i="7"/>
  <c r="L247" i="7"/>
  <c r="I247" i="7"/>
  <c r="F247" i="7"/>
  <c r="C247" i="7" s="1"/>
  <c r="O246" i="7"/>
  <c r="L246" i="7"/>
  <c r="I246" i="7"/>
  <c r="F246" i="7"/>
  <c r="O245" i="7"/>
  <c r="L245" i="7"/>
  <c r="I245" i="7"/>
  <c r="F245" i="7"/>
  <c r="O244" i="7"/>
  <c r="L244" i="7"/>
  <c r="I244" i="7"/>
  <c r="F244" i="7"/>
  <c r="O243" i="7"/>
  <c r="L243" i="7"/>
  <c r="I243" i="7"/>
  <c r="F243" i="7"/>
  <c r="O242" i="7"/>
  <c r="L242" i="7"/>
  <c r="I242" i="7"/>
  <c r="F242" i="7"/>
  <c r="N241" i="7"/>
  <c r="M241" i="7"/>
  <c r="K241" i="7"/>
  <c r="J241" i="7"/>
  <c r="H241" i="7"/>
  <c r="G241" i="7"/>
  <c r="E241" i="7"/>
  <c r="D241" i="7"/>
  <c r="O240" i="7"/>
  <c r="L240" i="7"/>
  <c r="I240" i="7"/>
  <c r="F240" i="7"/>
  <c r="O239" i="7"/>
  <c r="L239" i="7"/>
  <c r="I239" i="7"/>
  <c r="F239" i="7"/>
  <c r="N238" i="7"/>
  <c r="M238" i="7"/>
  <c r="K238" i="7"/>
  <c r="J238" i="7"/>
  <c r="H238" i="7"/>
  <c r="G238" i="7"/>
  <c r="E238" i="7"/>
  <c r="D238" i="7"/>
  <c r="O237" i="7"/>
  <c r="L237" i="7"/>
  <c r="I237" i="7"/>
  <c r="F237" i="7"/>
  <c r="N236" i="7"/>
  <c r="M236" i="7"/>
  <c r="K236" i="7"/>
  <c r="J236" i="7"/>
  <c r="H236" i="7"/>
  <c r="G236" i="7"/>
  <c r="E236" i="7"/>
  <c r="D236" i="7"/>
  <c r="O235" i="7"/>
  <c r="L235" i="7"/>
  <c r="I235" i="7"/>
  <c r="F235" i="7"/>
  <c r="O232" i="7"/>
  <c r="L232" i="7"/>
  <c r="I232" i="7"/>
  <c r="F232" i="7"/>
  <c r="O231" i="7"/>
  <c r="L231" i="7"/>
  <c r="I231" i="7"/>
  <c r="F231" i="7"/>
  <c r="N230" i="7"/>
  <c r="M230" i="7"/>
  <c r="K230" i="7"/>
  <c r="J230" i="7"/>
  <c r="H230" i="7"/>
  <c r="G230" i="7"/>
  <c r="E230" i="7"/>
  <c r="D230" i="7"/>
  <c r="O229" i="7"/>
  <c r="L229" i="7"/>
  <c r="I229" i="7"/>
  <c r="F229" i="7"/>
  <c r="O228" i="7"/>
  <c r="L228" i="7"/>
  <c r="I228" i="7"/>
  <c r="F228" i="7"/>
  <c r="O227" i="7"/>
  <c r="L227" i="7"/>
  <c r="I227" i="7"/>
  <c r="F227" i="7"/>
  <c r="O226" i="7"/>
  <c r="L226" i="7"/>
  <c r="I226" i="7"/>
  <c r="F226" i="7"/>
  <c r="O225" i="7"/>
  <c r="L225" i="7"/>
  <c r="I225" i="7"/>
  <c r="F225" i="7"/>
  <c r="O224" i="7"/>
  <c r="L224" i="7"/>
  <c r="I224" i="7"/>
  <c r="F224" i="7"/>
  <c r="O223" i="7"/>
  <c r="L223" i="7"/>
  <c r="I223" i="7"/>
  <c r="F223" i="7"/>
  <c r="O222" i="7"/>
  <c r="L222" i="7"/>
  <c r="I222" i="7"/>
  <c r="F222" i="7"/>
  <c r="O221" i="7"/>
  <c r="L221" i="7"/>
  <c r="I221" i="7"/>
  <c r="F221" i="7"/>
  <c r="O220" i="7"/>
  <c r="L220" i="7"/>
  <c r="I220" i="7"/>
  <c r="F220" i="7"/>
  <c r="N219" i="7"/>
  <c r="M219" i="7"/>
  <c r="K219" i="7"/>
  <c r="L219" i="7" s="1"/>
  <c r="J219" i="7"/>
  <c r="H219" i="7"/>
  <c r="G219" i="7"/>
  <c r="E219" i="7"/>
  <c r="D219" i="7"/>
  <c r="O218" i="7"/>
  <c r="L218" i="7"/>
  <c r="I218" i="7"/>
  <c r="F218" i="7"/>
  <c r="O217" i="7"/>
  <c r="L217" i="7"/>
  <c r="I217" i="7"/>
  <c r="F217" i="7"/>
  <c r="O216" i="7"/>
  <c r="L216" i="7"/>
  <c r="I216" i="7"/>
  <c r="F216" i="7"/>
  <c r="O215" i="7"/>
  <c r="L215" i="7"/>
  <c r="I215" i="7"/>
  <c r="F215" i="7"/>
  <c r="C215" i="7"/>
  <c r="O214" i="7"/>
  <c r="L214" i="7"/>
  <c r="I214" i="7"/>
  <c r="F214" i="7"/>
  <c r="C214" i="7" s="1"/>
  <c r="O213" i="7"/>
  <c r="L213" i="7"/>
  <c r="I213" i="7"/>
  <c r="F213" i="7"/>
  <c r="O212" i="7"/>
  <c r="L212" i="7"/>
  <c r="I212" i="7"/>
  <c r="F212" i="7"/>
  <c r="O211" i="7"/>
  <c r="L211" i="7"/>
  <c r="I211" i="7"/>
  <c r="F211" i="7"/>
  <c r="C211" i="7" s="1"/>
  <c r="O210" i="7"/>
  <c r="L210" i="7"/>
  <c r="I210" i="7"/>
  <c r="F210" i="7"/>
  <c r="O209" i="7"/>
  <c r="L209" i="7"/>
  <c r="I209" i="7"/>
  <c r="F209" i="7"/>
  <c r="N208" i="7"/>
  <c r="M208" i="7"/>
  <c r="K208" i="7"/>
  <c r="J208" i="7"/>
  <c r="H208" i="7"/>
  <c r="G208" i="7"/>
  <c r="I208" i="7" s="1"/>
  <c r="E208" i="7"/>
  <c r="E207" i="7" s="1"/>
  <c r="D208" i="7"/>
  <c r="F208" i="7" s="1"/>
  <c r="M207" i="7"/>
  <c r="K207" i="7"/>
  <c r="G207" i="7"/>
  <c r="O206" i="7"/>
  <c r="L206" i="7"/>
  <c r="I206" i="7"/>
  <c r="F206" i="7"/>
  <c r="O205" i="7"/>
  <c r="L205" i="7"/>
  <c r="I205" i="7"/>
  <c r="F205" i="7"/>
  <c r="O204" i="7"/>
  <c r="L204" i="7"/>
  <c r="I204" i="7"/>
  <c r="F204" i="7"/>
  <c r="O203" i="7"/>
  <c r="L203" i="7"/>
  <c r="I203" i="7"/>
  <c r="F203" i="7"/>
  <c r="O202" i="7"/>
  <c r="L202" i="7"/>
  <c r="I202" i="7"/>
  <c r="F202" i="7"/>
  <c r="N201" i="7"/>
  <c r="N199" i="7" s="1"/>
  <c r="M201" i="7"/>
  <c r="K201" i="7"/>
  <c r="K199" i="7" s="1"/>
  <c r="J201" i="7"/>
  <c r="H201" i="7"/>
  <c r="G201" i="7"/>
  <c r="I201" i="7" s="1"/>
  <c r="E201" i="7"/>
  <c r="D201" i="7"/>
  <c r="D199" i="7" s="1"/>
  <c r="O200" i="7"/>
  <c r="L200" i="7"/>
  <c r="I200" i="7"/>
  <c r="F200" i="7"/>
  <c r="J199" i="7"/>
  <c r="H199" i="7"/>
  <c r="O196" i="7"/>
  <c r="L196" i="7"/>
  <c r="I196" i="7"/>
  <c r="F196" i="7"/>
  <c r="N195" i="7"/>
  <c r="M195" i="7"/>
  <c r="O195" i="7" s="1"/>
  <c r="K195" i="7"/>
  <c r="K194" i="7" s="1"/>
  <c r="J195" i="7"/>
  <c r="J194" i="7" s="1"/>
  <c r="H195" i="7"/>
  <c r="H194" i="7" s="1"/>
  <c r="G195" i="7"/>
  <c r="E195" i="7"/>
  <c r="E194" i="7" s="1"/>
  <c r="E190" i="7" s="1"/>
  <c r="D195" i="7"/>
  <c r="N194" i="7"/>
  <c r="N190" i="7" s="1"/>
  <c r="M194" i="7"/>
  <c r="O193" i="7"/>
  <c r="L193" i="7"/>
  <c r="I193" i="7"/>
  <c r="F193" i="7"/>
  <c r="O192" i="7"/>
  <c r="L192" i="7"/>
  <c r="I192" i="7"/>
  <c r="F192" i="7"/>
  <c r="N191" i="7"/>
  <c r="M191" i="7"/>
  <c r="O191" i="7" s="1"/>
  <c r="K191" i="7"/>
  <c r="J191" i="7"/>
  <c r="L191" i="7" s="1"/>
  <c r="H191" i="7"/>
  <c r="G191" i="7"/>
  <c r="E191" i="7"/>
  <c r="D191" i="7"/>
  <c r="F191" i="7" s="1"/>
  <c r="O189" i="7"/>
  <c r="L189" i="7"/>
  <c r="I189" i="7"/>
  <c r="F189" i="7"/>
  <c r="O188" i="7"/>
  <c r="L188" i="7"/>
  <c r="I188" i="7"/>
  <c r="F188" i="7"/>
  <c r="N187" i="7"/>
  <c r="M187" i="7"/>
  <c r="K187" i="7"/>
  <c r="J187" i="7"/>
  <c r="H187" i="7"/>
  <c r="G187" i="7"/>
  <c r="E187" i="7"/>
  <c r="D187" i="7"/>
  <c r="O186" i="7"/>
  <c r="L186" i="7"/>
  <c r="I186" i="7"/>
  <c r="F186" i="7"/>
  <c r="O185" i="7"/>
  <c r="L185" i="7"/>
  <c r="I185" i="7"/>
  <c r="F185" i="7"/>
  <c r="O184" i="7"/>
  <c r="L184" i="7"/>
  <c r="I184" i="7"/>
  <c r="F184" i="7"/>
  <c r="O183" i="7"/>
  <c r="L183" i="7"/>
  <c r="I183" i="7"/>
  <c r="F183" i="7"/>
  <c r="N182" i="7"/>
  <c r="M182" i="7"/>
  <c r="K182" i="7"/>
  <c r="J182" i="7"/>
  <c r="L182" i="7" s="1"/>
  <c r="H182" i="7"/>
  <c r="G182" i="7"/>
  <c r="E182" i="7"/>
  <c r="D182" i="7"/>
  <c r="O181" i="7"/>
  <c r="L181" i="7"/>
  <c r="I181" i="7"/>
  <c r="F181" i="7"/>
  <c r="O180" i="7"/>
  <c r="L180" i="7"/>
  <c r="I180" i="7"/>
  <c r="F180" i="7"/>
  <c r="O179" i="7"/>
  <c r="L179" i="7"/>
  <c r="I179" i="7"/>
  <c r="F179" i="7"/>
  <c r="C179" i="7" s="1"/>
  <c r="N178" i="7"/>
  <c r="M178" i="7"/>
  <c r="M177" i="7" s="1"/>
  <c r="K178" i="7"/>
  <c r="J178" i="7"/>
  <c r="J177" i="7" s="1"/>
  <c r="J176" i="7" s="1"/>
  <c r="H178" i="7"/>
  <c r="H177" i="7" s="1"/>
  <c r="G178" i="7"/>
  <c r="G177" i="7" s="1"/>
  <c r="E178" i="7"/>
  <c r="D178" i="7"/>
  <c r="O175" i="7"/>
  <c r="L175" i="7"/>
  <c r="I175" i="7"/>
  <c r="F175" i="7"/>
  <c r="O174" i="7"/>
  <c r="L174" i="7"/>
  <c r="I174" i="7"/>
  <c r="F174" i="7"/>
  <c r="O173" i="7"/>
  <c r="L173" i="7"/>
  <c r="I173" i="7"/>
  <c r="F173" i="7"/>
  <c r="O172" i="7"/>
  <c r="L172" i="7"/>
  <c r="I172" i="7"/>
  <c r="F172" i="7"/>
  <c r="O171" i="7"/>
  <c r="L171" i="7"/>
  <c r="I171" i="7"/>
  <c r="F171" i="7"/>
  <c r="O170" i="7"/>
  <c r="L170" i="7"/>
  <c r="I170" i="7"/>
  <c r="F170" i="7"/>
  <c r="N169" i="7"/>
  <c r="M169" i="7"/>
  <c r="K169" i="7"/>
  <c r="J169" i="7"/>
  <c r="H169" i="7"/>
  <c r="H168" i="7" s="1"/>
  <c r="G169" i="7"/>
  <c r="G168" i="7" s="1"/>
  <c r="E169" i="7"/>
  <c r="E168" i="7" s="1"/>
  <c r="D169" i="7"/>
  <c r="D168" i="7" s="1"/>
  <c r="N168" i="7"/>
  <c r="J168" i="7"/>
  <c r="O167" i="7"/>
  <c r="L167" i="7"/>
  <c r="I167" i="7"/>
  <c r="C167" i="7" s="1"/>
  <c r="F167" i="7"/>
  <c r="O166" i="7"/>
  <c r="L166" i="7"/>
  <c r="I166" i="7"/>
  <c r="F166" i="7"/>
  <c r="O165" i="7"/>
  <c r="L165" i="7"/>
  <c r="I165" i="7"/>
  <c r="F165" i="7"/>
  <c r="O164" i="7"/>
  <c r="L164" i="7"/>
  <c r="I164" i="7"/>
  <c r="F164" i="7"/>
  <c r="N163" i="7"/>
  <c r="M163" i="7"/>
  <c r="K163" i="7"/>
  <c r="J163" i="7"/>
  <c r="H163" i="7"/>
  <c r="G163" i="7"/>
  <c r="E163" i="7"/>
  <c r="F163" i="7" s="1"/>
  <c r="D163" i="7"/>
  <c r="O162" i="7"/>
  <c r="L162" i="7"/>
  <c r="I162" i="7"/>
  <c r="F162" i="7"/>
  <c r="O161" i="7"/>
  <c r="L161" i="7"/>
  <c r="I161" i="7"/>
  <c r="F161" i="7"/>
  <c r="O160" i="7"/>
  <c r="L160" i="7"/>
  <c r="I160" i="7"/>
  <c r="F160" i="7"/>
  <c r="O159" i="7"/>
  <c r="L159" i="7"/>
  <c r="I159" i="7"/>
  <c r="F159" i="7"/>
  <c r="O158" i="7"/>
  <c r="L158" i="7"/>
  <c r="I158" i="7"/>
  <c r="F158" i="7"/>
  <c r="O157" i="7"/>
  <c r="L157" i="7"/>
  <c r="I157" i="7"/>
  <c r="F157" i="7"/>
  <c r="O156" i="7"/>
  <c r="L156" i="7"/>
  <c r="I156" i="7"/>
  <c r="F156" i="7"/>
  <c r="O155" i="7"/>
  <c r="L155" i="7"/>
  <c r="I155" i="7"/>
  <c r="F155" i="7"/>
  <c r="N154" i="7"/>
  <c r="M154" i="7"/>
  <c r="K154" i="7"/>
  <c r="J154" i="7"/>
  <c r="H154" i="7"/>
  <c r="G154" i="7"/>
  <c r="E154" i="7"/>
  <c r="D154" i="7"/>
  <c r="O153" i="7"/>
  <c r="L153" i="7"/>
  <c r="I153" i="7"/>
  <c r="F153" i="7"/>
  <c r="O152" i="7"/>
  <c r="L152" i="7"/>
  <c r="I152" i="7"/>
  <c r="F152" i="7"/>
  <c r="O151" i="7"/>
  <c r="L151" i="7"/>
  <c r="I151" i="7"/>
  <c r="F151" i="7"/>
  <c r="O150" i="7"/>
  <c r="L150" i="7"/>
  <c r="I150" i="7"/>
  <c r="F150" i="7"/>
  <c r="O149" i="7"/>
  <c r="L149" i="7"/>
  <c r="I149" i="7"/>
  <c r="F149" i="7"/>
  <c r="O148" i="7"/>
  <c r="L148" i="7"/>
  <c r="I148" i="7"/>
  <c r="F148" i="7"/>
  <c r="N147" i="7"/>
  <c r="M147" i="7"/>
  <c r="O147" i="7" s="1"/>
  <c r="K147" i="7"/>
  <c r="J147" i="7"/>
  <c r="H147" i="7"/>
  <c r="G147" i="7"/>
  <c r="I147" i="7" s="1"/>
  <c r="E147" i="7"/>
  <c r="D147" i="7"/>
  <c r="O146" i="7"/>
  <c r="L146" i="7"/>
  <c r="I146" i="7"/>
  <c r="F146" i="7"/>
  <c r="O145" i="7"/>
  <c r="L145" i="7"/>
  <c r="I145" i="7"/>
  <c r="F145" i="7"/>
  <c r="N144" i="7"/>
  <c r="M144" i="7"/>
  <c r="K144" i="7"/>
  <c r="J144" i="7"/>
  <c r="L144" i="7" s="1"/>
  <c r="H144" i="7"/>
  <c r="G144" i="7"/>
  <c r="E144" i="7"/>
  <c r="D144" i="7"/>
  <c r="F144" i="7" s="1"/>
  <c r="O143" i="7"/>
  <c r="L143" i="7"/>
  <c r="I143" i="7"/>
  <c r="F143" i="7"/>
  <c r="O142" i="7"/>
  <c r="L142" i="7"/>
  <c r="I142" i="7"/>
  <c r="F142" i="7"/>
  <c r="O141" i="7"/>
  <c r="L141" i="7"/>
  <c r="I141" i="7"/>
  <c r="F141" i="7"/>
  <c r="O140" i="7"/>
  <c r="L140" i="7"/>
  <c r="I140" i="7"/>
  <c r="F140" i="7"/>
  <c r="N139" i="7"/>
  <c r="M139" i="7"/>
  <c r="K139" i="7"/>
  <c r="J139" i="7"/>
  <c r="H139" i="7"/>
  <c r="G139" i="7"/>
  <c r="I139" i="7" s="1"/>
  <c r="E139" i="7"/>
  <c r="D139" i="7"/>
  <c r="O138" i="7"/>
  <c r="L138" i="7"/>
  <c r="I138" i="7"/>
  <c r="F138" i="7"/>
  <c r="O137" i="7"/>
  <c r="L137" i="7"/>
  <c r="I137" i="7"/>
  <c r="F137" i="7"/>
  <c r="O136" i="7"/>
  <c r="L136" i="7"/>
  <c r="I136" i="7"/>
  <c r="F136" i="7"/>
  <c r="O135" i="7"/>
  <c r="L135" i="7"/>
  <c r="I135" i="7"/>
  <c r="F135" i="7"/>
  <c r="N134" i="7"/>
  <c r="M134" i="7"/>
  <c r="K134" i="7"/>
  <c r="J134" i="7"/>
  <c r="H134" i="7"/>
  <c r="H133" i="7" s="1"/>
  <c r="G134" i="7"/>
  <c r="E134" i="7"/>
  <c r="D134" i="7"/>
  <c r="F134" i="7" s="1"/>
  <c r="O132" i="7"/>
  <c r="L132" i="7"/>
  <c r="I132" i="7"/>
  <c r="F132" i="7"/>
  <c r="N131" i="7"/>
  <c r="M131" i="7"/>
  <c r="K131" i="7"/>
  <c r="J131" i="7"/>
  <c r="H131" i="7"/>
  <c r="G131" i="7"/>
  <c r="E131" i="7"/>
  <c r="D131" i="7"/>
  <c r="O130" i="7"/>
  <c r="L130" i="7"/>
  <c r="I130" i="7"/>
  <c r="F130" i="7"/>
  <c r="O129" i="7"/>
  <c r="L129" i="7"/>
  <c r="I129" i="7"/>
  <c r="F129" i="7"/>
  <c r="C129" i="7" s="1"/>
  <c r="O128" i="7"/>
  <c r="L128" i="7"/>
  <c r="I128" i="7"/>
  <c r="F128" i="7"/>
  <c r="O127" i="7"/>
  <c r="L127" i="7"/>
  <c r="I127" i="7"/>
  <c r="F127" i="7"/>
  <c r="O126" i="7"/>
  <c r="L126" i="7"/>
  <c r="I126" i="7"/>
  <c r="F126" i="7"/>
  <c r="N125" i="7"/>
  <c r="M125" i="7"/>
  <c r="K125" i="7"/>
  <c r="L125" i="7" s="1"/>
  <c r="J125" i="7"/>
  <c r="H125" i="7"/>
  <c r="G125" i="7"/>
  <c r="E125" i="7"/>
  <c r="D125" i="7"/>
  <c r="O124" i="7"/>
  <c r="L124" i="7"/>
  <c r="I124" i="7"/>
  <c r="F124" i="7"/>
  <c r="O123" i="7"/>
  <c r="L123" i="7"/>
  <c r="I123" i="7"/>
  <c r="C123" i="7" s="1"/>
  <c r="F123" i="7"/>
  <c r="O122" i="7"/>
  <c r="L122" i="7"/>
  <c r="I122" i="7"/>
  <c r="F122" i="7"/>
  <c r="O121" i="7"/>
  <c r="L121" i="7"/>
  <c r="I121" i="7"/>
  <c r="F121" i="7"/>
  <c r="O120" i="7"/>
  <c r="L120" i="7"/>
  <c r="I120" i="7"/>
  <c r="F120" i="7"/>
  <c r="N119" i="7"/>
  <c r="M119" i="7"/>
  <c r="K119" i="7"/>
  <c r="J119" i="7"/>
  <c r="H119" i="7"/>
  <c r="I119" i="7" s="1"/>
  <c r="G119" i="7"/>
  <c r="E119" i="7"/>
  <c r="D119" i="7"/>
  <c r="O118" i="7"/>
  <c r="L118" i="7"/>
  <c r="I118" i="7"/>
  <c r="F118" i="7"/>
  <c r="O117" i="7"/>
  <c r="L117" i="7"/>
  <c r="I117" i="7"/>
  <c r="F117" i="7"/>
  <c r="C117" i="7" s="1"/>
  <c r="O116" i="7"/>
  <c r="L116" i="7"/>
  <c r="I116" i="7"/>
  <c r="F116" i="7"/>
  <c r="N115" i="7"/>
  <c r="M115" i="7"/>
  <c r="O115" i="7" s="1"/>
  <c r="K115" i="7"/>
  <c r="J115" i="7"/>
  <c r="H115" i="7"/>
  <c r="G115" i="7"/>
  <c r="F115" i="7"/>
  <c r="E115" i="7"/>
  <c r="D115" i="7"/>
  <c r="O114" i="7"/>
  <c r="L114" i="7"/>
  <c r="I114" i="7"/>
  <c r="F114" i="7"/>
  <c r="O113" i="7"/>
  <c r="L113" i="7"/>
  <c r="I113" i="7"/>
  <c r="F113" i="7"/>
  <c r="O112" i="7"/>
  <c r="L112" i="7"/>
  <c r="I112" i="7"/>
  <c r="F112" i="7"/>
  <c r="O111" i="7"/>
  <c r="L111" i="7"/>
  <c r="I111" i="7"/>
  <c r="F111" i="7"/>
  <c r="O110" i="7"/>
  <c r="L110" i="7"/>
  <c r="I110" i="7"/>
  <c r="F110" i="7"/>
  <c r="O109" i="7"/>
  <c r="L109" i="7"/>
  <c r="I109" i="7"/>
  <c r="F109" i="7"/>
  <c r="O108" i="7"/>
  <c r="L108" i="7"/>
  <c r="I108" i="7"/>
  <c r="F108" i="7"/>
  <c r="O107" i="7"/>
  <c r="L107" i="7"/>
  <c r="I107" i="7"/>
  <c r="F107" i="7"/>
  <c r="N106" i="7"/>
  <c r="O106" i="7" s="1"/>
  <c r="M106" i="7"/>
  <c r="K106" i="7"/>
  <c r="J106" i="7"/>
  <c r="H106" i="7"/>
  <c r="G106" i="7"/>
  <c r="E106" i="7"/>
  <c r="D106" i="7"/>
  <c r="O105" i="7"/>
  <c r="L105" i="7"/>
  <c r="I105" i="7"/>
  <c r="F105" i="7"/>
  <c r="O104" i="7"/>
  <c r="L104" i="7"/>
  <c r="I104" i="7"/>
  <c r="F104" i="7"/>
  <c r="O103" i="7"/>
  <c r="L103" i="7"/>
  <c r="I103" i="7"/>
  <c r="F103" i="7"/>
  <c r="C103" i="7"/>
  <c r="O102" i="7"/>
  <c r="L102" i="7"/>
  <c r="I102" i="7"/>
  <c r="F102" i="7"/>
  <c r="C102" i="7" s="1"/>
  <c r="O101" i="7"/>
  <c r="L101" i="7"/>
  <c r="I101" i="7"/>
  <c r="F101" i="7"/>
  <c r="C101" i="7" s="1"/>
  <c r="O100" i="7"/>
  <c r="L100" i="7"/>
  <c r="I100" i="7"/>
  <c r="F100" i="7"/>
  <c r="O99" i="7"/>
  <c r="L99" i="7"/>
  <c r="I99" i="7"/>
  <c r="F99" i="7"/>
  <c r="N98" i="7"/>
  <c r="O98" i="7" s="1"/>
  <c r="M98" i="7"/>
  <c r="K98" i="7"/>
  <c r="J98" i="7"/>
  <c r="H98" i="7"/>
  <c r="G98" i="7"/>
  <c r="E98" i="7"/>
  <c r="D98" i="7"/>
  <c r="F98" i="7" s="1"/>
  <c r="O97" i="7"/>
  <c r="L97" i="7"/>
  <c r="I97" i="7"/>
  <c r="F97" i="7"/>
  <c r="O96" i="7"/>
  <c r="L96" i="7"/>
  <c r="I96" i="7"/>
  <c r="F96" i="7"/>
  <c r="O95" i="7"/>
  <c r="L95" i="7"/>
  <c r="I95" i="7"/>
  <c r="F95" i="7"/>
  <c r="C95" i="7" s="1"/>
  <c r="O94" i="7"/>
  <c r="L94" i="7"/>
  <c r="I94" i="7"/>
  <c r="F94" i="7"/>
  <c r="O93" i="7"/>
  <c r="L93" i="7"/>
  <c r="I93" i="7"/>
  <c r="F93" i="7"/>
  <c r="N92" i="7"/>
  <c r="M92" i="7"/>
  <c r="K92" i="7"/>
  <c r="J92" i="7"/>
  <c r="H92" i="7"/>
  <c r="G92" i="7"/>
  <c r="I92" i="7" s="1"/>
  <c r="E92" i="7"/>
  <c r="F92" i="7" s="1"/>
  <c r="D92" i="7"/>
  <c r="O91" i="7"/>
  <c r="L91" i="7"/>
  <c r="I91" i="7"/>
  <c r="F91" i="7"/>
  <c r="O90" i="7"/>
  <c r="L90" i="7"/>
  <c r="I90" i="7"/>
  <c r="F90" i="7"/>
  <c r="O89" i="7"/>
  <c r="L89" i="7"/>
  <c r="I89" i="7"/>
  <c r="F89" i="7"/>
  <c r="O88" i="7"/>
  <c r="L88" i="7"/>
  <c r="I88" i="7"/>
  <c r="F88" i="7"/>
  <c r="N87" i="7"/>
  <c r="M87" i="7"/>
  <c r="K87" i="7"/>
  <c r="J87" i="7"/>
  <c r="H87" i="7"/>
  <c r="G87" i="7"/>
  <c r="E87" i="7"/>
  <c r="D87" i="7"/>
  <c r="G86" i="7"/>
  <c r="O85" i="7"/>
  <c r="L85" i="7"/>
  <c r="I85" i="7"/>
  <c r="F85" i="7"/>
  <c r="O84" i="7"/>
  <c r="L84" i="7"/>
  <c r="I84" i="7"/>
  <c r="F84" i="7"/>
  <c r="N83" i="7"/>
  <c r="M83" i="7"/>
  <c r="K83" i="7"/>
  <c r="J83" i="7"/>
  <c r="H83" i="7"/>
  <c r="G83" i="7"/>
  <c r="I83" i="7" s="1"/>
  <c r="E83" i="7"/>
  <c r="D83" i="7"/>
  <c r="O82" i="7"/>
  <c r="L82" i="7"/>
  <c r="I82" i="7"/>
  <c r="F82" i="7"/>
  <c r="C82" i="7" s="1"/>
  <c r="O81" i="7"/>
  <c r="L81" i="7"/>
  <c r="I81" i="7"/>
  <c r="F81" i="7"/>
  <c r="N80" i="7"/>
  <c r="M80" i="7"/>
  <c r="K80" i="7"/>
  <c r="J80" i="7"/>
  <c r="H80" i="7"/>
  <c r="H79" i="7" s="1"/>
  <c r="G80" i="7"/>
  <c r="E80" i="7"/>
  <c r="E79" i="7" s="1"/>
  <c r="D80" i="7"/>
  <c r="O77" i="7"/>
  <c r="L77" i="7"/>
  <c r="I77" i="7"/>
  <c r="F77" i="7"/>
  <c r="O76" i="7"/>
  <c r="L76" i="7"/>
  <c r="I76" i="7"/>
  <c r="F76" i="7"/>
  <c r="O75" i="7"/>
  <c r="L75" i="7"/>
  <c r="I75" i="7"/>
  <c r="F75" i="7"/>
  <c r="O74" i="7"/>
  <c r="L74" i="7"/>
  <c r="I74" i="7"/>
  <c r="F74" i="7"/>
  <c r="O73" i="7"/>
  <c r="L73" i="7"/>
  <c r="I73" i="7"/>
  <c r="F73" i="7"/>
  <c r="N72" i="7"/>
  <c r="N70" i="7" s="1"/>
  <c r="M72" i="7"/>
  <c r="K72" i="7"/>
  <c r="K70" i="7" s="1"/>
  <c r="J72" i="7"/>
  <c r="H72" i="7"/>
  <c r="H70" i="7" s="1"/>
  <c r="G72" i="7"/>
  <c r="E72" i="7"/>
  <c r="E70" i="7" s="1"/>
  <c r="D72" i="7"/>
  <c r="O71" i="7"/>
  <c r="L71" i="7"/>
  <c r="I71" i="7"/>
  <c r="F71" i="7"/>
  <c r="J70" i="7"/>
  <c r="G70" i="7"/>
  <c r="I70" i="7" s="1"/>
  <c r="O69" i="7"/>
  <c r="L69" i="7"/>
  <c r="I69" i="7"/>
  <c r="F69" i="7"/>
  <c r="O68" i="7"/>
  <c r="L68" i="7"/>
  <c r="I68" i="7"/>
  <c r="F68" i="7"/>
  <c r="O67" i="7"/>
  <c r="L67" i="7"/>
  <c r="I67" i="7"/>
  <c r="F67" i="7"/>
  <c r="O66" i="7"/>
  <c r="L66" i="7"/>
  <c r="I66" i="7"/>
  <c r="F66" i="7"/>
  <c r="O65" i="7"/>
  <c r="L65" i="7"/>
  <c r="I65" i="7"/>
  <c r="F65" i="7"/>
  <c r="O64" i="7"/>
  <c r="L64" i="7"/>
  <c r="I64" i="7"/>
  <c r="F64" i="7"/>
  <c r="O63" i="7"/>
  <c r="L63" i="7"/>
  <c r="I63" i="7"/>
  <c r="F63" i="7"/>
  <c r="O62" i="7"/>
  <c r="L62" i="7"/>
  <c r="I62" i="7"/>
  <c r="F62" i="7"/>
  <c r="C62" i="7" s="1"/>
  <c r="N61" i="7"/>
  <c r="O61" i="7" s="1"/>
  <c r="M61" i="7"/>
  <c r="K61" i="7"/>
  <c r="J61" i="7"/>
  <c r="H61" i="7"/>
  <c r="G61" i="7"/>
  <c r="E61" i="7"/>
  <c r="D61" i="7"/>
  <c r="O60" i="7"/>
  <c r="L60" i="7"/>
  <c r="I60" i="7"/>
  <c r="F60" i="7"/>
  <c r="O59" i="7"/>
  <c r="L59" i="7"/>
  <c r="I59" i="7"/>
  <c r="F59" i="7"/>
  <c r="N58" i="7"/>
  <c r="N57" i="7" s="1"/>
  <c r="M58" i="7"/>
  <c r="K58" i="7"/>
  <c r="J58" i="7"/>
  <c r="J57" i="7" s="1"/>
  <c r="H58" i="7"/>
  <c r="G58" i="7"/>
  <c r="E58" i="7"/>
  <c r="D58" i="7"/>
  <c r="H57" i="7"/>
  <c r="H56" i="7" s="1"/>
  <c r="O50" i="7"/>
  <c r="C50" i="7" s="1"/>
  <c r="O49" i="7"/>
  <c r="C49" i="7" s="1"/>
  <c r="N48" i="7"/>
  <c r="M48" i="7"/>
  <c r="L47" i="7"/>
  <c r="I47" i="7"/>
  <c r="F47" i="7"/>
  <c r="K46" i="7"/>
  <c r="J46" i="7"/>
  <c r="H46" i="7"/>
  <c r="G46" i="7"/>
  <c r="E46" i="7"/>
  <c r="D46" i="7"/>
  <c r="F45" i="7"/>
  <c r="C45" i="7" s="1"/>
  <c r="L44" i="7"/>
  <c r="C44" i="7" s="1"/>
  <c r="L43" i="7"/>
  <c r="C43" i="7" s="1"/>
  <c r="L42" i="7"/>
  <c r="C42" i="7" s="1"/>
  <c r="L41" i="7"/>
  <c r="C41" i="7" s="1"/>
  <c r="K40" i="7"/>
  <c r="J40" i="7"/>
  <c r="L39" i="7"/>
  <c r="C39" i="7" s="1"/>
  <c r="L38" i="7"/>
  <c r="C38" i="7" s="1"/>
  <c r="K37" i="7"/>
  <c r="J37" i="7"/>
  <c r="L37" i="7" s="1"/>
  <c r="C37" i="7" s="1"/>
  <c r="L36" i="7"/>
  <c r="C36" i="7" s="1"/>
  <c r="K35" i="7"/>
  <c r="J35" i="7"/>
  <c r="L34" i="7"/>
  <c r="C34" i="7" s="1"/>
  <c r="L33" i="7"/>
  <c r="C33" i="7" s="1"/>
  <c r="L32" i="7"/>
  <c r="C32" i="7" s="1"/>
  <c r="K31" i="7"/>
  <c r="J31" i="7"/>
  <c r="L31" i="7" s="1"/>
  <c r="C31" i="7" s="1"/>
  <c r="F29" i="7"/>
  <c r="C29" i="7" s="1"/>
  <c r="I28" i="7"/>
  <c r="F28" i="7"/>
  <c r="O27" i="7"/>
  <c r="L27" i="7"/>
  <c r="I27" i="7"/>
  <c r="F27" i="7"/>
  <c r="O26" i="7"/>
  <c r="L26" i="7"/>
  <c r="I26" i="7"/>
  <c r="C26" i="7" s="1"/>
  <c r="F26" i="7"/>
  <c r="N25" i="7"/>
  <c r="M25" i="7"/>
  <c r="M290" i="7" s="1"/>
  <c r="K25" i="7"/>
  <c r="L25" i="7" s="1"/>
  <c r="J25" i="7"/>
  <c r="J290" i="7" s="1"/>
  <c r="H25" i="7"/>
  <c r="G25" i="7"/>
  <c r="G290" i="7" s="1"/>
  <c r="E25" i="7"/>
  <c r="E290" i="7" s="1"/>
  <c r="D25" i="7"/>
  <c r="M24" i="7"/>
  <c r="E24" i="7"/>
  <c r="O299" i="6"/>
  <c r="L299" i="6"/>
  <c r="I299" i="6"/>
  <c r="F299" i="6"/>
  <c r="O298" i="6"/>
  <c r="L298" i="6"/>
  <c r="I298" i="6"/>
  <c r="F298" i="6"/>
  <c r="O297" i="6"/>
  <c r="L297" i="6"/>
  <c r="I297" i="6"/>
  <c r="F297" i="6"/>
  <c r="O296" i="6"/>
  <c r="L296" i="6"/>
  <c r="I296" i="6"/>
  <c r="F296" i="6"/>
  <c r="O295" i="6"/>
  <c r="L295" i="6"/>
  <c r="I295" i="6"/>
  <c r="F295" i="6"/>
  <c r="O294" i="6"/>
  <c r="L294" i="6"/>
  <c r="C294" i="6" s="1"/>
  <c r="I294" i="6"/>
  <c r="F294" i="6"/>
  <c r="O293" i="6"/>
  <c r="L293" i="6"/>
  <c r="I293" i="6"/>
  <c r="F293" i="6"/>
  <c r="O292" i="6"/>
  <c r="L292" i="6"/>
  <c r="I292" i="6"/>
  <c r="F292" i="6"/>
  <c r="N291" i="6"/>
  <c r="M291" i="6"/>
  <c r="K291" i="6"/>
  <c r="J291" i="6"/>
  <c r="L291" i="6" s="1"/>
  <c r="H291" i="6"/>
  <c r="G291" i="6"/>
  <c r="E291" i="6"/>
  <c r="D291" i="6"/>
  <c r="F291" i="6" s="1"/>
  <c r="O286" i="6"/>
  <c r="L286" i="6"/>
  <c r="I286" i="6"/>
  <c r="F286" i="6"/>
  <c r="O285" i="6"/>
  <c r="L285" i="6"/>
  <c r="I285" i="6"/>
  <c r="F285" i="6"/>
  <c r="N284" i="6"/>
  <c r="M284" i="6"/>
  <c r="K284" i="6"/>
  <c r="J284" i="6"/>
  <c r="L284" i="6" s="1"/>
  <c r="H284" i="6"/>
  <c r="G284" i="6"/>
  <c r="I284" i="6" s="1"/>
  <c r="E284" i="6"/>
  <c r="D284" i="6"/>
  <c r="O283" i="6"/>
  <c r="L283" i="6"/>
  <c r="I283" i="6"/>
  <c r="F283" i="6"/>
  <c r="N282" i="6"/>
  <c r="M282" i="6"/>
  <c r="K282" i="6"/>
  <c r="J282" i="6"/>
  <c r="H282" i="6"/>
  <c r="G282" i="6"/>
  <c r="E282" i="6"/>
  <c r="D282" i="6"/>
  <c r="F282" i="6" s="1"/>
  <c r="O281" i="6"/>
  <c r="L281" i="6"/>
  <c r="I281" i="6"/>
  <c r="F281" i="6"/>
  <c r="O280" i="6"/>
  <c r="L280" i="6"/>
  <c r="I280" i="6"/>
  <c r="F280" i="6"/>
  <c r="O279" i="6"/>
  <c r="O278" i="6" s="1"/>
  <c r="L279" i="6"/>
  <c r="I279" i="6"/>
  <c r="F279" i="6"/>
  <c r="N278" i="6"/>
  <c r="M278" i="6"/>
  <c r="K278" i="6"/>
  <c r="J278" i="6"/>
  <c r="H278" i="6"/>
  <c r="G278" i="6"/>
  <c r="E278" i="6"/>
  <c r="D278" i="6"/>
  <c r="O277" i="6"/>
  <c r="L277" i="6"/>
  <c r="I277" i="6"/>
  <c r="F277" i="6"/>
  <c r="O276" i="6"/>
  <c r="L276" i="6"/>
  <c r="I276" i="6"/>
  <c r="F276" i="6"/>
  <c r="O275" i="6"/>
  <c r="L275" i="6"/>
  <c r="I275" i="6"/>
  <c r="F275" i="6"/>
  <c r="N274" i="6"/>
  <c r="N272" i="6" s="1"/>
  <c r="N271" i="6" s="1"/>
  <c r="M274" i="6"/>
  <c r="K274" i="6"/>
  <c r="K272" i="6" s="1"/>
  <c r="J274" i="6"/>
  <c r="H274" i="6"/>
  <c r="H272" i="6" s="1"/>
  <c r="H271" i="6" s="1"/>
  <c r="G274" i="6"/>
  <c r="E274" i="6"/>
  <c r="D274" i="6"/>
  <c r="D272" i="6" s="1"/>
  <c r="O273" i="6"/>
  <c r="L273" i="6"/>
  <c r="I273" i="6"/>
  <c r="F273" i="6"/>
  <c r="M272" i="6"/>
  <c r="O272" i="6" s="1"/>
  <c r="O270" i="6"/>
  <c r="L270" i="6"/>
  <c r="I270" i="6"/>
  <c r="F270" i="6"/>
  <c r="O269" i="6"/>
  <c r="L269" i="6"/>
  <c r="I269" i="6"/>
  <c r="F269" i="6"/>
  <c r="O268" i="6"/>
  <c r="L268" i="6"/>
  <c r="I268" i="6"/>
  <c r="F268" i="6"/>
  <c r="O267" i="6"/>
  <c r="L267" i="6"/>
  <c r="I267" i="6"/>
  <c r="F267" i="6"/>
  <c r="N266" i="6"/>
  <c r="M266" i="6"/>
  <c r="K266" i="6"/>
  <c r="J266" i="6"/>
  <c r="H266" i="6"/>
  <c r="G266" i="6"/>
  <c r="I266" i="6" s="1"/>
  <c r="E266" i="6"/>
  <c r="D266" i="6"/>
  <c r="O265" i="6"/>
  <c r="L265" i="6"/>
  <c r="I265" i="6"/>
  <c r="F265" i="6"/>
  <c r="O264" i="6"/>
  <c r="L264" i="6"/>
  <c r="I264" i="6"/>
  <c r="F264" i="6"/>
  <c r="O263" i="6"/>
  <c r="L263" i="6"/>
  <c r="I263" i="6"/>
  <c r="F263" i="6"/>
  <c r="N262" i="6"/>
  <c r="M262" i="6"/>
  <c r="K262" i="6"/>
  <c r="K261" i="6" s="1"/>
  <c r="J262" i="6"/>
  <c r="H262" i="6"/>
  <c r="H261" i="6" s="1"/>
  <c r="G262" i="6"/>
  <c r="E262" i="6"/>
  <c r="D262" i="6"/>
  <c r="E261" i="6"/>
  <c r="O260" i="6"/>
  <c r="L260" i="6"/>
  <c r="I260" i="6"/>
  <c r="F260" i="6"/>
  <c r="O259" i="6"/>
  <c r="L259" i="6"/>
  <c r="I259" i="6"/>
  <c r="F259" i="6"/>
  <c r="O258" i="6"/>
  <c r="L258" i="6"/>
  <c r="I258" i="6"/>
  <c r="F258" i="6"/>
  <c r="O257" i="6"/>
  <c r="L257" i="6"/>
  <c r="I257" i="6"/>
  <c r="F257" i="6"/>
  <c r="O256" i="6"/>
  <c r="L256" i="6"/>
  <c r="I256" i="6"/>
  <c r="F256" i="6"/>
  <c r="N255" i="6"/>
  <c r="N254" i="6" s="1"/>
  <c r="M255" i="6"/>
  <c r="M254" i="6" s="1"/>
  <c r="K255" i="6"/>
  <c r="K254" i="6" s="1"/>
  <c r="J255" i="6"/>
  <c r="J254" i="6" s="1"/>
  <c r="H255" i="6"/>
  <c r="H254" i="6" s="1"/>
  <c r="G255" i="6"/>
  <c r="E255" i="6"/>
  <c r="E254" i="6" s="1"/>
  <c r="D255" i="6"/>
  <c r="F255" i="6" s="1"/>
  <c r="O253" i="6"/>
  <c r="L253" i="6"/>
  <c r="I253" i="6"/>
  <c r="F253" i="6"/>
  <c r="O252" i="6"/>
  <c r="L252" i="6"/>
  <c r="I252" i="6"/>
  <c r="F252" i="6"/>
  <c r="O251" i="6"/>
  <c r="L251" i="6"/>
  <c r="I251" i="6"/>
  <c r="F251" i="6"/>
  <c r="O250" i="6"/>
  <c r="L250" i="6"/>
  <c r="I250" i="6"/>
  <c r="F250" i="6"/>
  <c r="N249" i="6"/>
  <c r="M249" i="6"/>
  <c r="K249" i="6"/>
  <c r="J249" i="6"/>
  <c r="L249" i="6" s="1"/>
  <c r="H249" i="6"/>
  <c r="G249" i="6"/>
  <c r="I249" i="6" s="1"/>
  <c r="E249" i="6"/>
  <c r="D249" i="6"/>
  <c r="O248" i="6"/>
  <c r="L248" i="6"/>
  <c r="I248" i="6"/>
  <c r="F248" i="6"/>
  <c r="O247" i="6"/>
  <c r="L247" i="6"/>
  <c r="I247" i="6"/>
  <c r="F247" i="6"/>
  <c r="O246" i="6"/>
  <c r="L246" i="6"/>
  <c r="I246" i="6"/>
  <c r="F246" i="6"/>
  <c r="O245" i="6"/>
  <c r="L245" i="6"/>
  <c r="I245" i="6"/>
  <c r="F245" i="6"/>
  <c r="O244" i="6"/>
  <c r="L244" i="6"/>
  <c r="I244" i="6"/>
  <c r="F244" i="6"/>
  <c r="O243" i="6"/>
  <c r="L243" i="6"/>
  <c r="I243" i="6"/>
  <c r="F243" i="6"/>
  <c r="O242" i="6"/>
  <c r="L242" i="6"/>
  <c r="I242" i="6"/>
  <c r="F242" i="6"/>
  <c r="N241" i="6"/>
  <c r="M241" i="6"/>
  <c r="K241" i="6"/>
  <c r="K234" i="6" s="1"/>
  <c r="J241" i="6"/>
  <c r="H241" i="6"/>
  <c r="G241" i="6"/>
  <c r="E241" i="6"/>
  <c r="D241" i="6"/>
  <c r="O240" i="6"/>
  <c r="L240" i="6"/>
  <c r="I240" i="6"/>
  <c r="F240" i="6"/>
  <c r="O239" i="6"/>
  <c r="L239" i="6"/>
  <c r="I239" i="6"/>
  <c r="F239" i="6"/>
  <c r="N238" i="6"/>
  <c r="M238" i="6"/>
  <c r="O238" i="6" s="1"/>
  <c r="L238" i="6"/>
  <c r="K238" i="6"/>
  <c r="J238" i="6"/>
  <c r="H238" i="6"/>
  <c r="G238" i="6"/>
  <c r="I238" i="6" s="1"/>
  <c r="E238" i="6"/>
  <c r="D238" i="6"/>
  <c r="O237" i="6"/>
  <c r="L237" i="6"/>
  <c r="I237" i="6"/>
  <c r="F237" i="6"/>
  <c r="N236" i="6"/>
  <c r="M236" i="6"/>
  <c r="O236" i="6" s="1"/>
  <c r="K236" i="6"/>
  <c r="J236" i="6"/>
  <c r="H236" i="6"/>
  <c r="G236" i="6"/>
  <c r="E236" i="6"/>
  <c r="D236" i="6"/>
  <c r="O235" i="6"/>
  <c r="L235" i="6"/>
  <c r="I235" i="6"/>
  <c r="F235" i="6"/>
  <c r="G234" i="6"/>
  <c r="O232" i="6"/>
  <c r="L232" i="6"/>
  <c r="I232" i="6"/>
  <c r="F232" i="6"/>
  <c r="O231" i="6"/>
  <c r="L231" i="6"/>
  <c r="I231" i="6"/>
  <c r="F231" i="6"/>
  <c r="N230" i="6"/>
  <c r="M230" i="6"/>
  <c r="K230" i="6"/>
  <c r="J230" i="6"/>
  <c r="H230" i="6"/>
  <c r="G230" i="6"/>
  <c r="E230" i="6"/>
  <c r="D230" i="6"/>
  <c r="O229" i="6"/>
  <c r="L229" i="6"/>
  <c r="I229" i="6"/>
  <c r="F229" i="6"/>
  <c r="O228" i="6"/>
  <c r="L228" i="6"/>
  <c r="I228" i="6"/>
  <c r="F228" i="6"/>
  <c r="O227" i="6"/>
  <c r="L227" i="6"/>
  <c r="I227" i="6"/>
  <c r="F227" i="6"/>
  <c r="O226" i="6"/>
  <c r="L226" i="6"/>
  <c r="I226" i="6"/>
  <c r="F226" i="6"/>
  <c r="O225" i="6"/>
  <c r="L225" i="6"/>
  <c r="I225" i="6"/>
  <c r="F225" i="6"/>
  <c r="O224" i="6"/>
  <c r="L224" i="6"/>
  <c r="I224" i="6"/>
  <c r="F224" i="6"/>
  <c r="O223" i="6"/>
  <c r="L223" i="6"/>
  <c r="I223" i="6"/>
  <c r="F223" i="6"/>
  <c r="O222" i="6"/>
  <c r="L222" i="6"/>
  <c r="I222" i="6"/>
  <c r="F222" i="6"/>
  <c r="O221" i="6"/>
  <c r="L221" i="6"/>
  <c r="I221" i="6"/>
  <c r="F221" i="6"/>
  <c r="O220" i="6"/>
  <c r="L220" i="6"/>
  <c r="I220" i="6"/>
  <c r="F220" i="6"/>
  <c r="N219" i="6"/>
  <c r="M219" i="6"/>
  <c r="O219" i="6" s="1"/>
  <c r="K219" i="6"/>
  <c r="J219" i="6"/>
  <c r="L219" i="6" s="1"/>
  <c r="H219" i="6"/>
  <c r="G219" i="6"/>
  <c r="E219" i="6"/>
  <c r="D219" i="6"/>
  <c r="O218" i="6"/>
  <c r="L218" i="6"/>
  <c r="I218" i="6"/>
  <c r="F218" i="6"/>
  <c r="O217" i="6"/>
  <c r="L217" i="6"/>
  <c r="I217" i="6"/>
  <c r="F217" i="6"/>
  <c r="O216" i="6"/>
  <c r="L216" i="6"/>
  <c r="I216" i="6"/>
  <c r="F216" i="6"/>
  <c r="O215" i="6"/>
  <c r="L215" i="6"/>
  <c r="I215" i="6"/>
  <c r="F215" i="6"/>
  <c r="O214" i="6"/>
  <c r="L214" i="6"/>
  <c r="I214" i="6"/>
  <c r="F214" i="6"/>
  <c r="O213" i="6"/>
  <c r="L213" i="6"/>
  <c r="I213" i="6"/>
  <c r="F213" i="6"/>
  <c r="O212" i="6"/>
  <c r="L212" i="6"/>
  <c r="I212" i="6"/>
  <c r="F212" i="6"/>
  <c r="O211" i="6"/>
  <c r="L211" i="6"/>
  <c r="I211" i="6"/>
  <c r="F211" i="6"/>
  <c r="O210" i="6"/>
  <c r="L210" i="6"/>
  <c r="I210" i="6"/>
  <c r="F210" i="6"/>
  <c r="O209" i="6"/>
  <c r="L209" i="6"/>
  <c r="I209" i="6"/>
  <c r="F209" i="6"/>
  <c r="O208" i="6"/>
  <c r="N208" i="6"/>
  <c r="M208" i="6"/>
  <c r="K208" i="6"/>
  <c r="J208" i="6"/>
  <c r="H208" i="6"/>
  <c r="G208" i="6"/>
  <c r="E208" i="6"/>
  <c r="D208" i="6"/>
  <c r="N207" i="6"/>
  <c r="O206" i="6"/>
  <c r="L206" i="6"/>
  <c r="I206" i="6"/>
  <c r="F206" i="6"/>
  <c r="O205" i="6"/>
  <c r="L205" i="6"/>
  <c r="I205" i="6"/>
  <c r="F205" i="6"/>
  <c r="O204" i="6"/>
  <c r="L204" i="6"/>
  <c r="I204" i="6"/>
  <c r="F204" i="6"/>
  <c r="O203" i="6"/>
  <c r="L203" i="6"/>
  <c r="I203" i="6"/>
  <c r="F203" i="6"/>
  <c r="O202" i="6"/>
  <c r="L202" i="6"/>
  <c r="I202" i="6"/>
  <c r="F202" i="6"/>
  <c r="N201" i="6"/>
  <c r="N199" i="6" s="1"/>
  <c r="N198" i="6" s="1"/>
  <c r="M201" i="6"/>
  <c r="K201" i="6"/>
  <c r="J201" i="6"/>
  <c r="H201" i="6"/>
  <c r="H199" i="6" s="1"/>
  <c r="G201" i="6"/>
  <c r="G199" i="6" s="1"/>
  <c r="E201" i="6"/>
  <c r="E199" i="6" s="1"/>
  <c r="D201" i="6"/>
  <c r="O200" i="6"/>
  <c r="L200" i="6"/>
  <c r="C200" i="6" s="1"/>
  <c r="I200" i="6"/>
  <c r="F200" i="6"/>
  <c r="K199" i="6"/>
  <c r="D199" i="6"/>
  <c r="O196" i="6"/>
  <c r="L196" i="6"/>
  <c r="I196" i="6"/>
  <c r="F196" i="6"/>
  <c r="N195" i="6"/>
  <c r="M195" i="6"/>
  <c r="K195" i="6"/>
  <c r="K194" i="6" s="1"/>
  <c r="J195" i="6"/>
  <c r="J194" i="6" s="1"/>
  <c r="H195" i="6"/>
  <c r="H194" i="6" s="1"/>
  <c r="G195" i="6"/>
  <c r="G194" i="6" s="1"/>
  <c r="E195" i="6"/>
  <c r="D195" i="6"/>
  <c r="M194" i="6"/>
  <c r="E194" i="6"/>
  <c r="O193" i="6"/>
  <c r="L193" i="6"/>
  <c r="I193" i="6"/>
  <c r="F193" i="6"/>
  <c r="O192" i="6"/>
  <c r="L192" i="6"/>
  <c r="I192" i="6"/>
  <c r="F192" i="6"/>
  <c r="N191" i="6"/>
  <c r="O191" i="6" s="1"/>
  <c r="M191" i="6"/>
  <c r="K191" i="6"/>
  <c r="J191" i="6"/>
  <c r="H191" i="6"/>
  <c r="H190" i="6" s="1"/>
  <c r="G191" i="6"/>
  <c r="E191" i="6"/>
  <c r="D191" i="6"/>
  <c r="M190" i="6"/>
  <c r="O189" i="6"/>
  <c r="L189" i="6"/>
  <c r="I189" i="6"/>
  <c r="F189" i="6"/>
  <c r="O188" i="6"/>
  <c r="L188" i="6"/>
  <c r="I188" i="6"/>
  <c r="F188" i="6"/>
  <c r="N187" i="6"/>
  <c r="M187" i="6"/>
  <c r="L187" i="6"/>
  <c r="K187" i="6"/>
  <c r="J187" i="6"/>
  <c r="H187" i="6"/>
  <c r="G187" i="6"/>
  <c r="I187" i="6" s="1"/>
  <c r="E187" i="6"/>
  <c r="D187" i="6"/>
  <c r="O186" i="6"/>
  <c r="L186" i="6"/>
  <c r="I186" i="6"/>
  <c r="F186" i="6"/>
  <c r="O185" i="6"/>
  <c r="L185" i="6"/>
  <c r="I185" i="6"/>
  <c r="F185" i="6"/>
  <c r="O184" i="6"/>
  <c r="L184" i="6"/>
  <c r="C184" i="6" s="1"/>
  <c r="I184" i="6"/>
  <c r="F184" i="6"/>
  <c r="O183" i="6"/>
  <c r="L183" i="6"/>
  <c r="I183" i="6"/>
  <c r="F183" i="6"/>
  <c r="N182" i="6"/>
  <c r="M182" i="6"/>
  <c r="K182" i="6"/>
  <c r="J182" i="6"/>
  <c r="H182" i="6"/>
  <c r="G182" i="6"/>
  <c r="E182" i="6"/>
  <c r="D182" i="6"/>
  <c r="O181" i="6"/>
  <c r="L181" i="6"/>
  <c r="I181" i="6"/>
  <c r="F181" i="6"/>
  <c r="O180" i="6"/>
  <c r="L180" i="6"/>
  <c r="I180" i="6"/>
  <c r="F180" i="6"/>
  <c r="O179" i="6"/>
  <c r="L179" i="6"/>
  <c r="I179" i="6"/>
  <c r="F179" i="6"/>
  <c r="N178" i="6"/>
  <c r="M178" i="6"/>
  <c r="K178" i="6"/>
  <c r="J178" i="6"/>
  <c r="H178" i="6"/>
  <c r="H177" i="6" s="1"/>
  <c r="H176" i="6" s="1"/>
  <c r="G178" i="6"/>
  <c r="E178" i="6"/>
  <c r="E177" i="6" s="1"/>
  <c r="E176" i="6" s="1"/>
  <c r="D178" i="6"/>
  <c r="J177" i="6"/>
  <c r="O175" i="6"/>
  <c r="L175" i="6"/>
  <c r="I175" i="6"/>
  <c r="F175" i="6"/>
  <c r="O174" i="6"/>
  <c r="L174" i="6"/>
  <c r="I174" i="6"/>
  <c r="F174" i="6"/>
  <c r="O173" i="6"/>
  <c r="L173" i="6"/>
  <c r="I173" i="6"/>
  <c r="F173" i="6"/>
  <c r="O172" i="6"/>
  <c r="L172" i="6"/>
  <c r="I172" i="6"/>
  <c r="F172" i="6"/>
  <c r="O171" i="6"/>
  <c r="L171" i="6"/>
  <c r="I171" i="6"/>
  <c r="F171" i="6"/>
  <c r="O170" i="6"/>
  <c r="L170" i="6"/>
  <c r="I170" i="6"/>
  <c r="F170" i="6"/>
  <c r="N169" i="6"/>
  <c r="N168" i="6" s="1"/>
  <c r="M169" i="6"/>
  <c r="K169" i="6"/>
  <c r="J169" i="6"/>
  <c r="H169" i="6"/>
  <c r="H168" i="6" s="1"/>
  <c r="G169" i="6"/>
  <c r="G168" i="6" s="1"/>
  <c r="E169" i="6"/>
  <c r="E168" i="6" s="1"/>
  <c r="D169" i="6"/>
  <c r="D168" i="6" s="1"/>
  <c r="M168" i="6"/>
  <c r="K168" i="6"/>
  <c r="O167" i="6"/>
  <c r="L167" i="6"/>
  <c r="I167" i="6"/>
  <c r="F167" i="6"/>
  <c r="O166" i="6"/>
  <c r="L166" i="6"/>
  <c r="I166" i="6"/>
  <c r="F166" i="6"/>
  <c r="O165" i="6"/>
  <c r="L165" i="6"/>
  <c r="I165" i="6"/>
  <c r="F165" i="6"/>
  <c r="O164" i="6"/>
  <c r="L164" i="6"/>
  <c r="I164" i="6"/>
  <c r="F164" i="6"/>
  <c r="N163" i="6"/>
  <c r="M163" i="6"/>
  <c r="K163" i="6"/>
  <c r="J163" i="6"/>
  <c r="H163" i="6"/>
  <c r="G163" i="6"/>
  <c r="E163" i="6"/>
  <c r="D163" i="6"/>
  <c r="O162" i="6"/>
  <c r="L162" i="6"/>
  <c r="I162" i="6"/>
  <c r="F162" i="6"/>
  <c r="O161" i="6"/>
  <c r="L161" i="6"/>
  <c r="I161" i="6"/>
  <c r="F161" i="6"/>
  <c r="O160" i="6"/>
  <c r="L160" i="6"/>
  <c r="I160" i="6"/>
  <c r="F160" i="6"/>
  <c r="O159" i="6"/>
  <c r="L159" i="6"/>
  <c r="I159" i="6"/>
  <c r="F159" i="6"/>
  <c r="O158" i="6"/>
  <c r="L158" i="6"/>
  <c r="I158" i="6"/>
  <c r="F158" i="6"/>
  <c r="O157" i="6"/>
  <c r="L157" i="6"/>
  <c r="I157" i="6"/>
  <c r="F157" i="6"/>
  <c r="O156" i="6"/>
  <c r="L156" i="6"/>
  <c r="I156" i="6"/>
  <c r="F156" i="6"/>
  <c r="O155" i="6"/>
  <c r="L155" i="6"/>
  <c r="I155" i="6"/>
  <c r="F155" i="6"/>
  <c r="N154" i="6"/>
  <c r="M154" i="6"/>
  <c r="K154" i="6"/>
  <c r="J154" i="6"/>
  <c r="H154" i="6"/>
  <c r="G154" i="6"/>
  <c r="I154" i="6" s="1"/>
  <c r="E154" i="6"/>
  <c r="D154" i="6"/>
  <c r="O153" i="6"/>
  <c r="L153" i="6"/>
  <c r="I153" i="6"/>
  <c r="F153" i="6"/>
  <c r="O152" i="6"/>
  <c r="L152" i="6"/>
  <c r="I152" i="6"/>
  <c r="F152" i="6"/>
  <c r="O151" i="6"/>
  <c r="L151" i="6"/>
  <c r="I151" i="6"/>
  <c r="F151" i="6"/>
  <c r="O150" i="6"/>
  <c r="L150" i="6"/>
  <c r="I150" i="6"/>
  <c r="F150" i="6"/>
  <c r="O149" i="6"/>
  <c r="L149" i="6"/>
  <c r="I149" i="6"/>
  <c r="F149" i="6"/>
  <c r="O148" i="6"/>
  <c r="L148" i="6"/>
  <c r="I148" i="6"/>
  <c r="F148" i="6"/>
  <c r="N147" i="6"/>
  <c r="M147" i="6"/>
  <c r="K147" i="6"/>
  <c r="J147" i="6"/>
  <c r="H147" i="6"/>
  <c r="G147" i="6"/>
  <c r="E147" i="6"/>
  <c r="D147" i="6"/>
  <c r="O146" i="6"/>
  <c r="L146" i="6"/>
  <c r="I146" i="6"/>
  <c r="F146" i="6"/>
  <c r="O145" i="6"/>
  <c r="L145" i="6"/>
  <c r="I145" i="6"/>
  <c r="F145" i="6"/>
  <c r="N144" i="6"/>
  <c r="M144" i="6"/>
  <c r="O144" i="6" s="1"/>
  <c r="K144" i="6"/>
  <c r="J144" i="6"/>
  <c r="H144" i="6"/>
  <c r="G144" i="6"/>
  <c r="E144" i="6"/>
  <c r="D144" i="6"/>
  <c r="O143" i="6"/>
  <c r="L143" i="6"/>
  <c r="I143" i="6"/>
  <c r="F143" i="6"/>
  <c r="O142" i="6"/>
  <c r="L142" i="6"/>
  <c r="I142" i="6"/>
  <c r="F142" i="6"/>
  <c r="O141" i="6"/>
  <c r="L141" i="6"/>
  <c r="I141" i="6"/>
  <c r="F141" i="6"/>
  <c r="O140" i="6"/>
  <c r="L140" i="6"/>
  <c r="I140" i="6"/>
  <c r="F140" i="6"/>
  <c r="N139" i="6"/>
  <c r="M139" i="6"/>
  <c r="K139" i="6"/>
  <c r="J139" i="6"/>
  <c r="H139" i="6"/>
  <c r="G139" i="6"/>
  <c r="E139" i="6"/>
  <c r="D139" i="6"/>
  <c r="O138" i="6"/>
  <c r="L138" i="6"/>
  <c r="I138" i="6"/>
  <c r="F138" i="6"/>
  <c r="O137" i="6"/>
  <c r="L137" i="6"/>
  <c r="I137" i="6"/>
  <c r="F137" i="6"/>
  <c r="O136" i="6"/>
  <c r="L136" i="6"/>
  <c r="I136" i="6"/>
  <c r="F136" i="6"/>
  <c r="O135" i="6"/>
  <c r="L135" i="6"/>
  <c r="I135" i="6"/>
  <c r="F135" i="6"/>
  <c r="N134" i="6"/>
  <c r="M134" i="6"/>
  <c r="K134" i="6"/>
  <c r="J134" i="6"/>
  <c r="H134" i="6"/>
  <c r="G134" i="6"/>
  <c r="E134" i="6"/>
  <c r="D134" i="6"/>
  <c r="O132" i="6"/>
  <c r="L132" i="6"/>
  <c r="I132" i="6"/>
  <c r="F132" i="6"/>
  <c r="N131" i="6"/>
  <c r="M131" i="6"/>
  <c r="K131" i="6"/>
  <c r="J131" i="6"/>
  <c r="H131" i="6"/>
  <c r="G131" i="6"/>
  <c r="E131" i="6"/>
  <c r="D131" i="6"/>
  <c r="O130" i="6"/>
  <c r="L130" i="6"/>
  <c r="I130" i="6"/>
  <c r="F130" i="6"/>
  <c r="O129" i="6"/>
  <c r="L129" i="6"/>
  <c r="I129" i="6"/>
  <c r="F129" i="6"/>
  <c r="O128" i="6"/>
  <c r="L128" i="6"/>
  <c r="I128" i="6"/>
  <c r="F128" i="6"/>
  <c r="O127" i="6"/>
  <c r="L127" i="6"/>
  <c r="I127" i="6"/>
  <c r="F127" i="6"/>
  <c r="O126" i="6"/>
  <c r="L126" i="6"/>
  <c r="I126" i="6"/>
  <c r="F126" i="6"/>
  <c r="N125" i="6"/>
  <c r="M125" i="6"/>
  <c r="K125" i="6"/>
  <c r="J125" i="6"/>
  <c r="H125" i="6"/>
  <c r="G125" i="6"/>
  <c r="I125" i="6" s="1"/>
  <c r="E125" i="6"/>
  <c r="D125" i="6"/>
  <c r="O124" i="6"/>
  <c r="L124" i="6"/>
  <c r="I124" i="6"/>
  <c r="F124" i="6"/>
  <c r="O123" i="6"/>
  <c r="L123" i="6"/>
  <c r="I123" i="6"/>
  <c r="F123" i="6"/>
  <c r="O122" i="6"/>
  <c r="L122" i="6"/>
  <c r="I122" i="6"/>
  <c r="F122" i="6"/>
  <c r="O121" i="6"/>
  <c r="L121" i="6"/>
  <c r="I121" i="6"/>
  <c r="F121" i="6"/>
  <c r="O120" i="6"/>
  <c r="L120" i="6"/>
  <c r="I120" i="6"/>
  <c r="F120" i="6"/>
  <c r="N119" i="6"/>
  <c r="M119" i="6"/>
  <c r="K119" i="6"/>
  <c r="J119" i="6"/>
  <c r="L119" i="6" s="1"/>
  <c r="H119" i="6"/>
  <c r="G119" i="6"/>
  <c r="E119" i="6"/>
  <c r="D119" i="6"/>
  <c r="O118" i="6"/>
  <c r="L118" i="6"/>
  <c r="I118" i="6"/>
  <c r="F118" i="6"/>
  <c r="O117" i="6"/>
  <c r="L117" i="6"/>
  <c r="I117" i="6"/>
  <c r="F117" i="6"/>
  <c r="O116" i="6"/>
  <c r="L116" i="6"/>
  <c r="I116" i="6"/>
  <c r="F116" i="6"/>
  <c r="N115" i="6"/>
  <c r="M115" i="6"/>
  <c r="K115" i="6"/>
  <c r="J115" i="6"/>
  <c r="H115" i="6"/>
  <c r="G115" i="6"/>
  <c r="E115" i="6"/>
  <c r="D115" i="6"/>
  <c r="F115" i="6" s="1"/>
  <c r="O114" i="6"/>
  <c r="L114" i="6"/>
  <c r="I114" i="6"/>
  <c r="F114" i="6"/>
  <c r="O113" i="6"/>
  <c r="L113" i="6"/>
  <c r="I113" i="6"/>
  <c r="F113" i="6"/>
  <c r="O112" i="6"/>
  <c r="L112" i="6"/>
  <c r="I112" i="6"/>
  <c r="F112" i="6"/>
  <c r="O111" i="6"/>
  <c r="L111" i="6"/>
  <c r="I111" i="6"/>
  <c r="F111" i="6"/>
  <c r="O110" i="6"/>
  <c r="L110" i="6"/>
  <c r="I110" i="6"/>
  <c r="F110" i="6"/>
  <c r="O109" i="6"/>
  <c r="L109" i="6"/>
  <c r="I109" i="6"/>
  <c r="F109" i="6"/>
  <c r="O108" i="6"/>
  <c r="L108" i="6"/>
  <c r="I108" i="6"/>
  <c r="F108" i="6"/>
  <c r="O107" i="6"/>
  <c r="L107" i="6"/>
  <c r="I107" i="6"/>
  <c r="F107" i="6"/>
  <c r="N106" i="6"/>
  <c r="M106" i="6"/>
  <c r="K106" i="6"/>
  <c r="J106" i="6"/>
  <c r="L106" i="6" s="1"/>
  <c r="H106" i="6"/>
  <c r="G106" i="6"/>
  <c r="E106" i="6"/>
  <c r="D106" i="6"/>
  <c r="O105" i="6"/>
  <c r="L105" i="6"/>
  <c r="I105" i="6"/>
  <c r="F105" i="6"/>
  <c r="O104" i="6"/>
  <c r="L104" i="6"/>
  <c r="I104" i="6"/>
  <c r="F104" i="6"/>
  <c r="O103" i="6"/>
  <c r="L103" i="6"/>
  <c r="I103" i="6"/>
  <c r="F103" i="6"/>
  <c r="O102" i="6"/>
  <c r="L102" i="6"/>
  <c r="I102" i="6"/>
  <c r="F102" i="6"/>
  <c r="O101" i="6"/>
  <c r="L101" i="6"/>
  <c r="I101" i="6"/>
  <c r="F101" i="6"/>
  <c r="O100" i="6"/>
  <c r="L100" i="6"/>
  <c r="I100" i="6"/>
  <c r="F100" i="6"/>
  <c r="O99" i="6"/>
  <c r="L99" i="6"/>
  <c r="I99" i="6"/>
  <c r="F99" i="6"/>
  <c r="N98" i="6"/>
  <c r="M98" i="6"/>
  <c r="K98" i="6"/>
  <c r="J98" i="6"/>
  <c r="H98" i="6"/>
  <c r="G98" i="6"/>
  <c r="E98" i="6"/>
  <c r="D98" i="6"/>
  <c r="O97" i="6"/>
  <c r="L97" i="6"/>
  <c r="I97" i="6"/>
  <c r="F97" i="6"/>
  <c r="O96" i="6"/>
  <c r="L96" i="6"/>
  <c r="I96" i="6"/>
  <c r="F96" i="6"/>
  <c r="O95" i="6"/>
  <c r="L95" i="6"/>
  <c r="I95" i="6"/>
  <c r="F95" i="6"/>
  <c r="O94" i="6"/>
  <c r="L94" i="6"/>
  <c r="I94" i="6"/>
  <c r="F94" i="6"/>
  <c r="O93" i="6"/>
  <c r="L93" i="6"/>
  <c r="I93" i="6"/>
  <c r="F93" i="6"/>
  <c r="N92" i="6"/>
  <c r="M92" i="6"/>
  <c r="K92" i="6"/>
  <c r="J92" i="6"/>
  <c r="H92" i="6"/>
  <c r="G92" i="6"/>
  <c r="E92" i="6"/>
  <c r="D92" i="6"/>
  <c r="O91" i="6"/>
  <c r="L91" i="6"/>
  <c r="I91" i="6"/>
  <c r="F91" i="6"/>
  <c r="O90" i="6"/>
  <c r="L90" i="6"/>
  <c r="I90" i="6"/>
  <c r="F90" i="6"/>
  <c r="O89" i="6"/>
  <c r="L89" i="6"/>
  <c r="I89" i="6"/>
  <c r="F89" i="6"/>
  <c r="O88" i="6"/>
  <c r="L88" i="6"/>
  <c r="I88" i="6"/>
  <c r="F88" i="6"/>
  <c r="N87" i="6"/>
  <c r="M87" i="6"/>
  <c r="K87" i="6"/>
  <c r="J87" i="6"/>
  <c r="I87" i="6"/>
  <c r="H87" i="6"/>
  <c r="G87" i="6"/>
  <c r="E87" i="6"/>
  <c r="D87" i="6"/>
  <c r="F87" i="6" s="1"/>
  <c r="O85" i="6"/>
  <c r="L85" i="6"/>
  <c r="I85" i="6"/>
  <c r="F85" i="6"/>
  <c r="O84" i="6"/>
  <c r="L84" i="6"/>
  <c r="I84" i="6"/>
  <c r="F84" i="6"/>
  <c r="C84" i="6" s="1"/>
  <c r="N83" i="6"/>
  <c r="M83" i="6"/>
  <c r="K83" i="6"/>
  <c r="J83" i="6"/>
  <c r="H83" i="6"/>
  <c r="G83" i="6"/>
  <c r="E83" i="6"/>
  <c r="D83" i="6"/>
  <c r="O82" i="6"/>
  <c r="L82" i="6"/>
  <c r="I82" i="6"/>
  <c r="F82" i="6"/>
  <c r="O81" i="6"/>
  <c r="L81" i="6"/>
  <c r="I81" i="6"/>
  <c r="F81" i="6"/>
  <c r="N80" i="6"/>
  <c r="N79" i="6" s="1"/>
  <c r="M80" i="6"/>
  <c r="K80" i="6"/>
  <c r="J80" i="6"/>
  <c r="J79" i="6" s="1"/>
  <c r="H80" i="6"/>
  <c r="G80" i="6"/>
  <c r="G79" i="6" s="1"/>
  <c r="E80" i="6"/>
  <c r="D80" i="6"/>
  <c r="O77" i="6"/>
  <c r="L77" i="6"/>
  <c r="I77" i="6"/>
  <c r="F77" i="6"/>
  <c r="O76" i="6"/>
  <c r="L76" i="6"/>
  <c r="I76" i="6"/>
  <c r="F76" i="6"/>
  <c r="O75" i="6"/>
  <c r="L75" i="6"/>
  <c r="I75" i="6"/>
  <c r="F75" i="6"/>
  <c r="O74" i="6"/>
  <c r="L74" i="6"/>
  <c r="I74" i="6"/>
  <c r="F74" i="6"/>
  <c r="O73" i="6"/>
  <c r="L73" i="6"/>
  <c r="I73" i="6"/>
  <c r="F73" i="6"/>
  <c r="N72" i="6"/>
  <c r="M72" i="6"/>
  <c r="O72" i="6" s="1"/>
  <c r="K72" i="6"/>
  <c r="K70" i="6" s="1"/>
  <c r="J72" i="6"/>
  <c r="H72" i="6"/>
  <c r="G72" i="6"/>
  <c r="F72" i="6"/>
  <c r="E72" i="6"/>
  <c r="D72" i="6"/>
  <c r="D70" i="6" s="1"/>
  <c r="O71" i="6"/>
  <c r="L71" i="6"/>
  <c r="I71" i="6"/>
  <c r="F71" i="6"/>
  <c r="N70" i="6"/>
  <c r="M70" i="6"/>
  <c r="J70" i="6"/>
  <c r="H70" i="6"/>
  <c r="E70" i="6"/>
  <c r="O69" i="6"/>
  <c r="L69" i="6"/>
  <c r="I69" i="6"/>
  <c r="F69" i="6"/>
  <c r="O68" i="6"/>
  <c r="L68" i="6"/>
  <c r="I68" i="6"/>
  <c r="F68" i="6"/>
  <c r="O67" i="6"/>
  <c r="L67" i="6"/>
  <c r="I67" i="6"/>
  <c r="F67" i="6"/>
  <c r="O66" i="6"/>
  <c r="L66" i="6"/>
  <c r="I66" i="6"/>
  <c r="F66" i="6"/>
  <c r="O65" i="6"/>
  <c r="L65" i="6"/>
  <c r="I65" i="6"/>
  <c r="F65" i="6"/>
  <c r="O64" i="6"/>
  <c r="L64" i="6"/>
  <c r="I64" i="6"/>
  <c r="F64" i="6"/>
  <c r="O63" i="6"/>
  <c r="L63" i="6"/>
  <c r="I63" i="6"/>
  <c r="F63" i="6"/>
  <c r="O62" i="6"/>
  <c r="L62" i="6"/>
  <c r="I62" i="6"/>
  <c r="F62" i="6"/>
  <c r="N61" i="6"/>
  <c r="M61" i="6"/>
  <c r="K61" i="6"/>
  <c r="J61" i="6"/>
  <c r="H61" i="6"/>
  <c r="H57" i="6" s="1"/>
  <c r="H56" i="6" s="1"/>
  <c r="G61" i="6"/>
  <c r="G57" i="6" s="1"/>
  <c r="E61" i="6"/>
  <c r="D61" i="6"/>
  <c r="O60" i="6"/>
  <c r="L60" i="6"/>
  <c r="I60" i="6"/>
  <c r="F60" i="6"/>
  <c r="O59" i="6"/>
  <c r="L59" i="6"/>
  <c r="I59" i="6"/>
  <c r="F59" i="6"/>
  <c r="N58" i="6"/>
  <c r="M58" i="6"/>
  <c r="M57" i="6" s="1"/>
  <c r="K58" i="6"/>
  <c r="J58" i="6"/>
  <c r="J57" i="6" s="1"/>
  <c r="I58" i="6"/>
  <c r="H58" i="6"/>
  <c r="G58" i="6"/>
  <c r="E58" i="6"/>
  <c r="E57" i="6" s="1"/>
  <c r="D58" i="6"/>
  <c r="K57" i="6"/>
  <c r="O50" i="6"/>
  <c r="C50" i="6" s="1"/>
  <c r="O49" i="6"/>
  <c r="C49" i="6" s="1"/>
  <c r="N48" i="6"/>
  <c r="M48" i="6"/>
  <c r="L47" i="6"/>
  <c r="I47" i="6"/>
  <c r="F47" i="6"/>
  <c r="K46" i="6"/>
  <c r="J46" i="6"/>
  <c r="H46" i="6"/>
  <c r="G46" i="6"/>
  <c r="E46" i="6"/>
  <c r="D46" i="6"/>
  <c r="F45" i="6"/>
  <c r="C45" i="6" s="1"/>
  <c r="L44" i="6"/>
  <c r="C44" i="6" s="1"/>
  <c r="L43" i="6"/>
  <c r="C43" i="6" s="1"/>
  <c r="L42" i="6"/>
  <c r="C42" i="6" s="1"/>
  <c r="L41" i="6"/>
  <c r="C41" i="6" s="1"/>
  <c r="K40" i="6"/>
  <c r="J40" i="6"/>
  <c r="L40" i="6" s="1"/>
  <c r="C40" i="6" s="1"/>
  <c r="L39" i="6"/>
  <c r="C39" i="6" s="1"/>
  <c r="L38" i="6"/>
  <c r="C38" i="6" s="1"/>
  <c r="K37" i="6"/>
  <c r="J37" i="6"/>
  <c r="L36" i="6"/>
  <c r="C36" i="6" s="1"/>
  <c r="K35" i="6"/>
  <c r="J35" i="6"/>
  <c r="L34" i="6"/>
  <c r="C34" i="6" s="1"/>
  <c r="L33" i="6"/>
  <c r="C33" i="6" s="1"/>
  <c r="L32" i="6"/>
  <c r="C32" i="6" s="1"/>
  <c r="K31" i="6"/>
  <c r="J31" i="6"/>
  <c r="F29" i="6"/>
  <c r="C29" i="6" s="1"/>
  <c r="F28" i="6"/>
  <c r="O27" i="6"/>
  <c r="L27" i="6"/>
  <c r="I27" i="6"/>
  <c r="F27" i="6"/>
  <c r="O26" i="6"/>
  <c r="L26" i="6"/>
  <c r="I26" i="6"/>
  <c r="F26" i="6"/>
  <c r="N25" i="6"/>
  <c r="N290" i="6" s="1"/>
  <c r="M25" i="6"/>
  <c r="M290" i="6" s="1"/>
  <c r="K25" i="6"/>
  <c r="K290" i="6" s="1"/>
  <c r="K289" i="6" s="1"/>
  <c r="J25" i="6"/>
  <c r="H25" i="6"/>
  <c r="H290" i="6" s="1"/>
  <c r="G25" i="6"/>
  <c r="G290" i="6" s="1"/>
  <c r="E25" i="6"/>
  <c r="D25" i="6"/>
  <c r="D290" i="6" s="1"/>
  <c r="O299" i="5"/>
  <c r="L299" i="5"/>
  <c r="I299" i="5"/>
  <c r="F299" i="5"/>
  <c r="C299" i="5" s="1"/>
  <c r="O298" i="5"/>
  <c r="L298" i="5"/>
  <c r="I298" i="5"/>
  <c r="F298" i="5"/>
  <c r="O297" i="5"/>
  <c r="L297" i="5"/>
  <c r="I297" i="5"/>
  <c r="F297" i="5"/>
  <c r="O296" i="5"/>
  <c r="L296" i="5"/>
  <c r="I296" i="5"/>
  <c r="F296" i="5"/>
  <c r="O295" i="5"/>
  <c r="L295" i="5"/>
  <c r="I295" i="5"/>
  <c r="F295" i="5"/>
  <c r="O294" i="5"/>
  <c r="L294" i="5"/>
  <c r="I294" i="5"/>
  <c r="F294" i="5"/>
  <c r="O293" i="5"/>
  <c r="L293" i="5"/>
  <c r="I293" i="5"/>
  <c r="F293" i="5"/>
  <c r="O292" i="5"/>
  <c r="L292" i="5"/>
  <c r="I292" i="5"/>
  <c r="F292" i="5"/>
  <c r="N291" i="5"/>
  <c r="M291" i="5"/>
  <c r="K291" i="5"/>
  <c r="J291" i="5"/>
  <c r="H291" i="5"/>
  <c r="G291" i="5"/>
  <c r="E291" i="5"/>
  <c r="D291" i="5"/>
  <c r="O286" i="5"/>
  <c r="L286" i="5"/>
  <c r="I286" i="5"/>
  <c r="F286" i="5"/>
  <c r="O285" i="5"/>
  <c r="L285" i="5"/>
  <c r="I285" i="5"/>
  <c r="F285" i="5"/>
  <c r="N284" i="5"/>
  <c r="M284" i="5"/>
  <c r="K284" i="5"/>
  <c r="J284" i="5"/>
  <c r="H284" i="5"/>
  <c r="G284" i="5"/>
  <c r="E284" i="5"/>
  <c r="D284" i="5"/>
  <c r="F284" i="5" s="1"/>
  <c r="O283" i="5"/>
  <c r="L283" i="5"/>
  <c r="I283" i="5"/>
  <c r="F283" i="5"/>
  <c r="C283" i="5" s="1"/>
  <c r="N282" i="5"/>
  <c r="M282" i="5"/>
  <c r="K282" i="5"/>
  <c r="L282" i="5" s="1"/>
  <c r="J282" i="5"/>
  <c r="H282" i="5"/>
  <c r="G282" i="5"/>
  <c r="E282" i="5"/>
  <c r="D282" i="5"/>
  <c r="O281" i="5"/>
  <c r="L281" i="5"/>
  <c r="I281" i="5"/>
  <c r="F281" i="5"/>
  <c r="O280" i="5"/>
  <c r="L280" i="5"/>
  <c r="I280" i="5"/>
  <c r="F280" i="5"/>
  <c r="O279" i="5"/>
  <c r="O278" i="5" s="1"/>
  <c r="L279" i="5"/>
  <c r="I279" i="5"/>
  <c r="F279" i="5"/>
  <c r="N278" i="5"/>
  <c r="M278" i="5"/>
  <c r="K278" i="5"/>
  <c r="J278" i="5"/>
  <c r="H278" i="5"/>
  <c r="G278" i="5"/>
  <c r="E278" i="5"/>
  <c r="E272" i="5" s="1"/>
  <c r="E271" i="5" s="1"/>
  <c r="D278" i="5"/>
  <c r="O277" i="5"/>
  <c r="L277" i="5"/>
  <c r="I277" i="5"/>
  <c r="F277" i="5"/>
  <c r="O276" i="5"/>
  <c r="L276" i="5"/>
  <c r="I276" i="5"/>
  <c r="F276" i="5"/>
  <c r="O275" i="5"/>
  <c r="L275" i="5"/>
  <c r="I275" i="5"/>
  <c r="F275" i="5"/>
  <c r="N274" i="5"/>
  <c r="N272" i="5" s="1"/>
  <c r="M274" i="5"/>
  <c r="L274" i="5"/>
  <c r="K274" i="5"/>
  <c r="J274" i="5"/>
  <c r="H274" i="5"/>
  <c r="G274" i="5"/>
  <c r="G272" i="5" s="1"/>
  <c r="G271" i="5" s="1"/>
  <c r="E274" i="5"/>
  <c r="D274" i="5"/>
  <c r="O273" i="5"/>
  <c r="L273" i="5"/>
  <c r="I273" i="5"/>
  <c r="F273" i="5"/>
  <c r="M272" i="5"/>
  <c r="M271" i="5" s="1"/>
  <c r="K272" i="5"/>
  <c r="K271" i="5" s="1"/>
  <c r="O270" i="5"/>
  <c r="L270" i="5"/>
  <c r="I270" i="5"/>
  <c r="F270" i="5"/>
  <c r="O269" i="5"/>
  <c r="L269" i="5"/>
  <c r="I269" i="5"/>
  <c r="F269" i="5"/>
  <c r="O268" i="5"/>
  <c r="L268" i="5"/>
  <c r="I268" i="5"/>
  <c r="F268" i="5"/>
  <c r="O267" i="5"/>
  <c r="L267" i="5"/>
  <c r="I267" i="5"/>
  <c r="F267" i="5"/>
  <c r="N266" i="5"/>
  <c r="M266" i="5"/>
  <c r="K266" i="5"/>
  <c r="J266" i="5"/>
  <c r="L266" i="5" s="1"/>
  <c r="H266" i="5"/>
  <c r="G266" i="5"/>
  <c r="E266" i="5"/>
  <c r="D266" i="5"/>
  <c r="F266" i="5" s="1"/>
  <c r="O265" i="5"/>
  <c r="L265" i="5"/>
  <c r="I265" i="5"/>
  <c r="F265" i="5"/>
  <c r="O264" i="5"/>
  <c r="L264" i="5"/>
  <c r="I264" i="5"/>
  <c r="F264" i="5"/>
  <c r="O263" i="5"/>
  <c r="L263" i="5"/>
  <c r="I263" i="5"/>
  <c r="F263" i="5"/>
  <c r="N262" i="5"/>
  <c r="N261" i="5" s="1"/>
  <c r="M262" i="5"/>
  <c r="K262" i="5"/>
  <c r="J262" i="5"/>
  <c r="H262" i="5"/>
  <c r="G262" i="5"/>
  <c r="G261" i="5" s="1"/>
  <c r="E262" i="5"/>
  <c r="D262" i="5"/>
  <c r="M261" i="5"/>
  <c r="K261" i="5"/>
  <c r="E261" i="5"/>
  <c r="O260" i="5"/>
  <c r="L260" i="5"/>
  <c r="I260" i="5"/>
  <c r="F260" i="5"/>
  <c r="O259" i="5"/>
  <c r="L259" i="5"/>
  <c r="I259" i="5"/>
  <c r="F259" i="5"/>
  <c r="O258" i="5"/>
  <c r="L258" i="5"/>
  <c r="I258" i="5"/>
  <c r="F258" i="5"/>
  <c r="O257" i="5"/>
  <c r="L257" i="5"/>
  <c r="I257" i="5"/>
  <c r="F257" i="5"/>
  <c r="O256" i="5"/>
  <c r="L256" i="5"/>
  <c r="I256" i="5"/>
  <c r="F256" i="5"/>
  <c r="N255" i="5"/>
  <c r="M255" i="5"/>
  <c r="K255" i="5"/>
  <c r="K254" i="5" s="1"/>
  <c r="J255" i="5"/>
  <c r="H255" i="5"/>
  <c r="G255" i="5"/>
  <c r="E255" i="5"/>
  <c r="E254" i="5" s="1"/>
  <c r="D255" i="5"/>
  <c r="N254" i="5"/>
  <c r="H254" i="5"/>
  <c r="O253" i="5"/>
  <c r="L253" i="5"/>
  <c r="I253" i="5"/>
  <c r="F253" i="5"/>
  <c r="O252" i="5"/>
  <c r="L252" i="5"/>
  <c r="I252" i="5"/>
  <c r="F252" i="5"/>
  <c r="O251" i="5"/>
  <c r="L251" i="5"/>
  <c r="I251" i="5"/>
  <c r="F251" i="5"/>
  <c r="C251" i="5" s="1"/>
  <c r="O250" i="5"/>
  <c r="L250" i="5"/>
  <c r="I250" i="5"/>
  <c r="F250" i="5"/>
  <c r="N249" i="5"/>
  <c r="M249" i="5"/>
  <c r="O249" i="5" s="1"/>
  <c r="K249" i="5"/>
  <c r="J249" i="5"/>
  <c r="H249" i="5"/>
  <c r="G249" i="5"/>
  <c r="E249" i="5"/>
  <c r="D249" i="5"/>
  <c r="O248" i="5"/>
  <c r="L248" i="5"/>
  <c r="I248" i="5"/>
  <c r="F248" i="5"/>
  <c r="O247" i="5"/>
  <c r="L247" i="5"/>
  <c r="I247" i="5"/>
  <c r="C247" i="5" s="1"/>
  <c r="F247" i="5"/>
  <c r="O246" i="5"/>
  <c r="L246" i="5"/>
  <c r="I246" i="5"/>
  <c r="F246" i="5"/>
  <c r="O245" i="5"/>
  <c r="L245" i="5"/>
  <c r="I245" i="5"/>
  <c r="F245" i="5"/>
  <c r="O244" i="5"/>
  <c r="L244" i="5"/>
  <c r="I244" i="5"/>
  <c r="F244" i="5"/>
  <c r="O243" i="5"/>
  <c r="L243" i="5"/>
  <c r="I243" i="5"/>
  <c r="F243" i="5"/>
  <c r="O242" i="5"/>
  <c r="L242" i="5"/>
  <c r="I242" i="5"/>
  <c r="F242" i="5"/>
  <c r="N241" i="5"/>
  <c r="M241" i="5"/>
  <c r="K241" i="5"/>
  <c r="K234" i="5" s="1"/>
  <c r="J241" i="5"/>
  <c r="H241" i="5"/>
  <c r="G241" i="5"/>
  <c r="I241" i="5" s="1"/>
  <c r="E241" i="5"/>
  <c r="D241" i="5"/>
  <c r="O240" i="5"/>
  <c r="L240" i="5"/>
  <c r="I240" i="5"/>
  <c r="F240" i="5"/>
  <c r="O239" i="5"/>
  <c r="L239" i="5"/>
  <c r="I239" i="5"/>
  <c r="F239" i="5"/>
  <c r="N238" i="5"/>
  <c r="M238" i="5"/>
  <c r="K238" i="5"/>
  <c r="J238" i="5"/>
  <c r="L238" i="5" s="1"/>
  <c r="H238" i="5"/>
  <c r="G238" i="5"/>
  <c r="E238" i="5"/>
  <c r="D238" i="5"/>
  <c r="F238" i="5" s="1"/>
  <c r="O237" i="5"/>
  <c r="L237" i="5"/>
  <c r="I237" i="5"/>
  <c r="F237" i="5"/>
  <c r="N236" i="5"/>
  <c r="M236" i="5"/>
  <c r="K236" i="5"/>
  <c r="J236" i="5"/>
  <c r="H236" i="5"/>
  <c r="H234" i="5" s="1"/>
  <c r="G236" i="5"/>
  <c r="E236" i="5"/>
  <c r="D236" i="5"/>
  <c r="F236" i="5" s="1"/>
  <c r="O235" i="5"/>
  <c r="L235" i="5"/>
  <c r="I235" i="5"/>
  <c r="F235" i="5"/>
  <c r="C235" i="5"/>
  <c r="O232" i="5"/>
  <c r="L232" i="5"/>
  <c r="I232" i="5"/>
  <c r="F232" i="5"/>
  <c r="O231" i="5"/>
  <c r="L231" i="5"/>
  <c r="I231" i="5"/>
  <c r="F231" i="5"/>
  <c r="N230" i="5"/>
  <c r="M230" i="5"/>
  <c r="M207" i="5" s="1"/>
  <c r="K230" i="5"/>
  <c r="J230" i="5"/>
  <c r="L230" i="5" s="1"/>
  <c r="H230" i="5"/>
  <c r="G230" i="5"/>
  <c r="E230" i="5"/>
  <c r="D230" i="5"/>
  <c r="O229" i="5"/>
  <c r="L229" i="5"/>
  <c r="I229" i="5"/>
  <c r="F229" i="5"/>
  <c r="O228" i="5"/>
  <c r="L228" i="5"/>
  <c r="I228" i="5"/>
  <c r="F228" i="5"/>
  <c r="O227" i="5"/>
  <c r="L227" i="5"/>
  <c r="I227" i="5"/>
  <c r="F227" i="5"/>
  <c r="O226" i="5"/>
  <c r="L226" i="5"/>
  <c r="I226" i="5"/>
  <c r="F226" i="5"/>
  <c r="O225" i="5"/>
  <c r="L225" i="5"/>
  <c r="I225" i="5"/>
  <c r="F225" i="5"/>
  <c r="O224" i="5"/>
  <c r="L224" i="5"/>
  <c r="I224" i="5"/>
  <c r="F224" i="5"/>
  <c r="O223" i="5"/>
  <c r="L223" i="5"/>
  <c r="I223" i="5"/>
  <c r="F223" i="5"/>
  <c r="C223" i="5"/>
  <c r="O222" i="5"/>
  <c r="L222" i="5"/>
  <c r="I222" i="5"/>
  <c r="F222" i="5"/>
  <c r="C222" i="5" s="1"/>
  <c r="O221" i="5"/>
  <c r="L221" i="5"/>
  <c r="I221" i="5"/>
  <c r="F221" i="5"/>
  <c r="O220" i="5"/>
  <c r="L220" i="5"/>
  <c r="I220" i="5"/>
  <c r="F220" i="5"/>
  <c r="N219" i="5"/>
  <c r="M219" i="5"/>
  <c r="O219" i="5" s="1"/>
  <c r="K219" i="5"/>
  <c r="J219" i="5"/>
  <c r="H219" i="5"/>
  <c r="G219" i="5"/>
  <c r="E219" i="5"/>
  <c r="D219" i="5"/>
  <c r="O218" i="5"/>
  <c r="L218" i="5"/>
  <c r="I218" i="5"/>
  <c r="F218" i="5"/>
  <c r="O217" i="5"/>
  <c r="L217" i="5"/>
  <c r="I217" i="5"/>
  <c r="F217" i="5"/>
  <c r="O216" i="5"/>
  <c r="L216" i="5"/>
  <c r="I216" i="5"/>
  <c r="F216" i="5"/>
  <c r="O215" i="5"/>
  <c r="L215" i="5"/>
  <c r="I215" i="5"/>
  <c r="F215" i="5"/>
  <c r="O214" i="5"/>
  <c r="L214" i="5"/>
  <c r="I214" i="5"/>
  <c r="F214" i="5"/>
  <c r="O213" i="5"/>
  <c r="L213" i="5"/>
  <c r="I213" i="5"/>
  <c r="F213" i="5"/>
  <c r="O212" i="5"/>
  <c r="L212" i="5"/>
  <c r="I212" i="5"/>
  <c r="F212" i="5"/>
  <c r="O211" i="5"/>
  <c r="L211" i="5"/>
  <c r="I211" i="5"/>
  <c r="F211" i="5"/>
  <c r="O210" i="5"/>
  <c r="L210" i="5"/>
  <c r="I210" i="5"/>
  <c r="F210" i="5"/>
  <c r="O209" i="5"/>
  <c r="L209" i="5"/>
  <c r="I209" i="5"/>
  <c r="F209" i="5"/>
  <c r="N208" i="5"/>
  <c r="M208" i="5"/>
  <c r="K208" i="5"/>
  <c r="J208" i="5"/>
  <c r="H208" i="5"/>
  <c r="G208" i="5"/>
  <c r="E208" i="5"/>
  <c r="E207" i="5" s="1"/>
  <c r="D208" i="5"/>
  <c r="F208" i="5" s="1"/>
  <c r="O206" i="5"/>
  <c r="L206" i="5"/>
  <c r="I206" i="5"/>
  <c r="F206" i="5"/>
  <c r="O205" i="5"/>
  <c r="L205" i="5"/>
  <c r="I205" i="5"/>
  <c r="F205" i="5"/>
  <c r="O204" i="5"/>
  <c r="L204" i="5"/>
  <c r="I204" i="5"/>
  <c r="F204" i="5"/>
  <c r="O203" i="5"/>
  <c r="L203" i="5"/>
  <c r="I203" i="5"/>
  <c r="F203" i="5"/>
  <c r="O202" i="5"/>
  <c r="L202" i="5"/>
  <c r="I202" i="5"/>
  <c r="F202" i="5"/>
  <c r="N201" i="5"/>
  <c r="M201" i="5"/>
  <c r="K201" i="5"/>
  <c r="J201" i="5"/>
  <c r="H201" i="5"/>
  <c r="H199" i="5" s="1"/>
  <c r="G201" i="5"/>
  <c r="E201" i="5"/>
  <c r="D201" i="5"/>
  <c r="O200" i="5"/>
  <c r="L200" i="5"/>
  <c r="I200" i="5"/>
  <c r="F200" i="5"/>
  <c r="N199" i="5"/>
  <c r="K199" i="5"/>
  <c r="J199" i="5"/>
  <c r="D199" i="5"/>
  <c r="O196" i="5"/>
  <c r="L196" i="5"/>
  <c r="I196" i="5"/>
  <c r="F196" i="5"/>
  <c r="N195" i="5"/>
  <c r="M195" i="5"/>
  <c r="K195" i="5"/>
  <c r="K194" i="5" s="1"/>
  <c r="J195" i="5"/>
  <c r="J194" i="5" s="1"/>
  <c r="J190" i="5" s="1"/>
  <c r="H195" i="5"/>
  <c r="H194" i="5" s="1"/>
  <c r="H190" i="5" s="1"/>
  <c r="G195" i="5"/>
  <c r="E195" i="5"/>
  <c r="D195" i="5"/>
  <c r="D194" i="5" s="1"/>
  <c r="N194" i="5"/>
  <c r="N190" i="5" s="1"/>
  <c r="M194" i="5"/>
  <c r="E194" i="5"/>
  <c r="O193" i="5"/>
  <c r="L193" i="5"/>
  <c r="I193" i="5"/>
  <c r="F193" i="5"/>
  <c r="O192" i="5"/>
  <c r="L192" i="5"/>
  <c r="I192" i="5"/>
  <c r="F192" i="5"/>
  <c r="N191" i="5"/>
  <c r="M191" i="5"/>
  <c r="O191" i="5" s="1"/>
  <c r="K191" i="5"/>
  <c r="K190" i="5" s="1"/>
  <c r="J191" i="5"/>
  <c r="H191" i="5"/>
  <c r="G191" i="5"/>
  <c r="I191" i="5" s="1"/>
  <c r="E191" i="5"/>
  <c r="E190" i="5" s="1"/>
  <c r="D191" i="5"/>
  <c r="O189" i="5"/>
  <c r="L189" i="5"/>
  <c r="I189" i="5"/>
  <c r="F189" i="5"/>
  <c r="O188" i="5"/>
  <c r="L188" i="5"/>
  <c r="I188" i="5"/>
  <c r="F188" i="5"/>
  <c r="N187" i="5"/>
  <c r="M187" i="5"/>
  <c r="O187" i="5" s="1"/>
  <c r="K187" i="5"/>
  <c r="J187" i="5"/>
  <c r="H187" i="5"/>
  <c r="G187" i="5"/>
  <c r="I187" i="5" s="1"/>
  <c r="E187" i="5"/>
  <c r="D187" i="5"/>
  <c r="O186" i="5"/>
  <c r="L186" i="5"/>
  <c r="I186" i="5"/>
  <c r="F186" i="5"/>
  <c r="O185" i="5"/>
  <c r="L185" i="5"/>
  <c r="I185" i="5"/>
  <c r="F185" i="5"/>
  <c r="O184" i="5"/>
  <c r="L184" i="5"/>
  <c r="I184" i="5"/>
  <c r="F184" i="5"/>
  <c r="O183" i="5"/>
  <c r="L183" i="5"/>
  <c r="I183" i="5"/>
  <c r="F183" i="5"/>
  <c r="C183" i="5" s="1"/>
  <c r="N182" i="5"/>
  <c r="M182" i="5"/>
  <c r="O182" i="5" s="1"/>
  <c r="K182" i="5"/>
  <c r="J182" i="5"/>
  <c r="L182" i="5" s="1"/>
  <c r="H182" i="5"/>
  <c r="G182" i="5"/>
  <c r="E182" i="5"/>
  <c r="D182" i="5"/>
  <c r="O181" i="5"/>
  <c r="L181" i="5"/>
  <c r="I181" i="5"/>
  <c r="F181" i="5"/>
  <c r="O180" i="5"/>
  <c r="L180" i="5"/>
  <c r="I180" i="5"/>
  <c r="F180" i="5"/>
  <c r="O179" i="5"/>
  <c r="L179" i="5"/>
  <c r="I179" i="5"/>
  <c r="F179" i="5"/>
  <c r="O178" i="5"/>
  <c r="N178" i="5"/>
  <c r="M178" i="5"/>
  <c r="K178" i="5"/>
  <c r="K177" i="5" s="1"/>
  <c r="J178" i="5"/>
  <c r="J177" i="5" s="1"/>
  <c r="H178" i="5"/>
  <c r="G178" i="5"/>
  <c r="E178" i="5"/>
  <c r="E177" i="5" s="1"/>
  <c r="D178" i="5"/>
  <c r="O175" i="5"/>
  <c r="L175" i="5"/>
  <c r="I175" i="5"/>
  <c r="F175" i="5"/>
  <c r="O174" i="5"/>
  <c r="L174" i="5"/>
  <c r="I174" i="5"/>
  <c r="F174" i="5"/>
  <c r="O173" i="5"/>
  <c r="L173" i="5"/>
  <c r="I173" i="5"/>
  <c r="F173" i="5"/>
  <c r="O172" i="5"/>
  <c r="L172" i="5"/>
  <c r="I172" i="5"/>
  <c r="F172" i="5"/>
  <c r="O171" i="5"/>
  <c r="L171" i="5"/>
  <c r="I171" i="5"/>
  <c r="F171" i="5"/>
  <c r="O170" i="5"/>
  <c r="L170" i="5"/>
  <c r="I170" i="5"/>
  <c r="F170" i="5"/>
  <c r="N169" i="5"/>
  <c r="M169" i="5"/>
  <c r="K169" i="5"/>
  <c r="J169" i="5"/>
  <c r="H169" i="5"/>
  <c r="H168" i="5" s="1"/>
  <c r="G169" i="5"/>
  <c r="E169" i="5"/>
  <c r="E168" i="5" s="1"/>
  <c r="D169" i="5"/>
  <c r="D168" i="5" s="1"/>
  <c r="F168" i="5" s="1"/>
  <c r="N168" i="5"/>
  <c r="K168" i="5"/>
  <c r="J168" i="5"/>
  <c r="L168" i="5" s="1"/>
  <c r="G168" i="5"/>
  <c r="O167" i="5"/>
  <c r="L167" i="5"/>
  <c r="I167" i="5"/>
  <c r="F167" i="5"/>
  <c r="O166" i="5"/>
  <c r="L166" i="5"/>
  <c r="I166" i="5"/>
  <c r="F166" i="5"/>
  <c r="O165" i="5"/>
  <c r="L165" i="5"/>
  <c r="I165" i="5"/>
  <c r="F165" i="5"/>
  <c r="O164" i="5"/>
  <c r="L164" i="5"/>
  <c r="I164" i="5"/>
  <c r="F164" i="5"/>
  <c r="N163" i="5"/>
  <c r="M163" i="5"/>
  <c r="K163" i="5"/>
  <c r="J163" i="5"/>
  <c r="H163" i="5"/>
  <c r="G163" i="5"/>
  <c r="E163" i="5"/>
  <c r="D163" i="5"/>
  <c r="F163" i="5" s="1"/>
  <c r="O162" i="5"/>
  <c r="L162" i="5"/>
  <c r="I162" i="5"/>
  <c r="F162" i="5"/>
  <c r="O161" i="5"/>
  <c r="L161" i="5"/>
  <c r="I161" i="5"/>
  <c r="F161" i="5"/>
  <c r="O160" i="5"/>
  <c r="L160" i="5"/>
  <c r="I160" i="5"/>
  <c r="F160" i="5"/>
  <c r="O159" i="5"/>
  <c r="L159" i="5"/>
  <c r="I159" i="5"/>
  <c r="F159" i="5"/>
  <c r="C159" i="5" s="1"/>
  <c r="O158" i="5"/>
  <c r="L158" i="5"/>
  <c r="I158" i="5"/>
  <c r="F158" i="5"/>
  <c r="O157" i="5"/>
  <c r="L157" i="5"/>
  <c r="I157" i="5"/>
  <c r="F157" i="5"/>
  <c r="O156" i="5"/>
  <c r="L156" i="5"/>
  <c r="I156" i="5"/>
  <c r="F156" i="5"/>
  <c r="O155" i="5"/>
  <c r="L155" i="5"/>
  <c r="I155" i="5"/>
  <c r="F155" i="5"/>
  <c r="N154" i="5"/>
  <c r="M154" i="5"/>
  <c r="O154" i="5" s="1"/>
  <c r="K154" i="5"/>
  <c r="J154" i="5"/>
  <c r="H154" i="5"/>
  <c r="G154" i="5"/>
  <c r="E154" i="5"/>
  <c r="D154" i="5"/>
  <c r="O153" i="5"/>
  <c r="L153" i="5"/>
  <c r="I153" i="5"/>
  <c r="F153" i="5"/>
  <c r="O152" i="5"/>
  <c r="L152" i="5"/>
  <c r="I152" i="5"/>
  <c r="F152" i="5"/>
  <c r="O151" i="5"/>
  <c r="L151" i="5"/>
  <c r="I151" i="5"/>
  <c r="F151" i="5"/>
  <c r="C151" i="5" s="1"/>
  <c r="O150" i="5"/>
  <c r="L150" i="5"/>
  <c r="I150" i="5"/>
  <c r="F150" i="5"/>
  <c r="O149" i="5"/>
  <c r="L149" i="5"/>
  <c r="I149" i="5"/>
  <c r="F149" i="5"/>
  <c r="O148" i="5"/>
  <c r="L148" i="5"/>
  <c r="I148" i="5"/>
  <c r="F148" i="5"/>
  <c r="N147" i="5"/>
  <c r="M147" i="5"/>
  <c r="O147" i="5" s="1"/>
  <c r="K147" i="5"/>
  <c r="J147" i="5"/>
  <c r="H147" i="5"/>
  <c r="G147" i="5"/>
  <c r="I147" i="5" s="1"/>
  <c r="E147" i="5"/>
  <c r="D147" i="5"/>
  <c r="F147" i="5" s="1"/>
  <c r="O146" i="5"/>
  <c r="L146" i="5"/>
  <c r="I146" i="5"/>
  <c r="F146" i="5"/>
  <c r="O145" i="5"/>
  <c r="L145" i="5"/>
  <c r="I145" i="5"/>
  <c r="F145" i="5"/>
  <c r="N144" i="5"/>
  <c r="M144" i="5"/>
  <c r="K144" i="5"/>
  <c r="J144" i="5"/>
  <c r="L144" i="5" s="1"/>
  <c r="H144" i="5"/>
  <c r="I144" i="5" s="1"/>
  <c r="G144" i="5"/>
  <c r="E144" i="5"/>
  <c r="D144" i="5"/>
  <c r="F144" i="5" s="1"/>
  <c r="O143" i="5"/>
  <c r="L143" i="5"/>
  <c r="I143" i="5"/>
  <c r="F143" i="5"/>
  <c r="O142" i="5"/>
  <c r="L142" i="5"/>
  <c r="I142" i="5"/>
  <c r="F142" i="5"/>
  <c r="O141" i="5"/>
  <c r="L141" i="5"/>
  <c r="I141" i="5"/>
  <c r="F141" i="5"/>
  <c r="O140" i="5"/>
  <c r="L140" i="5"/>
  <c r="I140" i="5"/>
  <c r="F140" i="5"/>
  <c r="N139" i="5"/>
  <c r="M139" i="5"/>
  <c r="K139" i="5"/>
  <c r="J139" i="5"/>
  <c r="H139" i="5"/>
  <c r="G139" i="5"/>
  <c r="E139" i="5"/>
  <c r="D139" i="5"/>
  <c r="F139" i="5" s="1"/>
  <c r="O138" i="5"/>
  <c r="L138" i="5"/>
  <c r="I138" i="5"/>
  <c r="F138" i="5"/>
  <c r="O137" i="5"/>
  <c r="L137" i="5"/>
  <c r="I137" i="5"/>
  <c r="F137" i="5"/>
  <c r="O136" i="5"/>
  <c r="L136" i="5"/>
  <c r="I136" i="5"/>
  <c r="F136" i="5"/>
  <c r="O135" i="5"/>
  <c r="L135" i="5"/>
  <c r="I135" i="5"/>
  <c r="F135" i="5"/>
  <c r="C135" i="5"/>
  <c r="N134" i="5"/>
  <c r="M134" i="5"/>
  <c r="O134" i="5" s="1"/>
  <c r="K134" i="5"/>
  <c r="L134" i="5" s="1"/>
  <c r="J134" i="5"/>
  <c r="H134" i="5"/>
  <c r="G134" i="5"/>
  <c r="E134" i="5"/>
  <c r="E133" i="5" s="1"/>
  <c r="D134" i="5"/>
  <c r="O132" i="5"/>
  <c r="L132" i="5"/>
  <c r="I132" i="5"/>
  <c r="F132" i="5"/>
  <c r="N131" i="5"/>
  <c r="M131" i="5"/>
  <c r="O131" i="5" s="1"/>
  <c r="K131" i="5"/>
  <c r="J131" i="5"/>
  <c r="H131" i="5"/>
  <c r="G131" i="5"/>
  <c r="I131" i="5" s="1"/>
  <c r="E131" i="5"/>
  <c r="D131" i="5"/>
  <c r="F131" i="5" s="1"/>
  <c r="O130" i="5"/>
  <c r="L130" i="5"/>
  <c r="I130" i="5"/>
  <c r="F130" i="5"/>
  <c r="O129" i="5"/>
  <c r="L129" i="5"/>
  <c r="I129" i="5"/>
  <c r="F129" i="5"/>
  <c r="O128" i="5"/>
  <c r="L128" i="5"/>
  <c r="I128" i="5"/>
  <c r="F128" i="5"/>
  <c r="O127" i="5"/>
  <c r="L127" i="5"/>
  <c r="I127" i="5"/>
  <c r="F127" i="5"/>
  <c r="O126" i="5"/>
  <c r="L126" i="5"/>
  <c r="I126" i="5"/>
  <c r="F126" i="5"/>
  <c r="N125" i="5"/>
  <c r="M125" i="5"/>
  <c r="K125" i="5"/>
  <c r="J125" i="5"/>
  <c r="L125" i="5" s="1"/>
  <c r="H125" i="5"/>
  <c r="G125" i="5"/>
  <c r="E125" i="5"/>
  <c r="D125" i="5"/>
  <c r="O124" i="5"/>
  <c r="L124" i="5"/>
  <c r="I124" i="5"/>
  <c r="F124" i="5"/>
  <c r="O123" i="5"/>
  <c r="L123" i="5"/>
  <c r="I123" i="5"/>
  <c r="F123" i="5"/>
  <c r="O122" i="5"/>
  <c r="L122" i="5"/>
  <c r="I122" i="5"/>
  <c r="F122" i="5"/>
  <c r="O121" i="5"/>
  <c r="L121" i="5"/>
  <c r="I121" i="5"/>
  <c r="F121" i="5"/>
  <c r="O120" i="5"/>
  <c r="L120" i="5"/>
  <c r="I120" i="5"/>
  <c r="F120" i="5"/>
  <c r="N119" i="5"/>
  <c r="O119" i="5" s="1"/>
  <c r="M119" i="5"/>
  <c r="K119" i="5"/>
  <c r="J119" i="5"/>
  <c r="H119" i="5"/>
  <c r="G119" i="5"/>
  <c r="E119" i="5"/>
  <c r="D119" i="5"/>
  <c r="F119" i="5" s="1"/>
  <c r="O118" i="5"/>
  <c r="L118" i="5"/>
  <c r="I118" i="5"/>
  <c r="F118" i="5"/>
  <c r="O117" i="5"/>
  <c r="L117" i="5"/>
  <c r="I117" i="5"/>
  <c r="F117" i="5"/>
  <c r="O116" i="5"/>
  <c r="L116" i="5"/>
  <c r="I116" i="5"/>
  <c r="F116" i="5"/>
  <c r="N115" i="5"/>
  <c r="M115" i="5"/>
  <c r="K115" i="5"/>
  <c r="J115" i="5"/>
  <c r="H115" i="5"/>
  <c r="G115" i="5"/>
  <c r="E115" i="5"/>
  <c r="D115" i="5"/>
  <c r="F115" i="5" s="1"/>
  <c r="O114" i="5"/>
  <c r="L114" i="5"/>
  <c r="I114" i="5"/>
  <c r="F114" i="5"/>
  <c r="O113" i="5"/>
  <c r="L113" i="5"/>
  <c r="I113" i="5"/>
  <c r="F113" i="5"/>
  <c r="O112" i="5"/>
  <c r="L112" i="5"/>
  <c r="I112" i="5"/>
  <c r="F112" i="5"/>
  <c r="O111" i="5"/>
  <c r="L111" i="5"/>
  <c r="I111" i="5"/>
  <c r="F111" i="5"/>
  <c r="O110" i="5"/>
  <c r="L110" i="5"/>
  <c r="I110" i="5"/>
  <c r="F110" i="5"/>
  <c r="O109" i="5"/>
  <c r="L109" i="5"/>
  <c r="I109" i="5"/>
  <c r="F109" i="5"/>
  <c r="O108" i="5"/>
  <c r="L108" i="5"/>
  <c r="I108" i="5"/>
  <c r="F108" i="5"/>
  <c r="O107" i="5"/>
  <c r="L107" i="5"/>
  <c r="I107" i="5"/>
  <c r="F107" i="5"/>
  <c r="N106" i="5"/>
  <c r="M106" i="5"/>
  <c r="O106" i="5" s="1"/>
  <c r="K106" i="5"/>
  <c r="L106" i="5" s="1"/>
  <c r="J106" i="5"/>
  <c r="H106" i="5"/>
  <c r="G106" i="5"/>
  <c r="I106" i="5" s="1"/>
  <c r="E106" i="5"/>
  <c r="D106" i="5"/>
  <c r="O105" i="5"/>
  <c r="L105" i="5"/>
  <c r="I105" i="5"/>
  <c r="F105" i="5"/>
  <c r="O104" i="5"/>
  <c r="L104" i="5"/>
  <c r="I104" i="5"/>
  <c r="F104" i="5"/>
  <c r="O103" i="5"/>
  <c r="L103" i="5"/>
  <c r="I103" i="5"/>
  <c r="F103" i="5"/>
  <c r="O102" i="5"/>
  <c r="L102" i="5"/>
  <c r="I102" i="5"/>
  <c r="F102" i="5"/>
  <c r="O101" i="5"/>
  <c r="L101" i="5"/>
  <c r="I101" i="5"/>
  <c r="F101" i="5"/>
  <c r="O100" i="5"/>
  <c r="L100" i="5"/>
  <c r="I100" i="5"/>
  <c r="F100" i="5"/>
  <c r="O99" i="5"/>
  <c r="L99" i="5"/>
  <c r="I99" i="5"/>
  <c r="F99" i="5"/>
  <c r="C99" i="5" s="1"/>
  <c r="N98" i="5"/>
  <c r="M98" i="5"/>
  <c r="K98" i="5"/>
  <c r="L98" i="5" s="1"/>
  <c r="J98" i="5"/>
  <c r="H98" i="5"/>
  <c r="G98" i="5"/>
  <c r="E98" i="5"/>
  <c r="D98" i="5"/>
  <c r="O97" i="5"/>
  <c r="L97" i="5"/>
  <c r="I97" i="5"/>
  <c r="F97" i="5"/>
  <c r="O96" i="5"/>
  <c r="L96" i="5"/>
  <c r="I96" i="5"/>
  <c r="F96" i="5"/>
  <c r="O95" i="5"/>
  <c r="L95" i="5"/>
  <c r="I95" i="5"/>
  <c r="F95" i="5"/>
  <c r="O94" i="5"/>
  <c r="L94" i="5"/>
  <c r="I94" i="5"/>
  <c r="F94" i="5"/>
  <c r="O93" i="5"/>
  <c r="L93" i="5"/>
  <c r="I93" i="5"/>
  <c r="F93" i="5"/>
  <c r="N92" i="5"/>
  <c r="M92" i="5"/>
  <c r="O92" i="5" s="1"/>
  <c r="K92" i="5"/>
  <c r="J92" i="5"/>
  <c r="H92" i="5"/>
  <c r="G92" i="5"/>
  <c r="I92" i="5" s="1"/>
  <c r="E92" i="5"/>
  <c r="D92" i="5"/>
  <c r="O91" i="5"/>
  <c r="L91" i="5"/>
  <c r="C91" i="5" s="1"/>
  <c r="I91" i="5"/>
  <c r="F91" i="5"/>
  <c r="O90" i="5"/>
  <c r="L90" i="5"/>
  <c r="I90" i="5"/>
  <c r="F90" i="5"/>
  <c r="O89" i="5"/>
  <c r="L89" i="5"/>
  <c r="I89" i="5"/>
  <c r="F89" i="5"/>
  <c r="O88" i="5"/>
  <c r="L88" i="5"/>
  <c r="I88" i="5"/>
  <c r="F88" i="5"/>
  <c r="N87" i="5"/>
  <c r="M87" i="5"/>
  <c r="K87" i="5"/>
  <c r="J87" i="5"/>
  <c r="H87" i="5"/>
  <c r="G87" i="5"/>
  <c r="E87" i="5"/>
  <c r="D87" i="5"/>
  <c r="O85" i="5"/>
  <c r="L85" i="5"/>
  <c r="I85" i="5"/>
  <c r="F85" i="5"/>
  <c r="O84" i="5"/>
  <c r="L84" i="5"/>
  <c r="I84" i="5"/>
  <c r="F84" i="5"/>
  <c r="N83" i="5"/>
  <c r="M83" i="5"/>
  <c r="K83" i="5"/>
  <c r="J83" i="5"/>
  <c r="H83" i="5"/>
  <c r="G83" i="5"/>
  <c r="E83" i="5"/>
  <c r="D83" i="5"/>
  <c r="F83" i="5" s="1"/>
  <c r="O82" i="5"/>
  <c r="L82" i="5"/>
  <c r="I82" i="5"/>
  <c r="F82" i="5"/>
  <c r="O81" i="5"/>
  <c r="L81" i="5"/>
  <c r="I81" i="5"/>
  <c r="F81" i="5"/>
  <c r="N80" i="5"/>
  <c r="M80" i="5"/>
  <c r="K80" i="5"/>
  <c r="J80" i="5"/>
  <c r="H80" i="5"/>
  <c r="H79" i="5" s="1"/>
  <c r="G80" i="5"/>
  <c r="E80" i="5"/>
  <c r="D80" i="5"/>
  <c r="M79" i="5"/>
  <c r="K79" i="5"/>
  <c r="D79" i="5"/>
  <c r="O77" i="5"/>
  <c r="L77" i="5"/>
  <c r="I77" i="5"/>
  <c r="F77" i="5"/>
  <c r="O76" i="5"/>
  <c r="L76" i="5"/>
  <c r="I76" i="5"/>
  <c r="F76" i="5"/>
  <c r="O75" i="5"/>
  <c r="L75" i="5"/>
  <c r="I75" i="5"/>
  <c r="F75" i="5"/>
  <c r="O74" i="5"/>
  <c r="L74" i="5"/>
  <c r="I74" i="5"/>
  <c r="F74" i="5"/>
  <c r="O73" i="5"/>
  <c r="L73" i="5"/>
  <c r="I73" i="5"/>
  <c r="F73" i="5"/>
  <c r="N72" i="5"/>
  <c r="N70" i="5" s="1"/>
  <c r="M72" i="5"/>
  <c r="K72" i="5"/>
  <c r="K70" i="5" s="1"/>
  <c r="J72" i="5"/>
  <c r="H72" i="5"/>
  <c r="I72" i="5" s="1"/>
  <c r="G72" i="5"/>
  <c r="E72" i="5"/>
  <c r="E70" i="5" s="1"/>
  <c r="D72" i="5"/>
  <c r="F72" i="5" s="1"/>
  <c r="O71" i="5"/>
  <c r="L71" i="5"/>
  <c r="I71" i="5"/>
  <c r="F71" i="5"/>
  <c r="H70" i="5"/>
  <c r="G70" i="5"/>
  <c r="O69" i="5"/>
  <c r="L69" i="5"/>
  <c r="I69" i="5"/>
  <c r="F69" i="5"/>
  <c r="O68" i="5"/>
  <c r="L68" i="5"/>
  <c r="I68" i="5"/>
  <c r="F68" i="5"/>
  <c r="O67" i="5"/>
  <c r="L67" i="5"/>
  <c r="I67" i="5"/>
  <c r="F67" i="5"/>
  <c r="O66" i="5"/>
  <c r="L66" i="5"/>
  <c r="I66" i="5"/>
  <c r="F66" i="5"/>
  <c r="O65" i="5"/>
  <c r="L65" i="5"/>
  <c r="I65" i="5"/>
  <c r="F65" i="5"/>
  <c r="O64" i="5"/>
  <c r="L64" i="5"/>
  <c r="I64" i="5"/>
  <c r="F64" i="5"/>
  <c r="O63" i="5"/>
  <c r="L63" i="5"/>
  <c r="I63" i="5"/>
  <c r="F63" i="5"/>
  <c r="O62" i="5"/>
  <c r="L62" i="5"/>
  <c r="I62" i="5"/>
  <c r="F62" i="5"/>
  <c r="N61" i="5"/>
  <c r="M61" i="5"/>
  <c r="K61" i="5"/>
  <c r="J61" i="5"/>
  <c r="H61" i="5"/>
  <c r="G61" i="5"/>
  <c r="I61" i="5" s="1"/>
  <c r="E61" i="5"/>
  <c r="D61" i="5"/>
  <c r="F61" i="5" s="1"/>
  <c r="O60" i="5"/>
  <c r="L60" i="5"/>
  <c r="I60" i="5"/>
  <c r="F60" i="5"/>
  <c r="O59" i="5"/>
  <c r="L59" i="5"/>
  <c r="I59" i="5"/>
  <c r="F59" i="5"/>
  <c r="N58" i="5"/>
  <c r="M58" i="5"/>
  <c r="M57" i="5" s="1"/>
  <c r="K58" i="5"/>
  <c r="J58" i="5"/>
  <c r="H58" i="5"/>
  <c r="H57" i="5" s="1"/>
  <c r="G58" i="5"/>
  <c r="E58" i="5"/>
  <c r="E57" i="5" s="1"/>
  <c r="E56" i="5" s="1"/>
  <c r="D58" i="5"/>
  <c r="O50" i="5"/>
  <c r="C50" i="5" s="1"/>
  <c r="O49" i="5"/>
  <c r="C49" i="5" s="1"/>
  <c r="N48" i="5"/>
  <c r="M48" i="5"/>
  <c r="L47" i="5"/>
  <c r="I47" i="5"/>
  <c r="F47" i="5"/>
  <c r="K46" i="5"/>
  <c r="J46" i="5"/>
  <c r="L46" i="5" s="1"/>
  <c r="H46" i="5"/>
  <c r="G46" i="5"/>
  <c r="E46" i="5"/>
  <c r="D46" i="5"/>
  <c r="F45" i="5"/>
  <c r="C45" i="5" s="1"/>
  <c r="L44" i="5"/>
  <c r="C44" i="5"/>
  <c r="L43" i="5"/>
  <c r="C43" i="5" s="1"/>
  <c r="L42" i="5"/>
  <c r="C42" i="5"/>
  <c r="L41" i="5"/>
  <c r="C41" i="5" s="1"/>
  <c r="K40" i="5"/>
  <c r="J40" i="5"/>
  <c r="L40" i="5" s="1"/>
  <c r="C40" i="5" s="1"/>
  <c r="L39" i="5"/>
  <c r="C39" i="5" s="1"/>
  <c r="L38" i="5"/>
  <c r="C38" i="5"/>
  <c r="K37" i="5"/>
  <c r="J37" i="5"/>
  <c r="L36" i="5"/>
  <c r="C36" i="5"/>
  <c r="K35" i="5"/>
  <c r="J35" i="5"/>
  <c r="L34" i="5"/>
  <c r="C34" i="5"/>
  <c r="L33" i="5"/>
  <c r="C33" i="5" s="1"/>
  <c r="L32" i="5"/>
  <c r="C32" i="5"/>
  <c r="K31" i="5"/>
  <c r="J31" i="5"/>
  <c r="L31" i="5" s="1"/>
  <c r="C31" i="5" s="1"/>
  <c r="K30" i="5"/>
  <c r="F29" i="5"/>
  <c r="C29" i="5" s="1"/>
  <c r="I28" i="5"/>
  <c r="F28" i="5"/>
  <c r="C28" i="5" s="1"/>
  <c r="O27" i="5"/>
  <c r="L27" i="5"/>
  <c r="I27" i="5"/>
  <c r="F27" i="5"/>
  <c r="O26" i="5"/>
  <c r="L26" i="5"/>
  <c r="I26" i="5"/>
  <c r="F26" i="5"/>
  <c r="N25" i="5"/>
  <c r="N290" i="5" s="1"/>
  <c r="N289" i="5" s="1"/>
  <c r="M25" i="5"/>
  <c r="M290" i="5" s="1"/>
  <c r="K25" i="5"/>
  <c r="K290" i="5" s="1"/>
  <c r="K289" i="5" s="1"/>
  <c r="J25" i="5"/>
  <c r="I25" i="5"/>
  <c r="H25" i="5"/>
  <c r="H290" i="5" s="1"/>
  <c r="H289" i="5" s="1"/>
  <c r="G25" i="5"/>
  <c r="G290" i="5" s="1"/>
  <c r="E25" i="5"/>
  <c r="E290" i="5" s="1"/>
  <c r="E289" i="5" s="1"/>
  <c r="D25" i="5"/>
  <c r="D290" i="5" s="1"/>
  <c r="C81" i="6" l="1"/>
  <c r="L83" i="6"/>
  <c r="O119" i="6"/>
  <c r="I182" i="6"/>
  <c r="E190" i="6"/>
  <c r="C220" i="6"/>
  <c r="L230" i="6"/>
  <c r="O282" i="6"/>
  <c r="L87" i="6"/>
  <c r="O139" i="6"/>
  <c r="I144" i="6"/>
  <c r="F187" i="6"/>
  <c r="O230" i="6"/>
  <c r="F238" i="6"/>
  <c r="F266" i="6"/>
  <c r="C285" i="6"/>
  <c r="I46" i="6"/>
  <c r="C47" i="6"/>
  <c r="C73" i="6"/>
  <c r="I98" i="6"/>
  <c r="I106" i="6"/>
  <c r="L125" i="6"/>
  <c r="L139" i="6"/>
  <c r="L144" i="6"/>
  <c r="F147" i="6"/>
  <c r="I168" i="6"/>
  <c r="D207" i="6"/>
  <c r="J207" i="6"/>
  <c r="C212" i="6"/>
  <c r="H207" i="6"/>
  <c r="E234" i="6"/>
  <c r="C239" i="6"/>
  <c r="F241" i="6"/>
  <c r="L241" i="6"/>
  <c r="C247" i="6"/>
  <c r="C273" i="6"/>
  <c r="H289" i="6"/>
  <c r="N289" i="6"/>
  <c r="L31" i="6"/>
  <c r="C31" i="6" s="1"/>
  <c r="F58" i="6"/>
  <c r="C59" i="6"/>
  <c r="C60" i="6"/>
  <c r="L61" i="6"/>
  <c r="C65" i="6"/>
  <c r="L72" i="6"/>
  <c r="C89" i="6"/>
  <c r="C96" i="6"/>
  <c r="F98" i="6"/>
  <c r="C128" i="6"/>
  <c r="C135" i="6"/>
  <c r="C138" i="6"/>
  <c r="C140" i="6"/>
  <c r="O147" i="6"/>
  <c r="C180" i="6"/>
  <c r="C181" i="6"/>
  <c r="N177" i="6"/>
  <c r="N176" i="6" s="1"/>
  <c r="L191" i="6"/>
  <c r="C196" i="6"/>
  <c r="F201" i="6"/>
  <c r="C216" i="6"/>
  <c r="F219" i="6"/>
  <c r="C224" i="6"/>
  <c r="N234" i="6"/>
  <c r="C243" i="6"/>
  <c r="C244" i="6"/>
  <c r="C245" i="6"/>
  <c r="C246" i="6"/>
  <c r="F274" i="6"/>
  <c r="I282" i="6"/>
  <c r="C293" i="6"/>
  <c r="L37" i="6"/>
  <c r="C37" i="6" s="1"/>
  <c r="K56" i="6"/>
  <c r="C66" i="6"/>
  <c r="C91" i="6"/>
  <c r="C93" i="6"/>
  <c r="L98" i="6"/>
  <c r="C108" i="6"/>
  <c r="C114" i="6"/>
  <c r="C130" i="6"/>
  <c r="C132" i="6"/>
  <c r="L134" i="6"/>
  <c r="C146" i="6"/>
  <c r="L147" i="6"/>
  <c r="C148" i="6"/>
  <c r="C150" i="6"/>
  <c r="I169" i="6"/>
  <c r="L178" i="6"/>
  <c r="K190" i="6"/>
  <c r="G190" i="6"/>
  <c r="I190" i="6" s="1"/>
  <c r="L195" i="6"/>
  <c r="C204" i="6"/>
  <c r="C206" i="6"/>
  <c r="M207" i="6"/>
  <c r="C231" i="6"/>
  <c r="C235" i="6"/>
  <c r="I241" i="6"/>
  <c r="C241" i="6" s="1"/>
  <c r="F249" i="6"/>
  <c r="C277" i="6"/>
  <c r="C286" i="6"/>
  <c r="M261" i="6"/>
  <c r="L46" i="6"/>
  <c r="O61" i="6"/>
  <c r="L70" i="6"/>
  <c r="E79" i="6"/>
  <c r="K79" i="6"/>
  <c r="L79" i="6" s="1"/>
  <c r="F83" i="6"/>
  <c r="O87" i="6"/>
  <c r="C101" i="6"/>
  <c r="C105" i="6"/>
  <c r="E86" i="6"/>
  <c r="C120" i="6"/>
  <c r="C121" i="6"/>
  <c r="F125" i="6"/>
  <c r="O125" i="6"/>
  <c r="G133" i="6"/>
  <c r="C152" i="6"/>
  <c r="L154" i="6"/>
  <c r="C162" i="6"/>
  <c r="F163" i="6"/>
  <c r="F168" i="6"/>
  <c r="C188" i="6"/>
  <c r="C189" i="6"/>
  <c r="C192" i="6"/>
  <c r="I199" i="6"/>
  <c r="O201" i="6"/>
  <c r="I219" i="6"/>
  <c r="O241" i="6"/>
  <c r="C251" i="6"/>
  <c r="C252" i="6"/>
  <c r="C253" i="6"/>
  <c r="I291" i="6"/>
  <c r="L199" i="7"/>
  <c r="N290" i="7"/>
  <c r="N289" i="7" s="1"/>
  <c r="F46" i="7"/>
  <c r="L46" i="7"/>
  <c r="C66" i="7"/>
  <c r="I72" i="7"/>
  <c r="F83" i="7"/>
  <c r="F87" i="7"/>
  <c r="C90" i="7"/>
  <c r="K86" i="7"/>
  <c r="F106" i="7"/>
  <c r="L106" i="7"/>
  <c r="C110" i="7"/>
  <c r="I125" i="7"/>
  <c r="O125" i="7"/>
  <c r="F131" i="7"/>
  <c r="C135" i="7"/>
  <c r="O154" i="7"/>
  <c r="O163" i="7"/>
  <c r="C181" i="7"/>
  <c r="E177" i="7"/>
  <c r="E176" i="7" s="1"/>
  <c r="K177" i="7"/>
  <c r="K176" i="7" s="1"/>
  <c r="H190" i="7"/>
  <c r="J190" i="7"/>
  <c r="C203" i="7"/>
  <c r="C209" i="7"/>
  <c r="C227" i="7"/>
  <c r="C228" i="7"/>
  <c r="L230" i="7"/>
  <c r="C231" i="7"/>
  <c r="F236" i="7"/>
  <c r="L238" i="7"/>
  <c r="C239" i="7"/>
  <c r="C243" i="7"/>
  <c r="C244" i="7"/>
  <c r="C246" i="7"/>
  <c r="I249" i="7"/>
  <c r="C263" i="7"/>
  <c r="C265" i="7"/>
  <c r="I274" i="7"/>
  <c r="I278" i="7"/>
  <c r="C294" i="7"/>
  <c r="M190" i="7"/>
  <c r="L40" i="7"/>
  <c r="C40" i="7" s="1"/>
  <c r="C74" i="7"/>
  <c r="C93" i="7"/>
  <c r="C94" i="7"/>
  <c r="C116" i="7"/>
  <c r="C151" i="7"/>
  <c r="C152" i="7"/>
  <c r="F154" i="7"/>
  <c r="L154" i="7"/>
  <c r="C164" i="7"/>
  <c r="C166" i="7"/>
  <c r="C175" i="7"/>
  <c r="G199" i="7"/>
  <c r="G198" i="7" s="1"/>
  <c r="C200" i="7"/>
  <c r="C225" i="7"/>
  <c r="C235" i="7"/>
  <c r="K234" i="7"/>
  <c r="C258" i="7"/>
  <c r="C285" i="7"/>
  <c r="M133" i="7"/>
  <c r="L35" i="7"/>
  <c r="C35" i="7" s="1"/>
  <c r="I46" i="7"/>
  <c r="C47" i="7"/>
  <c r="F58" i="7"/>
  <c r="L61" i="7"/>
  <c r="L72" i="7"/>
  <c r="D79" i="7"/>
  <c r="L80" i="7"/>
  <c r="C81" i="7"/>
  <c r="C128" i="7"/>
  <c r="C149" i="7"/>
  <c r="C161" i="7"/>
  <c r="K133" i="7"/>
  <c r="C173" i="7"/>
  <c r="O182" i="7"/>
  <c r="C183" i="7"/>
  <c r="L201" i="7"/>
  <c r="I236" i="7"/>
  <c r="I241" i="7"/>
  <c r="F249" i="7"/>
  <c r="C251" i="7"/>
  <c r="C253" i="7"/>
  <c r="L274" i="7"/>
  <c r="C275" i="7"/>
  <c r="F278" i="7"/>
  <c r="O291" i="7"/>
  <c r="F238" i="7"/>
  <c r="D234" i="7"/>
  <c r="C155" i="7"/>
  <c r="C159" i="7"/>
  <c r="C171" i="7"/>
  <c r="O219" i="7"/>
  <c r="C97" i="7"/>
  <c r="C299" i="7"/>
  <c r="M57" i="7"/>
  <c r="O58" i="7"/>
  <c r="G79" i="7"/>
  <c r="I79" i="7" s="1"/>
  <c r="I80" i="7"/>
  <c r="K79" i="7"/>
  <c r="O139" i="7"/>
  <c r="O187" i="7"/>
  <c r="F195" i="7"/>
  <c r="D194" i="7"/>
  <c r="F194" i="7" s="1"/>
  <c r="C223" i="7"/>
  <c r="H234" i="7"/>
  <c r="M261" i="7"/>
  <c r="O261" i="7" s="1"/>
  <c r="N56" i="7"/>
  <c r="C73" i="7"/>
  <c r="C77" i="7"/>
  <c r="J79" i="7"/>
  <c r="C89" i="7"/>
  <c r="C96" i="7"/>
  <c r="C105" i="7"/>
  <c r="C109" i="7"/>
  <c r="I115" i="7"/>
  <c r="C127" i="7"/>
  <c r="C130" i="7"/>
  <c r="C132" i="7"/>
  <c r="C137" i="7"/>
  <c r="L139" i="7"/>
  <c r="I144" i="7"/>
  <c r="C153" i="7"/>
  <c r="I163" i="7"/>
  <c r="C165" i="7"/>
  <c r="I169" i="7"/>
  <c r="L177" i="7"/>
  <c r="O178" i="7"/>
  <c r="C186" i="7"/>
  <c r="K190" i="7"/>
  <c r="C202" i="7"/>
  <c r="C213" i="7"/>
  <c r="C216" i="7"/>
  <c r="C218" i="7"/>
  <c r="F219" i="7"/>
  <c r="C229" i="7"/>
  <c r="C237" i="7"/>
  <c r="C245" i="7"/>
  <c r="C248" i="7"/>
  <c r="O254" i="7"/>
  <c r="C257" i="7"/>
  <c r="L261" i="7"/>
  <c r="C268" i="7"/>
  <c r="C270" i="7"/>
  <c r="C273" i="7"/>
  <c r="C281" i="7"/>
  <c r="I284" i="7"/>
  <c r="I291" i="7"/>
  <c r="C293" i="7"/>
  <c r="C296" i="7"/>
  <c r="C298" i="7"/>
  <c r="K30" i="7"/>
  <c r="E57" i="7"/>
  <c r="E56" i="7" s="1"/>
  <c r="J56" i="7"/>
  <c r="L56" i="7" s="1"/>
  <c r="C63" i="7"/>
  <c r="C65" i="7"/>
  <c r="N79" i="7"/>
  <c r="D86" i="7"/>
  <c r="H86" i="7"/>
  <c r="H78" i="7" s="1"/>
  <c r="H55" i="7" s="1"/>
  <c r="C107" i="7"/>
  <c r="C114" i="7"/>
  <c r="F119" i="7"/>
  <c r="C122" i="7"/>
  <c r="C146" i="7"/>
  <c r="C158" i="7"/>
  <c r="F168" i="7"/>
  <c r="C170" i="7"/>
  <c r="C185" i="7"/>
  <c r="F187" i="7"/>
  <c r="C188" i="7"/>
  <c r="D190" i="7"/>
  <c r="F190" i="7" s="1"/>
  <c r="O194" i="7"/>
  <c r="K198" i="7"/>
  <c r="C206" i="7"/>
  <c r="C217" i="7"/>
  <c r="C222" i="7"/>
  <c r="C250" i="7"/>
  <c r="C269" i="7"/>
  <c r="O272" i="7"/>
  <c r="C297" i="7"/>
  <c r="E289" i="7"/>
  <c r="K290" i="7"/>
  <c r="K289" i="7" s="1"/>
  <c r="O25" i="7"/>
  <c r="K57" i="7"/>
  <c r="K56" i="7" s="1"/>
  <c r="C59" i="7"/>
  <c r="C60" i="7"/>
  <c r="C67" i="7"/>
  <c r="C68" i="7"/>
  <c r="C69" i="7"/>
  <c r="L83" i="7"/>
  <c r="C85" i="7"/>
  <c r="I86" i="7"/>
  <c r="I87" i="7"/>
  <c r="E86" i="7"/>
  <c r="E78" i="7" s="1"/>
  <c r="I131" i="7"/>
  <c r="O131" i="7"/>
  <c r="L134" i="7"/>
  <c r="C141" i="7"/>
  <c r="C143" i="7"/>
  <c r="C145" i="7"/>
  <c r="F147" i="7"/>
  <c r="C150" i="7"/>
  <c r="C157" i="7"/>
  <c r="C162" i="7"/>
  <c r="I168" i="7"/>
  <c r="L169" i="7"/>
  <c r="C172" i="7"/>
  <c r="C174" i="7"/>
  <c r="L178" i="7"/>
  <c r="C180" i="7"/>
  <c r="F182" i="7"/>
  <c r="I187" i="7"/>
  <c r="C189" i="7"/>
  <c r="O190" i="7"/>
  <c r="I191" i="7"/>
  <c r="C191" i="7" s="1"/>
  <c r="C192" i="7"/>
  <c r="C196" i="7"/>
  <c r="C205" i="7"/>
  <c r="C210" i="7"/>
  <c r="I219" i="7"/>
  <c r="C221" i="7"/>
  <c r="C226" i="7"/>
  <c r="H207" i="7"/>
  <c r="I207" i="7" s="1"/>
  <c r="O230" i="7"/>
  <c r="G234" i="7"/>
  <c r="I234" i="7" s="1"/>
  <c r="N234" i="7"/>
  <c r="N233" i="7" s="1"/>
  <c r="I238" i="7"/>
  <c r="O238" i="7"/>
  <c r="L241" i="7"/>
  <c r="C242" i="7"/>
  <c r="F254" i="7"/>
  <c r="F255" i="7"/>
  <c r="O255" i="7"/>
  <c r="L262" i="7"/>
  <c r="F266" i="7"/>
  <c r="G272" i="7"/>
  <c r="O274" i="7"/>
  <c r="C277" i="7"/>
  <c r="O282" i="7"/>
  <c r="C282" i="7" s="1"/>
  <c r="C286" i="7"/>
  <c r="D234" i="6"/>
  <c r="F236" i="6"/>
  <c r="E290" i="6"/>
  <c r="E289" i="6" s="1"/>
  <c r="I25" i="6"/>
  <c r="L35" i="6"/>
  <c r="C35" i="6" s="1"/>
  <c r="C77" i="6"/>
  <c r="C87" i="6"/>
  <c r="O115" i="6"/>
  <c r="M133" i="6"/>
  <c r="O134" i="6"/>
  <c r="C156" i="6"/>
  <c r="C160" i="6"/>
  <c r="C172" i="6"/>
  <c r="G177" i="6"/>
  <c r="I177" i="6" s="1"/>
  <c r="I178" i="6"/>
  <c r="C228" i="6"/>
  <c r="E233" i="6"/>
  <c r="D254" i="6"/>
  <c r="F254" i="6" s="1"/>
  <c r="D261" i="6"/>
  <c r="F261" i="6" s="1"/>
  <c r="F262" i="6"/>
  <c r="C270" i="6"/>
  <c r="M271" i="6"/>
  <c r="O271" i="6" s="1"/>
  <c r="F61" i="6"/>
  <c r="D57" i="6"/>
  <c r="F57" i="6" s="1"/>
  <c r="F25" i="6"/>
  <c r="J290" i="6"/>
  <c r="C26" i="6"/>
  <c r="C27" i="6"/>
  <c r="K30" i="6"/>
  <c r="K24" i="6" s="1"/>
  <c r="J133" i="6"/>
  <c r="H133" i="6"/>
  <c r="I133" i="6" s="1"/>
  <c r="E272" i="6"/>
  <c r="E271" i="6" s="1"/>
  <c r="F278" i="6"/>
  <c r="C298" i="6"/>
  <c r="F144" i="6"/>
  <c r="C144" i="6" s="1"/>
  <c r="E133" i="6"/>
  <c r="O48" i="6"/>
  <c r="C48" i="6" s="1"/>
  <c r="O83" i="6"/>
  <c r="M79" i="6"/>
  <c r="O79" i="6" s="1"/>
  <c r="C103" i="6"/>
  <c r="C112" i="6"/>
  <c r="D133" i="6"/>
  <c r="C142" i="6"/>
  <c r="O163" i="6"/>
  <c r="F182" i="6"/>
  <c r="D177" i="6"/>
  <c r="D176" i="6" s="1"/>
  <c r="F176" i="6" s="1"/>
  <c r="E207" i="6"/>
  <c r="E198" i="6" s="1"/>
  <c r="E197" i="6" s="1"/>
  <c r="F208" i="6"/>
  <c r="I236" i="6"/>
  <c r="H234" i="6"/>
  <c r="H233" i="6" s="1"/>
  <c r="C259" i="6"/>
  <c r="C281" i="6"/>
  <c r="H24" i="6"/>
  <c r="C71" i="6"/>
  <c r="C76" i="6"/>
  <c r="L80" i="6"/>
  <c r="C82" i="6"/>
  <c r="C85" i="6"/>
  <c r="C97" i="6"/>
  <c r="C100" i="6"/>
  <c r="C104" i="6"/>
  <c r="C107" i="6"/>
  <c r="L115" i="6"/>
  <c r="C124" i="6"/>
  <c r="F134" i="6"/>
  <c r="C136" i="6"/>
  <c r="C143" i="6"/>
  <c r="C151" i="6"/>
  <c r="C155" i="6"/>
  <c r="L163" i="6"/>
  <c r="O168" i="6"/>
  <c r="F169" i="6"/>
  <c r="L169" i="6"/>
  <c r="C171" i="6"/>
  <c r="C174" i="6"/>
  <c r="C183" i="6"/>
  <c r="I194" i="6"/>
  <c r="I201" i="6"/>
  <c r="K207" i="6"/>
  <c r="K198" i="6" s="1"/>
  <c r="C209" i="6"/>
  <c r="C210" i="6"/>
  <c r="C211" i="6"/>
  <c r="C214" i="6"/>
  <c r="C215" i="6"/>
  <c r="C222" i="6"/>
  <c r="C223" i="6"/>
  <c r="O249" i="6"/>
  <c r="C249" i="6" s="1"/>
  <c r="O255" i="6"/>
  <c r="C265" i="6"/>
  <c r="O266" i="6"/>
  <c r="C279" i="6"/>
  <c r="C280" i="6"/>
  <c r="C295" i="6"/>
  <c r="C297" i="6"/>
  <c r="F46" i="6"/>
  <c r="C46" i="6" s="1"/>
  <c r="C63" i="6"/>
  <c r="C64" i="6"/>
  <c r="C69" i="6"/>
  <c r="C75" i="6"/>
  <c r="H79" i="6"/>
  <c r="C88" i="6"/>
  <c r="N86" i="6"/>
  <c r="C99" i="6"/>
  <c r="C102" i="6"/>
  <c r="C111" i="6"/>
  <c r="C118" i="6"/>
  <c r="F119" i="6"/>
  <c r="C123" i="6"/>
  <c r="C126" i="6"/>
  <c r="C127" i="6"/>
  <c r="O131" i="6"/>
  <c r="C141" i="6"/>
  <c r="C149" i="6"/>
  <c r="C159" i="6"/>
  <c r="C166" i="6"/>
  <c r="C167" i="6"/>
  <c r="C170" i="6"/>
  <c r="C173" i="6"/>
  <c r="C175" i="6"/>
  <c r="L182" i="6"/>
  <c r="O187" i="6"/>
  <c r="C193" i="6"/>
  <c r="L194" i="6"/>
  <c r="O195" i="6"/>
  <c r="C203" i="6"/>
  <c r="O207" i="6"/>
  <c r="C227" i="6"/>
  <c r="C232" i="6"/>
  <c r="K233" i="6"/>
  <c r="C256" i="6"/>
  <c r="C257" i="6"/>
  <c r="C258" i="6"/>
  <c r="C269" i="6"/>
  <c r="C276" i="6"/>
  <c r="I278" i="6"/>
  <c r="O291" i="6"/>
  <c r="C299" i="6"/>
  <c r="N57" i="6"/>
  <c r="N56" i="6" s="1"/>
  <c r="I61" i="6"/>
  <c r="C62" i="6"/>
  <c r="C67" i="6"/>
  <c r="C68" i="6"/>
  <c r="O70" i="6"/>
  <c r="F80" i="6"/>
  <c r="I83" i="6"/>
  <c r="C83" i="6" s="1"/>
  <c r="H86" i="6"/>
  <c r="F92" i="6"/>
  <c r="J86" i="6"/>
  <c r="C95" i="6"/>
  <c r="O106" i="6"/>
  <c r="C110" i="6"/>
  <c r="C113" i="6"/>
  <c r="I115" i="6"/>
  <c r="C116" i="6"/>
  <c r="C122" i="6"/>
  <c r="F131" i="6"/>
  <c r="L131" i="6"/>
  <c r="N133" i="6"/>
  <c r="F154" i="6"/>
  <c r="C154" i="6" s="1"/>
  <c r="O154" i="6"/>
  <c r="C158" i="6"/>
  <c r="C161" i="6"/>
  <c r="I163" i="6"/>
  <c r="C164" i="6"/>
  <c r="C179" i="6"/>
  <c r="O182" i="6"/>
  <c r="C186" i="6"/>
  <c r="C202" i="6"/>
  <c r="C205" i="6"/>
  <c r="C229" i="6"/>
  <c r="F230" i="6"/>
  <c r="C242" i="6"/>
  <c r="C250" i="6"/>
  <c r="O254" i="6"/>
  <c r="I262" i="6"/>
  <c r="C283" i="6"/>
  <c r="O284" i="6"/>
  <c r="F106" i="6"/>
  <c r="E56" i="6"/>
  <c r="J56" i="6"/>
  <c r="L57" i="6"/>
  <c r="F70" i="6"/>
  <c r="O57" i="6"/>
  <c r="M56" i="6"/>
  <c r="D24" i="6"/>
  <c r="G289" i="6"/>
  <c r="I289" i="6" s="1"/>
  <c r="I290" i="6"/>
  <c r="O25" i="6"/>
  <c r="J30" i="6"/>
  <c r="J24" i="6" s="1"/>
  <c r="O58" i="6"/>
  <c r="C74" i="6"/>
  <c r="M86" i="6"/>
  <c r="C90" i="6"/>
  <c r="O92" i="6"/>
  <c r="C109" i="6"/>
  <c r="C129" i="6"/>
  <c r="I134" i="6"/>
  <c r="C157" i="6"/>
  <c r="J168" i="6"/>
  <c r="L168" i="6" s="1"/>
  <c r="M177" i="6"/>
  <c r="O178" i="6"/>
  <c r="F191" i="6"/>
  <c r="J190" i="6"/>
  <c r="G207" i="6"/>
  <c r="I208" i="6"/>
  <c r="C213" i="6"/>
  <c r="C221" i="6"/>
  <c r="C240" i="6"/>
  <c r="C248" i="6"/>
  <c r="G254" i="6"/>
  <c r="I254" i="6" s="1"/>
  <c r="I255" i="6"/>
  <c r="C255" i="6" s="1"/>
  <c r="C260" i="6"/>
  <c r="F61" i="7"/>
  <c r="D57" i="7"/>
  <c r="L92" i="7"/>
  <c r="J86" i="7"/>
  <c r="L86" i="7" s="1"/>
  <c r="M176" i="7"/>
  <c r="H176" i="7"/>
  <c r="I177" i="7"/>
  <c r="I72" i="6"/>
  <c r="C72" i="6" s="1"/>
  <c r="G70" i="6"/>
  <c r="I70" i="6" s="1"/>
  <c r="J176" i="6"/>
  <c r="D194" i="6"/>
  <c r="F194" i="6" s="1"/>
  <c r="F195" i="6"/>
  <c r="D198" i="6"/>
  <c r="F199" i="6"/>
  <c r="E24" i="6"/>
  <c r="M24" i="6"/>
  <c r="D289" i="6"/>
  <c r="L25" i="6"/>
  <c r="I57" i="6"/>
  <c r="L58" i="6"/>
  <c r="D79" i="6"/>
  <c r="I79" i="6"/>
  <c r="O80" i="6"/>
  <c r="D86" i="6"/>
  <c r="F86" i="6" s="1"/>
  <c r="G86" i="6"/>
  <c r="G78" i="6" s="1"/>
  <c r="K86" i="6"/>
  <c r="L86" i="6" s="1"/>
  <c r="I92" i="6"/>
  <c r="L92" i="6"/>
  <c r="C117" i="6"/>
  <c r="I131" i="6"/>
  <c r="C137" i="6"/>
  <c r="F139" i="6"/>
  <c r="C145" i="6"/>
  <c r="C165" i="6"/>
  <c r="G176" i="6"/>
  <c r="I176" i="6" s="1"/>
  <c r="F178" i="6"/>
  <c r="C185" i="6"/>
  <c r="I195" i="6"/>
  <c r="H198" i="6"/>
  <c r="C217" i="6"/>
  <c r="C218" i="6"/>
  <c r="C219" i="6"/>
  <c r="C225" i="6"/>
  <c r="C226" i="6"/>
  <c r="I230" i="6"/>
  <c r="C230" i="6" s="1"/>
  <c r="F234" i="6"/>
  <c r="L236" i="6"/>
  <c r="C236" i="6" s="1"/>
  <c r="J234" i="6"/>
  <c r="C237" i="6"/>
  <c r="C238" i="6"/>
  <c r="F139" i="7"/>
  <c r="E133" i="7"/>
  <c r="J289" i="6"/>
  <c r="L289" i="6" s="1"/>
  <c r="L290" i="6"/>
  <c r="N24" i="6"/>
  <c r="M289" i="6"/>
  <c r="O289" i="6" s="1"/>
  <c r="O290" i="6"/>
  <c r="I80" i="6"/>
  <c r="C94" i="6"/>
  <c r="O98" i="6"/>
  <c r="I119" i="6"/>
  <c r="C119" i="6" s="1"/>
  <c r="K133" i="6"/>
  <c r="I139" i="6"/>
  <c r="I147" i="6"/>
  <c r="C147" i="6" s="1"/>
  <c r="C153" i="6"/>
  <c r="O169" i="6"/>
  <c r="I191" i="6"/>
  <c r="L201" i="6"/>
  <c r="J199" i="6"/>
  <c r="L208" i="6"/>
  <c r="L254" i="6"/>
  <c r="C254" i="6" s="1"/>
  <c r="L255" i="6"/>
  <c r="N261" i="6"/>
  <c r="N233" i="6" s="1"/>
  <c r="N197" i="6" s="1"/>
  <c r="O262" i="6"/>
  <c r="K271" i="6"/>
  <c r="F284" i="6"/>
  <c r="F79" i="7"/>
  <c r="M79" i="7"/>
  <c r="O80" i="7"/>
  <c r="K177" i="6"/>
  <c r="K176" i="6" s="1"/>
  <c r="N194" i="6"/>
  <c r="O194" i="6" s="1"/>
  <c r="M199" i="6"/>
  <c r="I234" i="6"/>
  <c r="M234" i="6"/>
  <c r="G261" i="6"/>
  <c r="I261" i="6" s="1"/>
  <c r="J261" i="6"/>
  <c r="L261" i="6" s="1"/>
  <c r="L262" i="6"/>
  <c r="L266" i="6"/>
  <c r="C266" i="6" s="1"/>
  <c r="I274" i="6"/>
  <c r="G272" i="6"/>
  <c r="C275" i="6"/>
  <c r="J30" i="7"/>
  <c r="O48" i="7"/>
  <c r="C48" i="7" s="1"/>
  <c r="G57" i="7"/>
  <c r="I58" i="7"/>
  <c r="O57" i="7"/>
  <c r="C75" i="7"/>
  <c r="C76" i="7"/>
  <c r="C84" i="7"/>
  <c r="C99" i="7"/>
  <c r="O119" i="7"/>
  <c r="C126" i="7"/>
  <c r="C263" i="6"/>
  <c r="C264" i="6"/>
  <c r="C267" i="6"/>
  <c r="C268" i="6"/>
  <c r="D271" i="6"/>
  <c r="F272" i="6"/>
  <c r="C292" i="6"/>
  <c r="H290" i="7"/>
  <c r="H289" i="7" s="1"/>
  <c r="H24" i="7"/>
  <c r="C27" i="7"/>
  <c r="C28" i="7"/>
  <c r="I61" i="7"/>
  <c r="L70" i="7"/>
  <c r="C71" i="7"/>
  <c r="F72" i="7"/>
  <c r="C72" i="7" s="1"/>
  <c r="O72" i="7"/>
  <c r="M70" i="7"/>
  <c r="L79" i="7"/>
  <c r="C113" i="7"/>
  <c r="C118" i="7"/>
  <c r="L274" i="6"/>
  <c r="J272" i="6"/>
  <c r="O274" i="6"/>
  <c r="L278" i="6"/>
  <c r="L282" i="6"/>
  <c r="C296" i="6"/>
  <c r="D290" i="7"/>
  <c r="D24" i="7"/>
  <c r="F24" i="7" s="1"/>
  <c r="F25" i="7"/>
  <c r="C64" i="7"/>
  <c r="O83" i="7"/>
  <c r="C87" i="7"/>
  <c r="M86" i="7"/>
  <c r="O87" i="7"/>
  <c r="C91" i="7"/>
  <c r="N86" i="7"/>
  <c r="N78" i="7" s="1"/>
  <c r="N55" i="7" s="1"/>
  <c r="L98" i="7"/>
  <c r="C111" i="7"/>
  <c r="C121" i="7"/>
  <c r="J24" i="7"/>
  <c r="N24" i="7"/>
  <c r="O24" i="7" s="1"/>
  <c r="I25" i="7"/>
  <c r="O290" i="7"/>
  <c r="L58" i="7"/>
  <c r="D70" i="7"/>
  <c r="F70" i="7" s="1"/>
  <c r="F80" i="7"/>
  <c r="I98" i="7"/>
  <c r="C104" i="7"/>
  <c r="L119" i="7"/>
  <c r="C124" i="7"/>
  <c r="G133" i="7"/>
  <c r="I134" i="7"/>
  <c r="C136" i="7"/>
  <c r="C140" i="7"/>
  <c r="L147" i="7"/>
  <c r="I154" i="7"/>
  <c r="C154" i="7" s="1"/>
  <c r="C156" i="7"/>
  <c r="M168" i="7"/>
  <c r="O168" i="7" s="1"/>
  <c r="O169" i="7"/>
  <c r="G176" i="7"/>
  <c r="I176" i="7" s="1"/>
  <c r="D177" i="7"/>
  <c r="F178" i="7"/>
  <c r="I182" i="7"/>
  <c r="C184" i="7"/>
  <c r="G24" i="7"/>
  <c r="K24" i="7"/>
  <c r="J289" i="7"/>
  <c r="L290" i="7"/>
  <c r="L87" i="7"/>
  <c r="C100" i="7"/>
  <c r="I106" i="7"/>
  <c r="C112" i="7"/>
  <c r="C120" i="7"/>
  <c r="F125" i="7"/>
  <c r="C125" i="7" s="1"/>
  <c r="L131" i="7"/>
  <c r="D133" i="7"/>
  <c r="C138" i="7"/>
  <c r="C142" i="7"/>
  <c r="O144" i="7"/>
  <c r="C144" i="7" s="1"/>
  <c r="C148" i="7"/>
  <c r="C160" i="7"/>
  <c r="F169" i="7"/>
  <c r="L176" i="7"/>
  <c r="L187" i="7"/>
  <c r="C187" i="7" s="1"/>
  <c r="N207" i="7"/>
  <c r="O208" i="7"/>
  <c r="O241" i="7"/>
  <c r="M234" i="7"/>
  <c r="J271" i="7"/>
  <c r="L271" i="7" s="1"/>
  <c r="L272" i="7"/>
  <c r="F274" i="7"/>
  <c r="D272" i="7"/>
  <c r="G289" i="7"/>
  <c r="I289" i="7" s="1"/>
  <c r="I290" i="7"/>
  <c r="C88" i="7"/>
  <c r="O92" i="7"/>
  <c r="C108" i="7"/>
  <c r="L115" i="7"/>
  <c r="C115" i="7" s="1"/>
  <c r="J133" i="7"/>
  <c r="O134" i="7"/>
  <c r="N133" i="7"/>
  <c r="O133" i="7" s="1"/>
  <c r="L163" i="7"/>
  <c r="C163" i="7" s="1"/>
  <c r="I178" i="7"/>
  <c r="M289" i="7"/>
  <c r="O289" i="7" s="1"/>
  <c r="K168" i="7"/>
  <c r="L168" i="7" s="1"/>
  <c r="N177" i="7"/>
  <c r="N176" i="7" s="1"/>
  <c r="C193" i="7"/>
  <c r="L194" i="7"/>
  <c r="L195" i="7"/>
  <c r="E199" i="7"/>
  <c r="E198" i="7" s="1"/>
  <c r="F201" i="7"/>
  <c r="J207" i="7"/>
  <c r="L208" i="7"/>
  <c r="C220" i="7"/>
  <c r="I230" i="7"/>
  <c r="C232" i="7"/>
  <c r="O236" i="7"/>
  <c r="C240" i="7"/>
  <c r="C249" i="7"/>
  <c r="K254" i="7"/>
  <c r="L255" i="7"/>
  <c r="C256" i="7"/>
  <c r="C264" i="7"/>
  <c r="O284" i="7"/>
  <c r="L291" i="7"/>
  <c r="C204" i="7"/>
  <c r="C212" i="7"/>
  <c r="C224" i="7"/>
  <c r="F241" i="7"/>
  <c r="E234" i="7"/>
  <c r="E233" i="7" s="1"/>
  <c r="C252" i="7"/>
  <c r="G254" i="7"/>
  <c r="I255" i="7"/>
  <c r="C260" i="7"/>
  <c r="H261" i="7"/>
  <c r="I261" i="7" s="1"/>
  <c r="I262" i="7"/>
  <c r="C276" i="7"/>
  <c r="C278" i="7"/>
  <c r="C292" i="7"/>
  <c r="G194" i="7"/>
  <c r="I194" i="7" s="1"/>
  <c r="I195" i="7"/>
  <c r="O201" i="7"/>
  <c r="M199" i="7"/>
  <c r="F230" i="7"/>
  <c r="D207" i="7"/>
  <c r="L236" i="7"/>
  <c r="J234" i="7"/>
  <c r="D261" i="7"/>
  <c r="F261" i="7" s="1"/>
  <c r="F262" i="7"/>
  <c r="I266" i="7"/>
  <c r="C266" i="7" s="1"/>
  <c r="L284" i="7"/>
  <c r="L190" i="5"/>
  <c r="J290" i="5"/>
  <c r="C27" i="5"/>
  <c r="C75" i="5"/>
  <c r="C76" i="5"/>
  <c r="C89" i="5"/>
  <c r="C90" i="5"/>
  <c r="C118" i="5"/>
  <c r="C123" i="5"/>
  <c r="C143" i="5"/>
  <c r="C167" i="5"/>
  <c r="I169" i="5"/>
  <c r="E176" i="5"/>
  <c r="K176" i="5"/>
  <c r="C215" i="5"/>
  <c r="C217" i="5"/>
  <c r="K207" i="5"/>
  <c r="K198" i="5" s="1"/>
  <c r="C227" i="5"/>
  <c r="C263" i="5"/>
  <c r="L291" i="5"/>
  <c r="C295" i="5"/>
  <c r="C297" i="5"/>
  <c r="L37" i="5"/>
  <c r="C37" i="5" s="1"/>
  <c r="I46" i="5"/>
  <c r="C63" i="5"/>
  <c r="C64" i="5"/>
  <c r="C66" i="5"/>
  <c r="C68" i="5"/>
  <c r="D70" i="5"/>
  <c r="C73" i="5"/>
  <c r="F80" i="5"/>
  <c r="C85" i="5"/>
  <c r="F92" i="5"/>
  <c r="C111" i="5"/>
  <c r="C124" i="5"/>
  <c r="C148" i="5"/>
  <c r="C149" i="5"/>
  <c r="C150" i="5"/>
  <c r="L169" i="5"/>
  <c r="C175" i="5"/>
  <c r="C203" i="5"/>
  <c r="C206" i="5"/>
  <c r="C231" i="5"/>
  <c r="D234" i="5"/>
  <c r="C239" i="5"/>
  <c r="I249" i="5"/>
  <c r="F255" i="5"/>
  <c r="L255" i="5"/>
  <c r="C259" i="5"/>
  <c r="C267" i="5"/>
  <c r="C268" i="5"/>
  <c r="C270" i="5"/>
  <c r="O291" i="5"/>
  <c r="D24" i="5"/>
  <c r="L58" i="5"/>
  <c r="L61" i="5"/>
  <c r="I80" i="5"/>
  <c r="I83" i="5"/>
  <c r="O83" i="5"/>
  <c r="O87" i="5"/>
  <c r="C95" i="5"/>
  <c r="C103" i="5"/>
  <c r="F106" i="5"/>
  <c r="C106" i="5" s="1"/>
  <c r="C107" i="5"/>
  <c r="I115" i="5"/>
  <c r="O115" i="5"/>
  <c r="I125" i="5"/>
  <c r="C127" i="5"/>
  <c r="I139" i="5"/>
  <c r="F154" i="5"/>
  <c r="L154" i="5"/>
  <c r="C155" i="5"/>
  <c r="C156" i="5"/>
  <c r="C157" i="5"/>
  <c r="C158" i="5"/>
  <c r="I163" i="5"/>
  <c r="O163" i="5"/>
  <c r="M177" i="5"/>
  <c r="N177" i="5"/>
  <c r="N176" i="5" s="1"/>
  <c r="C179" i="5"/>
  <c r="F187" i="5"/>
  <c r="O195" i="5"/>
  <c r="N207" i="5"/>
  <c r="O207" i="5" s="1"/>
  <c r="G207" i="5"/>
  <c r="L249" i="5"/>
  <c r="C250" i="5"/>
  <c r="C257" i="5"/>
  <c r="C275" i="5"/>
  <c r="F278" i="5"/>
  <c r="C279" i="5"/>
  <c r="F282" i="5"/>
  <c r="O139" i="5"/>
  <c r="M133" i="5"/>
  <c r="J261" i="5"/>
  <c r="L261" i="5" s="1"/>
  <c r="L262" i="5"/>
  <c r="H24" i="5"/>
  <c r="C26" i="5"/>
  <c r="L35" i="5"/>
  <c r="C35" i="5" s="1"/>
  <c r="C47" i="5"/>
  <c r="D57" i="5"/>
  <c r="D56" i="5" s="1"/>
  <c r="J57" i="5"/>
  <c r="O58" i="5"/>
  <c r="C59" i="5"/>
  <c r="O61" i="5"/>
  <c r="C65" i="5"/>
  <c r="C69" i="5"/>
  <c r="I70" i="5"/>
  <c r="F194" i="5"/>
  <c r="D190" i="5"/>
  <c r="F190" i="5" s="1"/>
  <c r="O194" i="5"/>
  <c r="M190" i="5"/>
  <c r="O190" i="5" s="1"/>
  <c r="I236" i="5"/>
  <c r="G234" i="5"/>
  <c r="C243" i="5"/>
  <c r="C61" i="5"/>
  <c r="K86" i="5"/>
  <c r="G133" i="5"/>
  <c r="I201" i="5"/>
  <c r="G199" i="5"/>
  <c r="C211" i="5"/>
  <c r="J30" i="5"/>
  <c r="J24" i="5" s="1"/>
  <c r="L24" i="5" s="1"/>
  <c r="G57" i="5"/>
  <c r="G56" i="5" s="1"/>
  <c r="C60" i="5"/>
  <c r="N24" i="5"/>
  <c r="O290" i="5"/>
  <c r="F46" i="5"/>
  <c r="O48" i="5"/>
  <c r="C48" i="5" s="1"/>
  <c r="K57" i="5"/>
  <c r="K56" i="5" s="1"/>
  <c r="I58" i="5"/>
  <c r="C62" i="5"/>
  <c r="C67" i="5"/>
  <c r="E86" i="5"/>
  <c r="C171" i="5"/>
  <c r="M254" i="5"/>
  <c r="O254" i="5" s="1"/>
  <c r="O255" i="5"/>
  <c r="L278" i="5"/>
  <c r="J272" i="5"/>
  <c r="L272" i="5" s="1"/>
  <c r="C71" i="5"/>
  <c r="O72" i="5"/>
  <c r="C77" i="5"/>
  <c r="E79" i="5"/>
  <c r="C84" i="5"/>
  <c r="N86" i="5"/>
  <c r="C100" i="5"/>
  <c r="C102" i="5"/>
  <c r="C110" i="5"/>
  <c r="C116" i="5"/>
  <c r="C126" i="5"/>
  <c r="C132" i="5"/>
  <c r="C136" i="5"/>
  <c r="C138" i="5"/>
  <c r="N133" i="5"/>
  <c r="C162" i="5"/>
  <c r="G177" i="5"/>
  <c r="G176" i="5" s="1"/>
  <c r="L178" i="5"/>
  <c r="C185" i="5"/>
  <c r="C186" i="5"/>
  <c r="C193" i="5"/>
  <c r="C196" i="5"/>
  <c r="C205" i="5"/>
  <c r="C210" i="5"/>
  <c r="I219" i="5"/>
  <c r="C221" i="5"/>
  <c r="C226" i="5"/>
  <c r="H207" i="5"/>
  <c r="H198" i="5" s="1"/>
  <c r="O230" i="5"/>
  <c r="N234" i="5"/>
  <c r="N233" i="5" s="1"/>
  <c r="O238" i="5"/>
  <c r="E234" i="5"/>
  <c r="E233" i="5" s="1"/>
  <c r="L241" i="5"/>
  <c r="C242" i="5"/>
  <c r="D254" i="5"/>
  <c r="F254" i="5" s="1"/>
  <c r="O266" i="5"/>
  <c r="C269" i="5"/>
  <c r="O274" i="5"/>
  <c r="C277" i="5"/>
  <c r="I282" i="5"/>
  <c r="O282" i="5"/>
  <c r="C286" i="5"/>
  <c r="F291" i="5"/>
  <c r="C82" i="5"/>
  <c r="C94" i="5"/>
  <c r="H86" i="5"/>
  <c r="C105" i="5"/>
  <c r="C108" i="5"/>
  <c r="C113" i="5"/>
  <c r="C114" i="5"/>
  <c r="C121" i="5"/>
  <c r="C122" i="5"/>
  <c r="C129" i="5"/>
  <c r="C130" i="5"/>
  <c r="C146" i="5"/>
  <c r="C170" i="5"/>
  <c r="C180" i="5"/>
  <c r="F182" i="5"/>
  <c r="C182" i="5" s="1"/>
  <c r="L187" i="5"/>
  <c r="C192" i="5"/>
  <c r="F195" i="5"/>
  <c r="C200" i="5"/>
  <c r="C209" i="5"/>
  <c r="C214" i="5"/>
  <c r="C225" i="5"/>
  <c r="C228" i="5"/>
  <c r="C244" i="5"/>
  <c r="C246" i="5"/>
  <c r="C253" i="5"/>
  <c r="C280" i="5"/>
  <c r="C285" i="5"/>
  <c r="C294" i="5"/>
  <c r="L72" i="5"/>
  <c r="C74" i="5"/>
  <c r="C81" i="5"/>
  <c r="L83" i="5"/>
  <c r="C83" i="5" s="1"/>
  <c r="F87" i="5"/>
  <c r="C93" i="5"/>
  <c r="F98" i="5"/>
  <c r="O98" i="5"/>
  <c r="L115" i="5"/>
  <c r="C115" i="5" s="1"/>
  <c r="I119" i="5"/>
  <c r="L131" i="5"/>
  <c r="C131" i="5" s="1"/>
  <c r="C141" i="5"/>
  <c r="C142" i="5"/>
  <c r="C164" i="5"/>
  <c r="C165" i="5"/>
  <c r="C166" i="5"/>
  <c r="I168" i="5"/>
  <c r="C174" i="5"/>
  <c r="L177" i="5"/>
  <c r="F191" i="5"/>
  <c r="L191" i="5"/>
  <c r="L194" i="5"/>
  <c r="L199" i="5"/>
  <c r="L201" i="5"/>
  <c r="C202" i="5"/>
  <c r="I208" i="5"/>
  <c r="C213" i="5"/>
  <c r="C216" i="5"/>
  <c r="C218" i="5"/>
  <c r="F219" i="5"/>
  <c r="L219" i="5"/>
  <c r="C229" i="5"/>
  <c r="C237" i="5"/>
  <c r="C245" i="5"/>
  <c r="C248" i="5"/>
  <c r="F249" i="5"/>
  <c r="C249" i="5" s="1"/>
  <c r="J254" i="5"/>
  <c r="L254" i="5" s="1"/>
  <c r="K233" i="5"/>
  <c r="C258" i="5"/>
  <c r="O262" i="5"/>
  <c r="C265" i="5"/>
  <c r="C273" i="5"/>
  <c r="I278" i="5"/>
  <c r="C281" i="5"/>
  <c r="I284" i="5"/>
  <c r="I291" i="5"/>
  <c r="C293" i="5"/>
  <c r="C296" i="5"/>
  <c r="C298" i="5"/>
  <c r="C46" i="5"/>
  <c r="H56" i="5"/>
  <c r="I57" i="5"/>
  <c r="F70" i="5"/>
  <c r="F57" i="5"/>
  <c r="L57" i="5"/>
  <c r="D133" i="5"/>
  <c r="F133" i="5" s="1"/>
  <c r="F134" i="5"/>
  <c r="D177" i="5"/>
  <c r="F178" i="5"/>
  <c r="G24" i="5"/>
  <c r="I24" i="5" s="1"/>
  <c r="K24" i="5"/>
  <c r="F25" i="5"/>
  <c r="J289" i="5"/>
  <c r="L289" i="5" s="1"/>
  <c r="L290" i="5"/>
  <c r="N57" i="5"/>
  <c r="N56" i="5" s="1"/>
  <c r="M70" i="5"/>
  <c r="O70" i="5" s="1"/>
  <c r="F79" i="5"/>
  <c r="D86" i="5"/>
  <c r="L87" i="5"/>
  <c r="C96" i="5"/>
  <c r="C97" i="5"/>
  <c r="C104" i="5"/>
  <c r="C112" i="5"/>
  <c r="L119" i="5"/>
  <c r="K133" i="5"/>
  <c r="K78" i="5" s="1"/>
  <c r="L139" i="5"/>
  <c r="C145" i="5"/>
  <c r="C152" i="5"/>
  <c r="C153" i="5"/>
  <c r="C160" i="5"/>
  <c r="C161" i="5"/>
  <c r="C172" i="5"/>
  <c r="C173" i="5"/>
  <c r="I182" i="5"/>
  <c r="C188" i="5"/>
  <c r="C189" i="5"/>
  <c r="N198" i="5"/>
  <c r="F234" i="5"/>
  <c r="O241" i="5"/>
  <c r="M234" i="5"/>
  <c r="L92" i="5"/>
  <c r="J86" i="5"/>
  <c r="L86" i="5" s="1"/>
  <c r="G289" i="5"/>
  <c r="I289" i="5" s="1"/>
  <c r="I290" i="5"/>
  <c r="O25" i="5"/>
  <c r="O57" i="5"/>
  <c r="F58" i="5"/>
  <c r="J70" i="5"/>
  <c r="L70" i="5" s="1"/>
  <c r="N79" i="5"/>
  <c r="O80" i="5"/>
  <c r="C88" i="5"/>
  <c r="C140" i="5"/>
  <c r="M168" i="5"/>
  <c r="O168" i="5" s="1"/>
  <c r="O169" i="5"/>
  <c r="C184" i="5"/>
  <c r="J271" i="5"/>
  <c r="L271" i="5" s="1"/>
  <c r="F274" i="5"/>
  <c r="D272" i="5"/>
  <c r="E24" i="5"/>
  <c r="F24" i="5" s="1"/>
  <c r="M24" i="5"/>
  <c r="D289" i="5"/>
  <c r="F289" i="5" s="1"/>
  <c r="F290" i="5"/>
  <c r="L25" i="5"/>
  <c r="G79" i="5"/>
  <c r="J79" i="5"/>
  <c r="L80" i="5"/>
  <c r="G86" i="5"/>
  <c r="I86" i="5" s="1"/>
  <c r="I87" i="5"/>
  <c r="I98" i="5"/>
  <c r="C98" i="5" s="1"/>
  <c r="C101" i="5"/>
  <c r="C109" i="5"/>
  <c r="C117" i="5"/>
  <c r="C120" i="5"/>
  <c r="F125" i="5"/>
  <c r="O125" i="5"/>
  <c r="M86" i="5"/>
  <c r="C128" i="5"/>
  <c r="H133" i="5"/>
  <c r="I133" i="5" s="1"/>
  <c r="C137" i="5"/>
  <c r="O144" i="5"/>
  <c r="C144" i="5" s="1"/>
  <c r="L147" i="5"/>
  <c r="C147" i="5" s="1"/>
  <c r="I154" i="5"/>
  <c r="C154" i="5" s="1"/>
  <c r="L163" i="5"/>
  <c r="C163" i="5" s="1"/>
  <c r="J176" i="5"/>
  <c r="L176" i="5" s="1"/>
  <c r="M176" i="5"/>
  <c r="O176" i="5" s="1"/>
  <c r="O177" i="5"/>
  <c r="H177" i="5"/>
  <c r="C181" i="5"/>
  <c r="M289" i="5"/>
  <c r="O289" i="5" s="1"/>
  <c r="J133" i="5"/>
  <c r="L133" i="5" s="1"/>
  <c r="I134" i="5"/>
  <c r="F169" i="5"/>
  <c r="I178" i="5"/>
  <c r="L195" i="5"/>
  <c r="E199" i="5"/>
  <c r="E198" i="5" s="1"/>
  <c r="E197" i="5" s="1"/>
  <c r="F201" i="5"/>
  <c r="J207" i="5"/>
  <c r="L208" i="5"/>
  <c r="C220" i="5"/>
  <c r="I230" i="5"/>
  <c r="C232" i="5"/>
  <c r="I234" i="5"/>
  <c r="O236" i="5"/>
  <c r="I238" i="5"/>
  <c r="C240" i="5"/>
  <c r="F241" i="5"/>
  <c r="C256" i="5"/>
  <c r="I262" i="5"/>
  <c r="C264" i="5"/>
  <c r="G198" i="5"/>
  <c r="I199" i="5"/>
  <c r="C204" i="5"/>
  <c r="C212" i="5"/>
  <c r="C224" i="5"/>
  <c r="C252" i="5"/>
  <c r="G254" i="5"/>
  <c r="I255" i="5"/>
  <c r="C255" i="5" s="1"/>
  <c r="C260" i="5"/>
  <c r="O261" i="5"/>
  <c r="H261" i="5"/>
  <c r="I261" i="5" s="1"/>
  <c r="C276" i="5"/>
  <c r="O284" i="5"/>
  <c r="C292" i="5"/>
  <c r="C291" i="5" s="1"/>
  <c r="G194" i="5"/>
  <c r="I195" i="5"/>
  <c r="O201" i="5"/>
  <c r="M199" i="5"/>
  <c r="O208" i="5"/>
  <c r="F230" i="5"/>
  <c r="D207" i="5"/>
  <c r="L236" i="5"/>
  <c r="J234" i="5"/>
  <c r="C238" i="5"/>
  <c r="D261" i="5"/>
  <c r="F261" i="5" s="1"/>
  <c r="F262" i="5"/>
  <c r="I266" i="5"/>
  <c r="N271" i="5"/>
  <c r="O271" i="5" s="1"/>
  <c r="O272" i="5"/>
  <c r="H272" i="5"/>
  <c r="H271" i="5" s="1"/>
  <c r="I271" i="5" s="1"/>
  <c r="I274" i="5"/>
  <c r="L284" i="5"/>
  <c r="E155" i="4"/>
  <c r="E146" i="4"/>
  <c r="E145" i="4"/>
  <c r="E141" i="4"/>
  <c r="E139" i="4"/>
  <c r="E138" i="4"/>
  <c r="E137" i="4"/>
  <c r="E132" i="4"/>
  <c r="E123" i="4"/>
  <c r="E111" i="4"/>
  <c r="E103" i="4"/>
  <c r="E97" i="4"/>
  <c r="E88" i="4"/>
  <c r="E87" i="4"/>
  <c r="E80" i="4"/>
  <c r="E67" i="4"/>
  <c r="E65" i="4"/>
  <c r="E57" i="4"/>
  <c r="E52" i="4"/>
  <c r="E50" i="4"/>
  <c r="E45" i="4"/>
  <c r="E44" i="4"/>
  <c r="E38" i="4"/>
  <c r="G71" i="1"/>
  <c r="G68" i="1"/>
  <c r="G64" i="1"/>
  <c r="G60" i="1"/>
  <c r="G28" i="1"/>
  <c r="D71" i="1"/>
  <c r="D67" i="1"/>
  <c r="D60" i="1"/>
  <c r="D28" i="1"/>
  <c r="C284" i="6" l="1"/>
  <c r="C282" i="6"/>
  <c r="C115" i="6"/>
  <c r="C187" i="6"/>
  <c r="C131" i="6"/>
  <c r="C25" i="6"/>
  <c r="C125" i="6"/>
  <c r="C278" i="6"/>
  <c r="F289" i="6"/>
  <c r="L190" i="6"/>
  <c r="O261" i="6"/>
  <c r="C261" i="6" s="1"/>
  <c r="H197" i="6"/>
  <c r="F177" i="6"/>
  <c r="F290" i="6"/>
  <c r="C106" i="6"/>
  <c r="C163" i="6"/>
  <c r="C61" i="6"/>
  <c r="C201" i="6"/>
  <c r="C98" i="6"/>
  <c r="D233" i="6"/>
  <c r="F233" i="6" s="1"/>
  <c r="H78" i="6"/>
  <c r="H287" i="6" s="1"/>
  <c r="K197" i="6"/>
  <c r="E78" i="6"/>
  <c r="E55" i="6" s="1"/>
  <c r="E54" i="6" s="1"/>
  <c r="C134" i="7"/>
  <c r="I199" i="7"/>
  <c r="L133" i="7"/>
  <c r="C274" i="7"/>
  <c r="C106" i="7"/>
  <c r="C147" i="7"/>
  <c r="C46" i="7"/>
  <c r="G190" i="7"/>
  <c r="I190" i="7" s="1"/>
  <c r="C190" i="7" s="1"/>
  <c r="C208" i="7"/>
  <c r="C238" i="7"/>
  <c r="C291" i="7"/>
  <c r="E55" i="7"/>
  <c r="C83" i="7"/>
  <c r="F86" i="7"/>
  <c r="C86" i="7" s="1"/>
  <c r="L190" i="7"/>
  <c r="C284" i="7"/>
  <c r="C194" i="7"/>
  <c r="C255" i="7"/>
  <c r="F199" i="7"/>
  <c r="D233" i="7"/>
  <c r="F233" i="7" s="1"/>
  <c r="C131" i="7"/>
  <c r="L289" i="7"/>
  <c r="C182" i="7"/>
  <c r="C98" i="7"/>
  <c r="L57" i="7"/>
  <c r="C92" i="7"/>
  <c r="I272" i="7"/>
  <c r="G271" i="7"/>
  <c r="I271" i="7" s="1"/>
  <c r="H198" i="7"/>
  <c r="I198" i="7" s="1"/>
  <c r="E287" i="7"/>
  <c r="C168" i="7"/>
  <c r="C169" i="7"/>
  <c r="C178" i="7"/>
  <c r="C119" i="7"/>
  <c r="C262" i="7"/>
  <c r="C236" i="7"/>
  <c r="I24" i="7"/>
  <c r="O86" i="7"/>
  <c r="C139" i="7"/>
  <c r="K78" i="7"/>
  <c r="K55" i="7" s="1"/>
  <c r="C219" i="7"/>
  <c r="H55" i="6"/>
  <c r="F271" i="6"/>
  <c r="C274" i="6"/>
  <c r="L207" i="6"/>
  <c r="C169" i="6"/>
  <c r="K78" i="6"/>
  <c r="C80" i="6"/>
  <c r="L24" i="6"/>
  <c r="I86" i="6"/>
  <c r="L177" i="6"/>
  <c r="C134" i="6"/>
  <c r="F24" i="6"/>
  <c r="D56" i="6"/>
  <c r="F56" i="6" s="1"/>
  <c r="F207" i="6"/>
  <c r="F133" i="6"/>
  <c r="C139" i="6"/>
  <c r="C58" i="6"/>
  <c r="L176" i="6"/>
  <c r="C182" i="6"/>
  <c r="C291" i="6"/>
  <c r="C92" i="6"/>
  <c r="C208" i="6"/>
  <c r="D190" i="6"/>
  <c r="F190" i="6" s="1"/>
  <c r="C168" i="6"/>
  <c r="I78" i="6"/>
  <c r="N78" i="6"/>
  <c r="O133" i="6"/>
  <c r="K287" i="6"/>
  <c r="K55" i="6"/>
  <c r="K54" i="6" s="1"/>
  <c r="J233" i="7"/>
  <c r="L234" i="7"/>
  <c r="H233" i="7"/>
  <c r="O234" i="7"/>
  <c r="M233" i="7"/>
  <c r="J198" i="6"/>
  <c r="L199" i="6"/>
  <c r="C199" i="6" s="1"/>
  <c r="J233" i="6"/>
  <c r="L233" i="6" s="1"/>
  <c r="L234" i="6"/>
  <c r="F198" i="6"/>
  <c r="C201" i="7"/>
  <c r="I133" i="7"/>
  <c r="G78" i="7"/>
  <c r="I78" i="7" s="1"/>
  <c r="D289" i="7"/>
  <c r="F289" i="7" s="1"/>
  <c r="F290" i="7"/>
  <c r="C58" i="7"/>
  <c r="G233" i="6"/>
  <c r="I233" i="6" s="1"/>
  <c r="G198" i="6"/>
  <c r="I207" i="6"/>
  <c r="C207" i="6" s="1"/>
  <c r="J78" i="6"/>
  <c r="J55" i="6" s="1"/>
  <c r="F207" i="7"/>
  <c r="D198" i="7"/>
  <c r="C194" i="6"/>
  <c r="D56" i="7"/>
  <c r="F57" i="7"/>
  <c r="L133" i="6"/>
  <c r="C133" i="6" s="1"/>
  <c r="G56" i="6"/>
  <c r="M198" i="7"/>
  <c r="O199" i="7"/>
  <c r="J198" i="7"/>
  <c r="L207" i="7"/>
  <c r="D271" i="7"/>
  <c r="F272" i="7"/>
  <c r="J271" i="6"/>
  <c r="L272" i="6"/>
  <c r="O56" i="6"/>
  <c r="L56" i="6"/>
  <c r="L24" i="7"/>
  <c r="C24" i="7" s="1"/>
  <c r="J78" i="7"/>
  <c r="L30" i="7"/>
  <c r="C30" i="7" s="1"/>
  <c r="O234" i="6"/>
  <c r="M233" i="6"/>
  <c r="N190" i="6"/>
  <c r="M78" i="7"/>
  <c r="O78" i="7" s="1"/>
  <c r="O79" i="7"/>
  <c r="C79" i="7" s="1"/>
  <c r="C195" i="6"/>
  <c r="C57" i="6"/>
  <c r="C261" i="7"/>
  <c r="C195" i="7"/>
  <c r="E197" i="7"/>
  <c r="E54" i="7" s="1"/>
  <c r="N198" i="7"/>
  <c r="O207" i="7"/>
  <c r="C80" i="7"/>
  <c r="O70" i="7"/>
  <c r="C70" i="7" s="1"/>
  <c r="M56" i="7"/>
  <c r="G56" i="7"/>
  <c r="I57" i="7"/>
  <c r="C262" i="6"/>
  <c r="O24" i="6"/>
  <c r="O177" i="7"/>
  <c r="N287" i="6"/>
  <c r="M176" i="6"/>
  <c r="O176" i="6" s="1"/>
  <c r="O177" i="6"/>
  <c r="L30" i="6"/>
  <c r="C30" i="6" s="1"/>
  <c r="C230" i="7"/>
  <c r="G233" i="7"/>
  <c r="I254" i="7"/>
  <c r="C241" i="7"/>
  <c r="K233" i="7"/>
  <c r="L254" i="7"/>
  <c r="F234" i="7"/>
  <c r="F133" i="7"/>
  <c r="D176" i="7"/>
  <c r="F176" i="7" s="1"/>
  <c r="F177" i="7"/>
  <c r="C25" i="7"/>
  <c r="G271" i="6"/>
  <c r="I272" i="6"/>
  <c r="O199" i="6"/>
  <c r="M198" i="6"/>
  <c r="D78" i="7"/>
  <c r="F78" i="7" s="1"/>
  <c r="C178" i="6"/>
  <c r="F79" i="6"/>
  <c r="C79" i="6" s="1"/>
  <c r="D78" i="6"/>
  <c r="O176" i="7"/>
  <c r="C61" i="7"/>
  <c r="C191" i="6"/>
  <c r="O86" i="6"/>
  <c r="M78" i="6"/>
  <c r="C70" i="6"/>
  <c r="C266" i="5"/>
  <c r="C208" i="5"/>
  <c r="O24" i="5"/>
  <c r="C168" i="5"/>
  <c r="C92" i="5"/>
  <c r="C139" i="5"/>
  <c r="L30" i="5"/>
  <c r="C30" i="5" s="1"/>
  <c r="C278" i="5"/>
  <c r="C187" i="5"/>
  <c r="C24" i="5"/>
  <c r="K197" i="5"/>
  <c r="C282" i="5"/>
  <c r="J56" i="5"/>
  <c r="O133" i="5"/>
  <c r="C261" i="5"/>
  <c r="C72" i="5"/>
  <c r="C284" i="5"/>
  <c r="I207" i="5"/>
  <c r="I272" i="5"/>
  <c r="C230" i="5"/>
  <c r="C125" i="5"/>
  <c r="C80" i="5"/>
  <c r="C58" i="5"/>
  <c r="C119" i="5"/>
  <c r="C178" i="5"/>
  <c r="I56" i="5"/>
  <c r="C191" i="5"/>
  <c r="E78" i="5"/>
  <c r="E55" i="5" s="1"/>
  <c r="E54" i="5" s="1"/>
  <c r="E288" i="5" s="1"/>
  <c r="H78" i="5"/>
  <c r="C236" i="5"/>
  <c r="C219" i="5"/>
  <c r="K287" i="5"/>
  <c r="K55" i="5"/>
  <c r="K54" i="5" s="1"/>
  <c r="F207" i="5"/>
  <c r="D198" i="5"/>
  <c r="C201" i="5"/>
  <c r="L79" i="5"/>
  <c r="J78" i="5"/>
  <c r="L78" i="5" s="1"/>
  <c r="N78" i="5"/>
  <c r="N287" i="5" s="1"/>
  <c r="O79" i="5"/>
  <c r="C79" i="5" s="1"/>
  <c r="M56" i="5"/>
  <c r="J233" i="5"/>
  <c r="L233" i="5" s="1"/>
  <c r="L234" i="5"/>
  <c r="I194" i="5"/>
  <c r="C194" i="5" s="1"/>
  <c r="G190" i="5"/>
  <c r="I190" i="5" s="1"/>
  <c r="C190" i="5" s="1"/>
  <c r="G233" i="5"/>
  <c r="G197" i="5" s="1"/>
  <c r="I254" i="5"/>
  <c r="C254" i="5" s="1"/>
  <c r="H233" i="5"/>
  <c r="H197" i="5" s="1"/>
  <c r="H176" i="5"/>
  <c r="I176" i="5" s="1"/>
  <c r="I177" i="5"/>
  <c r="O86" i="5"/>
  <c r="M78" i="5"/>
  <c r="O78" i="5" s="1"/>
  <c r="C87" i="5"/>
  <c r="G78" i="5"/>
  <c r="I79" i="5"/>
  <c r="D271" i="5"/>
  <c r="F272" i="5"/>
  <c r="C272" i="5" s="1"/>
  <c r="N197" i="5"/>
  <c r="F86" i="5"/>
  <c r="C86" i="5" s="1"/>
  <c r="D78" i="5"/>
  <c r="F78" i="5" s="1"/>
  <c r="D176" i="5"/>
  <c r="F176" i="5" s="1"/>
  <c r="C176" i="5" s="1"/>
  <c r="F177" i="5"/>
  <c r="C177" i="5" s="1"/>
  <c r="C57" i="5"/>
  <c r="C70" i="5"/>
  <c r="I198" i="5"/>
  <c r="J198" i="5"/>
  <c r="L207" i="5"/>
  <c r="C195" i="5"/>
  <c r="C25" i="5"/>
  <c r="C290" i="5" s="1"/>
  <c r="C289" i="5" s="1"/>
  <c r="C262" i="5"/>
  <c r="M198" i="5"/>
  <c r="O199" i="5"/>
  <c r="C241" i="5"/>
  <c r="F199" i="5"/>
  <c r="C169" i="5"/>
  <c r="C274" i="5"/>
  <c r="C134" i="5"/>
  <c r="F56" i="5"/>
  <c r="O234" i="5"/>
  <c r="C234" i="5" s="1"/>
  <c r="M233" i="5"/>
  <c r="D233" i="5"/>
  <c r="F233" i="5" s="1"/>
  <c r="C133" i="5"/>
  <c r="L56" i="5"/>
  <c r="G73" i="2"/>
  <c r="G71" i="2"/>
  <c r="G68" i="2"/>
  <c r="G64" i="2"/>
  <c r="G60" i="2"/>
  <c r="G28" i="2"/>
  <c r="D71" i="2"/>
  <c r="D67" i="2"/>
  <c r="D28" i="2"/>
  <c r="J221" i="3"/>
  <c r="L221" i="3" s="1"/>
  <c r="J127" i="3"/>
  <c r="G178" i="4"/>
  <c r="G177" i="4"/>
  <c r="G176" i="4"/>
  <c r="G175" i="4"/>
  <c r="F175" i="4"/>
  <c r="E175" i="4"/>
  <c r="G170" i="4"/>
  <c r="G169" i="4"/>
  <c r="F169" i="4"/>
  <c r="E169" i="4"/>
  <c r="G164" i="4"/>
  <c r="G163" i="4"/>
  <c r="F163" i="4"/>
  <c r="E163" i="4"/>
  <c r="G158" i="4"/>
  <c r="G157" i="4"/>
  <c r="E157" i="4"/>
  <c r="G156" i="4"/>
  <c r="G155" i="4"/>
  <c r="G154" i="4"/>
  <c r="G153" i="4"/>
  <c r="G152" i="4"/>
  <c r="F151" i="4"/>
  <c r="E151" i="4"/>
  <c r="G146" i="4"/>
  <c r="G145" i="4"/>
  <c r="G144" i="4"/>
  <c r="G143" i="4"/>
  <c r="G142" i="4"/>
  <c r="G141" i="4"/>
  <c r="G140" i="4"/>
  <c r="G139" i="4"/>
  <c r="G138" i="4"/>
  <c r="G137" i="4"/>
  <c r="G136" i="4"/>
  <c r="E136" i="4"/>
  <c r="G135" i="4"/>
  <c r="E135" i="4"/>
  <c r="G134" i="4"/>
  <c r="E133" i="4"/>
  <c r="G133" i="4" s="1"/>
  <c r="G132" i="4"/>
  <c r="G131" i="4"/>
  <c r="E131" i="4"/>
  <c r="G130" i="4"/>
  <c r="G129" i="4"/>
  <c r="G128" i="4"/>
  <c r="E127" i="4"/>
  <c r="G127" i="4" s="1"/>
  <c r="G126" i="4"/>
  <c r="G125" i="4"/>
  <c r="G124" i="4"/>
  <c r="G123" i="4"/>
  <c r="F122" i="4"/>
  <c r="E122" i="4"/>
  <c r="G117" i="4"/>
  <c r="E117" i="4"/>
  <c r="G116" i="4"/>
  <c r="G115" i="4"/>
  <c r="G114" i="4"/>
  <c r="E114" i="4"/>
  <c r="G113" i="4"/>
  <c r="G112" i="4"/>
  <c r="E112" i="4"/>
  <c r="G111" i="4"/>
  <c r="G110" i="4"/>
  <c r="G109" i="4"/>
  <c r="G108" i="4"/>
  <c r="E108" i="4"/>
  <c r="G107" i="4"/>
  <c r="G106" i="4"/>
  <c r="G105" i="4"/>
  <c r="G104" i="4"/>
  <c r="G103" i="4"/>
  <c r="F102" i="4"/>
  <c r="G97" i="4"/>
  <c r="G96" i="4"/>
  <c r="G93" i="4" s="1"/>
  <c r="G95" i="4"/>
  <c r="G94" i="4"/>
  <c r="F93" i="4"/>
  <c r="E93" i="4"/>
  <c r="G88" i="4"/>
  <c r="G87" i="4"/>
  <c r="G86" i="4"/>
  <c r="E86" i="4"/>
  <c r="F85" i="4"/>
  <c r="E85" i="4"/>
  <c r="G80" i="4"/>
  <c r="G79" i="4" s="1"/>
  <c r="F79" i="4"/>
  <c r="E79" i="4"/>
  <c r="G74" i="4"/>
  <c r="G73" i="4"/>
  <c r="F73" i="4"/>
  <c r="E73" i="4"/>
  <c r="G68" i="4"/>
  <c r="G67" i="4"/>
  <c r="G66" i="4"/>
  <c r="G65" i="4"/>
  <c r="F64" i="4"/>
  <c r="E64" i="4"/>
  <c r="G59" i="4"/>
  <c r="G58" i="4"/>
  <c r="G57" i="4"/>
  <c r="G56" i="4"/>
  <c r="G55" i="4"/>
  <c r="G54" i="4"/>
  <c r="G53" i="4"/>
  <c r="G52" i="4"/>
  <c r="G51" i="4"/>
  <c r="G50" i="4"/>
  <c r="G49" i="4"/>
  <c r="G48" i="4"/>
  <c r="G47" i="4"/>
  <c r="G46" i="4"/>
  <c r="G45" i="4"/>
  <c r="G44" i="4"/>
  <c r="G43" i="4"/>
  <c r="G42" i="4"/>
  <c r="G41" i="4"/>
  <c r="E41" i="4"/>
  <c r="G40" i="4"/>
  <c r="G39" i="4"/>
  <c r="G38" i="4"/>
  <c r="G37" i="4"/>
  <c r="G36" i="4"/>
  <c r="E36" i="4"/>
  <c r="F35" i="4"/>
  <c r="E35" i="4"/>
  <c r="G30" i="4"/>
  <c r="F28" i="4"/>
  <c r="G29" i="4"/>
  <c r="G28" i="4" s="1"/>
  <c r="G23" i="4"/>
  <c r="G22" i="4"/>
  <c r="F21" i="4"/>
  <c r="E21" i="4"/>
  <c r="G16" i="4"/>
  <c r="G15" i="4"/>
  <c r="G14" i="4"/>
  <c r="G13" i="4"/>
  <c r="G12" i="4" s="1"/>
  <c r="F12" i="4"/>
  <c r="E12" i="4"/>
  <c r="O299" i="3"/>
  <c r="L299" i="3"/>
  <c r="I299" i="3"/>
  <c r="F299" i="3"/>
  <c r="O298" i="3"/>
  <c r="L298" i="3"/>
  <c r="I298" i="3"/>
  <c r="F298" i="3"/>
  <c r="O297" i="3"/>
  <c r="L297" i="3"/>
  <c r="I297" i="3"/>
  <c r="F297" i="3"/>
  <c r="O296" i="3"/>
  <c r="L296" i="3"/>
  <c r="I296" i="3"/>
  <c r="F296" i="3"/>
  <c r="O295" i="3"/>
  <c r="L295" i="3"/>
  <c r="I295" i="3"/>
  <c r="F295" i="3"/>
  <c r="O294" i="3"/>
  <c r="L294" i="3"/>
  <c r="I294" i="3"/>
  <c r="F294" i="3"/>
  <c r="O293" i="3"/>
  <c r="L293" i="3"/>
  <c r="I293" i="3"/>
  <c r="F293" i="3"/>
  <c r="O292" i="3"/>
  <c r="L292" i="3"/>
  <c r="L291" i="3" s="1"/>
  <c r="I292" i="3"/>
  <c r="F292" i="3"/>
  <c r="N291" i="3"/>
  <c r="M291" i="3"/>
  <c r="K291" i="3"/>
  <c r="J291" i="3"/>
  <c r="H291" i="3"/>
  <c r="G291" i="3"/>
  <c r="E291" i="3"/>
  <c r="D291" i="3"/>
  <c r="O286" i="3"/>
  <c r="L286" i="3"/>
  <c r="I286" i="3"/>
  <c r="F286" i="3"/>
  <c r="O285" i="3"/>
  <c r="L285" i="3"/>
  <c r="L284" i="3" s="1"/>
  <c r="I285" i="3"/>
  <c r="I284" i="3" s="1"/>
  <c r="F285" i="3"/>
  <c r="O284" i="3"/>
  <c r="N284" i="3"/>
  <c r="M284" i="3"/>
  <c r="K284" i="3"/>
  <c r="J284" i="3"/>
  <c r="H284" i="3"/>
  <c r="G284" i="3"/>
  <c r="F284" i="3"/>
  <c r="E284" i="3"/>
  <c r="D284" i="3"/>
  <c r="O283" i="3"/>
  <c r="O282" i="3" s="1"/>
  <c r="L283" i="3"/>
  <c r="L282" i="3" s="1"/>
  <c r="I283" i="3"/>
  <c r="I282" i="3" s="1"/>
  <c r="F283" i="3"/>
  <c r="N282" i="3"/>
  <c r="M282" i="3"/>
  <c r="K282" i="3"/>
  <c r="J282" i="3"/>
  <c r="H282" i="3"/>
  <c r="G282" i="3"/>
  <c r="E282" i="3"/>
  <c r="D282" i="3"/>
  <c r="O281" i="3"/>
  <c r="L281" i="3"/>
  <c r="I281" i="3"/>
  <c r="F281" i="3"/>
  <c r="O280" i="3"/>
  <c r="L280" i="3"/>
  <c r="I280" i="3"/>
  <c r="F280" i="3"/>
  <c r="O279" i="3"/>
  <c r="L279" i="3"/>
  <c r="L278" i="3" s="1"/>
  <c r="I279" i="3"/>
  <c r="I278" i="3" s="1"/>
  <c r="F279" i="3"/>
  <c r="N278" i="3"/>
  <c r="M278" i="3"/>
  <c r="K278" i="3"/>
  <c r="J278" i="3"/>
  <c r="H278" i="3"/>
  <c r="G278" i="3"/>
  <c r="E278" i="3"/>
  <c r="D278" i="3"/>
  <c r="O277" i="3"/>
  <c r="L277" i="3"/>
  <c r="I277" i="3"/>
  <c r="F277" i="3"/>
  <c r="O276" i="3"/>
  <c r="L276" i="3"/>
  <c r="I276" i="3"/>
  <c r="F276" i="3"/>
  <c r="O275" i="3"/>
  <c r="L275" i="3"/>
  <c r="I275" i="3"/>
  <c r="I274" i="3" s="1"/>
  <c r="F275" i="3"/>
  <c r="N274" i="3"/>
  <c r="M274" i="3"/>
  <c r="K274" i="3"/>
  <c r="J274" i="3"/>
  <c r="J272" i="3" s="1"/>
  <c r="J271" i="3" s="1"/>
  <c r="H274" i="3"/>
  <c r="G274" i="3"/>
  <c r="E274" i="3"/>
  <c r="D274" i="3"/>
  <c r="D272" i="3" s="1"/>
  <c r="D271" i="3" s="1"/>
  <c r="O273" i="3"/>
  <c r="L273" i="3"/>
  <c r="I273" i="3"/>
  <c r="F273" i="3"/>
  <c r="H272" i="3"/>
  <c r="O270" i="3"/>
  <c r="L270" i="3"/>
  <c r="I270" i="3"/>
  <c r="F270" i="3"/>
  <c r="O269" i="3"/>
  <c r="L269" i="3"/>
  <c r="I269" i="3"/>
  <c r="F269" i="3"/>
  <c r="O268" i="3"/>
  <c r="L268" i="3"/>
  <c r="I268" i="3"/>
  <c r="F268" i="3"/>
  <c r="O267" i="3"/>
  <c r="L267" i="3"/>
  <c r="I267" i="3"/>
  <c r="F267" i="3"/>
  <c r="N266" i="3"/>
  <c r="M266" i="3"/>
  <c r="K266" i="3"/>
  <c r="J266" i="3"/>
  <c r="H266" i="3"/>
  <c r="G266" i="3"/>
  <c r="E266" i="3"/>
  <c r="D266" i="3"/>
  <c r="O265" i="3"/>
  <c r="L265" i="3"/>
  <c r="I265" i="3"/>
  <c r="F265" i="3"/>
  <c r="O264" i="3"/>
  <c r="L264" i="3"/>
  <c r="I264" i="3"/>
  <c r="F264" i="3"/>
  <c r="O263" i="3"/>
  <c r="L263" i="3"/>
  <c r="I263" i="3"/>
  <c r="F263" i="3"/>
  <c r="N262" i="3"/>
  <c r="M262" i="3"/>
  <c r="M261" i="3" s="1"/>
  <c r="K262" i="3"/>
  <c r="J262" i="3"/>
  <c r="H262" i="3"/>
  <c r="H261" i="3" s="1"/>
  <c r="G262" i="3"/>
  <c r="G261" i="3" s="1"/>
  <c r="E262" i="3"/>
  <c r="D262" i="3"/>
  <c r="N261" i="3"/>
  <c r="J261" i="3"/>
  <c r="D261" i="3"/>
  <c r="O260" i="3"/>
  <c r="L260" i="3"/>
  <c r="I260" i="3"/>
  <c r="F260" i="3"/>
  <c r="O259" i="3"/>
  <c r="L259" i="3"/>
  <c r="I259" i="3"/>
  <c r="F259" i="3"/>
  <c r="O258" i="3"/>
  <c r="L258" i="3"/>
  <c r="I258" i="3"/>
  <c r="F258" i="3"/>
  <c r="O257" i="3"/>
  <c r="L257" i="3"/>
  <c r="I257" i="3"/>
  <c r="F257" i="3"/>
  <c r="O256" i="3"/>
  <c r="O255" i="3" s="1"/>
  <c r="L256" i="3"/>
  <c r="L255" i="3" s="1"/>
  <c r="L254" i="3" s="1"/>
  <c r="I256" i="3"/>
  <c r="F256" i="3"/>
  <c r="N255" i="3"/>
  <c r="N254" i="3" s="1"/>
  <c r="M255" i="3"/>
  <c r="M254" i="3" s="1"/>
  <c r="K255" i="3"/>
  <c r="J255" i="3"/>
  <c r="J254" i="3" s="1"/>
  <c r="H255" i="3"/>
  <c r="H254" i="3" s="1"/>
  <c r="G255" i="3"/>
  <c r="G254" i="3" s="1"/>
  <c r="E255" i="3"/>
  <c r="E254" i="3" s="1"/>
  <c r="D255" i="3"/>
  <c r="D254" i="3" s="1"/>
  <c r="K254" i="3"/>
  <c r="O253" i="3"/>
  <c r="L253" i="3"/>
  <c r="I253" i="3"/>
  <c r="F253" i="3"/>
  <c r="O252" i="3"/>
  <c r="L252" i="3"/>
  <c r="I252" i="3"/>
  <c r="F252" i="3"/>
  <c r="O251" i="3"/>
  <c r="L251" i="3"/>
  <c r="I251" i="3"/>
  <c r="F251" i="3"/>
  <c r="O250" i="3"/>
  <c r="L250" i="3"/>
  <c r="I250" i="3"/>
  <c r="F250" i="3"/>
  <c r="N249" i="3"/>
  <c r="M249" i="3"/>
  <c r="K249" i="3"/>
  <c r="J249" i="3"/>
  <c r="H249" i="3"/>
  <c r="G249" i="3"/>
  <c r="E249" i="3"/>
  <c r="D249" i="3"/>
  <c r="O248" i="3"/>
  <c r="L248" i="3"/>
  <c r="I248" i="3"/>
  <c r="F248" i="3"/>
  <c r="O247" i="3"/>
  <c r="L247" i="3"/>
  <c r="I247" i="3"/>
  <c r="F247" i="3"/>
  <c r="O246" i="3"/>
  <c r="L246" i="3"/>
  <c r="I246" i="3"/>
  <c r="F246" i="3"/>
  <c r="O245" i="3"/>
  <c r="L245" i="3"/>
  <c r="I245" i="3"/>
  <c r="F245" i="3"/>
  <c r="O244" i="3"/>
  <c r="L244" i="3"/>
  <c r="I244" i="3"/>
  <c r="F244" i="3"/>
  <c r="O243" i="3"/>
  <c r="L243" i="3"/>
  <c r="I243" i="3"/>
  <c r="F243" i="3"/>
  <c r="O242" i="3"/>
  <c r="L242" i="3"/>
  <c r="I242" i="3"/>
  <c r="F242" i="3"/>
  <c r="F241" i="3" s="1"/>
  <c r="N241" i="3"/>
  <c r="M241" i="3"/>
  <c r="K241" i="3"/>
  <c r="J241" i="3"/>
  <c r="H241" i="3"/>
  <c r="G241" i="3"/>
  <c r="E241" i="3"/>
  <c r="D241" i="3"/>
  <c r="O240" i="3"/>
  <c r="L240" i="3"/>
  <c r="I240" i="3"/>
  <c r="F240" i="3"/>
  <c r="O239" i="3"/>
  <c r="L239" i="3"/>
  <c r="I239" i="3"/>
  <c r="I238" i="3" s="1"/>
  <c r="F239" i="3"/>
  <c r="N238" i="3"/>
  <c r="M238" i="3"/>
  <c r="K238" i="3"/>
  <c r="J238" i="3"/>
  <c r="H238" i="3"/>
  <c r="G238" i="3"/>
  <c r="E238" i="3"/>
  <c r="D238" i="3"/>
  <c r="O237" i="3"/>
  <c r="L237" i="3"/>
  <c r="L236" i="3" s="1"/>
  <c r="I237" i="3"/>
  <c r="I236" i="3" s="1"/>
  <c r="F237" i="3"/>
  <c r="F236" i="3" s="1"/>
  <c r="O236" i="3"/>
  <c r="N236" i="3"/>
  <c r="M236" i="3"/>
  <c r="K236" i="3"/>
  <c r="J236" i="3"/>
  <c r="H236" i="3"/>
  <c r="G236" i="3"/>
  <c r="E236" i="3"/>
  <c r="D236" i="3"/>
  <c r="O235" i="3"/>
  <c r="L235" i="3"/>
  <c r="I235" i="3"/>
  <c r="F235" i="3"/>
  <c r="O232" i="3"/>
  <c r="L232" i="3"/>
  <c r="I232" i="3"/>
  <c r="F232" i="3"/>
  <c r="O231" i="3"/>
  <c r="L231" i="3"/>
  <c r="L230" i="3" s="1"/>
  <c r="I231" i="3"/>
  <c r="F231" i="3"/>
  <c r="O230" i="3"/>
  <c r="N230" i="3"/>
  <c r="M230" i="3"/>
  <c r="K230" i="3"/>
  <c r="J230" i="3"/>
  <c r="I230" i="3"/>
  <c r="H230" i="3"/>
  <c r="G230" i="3"/>
  <c r="E230" i="3"/>
  <c r="D230" i="3"/>
  <c r="O229" i="3"/>
  <c r="L229" i="3"/>
  <c r="I229" i="3"/>
  <c r="F229" i="3"/>
  <c r="O228" i="3"/>
  <c r="L228" i="3"/>
  <c r="I228" i="3"/>
  <c r="F228" i="3"/>
  <c r="O227" i="3"/>
  <c r="L227" i="3"/>
  <c r="I227" i="3"/>
  <c r="F227" i="3"/>
  <c r="O226" i="3"/>
  <c r="L226" i="3"/>
  <c r="I226" i="3"/>
  <c r="F226" i="3"/>
  <c r="O225" i="3"/>
  <c r="L225" i="3"/>
  <c r="I225" i="3"/>
  <c r="F225" i="3"/>
  <c r="O224" i="3"/>
  <c r="L224" i="3"/>
  <c r="I224" i="3"/>
  <c r="F224" i="3"/>
  <c r="O223" i="3"/>
  <c r="L223" i="3"/>
  <c r="I223" i="3"/>
  <c r="F223" i="3"/>
  <c r="O222" i="3"/>
  <c r="L222" i="3"/>
  <c r="I222" i="3"/>
  <c r="F222" i="3"/>
  <c r="O221" i="3"/>
  <c r="I221" i="3"/>
  <c r="F221" i="3"/>
  <c r="O220" i="3"/>
  <c r="L220" i="3"/>
  <c r="I220" i="3"/>
  <c r="F220" i="3"/>
  <c r="N219" i="3"/>
  <c r="M219" i="3"/>
  <c r="K219" i="3"/>
  <c r="J219" i="3"/>
  <c r="H219" i="3"/>
  <c r="G219" i="3"/>
  <c r="E219" i="3"/>
  <c r="D219" i="3"/>
  <c r="O218" i="3"/>
  <c r="L218" i="3"/>
  <c r="I218" i="3"/>
  <c r="F218" i="3"/>
  <c r="O217" i="3"/>
  <c r="L217" i="3"/>
  <c r="I217" i="3"/>
  <c r="F217" i="3"/>
  <c r="O216" i="3"/>
  <c r="L216" i="3"/>
  <c r="I216" i="3"/>
  <c r="F216" i="3"/>
  <c r="O215" i="3"/>
  <c r="L215" i="3"/>
  <c r="I215" i="3"/>
  <c r="F215" i="3"/>
  <c r="O214" i="3"/>
  <c r="L214" i="3"/>
  <c r="I214" i="3"/>
  <c r="F214" i="3"/>
  <c r="O213" i="3"/>
  <c r="L213" i="3"/>
  <c r="I213" i="3"/>
  <c r="F213" i="3"/>
  <c r="O212" i="3"/>
  <c r="L212" i="3"/>
  <c r="I212" i="3"/>
  <c r="F212" i="3"/>
  <c r="O211" i="3"/>
  <c r="L211" i="3"/>
  <c r="I211" i="3"/>
  <c r="F211" i="3"/>
  <c r="O210" i="3"/>
  <c r="L210" i="3"/>
  <c r="I210" i="3"/>
  <c r="F210" i="3"/>
  <c r="O209" i="3"/>
  <c r="L209" i="3"/>
  <c r="I209" i="3"/>
  <c r="F209" i="3"/>
  <c r="N208" i="3"/>
  <c r="M208" i="3"/>
  <c r="K208" i="3"/>
  <c r="K207" i="3" s="1"/>
  <c r="J208" i="3"/>
  <c r="H208" i="3"/>
  <c r="G208" i="3"/>
  <c r="G207" i="3" s="1"/>
  <c r="E208" i="3"/>
  <c r="D208" i="3"/>
  <c r="O206" i="3"/>
  <c r="L206" i="3"/>
  <c r="I206" i="3"/>
  <c r="F206" i="3"/>
  <c r="O205" i="3"/>
  <c r="L205" i="3"/>
  <c r="I205" i="3"/>
  <c r="F205" i="3"/>
  <c r="O204" i="3"/>
  <c r="L204" i="3"/>
  <c r="I204" i="3"/>
  <c r="F204" i="3"/>
  <c r="O203" i="3"/>
  <c r="L203" i="3"/>
  <c r="I203" i="3"/>
  <c r="F203" i="3"/>
  <c r="O202" i="3"/>
  <c r="O201" i="3" s="1"/>
  <c r="L202" i="3"/>
  <c r="L201" i="3" s="1"/>
  <c r="I202" i="3"/>
  <c r="F202" i="3"/>
  <c r="F201" i="3" s="1"/>
  <c r="N201" i="3"/>
  <c r="N199" i="3" s="1"/>
  <c r="M201" i="3"/>
  <c r="M199" i="3" s="1"/>
  <c r="K201" i="3"/>
  <c r="J201" i="3"/>
  <c r="J199" i="3" s="1"/>
  <c r="H201" i="3"/>
  <c r="H199" i="3" s="1"/>
  <c r="G201" i="3"/>
  <c r="G199" i="3" s="1"/>
  <c r="E201" i="3"/>
  <c r="D201" i="3"/>
  <c r="D199" i="3" s="1"/>
  <c r="O200" i="3"/>
  <c r="L200" i="3"/>
  <c r="I200" i="3"/>
  <c r="F200" i="3"/>
  <c r="K199" i="3"/>
  <c r="E199" i="3"/>
  <c r="O196" i="3"/>
  <c r="L196" i="3"/>
  <c r="L195" i="3" s="1"/>
  <c r="L194" i="3" s="1"/>
  <c r="I196" i="3"/>
  <c r="I195" i="3" s="1"/>
  <c r="N195" i="3"/>
  <c r="N194" i="3" s="1"/>
  <c r="M195" i="3"/>
  <c r="M194" i="3" s="1"/>
  <c r="K195" i="3"/>
  <c r="K194" i="3" s="1"/>
  <c r="J195" i="3"/>
  <c r="J194" i="3" s="1"/>
  <c r="H195" i="3"/>
  <c r="G195" i="3"/>
  <c r="G194" i="3" s="1"/>
  <c r="F195" i="3"/>
  <c r="F194" i="3" s="1"/>
  <c r="E195" i="3"/>
  <c r="E194" i="3" s="1"/>
  <c r="D195" i="3"/>
  <c r="D194" i="3" s="1"/>
  <c r="H194" i="3"/>
  <c r="O193" i="3"/>
  <c r="L193" i="3"/>
  <c r="I193" i="3"/>
  <c r="O192" i="3"/>
  <c r="L192" i="3"/>
  <c r="I192" i="3"/>
  <c r="N191" i="3"/>
  <c r="M191" i="3"/>
  <c r="K191" i="3"/>
  <c r="J191" i="3"/>
  <c r="H191" i="3"/>
  <c r="G191" i="3"/>
  <c r="F191" i="3"/>
  <c r="E191" i="3"/>
  <c r="D191" i="3"/>
  <c r="O189" i="3"/>
  <c r="L189" i="3"/>
  <c r="I189" i="3"/>
  <c r="F189" i="3"/>
  <c r="O188" i="3"/>
  <c r="L188" i="3"/>
  <c r="I188" i="3"/>
  <c r="I187" i="3" s="1"/>
  <c r="F188" i="3"/>
  <c r="N187" i="3"/>
  <c r="M187" i="3"/>
  <c r="K187" i="3"/>
  <c r="J187" i="3"/>
  <c r="H187" i="3"/>
  <c r="G187" i="3"/>
  <c r="E187" i="3"/>
  <c r="D187" i="3"/>
  <c r="O186" i="3"/>
  <c r="L186" i="3"/>
  <c r="I186" i="3"/>
  <c r="F186" i="3"/>
  <c r="O185" i="3"/>
  <c r="L185" i="3"/>
  <c r="I185" i="3"/>
  <c r="F185" i="3"/>
  <c r="O184" i="3"/>
  <c r="L184" i="3"/>
  <c r="I184" i="3"/>
  <c r="F184" i="3"/>
  <c r="O183" i="3"/>
  <c r="O182" i="3" s="1"/>
  <c r="L183" i="3"/>
  <c r="I183" i="3"/>
  <c r="I182" i="3" s="1"/>
  <c r="F183" i="3"/>
  <c r="F182" i="3" s="1"/>
  <c r="N182" i="3"/>
  <c r="M182" i="3"/>
  <c r="K182" i="3"/>
  <c r="J182" i="3"/>
  <c r="H182" i="3"/>
  <c r="G182" i="3"/>
  <c r="E182" i="3"/>
  <c r="D182" i="3"/>
  <c r="O181" i="3"/>
  <c r="L181" i="3"/>
  <c r="I181" i="3"/>
  <c r="F181" i="3"/>
  <c r="O180" i="3"/>
  <c r="L180" i="3"/>
  <c r="I180" i="3"/>
  <c r="F180" i="3"/>
  <c r="O179" i="3"/>
  <c r="L179" i="3"/>
  <c r="I179" i="3"/>
  <c r="I178" i="3" s="1"/>
  <c r="I177" i="3" s="1"/>
  <c r="F179" i="3"/>
  <c r="N178" i="3"/>
  <c r="M178" i="3"/>
  <c r="K178" i="3"/>
  <c r="K177" i="3" s="1"/>
  <c r="J178" i="3"/>
  <c r="J177" i="3" s="1"/>
  <c r="J176" i="3" s="1"/>
  <c r="H178" i="3"/>
  <c r="G178" i="3"/>
  <c r="G177" i="3" s="1"/>
  <c r="G176" i="3" s="1"/>
  <c r="E178" i="3"/>
  <c r="E177" i="3" s="1"/>
  <c r="E176" i="3" s="1"/>
  <c r="D178" i="3"/>
  <c r="O175" i="3"/>
  <c r="L175" i="3"/>
  <c r="I175" i="3"/>
  <c r="F175" i="3"/>
  <c r="O174" i="3"/>
  <c r="L174" i="3"/>
  <c r="I174" i="3"/>
  <c r="F174" i="3"/>
  <c r="O173" i="3"/>
  <c r="L173" i="3"/>
  <c r="I173" i="3"/>
  <c r="F173" i="3"/>
  <c r="O172" i="3"/>
  <c r="L172" i="3"/>
  <c r="I172" i="3"/>
  <c r="F172" i="3"/>
  <c r="O171" i="3"/>
  <c r="L171" i="3"/>
  <c r="I171" i="3"/>
  <c r="F171" i="3"/>
  <c r="O170" i="3"/>
  <c r="O169" i="3" s="1"/>
  <c r="O168" i="3" s="1"/>
  <c r="L170" i="3"/>
  <c r="L169" i="3" s="1"/>
  <c r="L168" i="3" s="1"/>
  <c r="I170" i="3"/>
  <c r="I169" i="3" s="1"/>
  <c r="I168" i="3" s="1"/>
  <c r="F170" i="3"/>
  <c r="N169" i="3"/>
  <c r="N168" i="3" s="1"/>
  <c r="M169" i="3"/>
  <c r="M168" i="3" s="1"/>
  <c r="K169" i="3"/>
  <c r="K168" i="3" s="1"/>
  <c r="J169" i="3"/>
  <c r="J168" i="3" s="1"/>
  <c r="H169" i="3"/>
  <c r="G169" i="3"/>
  <c r="G168" i="3" s="1"/>
  <c r="E169" i="3"/>
  <c r="E168" i="3" s="1"/>
  <c r="D169" i="3"/>
  <c r="D168" i="3" s="1"/>
  <c r="H168" i="3"/>
  <c r="O167" i="3"/>
  <c r="L167" i="3"/>
  <c r="I167" i="3"/>
  <c r="F167" i="3"/>
  <c r="O166" i="3"/>
  <c r="L166" i="3"/>
  <c r="I166" i="3"/>
  <c r="F166" i="3"/>
  <c r="O165" i="3"/>
  <c r="L165" i="3"/>
  <c r="I165" i="3"/>
  <c r="F165" i="3"/>
  <c r="O164" i="3"/>
  <c r="O163" i="3" s="1"/>
  <c r="L164" i="3"/>
  <c r="I164" i="3"/>
  <c r="I163" i="3" s="1"/>
  <c r="F164" i="3"/>
  <c r="N163" i="3"/>
  <c r="M163" i="3"/>
  <c r="K163" i="3"/>
  <c r="J163" i="3"/>
  <c r="H163" i="3"/>
  <c r="G163" i="3"/>
  <c r="E163" i="3"/>
  <c r="D163" i="3"/>
  <c r="O162" i="3"/>
  <c r="L162" i="3"/>
  <c r="I162" i="3"/>
  <c r="F162" i="3"/>
  <c r="O161" i="3"/>
  <c r="L161" i="3"/>
  <c r="I161" i="3"/>
  <c r="F161" i="3"/>
  <c r="O160" i="3"/>
  <c r="L160" i="3"/>
  <c r="I160" i="3"/>
  <c r="F160" i="3"/>
  <c r="O159" i="3"/>
  <c r="L159" i="3"/>
  <c r="I159" i="3"/>
  <c r="F159" i="3"/>
  <c r="O158" i="3"/>
  <c r="L158" i="3"/>
  <c r="I158" i="3"/>
  <c r="F158" i="3"/>
  <c r="O157" i="3"/>
  <c r="L157" i="3"/>
  <c r="I157" i="3"/>
  <c r="F157" i="3"/>
  <c r="O156" i="3"/>
  <c r="L156" i="3"/>
  <c r="I156" i="3"/>
  <c r="F156" i="3"/>
  <c r="O155" i="3"/>
  <c r="L155" i="3"/>
  <c r="I155" i="3"/>
  <c r="F155" i="3"/>
  <c r="N154" i="3"/>
  <c r="M154" i="3"/>
  <c r="K154" i="3"/>
  <c r="J154" i="3"/>
  <c r="H154" i="3"/>
  <c r="G154" i="3"/>
  <c r="F154" i="3"/>
  <c r="E154" i="3"/>
  <c r="D154" i="3"/>
  <c r="O153" i="3"/>
  <c r="L153" i="3"/>
  <c r="I153" i="3"/>
  <c r="F153" i="3"/>
  <c r="O152" i="3"/>
  <c r="L152" i="3"/>
  <c r="I152" i="3"/>
  <c r="F152" i="3"/>
  <c r="O151" i="3"/>
  <c r="L151" i="3"/>
  <c r="I151" i="3"/>
  <c r="F151" i="3"/>
  <c r="O150" i="3"/>
  <c r="L150" i="3"/>
  <c r="I150" i="3"/>
  <c r="F150" i="3"/>
  <c r="O149" i="3"/>
  <c r="L149" i="3"/>
  <c r="I149" i="3"/>
  <c r="F149" i="3"/>
  <c r="O148" i="3"/>
  <c r="L148" i="3"/>
  <c r="I148" i="3"/>
  <c r="F148" i="3"/>
  <c r="N147" i="3"/>
  <c r="M147" i="3"/>
  <c r="K147" i="3"/>
  <c r="J147" i="3"/>
  <c r="H147" i="3"/>
  <c r="G147" i="3"/>
  <c r="E147" i="3"/>
  <c r="D147" i="3"/>
  <c r="O146" i="3"/>
  <c r="L146" i="3"/>
  <c r="I146" i="3"/>
  <c r="F146" i="3"/>
  <c r="O145" i="3"/>
  <c r="O144" i="3" s="1"/>
  <c r="L145" i="3"/>
  <c r="I145" i="3"/>
  <c r="F145" i="3"/>
  <c r="F144" i="3" s="1"/>
  <c r="N144" i="3"/>
  <c r="M144" i="3"/>
  <c r="K144" i="3"/>
  <c r="J144" i="3"/>
  <c r="H144" i="3"/>
  <c r="G144" i="3"/>
  <c r="E144" i="3"/>
  <c r="D144" i="3"/>
  <c r="O143" i="3"/>
  <c r="L143" i="3"/>
  <c r="I143" i="3"/>
  <c r="F143" i="3"/>
  <c r="O142" i="3"/>
  <c r="L142" i="3"/>
  <c r="I142" i="3"/>
  <c r="F142" i="3"/>
  <c r="O141" i="3"/>
  <c r="L141" i="3"/>
  <c r="I141" i="3"/>
  <c r="F141" i="3"/>
  <c r="O140" i="3"/>
  <c r="L140" i="3"/>
  <c r="I140" i="3"/>
  <c r="F140" i="3"/>
  <c r="N139" i="3"/>
  <c r="M139" i="3"/>
  <c r="K139" i="3"/>
  <c r="J139" i="3"/>
  <c r="I139" i="3"/>
  <c r="H139" i="3"/>
  <c r="G139" i="3"/>
  <c r="E139" i="3"/>
  <c r="D139" i="3"/>
  <c r="O138" i="3"/>
  <c r="L138" i="3"/>
  <c r="I138" i="3"/>
  <c r="F138" i="3"/>
  <c r="O137" i="3"/>
  <c r="L137" i="3"/>
  <c r="I137" i="3"/>
  <c r="F137" i="3"/>
  <c r="O136" i="3"/>
  <c r="L136" i="3"/>
  <c r="I136" i="3"/>
  <c r="F136" i="3"/>
  <c r="O135" i="3"/>
  <c r="L135" i="3"/>
  <c r="I135" i="3"/>
  <c r="F135" i="3"/>
  <c r="N134" i="3"/>
  <c r="M134" i="3"/>
  <c r="K134" i="3"/>
  <c r="J134" i="3"/>
  <c r="H134" i="3"/>
  <c r="G134" i="3"/>
  <c r="E134" i="3"/>
  <c r="D134" i="3"/>
  <c r="O132" i="3"/>
  <c r="O131" i="3" s="1"/>
  <c r="L132" i="3"/>
  <c r="L131" i="3" s="1"/>
  <c r="I132" i="3"/>
  <c r="F132" i="3"/>
  <c r="N131" i="3"/>
  <c r="M131" i="3"/>
  <c r="K131" i="3"/>
  <c r="J131" i="3"/>
  <c r="I131" i="3"/>
  <c r="H131" i="3"/>
  <c r="G131" i="3"/>
  <c r="E131" i="3"/>
  <c r="D131" i="3"/>
  <c r="O130" i="3"/>
  <c r="L130" i="3"/>
  <c r="I130" i="3"/>
  <c r="F130" i="3"/>
  <c r="O129" i="3"/>
  <c r="L129" i="3"/>
  <c r="I129" i="3"/>
  <c r="F129" i="3"/>
  <c r="O128" i="3"/>
  <c r="L128" i="3"/>
  <c r="I128" i="3"/>
  <c r="F128" i="3"/>
  <c r="O127" i="3"/>
  <c r="L127" i="3"/>
  <c r="I127" i="3"/>
  <c r="F127" i="3"/>
  <c r="O126" i="3"/>
  <c r="L126" i="3"/>
  <c r="I126" i="3"/>
  <c r="I125" i="3" s="1"/>
  <c r="F126" i="3"/>
  <c r="N125" i="3"/>
  <c r="M125" i="3"/>
  <c r="K125" i="3"/>
  <c r="J125" i="3"/>
  <c r="H125" i="3"/>
  <c r="G125" i="3"/>
  <c r="E125" i="3"/>
  <c r="D125" i="3"/>
  <c r="O124" i="3"/>
  <c r="L124" i="3"/>
  <c r="I124" i="3"/>
  <c r="F124" i="3"/>
  <c r="O123" i="3"/>
  <c r="L123" i="3"/>
  <c r="I123" i="3"/>
  <c r="F123" i="3"/>
  <c r="O122" i="3"/>
  <c r="L122" i="3"/>
  <c r="I122" i="3"/>
  <c r="F122" i="3"/>
  <c r="O121" i="3"/>
  <c r="L121" i="3"/>
  <c r="I121" i="3"/>
  <c r="F121" i="3"/>
  <c r="O120" i="3"/>
  <c r="L120" i="3"/>
  <c r="I120" i="3"/>
  <c r="I119" i="3" s="1"/>
  <c r="F120" i="3"/>
  <c r="N119" i="3"/>
  <c r="M119" i="3"/>
  <c r="K119" i="3"/>
  <c r="J119" i="3"/>
  <c r="H119" i="3"/>
  <c r="G119" i="3"/>
  <c r="E119" i="3"/>
  <c r="D119" i="3"/>
  <c r="O118" i="3"/>
  <c r="L118" i="3"/>
  <c r="I118" i="3"/>
  <c r="C118" i="3" s="1"/>
  <c r="F118" i="3"/>
  <c r="O117" i="3"/>
  <c r="L117" i="3"/>
  <c r="I117" i="3"/>
  <c r="C117" i="3" s="1"/>
  <c r="F117" i="3"/>
  <c r="O116" i="3"/>
  <c r="L116" i="3"/>
  <c r="I116" i="3"/>
  <c r="F116" i="3"/>
  <c r="N115" i="3"/>
  <c r="M115" i="3"/>
  <c r="K115" i="3"/>
  <c r="J115" i="3"/>
  <c r="H115" i="3"/>
  <c r="G115" i="3"/>
  <c r="E115" i="3"/>
  <c r="D115" i="3"/>
  <c r="O114" i="3"/>
  <c r="L114" i="3"/>
  <c r="I114" i="3"/>
  <c r="F114" i="3"/>
  <c r="O113" i="3"/>
  <c r="L113" i="3"/>
  <c r="I113" i="3"/>
  <c r="C113" i="3" s="1"/>
  <c r="F113" i="3"/>
  <c r="O112" i="3"/>
  <c r="L112" i="3"/>
  <c r="I112" i="3"/>
  <c r="F112" i="3"/>
  <c r="O111" i="3"/>
  <c r="L111" i="3"/>
  <c r="I111" i="3"/>
  <c r="F111" i="3"/>
  <c r="O110" i="3"/>
  <c r="L110" i="3"/>
  <c r="I110" i="3"/>
  <c r="F110" i="3"/>
  <c r="O109" i="3"/>
  <c r="L109" i="3"/>
  <c r="I109" i="3"/>
  <c r="F109" i="3"/>
  <c r="O108" i="3"/>
  <c r="L108" i="3"/>
  <c r="I108" i="3"/>
  <c r="F108" i="3"/>
  <c r="D108" i="3"/>
  <c r="D106" i="3" s="1"/>
  <c r="O107" i="3"/>
  <c r="L107" i="3"/>
  <c r="I107" i="3"/>
  <c r="F107" i="3"/>
  <c r="N106" i="3"/>
  <c r="M106" i="3"/>
  <c r="K106" i="3"/>
  <c r="J106" i="3"/>
  <c r="H106" i="3"/>
  <c r="G106" i="3"/>
  <c r="E106" i="3"/>
  <c r="O105" i="3"/>
  <c r="L105" i="3"/>
  <c r="I105" i="3"/>
  <c r="F105" i="3"/>
  <c r="O104" i="3"/>
  <c r="L104" i="3"/>
  <c r="I104" i="3"/>
  <c r="F104" i="3"/>
  <c r="O103" i="3"/>
  <c r="L103" i="3"/>
  <c r="I103" i="3"/>
  <c r="F103" i="3"/>
  <c r="O102" i="3"/>
  <c r="L102" i="3"/>
  <c r="I102" i="3"/>
  <c r="F102" i="3"/>
  <c r="O101" i="3"/>
  <c r="L101" i="3"/>
  <c r="I101" i="3"/>
  <c r="F101" i="3"/>
  <c r="O100" i="3"/>
  <c r="L100" i="3"/>
  <c r="I100" i="3"/>
  <c r="F100" i="3"/>
  <c r="O99" i="3"/>
  <c r="L99" i="3"/>
  <c r="I99" i="3"/>
  <c r="F99" i="3"/>
  <c r="O98" i="3"/>
  <c r="N98" i="3"/>
  <c r="M98" i="3"/>
  <c r="K98" i="3"/>
  <c r="J98" i="3"/>
  <c r="H98" i="3"/>
  <c r="G98" i="3"/>
  <c r="E98" i="3"/>
  <c r="D98" i="3"/>
  <c r="O97" i="3"/>
  <c r="L97" i="3"/>
  <c r="I97" i="3"/>
  <c r="F97" i="3"/>
  <c r="O96" i="3"/>
  <c r="L96" i="3"/>
  <c r="I96" i="3"/>
  <c r="F96" i="3"/>
  <c r="O95" i="3"/>
  <c r="L95" i="3"/>
  <c r="I95" i="3"/>
  <c r="F95" i="3"/>
  <c r="O94" i="3"/>
  <c r="L94" i="3"/>
  <c r="I94" i="3"/>
  <c r="F94" i="3"/>
  <c r="O93" i="3"/>
  <c r="L93" i="3"/>
  <c r="I93" i="3"/>
  <c r="F93" i="3"/>
  <c r="N92" i="3"/>
  <c r="M92" i="3"/>
  <c r="K92" i="3"/>
  <c r="J92" i="3"/>
  <c r="H92" i="3"/>
  <c r="G92" i="3"/>
  <c r="E92" i="3"/>
  <c r="D92" i="3"/>
  <c r="O91" i="3"/>
  <c r="L91" i="3"/>
  <c r="I91" i="3"/>
  <c r="F91" i="3"/>
  <c r="O90" i="3"/>
  <c r="L90" i="3"/>
  <c r="I90" i="3"/>
  <c r="F90" i="3"/>
  <c r="O89" i="3"/>
  <c r="L89" i="3"/>
  <c r="I89" i="3"/>
  <c r="F89" i="3"/>
  <c r="O88" i="3"/>
  <c r="L88" i="3"/>
  <c r="I88" i="3"/>
  <c r="I87" i="3" s="1"/>
  <c r="F88" i="3"/>
  <c r="N87" i="3"/>
  <c r="M87" i="3"/>
  <c r="K87" i="3"/>
  <c r="J87" i="3"/>
  <c r="H87" i="3"/>
  <c r="G87" i="3"/>
  <c r="E87" i="3"/>
  <c r="D87" i="3"/>
  <c r="O85" i="3"/>
  <c r="L85" i="3"/>
  <c r="I85" i="3"/>
  <c r="F85" i="3"/>
  <c r="O84" i="3"/>
  <c r="L84" i="3"/>
  <c r="L83" i="3" s="1"/>
  <c r="I84" i="3"/>
  <c r="I83" i="3" s="1"/>
  <c r="F84" i="3"/>
  <c r="F83" i="3" s="1"/>
  <c r="N83" i="3"/>
  <c r="M83" i="3"/>
  <c r="K83" i="3"/>
  <c r="J83" i="3"/>
  <c r="H83" i="3"/>
  <c r="G83" i="3"/>
  <c r="E83" i="3"/>
  <c r="D83" i="3"/>
  <c r="O82" i="3"/>
  <c r="L82" i="3"/>
  <c r="I82" i="3"/>
  <c r="F82" i="3"/>
  <c r="O81" i="3"/>
  <c r="L81" i="3"/>
  <c r="L80" i="3" s="1"/>
  <c r="I81" i="3"/>
  <c r="F81" i="3"/>
  <c r="N80" i="3"/>
  <c r="N79" i="3" s="1"/>
  <c r="M80" i="3"/>
  <c r="M79" i="3" s="1"/>
  <c r="K80" i="3"/>
  <c r="K79" i="3" s="1"/>
  <c r="J80" i="3"/>
  <c r="J79" i="3" s="1"/>
  <c r="H80" i="3"/>
  <c r="H79" i="3" s="1"/>
  <c r="G80" i="3"/>
  <c r="G79" i="3" s="1"/>
  <c r="E80" i="3"/>
  <c r="D80" i="3"/>
  <c r="D79" i="3"/>
  <c r="O77" i="3"/>
  <c r="L77" i="3"/>
  <c r="I77" i="3"/>
  <c r="F77" i="3"/>
  <c r="O76" i="3"/>
  <c r="L76" i="3"/>
  <c r="I76" i="3"/>
  <c r="F76" i="3"/>
  <c r="O75" i="3"/>
  <c r="L75" i="3"/>
  <c r="I75" i="3"/>
  <c r="F75" i="3"/>
  <c r="O74" i="3"/>
  <c r="L74" i="3"/>
  <c r="I74" i="3"/>
  <c r="F74" i="3"/>
  <c r="O73" i="3"/>
  <c r="L73" i="3"/>
  <c r="L72" i="3" s="1"/>
  <c r="I73" i="3"/>
  <c r="F73" i="3"/>
  <c r="N72" i="3"/>
  <c r="N70" i="3" s="1"/>
  <c r="M72" i="3"/>
  <c r="K72" i="3"/>
  <c r="K70" i="3" s="1"/>
  <c r="J72" i="3"/>
  <c r="J70" i="3" s="1"/>
  <c r="H72" i="3"/>
  <c r="G72" i="3"/>
  <c r="G70" i="3" s="1"/>
  <c r="E72" i="3"/>
  <c r="E70" i="3" s="1"/>
  <c r="D72" i="3"/>
  <c r="O71" i="3"/>
  <c r="L71" i="3"/>
  <c r="I71" i="3"/>
  <c r="F71" i="3"/>
  <c r="D71" i="3"/>
  <c r="M70" i="3"/>
  <c r="H70" i="3"/>
  <c r="O69" i="3"/>
  <c r="L69" i="3"/>
  <c r="I69" i="3"/>
  <c r="F69" i="3"/>
  <c r="O68" i="3"/>
  <c r="L68" i="3"/>
  <c r="I68" i="3"/>
  <c r="F68" i="3"/>
  <c r="O67" i="3"/>
  <c r="L67" i="3"/>
  <c r="I67" i="3"/>
  <c r="F67" i="3"/>
  <c r="O66" i="3"/>
  <c r="L66" i="3"/>
  <c r="I66" i="3"/>
  <c r="F66" i="3"/>
  <c r="O65" i="3"/>
  <c r="L65" i="3"/>
  <c r="I65" i="3"/>
  <c r="F65" i="3"/>
  <c r="O64" i="3"/>
  <c r="L64" i="3"/>
  <c r="I64" i="3"/>
  <c r="F64" i="3"/>
  <c r="O63" i="3"/>
  <c r="L63" i="3"/>
  <c r="I63" i="3"/>
  <c r="F63" i="3"/>
  <c r="O62" i="3"/>
  <c r="O61" i="3" s="1"/>
  <c r="L62" i="3"/>
  <c r="I62" i="3"/>
  <c r="I61" i="3" s="1"/>
  <c r="F62" i="3"/>
  <c r="N61" i="3"/>
  <c r="M61" i="3"/>
  <c r="K61" i="3"/>
  <c r="J61" i="3"/>
  <c r="H61" i="3"/>
  <c r="G61" i="3"/>
  <c r="E61" i="3"/>
  <c r="D61" i="3"/>
  <c r="O60" i="3"/>
  <c r="L60" i="3"/>
  <c r="I60" i="3"/>
  <c r="F60" i="3"/>
  <c r="O59" i="3"/>
  <c r="L59" i="3"/>
  <c r="L58" i="3" s="1"/>
  <c r="I59" i="3"/>
  <c r="I58" i="3" s="1"/>
  <c r="F59" i="3"/>
  <c r="N58" i="3"/>
  <c r="N57" i="3" s="1"/>
  <c r="M58" i="3"/>
  <c r="M57" i="3" s="1"/>
  <c r="M56" i="3" s="1"/>
  <c r="K58" i="3"/>
  <c r="J58" i="3"/>
  <c r="H58" i="3"/>
  <c r="H57" i="3" s="1"/>
  <c r="G58" i="3"/>
  <c r="G57" i="3" s="1"/>
  <c r="G56" i="3" s="1"/>
  <c r="F58" i="3"/>
  <c r="E58" i="3"/>
  <c r="D58" i="3"/>
  <c r="O50" i="3"/>
  <c r="C50" i="3" s="1"/>
  <c r="O49" i="3"/>
  <c r="C49" i="3" s="1"/>
  <c r="N48" i="3"/>
  <c r="M48" i="3"/>
  <c r="L47" i="3"/>
  <c r="L46" i="3" s="1"/>
  <c r="I47" i="3"/>
  <c r="I46" i="3" s="1"/>
  <c r="F47" i="3"/>
  <c r="K46" i="3"/>
  <c r="J46" i="3"/>
  <c r="H46" i="3"/>
  <c r="G46" i="3"/>
  <c r="E46" i="3"/>
  <c r="D46" i="3"/>
  <c r="F45" i="3"/>
  <c r="C45" i="3" s="1"/>
  <c r="L44" i="3"/>
  <c r="C44" i="3" s="1"/>
  <c r="L43" i="3"/>
  <c r="C43" i="3"/>
  <c r="L42" i="3"/>
  <c r="C42" i="3" s="1"/>
  <c r="L41" i="3"/>
  <c r="C41" i="3" s="1"/>
  <c r="K40" i="3"/>
  <c r="J40" i="3"/>
  <c r="L39" i="3"/>
  <c r="C39" i="3" s="1"/>
  <c r="L38" i="3"/>
  <c r="C38" i="3" s="1"/>
  <c r="K37" i="3"/>
  <c r="J37" i="3"/>
  <c r="L36" i="3"/>
  <c r="C36" i="3" s="1"/>
  <c r="K35" i="3"/>
  <c r="J35" i="3"/>
  <c r="L34" i="3"/>
  <c r="C34" i="3" s="1"/>
  <c r="L33" i="3"/>
  <c r="C33" i="3" s="1"/>
  <c r="L32" i="3"/>
  <c r="C32" i="3" s="1"/>
  <c r="K31" i="3"/>
  <c r="J31" i="3"/>
  <c r="F29" i="3"/>
  <c r="C29" i="3" s="1"/>
  <c r="I28" i="3"/>
  <c r="F28" i="3"/>
  <c r="D28" i="3"/>
  <c r="O27" i="3"/>
  <c r="L27" i="3"/>
  <c r="I27" i="3"/>
  <c r="F27" i="3"/>
  <c r="O26" i="3"/>
  <c r="O25" i="3" s="1"/>
  <c r="L26" i="3"/>
  <c r="L25" i="3" s="1"/>
  <c r="I26" i="3"/>
  <c r="I25" i="3" s="1"/>
  <c r="F26" i="3"/>
  <c r="F25" i="3" s="1"/>
  <c r="F290" i="3" s="1"/>
  <c r="N25" i="3"/>
  <c r="M25" i="3"/>
  <c r="K25" i="3"/>
  <c r="K290" i="3" s="1"/>
  <c r="J25" i="3"/>
  <c r="J290" i="3" s="1"/>
  <c r="J289" i="3" s="1"/>
  <c r="H25" i="3"/>
  <c r="G25" i="3"/>
  <c r="E25" i="3"/>
  <c r="E290" i="3" s="1"/>
  <c r="D25" i="3"/>
  <c r="M24" i="3"/>
  <c r="O299" i="2"/>
  <c r="L299" i="2"/>
  <c r="I299" i="2"/>
  <c r="F299" i="2"/>
  <c r="O298" i="2"/>
  <c r="L298" i="2"/>
  <c r="I298" i="2"/>
  <c r="F298" i="2"/>
  <c r="O297" i="2"/>
  <c r="L297" i="2"/>
  <c r="I297" i="2"/>
  <c r="F297" i="2"/>
  <c r="O296" i="2"/>
  <c r="L296" i="2"/>
  <c r="I296" i="2"/>
  <c r="F296" i="2"/>
  <c r="O295" i="2"/>
  <c r="L295" i="2"/>
  <c r="I295" i="2"/>
  <c r="F295" i="2"/>
  <c r="O294" i="2"/>
  <c r="L294" i="2"/>
  <c r="I294" i="2"/>
  <c r="F294" i="2"/>
  <c r="O293" i="2"/>
  <c r="L293" i="2"/>
  <c r="I293" i="2"/>
  <c r="F293" i="2"/>
  <c r="O292" i="2"/>
  <c r="L292" i="2"/>
  <c r="I292" i="2"/>
  <c r="F292" i="2"/>
  <c r="N291" i="2"/>
  <c r="M291" i="2"/>
  <c r="K291" i="2"/>
  <c r="J291" i="2"/>
  <c r="H291" i="2"/>
  <c r="G291" i="2"/>
  <c r="E291" i="2"/>
  <c r="D291" i="2"/>
  <c r="O286" i="2"/>
  <c r="L286" i="2"/>
  <c r="I286" i="2"/>
  <c r="F286" i="2"/>
  <c r="O285" i="2"/>
  <c r="L285" i="2"/>
  <c r="I285" i="2"/>
  <c r="F285" i="2"/>
  <c r="N284" i="2"/>
  <c r="M284" i="2"/>
  <c r="K284" i="2"/>
  <c r="J284" i="2"/>
  <c r="H284" i="2"/>
  <c r="G284" i="2"/>
  <c r="E284" i="2"/>
  <c r="D284" i="2"/>
  <c r="O283" i="2"/>
  <c r="L283" i="2"/>
  <c r="I283" i="2"/>
  <c r="F283" i="2"/>
  <c r="N282" i="2"/>
  <c r="M282" i="2"/>
  <c r="K282" i="2"/>
  <c r="J282" i="2"/>
  <c r="H282" i="2"/>
  <c r="G282" i="2"/>
  <c r="E282" i="2"/>
  <c r="D282" i="2"/>
  <c r="O281" i="2"/>
  <c r="L281" i="2"/>
  <c r="I281" i="2"/>
  <c r="F281" i="2"/>
  <c r="O280" i="2"/>
  <c r="L280" i="2"/>
  <c r="I280" i="2"/>
  <c r="C280" i="2" s="1"/>
  <c r="F280" i="2"/>
  <c r="O279" i="2"/>
  <c r="L279" i="2"/>
  <c r="I279" i="2"/>
  <c r="F279" i="2"/>
  <c r="N278" i="2"/>
  <c r="M278" i="2"/>
  <c r="K278" i="2"/>
  <c r="J278" i="2"/>
  <c r="H278" i="2"/>
  <c r="G278" i="2"/>
  <c r="E278" i="2"/>
  <c r="D278" i="2"/>
  <c r="O277" i="2"/>
  <c r="L277" i="2"/>
  <c r="I277" i="2"/>
  <c r="F277" i="2"/>
  <c r="O276" i="2"/>
  <c r="L276" i="2"/>
  <c r="I276" i="2"/>
  <c r="F276" i="2"/>
  <c r="O275" i="2"/>
  <c r="L275" i="2"/>
  <c r="I275" i="2"/>
  <c r="F275" i="2"/>
  <c r="N274" i="2"/>
  <c r="N272" i="2" s="1"/>
  <c r="M274" i="2"/>
  <c r="K274" i="2"/>
  <c r="J274" i="2"/>
  <c r="H274" i="2"/>
  <c r="H272" i="2" s="1"/>
  <c r="G274" i="2"/>
  <c r="E274" i="2"/>
  <c r="D274" i="2"/>
  <c r="O273" i="2"/>
  <c r="L273" i="2"/>
  <c r="I273" i="2"/>
  <c r="F273" i="2"/>
  <c r="O270" i="2"/>
  <c r="L270" i="2"/>
  <c r="I270" i="2"/>
  <c r="F270" i="2"/>
  <c r="O269" i="2"/>
  <c r="L269" i="2"/>
  <c r="I269" i="2"/>
  <c r="F269" i="2"/>
  <c r="O268" i="2"/>
  <c r="L268" i="2"/>
  <c r="I268" i="2"/>
  <c r="F268" i="2"/>
  <c r="O267" i="2"/>
  <c r="L267" i="2"/>
  <c r="I267" i="2"/>
  <c r="F267" i="2"/>
  <c r="N266" i="2"/>
  <c r="M266" i="2"/>
  <c r="K266" i="2"/>
  <c r="J266" i="2"/>
  <c r="H266" i="2"/>
  <c r="G266" i="2"/>
  <c r="E266" i="2"/>
  <c r="D266" i="2"/>
  <c r="O265" i="2"/>
  <c r="L265" i="2"/>
  <c r="I265" i="2"/>
  <c r="F265" i="2"/>
  <c r="O264" i="2"/>
  <c r="L264" i="2"/>
  <c r="I264" i="2"/>
  <c r="F264" i="2"/>
  <c r="O263" i="2"/>
  <c r="L263" i="2"/>
  <c r="I263" i="2"/>
  <c r="F263" i="2"/>
  <c r="N262" i="2"/>
  <c r="M262" i="2"/>
  <c r="K262" i="2"/>
  <c r="K261" i="2" s="1"/>
  <c r="J262" i="2"/>
  <c r="H262" i="2"/>
  <c r="H261" i="2" s="1"/>
  <c r="G262" i="2"/>
  <c r="E262" i="2"/>
  <c r="D262" i="2"/>
  <c r="G261" i="2"/>
  <c r="O260" i="2"/>
  <c r="L260" i="2"/>
  <c r="I260" i="2"/>
  <c r="F260" i="2"/>
  <c r="O259" i="2"/>
  <c r="L259" i="2"/>
  <c r="I259" i="2"/>
  <c r="F259" i="2"/>
  <c r="O258" i="2"/>
  <c r="L258" i="2"/>
  <c r="I258" i="2"/>
  <c r="F258" i="2"/>
  <c r="O257" i="2"/>
  <c r="L257" i="2"/>
  <c r="I257" i="2"/>
  <c r="F257" i="2"/>
  <c r="O256" i="2"/>
  <c r="L256" i="2"/>
  <c r="I256" i="2"/>
  <c r="F256" i="2"/>
  <c r="N255" i="2"/>
  <c r="M255" i="2"/>
  <c r="K255" i="2"/>
  <c r="J255" i="2"/>
  <c r="H255" i="2"/>
  <c r="H254" i="2" s="1"/>
  <c r="G255" i="2"/>
  <c r="E255" i="2"/>
  <c r="E254" i="2" s="1"/>
  <c r="D255" i="2"/>
  <c r="N254" i="2"/>
  <c r="M254" i="2"/>
  <c r="K254" i="2"/>
  <c r="J254" i="2"/>
  <c r="G254" i="2"/>
  <c r="I254" i="2" s="1"/>
  <c r="O253" i="2"/>
  <c r="L253" i="2"/>
  <c r="I253" i="2"/>
  <c r="F253" i="2"/>
  <c r="O252" i="2"/>
  <c r="L252" i="2"/>
  <c r="I252" i="2"/>
  <c r="F252" i="2"/>
  <c r="O251" i="2"/>
  <c r="L251" i="2"/>
  <c r="I251" i="2"/>
  <c r="F251" i="2"/>
  <c r="O250" i="2"/>
  <c r="L250" i="2"/>
  <c r="I250" i="2"/>
  <c r="F250" i="2"/>
  <c r="N249" i="2"/>
  <c r="M249" i="2"/>
  <c r="O249" i="2" s="1"/>
  <c r="K249" i="2"/>
  <c r="J249" i="2"/>
  <c r="H249" i="2"/>
  <c r="G249" i="2"/>
  <c r="I249" i="2" s="1"/>
  <c r="E249" i="2"/>
  <c r="D249" i="2"/>
  <c r="F249" i="2" s="1"/>
  <c r="O248" i="2"/>
  <c r="L248" i="2"/>
  <c r="I248" i="2"/>
  <c r="F248" i="2"/>
  <c r="O247" i="2"/>
  <c r="L247" i="2"/>
  <c r="I247" i="2"/>
  <c r="F247" i="2"/>
  <c r="O246" i="2"/>
  <c r="L246" i="2"/>
  <c r="I246" i="2"/>
  <c r="F246" i="2"/>
  <c r="O245" i="2"/>
  <c r="L245" i="2"/>
  <c r="I245" i="2"/>
  <c r="F245" i="2"/>
  <c r="O244" i="2"/>
  <c r="L244" i="2"/>
  <c r="I244" i="2"/>
  <c r="F244" i="2"/>
  <c r="O243" i="2"/>
  <c r="L243" i="2"/>
  <c r="I243" i="2"/>
  <c r="F243" i="2"/>
  <c r="O242" i="2"/>
  <c r="L242" i="2"/>
  <c r="I242" i="2"/>
  <c r="F242" i="2"/>
  <c r="N241" i="2"/>
  <c r="M241" i="2"/>
  <c r="K241" i="2"/>
  <c r="J241" i="2"/>
  <c r="H241" i="2"/>
  <c r="G241" i="2"/>
  <c r="E241" i="2"/>
  <c r="D241" i="2"/>
  <c r="O240" i="2"/>
  <c r="L240" i="2"/>
  <c r="I240" i="2"/>
  <c r="F240" i="2"/>
  <c r="O239" i="2"/>
  <c r="L239" i="2"/>
  <c r="I239" i="2"/>
  <c r="F239" i="2"/>
  <c r="N238" i="2"/>
  <c r="M238" i="2"/>
  <c r="K238" i="2"/>
  <c r="J238" i="2"/>
  <c r="H238" i="2"/>
  <c r="G238" i="2"/>
  <c r="E238" i="2"/>
  <c r="D238" i="2"/>
  <c r="O237" i="2"/>
  <c r="L237" i="2"/>
  <c r="I237" i="2"/>
  <c r="F237" i="2"/>
  <c r="N236" i="2"/>
  <c r="M236" i="2"/>
  <c r="K236" i="2"/>
  <c r="J236" i="2"/>
  <c r="H236" i="2"/>
  <c r="G236" i="2"/>
  <c r="E236" i="2"/>
  <c r="D236" i="2"/>
  <c r="D234" i="2" s="1"/>
  <c r="O235" i="2"/>
  <c r="L235" i="2"/>
  <c r="I235" i="2"/>
  <c r="F235" i="2"/>
  <c r="O232" i="2"/>
  <c r="L232" i="2"/>
  <c r="I232" i="2"/>
  <c r="F232" i="2"/>
  <c r="O231" i="2"/>
  <c r="L231" i="2"/>
  <c r="I231" i="2"/>
  <c r="F231" i="2"/>
  <c r="N230" i="2"/>
  <c r="M230" i="2"/>
  <c r="K230" i="2"/>
  <c r="J230" i="2"/>
  <c r="H230" i="2"/>
  <c r="G230" i="2"/>
  <c r="E230" i="2"/>
  <c r="D230" i="2"/>
  <c r="O229" i="2"/>
  <c r="L229" i="2"/>
  <c r="I229" i="2"/>
  <c r="F229" i="2"/>
  <c r="O228" i="2"/>
  <c r="L228" i="2"/>
  <c r="I228" i="2"/>
  <c r="F228" i="2"/>
  <c r="O227" i="2"/>
  <c r="L227" i="2"/>
  <c r="I227" i="2"/>
  <c r="F227" i="2"/>
  <c r="O226" i="2"/>
  <c r="L226" i="2"/>
  <c r="I226" i="2"/>
  <c r="F226" i="2"/>
  <c r="O225" i="2"/>
  <c r="L225" i="2"/>
  <c r="I225" i="2"/>
  <c r="F225" i="2"/>
  <c r="O224" i="2"/>
  <c r="L224" i="2"/>
  <c r="I224" i="2"/>
  <c r="F224" i="2"/>
  <c r="O223" i="2"/>
  <c r="L223" i="2"/>
  <c r="I223" i="2"/>
  <c r="F223" i="2"/>
  <c r="O222" i="2"/>
  <c r="L222" i="2"/>
  <c r="I222" i="2"/>
  <c r="F222" i="2"/>
  <c r="O221" i="2"/>
  <c r="L221" i="2"/>
  <c r="I221" i="2"/>
  <c r="F221" i="2"/>
  <c r="O220" i="2"/>
  <c r="L220" i="2"/>
  <c r="I220" i="2"/>
  <c r="F220" i="2"/>
  <c r="N219" i="2"/>
  <c r="M219" i="2"/>
  <c r="K219" i="2"/>
  <c r="J219" i="2"/>
  <c r="L219" i="2" s="1"/>
  <c r="H219" i="2"/>
  <c r="G219" i="2"/>
  <c r="E219" i="2"/>
  <c r="D219" i="2"/>
  <c r="F219" i="2" s="1"/>
  <c r="O218" i="2"/>
  <c r="L218" i="2"/>
  <c r="I218" i="2"/>
  <c r="F218" i="2"/>
  <c r="O217" i="2"/>
  <c r="L217" i="2"/>
  <c r="I217" i="2"/>
  <c r="F217" i="2"/>
  <c r="O216" i="2"/>
  <c r="L216" i="2"/>
  <c r="I216" i="2"/>
  <c r="F216" i="2"/>
  <c r="O215" i="2"/>
  <c r="L215" i="2"/>
  <c r="I215" i="2"/>
  <c r="F215" i="2"/>
  <c r="O214" i="2"/>
  <c r="L214" i="2"/>
  <c r="I214" i="2"/>
  <c r="F214" i="2"/>
  <c r="O213" i="2"/>
  <c r="L213" i="2"/>
  <c r="I213" i="2"/>
  <c r="F213" i="2"/>
  <c r="O212" i="2"/>
  <c r="L212" i="2"/>
  <c r="I212" i="2"/>
  <c r="F212" i="2"/>
  <c r="O211" i="2"/>
  <c r="L211" i="2"/>
  <c r="I211" i="2"/>
  <c r="F211" i="2"/>
  <c r="O210" i="2"/>
  <c r="L210" i="2"/>
  <c r="I210" i="2"/>
  <c r="F210" i="2"/>
  <c r="O209" i="2"/>
  <c r="L209" i="2"/>
  <c r="I209" i="2"/>
  <c r="F209" i="2"/>
  <c r="N208" i="2"/>
  <c r="M208" i="2"/>
  <c r="K208" i="2"/>
  <c r="J208" i="2"/>
  <c r="J207" i="2" s="1"/>
  <c r="H208" i="2"/>
  <c r="G208" i="2"/>
  <c r="E208" i="2"/>
  <c r="E207" i="2" s="1"/>
  <c r="D208" i="2"/>
  <c r="D207" i="2" s="1"/>
  <c r="O206" i="2"/>
  <c r="L206" i="2"/>
  <c r="I206" i="2"/>
  <c r="F206" i="2"/>
  <c r="O205" i="2"/>
  <c r="L205" i="2"/>
  <c r="I205" i="2"/>
  <c r="F205" i="2"/>
  <c r="O204" i="2"/>
  <c r="L204" i="2"/>
  <c r="I204" i="2"/>
  <c r="F204" i="2"/>
  <c r="O203" i="2"/>
  <c r="L203" i="2"/>
  <c r="I203" i="2"/>
  <c r="F203" i="2"/>
  <c r="O202" i="2"/>
  <c r="L202" i="2"/>
  <c r="I202" i="2"/>
  <c r="F202" i="2"/>
  <c r="N201" i="2"/>
  <c r="N199" i="2" s="1"/>
  <c r="M201" i="2"/>
  <c r="K201" i="2"/>
  <c r="K199" i="2" s="1"/>
  <c r="J201" i="2"/>
  <c r="H201" i="2"/>
  <c r="I201" i="2" s="1"/>
  <c r="G201" i="2"/>
  <c r="E201" i="2"/>
  <c r="E199" i="2" s="1"/>
  <c r="E198" i="2" s="1"/>
  <c r="D201" i="2"/>
  <c r="O200" i="2"/>
  <c r="L200" i="2"/>
  <c r="I200" i="2"/>
  <c r="F200" i="2"/>
  <c r="M199" i="2"/>
  <c r="G199" i="2"/>
  <c r="O196" i="2"/>
  <c r="L196" i="2"/>
  <c r="I196" i="2"/>
  <c r="F196" i="2"/>
  <c r="N195" i="2"/>
  <c r="M195" i="2"/>
  <c r="K195" i="2"/>
  <c r="K194" i="2" s="1"/>
  <c r="J195" i="2"/>
  <c r="H195" i="2"/>
  <c r="H194" i="2" s="1"/>
  <c r="G195" i="2"/>
  <c r="G194" i="2" s="1"/>
  <c r="E195" i="2"/>
  <c r="E194" i="2" s="1"/>
  <c r="E190" i="2" s="1"/>
  <c r="D195" i="2"/>
  <c r="N194" i="2"/>
  <c r="O193" i="2"/>
  <c r="L193" i="2"/>
  <c r="I193" i="2"/>
  <c r="F193" i="2"/>
  <c r="O192" i="2"/>
  <c r="L192" i="2"/>
  <c r="I192" i="2"/>
  <c r="F192" i="2"/>
  <c r="N191" i="2"/>
  <c r="N190" i="2" s="1"/>
  <c r="M191" i="2"/>
  <c r="K191" i="2"/>
  <c r="J191" i="2"/>
  <c r="H191" i="2"/>
  <c r="G191" i="2"/>
  <c r="E191" i="2"/>
  <c r="D191" i="2"/>
  <c r="F191" i="2" s="1"/>
  <c r="O189" i="2"/>
  <c r="L189" i="2"/>
  <c r="I189" i="2"/>
  <c r="F189" i="2"/>
  <c r="O188" i="2"/>
  <c r="L188" i="2"/>
  <c r="I188" i="2"/>
  <c r="F188" i="2"/>
  <c r="N187" i="2"/>
  <c r="M187" i="2"/>
  <c r="K187" i="2"/>
  <c r="J187" i="2"/>
  <c r="H187" i="2"/>
  <c r="G187" i="2"/>
  <c r="E187" i="2"/>
  <c r="D187" i="2"/>
  <c r="O186" i="2"/>
  <c r="L186" i="2"/>
  <c r="I186" i="2"/>
  <c r="F186" i="2"/>
  <c r="O185" i="2"/>
  <c r="L185" i="2"/>
  <c r="I185" i="2"/>
  <c r="F185" i="2"/>
  <c r="O184" i="2"/>
  <c r="L184" i="2"/>
  <c r="I184" i="2"/>
  <c r="F184" i="2"/>
  <c r="O183" i="2"/>
  <c r="L183" i="2"/>
  <c r="I183" i="2"/>
  <c r="F183" i="2"/>
  <c r="N182" i="2"/>
  <c r="M182" i="2"/>
  <c r="K182" i="2"/>
  <c r="J182" i="2"/>
  <c r="L182" i="2" s="1"/>
  <c r="H182" i="2"/>
  <c r="G182" i="2"/>
  <c r="E182" i="2"/>
  <c r="D182" i="2"/>
  <c r="F182" i="2" s="1"/>
  <c r="O181" i="2"/>
  <c r="L181" i="2"/>
  <c r="I181" i="2"/>
  <c r="F181" i="2"/>
  <c r="O180" i="2"/>
  <c r="L180" i="2"/>
  <c r="I180" i="2"/>
  <c r="F180" i="2"/>
  <c r="O179" i="2"/>
  <c r="L179" i="2"/>
  <c r="I179" i="2"/>
  <c r="F179" i="2"/>
  <c r="N178" i="2"/>
  <c r="M178" i="2"/>
  <c r="M177" i="2" s="1"/>
  <c r="K178" i="2"/>
  <c r="J178" i="2"/>
  <c r="H178" i="2"/>
  <c r="G178" i="2"/>
  <c r="G177" i="2" s="1"/>
  <c r="E178" i="2"/>
  <c r="D178" i="2"/>
  <c r="D177" i="2" s="1"/>
  <c r="D176" i="2" s="1"/>
  <c r="K177" i="2"/>
  <c r="K176" i="2" s="1"/>
  <c r="O175" i="2"/>
  <c r="L175" i="2"/>
  <c r="I175" i="2"/>
  <c r="F175" i="2"/>
  <c r="O174" i="2"/>
  <c r="L174" i="2"/>
  <c r="I174" i="2"/>
  <c r="F174" i="2"/>
  <c r="O173" i="2"/>
  <c r="L173" i="2"/>
  <c r="I173" i="2"/>
  <c r="F173" i="2"/>
  <c r="O172" i="2"/>
  <c r="L172" i="2"/>
  <c r="I172" i="2"/>
  <c r="F172" i="2"/>
  <c r="O171" i="2"/>
  <c r="L171" i="2"/>
  <c r="I171" i="2"/>
  <c r="F171" i="2"/>
  <c r="O170" i="2"/>
  <c r="L170" i="2"/>
  <c r="I170" i="2"/>
  <c r="F170" i="2"/>
  <c r="N169" i="2"/>
  <c r="M169" i="2"/>
  <c r="K169" i="2"/>
  <c r="K168" i="2" s="1"/>
  <c r="J169" i="2"/>
  <c r="J168" i="2" s="1"/>
  <c r="H169" i="2"/>
  <c r="H168" i="2" s="1"/>
  <c r="G169" i="2"/>
  <c r="E169" i="2"/>
  <c r="D169" i="2"/>
  <c r="D168" i="2" s="1"/>
  <c r="N168" i="2"/>
  <c r="O167" i="2"/>
  <c r="L167" i="2"/>
  <c r="I167" i="2"/>
  <c r="F167" i="2"/>
  <c r="O166" i="2"/>
  <c r="L166" i="2"/>
  <c r="I166" i="2"/>
  <c r="F166" i="2"/>
  <c r="O165" i="2"/>
  <c r="L165" i="2"/>
  <c r="I165" i="2"/>
  <c r="F165" i="2"/>
  <c r="O164" i="2"/>
  <c r="L164" i="2"/>
  <c r="I164" i="2"/>
  <c r="F164" i="2"/>
  <c r="N163" i="2"/>
  <c r="M163" i="2"/>
  <c r="K163" i="2"/>
  <c r="J163" i="2"/>
  <c r="H163" i="2"/>
  <c r="G163" i="2"/>
  <c r="E163" i="2"/>
  <c r="D163" i="2"/>
  <c r="O162" i="2"/>
  <c r="L162" i="2"/>
  <c r="I162" i="2"/>
  <c r="F162" i="2"/>
  <c r="O161" i="2"/>
  <c r="L161" i="2"/>
  <c r="I161" i="2"/>
  <c r="F161" i="2"/>
  <c r="O160" i="2"/>
  <c r="L160" i="2"/>
  <c r="I160" i="2"/>
  <c r="F160" i="2"/>
  <c r="O159" i="2"/>
  <c r="L159" i="2"/>
  <c r="I159" i="2"/>
  <c r="F159" i="2"/>
  <c r="O158" i="2"/>
  <c r="L158" i="2"/>
  <c r="I158" i="2"/>
  <c r="F158" i="2"/>
  <c r="O157" i="2"/>
  <c r="L157" i="2"/>
  <c r="I157" i="2"/>
  <c r="F157" i="2"/>
  <c r="O156" i="2"/>
  <c r="L156" i="2"/>
  <c r="I156" i="2"/>
  <c r="F156" i="2"/>
  <c r="O155" i="2"/>
  <c r="L155" i="2"/>
  <c r="I155" i="2"/>
  <c r="F155" i="2"/>
  <c r="N154" i="2"/>
  <c r="M154" i="2"/>
  <c r="K154" i="2"/>
  <c r="J154" i="2"/>
  <c r="H154" i="2"/>
  <c r="G154" i="2"/>
  <c r="E154" i="2"/>
  <c r="D154" i="2"/>
  <c r="O153" i="2"/>
  <c r="L153" i="2"/>
  <c r="I153" i="2"/>
  <c r="F153" i="2"/>
  <c r="O152" i="2"/>
  <c r="L152" i="2"/>
  <c r="I152" i="2"/>
  <c r="F152" i="2"/>
  <c r="O151" i="2"/>
  <c r="L151" i="2"/>
  <c r="I151" i="2"/>
  <c r="F151" i="2"/>
  <c r="O150" i="2"/>
  <c r="L150" i="2"/>
  <c r="I150" i="2"/>
  <c r="F150" i="2"/>
  <c r="O149" i="2"/>
  <c r="L149" i="2"/>
  <c r="I149" i="2"/>
  <c r="F149" i="2"/>
  <c r="O148" i="2"/>
  <c r="L148" i="2"/>
  <c r="I148" i="2"/>
  <c r="F148" i="2"/>
  <c r="N147" i="2"/>
  <c r="M147" i="2"/>
  <c r="K147" i="2"/>
  <c r="J147" i="2"/>
  <c r="H147" i="2"/>
  <c r="G147" i="2"/>
  <c r="E147" i="2"/>
  <c r="D147" i="2"/>
  <c r="O146" i="2"/>
  <c r="L146" i="2"/>
  <c r="I146" i="2"/>
  <c r="F146" i="2"/>
  <c r="O145" i="2"/>
  <c r="L145" i="2"/>
  <c r="I145" i="2"/>
  <c r="F145" i="2"/>
  <c r="N144" i="2"/>
  <c r="M144" i="2"/>
  <c r="K144" i="2"/>
  <c r="J144" i="2"/>
  <c r="H144" i="2"/>
  <c r="G144" i="2"/>
  <c r="E144" i="2"/>
  <c r="D144" i="2"/>
  <c r="O143" i="2"/>
  <c r="L143" i="2"/>
  <c r="I143" i="2"/>
  <c r="F143" i="2"/>
  <c r="O142" i="2"/>
  <c r="L142" i="2"/>
  <c r="I142" i="2"/>
  <c r="F142" i="2"/>
  <c r="O141" i="2"/>
  <c r="L141" i="2"/>
  <c r="I141" i="2"/>
  <c r="F141" i="2"/>
  <c r="O140" i="2"/>
  <c r="L140" i="2"/>
  <c r="I140" i="2"/>
  <c r="F140" i="2"/>
  <c r="N139" i="2"/>
  <c r="M139" i="2"/>
  <c r="K139" i="2"/>
  <c r="J139" i="2"/>
  <c r="H139" i="2"/>
  <c r="G139" i="2"/>
  <c r="E139" i="2"/>
  <c r="D139" i="2"/>
  <c r="O138" i="2"/>
  <c r="L138" i="2"/>
  <c r="I138" i="2"/>
  <c r="F138" i="2"/>
  <c r="O137" i="2"/>
  <c r="L137" i="2"/>
  <c r="I137" i="2"/>
  <c r="F137" i="2"/>
  <c r="O136" i="2"/>
  <c r="L136" i="2"/>
  <c r="I136" i="2"/>
  <c r="F136" i="2"/>
  <c r="O135" i="2"/>
  <c r="L135" i="2"/>
  <c r="I135" i="2"/>
  <c r="F135" i="2"/>
  <c r="N134" i="2"/>
  <c r="M134" i="2"/>
  <c r="K134" i="2"/>
  <c r="J134" i="2"/>
  <c r="H134" i="2"/>
  <c r="G134" i="2"/>
  <c r="E134" i="2"/>
  <c r="D134" i="2"/>
  <c r="G133" i="2"/>
  <c r="O132" i="2"/>
  <c r="L132" i="2"/>
  <c r="I132" i="2"/>
  <c r="F132" i="2"/>
  <c r="N131" i="2"/>
  <c r="M131" i="2"/>
  <c r="K131" i="2"/>
  <c r="J131" i="2"/>
  <c r="H131" i="2"/>
  <c r="G131" i="2"/>
  <c r="E131" i="2"/>
  <c r="D131" i="2"/>
  <c r="O130" i="2"/>
  <c r="L130" i="2"/>
  <c r="I130" i="2"/>
  <c r="F130" i="2"/>
  <c r="O129" i="2"/>
  <c r="L129" i="2"/>
  <c r="I129" i="2"/>
  <c r="F129" i="2"/>
  <c r="O128" i="2"/>
  <c r="L128" i="2"/>
  <c r="I128" i="2"/>
  <c r="F128" i="2"/>
  <c r="O127" i="2"/>
  <c r="L127" i="2"/>
  <c r="I127" i="2"/>
  <c r="F127" i="2"/>
  <c r="O126" i="2"/>
  <c r="L126" i="2"/>
  <c r="I126" i="2"/>
  <c r="F126" i="2"/>
  <c r="N125" i="2"/>
  <c r="M125" i="2"/>
  <c r="K125" i="2"/>
  <c r="J125" i="2"/>
  <c r="H125" i="2"/>
  <c r="G125" i="2"/>
  <c r="I125" i="2" s="1"/>
  <c r="E125" i="2"/>
  <c r="D125" i="2"/>
  <c r="O124" i="2"/>
  <c r="L124" i="2"/>
  <c r="I124" i="2"/>
  <c r="F124" i="2"/>
  <c r="O123" i="2"/>
  <c r="L123" i="2"/>
  <c r="I123" i="2"/>
  <c r="F123" i="2"/>
  <c r="O122" i="2"/>
  <c r="L122" i="2"/>
  <c r="I122" i="2"/>
  <c r="F122" i="2"/>
  <c r="O121" i="2"/>
  <c r="L121" i="2"/>
  <c r="I121" i="2"/>
  <c r="F121" i="2"/>
  <c r="O120" i="2"/>
  <c r="L120" i="2"/>
  <c r="I120" i="2"/>
  <c r="F120" i="2"/>
  <c r="N119" i="2"/>
  <c r="M119" i="2"/>
  <c r="K119" i="2"/>
  <c r="J119" i="2"/>
  <c r="H119" i="2"/>
  <c r="G119" i="2"/>
  <c r="I119" i="2" s="1"/>
  <c r="E119" i="2"/>
  <c r="D119" i="2"/>
  <c r="O118" i="2"/>
  <c r="L118" i="2"/>
  <c r="I118" i="2"/>
  <c r="F118" i="2"/>
  <c r="O117" i="2"/>
  <c r="L117" i="2"/>
  <c r="I117" i="2"/>
  <c r="F117" i="2"/>
  <c r="O116" i="2"/>
  <c r="L116" i="2"/>
  <c r="I116" i="2"/>
  <c r="F116" i="2"/>
  <c r="N115" i="2"/>
  <c r="M115" i="2"/>
  <c r="K115" i="2"/>
  <c r="J115" i="2"/>
  <c r="H115" i="2"/>
  <c r="G115" i="2"/>
  <c r="I115" i="2" s="1"/>
  <c r="E115" i="2"/>
  <c r="D115" i="2"/>
  <c r="O114" i="2"/>
  <c r="L114" i="2"/>
  <c r="I114" i="2"/>
  <c r="F114" i="2"/>
  <c r="O113" i="2"/>
  <c r="L113" i="2"/>
  <c r="I113" i="2"/>
  <c r="F113" i="2"/>
  <c r="O112" i="2"/>
  <c r="L112" i="2"/>
  <c r="I112" i="2"/>
  <c r="F112" i="2"/>
  <c r="O111" i="2"/>
  <c r="L111" i="2"/>
  <c r="I111" i="2"/>
  <c r="F111" i="2"/>
  <c r="O110" i="2"/>
  <c r="L110" i="2"/>
  <c r="I110" i="2"/>
  <c r="F110" i="2"/>
  <c r="O109" i="2"/>
  <c r="L109" i="2"/>
  <c r="I109" i="2"/>
  <c r="F109" i="2"/>
  <c r="O108" i="2"/>
  <c r="L108" i="2"/>
  <c r="I108" i="2"/>
  <c r="F108" i="2"/>
  <c r="O107" i="2"/>
  <c r="L107" i="2"/>
  <c r="I107" i="2"/>
  <c r="F107" i="2"/>
  <c r="N106" i="2"/>
  <c r="M106" i="2"/>
  <c r="K106" i="2"/>
  <c r="J106" i="2"/>
  <c r="H106" i="2"/>
  <c r="G106" i="2"/>
  <c r="E106" i="2"/>
  <c r="D106" i="2"/>
  <c r="O105" i="2"/>
  <c r="L105" i="2"/>
  <c r="I105" i="2"/>
  <c r="F105" i="2"/>
  <c r="O104" i="2"/>
  <c r="L104" i="2"/>
  <c r="I104" i="2"/>
  <c r="F104" i="2"/>
  <c r="O103" i="2"/>
  <c r="L103" i="2"/>
  <c r="I103" i="2"/>
  <c r="F103" i="2"/>
  <c r="O102" i="2"/>
  <c r="L102" i="2"/>
  <c r="I102" i="2"/>
  <c r="F102" i="2"/>
  <c r="O101" i="2"/>
  <c r="L101" i="2"/>
  <c r="I101" i="2"/>
  <c r="F101" i="2"/>
  <c r="O100" i="2"/>
  <c r="L100" i="2"/>
  <c r="I100" i="2"/>
  <c r="F100" i="2"/>
  <c r="O99" i="2"/>
  <c r="L99" i="2"/>
  <c r="I99" i="2"/>
  <c r="F99" i="2"/>
  <c r="N98" i="2"/>
  <c r="M98" i="2"/>
  <c r="K98" i="2"/>
  <c r="J98" i="2"/>
  <c r="H98" i="2"/>
  <c r="G98" i="2"/>
  <c r="E98" i="2"/>
  <c r="D98" i="2"/>
  <c r="O97" i="2"/>
  <c r="L97" i="2"/>
  <c r="I97" i="2"/>
  <c r="F97" i="2"/>
  <c r="O96" i="2"/>
  <c r="L96" i="2"/>
  <c r="I96" i="2"/>
  <c r="F96" i="2"/>
  <c r="O95" i="2"/>
  <c r="J95" i="2"/>
  <c r="I95" i="2"/>
  <c r="F95" i="2"/>
  <c r="D95" i="2"/>
  <c r="O94" i="2"/>
  <c r="L94" i="2"/>
  <c r="I94" i="2"/>
  <c r="F94" i="2"/>
  <c r="O93" i="2"/>
  <c r="L93" i="2"/>
  <c r="I93" i="2"/>
  <c r="F93" i="2"/>
  <c r="N92" i="2"/>
  <c r="M92" i="2"/>
  <c r="K92" i="2"/>
  <c r="H92" i="2"/>
  <c r="G92" i="2"/>
  <c r="E92" i="2"/>
  <c r="D92" i="2"/>
  <c r="O91" i="2"/>
  <c r="L91" i="2"/>
  <c r="I91" i="2"/>
  <c r="F91" i="2"/>
  <c r="O90" i="2"/>
  <c r="L90" i="2"/>
  <c r="I90" i="2"/>
  <c r="F90" i="2"/>
  <c r="O89" i="2"/>
  <c r="J89" i="2"/>
  <c r="I89" i="2"/>
  <c r="F89" i="2"/>
  <c r="D89" i="2"/>
  <c r="O88" i="2"/>
  <c r="L88" i="2"/>
  <c r="I88" i="2"/>
  <c r="F88" i="2"/>
  <c r="N87" i="2"/>
  <c r="M87" i="2"/>
  <c r="K87" i="2"/>
  <c r="H87" i="2"/>
  <c r="G87" i="2"/>
  <c r="E87" i="2"/>
  <c r="D87" i="2"/>
  <c r="O85" i="2"/>
  <c r="L85" i="2"/>
  <c r="I85" i="2"/>
  <c r="F85" i="2"/>
  <c r="O84" i="2"/>
  <c r="L84" i="2"/>
  <c r="I84" i="2"/>
  <c r="F84" i="2"/>
  <c r="N83" i="2"/>
  <c r="M83" i="2"/>
  <c r="K83" i="2"/>
  <c r="J83" i="2"/>
  <c r="H83" i="2"/>
  <c r="G83" i="2"/>
  <c r="E83" i="2"/>
  <c r="D83" i="2"/>
  <c r="O82" i="2"/>
  <c r="L82" i="2"/>
  <c r="I82" i="2"/>
  <c r="F82" i="2"/>
  <c r="O81" i="2"/>
  <c r="L81" i="2"/>
  <c r="I81" i="2"/>
  <c r="F81" i="2"/>
  <c r="N80" i="2"/>
  <c r="M80" i="2"/>
  <c r="K80" i="2"/>
  <c r="K79" i="2" s="1"/>
  <c r="J80" i="2"/>
  <c r="J79" i="2" s="1"/>
  <c r="H80" i="2"/>
  <c r="G80" i="2"/>
  <c r="E80" i="2"/>
  <c r="D80" i="2"/>
  <c r="D79" i="2" s="1"/>
  <c r="N79" i="2"/>
  <c r="O77" i="2"/>
  <c r="L77" i="2"/>
  <c r="I77" i="2"/>
  <c r="F77" i="2"/>
  <c r="O76" i="2"/>
  <c r="L76" i="2"/>
  <c r="I76" i="2"/>
  <c r="F76" i="2"/>
  <c r="O75" i="2"/>
  <c r="L75" i="2"/>
  <c r="I75" i="2"/>
  <c r="F75" i="2"/>
  <c r="O74" i="2"/>
  <c r="L74" i="2"/>
  <c r="I74" i="2"/>
  <c r="F74" i="2"/>
  <c r="O73" i="2"/>
  <c r="L73" i="2"/>
  <c r="I73" i="2"/>
  <c r="F73" i="2"/>
  <c r="N72" i="2"/>
  <c r="N70" i="2" s="1"/>
  <c r="M72" i="2"/>
  <c r="K72" i="2"/>
  <c r="K70" i="2" s="1"/>
  <c r="J72" i="2"/>
  <c r="H72" i="2"/>
  <c r="G72" i="2"/>
  <c r="G70" i="2" s="1"/>
  <c r="E72" i="2"/>
  <c r="D72" i="2"/>
  <c r="D70" i="2" s="1"/>
  <c r="O71" i="2"/>
  <c r="L71" i="2"/>
  <c r="I71" i="2"/>
  <c r="F71" i="2"/>
  <c r="H70" i="2"/>
  <c r="O69" i="2"/>
  <c r="L69" i="2"/>
  <c r="I69" i="2"/>
  <c r="F69" i="2"/>
  <c r="O68" i="2"/>
  <c r="L68" i="2"/>
  <c r="I68" i="2"/>
  <c r="F68" i="2"/>
  <c r="O67" i="2"/>
  <c r="L67" i="2"/>
  <c r="I67" i="2"/>
  <c r="F67" i="2"/>
  <c r="O66" i="2"/>
  <c r="L66" i="2"/>
  <c r="I66" i="2"/>
  <c r="F66" i="2"/>
  <c r="O65" i="2"/>
  <c r="L65" i="2"/>
  <c r="I65" i="2"/>
  <c r="F65" i="2"/>
  <c r="O64" i="2"/>
  <c r="L64" i="2"/>
  <c r="I64" i="2"/>
  <c r="F64" i="2"/>
  <c r="O63" i="2"/>
  <c r="L63" i="2"/>
  <c r="I63" i="2"/>
  <c r="F63" i="2"/>
  <c r="O62" i="2"/>
  <c r="L62" i="2"/>
  <c r="I62" i="2"/>
  <c r="F62" i="2"/>
  <c r="N61" i="2"/>
  <c r="M61" i="2"/>
  <c r="O61" i="2" s="1"/>
  <c r="K61" i="2"/>
  <c r="J61" i="2"/>
  <c r="L61" i="2" s="1"/>
  <c r="H61" i="2"/>
  <c r="G61" i="2"/>
  <c r="E61" i="2"/>
  <c r="D61" i="2"/>
  <c r="F61" i="2" s="1"/>
  <c r="O60" i="2"/>
  <c r="L60" i="2"/>
  <c r="I60" i="2"/>
  <c r="F60" i="2"/>
  <c r="O59" i="2"/>
  <c r="L59" i="2"/>
  <c r="I59" i="2"/>
  <c r="F59" i="2"/>
  <c r="N58" i="2"/>
  <c r="M58" i="2"/>
  <c r="O58" i="2" s="1"/>
  <c r="K58" i="2"/>
  <c r="J58" i="2"/>
  <c r="J57" i="2" s="1"/>
  <c r="H58" i="2"/>
  <c r="G58" i="2"/>
  <c r="E58" i="2"/>
  <c r="E57" i="2" s="1"/>
  <c r="D58" i="2"/>
  <c r="N57" i="2"/>
  <c r="O50" i="2"/>
  <c r="C50" i="2" s="1"/>
  <c r="O49" i="2"/>
  <c r="C49" i="2" s="1"/>
  <c r="N48" i="2"/>
  <c r="M48" i="2"/>
  <c r="L47" i="2"/>
  <c r="I47" i="2"/>
  <c r="F47" i="2"/>
  <c r="K46" i="2"/>
  <c r="J46" i="2"/>
  <c r="H46" i="2"/>
  <c r="G46" i="2"/>
  <c r="I46" i="2" s="1"/>
  <c r="E46" i="2"/>
  <c r="D46" i="2"/>
  <c r="F45" i="2"/>
  <c r="C45" i="2" s="1"/>
  <c r="L44" i="2"/>
  <c r="C44" i="2" s="1"/>
  <c r="J44" i="2"/>
  <c r="J40" i="2" s="1"/>
  <c r="L43" i="2"/>
  <c r="C43" i="2" s="1"/>
  <c r="L42" i="2"/>
  <c r="C42" i="2" s="1"/>
  <c r="L41" i="2"/>
  <c r="C41" i="2" s="1"/>
  <c r="K40" i="2"/>
  <c r="L39" i="2"/>
  <c r="C39" i="2" s="1"/>
  <c r="L38" i="2"/>
  <c r="C38" i="2" s="1"/>
  <c r="K37" i="2"/>
  <c r="L37" i="2" s="1"/>
  <c r="C37" i="2" s="1"/>
  <c r="J37" i="2"/>
  <c r="L36" i="2"/>
  <c r="C36" i="2" s="1"/>
  <c r="K35" i="2"/>
  <c r="J35" i="2"/>
  <c r="L34" i="2"/>
  <c r="C34" i="2" s="1"/>
  <c r="L33" i="2"/>
  <c r="C33" i="2" s="1"/>
  <c r="L32" i="2"/>
  <c r="C32" i="2"/>
  <c r="K31" i="2"/>
  <c r="J31" i="2"/>
  <c r="F29" i="2"/>
  <c r="C29" i="2" s="1"/>
  <c r="I28" i="2"/>
  <c r="F28" i="2"/>
  <c r="O27" i="2"/>
  <c r="L27" i="2"/>
  <c r="I27" i="2"/>
  <c r="F27" i="2"/>
  <c r="O26" i="2"/>
  <c r="L26" i="2"/>
  <c r="I26" i="2"/>
  <c r="F26" i="2"/>
  <c r="N25" i="2"/>
  <c r="M25" i="2"/>
  <c r="K25" i="2"/>
  <c r="J25" i="2"/>
  <c r="J290" i="2" s="1"/>
  <c r="H25" i="2"/>
  <c r="G25" i="2"/>
  <c r="E25" i="2"/>
  <c r="D25" i="2"/>
  <c r="D290" i="2" s="1"/>
  <c r="O299" i="1"/>
  <c r="L299" i="1"/>
  <c r="I299" i="1"/>
  <c r="F299" i="1"/>
  <c r="O298" i="1"/>
  <c r="L298" i="1"/>
  <c r="I298" i="1"/>
  <c r="F298" i="1"/>
  <c r="O297" i="1"/>
  <c r="L297" i="1"/>
  <c r="I297" i="1"/>
  <c r="F297" i="1"/>
  <c r="O296" i="1"/>
  <c r="L296" i="1"/>
  <c r="I296" i="1"/>
  <c r="F296" i="1"/>
  <c r="O295" i="1"/>
  <c r="L295" i="1"/>
  <c r="I295" i="1"/>
  <c r="F295" i="1"/>
  <c r="O294" i="1"/>
  <c r="L294" i="1"/>
  <c r="I294" i="1"/>
  <c r="F294" i="1"/>
  <c r="O293" i="1"/>
  <c r="L293" i="1"/>
  <c r="I293" i="1"/>
  <c r="F293" i="1"/>
  <c r="O292" i="1"/>
  <c r="L292" i="1"/>
  <c r="I292" i="1"/>
  <c r="F292" i="1"/>
  <c r="N291" i="1"/>
  <c r="M291" i="1"/>
  <c r="O291" i="1" s="1"/>
  <c r="K291" i="1"/>
  <c r="J291" i="1"/>
  <c r="H291" i="1"/>
  <c r="G291" i="1"/>
  <c r="E291" i="1"/>
  <c r="D291" i="1"/>
  <c r="O286" i="1"/>
  <c r="L286" i="1"/>
  <c r="I286" i="1"/>
  <c r="F286" i="1"/>
  <c r="O285" i="1"/>
  <c r="L285" i="1"/>
  <c r="I285" i="1"/>
  <c r="F285" i="1"/>
  <c r="N284" i="1"/>
  <c r="M284" i="1"/>
  <c r="O284" i="1" s="1"/>
  <c r="K284" i="1"/>
  <c r="J284" i="1"/>
  <c r="H284" i="1"/>
  <c r="G284" i="1"/>
  <c r="E284" i="1"/>
  <c r="D284" i="1"/>
  <c r="O283" i="1"/>
  <c r="L283" i="1"/>
  <c r="I283" i="1"/>
  <c r="F283" i="1"/>
  <c r="N282" i="1"/>
  <c r="M282" i="1"/>
  <c r="O282" i="1" s="1"/>
  <c r="K282" i="1"/>
  <c r="J282" i="1"/>
  <c r="H282" i="1"/>
  <c r="G282" i="1"/>
  <c r="I282" i="1" s="1"/>
  <c r="E282" i="1"/>
  <c r="D282" i="1"/>
  <c r="O281" i="1"/>
  <c r="L281" i="1"/>
  <c r="I281" i="1"/>
  <c r="F281" i="1"/>
  <c r="O280" i="1"/>
  <c r="L280" i="1"/>
  <c r="I280" i="1"/>
  <c r="F280" i="1"/>
  <c r="O279" i="1"/>
  <c r="L279" i="1"/>
  <c r="I279" i="1"/>
  <c r="F279" i="1"/>
  <c r="N278" i="1"/>
  <c r="M278" i="1"/>
  <c r="K278" i="1"/>
  <c r="J278" i="1"/>
  <c r="H278" i="1"/>
  <c r="G278" i="1"/>
  <c r="E278" i="1"/>
  <c r="D278" i="1"/>
  <c r="O277" i="1"/>
  <c r="L277" i="1"/>
  <c r="I277" i="1"/>
  <c r="F277" i="1"/>
  <c r="O276" i="1"/>
  <c r="L276" i="1"/>
  <c r="I276" i="1"/>
  <c r="F276" i="1"/>
  <c r="O275" i="1"/>
  <c r="L275" i="1"/>
  <c r="I275" i="1"/>
  <c r="F275" i="1"/>
  <c r="N274" i="1"/>
  <c r="M274" i="1"/>
  <c r="K274" i="1"/>
  <c r="K272" i="1" s="1"/>
  <c r="K271" i="1" s="1"/>
  <c r="J274" i="1"/>
  <c r="H274" i="1"/>
  <c r="H272" i="1" s="1"/>
  <c r="H271" i="1" s="1"/>
  <c r="G274" i="1"/>
  <c r="E274" i="1"/>
  <c r="D274" i="1"/>
  <c r="D272" i="1" s="1"/>
  <c r="D271" i="1" s="1"/>
  <c r="O273" i="1"/>
  <c r="L273" i="1"/>
  <c r="I273" i="1"/>
  <c r="F273" i="1"/>
  <c r="O270" i="1"/>
  <c r="L270" i="1"/>
  <c r="I270" i="1"/>
  <c r="F270" i="1"/>
  <c r="O269" i="1"/>
  <c r="L269" i="1"/>
  <c r="I269" i="1"/>
  <c r="F269" i="1"/>
  <c r="O268" i="1"/>
  <c r="L268" i="1"/>
  <c r="I268" i="1"/>
  <c r="F268" i="1"/>
  <c r="O267" i="1"/>
  <c r="L267" i="1"/>
  <c r="I267" i="1"/>
  <c r="F267" i="1"/>
  <c r="N266" i="1"/>
  <c r="M266" i="1"/>
  <c r="K266" i="1"/>
  <c r="J266" i="1"/>
  <c r="H266" i="1"/>
  <c r="G266" i="1"/>
  <c r="E266" i="1"/>
  <c r="D266" i="1"/>
  <c r="O265" i="1"/>
  <c r="L265" i="1"/>
  <c r="I265" i="1"/>
  <c r="F265" i="1"/>
  <c r="O264" i="1"/>
  <c r="L264" i="1"/>
  <c r="I264" i="1"/>
  <c r="F264" i="1"/>
  <c r="O263" i="1"/>
  <c r="L263" i="1"/>
  <c r="I263" i="1"/>
  <c r="F263" i="1"/>
  <c r="N262" i="1"/>
  <c r="N261" i="1" s="1"/>
  <c r="M262" i="1"/>
  <c r="K262" i="1"/>
  <c r="J262" i="1"/>
  <c r="H262" i="1"/>
  <c r="H261" i="1" s="1"/>
  <c r="G262" i="1"/>
  <c r="E262" i="1"/>
  <c r="E261" i="1" s="1"/>
  <c r="D262" i="1"/>
  <c r="O260" i="1"/>
  <c r="L260" i="1"/>
  <c r="I260" i="1"/>
  <c r="F260" i="1"/>
  <c r="O259" i="1"/>
  <c r="L259" i="1"/>
  <c r="I259" i="1"/>
  <c r="F259" i="1"/>
  <c r="O258" i="1"/>
  <c r="L258" i="1"/>
  <c r="I258" i="1"/>
  <c r="F258" i="1"/>
  <c r="O257" i="1"/>
  <c r="L257" i="1"/>
  <c r="I257" i="1"/>
  <c r="F257" i="1"/>
  <c r="O256" i="1"/>
  <c r="L256" i="1"/>
  <c r="I256" i="1"/>
  <c r="F256" i="1"/>
  <c r="N255" i="1"/>
  <c r="M255" i="1"/>
  <c r="K255" i="1"/>
  <c r="J255" i="1"/>
  <c r="H255" i="1"/>
  <c r="G255" i="1"/>
  <c r="G254" i="1" s="1"/>
  <c r="E255" i="1"/>
  <c r="E254" i="1" s="1"/>
  <c r="D255" i="1"/>
  <c r="N254" i="1"/>
  <c r="M254" i="1"/>
  <c r="O254" i="1" s="1"/>
  <c r="K254" i="1"/>
  <c r="J254" i="1"/>
  <c r="O253" i="1"/>
  <c r="L253" i="1"/>
  <c r="I253" i="1"/>
  <c r="F253" i="1"/>
  <c r="O252" i="1"/>
  <c r="L252" i="1"/>
  <c r="I252" i="1"/>
  <c r="F252" i="1"/>
  <c r="O251" i="1"/>
  <c r="L251" i="1"/>
  <c r="I251" i="1"/>
  <c r="F251" i="1"/>
  <c r="O250" i="1"/>
  <c r="L250" i="1"/>
  <c r="I250" i="1"/>
  <c r="F250" i="1"/>
  <c r="N249" i="1"/>
  <c r="M249" i="1"/>
  <c r="O249" i="1" s="1"/>
  <c r="K249" i="1"/>
  <c r="J249" i="1"/>
  <c r="H249" i="1"/>
  <c r="G249" i="1"/>
  <c r="I249" i="1" s="1"/>
  <c r="E249" i="1"/>
  <c r="D249" i="1"/>
  <c r="O248" i="1"/>
  <c r="L248" i="1"/>
  <c r="I248" i="1"/>
  <c r="F248" i="1"/>
  <c r="O247" i="1"/>
  <c r="L247" i="1"/>
  <c r="I247" i="1"/>
  <c r="F247" i="1"/>
  <c r="O246" i="1"/>
  <c r="L246" i="1"/>
  <c r="I246" i="1"/>
  <c r="F246" i="1"/>
  <c r="O245" i="1"/>
  <c r="L245" i="1"/>
  <c r="I245" i="1"/>
  <c r="F245" i="1"/>
  <c r="O244" i="1"/>
  <c r="L244" i="1"/>
  <c r="I244" i="1"/>
  <c r="F244" i="1"/>
  <c r="O243" i="1"/>
  <c r="L243" i="1"/>
  <c r="I243" i="1"/>
  <c r="F243" i="1"/>
  <c r="O242" i="1"/>
  <c r="L242" i="1"/>
  <c r="I242" i="1"/>
  <c r="F242" i="1"/>
  <c r="N241" i="1"/>
  <c r="M241" i="1"/>
  <c r="K241" i="1"/>
  <c r="J241" i="1"/>
  <c r="H241" i="1"/>
  <c r="G241" i="1"/>
  <c r="E241" i="1"/>
  <c r="D241" i="1"/>
  <c r="O240" i="1"/>
  <c r="L240" i="1"/>
  <c r="I240" i="1"/>
  <c r="F240" i="1"/>
  <c r="O239" i="1"/>
  <c r="L239" i="1"/>
  <c r="I239" i="1"/>
  <c r="F239" i="1"/>
  <c r="N238" i="1"/>
  <c r="M238" i="1"/>
  <c r="K238" i="1"/>
  <c r="J238" i="1"/>
  <c r="H238" i="1"/>
  <c r="G238" i="1"/>
  <c r="E238" i="1"/>
  <c r="D238" i="1"/>
  <c r="O237" i="1"/>
  <c r="L237" i="1"/>
  <c r="I237" i="1"/>
  <c r="F237" i="1"/>
  <c r="N236" i="1"/>
  <c r="M236" i="1"/>
  <c r="K236" i="1"/>
  <c r="J236" i="1"/>
  <c r="H236" i="1"/>
  <c r="G236" i="1"/>
  <c r="E236" i="1"/>
  <c r="D236" i="1"/>
  <c r="O235" i="1"/>
  <c r="L235" i="1"/>
  <c r="I235" i="1"/>
  <c r="F235" i="1"/>
  <c r="O232" i="1"/>
  <c r="L232" i="1"/>
  <c r="I232" i="1"/>
  <c r="F232" i="1"/>
  <c r="O231" i="1"/>
  <c r="L231" i="1"/>
  <c r="I231" i="1"/>
  <c r="F231" i="1"/>
  <c r="N230" i="1"/>
  <c r="M230" i="1"/>
  <c r="O230" i="1" s="1"/>
  <c r="K230" i="1"/>
  <c r="J230" i="1"/>
  <c r="H230" i="1"/>
  <c r="G230" i="1"/>
  <c r="E230" i="1"/>
  <c r="D230" i="1"/>
  <c r="O229" i="1"/>
  <c r="L229" i="1"/>
  <c r="I229" i="1"/>
  <c r="F229" i="1"/>
  <c r="O228" i="1"/>
  <c r="L228" i="1"/>
  <c r="I228" i="1"/>
  <c r="F228" i="1"/>
  <c r="O227" i="1"/>
  <c r="L227" i="1"/>
  <c r="I227" i="1"/>
  <c r="F227" i="1"/>
  <c r="O226" i="1"/>
  <c r="L226" i="1"/>
  <c r="I226" i="1"/>
  <c r="F226" i="1"/>
  <c r="O225" i="1"/>
  <c r="L225" i="1"/>
  <c r="I225" i="1"/>
  <c r="F225" i="1"/>
  <c r="O224" i="1"/>
  <c r="L224" i="1"/>
  <c r="I224" i="1"/>
  <c r="F224" i="1"/>
  <c r="O223" i="1"/>
  <c r="L223" i="1"/>
  <c r="I223" i="1"/>
  <c r="F223" i="1"/>
  <c r="O222" i="1"/>
  <c r="L222" i="1"/>
  <c r="I222" i="1"/>
  <c r="F222" i="1"/>
  <c r="O221" i="1"/>
  <c r="L221" i="1"/>
  <c r="I221" i="1"/>
  <c r="D221" i="1"/>
  <c r="F221" i="1" s="1"/>
  <c r="O220" i="1"/>
  <c r="L220" i="1"/>
  <c r="I220" i="1"/>
  <c r="F220" i="1"/>
  <c r="N219" i="1"/>
  <c r="M219" i="1"/>
  <c r="O219" i="1" s="1"/>
  <c r="K219" i="1"/>
  <c r="J219" i="1"/>
  <c r="H219" i="1"/>
  <c r="G219" i="1"/>
  <c r="I219" i="1" s="1"/>
  <c r="E219" i="1"/>
  <c r="D219" i="1"/>
  <c r="O218" i="1"/>
  <c r="L218" i="1"/>
  <c r="I218" i="1"/>
  <c r="F218" i="1"/>
  <c r="O217" i="1"/>
  <c r="L217" i="1"/>
  <c r="I217" i="1"/>
  <c r="F217" i="1"/>
  <c r="O216" i="1"/>
  <c r="L216" i="1"/>
  <c r="I216" i="1"/>
  <c r="F216" i="1"/>
  <c r="O215" i="1"/>
  <c r="L215" i="1"/>
  <c r="I215" i="1"/>
  <c r="F215" i="1"/>
  <c r="O214" i="1"/>
  <c r="L214" i="1"/>
  <c r="I214" i="1"/>
  <c r="F214" i="1"/>
  <c r="O213" i="1"/>
  <c r="L213" i="1"/>
  <c r="I213" i="1"/>
  <c r="F213" i="1"/>
  <c r="O212" i="1"/>
  <c r="L212" i="1"/>
  <c r="I212" i="1"/>
  <c r="F212" i="1"/>
  <c r="O211" i="1"/>
  <c r="L211" i="1"/>
  <c r="I211" i="1"/>
  <c r="F211" i="1"/>
  <c r="O210" i="1"/>
  <c r="L210" i="1"/>
  <c r="I210" i="1"/>
  <c r="F210" i="1"/>
  <c r="O209" i="1"/>
  <c r="L209" i="1"/>
  <c r="I209" i="1"/>
  <c r="F209" i="1"/>
  <c r="N208" i="1"/>
  <c r="N207" i="1" s="1"/>
  <c r="M208" i="1"/>
  <c r="K208" i="1"/>
  <c r="J208" i="1"/>
  <c r="H208" i="1"/>
  <c r="G208" i="1"/>
  <c r="E208" i="1"/>
  <c r="E207" i="1" s="1"/>
  <c r="D208" i="1"/>
  <c r="O206" i="1"/>
  <c r="L206" i="1"/>
  <c r="I206" i="1"/>
  <c r="F206" i="1"/>
  <c r="O205" i="1"/>
  <c r="L205" i="1"/>
  <c r="I205" i="1"/>
  <c r="F205" i="1"/>
  <c r="O204" i="1"/>
  <c r="L204" i="1"/>
  <c r="I204" i="1"/>
  <c r="F204" i="1"/>
  <c r="O203" i="1"/>
  <c r="L203" i="1"/>
  <c r="I203" i="1"/>
  <c r="F203" i="1"/>
  <c r="O202" i="1"/>
  <c r="L202" i="1"/>
  <c r="I202" i="1"/>
  <c r="F202" i="1"/>
  <c r="N201" i="1"/>
  <c r="M201" i="1"/>
  <c r="K201" i="1"/>
  <c r="J201" i="1"/>
  <c r="J199" i="1" s="1"/>
  <c r="H201" i="1"/>
  <c r="H199" i="1" s="1"/>
  <c r="G201" i="1"/>
  <c r="E201" i="1"/>
  <c r="E199" i="1" s="1"/>
  <c r="D201" i="1"/>
  <c r="D199" i="1" s="1"/>
  <c r="O200" i="1"/>
  <c r="L200" i="1"/>
  <c r="I200" i="1"/>
  <c r="F200" i="1"/>
  <c r="N199" i="1"/>
  <c r="M199" i="1"/>
  <c r="O196" i="1"/>
  <c r="L196" i="1"/>
  <c r="I196" i="1"/>
  <c r="F196" i="1"/>
  <c r="N195" i="1"/>
  <c r="M195" i="1"/>
  <c r="K195" i="1"/>
  <c r="K194" i="1" s="1"/>
  <c r="J195" i="1"/>
  <c r="J194" i="1" s="1"/>
  <c r="H195" i="1"/>
  <c r="H194" i="1" s="1"/>
  <c r="G195" i="1"/>
  <c r="E195" i="1"/>
  <c r="D195" i="1"/>
  <c r="D194" i="1" s="1"/>
  <c r="N194" i="1"/>
  <c r="O193" i="1"/>
  <c r="L193" i="1"/>
  <c r="I193" i="1"/>
  <c r="F193" i="1"/>
  <c r="O192" i="1"/>
  <c r="L192" i="1"/>
  <c r="I192" i="1"/>
  <c r="F192" i="1"/>
  <c r="N191" i="1"/>
  <c r="M191" i="1"/>
  <c r="K191" i="1"/>
  <c r="J191" i="1"/>
  <c r="H191" i="1"/>
  <c r="H190" i="1" s="1"/>
  <c r="G191" i="1"/>
  <c r="E191" i="1"/>
  <c r="D191" i="1"/>
  <c r="N190" i="1"/>
  <c r="O189" i="1"/>
  <c r="L189" i="1"/>
  <c r="I189" i="1"/>
  <c r="F189" i="1"/>
  <c r="O188" i="1"/>
  <c r="L188" i="1"/>
  <c r="I188" i="1"/>
  <c r="F188" i="1"/>
  <c r="N187" i="1"/>
  <c r="M187" i="1"/>
  <c r="K187" i="1"/>
  <c r="J187" i="1"/>
  <c r="H187" i="1"/>
  <c r="G187" i="1"/>
  <c r="E187" i="1"/>
  <c r="D187" i="1"/>
  <c r="O186" i="1"/>
  <c r="L186" i="1"/>
  <c r="I186" i="1"/>
  <c r="F186" i="1"/>
  <c r="O185" i="1"/>
  <c r="L185" i="1"/>
  <c r="I185" i="1"/>
  <c r="F185" i="1"/>
  <c r="O184" i="1"/>
  <c r="L184" i="1"/>
  <c r="I184" i="1"/>
  <c r="F184" i="1"/>
  <c r="O183" i="1"/>
  <c r="L183" i="1"/>
  <c r="I183" i="1"/>
  <c r="F183" i="1"/>
  <c r="N182" i="1"/>
  <c r="M182" i="1"/>
  <c r="K182" i="1"/>
  <c r="J182" i="1"/>
  <c r="L182" i="1" s="1"/>
  <c r="H182" i="1"/>
  <c r="G182" i="1"/>
  <c r="E182" i="1"/>
  <c r="D182" i="1"/>
  <c r="F182" i="1" s="1"/>
  <c r="O181" i="1"/>
  <c r="L181" i="1"/>
  <c r="I181" i="1"/>
  <c r="F181" i="1"/>
  <c r="O180" i="1"/>
  <c r="L180" i="1"/>
  <c r="I180" i="1"/>
  <c r="F180" i="1"/>
  <c r="O179" i="1"/>
  <c r="L179" i="1"/>
  <c r="I179" i="1"/>
  <c r="F179" i="1"/>
  <c r="N178" i="1"/>
  <c r="M178" i="1"/>
  <c r="M177" i="1" s="1"/>
  <c r="K178" i="1"/>
  <c r="J178" i="1"/>
  <c r="H178" i="1"/>
  <c r="G178" i="1"/>
  <c r="G177" i="1" s="1"/>
  <c r="E178" i="1"/>
  <c r="E177" i="1" s="1"/>
  <c r="E176" i="1" s="1"/>
  <c r="D178" i="1"/>
  <c r="F178" i="1" s="1"/>
  <c r="K177" i="1"/>
  <c r="K176" i="1" s="1"/>
  <c r="O175" i="1"/>
  <c r="L175" i="1"/>
  <c r="I175" i="1"/>
  <c r="F175" i="1"/>
  <c r="O174" i="1"/>
  <c r="L174" i="1"/>
  <c r="I174" i="1"/>
  <c r="F174" i="1"/>
  <c r="O173" i="1"/>
  <c r="L173" i="1"/>
  <c r="I173" i="1"/>
  <c r="F173" i="1"/>
  <c r="O172" i="1"/>
  <c r="L172" i="1"/>
  <c r="I172" i="1"/>
  <c r="F172" i="1"/>
  <c r="O171" i="1"/>
  <c r="L171" i="1"/>
  <c r="I171" i="1"/>
  <c r="F171" i="1"/>
  <c r="O170" i="1"/>
  <c r="L170" i="1"/>
  <c r="I170" i="1"/>
  <c r="F170" i="1"/>
  <c r="N169" i="1"/>
  <c r="M169" i="1"/>
  <c r="K169" i="1"/>
  <c r="K168" i="1" s="1"/>
  <c r="J169" i="1"/>
  <c r="J168" i="1" s="1"/>
  <c r="H169" i="1"/>
  <c r="H168" i="1" s="1"/>
  <c r="G169" i="1"/>
  <c r="E169" i="1"/>
  <c r="E168" i="1" s="1"/>
  <c r="D169" i="1"/>
  <c r="D168" i="1" s="1"/>
  <c r="N168" i="1"/>
  <c r="O167" i="1"/>
  <c r="L167" i="1"/>
  <c r="I167" i="1"/>
  <c r="F167" i="1"/>
  <c r="O166" i="1"/>
  <c r="L166" i="1"/>
  <c r="I166" i="1"/>
  <c r="F166" i="1"/>
  <c r="O165" i="1"/>
  <c r="L165" i="1"/>
  <c r="I165" i="1"/>
  <c r="F165" i="1"/>
  <c r="O164" i="1"/>
  <c r="L164" i="1"/>
  <c r="I164" i="1"/>
  <c r="F164" i="1"/>
  <c r="N163" i="1"/>
  <c r="M163" i="1"/>
  <c r="K163" i="1"/>
  <c r="J163" i="1"/>
  <c r="H163" i="1"/>
  <c r="G163" i="1"/>
  <c r="E163" i="1"/>
  <c r="D163" i="1"/>
  <c r="O162" i="1"/>
  <c r="L162" i="1"/>
  <c r="I162" i="1"/>
  <c r="F162" i="1"/>
  <c r="O161" i="1"/>
  <c r="L161" i="1"/>
  <c r="I161" i="1"/>
  <c r="F161" i="1"/>
  <c r="O160" i="1"/>
  <c r="L160" i="1"/>
  <c r="I160" i="1"/>
  <c r="F160" i="1"/>
  <c r="O159" i="1"/>
  <c r="L159" i="1"/>
  <c r="I159" i="1"/>
  <c r="F159" i="1"/>
  <c r="O158" i="1"/>
  <c r="L158" i="1"/>
  <c r="I158" i="1"/>
  <c r="F158" i="1"/>
  <c r="O157" i="1"/>
  <c r="L157" i="1"/>
  <c r="I157" i="1"/>
  <c r="F157" i="1"/>
  <c r="O156" i="1"/>
  <c r="L156" i="1"/>
  <c r="I156" i="1"/>
  <c r="F156" i="1"/>
  <c r="O155" i="1"/>
  <c r="L155" i="1"/>
  <c r="I155" i="1"/>
  <c r="F155" i="1"/>
  <c r="N154" i="1"/>
  <c r="M154" i="1"/>
  <c r="K154" i="1"/>
  <c r="J154" i="1"/>
  <c r="H154" i="1"/>
  <c r="G154" i="1"/>
  <c r="E154" i="1"/>
  <c r="D154" i="1"/>
  <c r="O153" i="1"/>
  <c r="L153" i="1"/>
  <c r="I153" i="1"/>
  <c r="F153" i="1"/>
  <c r="O152" i="1"/>
  <c r="L152" i="1"/>
  <c r="I152" i="1"/>
  <c r="F152" i="1"/>
  <c r="O151" i="1"/>
  <c r="L151" i="1"/>
  <c r="I151" i="1"/>
  <c r="F151" i="1"/>
  <c r="O150" i="1"/>
  <c r="L150" i="1"/>
  <c r="I150" i="1"/>
  <c r="F150" i="1"/>
  <c r="O149" i="1"/>
  <c r="L149" i="1"/>
  <c r="I149" i="1"/>
  <c r="F149" i="1"/>
  <c r="O148" i="1"/>
  <c r="L148" i="1"/>
  <c r="I148" i="1"/>
  <c r="F148" i="1"/>
  <c r="D148" i="1"/>
  <c r="N147" i="1"/>
  <c r="M147" i="1"/>
  <c r="K147" i="1"/>
  <c r="J147" i="1"/>
  <c r="H147" i="1"/>
  <c r="G147" i="1"/>
  <c r="E147" i="1"/>
  <c r="D147" i="1"/>
  <c r="O146" i="1"/>
  <c r="L146" i="1"/>
  <c r="I146" i="1"/>
  <c r="F146" i="1"/>
  <c r="O145" i="1"/>
  <c r="L145" i="1"/>
  <c r="I145" i="1"/>
  <c r="F145" i="1"/>
  <c r="N144" i="1"/>
  <c r="M144" i="1"/>
  <c r="K144" i="1"/>
  <c r="J144" i="1"/>
  <c r="H144" i="1"/>
  <c r="G144" i="1"/>
  <c r="E144" i="1"/>
  <c r="D144" i="1"/>
  <c r="O143" i="1"/>
  <c r="L143" i="1"/>
  <c r="I143" i="1"/>
  <c r="F143" i="1"/>
  <c r="O142" i="1"/>
  <c r="L142" i="1"/>
  <c r="I142" i="1"/>
  <c r="F142" i="1"/>
  <c r="O141" i="1"/>
  <c r="L141" i="1"/>
  <c r="I141" i="1"/>
  <c r="F141" i="1"/>
  <c r="O140" i="1"/>
  <c r="L140" i="1"/>
  <c r="I140" i="1"/>
  <c r="F140" i="1"/>
  <c r="N139" i="1"/>
  <c r="M139" i="1"/>
  <c r="K139" i="1"/>
  <c r="J139" i="1"/>
  <c r="H139" i="1"/>
  <c r="G139" i="1"/>
  <c r="E139" i="1"/>
  <c r="D139" i="1"/>
  <c r="O138" i="1"/>
  <c r="L138" i="1"/>
  <c r="I138" i="1"/>
  <c r="F138" i="1"/>
  <c r="O137" i="1"/>
  <c r="L137" i="1"/>
  <c r="I137" i="1"/>
  <c r="F137" i="1"/>
  <c r="D137" i="1"/>
  <c r="O136" i="1"/>
  <c r="L136" i="1"/>
  <c r="I136" i="1"/>
  <c r="F136" i="1"/>
  <c r="D136" i="1"/>
  <c r="O135" i="1"/>
  <c r="L135" i="1"/>
  <c r="I135" i="1"/>
  <c r="F135" i="1"/>
  <c r="N134" i="1"/>
  <c r="M134" i="1"/>
  <c r="K134" i="1"/>
  <c r="J134" i="1"/>
  <c r="H134" i="1"/>
  <c r="G134" i="1"/>
  <c r="E134" i="1"/>
  <c r="D134" i="1"/>
  <c r="O132" i="1"/>
  <c r="L132" i="1"/>
  <c r="I132" i="1"/>
  <c r="F132" i="1"/>
  <c r="N131" i="1"/>
  <c r="M131" i="1"/>
  <c r="K131" i="1"/>
  <c r="J131" i="1"/>
  <c r="H131" i="1"/>
  <c r="G131" i="1"/>
  <c r="E131" i="1"/>
  <c r="D131" i="1"/>
  <c r="F131" i="1" s="1"/>
  <c r="O130" i="1"/>
  <c r="L130" i="1"/>
  <c r="I130" i="1"/>
  <c r="F130" i="1"/>
  <c r="O129" i="1"/>
  <c r="L129" i="1"/>
  <c r="I129" i="1"/>
  <c r="F129" i="1"/>
  <c r="O128" i="1"/>
  <c r="L128" i="1"/>
  <c r="I128" i="1"/>
  <c r="F128" i="1"/>
  <c r="O127" i="1"/>
  <c r="L127" i="1"/>
  <c r="I127" i="1"/>
  <c r="F127" i="1"/>
  <c r="O126" i="1"/>
  <c r="L126" i="1"/>
  <c r="I126" i="1"/>
  <c r="F126" i="1"/>
  <c r="N125" i="1"/>
  <c r="M125" i="1"/>
  <c r="K125" i="1"/>
  <c r="J125" i="1"/>
  <c r="H125" i="1"/>
  <c r="G125" i="1"/>
  <c r="E125" i="1"/>
  <c r="D125" i="1"/>
  <c r="O124" i="1"/>
  <c r="L124" i="1"/>
  <c r="I124" i="1"/>
  <c r="F124" i="1"/>
  <c r="O123" i="1"/>
  <c r="L123" i="1"/>
  <c r="I123" i="1"/>
  <c r="F123" i="1"/>
  <c r="O122" i="1"/>
  <c r="L122" i="1"/>
  <c r="I122" i="1"/>
  <c r="F122" i="1"/>
  <c r="O121" i="1"/>
  <c r="L121" i="1"/>
  <c r="I121" i="1"/>
  <c r="F121" i="1"/>
  <c r="O120" i="1"/>
  <c r="L120" i="1"/>
  <c r="I120" i="1"/>
  <c r="F120" i="1"/>
  <c r="N119" i="1"/>
  <c r="M119" i="1"/>
  <c r="K119" i="1"/>
  <c r="J119" i="1"/>
  <c r="H119" i="1"/>
  <c r="G119" i="1"/>
  <c r="E119" i="1"/>
  <c r="D119" i="1"/>
  <c r="O118" i="1"/>
  <c r="L118" i="1"/>
  <c r="I118" i="1"/>
  <c r="F118" i="1"/>
  <c r="O117" i="1"/>
  <c r="L117" i="1"/>
  <c r="I117" i="1"/>
  <c r="F117" i="1"/>
  <c r="O116" i="1"/>
  <c r="L116" i="1"/>
  <c r="I116" i="1"/>
  <c r="F116" i="1"/>
  <c r="N115" i="1"/>
  <c r="M115" i="1"/>
  <c r="K115" i="1"/>
  <c r="J115" i="1"/>
  <c r="L115" i="1" s="1"/>
  <c r="H115" i="1"/>
  <c r="G115" i="1"/>
  <c r="E115" i="1"/>
  <c r="D115" i="1"/>
  <c r="O114" i="1"/>
  <c r="L114" i="1"/>
  <c r="I114" i="1"/>
  <c r="F114" i="1"/>
  <c r="O113" i="1"/>
  <c r="L113" i="1"/>
  <c r="I113" i="1"/>
  <c r="F113" i="1"/>
  <c r="O112" i="1"/>
  <c r="L112" i="1"/>
  <c r="I112" i="1"/>
  <c r="F112" i="1"/>
  <c r="O111" i="1"/>
  <c r="L111" i="1"/>
  <c r="I111" i="1"/>
  <c r="F111" i="1"/>
  <c r="O110" i="1"/>
  <c r="L110" i="1"/>
  <c r="I110" i="1"/>
  <c r="F110" i="1"/>
  <c r="O109" i="1"/>
  <c r="L109" i="1"/>
  <c r="I109" i="1"/>
  <c r="F109" i="1"/>
  <c r="O108" i="1"/>
  <c r="L108" i="1"/>
  <c r="I108" i="1"/>
  <c r="F108" i="1"/>
  <c r="O107" i="1"/>
  <c r="L107" i="1"/>
  <c r="I107" i="1"/>
  <c r="F107" i="1"/>
  <c r="N106" i="1"/>
  <c r="M106" i="1"/>
  <c r="K106" i="1"/>
  <c r="J106" i="1"/>
  <c r="H106" i="1"/>
  <c r="G106" i="1"/>
  <c r="E106" i="1"/>
  <c r="D106" i="1"/>
  <c r="O105" i="1"/>
  <c r="L105" i="1"/>
  <c r="I105" i="1"/>
  <c r="F105" i="1"/>
  <c r="O104" i="1"/>
  <c r="L104" i="1"/>
  <c r="I104" i="1"/>
  <c r="F104" i="1"/>
  <c r="O103" i="1"/>
  <c r="L103" i="1"/>
  <c r="I103" i="1"/>
  <c r="F103" i="1"/>
  <c r="O102" i="1"/>
  <c r="L102" i="1"/>
  <c r="I102" i="1"/>
  <c r="F102" i="1"/>
  <c r="O101" i="1"/>
  <c r="L101" i="1"/>
  <c r="I101" i="1"/>
  <c r="F101" i="1"/>
  <c r="O100" i="1"/>
  <c r="L100" i="1"/>
  <c r="I100" i="1"/>
  <c r="F100" i="1"/>
  <c r="O99" i="1"/>
  <c r="L99" i="1"/>
  <c r="I99" i="1"/>
  <c r="F99" i="1"/>
  <c r="N98" i="1"/>
  <c r="M98" i="1"/>
  <c r="K98" i="1"/>
  <c r="J98" i="1"/>
  <c r="H98" i="1"/>
  <c r="G98" i="1"/>
  <c r="I98" i="1" s="1"/>
  <c r="E98" i="1"/>
  <c r="D98" i="1"/>
  <c r="F98" i="1" s="1"/>
  <c r="O97" i="1"/>
  <c r="L97" i="1"/>
  <c r="I97" i="1"/>
  <c r="F97" i="1"/>
  <c r="O96" i="1"/>
  <c r="L96" i="1"/>
  <c r="I96" i="1"/>
  <c r="F96" i="1"/>
  <c r="O95" i="1"/>
  <c r="L95" i="1"/>
  <c r="I95" i="1"/>
  <c r="F95" i="1"/>
  <c r="O94" i="1"/>
  <c r="L94" i="1"/>
  <c r="I94" i="1"/>
  <c r="F94" i="1"/>
  <c r="O93" i="1"/>
  <c r="L93" i="1"/>
  <c r="I93" i="1"/>
  <c r="F93" i="1"/>
  <c r="N92" i="1"/>
  <c r="M92" i="1"/>
  <c r="K92" i="1"/>
  <c r="J92" i="1"/>
  <c r="H92" i="1"/>
  <c r="G92" i="1"/>
  <c r="E92" i="1"/>
  <c r="D92" i="1"/>
  <c r="O91" i="1"/>
  <c r="L91" i="1"/>
  <c r="I91" i="1"/>
  <c r="F91" i="1"/>
  <c r="O90" i="1"/>
  <c r="L90" i="1"/>
  <c r="I90" i="1"/>
  <c r="F90" i="1"/>
  <c r="O89" i="1"/>
  <c r="L89" i="1"/>
  <c r="I89" i="1"/>
  <c r="F89" i="1"/>
  <c r="O88" i="1"/>
  <c r="L88" i="1"/>
  <c r="I88" i="1"/>
  <c r="F88" i="1"/>
  <c r="N87" i="1"/>
  <c r="M87" i="1"/>
  <c r="K87" i="1"/>
  <c r="J87" i="1"/>
  <c r="H87" i="1"/>
  <c r="G87" i="1"/>
  <c r="E87" i="1"/>
  <c r="D87" i="1"/>
  <c r="F87" i="1" s="1"/>
  <c r="O85" i="1"/>
  <c r="L85" i="1"/>
  <c r="I85" i="1"/>
  <c r="F85" i="1"/>
  <c r="O84" i="1"/>
  <c r="L84" i="1"/>
  <c r="I84" i="1"/>
  <c r="F84" i="1"/>
  <c r="N83" i="1"/>
  <c r="M83" i="1"/>
  <c r="K83" i="1"/>
  <c r="J83" i="1"/>
  <c r="H83" i="1"/>
  <c r="G83" i="1"/>
  <c r="E83" i="1"/>
  <c r="D83" i="1"/>
  <c r="O82" i="1"/>
  <c r="L82" i="1"/>
  <c r="I82" i="1"/>
  <c r="F82" i="1"/>
  <c r="O81" i="1"/>
  <c r="L81" i="1"/>
  <c r="I81" i="1"/>
  <c r="F81" i="1"/>
  <c r="N80" i="1"/>
  <c r="M80" i="1"/>
  <c r="K80" i="1"/>
  <c r="K79" i="1" s="1"/>
  <c r="J80" i="1"/>
  <c r="J79" i="1" s="1"/>
  <c r="H80" i="1"/>
  <c r="H79" i="1" s="1"/>
  <c r="G80" i="1"/>
  <c r="G79" i="1" s="1"/>
  <c r="E80" i="1"/>
  <c r="E79" i="1" s="1"/>
  <c r="D80" i="1"/>
  <c r="O77" i="1"/>
  <c r="L77" i="1"/>
  <c r="I77" i="1"/>
  <c r="F77" i="1"/>
  <c r="D77" i="1"/>
  <c r="O76" i="1"/>
  <c r="L76" i="1"/>
  <c r="I76" i="1"/>
  <c r="D76" i="1"/>
  <c r="F76" i="1" s="1"/>
  <c r="O75" i="1"/>
  <c r="L75" i="1"/>
  <c r="I75" i="1"/>
  <c r="F75" i="1"/>
  <c r="O74" i="1"/>
  <c r="L74" i="1"/>
  <c r="I74" i="1"/>
  <c r="F74" i="1"/>
  <c r="O73" i="1"/>
  <c r="L73" i="1"/>
  <c r="I73" i="1"/>
  <c r="F73" i="1"/>
  <c r="N72" i="1"/>
  <c r="M72" i="1"/>
  <c r="O72" i="1" s="1"/>
  <c r="K72" i="1"/>
  <c r="K70" i="1" s="1"/>
  <c r="J72" i="1"/>
  <c r="J70" i="1" s="1"/>
  <c r="H72" i="1"/>
  <c r="H70" i="1" s="1"/>
  <c r="G72" i="1"/>
  <c r="E72" i="1"/>
  <c r="E70" i="1" s="1"/>
  <c r="D72" i="1"/>
  <c r="O71" i="1"/>
  <c r="L71" i="1"/>
  <c r="I71" i="1"/>
  <c r="F71" i="1"/>
  <c r="N70" i="1"/>
  <c r="M70" i="1"/>
  <c r="O69" i="1"/>
  <c r="L69" i="1"/>
  <c r="I69" i="1"/>
  <c r="D69" i="1"/>
  <c r="F69" i="1" s="1"/>
  <c r="O68" i="1"/>
  <c r="L68" i="1"/>
  <c r="I68" i="1"/>
  <c r="F68" i="1"/>
  <c r="O67" i="1"/>
  <c r="L67" i="1"/>
  <c r="I67" i="1"/>
  <c r="F67" i="1"/>
  <c r="O66" i="1"/>
  <c r="L66" i="1"/>
  <c r="I66" i="1"/>
  <c r="D66" i="1"/>
  <c r="F66" i="1" s="1"/>
  <c r="O65" i="1"/>
  <c r="L65" i="1"/>
  <c r="I65" i="1"/>
  <c r="F65" i="1"/>
  <c r="O64" i="1"/>
  <c r="L64" i="1"/>
  <c r="I64" i="1"/>
  <c r="F64" i="1"/>
  <c r="O63" i="1"/>
  <c r="L63" i="1"/>
  <c r="I63" i="1"/>
  <c r="F63" i="1"/>
  <c r="O62" i="1"/>
  <c r="L62" i="1"/>
  <c r="I62" i="1"/>
  <c r="F62" i="1"/>
  <c r="N61" i="1"/>
  <c r="M61" i="1"/>
  <c r="K61" i="1"/>
  <c r="J61" i="1"/>
  <c r="L61" i="1" s="1"/>
  <c r="H61" i="1"/>
  <c r="G61" i="1"/>
  <c r="E61" i="1"/>
  <c r="D61" i="1"/>
  <c r="O60" i="1"/>
  <c r="L60" i="1"/>
  <c r="I60" i="1"/>
  <c r="F60" i="1"/>
  <c r="O59" i="1"/>
  <c r="L59" i="1"/>
  <c r="I59" i="1"/>
  <c r="F59" i="1"/>
  <c r="N58" i="1"/>
  <c r="M58" i="1"/>
  <c r="K58" i="1"/>
  <c r="J58" i="1"/>
  <c r="H58" i="1"/>
  <c r="G58" i="1"/>
  <c r="E58" i="1"/>
  <c r="D58" i="1"/>
  <c r="N57" i="1"/>
  <c r="O50" i="1"/>
  <c r="C50" i="1" s="1"/>
  <c r="O49" i="1"/>
  <c r="C49" i="1" s="1"/>
  <c r="N48" i="1"/>
  <c r="M48" i="1"/>
  <c r="L47" i="1"/>
  <c r="I47" i="1"/>
  <c r="F47" i="1"/>
  <c r="K46" i="1"/>
  <c r="J46" i="1"/>
  <c r="H46" i="1"/>
  <c r="G46" i="1"/>
  <c r="E46" i="1"/>
  <c r="D46" i="1"/>
  <c r="F45" i="1"/>
  <c r="C45" i="1" s="1"/>
  <c r="L44" i="1"/>
  <c r="C44" i="1" s="1"/>
  <c r="L43" i="1"/>
  <c r="C43" i="1" s="1"/>
  <c r="L42" i="1"/>
  <c r="C42" i="1" s="1"/>
  <c r="L41" i="1"/>
  <c r="C41" i="1" s="1"/>
  <c r="K40" i="1"/>
  <c r="J40" i="1"/>
  <c r="L39" i="1"/>
  <c r="C39" i="1" s="1"/>
  <c r="L38" i="1"/>
  <c r="C38" i="1" s="1"/>
  <c r="K37" i="1"/>
  <c r="J37" i="1"/>
  <c r="L36" i="1"/>
  <c r="C36" i="1" s="1"/>
  <c r="K35" i="1"/>
  <c r="J35" i="1"/>
  <c r="L34" i="1"/>
  <c r="C34" i="1" s="1"/>
  <c r="L33" i="1"/>
  <c r="C33" i="1" s="1"/>
  <c r="L32" i="1"/>
  <c r="C32" i="1" s="1"/>
  <c r="K31" i="1"/>
  <c r="J31" i="1"/>
  <c r="F29" i="1"/>
  <c r="C29" i="1" s="1"/>
  <c r="I28" i="1"/>
  <c r="F28" i="1"/>
  <c r="O27" i="1"/>
  <c r="L27" i="1"/>
  <c r="I27" i="1"/>
  <c r="F27" i="1"/>
  <c r="O26" i="1"/>
  <c r="L26" i="1"/>
  <c r="I26" i="1"/>
  <c r="F26" i="1"/>
  <c r="N25" i="1"/>
  <c r="N290" i="1" s="1"/>
  <c r="N289" i="1" s="1"/>
  <c r="M25" i="1"/>
  <c r="K25" i="1"/>
  <c r="J25" i="1"/>
  <c r="H25" i="1"/>
  <c r="H290" i="1" s="1"/>
  <c r="H289" i="1" s="1"/>
  <c r="G25" i="1"/>
  <c r="G290" i="1" s="1"/>
  <c r="E25" i="1"/>
  <c r="D25" i="1"/>
  <c r="L25" i="1" l="1"/>
  <c r="I139" i="1"/>
  <c r="I147" i="1"/>
  <c r="O236" i="1"/>
  <c r="L70" i="1"/>
  <c r="L208" i="1"/>
  <c r="F238" i="1"/>
  <c r="F241" i="1"/>
  <c r="C260" i="1"/>
  <c r="L262" i="1"/>
  <c r="C268" i="1"/>
  <c r="C270" i="1"/>
  <c r="L278" i="1"/>
  <c r="C286" i="1"/>
  <c r="F291" i="1"/>
  <c r="L291" i="1"/>
  <c r="C292" i="1"/>
  <c r="C296" i="1"/>
  <c r="C297" i="1"/>
  <c r="C298" i="1"/>
  <c r="C299" i="1"/>
  <c r="C177" i="6"/>
  <c r="C290" i="6"/>
  <c r="C289" i="6"/>
  <c r="C272" i="6"/>
  <c r="H54" i="6"/>
  <c r="E53" i="6"/>
  <c r="E288" i="6"/>
  <c r="O78" i="6"/>
  <c r="E287" i="6"/>
  <c r="L78" i="6"/>
  <c r="D197" i="6"/>
  <c r="F197" i="6" s="1"/>
  <c r="C86" i="6"/>
  <c r="F78" i="6"/>
  <c r="C133" i="7"/>
  <c r="C290" i="7"/>
  <c r="C289" i="7" s="1"/>
  <c r="C207" i="7"/>
  <c r="C254" i="7"/>
  <c r="C272" i="7"/>
  <c r="C199" i="7"/>
  <c r="C57" i="7"/>
  <c r="C176" i="7"/>
  <c r="C176" i="6"/>
  <c r="C234" i="6"/>
  <c r="E288" i="7"/>
  <c r="E53" i="7"/>
  <c r="I271" i="6"/>
  <c r="G287" i="6"/>
  <c r="I287" i="6" s="1"/>
  <c r="K287" i="7"/>
  <c r="K197" i="7"/>
  <c r="K54" i="7" s="1"/>
  <c r="M55" i="7"/>
  <c r="O56" i="7"/>
  <c r="N197" i="7"/>
  <c r="N54" i="7" s="1"/>
  <c r="N287" i="7"/>
  <c r="J197" i="7"/>
  <c r="L198" i="7"/>
  <c r="H197" i="7"/>
  <c r="H54" i="7" s="1"/>
  <c r="H287" i="7"/>
  <c r="M197" i="6"/>
  <c r="O197" i="6" s="1"/>
  <c r="O198" i="6"/>
  <c r="O190" i="6"/>
  <c r="C190" i="6" s="1"/>
  <c r="N55" i="6"/>
  <c r="N54" i="6" s="1"/>
  <c r="L55" i="6"/>
  <c r="D55" i="6"/>
  <c r="D55" i="7"/>
  <c r="F56" i="7"/>
  <c r="D197" i="7"/>
  <c r="F197" i="7" s="1"/>
  <c r="F198" i="7"/>
  <c r="G197" i="6"/>
  <c r="I197" i="6" s="1"/>
  <c r="I198" i="6"/>
  <c r="O233" i="7"/>
  <c r="M287" i="7"/>
  <c r="C234" i="7"/>
  <c r="O233" i="6"/>
  <c r="C233" i="6" s="1"/>
  <c r="M287" i="6"/>
  <c r="O287" i="6" s="1"/>
  <c r="L78" i="7"/>
  <c r="C78" i="7" s="1"/>
  <c r="J55" i="7"/>
  <c r="L271" i="6"/>
  <c r="J287" i="6"/>
  <c r="L287" i="6" s="1"/>
  <c r="F271" i="7"/>
  <c r="C271" i="7" s="1"/>
  <c r="D287" i="7"/>
  <c r="F287" i="7" s="1"/>
  <c r="O198" i="7"/>
  <c r="M197" i="7"/>
  <c r="L233" i="7"/>
  <c r="J287" i="7"/>
  <c r="L287" i="7" s="1"/>
  <c r="C177" i="7"/>
  <c r="I233" i="7"/>
  <c r="G287" i="7"/>
  <c r="G55" i="7"/>
  <c r="I56" i="7"/>
  <c r="G197" i="7"/>
  <c r="M55" i="6"/>
  <c r="G55" i="6"/>
  <c r="I56" i="6"/>
  <c r="C56" i="6" s="1"/>
  <c r="D287" i="6"/>
  <c r="L198" i="6"/>
  <c r="J197" i="6"/>
  <c r="L197" i="6" s="1"/>
  <c r="K53" i="6"/>
  <c r="K288" i="6"/>
  <c r="H55" i="5"/>
  <c r="D55" i="5"/>
  <c r="F55" i="5" s="1"/>
  <c r="C199" i="5"/>
  <c r="E53" i="5"/>
  <c r="E287" i="5"/>
  <c r="C207" i="5"/>
  <c r="J287" i="5"/>
  <c r="L287" i="5" s="1"/>
  <c r="J197" i="5"/>
  <c r="L197" i="5" s="1"/>
  <c r="L198" i="5"/>
  <c r="N55" i="5"/>
  <c r="N54" i="5" s="1"/>
  <c r="K53" i="5"/>
  <c r="K288" i="5"/>
  <c r="O233" i="5"/>
  <c r="M287" i="5"/>
  <c r="O287" i="5" s="1"/>
  <c r="I78" i="5"/>
  <c r="C78" i="5" s="1"/>
  <c r="G55" i="5"/>
  <c r="I233" i="5"/>
  <c r="C233" i="5" s="1"/>
  <c r="G287" i="5"/>
  <c r="F271" i="5"/>
  <c r="C271" i="5" s="1"/>
  <c r="D287" i="5"/>
  <c r="M55" i="5"/>
  <c r="O56" i="5"/>
  <c r="C56" i="5" s="1"/>
  <c r="H54" i="5"/>
  <c r="J55" i="5"/>
  <c r="O198" i="5"/>
  <c r="M197" i="5"/>
  <c r="O197" i="5" s="1"/>
  <c r="I197" i="5"/>
  <c r="H287" i="5"/>
  <c r="D197" i="5"/>
  <c r="F197" i="5" s="1"/>
  <c r="F198" i="5"/>
  <c r="G151" i="4"/>
  <c r="G102" i="4"/>
  <c r="G85" i="4"/>
  <c r="G64" i="4"/>
  <c r="G35" i="4"/>
  <c r="G21" i="4"/>
  <c r="L35" i="1"/>
  <c r="C35" i="1" s="1"/>
  <c r="N24" i="1"/>
  <c r="C96" i="1"/>
  <c r="L144" i="1"/>
  <c r="C165" i="1"/>
  <c r="O182" i="1"/>
  <c r="O61" i="1"/>
  <c r="I92" i="1"/>
  <c r="O92" i="1"/>
  <c r="I163" i="1"/>
  <c r="F168" i="1"/>
  <c r="L131" i="1"/>
  <c r="J133" i="1"/>
  <c r="L168" i="1"/>
  <c r="K190" i="1"/>
  <c r="C244" i="1"/>
  <c r="L98" i="1"/>
  <c r="C98" i="1" s="1"/>
  <c r="C136" i="1"/>
  <c r="N133" i="1"/>
  <c r="D190" i="1"/>
  <c r="O255" i="1"/>
  <c r="J30" i="1"/>
  <c r="J24" i="1" s="1"/>
  <c r="O58" i="1"/>
  <c r="O131" i="1"/>
  <c r="J190" i="1"/>
  <c r="L190" i="1" s="1"/>
  <c r="C26" i="1"/>
  <c r="C108" i="1"/>
  <c r="C205" i="1"/>
  <c r="N198" i="1"/>
  <c r="I241" i="1"/>
  <c r="C128" i="1"/>
  <c r="C135" i="1"/>
  <c r="C153" i="1"/>
  <c r="F154" i="1"/>
  <c r="L154" i="1"/>
  <c r="L163" i="1"/>
  <c r="C164" i="1"/>
  <c r="C213" i="1"/>
  <c r="C228" i="1"/>
  <c r="C240" i="1"/>
  <c r="C243" i="1"/>
  <c r="I262" i="1"/>
  <c r="O266" i="1"/>
  <c r="O25" i="1"/>
  <c r="J57" i="1"/>
  <c r="J56" i="1" s="1"/>
  <c r="I61" i="1"/>
  <c r="O83" i="1"/>
  <c r="I115" i="1"/>
  <c r="F125" i="1"/>
  <c r="O201" i="1"/>
  <c r="F249" i="1"/>
  <c r="L255" i="1"/>
  <c r="C256" i="1"/>
  <c r="C258" i="1"/>
  <c r="C259" i="1"/>
  <c r="I278" i="1"/>
  <c r="E57" i="1"/>
  <c r="E56" i="1" s="1"/>
  <c r="F58" i="1"/>
  <c r="M24" i="1"/>
  <c r="K30" i="1"/>
  <c r="L37" i="1"/>
  <c r="C37" i="1" s="1"/>
  <c r="K57" i="1"/>
  <c r="F61" i="1"/>
  <c r="C88" i="1"/>
  <c r="C94" i="1"/>
  <c r="C100" i="1"/>
  <c r="C107" i="1"/>
  <c r="C120" i="1"/>
  <c r="I144" i="1"/>
  <c r="O144" i="1"/>
  <c r="C151" i="1"/>
  <c r="C173" i="1"/>
  <c r="C174" i="1"/>
  <c r="C181" i="1"/>
  <c r="C189" i="1"/>
  <c r="C193" i="1"/>
  <c r="J207" i="1"/>
  <c r="J198" i="1" s="1"/>
  <c r="C209" i="1"/>
  <c r="C211" i="1"/>
  <c r="C212" i="1"/>
  <c r="L238" i="1"/>
  <c r="E234" i="1"/>
  <c r="E233" i="1" s="1"/>
  <c r="K261" i="1"/>
  <c r="C273" i="1"/>
  <c r="E24" i="1"/>
  <c r="C157" i="1"/>
  <c r="C171" i="1"/>
  <c r="C179" i="1"/>
  <c r="M207" i="1"/>
  <c r="O207" i="1" s="1"/>
  <c r="C224" i="1"/>
  <c r="C227" i="1"/>
  <c r="I230" i="1"/>
  <c r="C252" i="1"/>
  <c r="J261" i="1"/>
  <c r="C264" i="1"/>
  <c r="J272" i="1"/>
  <c r="J271" i="1" s="1"/>
  <c r="L271" i="1" s="1"/>
  <c r="C280" i="1"/>
  <c r="C281" i="1"/>
  <c r="H57" i="1"/>
  <c r="H56" i="1" s="1"/>
  <c r="C62" i="1"/>
  <c r="C75" i="1"/>
  <c r="C76" i="1"/>
  <c r="G86" i="1"/>
  <c r="E86" i="1"/>
  <c r="D290" i="1"/>
  <c r="D289" i="1" s="1"/>
  <c r="F289" i="1" s="1"/>
  <c r="J290" i="1"/>
  <c r="F46" i="1"/>
  <c r="L46" i="1"/>
  <c r="N56" i="1"/>
  <c r="C64" i="1"/>
  <c r="C67" i="1"/>
  <c r="O70" i="1"/>
  <c r="I72" i="1"/>
  <c r="F80" i="1"/>
  <c r="L79" i="1"/>
  <c r="C81" i="1"/>
  <c r="F83" i="1"/>
  <c r="L83" i="1"/>
  <c r="K86" i="1"/>
  <c r="I106" i="1"/>
  <c r="O106" i="1"/>
  <c r="C112" i="1"/>
  <c r="C116" i="1"/>
  <c r="F119" i="1"/>
  <c r="L119" i="1"/>
  <c r="C124" i="1"/>
  <c r="L125" i="1"/>
  <c r="C127" i="1"/>
  <c r="C138" i="1"/>
  <c r="L139" i="1"/>
  <c r="C146" i="1"/>
  <c r="F147" i="1"/>
  <c r="L147" i="1"/>
  <c r="I178" i="1"/>
  <c r="I187" i="1"/>
  <c r="O187" i="1"/>
  <c r="O191" i="1"/>
  <c r="C203" i="1"/>
  <c r="C204" i="1"/>
  <c r="O208" i="1"/>
  <c r="F230" i="1"/>
  <c r="C235" i="1"/>
  <c r="F236" i="1"/>
  <c r="H234" i="1"/>
  <c r="C248" i="1"/>
  <c r="L254" i="1"/>
  <c r="C276" i="1"/>
  <c r="N272" i="1"/>
  <c r="N271" i="1" s="1"/>
  <c r="I274" i="1"/>
  <c r="G272" i="1"/>
  <c r="G271" i="1" s="1"/>
  <c r="I271" i="1" s="1"/>
  <c r="C28" i="1"/>
  <c r="C63" i="1"/>
  <c r="C74" i="1"/>
  <c r="C77" i="1"/>
  <c r="C85" i="1"/>
  <c r="J86" i="1"/>
  <c r="F262" i="1"/>
  <c r="D261" i="1"/>
  <c r="F261" i="1" s="1"/>
  <c r="C27" i="1"/>
  <c r="L31" i="1"/>
  <c r="C31" i="1" s="1"/>
  <c r="L40" i="1"/>
  <c r="C40" i="1" s="1"/>
  <c r="I46" i="1"/>
  <c r="C47" i="1"/>
  <c r="D57" i="1"/>
  <c r="M57" i="1"/>
  <c r="G57" i="1"/>
  <c r="I57" i="1" s="1"/>
  <c r="C60" i="1"/>
  <c r="C73" i="1"/>
  <c r="I79" i="1"/>
  <c r="M79" i="1"/>
  <c r="I83" i="1"/>
  <c r="C84" i="1"/>
  <c r="C91" i="1"/>
  <c r="C132" i="1"/>
  <c r="H133" i="1"/>
  <c r="D133" i="1"/>
  <c r="F139" i="1"/>
  <c r="M168" i="1"/>
  <c r="O168" i="1" s="1"/>
  <c r="O169" i="1"/>
  <c r="C185" i="1"/>
  <c r="G207" i="1"/>
  <c r="C217" i="1"/>
  <c r="E290" i="1"/>
  <c r="E289" i="1" s="1"/>
  <c r="K290" i="1"/>
  <c r="K289" i="1" s="1"/>
  <c r="C59" i="1"/>
  <c r="C65" i="1"/>
  <c r="C66" i="1"/>
  <c r="C68" i="1"/>
  <c r="C69" i="1"/>
  <c r="C71" i="1"/>
  <c r="F72" i="1"/>
  <c r="N79" i="1"/>
  <c r="C82" i="1"/>
  <c r="I87" i="1"/>
  <c r="C90" i="1"/>
  <c r="C104" i="1"/>
  <c r="C142" i="1"/>
  <c r="C149" i="1"/>
  <c r="C161" i="1"/>
  <c r="I191" i="1"/>
  <c r="I195" i="1"/>
  <c r="G194" i="1"/>
  <c r="I194" i="1" s="1"/>
  <c r="C232" i="1"/>
  <c r="D234" i="1"/>
  <c r="I238" i="1"/>
  <c r="O238" i="1"/>
  <c r="M234" i="1"/>
  <c r="G261" i="1"/>
  <c r="I261" i="1" s="1"/>
  <c r="I266" i="1"/>
  <c r="M290" i="1"/>
  <c r="O290" i="1" s="1"/>
  <c r="C99" i="1"/>
  <c r="L106" i="1"/>
  <c r="C111" i="1"/>
  <c r="C118" i="1"/>
  <c r="C126" i="1"/>
  <c r="G133" i="1"/>
  <c r="L134" i="1"/>
  <c r="C141" i="1"/>
  <c r="C156" i="1"/>
  <c r="C166" i="1"/>
  <c r="C175" i="1"/>
  <c r="C184" i="1"/>
  <c r="H207" i="1"/>
  <c r="H198" i="1" s="1"/>
  <c r="C216" i="1"/>
  <c r="C226" i="1"/>
  <c r="C229" i="1"/>
  <c r="K234" i="1"/>
  <c r="C237" i="1"/>
  <c r="C245" i="1"/>
  <c r="C246" i="1"/>
  <c r="C247" i="1"/>
  <c r="C263" i="1"/>
  <c r="C279" i="1"/>
  <c r="O278" i="1"/>
  <c r="L92" i="1"/>
  <c r="C101" i="1"/>
  <c r="C103" i="1"/>
  <c r="C110" i="1"/>
  <c r="C113" i="1"/>
  <c r="F115" i="1"/>
  <c r="O115" i="1"/>
  <c r="I119" i="1"/>
  <c r="C121" i="1"/>
  <c r="C123" i="1"/>
  <c r="I125" i="1"/>
  <c r="O125" i="1"/>
  <c r="C130" i="1"/>
  <c r="C140" i="1"/>
  <c r="C143" i="1"/>
  <c r="F144" i="1"/>
  <c r="C148" i="1"/>
  <c r="C155" i="1"/>
  <c r="C158" i="1"/>
  <c r="C160" i="1"/>
  <c r="O163" i="1"/>
  <c r="C167" i="1"/>
  <c r="F169" i="1"/>
  <c r="L169" i="1"/>
  <c r="D177" i="1"/>
  <c r="H177" i="1"/>
  <c r="H176" i="1" s="1"/>
  <c r="C183" i="1"/>
  <c r="C186" i="1"/>
  <c r="F187" i="1"/>
  <c r="C202" i="1"/>
  <c r="C214" i="1"/>
  <c r="F219" i="1"/>
  <c r="L230" i="1"/>
  <c r="C231" i="1"/>
  <c r="C239" i="1"/>
  <c r="C253" i="1"/>
  <c r="C257" i="1"/>
  <c r="F266" i="1"/>
  <c r="C269" i="1"/>
  <c r="C285" i="1"/>
  <c r="F92" i="1"/>
  <c r="C93" i="1"/>
  <c r="C95" i="1"/>
  <c r="O98" i="1"/>
  <c r="C102" i="1"/>
  <c r="C105" i="1"/>
  <c r="F106" i="1"/>
  <c r="C114" i="1"/>
  <c r="O119" i="1"/>
  <c r="C122" i="1"/>
  <c r="I131" i="1"/>
  <c r="F134" i="1"/>
  <c r="I134" i="1"/>
  <c r="C137" i="1"/>
  <c r="O139" i="1"/>
  <c r="C139" i="1" s="1"/>
  <c r="C145" i="1"/>
  <c r="O147" i="1"/>
  <c r="C152" i="1"/>
  <c r="I154" i="1"/>
  <c r="O154" i="1"/>
  <c r="C159" i="1"/>
  <c r="F163" i="1"/>
  <c r="C172" i="1"/>
  <c r="C180" i="1"/>
  <c r="I182" i="1"/>
  <c r="C182" i="1" s="1"/>
  <c r="L187" i="1"/>
  <c r="C188" i="1"/>
  <c r="L191" i="1"/>
  <c r="C192" i="1"/>
  <c r="L194" i="1"/>
  <c r="L195" i="1"/>
  <c r="C196" i="1"/>
  <c r="C200" i="1"/>
  <c r="F201" i="1"/>
  <c r="C206" i="1"/>
  <c r="K207" i="1"/>
  <c r="L219" i="1"/>
  <c r="C220" i="1"/>
  <c r="C222" i="1"/>
  <c r="C223" i="1"/>
  <c r="N234" i="1"/>
  <c r="N233" i="1" s="1"/>
  <c r="L249" i="1"/>
  <c r="C249" i="1" s="1"/>
  <c r="C250" i="1"/>
  <c r="C251" i="1"/>
  <c r="L266" i="1"/>
  <c r="C267" i="1"/>
  <c r="L274" i="1"/>
  <c r="C275" i="1"/>
  <c r="L282" i="1"/>
  <c r="C283" i="1"/>
  <c r="F284" i="1"/>
  <c r="C293" i="1"/>
  <c r="C295" i="1"/>
  <c r="L238" i="2"/>
  <c r="K190" i="2"/>
  <c r="O255" i="2"/>
  <c r="L274" i="2"/>
  <c r="L278" i="2"/>
  <c r="L83" i="2"/>
  <c r="L106" i="2"/>
  <c r="F169" i="2"/>
  <c r="C268" i="2"/>
  <c r="C276" i="2"/>
  <c r="C279" i="2"/>
  <c r="H271" i="2"/>
  <c r="I139" i="2"/>
  <c r="I144" i="2"/>
  <c r="O147" i="2"/>
  <c r="C212" i="2"/>
  <c r="C244" i="2"/>
  <c r="C248" i="2"/>
  <c r="L282" i="2"/>
  <c r="O83" i="2"/>
  <c r="I92" i="2"/>
  <c r="C137" i="2"/>
  <c r="L139" i="2"/>
  <c r="C151" i="2"/>
  <c r="L168" i="2"/>
  <c r="C181" i="2"/>
  <c r="C184" i="2"/>
  <c r="C209" i="2"/>
  <c r="C210" i="2"/>
  <c r="C211" i="2"/>
  <c r="H207" i="2"/>
  <c r="N207" i="2"/>
  <c r="N198" i="2" s="1"/>
  <c r="O236" i="2"/>
  <c r="C47" i="2"/>
  <c r="N24" i="2"/>
  <c r="I70" i="2"/>
  <c r="F98" i="2"/>
  <c r="L98" i="2"/>
  <c r="F131" i="2"/>
  <c r="I154" i="2"/>
  <c r="O178" i="2"/>
  <c r="O182" i="2"/>
  <c r="I262" i="2"/>
  <c r="L80" i="2"/>
  <c r="L187" i="2"/>
  <c r="C224" i="2"/>
  <c r="C235" i="2"/>
  <c r="H234" i="2"/>
  <c r="I241" i="2"/>
  <c r="C296" i="2"/>
  <c r="H290" i="2"/>
  <c r="H289" i="2" s="1"/>
  <c r="N290" i="2"/>
  <c r="N289" i="2" s="1"/>
  <c r="C105" i="2"/>
  <c r="C129" i="2"/>
  <c r="I134" i="2"/>
  <c r="L230" i="2"/>
  <c r="C27" i="2"/>
  <c r="C28" i="2"/>
  <c r="I80" i="2"/>
  <c r="F125" i="2"/>
  <c r="C145" i="2"/>
  <c r="C165" i="2"/>
  <c r="C185" i="2"/>
  <c r="L195" i="2"/>
  <c r="I230" i="2"/>
  <c r="N271" i="2"/>
  <c r="O284" i="2"/>
  <c r="O291" i="2"/>
  <c r="I194" i="2"/>
  <c r="G190" i="2"/>
  <c r="C26" i="2"/>
  <c r="F58" i="2"/>
  <c r="O87" i="2"/>
  <c r="C100" i="2"/>
  <c r="C104" i="2"/>
  <c r="I106" i="2"/>
  <c r="C136" i="2"/>
  <c r="I163" i="2"/>
  <c r="O163" i="2"/>
  <c r="C173" i="2"/>
  <c r="E177" i="2"/>
  <c r="C204" i="2"/>
  <c r="F208" i="2"/>
  <c r="K207" i="2"/>
  <c r="K198" i="2" s="1"/>
  <c r="C216" i="2"/>
  <c r="C228" i="2"/>
  <c r="O230" i="2"/>
  <c r="F238" i="2"/>
  <c r="C243" i="2"/>
  <c r="L255" i="2"/>
  <c r="C260" i="2"/>
  <c r="L262" i="2"/>
  <c r="C264" i="2"/>
  <c r="K272" i="2"/>
  <c r="K271" i="2" s="1"/>
  <c r="C66" i="2"/>
  <c r="C69" i="2"/>
  <c r="C71" i="2"/>
  <c r="I72" i="2"/>
  <c r="I87" i="2"/>
  <c r="F106" i="2"/>
  <c r="F119" i="2"/>
  <c r="F139" i="2"/>
  <c r="C171" i="2"/>
  <c r="M207" i="2"/>
  <c r="M198" i="2" s="1"/>
  <c r="C220" i="2"/>
  <c r="C221" i="2"/>
  <c r="C223" i="2"/>
  <c r="E234" i="2"/>
  <c r="O254" i="2"/>
  <c r="I255" i="2"/>
  <c r="I266" i="2"/>
  <c r="O25" i="2"/>
  <c r="L31" i="2"/>
  <c r="C31" i="2" s="1"/>
  <c r="D57" i="2"/>
  <c r="F57" i="2" s="1"/>
  <c r="C64" i="2"/>
  <c r="L72" i="2"/>
  <c r="C74" i="2"/>
  <c r="C84" i="2"/>
  <c r="C88" i="2"/>
  <c r="C90" i="2"/>
  <c r="C94" i="2"/>
  <c r="C109" i="2"/>
  <c r="C111" i="2"/>
  <c r="C113" i="2"/>
  <c r="L125" i="2"/>
  <c r="C128" i="2"/>
  <c r="N86" i="2"/>
  <c r="C143" i="2"/>
  <c r="K133" i="2"/>
  <c r="F147" i="2"/>
  <c r="C149" i="2"/>
  <c r="C153" i="2"/>
  <c r="F154" i="2"/>
  <c r="L154" i="2"/>
  <c r="C157" i="2"/>
  <c r="C161" i="2"/>
  <c r="C164" i="2"/>
  <c r="I187" i="2"/>
  <c r="O187" i="2"/>
  <c r="J194" i="2"/>
  <c r="J190" i="2" s="1"/>
  <c r="L190" i="2" s="1"/>
  <c r="C196" i="2"/>
  <c r="C200" i="2"/>
  <c r="F207" i="2"/>
  <c r="I219" i="2"/>
  <c r="C232" i="2"/>
  <c r="I238" i="2"/>
  <c r="C252" i="2"/>
  <c r="C256" i="2"/>
  <c r="D261" i="2"/>
  <c r="N261" i="2"/>
  <c r="L291" i="2"/>
  <c r="C292" i="2"/>
  <c r="C293" i="2"/>
  <c r="C295" i="2"/>
  <c r="M168" i="2"/>
  <c r="O168" i="2" s="1"/>
  <c r="O169" i="2"/>
  <c r="I61" i="2"/>
  <c r="C61" i="2" s="1"/>
  <c r="H57" i="2"/>
  <c r="H56" i="2" s="1"/>
  <c r="C96" i="2"/>
  <c r="L191" i="2"/>
  <c r="C192" i="2"/>
  <c r="O195" i="2"/>
  <c r="M194" i="2"/>
  <c r="O194" i="2" s="1"/>
  <c r="F201" i="2"/>
  <c r="D199" i="2"/>
  <c r="O238" i="2"/>
  <c r="M234" i="2"/>
  <c r="C62" i="2"/>
  <c r="O119" i="2"/>
  <c r="F134" i="2"/>
  <c r="I147" i="2"/>
  <c r="C189" i="2"/>
  <c r="H199" i="2"/>
  <c r="G272" i="2"/>
  <c r="I278" i="2"/>
  <c r="F284" i="2"/>
  <c r="H24" i="2"/>
  <c r="C141" i="2"/>
  <c r="L144" i="2"/>
  <c r="C240" i="2"/>
  <c r="F241" i="2"/>
  <c r="L266" i="2"/>
  <c r="J261" i="2"/>
  <c r="L261" i="2" s="1"/>
  <c r="J272" i="2"/>
  <c r="J271" i="2" s="1"/>
  <c r="I282" i="2"/>
  <c r="C68" i="2"/>
  <c r="C73" i="2"/>
  <c r="C91" i="2"/>
  <c r="F92" i="2"/>
  <c r="C93" i="2"/>
  <c r="C103" i="2"/>
  <c r="L115" i="2"/>
  <c r="C117" i="2"/>
  <c r="C127" i="2"/>
  <c r="C130" i="2"/>
  <c r="C132" i="2"/>
  <c r="C135" i="2"/>
  <c r="C156" i="2"/>
  <c r="L163" i="2"/>
  <c r="C175" i="2"/>
  <c r="F177" i="2"/>
  <c r="I178" i="2"/>
  <c r="C183" i="2"/>
  <c r="C203" i="2"/>
  <c r="C215" i="2"/>
  <c r="C222" i="2"/>
  <c r="C227" i="2"/>
  <c r="F236" i="2"/>
  <c r="K234" i="2"/>
  <c r="K233" i="2" s="1"/>
  <c r="C242" i="2"/>
  <c r="C247" i="2"/>
  <c r="E261" i="2"/>
  <c r="F261" i="2" s="1"/>
  <c r="C267" i="2"/>
  <c r="C275" i="2"/>
  <c r="F282" i="2"/>
  <c r="O282" i="2"/>
  <c r="F291" i="2"/>
  <c r="C297" i="2"/>
  <c r="C298" i="2"/>
  <c r="C299" i="2"/>
  <c r="M57" i="2"/>
  <c r="O57" i="2" s="1"/>
  <c r="C60" i="2"/>
  <c r="C77" i="2"/>
  <c r="C81" i="2"/>
  <c r="C82" i="2"/>
  <c r="C85" i="2"/>
  <c r="C101" i="2"/>
  <c r="C108" i="2"/>
  <c r="O115" i="2"/>
  <c r="L119" i="2"/>
  <c r="C124" i="2"/>
  <c r="O125" i="2"/>
  <c r="L131" i="2"/>
  <c r="E133" i="2"/>
  <c r="C140" i="2"/>
  <c r="C148" i="2"/>
  <c r="C155" i="2"/>
  <c r="C160" i="2"/>
  <c r="C167" i="2"/>
  <c r="L169" i="2"/>
  <c r="C180" i="2"/>
  <c r="C188" i="2"/>
  <c r="C193" i="2"/>
  <c r="O199" i="2"/>
  <c r="C202" i="2"/>
  <c r="C205" i="2"/>
  <c r="C218" i="2"/>
  <c r="O219" i="2"/>
  <c r="C226" i="2"/>
  <c r="F230" i="2"/>
  <c r="C239" i="2"/>
  <c r="C246" i="2"/>
  <c r="C259" i="2"/>
  <c r="C263" i="2"/>
  <c r="C277" i="2"/>
  <c r="C285" i="2"/>
  <c r="D24" i="2"/>
  <c r="L46" i="2"/>
  <c r="N56" i="2"/>
  <c r="C63" i="2"/>
  <c r="C65" i="2"/>
  <c r="C76" i="2"/>
  <c r="G79" i="2"/>
  <c r="C97" i="2"/>
  <c r="C99" i="2"/>
  <c r="C107" i="2"/>
  <c r="C110" i="2"/>
  <c r="C114" i="2"/>
  <c r="F115" i="2"/>
  <c r="C121" i="2"/>
  <c r="C123" i="2"/>
  <c r="I131" i="2"/>
  <c r="O131" i="2"/>
  <c r="D133" i="2"/>
  <c r="F133" i="2" s="1"/>
  <c r="N133" i="2"/>
  <c r="N78" i="2" s="1"/>
  <c r="C142" i="2"/>
  <c r="F144" i="2"/>
  <c r="O144" i="2"/>
  <c r="L147" i="2"/>
  <c r="C150" i="2"/>
  <c r="C152" i="2"/>
  <c r="O154" i="2"/>
  <c r="C159" i="2"/>
  <c r="C162" i="2"/>
  <c r="F163" i="2"/>
  <c r="C170" i="2"/>
  <c r="C172" i="2"/>
  <c r="F178" i="2"/>
  <c r="C179" i="2"/>
  <c r="I182" i="2"/>
  <c r="H190" i="2"/>
  <c r="O191" i="2"/>
  <c r="I195" i="2"/>
  <c r="C206" i="2"/>
  <c r="O208" i="2"/>
  <c r="C231" i="2"/>
  <c r="N234" i="2"/>
  <c r="L249" i="2"/>
  <c r="C249" i="2" s="1"/>
  <c r="C250" i="2"/>
  <c r="C251" i="2"/>
  <c r="L254" i="2"/>
  <c r="C257" i="2"/>
  <c r="F266" i="2"/>
  <c r="O266" i="2"/>
  <c r="C269" i="2"/>
  <c r="C273" i="2"/>
  <c r="F274" i="2"/>
  <c r="I274" i="2"/>
  <c r="O278" i="2"/>
  <c r="C283" i="2"/>
  <c r="I291" i="2"/>
  <c r="C226" i="3"/>
  <c r="K289" i="3"/>
  <c r="N190" i="3"/>
  <c r="J190" i="3"/>
  <c r="C252" i="3"/>
  <c r="C296" i="3"/>
  <c r="E24" i="3"/>
  <c r="H56" i="3"/>
  <c r="H86" i="3"/>
  <c r="C212" i="3"/>
  <c r="J207" i="3"/>
  <c r="L290" i="3"/>
  <c r="L289" i="3" s="1"/>
  <c r="C47" i="3"/>
  <c r="C90" i="3"/>
  <c r="C173" i="3"/>
  <c r="L199" i="3"/>
  <c r="C292" i="3"/>
  <c r="C293" i="3"/>
  <c r="C295" i="3"/>
  <c r="D290" i="3"/>
  <c r="D289" i="3" s="1"/>
  <c r="H290" i="3"/>
  <c r="H289" i="3" s="1"/>
  <c r="C76" i="3"/>
  <c r="C82" i="3"/>
  <c r="C94" i="3"/>
  <c r="C121" i="3"/>
  <c r="C141" i="3"/>
  <c r="G133" i="3"/>
  <c r="C145" i="3"/>
  <c r="K133" i="3"/>
  <c r="C161" i="3"/>
  <c r="C162" i="3"/>
  <c r="C189" i="3"/>
  <c r="F190" i="3"/>
  <c r="C240" i="3"/>
  <c r="D234" i="3"/>
  <c r="C280" i="3"/>
  <c r="L219" i="3"/>
  <c r="L274" i="3"/>
  <c r="G290" i="3"/>
  <c r="M290" i="3"/>
  <c r="M289" i="3" s="1"/>
  <c r="L40" i="3"/>
  <c r="C40" i="3" s="1"/>
  <c r="I80" i="3"/>
  <c r="I79" i="3" s="1"/>
  <c r="E86" i="3"/>
  <c r="C137" i="3"/>
  <c r="C181" i="3"/>
  <c r="D177" i="3"/>
  <c r="D176" i="3" s="1"/>
  <c r="H177" i="3"/>
  <c r="H176" i="3" s="1"/>
  <c r="L187" i="3"/>
  <c r="L191" i="3"/>
  <c r="O191" i="3"/>
  <c r="C200" i="3"/>
  <c r="G198" i="3"/>
  <c r="C221" i="3"/>
  <c r="L238" i="3"/>
  <c r="C244" i="3"/>
  <c r="C248" i="3"/>
  <c r="C251" i="3"/>
  <c r="O249" i="3"/>
  <c r="N272" i="3"/>
  <c r="N271" i="3" s="1"/>
  <c r="L182" i="3"/>
  <c r="C182" i="3" s="1"/>
  <c r="G272" i="3"/>
  <c r="G271" i="3" s="1"/>
  <c r="F46" i="3"/>
  <c r="C46" i="3" s="1"/>
  <c r="E57" i="3"/>
  <c r="E56" i="3" s="1"/>
  <c r="L70" i="3"/>
  <c r="E79" i="3"/>
  <c r="C81" i="3"/>
  <c r="C102" i="3"/>
  <c r="C109" i="3"/>
  <c r="C111" i="3"/>
  <c r="C112" i="3"/>
  <c r="C129" i="3"/>
  <c r="C153" i="3"/>
  <c r="O154" i="3"/>
  <c r="L163" i="3"/>
  <c r="K176" i="3"/>
  <c r="I176" i="3"/>
  <c r="C185" i="3"/>
  <c r="M190" i="3"/>
  <c r="C204" i="3"/>
  <c r="N207" i="3"/>
  <c r="N198" i="3" s="1"/>
  <c r="C232" i="3"/>
  <c r="C246" i="3"/>
  <c r="C256" i="3"/>
  <c r="C260" i="3"/>
  <c r="C268" i="3"/>
  <c r="C269" i="3"/>
  <c r="C284" i="3"/>
  <c r="E289" i="3"/>
  <c r="C26" i="3"/>
  <c r="K57" i="3"/>
  <c r="K56" i="3" s="1"/>
  <c r="C59" i="3"/>
  <c r="C60" i="3"/>
  <c r="D57" i="3"/>
  <c r="C65" i="3"/>
  <c r="C69" i="3"/>
  <c r="D70" i="3"/>
  <c r="O72" i="3"/>
  <c r="O70" i="3" s="1"/>
  <c r="G86" i="3"/>
  <c r="G78" i="3" s="1"/>
  <c r="C149" i="3"/>
  <c r="C150" i="3"/>
  <c r="C157" i="3"/>
  <c r="M177" i="3"/>
  <c r="M176" i="3" s="1"/>
  <c r="O187" i="3"/>
  <c r="C206" i="3"/>
  <c r="C216" i="3"/>
  <c r="D207" i="3"/>
  <c r="D198" i="3" s="1"/>
  <c r="C224" i="3"/>
  <c r="C228" i="3"/>
  <c r="H234" i="3"/>
  <c r="H233" i="3" s="1"/>
  <c r="O238" i="3"/>
  <c r="M234" i="3"/>
  <c r="F255" i="3"/>
  <c r="F254" i="3" s="1"/>
  <c r="C264" i="3"/>
  <c r="K261" i="3"/>
  <c r="K272" i="3"/>
  <c r="K271" i="3" s="1"/>
  <c r="H271" i="3"/>
  <c r="K30" i="3"/>
  <c r="K24" i="3" s="1"/>
  <c r="N290" i="3"/>
  <c r="N289" i="3" s="1"/>
  <c r="N24" i="3"/>
  <c r="L144" i="3"/>
  <c r="I147" i="3"/>
  <c r="L31" i="3"/>
  <c r="C31" i="3" s="1"/>
  <c r="L37" i="3"/>
  <c r="C37" i="3" s="1"/>
  <c r="O48" i="3"/>
  <c r="C48" i="3" s="1"/>
  <c r="I57" i="3"/>
  <c r="C63" i="3"/>
  <c r="C64" i="3"/>
  <c r="C71" i="3"/>
  <c r="O83" i="3"/>
  <c r="C97" i="3"/>
  <c r="I115" i="3"/>
  <c r="L115" i="3"/>
  <c r="C124" i="3"/>
  <c r="C127" i="3"/>
  <c r="O125" i="3"/>
  <c r="L147" i="3"/>
  <c r="C155" i="3"/>
  <c r="C156" i="3"/>
  <c r="C165" i="3"/>
  <c r="L178" i="3"/>
  <c r="L177" i="3" s="1"/>
  <c r="L176" i="3" s="1"/>
  <c r="C184" i="3"/>
  <c r="E190" i="3"/>
  <c r="D190" i="3"/>
  <c r="I194" i="3"/>
  <c r="C196" i="3"/>
  <c r="J198" i="3"/>
  <c r="C213" i="3"/>
  <c r="C218" i="3"/>
  <c r="C220" i="3"/>
  <c r="E207" i="3"/>
  <c r="E198" i="3" s="1"/>
  <c r="L241" i="3"/>
  <c r="I262" i="3"/>
  <c r="L262" i="3"/>
  <c r="C270" i="3"/>
  <c r="L272" i="3"/>
  <c r="L271" i="3" s="1"/>
  <c r="C276" i="3"/>
  <c r="C281" i="3"/>
  <c r="C286" i="3"/>
  <c r="I291" i="3"/>
  <c r="C297" i="3"/>
  <c r="C298" i="3"/>
  <c r="H190" i="3"/>
  <c r="M207" i="3"/>
  <c r="M198" i="3" s="1"/>
  <c r="G289" i="3"/>
  <c r="C27" i="3"/>
  <c r="C67" i="3"/>
  <c r="C68" i="3"/>
  <c r="C73" i="3"/>
  <c r="C74" i="3"/>
  <c r="C75" i="3"/>
  <c r="C85" i="3"/>
  <c r="N86" i="3"/>
  <c r="C95" i="3"/>
  <c r="I92" i="3"/>
  <c r="C100" i="3"/>
  <c r="D86" i="3"/>
  <c r="J133" i="3"/>
  <c r="C135" i="3"/>
  <c r="C136" i="3"/>
  <c r="H133" i="3"/>
  <c r="H78" i="3" s="1"/>
  <c r="C142" i="3"/>
  <c r="C160" i="3"/>
  <c r="N177" i="3"/>
  <c r="N176" i="3" s="1"/>
  <c r="C186" i="3"/>
  <c r="C193" i="3"/>
  <c r="G190" i="3"/>
  <c r="K190" i="3"/>
  <c r="O195" i="3"/>
  <c r="O194" i="3" s="1"/>
  <c r="C203" i="3"/>
  <c r="C210" i="3"/>
  <c r="O208" i="3"/>
  <c r="C217" i="3"/>
  <c r="C229" i="3"/>
  <c r="G234" i="3"/>
  <c r="G233" i="3" s="1"/>
  <c r="K234" i="3"/>
  <c r="K233" i="3" s="1"/>
  <c r="C243" i="3"/>
  <c r="O241" i="3"/>
  <c r="C257" i="3"/>
  <c r="O262" i="3"/>
  <c r="L266" i="3"/>
  <c r="C277" i="3"/>
  <c r="C28" i="3"/>
  <c r="J30" i="3"/>
  <c r="J24" i="3" s="1"/>
  <c r="J57" i="3"/>
  <c r="J56" i="3" s="1"/>
  <c r="N56" i="3"/>
  <c r="O58" i="3"/>
  <c r="O57" i="3" s="1"/>
  <c r="L61" i="3"/>
  <c r="L57" i="3" s="1"/>
  <c r="C66" i="3"/>
  <c r="I72" i="3"/>
  <c r="I70" i="3" s="1"/>
  <c r="C77" i="3"/>
  <c r="J86" i="3"/>
  <c r="C88" i="3"/>
  <c r="C89" i="3"/>
  <c r="O92" i="3"/>
  <c r="L92" i="3"/>
  <c r="C105" i="3"/>
  <c r="K86" i="3"/>
  <c r="K78" i="3" s="1"/>
  <c r="I106" i="3"/>
  <c r="O106" i="3"/>
  <c r="O119" i="3"/>
  <c r="L119" i="3"/>
  <c r="E133" i="3"/>
  <c r="I134" i="3"/>
  <c r="O139" i="3"/>
  <c r="L139" i="3"/>
  <c r="C152" i="3"/>
  <c r="C171" i="3"/>
  <c r="C179" i="3"/>
  <c r="C180" i="3"/>
  <c r="C192" i="3"/>
  <c r="K198" i="3"/>
  <c r="K197" i="3" s="1"/>
  <c r="I208" i="3"/>
  <c r="C214" i="3"/>
  <c r="C215" i="3"/>
  <c r="H207" i="3"/>
  <c r="H198" i="3" s="1"/>
  <c r="C227" i="3"/>
  <c r="E234" i="3"/>
  <c r="C245" i="3"/>
  <c r="C247" i="3"/>
  <c r="L249" i="3"/>
  <c r="D233" i="3"/>
  <c r="O266" i="3"/>
  <c r="O278" i="3"/>
  <c r="G122" i="4"/>
  <c r="E28" i="4"/>
  <c r="E102" i="4"/>
  <c r="O290" i="3"/>
  <c r="I290" i="3"/>
  <c r="C25" i="3"/>
  <c r="I24" i="3"/>
  <c r="C299" i="3"/>
  <c r="L35" i="3"/>
  <c r="C62" i="3"/>
  <c r="F80" i="3"/>
  <c r="F87" i="3"/>
  <c r="C99" i="3"/>
  <c r="C101" i="3"/>
  <c r="F98" i="3"/>
  <c r="L106" i="3"/>
  <c r="C120" i="3"/>
  <c r="F119" i="3"/>
  <c r="F134" i="3"/>
  <c r="D133" i="3"/>
  <c r="O147" i="3"/>
  <c r="C164" i="3"/>
  <c r="F163" i="3"/>
  <c r="C172" i="3"/>
  <c r="F169" i="3"/>
  <c r="F178" i="3"/>
  <c r="F199" i="3"/>
  <c r="C259" i="3"/>
  <c r="F106" i="3"/>
  <c r="C108" i="3"/>
  <c r="G24" i="3"/>
  <c r="O80" i="3"/>
  <c r="C83" i="3"/>
  <c r="C84" i="3"/>
  <c r="M86" i="3"/>
  <c r="L87" i="3"/>
  <c r="C91" i="3"/>
  <c r="C93" i="3"/>
  <c r="F92" i="3"/>
  <c r="I98" i="3"/>
  <c r="C103" i="3"/>
  <c r="C104" i="3"/>
  <c r="C110" i="3"/>
  <c r="O115" i="3"/>
  <c r="C123" i="3"/>
  <c r="L125" i="3"/>
  <c r="C130" i="3"/>
  <c r="M133" i="3"/>
  <c r="L134" i="3"/>
  <c r="C138" i="3"/>
  <c r="C140" i="3"/>
  <c r="F139" i="3"/>
  <c r="C146" i="3"/>
  <c r="C148" i="3"/>
  <c r="F147" i="3"/>
  <c r="I154" i="3"/>
  <c r="C159" i="3"/>
  <c r="C167" i="3"/>
  <c r="C175" i="3"/>
  <c r="C211" i="3"/>
  <c r="F208" i="3"/>
  <c r="C223" i="3"/>
  <c r="F219" i="3"/>
  <c r="C236" i="3"/>
  <c r="C239" i="3"/>
  <c r="F238" i="3"/>
  <c r="C128" i="3"/>
  <c r="F125" i="3"/>
  <c r="D24" i="3"/>
  <c r="H24" i="3"/>
  <c r="F61" i="3"/>
  <c r="F57" i="3" s="1"/>
  <c r="F72" i="3"/>
  <c r="L79" i="3"/>
  <c r="O87" i="3"/>
  <c r="C96" i="3"/>
  <c r="L98" i="3"/>
  <c r="C114" i="3"/>
  <c r="C116" i="3"/>
  <c r="F115" i="3"/>
  <c r="C122" i="3"/>
  <c r="C132" i="3"/>
  <c r="F131" i="3"/>
  <c r="C131" i="3" s="1"/>
  <c r="N133" i="3"/>
  <c r="O134" i="3"/>
  <c r="C143" i="3"/>
  <c r="C151" i="3"/>
  <c r="L154" i="3"/>
  <c r="C158" i="3"/>
  <c r="C166" i="3"/>
  <c r="C174" i="3"/>
  <c r="O178" i="3"/>
  <c r="O177" i="3" s="1"/>
  <c r="O176" i="3" s="1"/>
  <c r="C107" i="3"/>
  <c r="C126" i="3"/>
  <c r="I144" i="3"/>
  <c r="C170" i="3"/>
  <c r="C188" i="3"/>
  <c r="F187" i="3"/>
  <c r="C187" i="3" s="1"/>
  <c r="L190" i="3"/>
  <c r="O199" i="3"/>
  <c r="I201" i="3"/>
  <c r="I199" i="3" s="1"/>
  <c r="C202" i="3"/>
  <c r="C205" i="3"/>
  <c r="C222" i="3"/>
  <c r="I219" i="3"/>
  <c r="I207" i="3" s="1"/>
  <c r="C225" i="3"/>
  <c r="C231" i="3"/>
  <c r="F230" i="3"/>
  <c r="C230" i="3" s="1"/>
  <c r="M233" i="3"/>
  <c r="N234" i="3"/>
  <c r="N233" i="3" s="1"/>
  <c r="C258" i="3"/>
  <c r="I255" i="3"/>
  <c r="I254" i="3" s="1"/>
  <c r="E261" i="3"/>
  <c r="C263" i="3"/>
  <c r="F262" i="3"/>
  <c r="C273" i="3"/>
  <c r="I272" i="3"/>
  <c r="I271" i="3" s="1"/>
  <c r="M272" i="3"/>
  <c r="M271" i="3" s="1"/>
  <c r="C283" i="3"/>
  <c r="F282" i="3"/>
  <c r="C282" i="3" s="1"/>
  <c r="C183" i="3"/>
  <c r="I191" i="3"/>
  <c r="C209" i="3"/>
  <c r="L208" i="3"/>
  <c r="L207" i="3" s="1"/>
  <c r="C235" i="3"/>
  <c r="C237" i="3"/>
  <c r="J234" i="3"/>
  <c r="J233" i="3" s="1"/>
  <c r="F249" i="3"/>
  <c r="I249" i="3"/>
  <c r="C250" i="3"/>
  <c r="C253" i="3"/>
  <c r="C265" i="3"/>
  <c r="I266" i="3"/>
  <c r="E272" i="3"/>
  <c r="E271" i="3" s="1"/>
  <c r="O274" i="3"/>
  <c r="O272" i="3" s="1"/>
  <c r="O271" i="3" s="1"/>
  <c r="C279" i="3"/>
  <c r="F278" i="3"/>
  <c r="C278" i="3" s="1"/>
  <c r="O291" i="3"/>
  <c r="O219" i="3"/>
  <c r="I241" i="3"/>
  <c r="C242" i="3"/>
  <c r="O254" i="3"/>
  <c r="C267" i="3"/>
  <c r="F266" i="3"/>
  <c r="C275" i="3"/>
  <c r="F274" i="3"/>
  <c r="C294" i="3"/>
  <c r="C285" i="3"/>
  <c r="F291" i="3"/>
  <c r="G290" i="2"/>
  <c r="G24" i="2"/>
  <c r="K290" i="2"/>
  <c r="K289" i="2" s="1"/>
  <c r="L25" i="2"/>
  <c r="E70" i="2"/>
  <c r="E56" i="2" s="1"/>
  <c r="F72" i="2"/>
  <c r="M79" i="2"/>
  <c r="O80" i="2"/>
  <c r="F87" i="2"/>
  <c r="D86" i="2"/>
  <c r="D78" i="2" s="1"/>
  <c r="J177" i="2"/>
  <c r="L178" i="2"/>
  <c r="M290" i="2"/>
  <c r="M24" i="2"/>
  <c r="O24" i="2" s="1"/>
  <c r="L35" i="2"/>
  <c r="C35" i="2" s="1"/>
  <c r="J30" i="2"/>
  <c r="L40" i="2"/>
  <c r="C40" i="2" s="1"/>
  <c r="C67" i="2"/>
  <c r="C75" i="2"/>
  <c r="E86" i="2"/>
  <c r="O92" i="2"/>
  <c r="M86" i="2"/>
  <c r="I98" i="2"/>
  <c r="H86" i="2"/>
  <c r="I25" i="2"/>
  <c r="K30" i="2"/>
  <c r="K24" i="2" s="1"/>
  <c r="F46" i="2"/>
  <c r="C46" i="2" s="1"/>
  <c r="O48" i="2"/>
  <c r="C48" i="2" s="1"/>
  <c r="K57" i="2"/>
  <c r="L58" i="2"/>
  <c r="C59" i="2"/>
  <c r="O72" i="2"/>
  <c r="M70" i="2"/>
  <c r="E79" i="2"/>
  <c r="F80" i="2"/>
  <c r="H79" i="2"/>
  <c r="I83" i="2"/>
  <c r="E290" i="2"/>
  <c r="E289" i="2" s="1"/>
  <c r="E24" i="2"/>
  <c r="D56" i="2"/>
  <c r="G57" i="2"/>
  <c r="I58" i="2"/>
  <c r="L79" i="2"/>
  <c r="L95" i="2"/>
  <c r="C95" i="2" s="1"/>
  <c r="J92" i="2"/>
  <c r="L92" i="2" s="1"/>
  <c r="F25" i="2"/>
  <c r="J289" i="2"/>
  <c r="F83" i="2"/>
  <c r="K86" i="2"/>
  <c r="O98" i="2"/>
  <c r="O106" i="2"/>
  <c r="J133" i="2"/>
  <c r="L133" i="2" s="1"/>
  <c r="L134" i="2"/>
  <c r="O139" i="2"/>
  <c r="M133" i="2"/>
  <c r="M176" i="2"/>
  <c r="G86" i="2"/>
  <c r="C102" i="2"/>
  <c r="C112" i="2"/>
  <c r="C116" i="2"/>
  <c r="C120" i="2"/>
  <c r="C138" i="2"/>
  <c r="C146" i="2"/>
  <c r="C166" i="2"/>
  <c r="G168" i="2"/>
  <c r="I168" i="2" s="1"/>
  <c r="I169" i="2"/>
  <c r="C174" i="2"/>
  <c r="E176" i="2"/>
  <c r="F176" i="2" s="1"/>
  <c r="D254" i="2"/>
  <c r="F255" i="2"/>
  <c r="O274" i="2"/>
  <c r="M272" i="2"/>
  <c r="I284" i="2"/>
  <c r="D289" i="2"/>
  <c r="J70" i="2"/>
  <c r="L70" i="2" s="1"/>
  <c r="L89" i="2"/>
  <c r="C89" i="2" s="1"/>
  <c r="J87" i="2"/>
  <c r="C118" i="2"/>
  <c r="C122" i="2"/>
  <c r="C126" i="2"/>
  <c r="O134" i="2"/>
  <c r="C154" i="2"/>
  <c r="C158" i="2"/>
  <c r="G176" i="2"/>
  <c r="N177" i="2"/>
  <c r="C186" i="2"/>
  <c r="F187" i="2"/>
  <c r="H133" i="2"/>
  <c r="I133" i="2" s="1"/>
  <c r="E168" i="2"/>
  <c r="F168" i="2" s="1"/>
  <c r="H177" i="2"/>
  <c r="H176" i="2" s="1"/>
  <c r="O201" i="2"/>
  <c r="G207" i="2"/>
  <c r="I208" i="2"/>
  <c r="C213" i="2"/>
  <c r="C214" i="2"/>
  <c r="C225" i="2"/>
  <c r="L236" i="2"/>
  <c r="L241" i="2"/>
  <c r="J234" i="2"/>
  <c r="C253" i="2"/>
  <c r="I261" i="2"/>
  <c r="M261" i="2"/>
  <c r="O262" i="2"/>
  <c r="C265" i="2"/>
  <c r="E272" i="2"/>
  <c r="E271" i="2" s="1"/>
  <c r="D194" i="2"/>
  <c r="F195" i="2"/>
  <c r="D198" i="2"/>
  <c r="F199" i="2"/>
  <c r="C217" i="2"/>
  <c r="C229" i="2"/>
  <c r="C237" i="2"/>
  <c r="C245" i="2"/>
  <c r="I191" i="2"/>
  <c r="L201" i="2"/>
  <c r="J199" i="2"/>
  <c r="L208" i="2"/>
  <c r="I236" i="2"/>
  <c r="G234" i="2"/>
  <c r="O241" i="2"/>
  <c r="H233" i="2"/>
  <c r="C258" i="2"/>
  <c r="C270" i="2"/>
  <c r="G271" i="2"/>
  <c r="I272" i="2"/>
  <c r="F278" i="2"/>
  <c r="C281" i="2"/>
  <c r="C286" i="2"/>
  <c r="C294" i="2"/>
  <c r="F262" i="2"/>
  <c r="D272" i="2"/>
  <c r="L284" i="2"/>
  <c r="K56" i="1"/>
  <c r="G168" i="1"/>
  <c r="I169" i="1"/>
  <c r="M289" i="1"/>
  <c r="O289" i="1" s="1"/>
  <c r="L58" i="1"/>
  <c r="L72" i="1"/>
  <c r="M86" i="1"/>
  <c r="M133" i="1"/>
  <c r="O133" i="1" s="1"/>
  <c r="O134" i="1"/>
  <c r="G176" i="1"/>
  <c r="N177" i="1"/>
  <c r="O178" i="1"/>
  <c r="M194" i="1"/>
  <c r="O195" i="1"/>
  <c r="D207" i="1"/>
  <c r="F207" i="1" s="1"/>
  <c r="F208" i="1"/>
  <c r="G24" i="1"/>
  <c r="K24" i="1"/>
  <c r="F25" i="1"/>
  <c r="O48" i="1"/>
  <c r="C48" i="1" s="1"/>
  <c r="I58" i="1"/>
  <c r="G70" i="1"/>
  <c r="I70" i="1" s="1"/>
  <c r="I80" i="1"/>
  <c r="L87" i="1"/>
  <c r="C89" i="1"/>
  <c r="C97" i="1"/>
  <c r="C117" i="1"/>
  <c r="C150" i="1"/>
  <c r="C162" i="1"/>
  <c r="J177" i="1"/>
  <c r="L178" i="1"/>
  <c r="C221" i="1"/>
  <c r="O274" i="1"/>
  <c r="M272" i="1"/>
  <c r="O87" i="1"/>
  <c r="N86" i="1"/>
  <c r="I25" i="1"/>
  <c r="D24" i="1"/>
  <c r="H24" i="1"/>
  <c r="G289" i="1"/>
  <c r="I289" i="1" s="1"/>
  <c r="I290" i="1"/>
  <c r="D70" i="1"/>
  <c r="F70" i="1" s="1"/>
  <c r="D79" i="1"/>
  <c r="L80" i="1"/>
  <c r="O80" i="1"/>
  <c r="D86" i="1"/>
  <c r="H86" i="1"/>
  <c r="H78" i="1" s="1"/>
  <c r="C109" i="1"/>
  <c r="C129" i="1"/>
  <c r="E133" i="1"/>
  <c r="C170" i="1"/>
  <c r="M176" i="1"/>
  <c r="F191" i="1"/>
  <c r="J289" i="1"/>
  <c r="K133" i="1"/>
  <c r="K78" i="1" s="1"/>
  <c r="D198" i="1"/>
  <c r="C218" i="1"/>
  <c r="I236" i="1"/>
  <c r="G234" i="1"/>
  <c r="O241" i="1"/>
  <c r="H254" i="1"/>
  <c r="I255" i="1"/>
  <c r="F274" i="1"/>
  <c r="F282" i="1"/>
  <c r="I284" i="1"/>
  <c r="E194" i="1"/>
  <c r="F194" i="1" s="1"/>
  <c r="F195" i="1"/>
  <c r="E198" i="1"/>
  <c r="F199" i="1"/>
  <c r="O199" i="1"/>
  <c r="K199" i="1"/>
  <c r="L201" i="1"/>
  <c r="D254" i="1"/>
  <c r="F255" i="1"/>
  <c r="E272" i="1"/>
  <c r="E271" i="1" s="1"/>
  <c r="F271" i="1" s="1"/>
  <c r="I201" i="1"/>
  <c r="G199" i="1"/>
  <c r="C210" i="1"/>
  <c r="C215" i="1"/>
  <c r="C225" i="1"/>
  <c r="L236" i="1"/>
  <c r="L241" i="1"/>
  <c r="J234" i="1"/>
  <c r="C242" i="1"/>
  <c r="M261" i="1"/>
  <c r="O261" i="1" s="1"/>
  <c r="O262" i="1"/>
  <c r="C262" i="1" s="1"/>
  <c r="C265" i="1"/>
  <c r="C277" i="1"/>
  <c r="F278" i="1"/>
  <c r="I291" i="1"/>
  <c r="C294" i="1"/>
  <c r="I208" i="1"/>
  <c r="L284" i="1"/>
  <c r="F290" i="1" l="1"/>
  <c r="C72" i="1"/>
  <c r="F57" i="1"/>
  <c r="L86" i="1"/>
  <c r="C147" i="1"/>
  <c r="M198" i="1"/>
  <c r="L56" i="1"/>
  <c r="L207" i="1"/>
  <c r="C83" i="1"/>
  <c r="L261" i="1"/>
  <c r="C261" i="1" s="1"/>
  <c r="L57" i="1"/>
  <c r="C61" i="1"/>
  <c r="C198" i="6"/>
  <c r="C78" i="6"/>
  <c r="H288" i="6"/>
  <c r="H53" i="6"/>
  <c r="C197" i="6"/>
  <c r="F287" i="6"/>
  <c r="L197" i="7"/>
  <c r="I287" i="7"/>
  <c r="O287" i="7"/>
  <c r="C198" i="7"/>
  <c r="I197" i="7"/>
  <c r="O197" i="7"/>
  <c r="C56" i="7"/>
  <c r="C271" i="6"/>
  <c r="M54" i="6"/>
  <c r="O55" i="6"/>
  <c r="J54" i="7"/>
  <c r="L55" i="7"/>
  <c r="N53" i="6"/>
  <c r="N288" i="6"/>
  <c r="M54" i="7"/>
  <c r="O55" i="7"/>
  <c r="C233" i="7"/>
  <c r="D54" i="6"/>
  <c r="F55" i="6"/>
  <c r="H288" i="7"/>
  <c r="H53" i="7"/>
  <c r="K53" i="7"/>
  <c r="K288" i="7"/>
  <c r="J54" i="6"/>
  <c r="N53" i="7"/>
  <c r="N288" i="7"/>
  <c r="D54" i="7"/>
  <c r="F55" i="7"/>
  <c r="I55" i="6"/>
  <c r="G54" i="6"/>
  <c r="I55" i="7"/>
  <c r="G54" i="7"/>
  <c r="C197" i="5"/>
  <c r="F287" i="5"/>
  <c r="H288" i="5"/>
  <c r="H53" i="5"/>
  <c r="D54" i="5"/>
  <c r="N53" i="5"/>
  <c r="N288" i="5"/>
  <c r="J54" i="5"/>
  <c r="L55" i="5"/>
  <c r="G54" i="5"/>
  <c r="I55" i="5"/>
  <c r="C198" i="5"/>
  <c r="C287" i="5" s="1"/>
  <c r="I287" i="5"/>
  <c r="O55" i="5"/>
  <c r="M54" i="5"/>
  <c r="C278" i="1"/>
  <c r="N78" i="1"/>
  <c r="C92" i="1"/>
  <c r="O24" i="1"/>
  <c r="O79" i="1"/>
  <c r="C46" i="1"/>
  <c r="L290" i="1"/>
  <c r="C154" i="1"/>
  <c r="H55" i="1"/>
  <c r="O234" i="1"/>
  <c r="L289" i="1"/>
  <c r="F133" i="1"/>
  <c r="C131" i="1"/>
  <c r="C238" i="1"/>
  <c r="C58" i="1"/>
  <c r="I272" i="1"/>
  <c r="C241" i="1"/>
  <c r="C282" i="1"/>
  <c r="C187" i="1"/>
  <c r="C163" i="1"/>
  <c r="C178" i="1"/>
  <c r="C119" i="1"/>
  <c r="L30" i="1"/>
  <c r="C30" i="1" s="1"/>
  <c r="C144" i="1"/>
  <c r="F234" i="1"/>
  <c r="G190" i="1"/>
  <c r="I190" i="1" s="1"/>
  <c r="C87" i="1"/>
  <c r="L24" i="1"/>
  <c r="F24" i="1"/>
  <c r="C230" i="1"/>
  <c r="K198" i="1"/>
  <c r="L198" i="1" s="1"/>
  <c r="I177" i="1"/>
  <c r="C191" i="1"/>
  <c r="C70" i="1"/>
  <c r="I176" i="1"/>
  <c r="C134" i="1"/>
  <c r="K233" i="1"/>
  <c r="K287" i="1" s="1"/>
  <c r="C255" i="1"/>
  <c r="F86" i="1"/>
  <c r="J78" i="1"/>
  <c r="I133" i="1"/>
  <c r="L272" i="1"/>
  <c r="N197" i="1"/>
  <c r="C106" i="1"/>
  <c r="C125" i="1"/>
  <c r="M233" i="1"/>
  <c r="O233" i="1" s="1"/>
  <c r="C80" i="1"/>
  <c r="C169" i="1"/>
  <c r="C266" i="1"/>
  <c r="C115" i="1"/>
  <c r="I207" i="1"/>
  <c r="O57" i="1"/>
  <c r="C57" i="1" s="1"/>
  <c r="M56" i="1"/>
  <c r="O56" i="1" s="1"/>
  <c r="C274" i="1"/>
  <c r="F177" i="1"/>
  <c r="D176" i="1"/>
  <c r="F176" i="1" s="1"/>
  <c r="C291" i="1"/>
  <c r="C207" i="1"/>
  <c r="C219" i="1"/>
  <c r="I271" i="2"/>
  <c r="O86" i="2"/>
  <c r="F290" i="2"/>
  <c r="F70" i="2"/>
  <c r="C163" i="2"/>
  <c r="O198" i="2"/>
  <c r="C178" i="2"/>
  <c r="H198" i="2"/>
  <c r="C219" i="2"/>
  <c r="E233" i="2"/>
  <c r="C255" i="2"/>
  <c r="L272" i="2"/>
  <c r="C195" i="2"/>
  <c r="K78" i="2"/>
  <c r="I199" i="2"/>
  <c r="C182" i="2"/>
  <c r="C230" i="2"/>
  <c r="C119" i="2"/>
  <c r="O261" i="2"/>
  <c r="C261" i="2" s="1"/>
  <c r="C187" i="2"/>
  <c r="M190" i="2"/>
  <c r="O190" i="2" s="1"/>
  <c r="C139" i="2"/>
  <c r="L290" i="2"/>
  <c r="F24" i="2"/>
  <c r="C266" i="2"/>
  <c r="C131" i="2"/>
  <c r="C125" i="2"/>
  <c r="L271" i="2"/>
  <c r="C208" i="2"/>
  <c r="C274" i="2"/>
  <c r="I190" i="2"/>
  <c r="C147" i="2"/>
  <c r="C282" i="2"/>
  <c r="C238" i="2"/>
  <c r="K197" i="2"/>
  <c r="N233" i="2"/>
  <c r="N197" i="2" s="1"/>
  <c r="F234" i="2"/>
  <c r="C58" i="2"/>
  <c r="L194" i="2"/>
  <c r="C291" i="2"/>
  <c r="C191" i="2"/>
  <c r="C241" i="2"/>
  <c r="C168" i="2"/>
  <c r="L207" i="2"/>
  <c r="O133" i="2"/>
  <c r="C133" i="2" s="1"/>
  <c r="C106" i="2"/>
  <c r="C92" i="2"/>
  <c r="C169" i="2"/>
  <c r="O207" i="2"/>
  <c r="C262" i="2"/>
  <c r="C278" i="2"/>
  <c r="I177" i="2"/>
  <c r="C134" i="2"/>
  <c r="F289" i="2"/>
  <c r="H78" i="2"/>
  <c r="H55" i="2" s="1"/>
  <c r="C98" i="2"/>
  <c r="I24" i="2"/>
  <c r="C144" i="2"/>
  <c r="C115" i="2"/>
  <c r="O234" i="2"/>
  <c r="M233" i="2"/>
  <c r="C201" i="2"/>
  <c r="L289" i="2"/>
  <c r="C58" i="3"/>
  <c r="C266" i="3"/>
  <c r="I234" i="3"/>
  <c r="L198" i="3"/>
  <c r="I289" i="3"/>
  <c r="N197" i="3"/>
  <c r="L56" i="3"/>
  <c r="O56" i="3"/>
  <c r="D56" i="3"/>
  <c r="I261" i="3"/>
  <c r="E233" i="3"/>
  <c r="O133" i="3"/>
  <c r="C290" i="3"/>
  <c r="H197" i="3"/>
  <c r="O261" i="3"/>
  <c r="H55" i="3"/>
  <c r="G197" i="3"/>
  <c r="O234" i="3"/>
  <c r="D197" i="3"/>
  <c r="D78" i="3"/>
  <c r="D287" i="3" s="1"/>
  <c r="E78" i="3"/>
  <c r="E55" i="3" s="1"/>
  <c r="K287" i="3"/>
  <c r="G55" i="3"/>
  <c r="G287" i="3"/>
  <c r="K55" i="3"/>
  <c r="K54" i="3" s="1"/>
  <c r="K53" i="3" s="1"/>
  <c r="O207" i="3"/>
  <c r="C154" i="3"/>
  <c r="N78" i="3"/>
  <c r="N287" i="3" s="1"/>
  <c r="M78" i="3"/>
  <c r="M55" i="3" s="1"/>
  <c r="M54" i="3" s="1"/>
  <c r="C163" i="3"/>
  <c r="H287" i="3"/>
  <c r="I133" i="3"/>
  <c r="C238" i="3"/>
  <c r="F24" i="3"/>
  <c r="L234" i="3"/>
  <c r="O190" i="3"/>
  <c r="C195" i="3"/>
  <c r="C115" i="3"/>
  <c r="C61" i="3"/>
  <c r="C139" i="3"/>
  <c r="I86" i="3"/>
  <c r="O79" i="3"/>
  <c r="C119" i="3"/>
  <c r="O24" i="3"/>
  <c r="L261" i="3"/>
  <c r="L233" i="3" s="1"/>
  <c r="L197" i="3" s="1"/>
  <c r="M197" i="3"/>
  <c r="C194" i="3"/>
  <c r="O86" i="3"/>
  <c r="O78" i="3" s="1"/>
  <c r="C147" i="3"/>
  <c r="C92" i="3"/>
  <c r="C144" i="3"/>
  <c r="H54" i="3"/>
  <c r="H53" i="3" s="1"/>
  <c r="G54" i="3"/>
  <c r="G288" i="3" s="1"/>
  <c r="C241" i="3"/>
  <c r="C249" i="3"/>
  <c r="C106" i="3"/>
  <c r="D55" i="3"/>
  <c r="D54" i="3" s="1"/>
  <c r="D288" i="3" s="1"/>
  <c r="J78" i="3"/>
  <c r="J287" i="3" s="1"/>
  <c r="I56" i="3"/>
  <c r="H288" i="3"/>
  <c r="E197" i="3"/>
  <c r="C262" i="3"/>
  <c r="F261" i="3"/>
  <c r="I198" i="3"/>
  <c r="F70" i="3"/>
  <c r="C70" i="3" s="1"/>
  <c r="C72" i="3"/>
  <c r="F207" i="3"/>
  <c r="C207" i="3" s="1"/>
  <c r="C208" i="3"/>
  <c r="C199" i="3"/>
  <c r="C255" i="3"/>
  <c r="O198" i="3"/>
  <c r="C219" i="3"/>
  <c r="L133" i="3"/>
  <c r="F177" i="3"/>
  <c r="C178" i="3"/>
  <c r="J197" i="3"/>
  <c r="F272" i="3"/>
  <c r="C274" i="3"/>
  <c r="C254" i="3"/>
  <c r="C57" i="3"/>
  <c r="C291" i="3"/>
  <c r="F234" i="3"/>
  <c r="O233" i="3"/>
  <c r="L86" i="3"/>
  <c r="F168" i="3"/>
  <c r="C168" i="3" s="1"/>
  <c r="C169" i="3"/>
  <c r="F133" i="3"/>
  <c r="C134" i="3"/>
  <c r="C98" i="3"/>
  <c r="F86" i="3"/>
  <c r="C87" i="3"/>
  <c r="F289" i="3"/>
  <c r="I233" i="3"/>
  <c r="I190" i="3"/>
  <c r="C191" i="3"/>
  <c r="C125" i="3"/>
  <c r="C201" i="3"/>
  <c r="C80" i="3"/>
  <c r="F79" i="3"/>
  <c r="L30" i="3"/>
  <c r="C35" i="3"/>
  <c r="O289" i="3"/>
  <c r="L30" i="2"/>
  <c r="C30" i="2" s="1"/>
  <c r="J24" i="2"/>
  <c r="L24" i="2" s="1"/>
  <c r="M78" i="2"/>
  <c r="O78" i="2" s="1"/>
  <c r="O79" i="2"/>
  <c r="G289" i="2"/>
  <c r="I289" i="2" s="1"/>
  <c r="I290" i="2"/>
  <c r="G233" i="2"/>
  <c r="I233" i="2" s="1"/>
  <c r="I234" i="2"/>
  <c r="E197" i="2"/>
  <c r="F194" i="2"/>
  <c r="C194" i="2" s="1"/>
  <c r="D190" i="2"/>
  <c r="F190" i="2" s="1"/>
  <c r="G198" i="2"/>
  <c r="I207" i="2"/>
  <c r="I176" i="2"/>
  <c r="D233" i="2"/>
  <c r="F233" i="2" s="1"/>
  <c r="F254" i="2"/>
  <c r="C254" i="2" s="1"/>
  <c r="C83" i="2"/>
  <c r="C25" i="2"/>
  <c r="I79" i="2"/>
  <c r="G56" i="2"/>
  <c r="I57" i="2"/>
  <c r="C80" i="2"/>
  <c r="K56" i="2"/>
  <c r="L57" i="2"/>
  <c r="F86" i="2"/>
  <c r="C72" i="2"/>
  <c r="F272" i="2"/>
  <c r="D271" i="2"/>
  <c r="J86" i="2"/>
  <c r="L87" i="2"/>
  <c r="C87" i="2" s="1"/>
  <c r="M271" i="2"/>
  <c r="O272" i="2"/>
  <c r="I86" i="2"/>
  <c r="G78" i="2"/>
  <c r="C236" i="2"/>
  <c r="L234" i="2"/>
  <c r="J233" i="2"/>
  <c r="C284" i="2"/>
  <c r="E78" i="2"/>
  <c r="E55" i="2" s="1"/>
  <c r="F79" i="2"/>
  <c r="J56" i="2"/>
  <c r="J176" i="2"/>
  <c r="L176" i="2" s="1"/>
  <c r="L177" i="2"/>
  <c r="J198" i="2"/>
  <c r="L199" i="2"/>
  <c r="F198" i="2"/>
  <c r="H197" i="2"/>
  <c r="N176" i="2"/>
  <c r="O177" i="2"/>
  <c r="F56" i="2"/>
  <c r="O70" i="2"/>
  <c r="M56" i="2"/>
  <c r="M289" i="2"/>
  <c r="O289" i="2" s="1"/>
  <c r="O290" i="2"/>
  <c r="E197" i="1"/>
  <c r="C284" i="1"/>
  <c r="G233" i="1"/>
  <c r="I234" i="1"/>
  <c r="L78" i="1"/>
  <c r="L133" i="1"/>
  <c r="M271" i="1"/>
  <c r="O272" i="1"/>
  <c r="J176" i="1"/>
  <c r="L176" i="1" s="1"/>
  <c r="L177" i="1"/>
  <c r="I24" i="1"/>
  <c r="O194" i="1"/>
  <c r="C194" i="1" s="1"/>
  <c r="M190" i="1"/>
  <c r="O190" i="1" s="1"/>
  <c r="N176" i="1"/>
  <c r="N287" i="1" s="1"/>
  <c r="O177" i="1"/>
  <c r="G56" i="1"/>
  <c r="E78" i="1"/>
  <c r="K55" i="1"/>
  <c r="D233" i="1"/>
  <c r="D197" i="1" s="1"/>
  <c r="F254" i="1"/>
  <c r="G198" i="1"/>
  <c r="I199" i="1"/>
  <c r="F272" i="1"/>
  <c r="C195" i="1"/>
  <c r="C236" i="1"/>
  <c r="L199" i="1"/>
  <c r="C208" i="1"/>
  <c r="I168" i="1"/>
  <c r="C168" i="1" s="1"/>
  <c r="G78" i="1"/>
  <c r="I78" i="1" s="1"/>
  <c r="D56" i="1"/>
  <c r="L234" i="1"/>
  <c r="J233" i="1"/>
  <c r="F79" i="1"/>
  <c r="C79" i="1" s="1"/>
  <c r="D78" i="1"/>
  <c r="O86" i="1"/>
  <c r="M78" i="1"/>
  <c r="C201" i="1"/>
  <c r="O198" i="1"/>
  <c r="H233" i="1"/>
  <c r="I254" i="1"/>
  <c r="F198" i="1"/>
  <c r="E190" i="1"/>
  <c r="F190" i="1" s="1"/>
  <c r="C25" i="1"/>
  <c r="I86" i="1"/>
  <c r="C234" i="1" l="1"/>
  <c r="C272" i="1"/>
  <c r="M197" i="1"/>
  <c r="C287" i="6"/>
  <c r="C287" i="7"/>
  <c r="C197" i="7"/>
  <c r="C55" i="6"/>
  <c r="G288" i="7"/>
  <c r="I288" i="7" s="1"/>
  <c r="G53" i="7"/>
  <c r="I53" i="7" s="1"/>
  <c r="I54" i="7"/>
  <c r="D288" i="6"/>
  <c r="F288" i="6" s="1"/>
  <c r="F54" i="6"/>
  <c r="D53" i="6"/>
  <c r="F53" i="6" s="1"/>
  <c r="M53" i="7"/>
  <c r="O53" i="7" s="1"/>
  <c r="O54" i="7"/>
  <c r="M288" i="7"/>
  <c r="O288" i="7" s="1"/>
  <c r="C55" i="7"/>
  <c r="J53" i="6"/>
  <c r="L53" i="6" s="1"/>
  <c r="L54" i="6"/>
  <c r="J288" i="6"/>
  <c r="L288" i="6" s="1"/>
  <c r="J53" i="7"/>
  <c r="L53" i="7" s="1"/>
  <c r="L54" i="7"/>
  <c r="J288" i="7"/>
  <c r="L288" i="7" s="1"/>
  <c r="I54" i="6"/>
  <c r="G53" i="6"/>
  <c r="I53" i="6" s="1"/>
  <c r="G28" i="6"/>
  <c r="G288" i="6" s="1"/>
  <c r="I288" i="6" s="1"/>
  <c r="D288" i="7"/>
  <c r="F288" i="7" s="1"/>
  <c r="F54" i="7"/>
  <c r="D53" i="7"/>
  <c r="F53" i="7" s="1"/>
  <c r="M288" i="6"/>
  <c r="O288" i="6" s="1"/>
  <c r="M53" i="6"/>
  <c r="O53" i="6" s="1"/>
  <c r="O54" i="6"/>
  <c r="C55" i="5"/>
  <c r="D288" i="5"/>
  <c r="F288" i="5" s="1"/>
  <c r="D53" i="5"/>
  <c r="F53" i="5" s="1"/>
  <c r="F54" i="5"/>
  <c r="O54" i="5"/>
  <c r="M53" i="5"/>
  <c r="O53" i="5" s="1"/>
  <c r="M288" i="5"/>
  <c r="O288" i="5" s="1"/>
  <c r="L54" i="5"/>
  <c r="J53" i="5"/>
  <c r="L53" i="5" s="1"/>
  <c r="J288" i="5"/>
  <c r="L288" i="5" s="1"/>
  <c r="G288" i="5"/>
  <c r="I288" i="5" s="1"/>
  <c r="G53" i="5"/>
  <c r="I53" i="5" s="1"/>
  <c r="I54" i="5"/>
  <c r="G287" i="1"/>
  <c r="C199" i="1"/>
  <c r="C24" i="1"/>
  <c r="O197" i="1"/>
  <c r="C290" i="1"/>
  <c r="C289" i="1" s="1"/>
  <c r="F197" i="1"/>
  <c r="C86" i="1"/>
  <c r="C133" i="1"/>
  <c r="K197" i="1"/>
  <c r="K54" i="1" s="1"/>
  <c r="C177" i="1"/>
  <c r="N55" i="1"/>
  <c r="N54" i="1" s="1"/>
  <c r="N53" i="1" s="1"/>
  <c r="E55" i="1"/>
  <c r="E54" i="1" s="1"/>
  <c r="E288" i="1" s="1"/>
  <c r="J55" i="1"/>
  <c r="L55" i="1" s="1"/>
  <c r="D55" i="2"/>
  <c r="F55" i="2" s="1"/>
  <c r="C207" i="2"/>
  <c r="C70" i="2"/>
  <c r="C24" i="2"/>
  <c r="C199" i="2"/>
  <c r="C79" i="2"/>
  <c r="D197" i="2"/>
  <c r="H54" i="2"/>
  <c r="H53" i="2" s="1"/>
  <c r="O233" i="2"/>
  <c r="C190" i="2"/>
  <c r="I78" i="2"/>
  <c r="C57" i="2"/>
  <c r="M197" i="2"/>
  <c r="O197" i="2" s="1"/>
  <c r="H287" i="2"/>
  <c r="E54" i="2"/>
  <c r="E288" i="2" s="1"/>
  <c r="C272" i="2"/>
  <c r="C234" i="2"/>
  <c r="C177" i="2"/>
  <c r="E287" i="3"/>
  <c r="N55" i="3"/>
  <c r="N54" i="3" s="1"/>
  <c r="C261" i="3"/>
  <c r="C190" i="3"/>
  <c r="C133" i="3"/>
  <c r="L78" i="3"/>
  <c r="L287" i="3" s="1"/>
  <c r="E54" i="3"/>
  <c r="E288" i="3" s="1"/>
  <c r="G53" i="3"/>
  <c r="D53" i="3"/>
  <c r="I78" i="3"/>
  <c r="M287" i="3"/>
  <c r="O55" i="3"/>
  <c r="K288" i="3"/>
  <c r="I55" i="3"/>
  <c r="C86" i="3"/>
  <c r="O287" i="3"/>
  <c r="F198" i="3"/>
  <c r="J55" i="3"/>
  <c r="J54" i="3" s="1"/>
  <c r="L55" i="3"/>
  <c r="L54" i="3" s="1"/>
  <c r="L53" i="3" s="1"/>
  <c r="C234" i="3"/>
  <c r="F233" i="3"/>
  <c r="C233" i="3" s="1"/>
  <c r="F271" i="3"/>
  <c r="F197" i="3" s="1"/>
  <c r="C272" i="3"/>
  <c r="F176" i="3"/>
  <c r="C176" i="3" s="1"/>
  <c r="C177" i="3"/>
  <c r="I197" i="3"/>
  <c r="N53" i="3"/>
  <c r="N288" i="3"/>
  <c r="C79" i="3"/>
  <c r="F78" i="3"/>
  <c r="C78" i="3" s="1"/>
  <c r="C289" i="3"/>
  <c r="F56" i="3"/>
  <c r="O197" i="3"/>
  <c r="C30" i="3"/>
  <c r="L24" i="3"/>
  <c r="C24" i="3" s="1"/>
  <c r="I287" i="3"/>
  <c r="C198" i="3"/>
  <c r="M53" i="3"/>
  <c r="M288" i="3"/>
  <c r="K55" i="2"/>
  <c r="K54" i="2" s="1"/>
  <c r="K287" i="2"/>
  <c r="H288" i="2"/>
  <c r="F78" i="2"/>
  <c r="D54" i="2"/>
  <c r="L198" i="2"/>
  <c r="J197" i="2"/>
  <c r="L197" i="2" s="1"/>
  <c r="G197" i="2"/>
  <c r="I197" i="2" s="1"/>
  <c r="I198" i="2"/>
  <c r="E287" i="2"/>
  <c r="N287" i="2"/>
  <c r="N55" i="2"/>
  <c r="N54" i="2" s="1"/>
  <c r="L86" i="2"/>
  <c r="C86" i="2" s="1"/>
  <c r="J78" i="2"/>
  <c r="L78" i="2" s="1"/>
  <c r="G55" i="2"/>
  <c r="I56" i="2"/>
  <c r="M55" i="2"/>
  <c r="O56" i="2"/>
  <c r="G287" i="2"/>
  <c r="L56" i="2"/>
  <c r="O271" i="2"/>
  <c r="M287" i="2"/>
  <c r="O287" i="2" s="1"/>
  <c r="F271" i="2"/>
  <c r="D287" i="2"/>
  <c r="C290" i="2"/>
  <c r="C289" i="2" s="1"/>
  <c r="F197" i="2"/>
  <c r="L233" i="2"/>
  <c r="O176" i="2"/>
  <c r="C176" i="2" s="1"/>
  <c r="L233" i="1"/>
  <c r="J287" i="1"/>
  <c r="L287" i="1" s="1"/>
  <c r="J197" i="1"/>
  <c r="L197" i="1" s="1"/>
  <c r="C190" i="1"/>
  <c r="H287" i="1"/>
  <c r="H197" i="1"/>
  <c r="H54" i="1" s="1"/>
  <c r="F78" i="1"/>
  <c r="F233" i="1"/>
  <c r="D287" i="1"/>
  <c r="I56" i="1"/>
  <c r="G55" i="1"/>
  <c r="I233" i="1"/>
  <c r="O78" i="1"/>
  <c r="M55" i="1"/>
  <c r="D55" i="1"/>
  <c r="F56" i="1"/>
  <c r="O271" i="1"/>
  <c r="C271" i="1" s="1"/>
  <c r="M287" i="1"/>
  <c r="O287" i="1" s="1"/>
  <c r="C254" i="1"/>
  <c r="I198" i="1"/>
  <c r="C198" i="1" s="1"/>
  <c r="G197" i="1"/>
  <c r="O176" i="1"/>
  <c r="C176" i="1" s="1"/>
  <c r="E287" i="1"/>
  <c r="C53" i="7" l="1"/>
  <c r="C54" i="7"/>
  <c r="C53" i="6"/>
  <c r="C288" i="7"/>
  <c r="C54" i="6"/>
  <c r="I28" i="6"/>
  <c r="C28" i="6" s="1"/>
  <c r="G24" i="6"/>
  <c r="I24" i="6" s="1"/>
  <c r="C24" i="6" s="1"/>
  <c r="C288" i="6"/>
  <c r="C53" i="5"/>
  <c r="C54" i="5"/>
  <c r="C288" i="5"/>
  <c r="E53" i="1"/>
  <c r="I287" i="1"/>
  <c r="J54" i="1"/>
  <c r="J53" i="1" s="1"/>
  <c r="L53" i="1" s="1"/>
  <c r="N288" i="1"/>
  <c r="K288" i="1"/>
  <c r="K53" i="1"/>
  <c r="C56" i="2"/>
  <c r="C233" i="2"/>
  <c r="E53" i="2"/>
  <c r="J287" i="2"/>
  <c r="L287" i="2" s="1"/>
  <c r="I287" i="2"/>
  <c r="F287" i="2"/>
  <c r="J55" i="2"/>
  <c r="L55" i="2" s="1"/>
  <c r="C198" i="2"/>
  <c r="C78" i="2"/>
  <c r="E53" i="3"/>
  <c r="C197" i="3"/>
  <c r="I54" i="3"/>
  <c r="I288" i="3" s="1"/>
  <c r="O54" i="3"/>
  <c r="O53" i="3" s="1"/>
  <c r="J53" i="3"/>
  <c r="J288" i="3"/>
  <c r="L288" i="3"/>
  <c r="C56" i="3"/>
  <c r="F55" i="3"/>
  <c r="C271" i="3"/>
  <c r="F287" i="3"/>
  <c r="C287" i="3" s="1"/>
  <c r="N53" i="2"/>
  <c r="N288" i="2"/>
  <c r="M54" i="2"/>
  <c r="O55" i="2"/>
  <c r="K53" i="2"/>
  <c r="K288" i="2"/>
  <c r="I55" i="2"/>
  <c r="G54" i="2"/>
  <c r="C197" i="2"/>
  <c r="C271" i="2"/>
  <c r="J54" i="2"/>
  <c r="D288" i="2"/>
  <c r="F288" i="2" s="1"/>
  <c r="F54" i="2"/>
  <c r="D53" i="2"/>
  <c r="I197" i="1"/>
  <c r="C197" i="1" s="1"/>
  <c r="M54" i="1"/>
  <c r="O55" i="1"/>
  <c r="F287" i="1"/>
  <c r="C56" i="1"/>
  <c r="C233" i="1"/>
  <c r="H288" i="1"/>
  <c r="H53" i="1"/>
  <c r="D54" i="1"/>
  <c r="F55" i="1"/>
  <c r="I55" i="1"/>
  <c r="G54" i="1"/>
  <c r="C78" i="1"/>
  <c r="J288" i="1" l="1"/>
  <c r="L288" i="1" s="1"/>
  <c r="L54" i="1"/>
  <c r="C55" i="1"/>
  <c r="C287" i="1"/>
  <c r="F53" i="2"/>
  <c r="C287" i="2"/>
  <c r="C55" i="2"/>
  <c r="O288" i="3"/>
  <c r="I53" i="3"/>
  <c r="C55" i="3"/>
  <c r="F54" i="3"/>
  <c r="J53" i="2"/>
  <c r="L53" i="2" s="1"/>
  <c r="L54" i="2"/>
  <c r="J288" i="2"/>
  <c r="L288" i="2" s="1"/>
  <c r="G288" i="2"/>
  <c r="I288" i="2" s="1"/>
  <c r="G53" i="2"/>
  <c r="I53" i="2" s="1"/>
  <c r="I54" i="2"/>
  <c r="M53" i="2"/>
  <c r="O53" i="2" s="1"/>
  <c r="O54" i="2"/>
  <c r="M288" i="2"/>
  <c r="O288" i="2" s="1"/>
  <c r="G53" i="1"/>
  <c r="I53" i="1" s="1"/>
  <c r="G288" i="1"/>
  <c r="I288" i="1" s="1"/>
  <c r="I54" i="1"/>
  <c r="M53" i="1"/>
  <c r="O53" i="1" s="1"/>
  <c r="O54" i="1"/>
  <c r="M288" i="1"/>
  <c r="O288" i="1" s="1"/>
  <c r="D288" i="1"/>
  <c r="F288" i="1" s="1"/>
  <c r="F54" i="1"/>
  <c r="D53" i="1"/>
  <c r="F53" i="1" s="1"/>
  <c r="C54" i="1" l="1"/>
  <c r="C53" i="2"/>
  <c r="C54" i="2"/>
  <c r="C288" i="2"/>
  <c r="F288" i="3"/>
  <c r="C288" i="3" s="1"/>
  <c r="F53" i="3"/>
  <c r="C53" i="3" s="1"/>
  <c r="C54" i="3"/>
  <c r="C288" i="1"/>
  <c r="C53" i="1"/>
</calcChain>
</file>

<file path=xl/comments1.xml><?xml version="1.0" encoding="utf-8"?>
<comments xmlns="http://schemas.openxmlformats.org/spreadsheetml/2006/main">
  <authors>
    <author>Elina Markaine</author>
    <author>Sandra Dzērve</author>
  </authors>
  <commentList>
    <comment ref="H63" authorId="0">
      <text>
        <r>
          <rPr>
            <b/>
            <sz val="9"/>
            <color indexed="81"/>
            <rFont val="Tahoma"/>
            <family val="2"/>
            <charset val="186"/>
          </rPr>
          <t>Elina Markaine:</t>
        </r>
        <r>
          <rPr>
            <sz val="9"/>
            <color indexed="81"/>
            <rFont val="Tahoma"/>
            <family val="2"/>
            <charset val="186"/>
          </rPr>
          <t xml:space="preserve">
Algoti darbi 2016</t>
        </r>
      </text>
    </comment>
    <comment ref="H64" authorId="0">
      <text>
        <r>
          <rPr>
            <b/>
            <sz val="9"/>
            <color indexed="81"/>
            <rFont val="Tahoma"/>
            <family val="2"/>
            <charset val="186"/>
          </rPr>
          <t>Elina Markaine:</t>
        </r>
        <r>
          <rPr>
            <sz val="9"/>
            <color indexed="81"/>
            <rFont val="Tahoma"/>
            <family val="2"/>
            <charset val="186"/>
          </rPr>
          <t xml:space="preserve">
Projekts: P128 (-354901), Ābelītes projekts (-1)</t>
        </r>
      </text>
    </comment>
    <comment ref="H90" authorId="0">
      <text>
        <r>
          <rPr>
            <b/>
            <sz val="9"/>
            <color indexed="81"/>
            <rFont val="Tahoma"/>
            <family val="2"/>
            <charset val="186"/>
          </rPr>
          <t>Elina Markaine:</t>
        </r>
        <r>
          <rPr>
            <sz val="9"/>
            <color indexed="81"/>
            <rFont val="Tahoma"/>
            <family val="2"/>
            <charset val="186"/>
          </rPr>
          <t xml:space="preserve">
no tāmes Nr.01.1.1.</t>
        </r>
      </text>
    </comment>
    <comment ref="I90" authorId="0">
      <text>
        <r>
          <rPr>
            <b/>
            <sz val="9"/>
            <color indexed="81"/>
            <rFont val="Tahoma"/>
            <family val="2"/>
            <charset val="186"/>
          </rPr>
          <t>Elina Markaine:</t>
        </r>
        <r>
          <rPr>
            <sz val="9"/>
            <color indexed="81"/>
            <rFont val="Tahoma"/>
            <family val="2"/>
            <charset val="186"/>
          </rPr>
          <t xml:space="preserve">
tāmē 06.1.1. un 09.4.1.</t>
        </r>
      </text>
    </comment>
    <comment ref="H94" authorId="0">
      <text>
        <r>
          <rPr>
            <b/>
            <sz val="9"/>
            <color indexed="81"/>
            <rFont val="Tahoma"/>
            <family val="2"/>
            <charset val="186"/>
          </rPr>
          <t>Elina Markaine:</t>
        </r>
        <r>
          <rPr>
            <sz val="9"/>
            <color indexed="81"/>
            <rFont val="Tahoma"/>
            <family val="2"/>
            <charset val="186"/>
          </rPr>
          <t xml:space="preserve">
Projekts izstādes 2016, tāme Nr.04.1.16.</t>
        </r>
      </text>
    </comment>
    <comment ref="L94" authorId="0">
      <text>
        <r>
          <rPr>
            <b/>
            <sz val="9"/>
            <color indexed="81"/>
            <rFont val="Tahoma"/>
            <family val="2"/>
            <charset val="186"/>
          </rPr>
          <t>Elina Markaine:</t>
        </r>
        <r>
          <rPr>
            <sz val="9"/>
            <color indexed="81"/>
            <rFont val="Tahoma"/>
            <family val="2"/>
            <charset val="186"/>
          </rPr>
          <t xml:space="preserve">
53 EUR ir projekta ieņēmumi (Tāme 04.1.16.), tāpēc nesakrīt ar kopējām izmaiņām MP</t>
        </r>
      </text>
    </comment>
    <comment ref="E119" authorId="1">
      <text>
        <r>
          <rPr>
            <b/>
            <sz val="8"/>
            <color indexed="81"/>
            <rFont val="Times New Roman"/>
            <family val="1"/>
            <charset val="186"/>
          </rPr>
          <t>Sandra Dzērve:</t>
        </r>
        <r>
          <rPr>
            <sz val="8"/>
            <color indexed="81"/>
            <rFont val="Times New Roman"/>
            <family val="1"/>
            <charset val="186"/>
          </rPr>
          <t xml:space="preserve">
bijušais privatizācijas fonds</t>
        </r>
      </text>
    </comment>
    <comment ref="E124" authorId="1">
      <text>
        <r>
          <rPr>
            <b/>
            <sz val="8"/>
            <color indexed="81"/>
            <rFont val="Times New Roman"/>
            <family val="1"/>
            <charset val="186"/>
          </rPr>
          <t>Sandra Dzērve:</t>
        </r>
        <r>
          <rPr>
            <sz val="8"/>
            <color indexed="81"/>
            <rFont val="Times New Roman"/>
            <family val="1"/>
            <charset val="186"/>
          </rPr>
          <t xml:space="preserve">
Starpt.skola par 2015. g. decembri 54.30 €, decembrī ieskaitīts par janvāri 54 386 €</t>
        </r>
      </text>
    </comment>
    <comment ref="E133" authorId="1">
      <text>
        <r>
          <rPr>
            <b/>
            <sz val="8"/>
            <color indexed="81"/>
            <rFont val="Times New Roman"/>
            <family val="1"/>
            <charset val="186"/>
          </rPr>
          <t>Sandra Dzērve:</t>
        </r>
        <r>
          <rPr>
            <sz val="8"/>
            <color indexed="81"/>
            <rFont val="Times New Roman"/>
            <family val="1"/>
            <charset val="186"/>
          </rPr>
          <t xml:space="preserve">
zveja - 9 987 €; ūdenstilpj.noma 36 206 €</t>
        </r>
      </text>
    </comment>
  </commentList>
</comments>
</file>

<file path=xl/comments2.xml><?xml version="1.0" encoding="utf-8"?>
<comments xmlns="http://schemas.openxmlformats.org/spreadsheetml/2006/main">
  <authors>
    <author>Elina Markaine</author>
  </authors>
  <commentList>
    <comment ref="K49" authorId="0">
      <text>
        <r>
          <rPr>
            <b/>
            <sz val="9"/>
            <color indexed="81"/>
            <rFont val="Tahoma"/>
            <family val="2"/>
            <charset val="186"/>
          </rPr>
          <t>Elina Markaine:</t>
        </r>
        <r>
          <rPr>
            <sz val="9"/>
            <color indexed="81"/>
            <rFont val="Tahoma"/>
            <family val="2"/>
            <charset val="186"/>
          </rPr>
          <t xml:space="preserve">
Izlabota kļūda pēc SN apstiprināšanas (uz atskaiti)</t>
        </r>
      </text>
    </comment>
    <comment ref="K277" authorId="0">
      <text>
        <r>
          <rPr>
            <b/>
            <sz val="9"/>
            <color indexed="81"/>
            <rFont val="Tahoma"/>
            <family val="2"/>
            <charset val="186"/>
          </rPr>
          <t>Elina Markaine:</t>
        </r>
        <r>
          <rPr>
            <sz val="9"/>
            <color indexed="81"/>
            <rFont val="Tahoma"/>
            <family val="2"/>
            <charset val="186"/>
          </rPr>
          <t xml:space="preserve">
Izlabota kļūda pēc SN apstiprināšanas (uz atskaiti)</t>
        </r>
      </text>
    </comment>
  </commentList>
</comments>
</file>

<file path=xl/sharedStrings.xml><?xml version="1.0" encoding="utf-8"?>
<sst xmlns="http://schemas.openxmlformats.org/spreadsheetml/2006/main" count="27664" uniqueCount="1981">
  <si>
    <t>Tāme Nr.09.17.1.</t>
  </si>
  <si>
    <t>IEŅĒMUMU UN IZDEVUMU TĀME 2016.GADAM</t>
  </si>
  <si>
    <t>Budžeta finansēta institūcija</t>
  </si>
  <si>
    <t>Pirmsskolas izglītības iestāde "Madara"</t>
  </si>
  <si>
    <t>Reģistrācijas Nr.</t>
  </si>
  <si>
    <t>90009249189</t>
  </si>
  <si>
    <t>Adrese</t>
  </si>
  <si>
    <t>Tērbatas iela 1, Jūrmala, LV-2011</t>
  </si>
  <si>
    <t>Funkcionālās klasifikācijas kods</t>
  </si>
  <si>
    <t>09.100</t>
  </si>
  <si>
    <t>Programma</t>
  </si>
  <si>
    <t>Iestādes uzturēšana un pirmsskolas izglītības nodrošināšana</t>
  </si>
  <si>
    <t>Stratēģiskā dokumenta kods*</t>
  </si>
  <si>
    <t>R3.2.1., R3.2.2., 3.2.1.</t>
  </si>
  <si>
    <t>Konta Nr.</t>
  </si>
  <si>
    <t>pamatbudžetam</t>
  </si>
  <si>
    <t>LV05PARX0002484572065</t>
  </si>
  <si>
    <t>Valsts budžeta transfertiem</t>
  </si>
  <si>
    <t>LV05PARX0002484573035</t>
  </si>
  <si>
    <t>projektiem</t>
  </si>
  <si>
    <t>maksas pakalpojumiem</t>
  </si>
  <si>
    <t>LV79PARX0002484577038</t>
  </si>
  <si>
    <t>ziedojumiem, dāvinājumiem</t>
  </si>
  <si>
    <t>Budžeta klasifikācijas                                                         kods</t>
  </si>
  <si>
    <t>Rādītāju nosaukumi</t>
  </si>
  <si>
    <t>Izdevumu tāme 2016.gadam</t>
  </si>
  <si>
    <t>Finanšu līdzekļu nepieciešamības pamatojums, aprēķini, atšifrējumi, ekonomijas vai samazinājuma iemesli</t>
  </si>
  <si>
    <t>Kopā</t>
  </si>
  <si>
    <t>Pamatbudžets pirms priekšlikumiem</t>
  </si>
  <si>
    <t>Priekšlikumi izmaiņām pamatbudž. (+/-)</t>
  </si>
  <si>
    <t>Pamatbudžets</t>
  </si>
  <si>
    <t>Valsts budžeta transferti (mērķdotācijas) pirms priekšlikumiem</t>
  </si>
  <si>
    <t>Priekšlikumi izmaiņām valsts budž. transferti (mērķdotāc.) (+/-)</t>
  </si>
  <si>
    <t>Valsts budžeta transferti (mērķdotācijas)</t>
  </si>
  <si>
    <t>Maksas pakalpojumi pirms priekšlikumiem</t>
  </si>
  <si>
    <t>Priekšlikumi izmaiņām maksas pakalp. (+/-)</t>
  </si>
  <si>
    <t>Maksas pakalpojumi</t>
  </si>
  <si>
    <t>Ziedojumi, dāvinājumi pirms priekšlikumiem</t>
  </si>
  <si>
    <t>Priekšlikumi izmaiņām ziedoj., dāvināj. (+/-)</t>
  </si>
  <si>
    <t>Ziedojumi, dāvinājumi</t>
  </si>
  <si>
    <t>1</t>
  </si>
  <si>
    <t xml:space="preserve">  I   IEŅĒMUMI</t>
  </si>
  <si>
    <t>Ieņēmumi pavisam kopā, t.sk.:</t>
  </si>
  <si>
    <t>Atlikums gada sākumā, t.sk:</t>
  </si>
  <si>
    <t>F21010000   kasē</t>
  </si>
  <si>
    <t>F22010000 bankā</t>
  </si>
  <si>
    <t>Pašvaldības iestāžu saņemtie transferti no augstākas iestādes</t>
  </si>
  <si>
    <t>X</t>
  </si>
  <si>
    <t>Ieņēmumi no citiem avotiem saskaņā ar noslēgtajiem līgumiem</t>
  </si>
  <si>
    <t>Ieņēmumi no budžeta iestāžu sniegtajiem maksas pakalpojumiem</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</si>
  <si>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</si>
  <si>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</si>
  <si>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</si>
  <si>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</si>
  <si>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</si>
  <si>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</si>
  <si>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</si>
  <si>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par nomu</t>
  </si>
  <si>
    <t>Ieņēmumi no kustamā īpašuma iznomāšanas</t>
  </si>
  <si>
    <t>Ieņēmumi par pārējiem budžeta iestāžu maksas pakalpojumiem</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</si>
  <si>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</si>
  <si>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</si>
  <si>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</si>
  <si>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</si>
  <si>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</si>
  <si>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</si>
  <si>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</si>
  <si>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</si>
  <si>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</si>
  <si>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</si>
  <si>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</si>
  <si>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</si>
  <si>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</si>
  <si>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</si>
  <si>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</si>
  <si>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</si>
  <si>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</si>
  <si>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</si>
  <si>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</si>
  <si>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Piemaksas un prēmijas un naudas balvas</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</si>
  <si>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</si>
  <si>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</si>
  <si>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</si>
  <si>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</si>
  <si>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</si>
  <si>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</si>
  <si>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</si>
  <si>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Atalgojums fiziskajām personām uz tiesiskās attiecības regulējošu dokumentu pamata</t>
  </si>
  <si>
    <t>Darba devēja valsts soc. apdroš. obl. iemaksas, sociāla rakstura pabalsti un kompensācijas</t>
  </si>
  <si>
    <t>Darba devēja valsts sociālās apdrošin. obligātās iemaksas</t>
  </si>
  <si>
    <t>Darba devēja pabalsti, kompensācijas un citi maksājumi</t>
  </si>
  <si>
    <t>Darba devēja pabalsti un kompensācijas, no kuriem aprēķina iedzīvotāju ienākuma nodokli un valsts sociālās apdrošināšanas obligātās iemaksas</t>
  </si>
  <si>
    <t>Mācību maksas kompensācija</t>
  </si>
  <si>
    <t>Uzturdevas kompensācija</t>
  </si>
  <si>
    <t>Darba devēja izdevumi veselības, dzīvības un nelaimes gadījumu apdrošināšanai</t>
  </si>
  <si>
    <t>Darba devēja pabalsti un kompensācijas, no kā neaprēķina iedzīvotāju ienākuma nodokli un valsts sociālās apdrošināšanas obligātās iemaksas</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</si>
  <si>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</si>
  <si>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</si>
  <si>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</si>
  <si>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</si>
  <si>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</si>
  <si>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</si>
  <si>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</si>
  <si>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Pasta, telefona un citi sakaru pakalpojumi</t>
  </si>
  <si>
    <t>Valsts nozīmes datu pārraides tīkla pakalpojumi</t>
  </si>
  <si>
    <t>Telefona abonēšanas maksa, vietējo un tālsarunu apmaksa, interneta pakalpojumu sniedzēju apmaksa</t>
  </si>
  <si>
    <t>Mobilā telefona abonēšanas maksas un sarunu apmaksa</t>
  </si>
  <si>
    <t>Pārējie sakaru pakalpojumi</t>
  </si>
  <si>
    <t>Izdevumi par komunālajiem pakalpojumiem</t>
  </si>
  <si>
    <t>Izdevumi par apkuri</t>
  </si>
  <si>
    <t>Izdevumi par ūdeni un kanalizāciju</t>
  </si>
  <si>
    <t>Izdevumi par elektroenerģiju</t>
  </si>
  <si>
    <t>Izdevumi par atkritumu savākšanu, izvešanu no apdzīvotām vietām un teritorijām ārpus apdzīvotām vietām un utilizāciju</t>
  </si>
  <si>
    <t>Izdevumi par pārējiem komunālajiem pakalpojumiem</t>
  </si>
  <si>
    <t>Iestādes administratīvie izdevumi un ar iestādes darbības nodrošināšanu saistītie izdevumi</t>
  </si>
  <si>
    <t>Administratīvie izdevumi un sabiedriskās attiecības</t>
  </si>
  <si>
    <t>Auditoru, tulku pakalpojumi, izdevumi par iestāžu pasūtītajiem pētījumiem</t>
  </si>
  <si>
    <t>Izdevumi par transporta pakalpojumiem</t>
  </si>
  <si>
    <t>Normatīvajos aktos noteiktie darba devēja veselības izdevumi darba ņēmējiem</t>
  </si>
  <si>
    <t>Izdevumi par saņemtajiem apmācību pakalpojumiem</t>
  </si>
  <si>
    <t>Bankas komisija, pakalpojumi</t>
  </si>
  <si>
    <t xml:space="preserve">Pārējie iestādes administratīvie izdevumi </t>
  </si>
  <si>
    <t>Remontdarbi un iestāžu uzturēšanas pakalpojumi (izņemot kapitālo remontu)</t>
  </si>
  <si>
    <t>Ēku, būvju un telpu kārtējais remonts</t>
  </si>
  <si>
    <t>Transportlīdzekļu uzturēšana un remonts</t>
  </si>
  <si>
    <t>Iekārtas, inventāra un aparatūras remonts, tehniskā apkalpošana</t>
  </si>
  <si>
    <t>Nekustamā īpašuma uzturēšana</t>
  </si>
  <si>
    <t>Autoceļu un ielu pārvaldīšana un uzturēšana</t>
  </si>
  <si>
    <t>Apdrošināšanas izdevumi</t>
  </si>
  <si>
    <t>Profesionālās darbības civiltiesiskās apdrošināšanas izdevumi</t>
  </si>
  <si>
    <t>Pārējie remontdarbu un iestāžu uzturēšanas pakalpojumi</t>
  </si>
  <si>
    <t>Informācijas tehnoloģijas pakalpojumi</t>
  </si>
  <si>
    <t>Informācijas sistēmas uzturēšana</t>
  </si>
  <si>
    <t>Informācijas sistēmas licenču nomas izdevumi</t>
  </si>
  <si>
    <t>Pārējie informācijas tehnoloģiju pakalpojumi</t>
  </si>
  <si>
    <t>Īre un noma</t>
  </si>
  <si>
    <t>Ēku, telpu īre un noma</t>
  </si>
  <si>
    <t>Transportlīdzekļu noma</t>
  </si>
  <si>
    <t>Zemes noma</t>
  </si>
  <si>
    <t>Iekārtu, aparatūras un inventāra īre un noma</t>
  </si>
  <si>
    <t>Pārējā noma</t>
  </si>
  <si>
    <t>Citi pakalpojumi</t>
  </si>
  <si>
    <t>Izdevumi par tiesvedības darbiem</t>
  </si>
  <si>
    <t>Pašvaldību līdzekļi neparedzētiem gadījumiem</t>
  </si>
  <si>
    <t>Izdevumi juridiskās palīdzības sniedzējiem un zvērinātiem tiesu izpildītājiem</t>
  </si>
  <si>
    <t>Iestādes iekšējo kolektīvo pasākumu organizēšanas izdevumi</t>
  </si>
  <si>
    <t>Pārējie iepriekš neklasificētie pakalpojumu veidi</t>
  </si>
  <si>
    <t>Maksājumi par sniegtajiem finanšu pakalpojumiem</t>
  </si>
  <si>
    <t>Maksājumi par pašvaldību parāda apkalpošanu</t>
  </si>
  <si>
    <t>Krājumi, materiāli, energoresursi, preces, biroja preces un inventārs, kurus neuzskaita kodā 5000</t>
  </si>
  <si>
    <t>Izdevumi par precēm iestādes darbības nodrošināšanai</t>
  </si>
  <si>
    <t xml:space="preserve">Biroja preces </t>
  </si>
  <si>
    <t>Inventārs</t>
  </si>
  <si>
    <t>Spectērpi</t>
  </si>
  <si>
    <t>Izdevumi par precēm iestādes administratīvās darbības nodrošināšanai</t>
  </si>
  <si>
    <t>Kurināmais un enerģētiskie  materiāli</t>
  </si>
  <si>
    <t>Kurināmais</t>
  </si>
  <si>
    <t>Degviela</t>
  </si>
  <si>
    <t>Pārējie enerģētiskie materiāli</t>
  </si>
  <si>
    <t>Materiāli un izejvielas palīgražošanai</t>
  </si>
  <si>
    <t>Zāles, ķimikālijas, laboratorijas preces, medicīniskās ierīces, med.instrumenti, laboratorijas dzīvnieki un to uzturēšana</t>
  </si>
  <si>
    <t>Zāles, ķimikālijas, laboratorijas preces</t>
  </si>
  <si>
    <t>Medicīnas instrumenti, laboratorijas dzīvnieki un to uzturēšana</t>
  </si>
  <si>
    <t>Kārtējā remonta un iestāžu uzturēšanas materiāli</t>
  </si>
  <si>
    <t>Remontmateriāli</t>
  </si>
  <si>
    <t>Saimniecības materiāli</t>
  </si>
  <si>
    <t>Elektroiekārtu remonta un uzturēšanas materiāli</t>
  </si>
  <si>
    <t>Transportlīdzekļu uzturēšana un remontmateriāli</t>
  </si>
  <si>
    <t>Datortehnikas remonta un uzturēšanas materiāli</t>
  </si>
  <si>
    <t>Pārējās kārtējo remontu materiālu izmaksas</t>
  </si>
  <si>
    <t>Valsts un pašvaldību aprūpē un apgādē esošo personu uzturēšana</t>
  </si>
  <si>
    <t>Mīkstais inventārs</t>
  </si>
  <si>
    <t>Virtuves inventārs, trauki un galda piederumi</t>
  </si>
  <si>
    <t>Ēdināšanas izdevumi</t>
  </si>
  <si>
    <t>Formas tērpi un speciālais apģērbs</t>
  </si>
  <si>
    <t>Uzturdevas kompensācija naudā</t>
  </si>
  <si>
    <t>Apdrošināšanas izdevumi veselības, dzīvības un nelaimes gadījumu apdrošināšanai</t>
  </si>
  <si>
    <t>Pārējie valsts un pašvaldību aprūpē un apgādē esošo personu uzturēšanas izdevumi, kuri nav minēti citos koda 2360 apakškodos</t>
  </si>
  <si>
    <t>Mācību līdzekļi un materiāli</t>
  </si>
  <si>
    <t>Specifiskie materiāli un inventārs</t>
  </si>
  <si>
    <t>Munīcija</t>
  </si>
  <si>
    <t>Pārējie specifiskas lietošanas materiāli un inventārs</t>
  </si>
  <si>
    <t>Pārējās preces</t>
  </si>
  <si>
    <t>Izdevumi periodikas iegādei</t>
  </si>
  <si>
    <t>Budžeta iestāžu nodokļu, nodevu un naudas sodu maksājumi</t>
  </si>
  <si>
    <t>Budžeta iestāžu nodokļu maksājumi</t>
  </si>
  <si>
    <t>Budžeta iestāžu pievienotās vērtības nodokļa maksājumi</t>
  </si>
  <si>
    <t>Budžeta iestāžu nekustamā īpašuma nodokļa (t.sk. zemes nodokļa parāda) maksājumi budžetā</t>
  </si>
  <si>
    <t>Budžeta iestāžu dabas resursu nodokļa maksājumi</t>
  </si>
  <si>
    <t>Pārējie budžeta iestāžu pārskaitītie nodokļi un nodevas</t>
  </si>
  <si>
    <t>Budžeta iestāžu naudas sodu maksājumi</t>
  </si>
  <si>
    <t>Pakalpojumi, kurus budžeta iestādes apmaksā noteikto funkciju ietvaros, kas nav iestādes administratīvie izdevumi</t>
  </si>
  <si>
    <t>Subsīdijas un dotācijas</t>
  </si>
  <si>
    <t>Subsīdijas un dotācijas komersantiem, biedrībām un nodibinājumiem</t>
  </si>
  <si>
    <t>Valsts un pašvaldību budžeta dotācija komersantiem, biedrībām un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</si>
  <si>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</si>
  <si>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</si>
  <si>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</si>
  <si>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komersantiem, biedrībām un nodibinājumiem, ostām un speciālajām ekonomiskajām zonām Eiropas Savienības politiku instrumentu un pārējās ārvalstu finanšu palīdzības līdzfinansēto projektu un (vai)pasākumu ietvaros</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</si>
  <si>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</si>
  <si>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</si>
  <si>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</si>
  <si>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</si>
  <si>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</si>
  <si>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</si>
  <si>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</si>
  <si>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</si>
  <si>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</si>
  <si>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</si>
  <si>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</si>
  <si>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</si>
  <si>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</si>
  <si>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procenta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</si>
  <si>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</si>
  <si>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</si>
  <si>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</si>
  <si>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</si>
  <si>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</si>
  <si>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Datorprogrammas</t>
  </si>
  <si>
    <t>Pārējās licences, koncesijas un patenti, preču zīmes un tamlīdzīgas tiesības</t>
  </si>
  <si>
    <t>Pārējie nemateriālie ieguldījumi</t>
  </si>
  <si>
    <t>Nemateriālo ieguldījumu izveidošana</t>
  </si>
  <si>
    <t>Kapitālsabiedrību iegādes rezultātā iegūtā nemateriālā vērtība</t>
  </si>
  <si>
    <t>Pamatlīdzekļi</t>
  </si>
  <si>
    <t>Zeme, ēkas un būves</t>
  </si>
  <si>
    <t>Dzīvojamās ēkas</t>
  </si>
  <si>
    <t>Nedzīvojamās ēkas</t>
  </si>
  <si>
    <t>Transporta būves</t>
  </si>
  <si>
    <t>Zeme zem ēkām un būvēm</t>
  </si>
  <si>
    <t>Kultivētā zeme</t>
  </si>
  <si>
    <t>Atpūtai un izklaidei izmantojamā zeme</t>
  </si>
  <si>
    <t>Pārējā zeme</t>
  </si>
  <si>
    <t>Celtnes un būves</t>
  </si>
  <si>
    <t>Pārējais nekustamais īpašums</t>
  </si>
  <si>
    <t>Tehnoloģiskās iekārtas un mašīnas</t>
  </si>
  <si>
    <t>Pārējie pamatlīdzekļi</t>
  </si>
  <si>
    <t>Transportlīdzekļi</t>
  </si>
  <si>
    <t>Saimniecības pamatlīdzekļi</t>
  </si>
  <si>
    <t>Bibliotēku krājumi</t>
  </si>
  <si>
    <t>Izklaides, literārie un mākslas oriģināldarbi</t>
  </si>
  <si>
    <t>Antīkie un citi mākslas priekšmeti</t>
  </si>
  <si>
    <t>Citas vērtslietas</t>
  </si>
  <si>
    <t>Datortehnika, sakaru un cita biroja tehnika</t>
  </si>
  <si>
    <t>Pārējie iepriekš neklasificētie pamatlīdzekļi</t>
  </si>
  <si>
    <t>Pamatlīdzekļu izveidošana un nepabeigtā būvniecība</t>
  </si>
  <si>
    <t>Kapitālais remonts un rekonstrukcija</t>
  </si>
  <si>
    <t>Bioloģiskie un pazemes aktīvi</t>
  </si>
  <si>
    <t>Pārējie bioloģiskie un lauksaimniecības aktīvi</t>
  </si>
  <si>
    <t>Ilgtermiņa ieguldījumi nomātajos pamatlīdzekļos</t>
  </si>
  <si>
    <t>Sociālie pabalsti</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</si>
  <si>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</si>
  <si>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</si>
  <si>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</si>
  <si>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</si>
  <si>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</si>
  <si>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Bezdarbnieku pabalsts</t>
  </si>
  <si>
    <t>Bezdarbnieku stipendija</t>
  </si>
  <si>
    <t>Pašvaldību sociālā palīdzība iedzīvotājiem naudā</t>
  </si>
  <si>
    <t>Pabalsti veselības aprūpei naudā</t>
  </si>
  <si>
    <t>Pabalsti ēdināšanai naudā</t>
  </si>
  <si>
    <t>Pašvaldību vienreizējie pabalsti naudā ārkārtas situācijā</t>
  </si>
  <si>
    <t>Sociālās garantijas bāreņiem un audžuģimenēm naudā</t>
  </si>
  <si>
    <t>Pārējā sociālā palīdzība  naudā</t>
  </si>
  <si>
    <t>Pabalsts garantētā minimālā ienākumu līmeņa nodrošināšanai naudā</t>
  </si>
  <si>
    <t>Dzīvokļa pabalsti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</si>
  <si>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</si>
  <si>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</si>
  <si>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</si>
  <si>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</si>
  <si>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</si>
  <si>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</si>
  <si>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Pašvaldību sociālāpalīdzība iedzīvotājiem natūrā</t>
  </si>
  <si>
    <t>Pabalsti ēdināšanai natūrā</t>
  </si>
  <si>
    <t>Pašvaldības vienreizējie pabalsti natūrā ārkārtas situācijā</t>
  </si>
  <si>
    <t>Sociālās garantijas bāreņiem un audžuģimenēm natūrā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</si>
  <si>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</si>
  <si>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</si>
  <si>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</si>
  <si>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</si>
  <si>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</si>
  <si>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</si>
  <si>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</si>
  <si>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Maksājumi iedzīvotājiem natūrā, naudas balvas, izdevumi pašvaldību brīvprātīgo iniciatīvu izpildei</t>
  </si>
  <si>
    <t>Maksājumi iedzīvotājiem natūrā</t>
  </si>
  <si>
    <t>Naudas balvas</t>
  </si>
  <si>
    <t>Izdevumi brīvprātīgo iniciatīvu izpildei</t>
  </si>
  <si>
    <t>Izsoles nodrošinājuma un citu maksājumu, kas saistīti ar dalību izsolēs, atmaksa</t>
  </si>
  <si>
    <t>Uzturēšanas izdevumu transferti, pašu resursu maksājumi, starptautiskā sadarbība</t>
  </si>
  <si>
    <t>Pašvaldību  uzturēšanas izdevumu transferti</t>
  </si>
  <si>
    <t>Pašvaldību  uzturēšanas izdevumu transferti citām pašvaldībām</t>
  </si>
  <si>
    <t>Pašvaldību uzturēšanas izdevumu iekšējie tranferti starp pašvaldības budžeta veidiem</t>
  </si>
  <si>
    <t>Pašvaldības pamatbudžeta uzturēšanas izdevumu transferts uz pašvaldības speciālo budžetu</t>
  </si>
  <si>
    <t>Pašvaldības speciālā budžeta uzturēšanas izdevumu transferts uz pašvaldības pamatbudžetu</t>
  </si>
  <si>
    <t>Pašvaldību uzturēšanas izdevumu transferti padotības iestādēm</t>
  </si>
  <si>
    <t>Pašvaldības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</si>
  <si>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</si>
  <si>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</si>
  <si>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Pašvaldības iemaksa pašvaldību finanšu izlīdzināšanas fondā</t>
  </si>
  <si>
    <t>Starptautiskā sadarbība</t>
  </si>
  <si>
    <t>Pārējie pārskaitījumi ārvalstīm</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</si>
  <si>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</si>
  <si>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</si>
  <si>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</si>
  <si>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</si>
  <si>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</si>
  <si>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</si>
  <si>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</si>
  <si>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</si>
  <si>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</si>
  <si>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</si>
  <si>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</si>
  <si>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</si>
  <si>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</si>
  <si>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</si>
  <si>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</si>
  <si>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</si>
  <si>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</si>
  <si>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</si>
  <si>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</si>
  <si>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</si>
  <si>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</si>
  <si>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</si>
  <si>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</si>
  <si>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</si>
  <si>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</si>
  <si>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</si>
  <si>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</si>
  <si>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</si>
  <si>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*Stratēģiskā dokumenta nosaukums, kodu atšifrējums.</t>
  </si>
  <si>
    <t>Tāme Nr.09.9.1</t>
  </si>
  <si>
    <t>Majoru vidusskola</t>
  </si>
  <si>
    <t>90000051627</t>
  </si>
  <si>
    <t>Rīgas ielā3</t>
  </si>
  <si>
    <t>09.210</t>
  </si>
  <si>
    <t>Iestādes uzturēšana un vispārējās izglītības nodrošināšana</t>
  </si>
  <si>
    <t>R3.2.1</t>
  </si>
  <si>
    <t>LV78PARX0002484572012</t>
  </si>
  <si>
    <t>LV44PARX0002484573012</t>
  </si>
  <si>
    <t>LV05PARX0002484577012</t>
  </si>
  <si>
    <t>LV39PARX0002484576012</t>
  </si>
  <si>
    <t>Tāme Nr.06.3.1.</t>
  </si>
  <si>
    <t>Jūrmalas kapi</t>
  </si>
  <si>
    <t>90010691331</t>
  </si>
  <si>
    <t>Dubultu prospekts 16, Jūrmala, LV-2015</t>
  </si>
  <si>
    <t>06.600</t>
  </si>
  <si>
    <t>Kapsētu teritoriju apsaimniekošana</t>
  </si>
  <si>
    <t xml:space="preserve"> R2.8.2.</t>
  </si>
  <si>
    <t>LV06PARX0002484572144</t>
  </si>
  <si>
    <t>LV08PARX0002484577055</t>
  </si>
  <si>
    <t>Subsīdijas un dotācijas komersantiem, biedrībām un nodibinājumiem, ostām un speciālajām ekonomiskajām zonām Eiropas Savienības politiku instrumentu un pārējās ārvalstu finanšu palīdzības līdzfinansēto projektu un (vai) pasākumu ietvaros</t>
  </si>
  <si>
    <t xml:space="preserve"> R2.8.2. Jūrmalas pilsētas Attīstības programma 2014.–2020.gadam </t>
  </si>
  <si>
    <t>R2.8.2.: Kapsētu un to infrastruktūras labiekārtošana</t>
  </si>
  <si>
    <r>
      <rPr>
        <b/>
        <sz val="9"/>
        <rFont val="Times New Roman"/>
        <family val="1"/>
        <charset val="186"/>
      </rPr>
      <t>4.pielikums</t>
    </r>
    <r>
      <rPr>
        <sz val="9"/>
        <rFont val="Times New Roman"/>
        <family val="1"/>
        <charset val="186"/>
      </rPr>
      <t xml:space="preserve"> Jūrmalas pilsētas domes</t>
    </r>
  </si>
  <si>
    <t>2015.gada 16.decembra saistošajiem noteikumiem Nr. 47</t>
  </si>
  <si>
    <t>(protokols Nr.22, 3.punkts)</t>
  </si>
  <si>
    <t>Budžeta finansēta institūcija: Jūrmalas pilsētas dome</t>
  </si>
  <si>
    <t>Reģistrācijas Nr.90000056357</t>
  </si>
  <si>
    <t xml:space="preserve">2016.gada budžeta atšifrējums pa programmām </t>
  </si>
  <si>
    <t>Struktūrvienība</t>
  </si>
  <si>
    <t>Attīstības pārvaldes Būvniecības projektu vadības nodaļa</t>
  </si>
  <si>
    <t>Programma:</t>
  </si>
  <si>
    <t>Administratīvo ēku būvniecība, atjaunošana un uzlabošana</t>
  </si>
  <si>
    <t>Funkcionālās klasifikācijas kods:</t>
  </si>
  <si>
    <t xml:space="preserve"> 01.110.</t>
  </si>
  <si>
    <t>Nr.</t>
  </si>
  <si>
    <t>Pasākums/ aktivitāte/ projekts/ pakalpojuma nosaukums/ objekts</t>
  </si>
  <si>
    <t>Ekonomiskās klasifikācijas kodi</t>
  </si>
  <si>
    <t>2016.gada budžets pirms priekšlikumiem</t>
  </si>
  <si>
    <t>Priekšlikumi izmaiņām   (+/-)</t>
  </si>
  <si>
    <t>2016.gada budžets apstiprināts pēc izmaiņām</t>
  </si>
  <si>
    <t>Stratēģisko dokumentu kods *</t>
  </si>
  <si>
    <t>KOPĀ</t>
  </si>
  <si>
    <t>Domes administratīvo ēku remontdarbi/būvdarbi</t>
  </si>
  <si>
    <t>Glābšanas staciju būvniecība, atjaunošana un uzlabošana</t>
  </si>
  <si>
    <t>03.600.</t>
  </si>
  <si>
    <t>R1.6.2.</t>
  </si>
  <si>
    <t>Jaunķemeru glābšanas stacija</t>
  </si>
  <si>
    <t>Konteinertipa glābšanas staciju projekta izstrāde</t>
  </si>
  <si>
    <t>Ostas būvniecība, atjaunošana un uzlabošana</t>
  </si>
  <si>
    <t>04.520.</t>
  </si>
  <si>
    <t>R2.4.1.</t>
  </si>
  <si>
    <t>Jūrmalas ostas pārvaldes pakalpojumu centra izveidošana (Straumes iela 1a)</t>
  </si>
  <si>
    <t>Ūdenstūrisma pakalpojumu centra ''Majori'' izveide</t>
  </si>
  <si>
    <t>Publisko teritoriju, ēku un mājokļu būvniecība, atjaunošana un uzlabošana</t>
  </si>
  <si>
    <t>06.600.</t>
  </si>
  <si>
    <t>Jauno Slokas kapu izbūve un labiekārtošana</t>
  </si>
  <si>
    <t>R2.8.2.</t>
  </si>
  <si>
    <t>Pašvaldības iestādes ''Jūrmalas kapi'' remontdarbi</t>
  </si>
  <si>
    <t>Dubultu kultūras un izglītības centrs Strēlnieku prospektā 30, Jūrmalā (būvdarbi Jūrmalas Centrālā bibiliotēka 1.kārta, Jūrmalas Mūzikas vidusskola 2.kārta)</t>
  </si>
  <si>
    <t>Sabiedriskā centra Valtera prospektā 54 attīstība</t>
  </si>
  <si>
    <t>R1.2.2.</t>
  </si>
  <si>
    <t>Ķemeru parka atjaunošana kā ārstniecības un infrastruktūru papildinošu komponenti Tukuma iela 32a, Tukuma iela 32, Tūristu iela 1, Jūrmala</t>
  </si>
  <si>
    <t>R1.5.2.</t>
  </si>
  <si>
    <t>Dabas izglītības centra izveide Ķemeros, Emīla Dārziņa ielā 28, Jūrmalā</t>
  </si>
  <si>
    <t>R3.3.1.</t>
  </si>
  <si>
    <t>Tūrisma informācijas centra izveide Ķemeru ūdens tornī Tukuma ielā 32, Jūrmalā</t>
  </si>
  <si>
    <t xml:space="preserve">Ķemeru parka Mīlestības saliņa </t>
  </si>
  <si>
    <t>Pasta ēkas atjaunošana Tukuma iela 30, Jūrmala</t>
  </si>
  <si>
    <t>Tirdzniecības nojumes jaunbūve un inženierkomunikāciju izbūve Slokas ielā 3313, Jūrmalā</t>
  </si>
  <si>
    <t>Pašvaldības īpašumā esošo ēku kapitālais remonts</t>
  </si>
  <si>
    <t>Pašvaldības dzīvojamā fonda remonts</t>
  </si>
  <si>
    <t>R2.9.1.</t>
  </si>
  <si>
    <t>Ēku nojaukšana</t>
  </si>
  <si>
    <t>R2.8.1.</t>
  </si>
  <si>
    <t>Majoru muiža Konkordijas ielā 66, Jūrmalā</t>
  </si>
  <si>
    <t>Tūrisma informācijas centrs Lienes ielā 5, Jūrmalā</t>
  </si>
  <si>
    <t>R1.7.1.</t>
  </si>
  <si>
    <t>Ķemeru kapličas atjaunošana</t>
  </si>
  <si>
    <t>Alternatīvās enerģijas laternu uzstādīšana izejās uz pludmali</t>
  </si>
  <si>
    <t>Vieglas konstrukcijas pagaidu nojume zemesgabalā Bāzciems 0112</t>
  </si>
  <si>
    <t>Apsekošana, specifikāciju un tāmju sagatavošana</t>
  </si>
  <si>
    <t>Atpūtu un sportu veicinoši labiekārtošanas pasākumi</t>
  </si>
  <si>
    <t xml:space="preserve"> 08.100.</t>
  </si>
  <si>
    <t xml:space="preserve">Jaunrades parks Kauguros </t>
  </si>
  <si>
    <t>R.1.6.1.</t>
  </si>
  <si>
    <t>Jauniešu mājas un skatu torņa izbūve Jaunrades parkā Kauguros</t>
  </si>
  <si>
    <t>Lielupes ledus halles izbūve</t>
  </si>
  <si>
    <t>Slokas sporta komplekss</t>
  </si>
  <si>
    <t>R.1.6.3.</t>
  </si>
  <si>
    <t>Bibliotēku ēku būvniecība, atjaunošana un uzlabošana</t>
  </si>
  <si>
    <t>08.210.</t>
  </si>
  <si>
    <t>R3.3.2.</t>
  </si>
  <si>
    <t>Bibliotēku remonts</t>
  </si>
  <si>
    <t>Muzeja ēku būvniecība, atjaunošana un uzlabošana</t>
  </si>
  <si>
    <t>08.220.</t>
  </si>
  <si>
    <t>Jūrmalas brīvdabas muzejs Tīklu ielā 1a, Jūrmalā</t>
  </si>
  <si>
    <t>Kultūras centru un namu būvniecība, atjaunošana un uzlabošana</t>
  </si>
  <si>
    <t>08.230.</t>
  </si>
  <si>
    <t>R1.7.2.</t>
  </si>
  <si>
    <t>Jūrmalas Kultūras centra piebūve Jomas ielā 35, Jūrmalā</t>
  </si>
  <si>
    <t>Jūrmalas teātra pārbūve Muižas ielā 7, Jūrmalā</t>
  </si>
  <si>
    <t xml:space="preserve">Kultūras centru remonts </t>
  </si>
  <si>
    <t>Teātra, koncertzāles un estrāžu būvniecība, atjaunošana un uzlabošana</t>
  </si>
  <si>
    <t>08.240.</t>
  </si>
  <si>
    <t xml:space="preserve">Dzintaru koncertzāles Mazās (slēgtās) zāles restaurācija Turaidas ielā 1 </t>
  </si>
  <si>
    <t>Dzintaru koncertzāle</t>
  </si>
  <si>
    <t>Pagaidu žogs Mellužu estrādē</t>
  </si>
  <si>
    <t>Pirmsskolas  izglītības iestāžu būvniecība, atjaunošana un uzlabošana</t>
  </si>
  <si>
    <t>09.100.</t>
  </si>
  <si>
    <t>R3.2.1.</t>
  </si>
  <si>
    <t>Avārijas darbi</t>
  </si>
  <si>
    <t>Jūrmalas pilsētas pašvaldības pirmsskolas izglītības iestāžu infrastruktūras attīstība</t>
  </si>
  <si>
    <t>Pirmsskolas izglītības iestādes</t>
  </si>
  <si>
    <t>Jūrmalas PII ''Austras koks''</t>
  </si>
  <si>
    <t>Jūrmalas PII ''Bitīte''</t>
  </si>
  <si>
    <t>Jūrmalas PII ''Lācītis''</t>
  </si>
  <si>
    <t>Jūrmalas PII ''Madara''</t>
  </si>
  <si>
    <t>Jūrmalas PII ''Mārīte''</t>
  </si>
  <si>
    <t>Jūrmalas PII ''Namiņš''</t>
  </si>
  <si>
    <t>Jūrmalas PII ''Podziņa''</t>
  </si>
  <si>
    <t>Jūrmalas PII ''Saulīte''</t>
  </si>
  <si>
    <t>Jūrmalas PII ''Zvaniņš''</t>
  </si>
  <si>
    <t>Pirmsskolas  izglītības iestāžu būvdarbi</t>
  </si>
  <si>
    <t xml:space="preserve">Pirmsskolas izglītības pakalpojumu pieejamības uzlabošana Jūrmalas pilsētas rietumu  daļā </t>
  </si>
  <si>
    <t xml:space="preserve">Sākumskolu, pamatskolu, vidusskolu būvniecība, atjaunošana un uzlabošana </t>
  </si>
  <si>
    <t>09.210.</t>
  </si>
  <si>
    <t>R3.2.4.</t>
  </si>
  <si>
    <t>Jūrmalas pilsētas pašvaldības izglītības iestāžu infrastruktūras attīstība</t>
  </si>
  <si>
    <t>Vispārējās izglītības iestādes</t>
  </si>
  <si>
    <t>Jūrmalas  sākumskola "Atvase"</t>
  </si>
  <si>
    <t>Jūrmalas sākumskola ''Ābelīte''</t>
  </si>
  <si>
    <t>Jūrmalas sākumskola ''Taurenītis''</t>
  </si>
  <si>
    <t xml:space="preserve">Slokas pamatskola </t>
  </si>
  <si>
    <t>Jūrmalas pilsētas Jaundubultu vidusskola</t>
  </si>
  <si>
    <t>Jūrmalas pilsētas Kauguru vsk.sākumskola</t>
  </si>
  <si>
    <t>Jūrmalas pilsētas Kauguru vidusskola</t>
  </si>
  <si>
    <t>Jūrmalas pilsētas Lielupes vidusskola</t>
  </si>
  <si>
    <t>Jūrmalas pilsētas Mežmalas vidusskola</t>
  </si>
  <si>
    <t>Ķemeru vidusskola</t>
  </si>
  <si>
    <t>Pumpuru vidusskola</t>
  </si>
  <si>
    <t xml:space="preserve">Pirmsskolas izglītības pakalpojumu pieejamības uzlabošana Jūrmalas pilsētas austrumu daļā </t>
  </si>
  <si>
    <t>Jūrmalas Valsts ģimnāzijas un sākumskolas "Atvase" daudzfunkcionālās sporta halles projektēšana un celtniecība</t>
  </si>
  <si>
    <t>Lielupes vidusskolas ēkas nr.001 rekonstrukcija par internātu, ēkas nr.002 rekonstrukcija saglabājot funkciju un sporta zāles jaunbūve Aizputes ielā 1A, Jūrmalā</t>
  </si>
  <si>
    <t>Ķemeru vidusskolas pārbūve/atjaunošana Tukuma ielā 8/10 (tsk. energoefektivitātes paaugstināšana)</t>
  </si>
  <si>
    <t>Vaivaru pamatskola</t>
  </si>
  <si>
    <t>Jūrmalas Valsts ģimnāzija</t>
  </si>
  <si>
    <t>Interešu profesionālās ievirzes izglītības iestāžu būvniecība, atjaunošana un uzlabošana</t>
  </si>
  <si>
    <t xml:space="preserve"> 09.510.</t>
  </si>
  <si>
    <t>R3.3.3.</t>
  </si>
  <si>
    <t>Peldbaseina ēkas atjaunošana  Rūpniecības ielā 13, Jūrmalā (tsk. energoefektivitātes paaugstināšana)</t>
  </si>
  <si>
    <t>Majoru ledus halle</t>
  </si>
  <si>
    <t>Majoru sporta laukums</t>
  </si>
  <si>
    <t>Sporta nams "Taurenītis"</t>
  </si>
  <si>
    <t>Jūrmalas Mūzikas skola</t>
  </si>
  <si>
    <t>Interešu profesionālās ievirzes izglītības iestādes</t>
  </si>
  <si>
    <t>Sociālo iestāžu, kurās tiek nodrošināta ilgstoša aprūpe gados veciem cilvēkiem, būvniecība, atjaunošana un uzlabošana</t>
  </si>
  <si>
    <t>10.200.</t>
  </si>
  <si>
    <t>R3.5.1.</t>
  </si>
  <si>
    <t>Jūrmalas sociālās aprūpes centrs, Strēlnieku prospektā 38, Jūrmalā</t>
  </si>
  <si>
    <t>Sociālo iestāžu, kurās tiek nodrošināts atbalsts ģimenēm ar bērniem, būvniecība, atjaunošana un uzlabošana</t>
  </si>
  <si>
    <t>10.400.</t>
  </si>
  <si>
    <t>Jūrmalas Dienas centrs bērniem Nometņu ielā 2a, Jūrmalā</t>
  </si>
  <si>
    <t>Pārējo sociālo iestāžu būvniecība, atjaunošana un uzlabošana</t>
  </si>
  <si>
    <t>10.700.</t>
  </si>
  <si>
    <t>Siltummezgla rekonstrukcija pašvaldības aģentūras ''Jūrmalas sociālās aprūpes centrs'' objektā  Dūņu ceļš 2</t>
  </si>
  <si>
    <t>Jūrmalas pilsētas pašvaldības iestāde ''Sprīdītis''</t>
  </si>
  <si>
    <t>* Informatīvi - atbilstoši ar JPD 07.11.2013. lēmumu Nr.625 "Par Jūrmalas pilsētas Attīstības programmas 2014.-2020. gadam apstiprināšanu" apstiprinātās  "Jūrmalas pilsētas attstības progrmamas 2014 -2020.gadam" 2.daļas  "Stratēģiskā daļa un rīcības plāns" 2.sadaļai "Rīcībai plāns"</t>
  </si>
  <si>
    <t>Stratēģiskā dokumenta nosaukums - "Jūrmalas pilsētas attīstības programma 2014.-2020.gadam"</t>
  </si>
  <si>
    <t>Stratēģiskā dokumenta kodu atšifrējums - saskaņā ar "Jūrmalas pilsētas attīstības programma 2014.-2020.gadam" mērķiem M1, M2, M3</t>
  </si>
  <si>
    <t>elektriskās plīts remontam</t>
  </si>
  <si>
    <t>Tāme Nr.04.1.18</t>
  </si>
  <si>
    <t>Jūrmalas pilsētas dome</t>
  </si>
  <si>
    <t>90000056357</t>
  </si>
  <si>
    <t>Jomas iela 1/5, Jūrmala, LV-2016</t>
  </si>
  <si>
    <t>04.510</t>
  </si>
  <si>
    <t>Jūrmalas pilsētas pašvaldības 2016.-2018.gada Ceļu fonda izlietojuma programma</t>
  </si>
  <si>
    <t>LV78TREL980200804800B</t>
  </si>
  <si>
    <t>Atbilstoši 2016.gadā plānotajai izņemtajai summai</t>
  </si>
  <si>
    <t>Tāme Nr.09.1.6.</t>
  </si>
  <si>
    <t>Sākumskolu, pamatskolu, vidusskolu būvniecība, atjaunošana un uzlabošana</t>
  </si>
  <si>
    <t>LV84PARX0002484572001</t>
  </si>
  <si>
    <t>Tāme Nr.09.1.7.</t>
  </si>
  <si>
    <t>LV79TREL980200804600B</t>
  </si>
  <si>
    <t>2016.gadā neizlietotie līdzekļi - PB - 919; KR-27711</t>
  </si>
  <si>
    <t>Tāme Nr.04.1.10.</t>
  </si>
  <si>
    <t>04.900.</t>
  </si>
  <si>
    <t>Ar ārējo sakaru attīstību saistītās starptautiskās un institucionālās sadarbības aktivitātes</t>
  </si>
  <si>
    <t>Tāme Nr.08.1.4.</t>
  </si>
  <si>
    <t>08.100.</t>
  </si>
  <si>
    <t>Sporta pasākumi</t>
  </si>
  <si>
    <t>Tāme Nr.08.5.1.</t>
  </si>
  <si>
    <t>Jūrmalas Sporta servisa centrs</t>
  </si>
  <si>
    <t>90010478153</t>
  </si>
  <si>
    <t>Jomas iela 1/5, Jūrmala</t>
  </si>
  <si>
    <t>08.100</t>
  </si>
  <si>
    <t>Iestādes uzturēšana</t>
  </si>
  <si>
    <t>LV95PARX0002484572094</t>
  </si>
  <si>
    <t>LV62PARX0002484577053</t>
  </si>
  <si>
    <t>LV26PARX0002484576052</t>
  </si>
  <si>
    <t>Finansējums nepieciešams pasākuma "Gada balva sportā" nodrošināšanai</t>
  </si>
  <si>
    <t xml:space="preserve"> ''Jūrmalas pilsētas sporta un aktīvās atpūtas attīstības stratēģija 2008.-2020.gadam'', sporta infrastruktūras pilnveidošana </t>
  </si>
  <si>
    <t>Galvenais grāmatvedis</t>
  </si>
  <si>
    <t>Tāme Nr.08.5.3</t>
  </si>
  <si>
    <t>Raiņa iela 55, Jūrmala , LV- 2015</t>
  </si>
  <si>
    <t xml:space="preserve"> Jūrmalas Valsts ģimnāzijas sporta halles uzturēšana</t>
  </si>
  <si>
    <t>PI.4.</t>
  </si>
  <si>
    <r>
      <rPr>
        <b/>
        <sz val="9"/>
        <rFont val="Times New Roman"/>
        <family val="1"/>
        <charset val="186"/>
      </rPr>
      <t xml:space="preserve"> 9.pielikums </t>
    </r>
    <r>
      <rPr>
        <sz val="9"/>
        <rFont val="Times New Roman"/>
        <family val="1"/>
        <charset val="186"/>
      </rPr>
      <t>Jūrmalas pilsētas domes</t>
    </r>
  </si>
  <si>
    <t>Sporta pārvalde</t>
  </si>
  <si>
    <t>Priekšlikumi izmaiņām (+/-)</t>
  </si>
  <si>
    <t>I Jūrmalas pilsētas sporta pasākumi</t>
  </si>
  <si>
    <t>Mērķis Nr.3</t>
  </si>
  <si>
    <t>1.1.</t>
  </si>
  <si>
    <t>Gada balva sportā</t>
  </si>
  <si>
    <t>PM 2</t>
  </si>
  <si>
    <t>Līdzekļu pārdale</t>
  </si>
  <si>
    <t>Eiropas Sporta pilsētas statusa iegūšana 2017.gadam</t>
  </si>
  <si>
    <t>PM2</t>
  </si>
  <si>
    <t>FUTBOLS</t>
  </si>
  <si>
    <t>2.1.</t>
  </si>
  <si>
    <t>Atklātās sacensības "Jūrmalas domes kauss" 5.posmos  pludmales futbolā</t>
  </si>
  <si>
    <t>Līdzekļu ekonomija</t>
  </si>
  <si>
    <t>2.2.</t>
  </si>
  <si>
    <t>Jūrmalas pilsētas atklātais čempionāts pieaugušiem</t>
  </si>
  <si>
    <t>ŪDENSMOTOSPORTS</t>
  </si>
  <si>
    <t>3.1.</t>
  </si>
  <si>
    <t xml:space="preserve">"Jurmala cup" sacensības ūdens motosportā </t>
  </si>
  <si>
    <t>3.2.</t>
  </si>
  <si>
    <t>Latvijas čempionāts ūdensmotosportā</t>
  </si>
  <si>
    <t>AUSTRUMCĪŅAS</t>
  </si>
  <si>
    <t>4.1.</t>
  </si>
  <si>
    <t>Starptautiskais karatē WKF turnīrs "Grand Prix Jurmala Ippon.lv Cup 2016"</t>
  </si>
  <si>
    <t>4.2.</t>
  </si>
  <si>
    <t>"Jūrmalas kauss 2016" Starptautiskais karatē čempionāts</t>
  </si>
  <si>
    <t>INVALĪDU SPORTS</t>
  </si>
  <si>
    <t>5.1.</t>
  </si>
  <si>
    <t>Sporta svētki "Pepija tūrisma takās " bērniem invalīdiem</t>
  </si>
  <si>
    <t>Mērķis Nr.2</t>
  </si>
  <si>
    <t>5.2.</t>
  </si>
  <si>
    <t>Sporta svētki "Pepija Ziemassvētkos " bērniem invalīdiem</t>
  </si>
  <si>
    <t>5.3.</t>
  </si>
  <si>
    <t>Orientēšanās invalīdiem "Tu vari!"</t>
  </si>
  <si>
    <t>5.4.</t>
  </si>
  <si>
    <t>Baltā spieķa diena</t>
  </si>
  <si>
    <t>GALDA TENISS</t>
  </si>
  <si>
    <t>6.1.</t>
  </si>
  <si>
    <t>Jūrmalas atklātais čempionāts galda tenisā(2 dienas)</t>
  </si>
  <si>
    <t>6.2.</t>
  </si>
  <si>
    <t>Draudzības kausa izcīņas Jūrmalas posms</t>
  </si>
  <si>
    <t>6.3.</t>
  </si>
  <si>
    <t>Jūrmalas domes  balvu izcīņa galda tenisā senioriem (2 dienas)</t>
  </si>
  <si>
    <t>6.4.</t>
  </si>
  <si>
    <t>Ziemassvētku sacensības galda tenisā</t>
  </si>
  <si>
    <t>AIRĒŠANA</t>
  </si>
  <si>
    <t>7.1.</t>
  </si>
  <si>
    <t>LR Ziemas čempionāts</t>
  </si>
  <si>
    <t>7.2.</t>
  </si>
  <si>
    <t>LR čempionāts garajās distancēs</t>
  </si>
  <si>
    <t>7.3.</t>
  </si>
  <si>
    <t>LAF balvu izcīņa</t>
  </si>
  <si>
    <t>7.4.</t>
  </si>
  <si>
    <t>LR čempionāts junioriem "A"</t>
  </si>
  <si>
    <t>7.5.</t>
  </si>
  <si>
    <t>LR čempionāts junioriem "B"</t>
  </si>
  <si>
    <t>7.6.</t>
  </si>
  <si>
    <t>LR čempionāts</t>
  </si>
  <si>
    <t>7.7.</t>
  </si>
  <si>
    <t>Sezonas noslēguma sacensības</t>
  </si>
  <si>
    <t>7.8.</t>
  </si>
  <si>
    <t>LR rudens kauss</t>
  </si>
  <si>
    <t>7.9.</t>
  </si>
  <si>
    <t>LR MIX (2x,4-)</t>
  </si>
  <si>
    <t>7.10.</t>
  </si>
  <si>
    <t>LR kausa izcīņa</t>
  </si>
  <si>
    <t>7.11.</t>
  </si>
  <si>
    <t>LR pavasara kauss</t>
  </si>
  <si>
    <t>7.12.</t>
  </si>
  <si>
    <t>Jūrmalas pilsētas čempionāts akadēmiskā airēšanā</t>
  </si>
  <si>
    <t>7.13.</t>
  </si>
  <si>
    <t>Jūrmalas airēšanas maratons</t>
  </si>
  <si>
    <t>BURĀŠANA</t>
  </si>
  <si>
    <t>8.1.</t>
  </si>
  <si>
    <t>2 stundu regates sezonas sacensību seriāls</t>
  </si>
  <si>
    <t>8.2.</t>
  </si>
  <si>
    <t>Jūrmalas pilsētas burāšanas sezonas atklāšanas regate</t>
  </si>
  <si>
    <t>8.3.</t>
  </si>
  <si>
    <t>Maija regate</t>
  </si>
  <si>
    <t>8.4.</t>
  </si>
  <si>
    <t>Optimist asociācijas kauss. Baltic Optimist Cup posms</t>
  </si>
  <si>
    <t>8.5.</t>
  </si>
  <si>
    <t>Jūrmalas burāšanas regate</t>
  </si>
  <si>
    <t>8.6.</t>
  </si>
  <si>
    <t>Beach Regatta</t>
  </si>
  <si>
    <t>8.7.</t>
  </si>
  <si>
    <t>Priedaines Jahtkluba sezonas slēgšanas regate</t>
  </si>
  <si>
    <t>8.8.</t>
  </si>
  <si>
    <t>Baltic Sea Cup</t>
  </si>
  <si>
    <t>8.9.</t>
  </si>
  <si>
    <t>Olimpisko laivu klases "470" kausa izcīņa</t>
  </si>
  <si>
    <t>BASKETBOLS</t>
  </si>
  <si>
    <t>9.1.</t>
  </si>
  <si>
    <t>Jūrmalas basketbola čempionāts 15/16</t>
  </si>
  <si>
    <t>9.2.</t>
  </si>
  <si>
    <t>Jūrmalas čempionāts basketbolā vīriešiem 16/17</t>
  </si>
  <si>
    <t>9.3.</t>
  </si>
  <si>
    <t>Jūrmalas kausa izcīņa basketbolā sievietēm - seniorēm</t>
  </si>
  <si>
    <t>9.4.</t>
  </si>
  <si>
    <t>Ielu basketbola turnīrs "Dzintaru kauss 2016"</t>
  </si>
  <si>
    <t>PLUDMALES VOLEJBOLS</t>
  </si>
  <si>
    <t>10.1.</t>
  </si>
  <si>
    <t>Latvijas čempionāts pludmales volejbolā</t>
  </si>
  <si>
    <t>10.2.</t>
  </si>
  <si>
    <t>Jūrmalas atklātais pludmales volejbola čempionātu un turnīru seriāls</t>
  </si>
  <si>
    <t>10.3.</t>
  </si>
  <si>
    <t>2016 CEV Beach Volleyball Championship Jurmala Masters</t>
  </si>
  <si>
    <t>10.4.</t>
  </si>
  <si>
    <t>LSVS 53. sporta spēļu senioru finālsacensības pludmales volejbolā</t>
  </si>
  <si>
    <t>10.5.</t>
  </si>
  <si>
    <t>Jūrmalas atklātais jaunatnes čempionāts</t>
  </si>
  <si>
    <t>HANDBOLS</t>
  </si>
  <si>
    <t>11.1.</t>
  </si>
  <si>
    <t>Starptautiskais turnīrs Pludmales handbolā</t>
  </si>
  <si>
    <t>ŠAHS</t>
  </si>
  <si>
    <t>12.1.</t>
  </si>
  <si>
    <t xml:space="preserve">Jūrmalas šaha turnīrs </t>
  </si>
  <si>
    <t>12.2.</t>
  </si>
  <si>
    <t>Vladimira Petrova piemiņas memoriāls</t>
  </si>
  <si>
    <t>12.3.</t>
  </si>
  <si>
    <t xml:space="preserve">A. Širova ziemas kauss šahā </t>
  </si>
  <si>
    <t>12.4.</t>
  </si>
  <si>
    <t>Starptautiskie bērnu šaha turnīri " Kaissa - Rudaga 2016"</t>
  </si>
  <si>
    <t>ORIENTĒŠANĀS</t>
  </si>
  <si>
    <t>13.1.</t>
  </si>
  <si>
    <t>Tautas orientēšanās sacensības"Ķemermiestiņa mazās Anniņas lielā balva"</t>
  </si>
  <si>
    <t>13.2.</t>
  </si>
  <si>
    <t>Orientēšanās festivāls "O` festivāls"</t>
  </si>
  <si>
    <t>13.3.</t>
  </si>
  <si>
    <t>Ziemas balva</t>
  </si>
  <si>
    <t>Orientēšanas sacensības ''Jūrmalas rogainings''</t>
  </si>
  <si>
    <t>ŪDENSSLĒPOŠANA</t>
  </si>
  <si>
    <t>14.1.</t>
  </si>
  <si>
    <t>Jūrmalas ūdensslēpošanas svētki</t>
  </si>
  <si>
    <t>BOKSS/KIKBOKS</t>
  </si>
  <si>
    <t>15.1.</t>
  </si>
  <si>
    <t xml:space="preserve"> Jāņa Roviča starptautiskais piemiņas turnīrs</t>
  </si>
  <si>
    <t>15.2.</t>
  </si>
  <si>
    <t>Cīņu šovs ''Ielas cīņas''</t>
  </si>
  <si>
    <t>VIEGLATLĒTIKA</t>
  </si>
  <si>
    <t>16.1.</t>
  </si>
  <si>
    <t xml:space="preserve">Skrējiens "Dzintaru apļi" 7 kārtās </t>
  </si>
  <si>
    <t>16.2.</t>
  </si>
  <si>
    <t xml:space="preserve">Pludmales skrējiens "Bruņurupucis" </t>
  </si>
  <si>
    <t>16.3.</t>
  </si>
  <si>
    <t xml:space="preserve">Starptautiskais Jūrmalas krāsu skrējiens </t>
  </si>
  <si>
    <t>16.4.</t>
  </si>
  <si>
    <t>Jūrmalas Skriešanas svētki</t>
  </si>
  <si>
    <t>TENISS</t>
  </si>
  <si>
    <t>17.1.</t>
  </si>
  <si>
    <t xml:space="preserve">Men`s Future Jurmala cup </t>
  </si>
  <si>
    <t>17.2.</t>
  </si>
  <si>
    <t xml:space="preserve">LR jauniešu čempionāts </t>
  </si>
  <si>
    <t>17.3.</t>
  </si>
  <si>
    <t>International Pludmales tenisa turnīrs ITF G4, G3 Jurmala Cup</t>
  </si>
  <si>
    <t>17.4.</t>
  </si>
  <si>
    <t>"Starptautiskais atklātais čempionāts tenisā "Jūrmalas kauss"</t>
  </si>
  <si>
    <t>CITI</t>
  </si>
  <si>
    <t>18.1.</t>
  </si>
  <si>
    <t>Jūrmalas atklātas sacensības loka šaušanā</t>
  </si>
  <si>
    <t>18.2.</t>
  </si>
  <si>
    <t>Ielu basketbola turnīrs "Ghetto basket" 3 posmos</t>
  </si>
  <si>
    <t>18.3.</t>
  </si>
  <si>
    <t>Ielu basketbola turnīrs "Ghetto florbol" 3 posmos</t>
  </si>
  <si>
    <t>18.4.</t>
  </si>
  <si>
    <t>Pasaules kausu posms ielu vingrošanā</t>
  </si>
  <si>
    <t>18.5.</t>
  </si>
  <si>
    <t>Autorallijs "Latvija 2016"</t>
  </si>
  <si>
    <t>18.6.</t>
  </si>
  <si>
    <t>Starptautiskais bridža turnīrs</t>
  </si>
  <si>
    <t>18.7.</t>
  </si>
  <si>
    <t>Starptautiskais geocaching orientēšanās pasākums "Iepazīsti Jūrmalu"</t>
  </si>
  <si>
    <t>18.8.</t>
  </si>
  <si>
    <t>Jūrmalas xTRAIL sporta pasākums</t>
  </si>
  <si>
    <t>18.9.</t>
  </si>
  <si>
    <t>Skrituļošanas maratons</t>
  </si>
  <si>
    <t>18.10.</t>
  </si>
  <si>
    <t>"Jūrmalas kauss" džudo</t>
  </si>
  <si>
    <t>18.11.</t>
  </si>
  <si>
    <t>Sporta pasākums Jūras skriešana "Aquathon Jūrmala"</t>
  </si>
  <si>
    <t>18.12.</t>
  </si>
  <si>
    <t>Atklāto ūdenstilpņu peldēšanas sacensības</t>
  </si>
  <si>
    <t>18.13.</t>
  </si>
  <si>
    <t>Vislatvijas skolēnu sporta un prāta finālspēles "ZZ čempionāts-rādi klasi"</t>
  </si>
  <si>
    <t>18.14.</t>
  </si>
  <si>
    <t>"Mazā stiprinieka piedzīvojumi"(vasarā)</t>
  </si>
  <si>
    <t>18.15.</t>
  </si>
  <si>
    <t>"Mazā stiprinieka piedzīvojumi"(Ziemā)</t>
  </si>
  <si>
    <t>18.16.</t>
  </si>
  <si>
    <t>Prāta spēles</t>
  </si>
  <si>
    <t>18.17.</t>
  </si>
  <si>
    <t>12.Latvijas ziemas peldēšanas čempionāts</t>
  </si>
  <si>
    <t>18.18.</t>
  </si>
  <si>
    <t>Starptautiskajam ielu basketbola turnīrs "Ghetto Basket''</t>
  </si>
  <si>
    <t>FLORBOLS</t>
  </si>
  <si>
    <t>19.1.</t>
  </si>
  <si>
    <t xml:space="preserve">Jūrmalas  kauss  florbolā </t>
  </si>
  <si>
    <t>19.2.</t>
  </si>
  <si>
    <t>"Jūrmalas nakts turnīrs" florbolā</t>
  </si>
  <si>
    <t>19.3.</t>
  </si>
  <si>
    <t>"Jurmala CUP 2016" starptautiskais florbola turnīrs</t>
  </si>
  <si>
    <t>HOKEJS</t>
  </si>
  <si>
    <t>20.1.</t>
  </si>
  <si>
    <t>Jūrmalas čempionāts hokejā</t>
  </si>
  <si>
    <t>MĀKSLAS VINGROŠANA</t>
  </si>
  <si>
    <t>21.1.</t>
  </si>
  <si>
    <t>Starptautiskais festivāls"Mazā-lielā grācija"</t>
  </si>
  <si>
    <t>REGBIJS</t>
  </si>
  <si>
    <t>22.1.</t>
  </si>
  <si>
    <t>Jūrmalas kauss regbijā</t>
  </si>
  <si>
    <t>22.2.</t>
  </si>
  <si>
    <t>10 Pludmales regbija sacensības (9 vecuma posmos)</t>
  </si>
  <si>
    <t>RITEŅBRAUKŠANA</t>
  </si>
  <si>
    <t>23.1.</t>
  </si>
  <si>
    <t>Riteņbraukšanas maratons</t>
  </si>
  <si>
    <t>23.2.</t>
  </si>
  <si>
    <t xml:space="preserve">MTB maratons </t>
  </si>
  <si>
    <t>23.3.</t>
  </si>
  <si>
    <t xml:space="preserve">Neatkarības dienas velo brauciens </t>
  </si>
  <si>
    <t>ZIEMAS SPORTA PASĀKUMI</t>
  </si>
  <si>
    <t>24.1.</t>
  </si>
  <si>
    <t>Ziemas sporta svētki</t>
  </si>
  <si>
    <t xml:space="preserve">II  Jūrmalas pilsētas finansētie sporta klubu komandu piedalīšanās izdevumi starptautiskās sacensībās un Latvijas čempionātu sacensībās 2016.g. </t>
  </si>
  <si>
    <t>Biedrība "Basketbola klubs Jūrmala"</t>
  </si>
  <si>
    <t>Mērķis Nr.1</t>
  </si>
  <si>
    <t>Sporta klubs "Jūrmalas sports"</t>
  </si>
  <si>
    <t>Futbola virslīgas komandas ''Spartaks" atbalstam</t>
  </si>
  <si>
    <t>Dalība LSVS 53. sporta spēlēs</t>
  </si>
  <si>
    <t>Dalība Latvijas   vasaras olimpiādē Cēsīs un Valmierā, Jūrmalā</t>
  </si>
  <si>
    <t>Jurmala Racing Team</t>
  </si>
  <si>
    <t>Jūrmalas sporta veterānu atbalstam, Sporta Senioru Biedrība Jūrmala</t>
  </si>
  <si>
    <t>Florbola klubs "Jūrmala"</t>
  </si>
  <si>
    <t>G. Valnera dalībai sacensībās</t>
  </si>
  <si>
    <t>Biedrība Airēšanas federācija, Jūrmalas airētāju atbalstam</t>
  </si>
  <si>
    <t>Hokeja klubs "Kauguri"</t>
  </si>
  <si>
    <t>Hokeja klubs "Jūrmala"</t>
  </si>
  <si>
    <t>Sporta klubs "Neguss"</t>
  </si>
  <si>
    <t>Jūrmalas Karsējmeiteņu komandai</t>
  </si>
  <si>
    <t>Senioru SK "DEVRO -Jūrmala"</t>
  </si>
  <si>
    <t>Maratonistes J. Prokopčukas dalība sacensībās</t>
  </si>
  <si>
    <t>Biedrība  Sporta klubs "MSL"</t>
  </si>
  <si>
    <t>Jūrmalas kartingista dalība sacensībās (A. Zviedris)</t>
  </si>
  <si>
    <t>Burāšanas sporta vienības fonda "Collatis viribus" atbalstam</t>
  </si>
  <si>
    <t>Boksa kluba "Jūrmala" dalība sacensībās</t>
  </si>
  <si>
    <t>Dalība Pasaules kausa sacensībās pludmales volejbolā (A. Samoilovs)</t>
  </si>
  <si>
    <t>Jāņa Roviča boksa klubs</t>
  </si>
  <si>
    <t>Kartingista  Šubecka dalība sacensībās</t>
  </si>
  <si>
    <t>Līdzfinansējums T.L. Graudiņai</t>
  </si>
  <si>
    <t>Golfera R. Matisona atbalstam</t>
  </si>
  <si>
    <t>Dalība sacensībās džudo klubam Lido</t>
  </si>
  <si>
    <t>Jūrmalas ātrslidošanas klubs</t>
  </si>
  <si>
    <t>Pludmales futbola komandai "VBFK"</t>
  </si>
  <si>
    <t>Hokeja komandas "Ice Wolves" atbalstam</t>
  </si>
  <si>
    <t>Hokeja klubs "Dubulti" atbalstam</t>
  </si>
  <si>
    <t>Jūrmalas bērnu ūdensslēpotāju atbalstam</t>
  </si>
  <si>
    <t>Dalība Jaunajā sieviešu basketbola līgā</t>
  </si>
  <si>
    <t>T. Dreimaņa dalībai sacensībās</t>
  </si>
  <si>
    <t>Airētāja Daira Adamaita atbalstam</t>
  </si>
  <si>
    <t>Atbalsts moto sportistam Dz. Baltam</t>
  </si>
  <si>
    <t>Atbalsts supermoto sportistam L. Liepiņam</t>
  </si>
  <si>
    <t>Peldētāja E. Pones atbalstam</t>
  </si>
  <si>
    <t>Sporta klubs "Amazones"</t>
  </si>
  <si>
    <t>Biedrība "Vsevoloda Zeļonija sporta skola"</t>
  </si>
  <si>
    <t>Airēšanas klubs "Majori"</t>
  </si>
  <si>
    <t>Motosporta komandas "Jūrmalas delveri"</t>
  </si>
  <si>
    <t>Senioru sporta spēles</t>
  </si>
  <si>
    <t>Kartingista  E. Veismaņa dalība sacensībās</t>
  </si>
  <si>
    <t>Regbija klubs "Jūrmala" (virslīgas komanda)</t>
  </si>
  <si>
    <t>Volejbola klubs "Jūrmala/T"</t>
  </si>
  <si>
    <t>Karatistes M. L. Muižnieces atbalstam</t>
  </si>
  <si>
    <t>Biedrība "Volejbola komanda Rietumjūrmala"</t>
  </si>
  <si>
    <t>Ūdensmotosportista D. Šillera atbalstam</t>
  </si>
  <si>
    <t>Cīņas klubs "MMA Jūrmala"</t>
  </si>
  <si>
    <t>Skeitbordista M. Liepiņa atbalstam</t>
  </si>
  <si>
    <t>Autosportista J. Dreimaņa atbalstam</t>
  </si>
  <si>
    <t>Biedrība "Hokeja skola Jūrmala" Latvijas čempionāts hokejā 1. līga</t>
  </si>
  <si>
    <t>"Kauguru sporta klubs" šahs</t>
  </si>
  <si>
    <t xml:space="preserve">Dalība  Rīgas skriešanas maratonā </t>
  </si>
  <si>
    <t>Mērķis Nr.5</t>
  </si>
  <si>
    <t>Mērķis Nr.6</t>
  </si>
  <si>
    <t>VRR autosports (A. Vecvagara atbalstam)</t>
  </si>
  <si>
    <t>Hokeja komandas "Royal-tec/Jūrmala" atbalstam</t>
  </si>
  <si>
    <t>Motobraucējas P. Bērziņas atbalstam</t>
  </si>
  <si>
    <t>Dalība starptautiskajās pludmales regbija sacensībās</t>
  </si>
  <si>
    <t>Pašvaldības atzinības izteikšana par īpašiem sasniegumiem un rezultātiem</t>
  </si>
  <si>
    <t>Ūdenspolo sportista J.K.Vasiļonoka atbalstam</t>
  </si>
  <si>
    <t>Triatlonista M.Nagibina atbalstam</t>
  </si>
  <si>
    <t>Hokejista Emīla Ērgļa atbalstam</t>
  </si>
  <si>
    <t>Šahista Georgija Germanova atbalstam</t>
  </si>
  <si>
    <t>Kalnu slēpotājas Esteres poles atbalstam</t>
  </si>
  <si>
    <t>Dalība Seni Cup Eiropas finālturnīrā</t>
  </si>
  <si>
    <t>Sporta vingrotāja A.Krūzes dalība treniņnometnēs</t>
  </si>
  <si>
    <t>III</t>
  </si>
  <si>
    <t>Rezerve sportam 4%</t>
  </si>
  <si>
    <t>rezerve sportam</t>
  </si>
  <si>
    <t>Sporta pārvaldes Sporta attīstības nodaļa</t>
  </si>
  <si>
    <t>Sporta attīstības un publicitātes pasākumi</t>
  </si>
  <si>
    <t>Grāmata "Jūrmalas sporta vēsture"</t>
  </si>
  <si>
    <t>* Informatīvi - Stratēģiskā dokumenta nosaukums:</t>
  </si>
  <si>
    <t>Jūrmalas pilsētas sporta un aktīvās atpūtas attīstības stratēģija 2008.-2020. gadam.</t>
  </si>
  <si>
    <t>Stratēģiskā dokumenta kodu atšifrējumi:</t>
  </si>
  <si>
    <t>Mērķis Nr. 1 Fiziskās aktivitātēs iesaistīto Jūrmalas pilsētas iedzīvotāju, īpaši bērnu un jauniešu skaita pieaugums.</t>
  </si>
  <si>
    <t>Mērķis Nr.2 Cilvēku ar invaliditāti dalības sporta un aktīvās atpūtas aktivitātēs pieaugums</t>
  </si>
  <si>
    <t>Mērķis Nr. 3 Starptautiska, nacionāla un vietēja mēroga sporta sacensību un aktīvās atpūtas norišu skaita pieaugums.</t>
  </si>
  <si>
    <t xml:space="preserve">Sporta un aktīvās atpūtas nozares attīstības rīcības programmas , Mārketinga attīstības programma 1.2. Veselīga dzīvesveida, sporta un aktīvās atpūtas popularizēšana Jūrmalas pilsētas medijos, PM.2. Regulāras informācijas kampaņas masu saziņas līdzekļos par sporta un aktīvās atpūtas nozīmi un organizētajiem pasākumiem un institūcijām.
</t>
  </si>
  <si>
    <r>
      <rPr>
        <b/>
        <sz val="9"/>
        <rFont val="Times New Roman"/>
        <family val="1"/>
        <charset val="186"/>
      </rPr>
      <t>21.pielikums</t>
    </r>
    <r>
      <rPr>
        <sz val="9"/>
        <rFont val="Times New Roman"/>
        <family val="1"/>
        <charset val="186"/>
      </rPr>
      <t xml:space="preserve"> Jūrmalas pilsētas domes</t>
    </r>
  </si>
  <si>
    <t>2015.gada 16.decembra saistošajiem noteikumiem Nr.47</t>
  </si>
  <si>
    <t>(Protokols Nr.22, 3.punkts)</t>
  </si>
  <si>
    <t>Marketinga un ārējo sakaru pārvaldes Ārējo sakaru un protokola nodaļa</t>
  </si>
  <si>
    <t>Jūrmalas sadraudzības pilsētu delegāciju, ārvalstu delegāciju un ārvalstu vēstnieku uzņemšana</t>
  </si>
  <si>
    <t>P.1.9. P3.8.</t>
  </si>
  <si>
    <t>Jūrmalas domes oficiālo delegāciju vizītes uz esošajām un potenciālajām sadraudzības pilsētām, domes vadības oficiālie ārvalstu komandējumi</t>
  </si>
  <si>
    <t>Ekonomija, jo ir atceltas vairākas vadības vizītes</t>
  </si>
  <si>
    <t>Ārvalstu komandējumu dienas naudas</t>
  </si>
  <si>
    <t>Ar ārējiem sakariem un sadraudzības pilsētu aktivitāšu īstenošanu saistīto pasākumu organizēšanas izdevumi (ēdināšana, izmitināšana, u.c. saistītie izdevumi)</t>
  </si>
  <si>
    <t>Oficiālie reprezentācijas materiāli (dāvanas, prezentācijas, bukleti, plakāti, u.c.)</t>
  </si>
  <si>
    <t>Sadraudzības līgumu notariālie tulkojumi, oficiālās sarakstes tulkojumi</t>
  </si>
  <si>
    <t>Dalībmaksa starptautiskajās organizācijās (UBC)</t>
  </si>
  <si>
    <t xml:space="preserve">P.1.9. </t>
  </si>
  <si>
    <t>Honorāri autoratlīdzībām</t>
  </si>
  <si>
    <t>Autotransports, autotransporta noma</t>
  </si>
  <si>
    <t>* Informatīvi -</t>
  </si>
  <si>
    <r>
      <rPr>
        <u/>
        <sz val="9"/>
        <rFont val="Times New Roman"/>
        <family val="1"/>
        <charset val="186"/>
      </rPr>
      <t>Stratēģiskā dokumenta nosaukums</t>
    </r>
    <r>
      <rPr>
        <sz val="9"/>
        <rFont val="Times New Roman"/>
        <family val="1"/>
        <charset val="186"/>
      </rPr>
      <t>: Jūrmalas pilsētas attīstības programmas 2014 – 2020 2.daļu “Stratēģiskā daļa un rīcības plāns”</t>
    </r>
  </si>
  <si>
    <t xml:space="preserve">P1.9. Kūrorta un tikšanās vietas tēla veidošana; R1.9.1.: Jūrmalas kā kūrorta un tikšanās vietas tēla veidošana; R1.9.2.: Informācijas pieejamības nodrošināšana; </t>
  </si>
  <si>
    <t>P3.8. Partnerattiecību veidošana ar citām pašvaldībām; R3.8.2.: Sadarbība ar Jūrmalas sadraudzības pilsētām</t>
  </si>
  <si>
    <t>Tāme Nr.01.1.1.</t>
  </si>
  <si>
    <t>01.110.</t>
  </si>
  <si>
    <t>LV57PARX0002484572002</t>
  </si>
  <si>
    <t>LV81PARX0002484577002</t>
  </si>
  <si>
    <t>Tāme Nr.06.1.1.</t>
  </si>
  <si>
    <t>Tāme Nr.06.1.6.</t>
  </si>
  <si>
    <t xml:space="preserve">Pašvaldības īpašumu pārvaldīšana </t>
  </si>
  <si>
    <t>Tāme Nr. 08.4.2.</t>
  </si>
  <si>
    <t>JŪRMALAS KULTŪRAS CENTRS</t>
  </si>
  <si>
    <t>90009229680</t>
  </si>
  <si>
    <t>Jomas ielā 35, Jūrmalā LV-2015</t>
  </si>
  <si>
    <t>08.620</t>
  </si>
  <si>
    <t>Pilsētas kultūras un atpūtas pasākumi</t>
  </si>
  <si>
    <t xml:space="preserve">                R1.7.1.</t>
  </si>
  <si>
    <t>LV59PARX0002484572063</t>
  </si>
  <si>
    <t>LV59PARX0002484573033</t>
  </si>
  <si>
    <t>LV20PARX0002484577033</t>
  </si>
  <si>
    <t>Atšifrējums pielikumā Nr.3</t>
  </si>
  <si>
    <t>Tāme Nr.09.6.1.</t>
  </si>
  <si>
    <t>90000051519</t>
  </si>
  <si>
    <t>Raiņa 118</t>
  </si>
  <si>
    <t>LV46PARX0002484572006</t>
  </si>
  <si>
    <t>LV12PARX0002484573006</t>
  </si>
  <si>
    <t>LV70PARX0002484577006</t>
  </si>
  <si>
    <t>LV07PARX0002484576006</t>
  </si>
  <si>
    <t>56 pedagogu prēmiju izmaksai, saskaņā ar novērtēšanas sistēmu un par 2015./16.mācību gada noslēguma eksāmenu izglītojamo ļoti labiem novērtējumiem mazākumtautību skolu valsts līmenī, kā arī pilsētas rīkotajās olimpiādēs izglītojamo iegūtajām godalgotajām vietām.  Vispārējās izglītības programma.</t>
  </si>
  <si>
    <t>Līdzekļu ekonomija par profesionālās darbības kvalitātes pakāpi pedagogu slimības laikā: ilgstoši slimoja 4 pedagogi laika periodā 29.08.- 4.12.2016. Kā arī līdzekļu ekonomija saskaņā ar 5.07.2016. MK noteikumiem Nr.445 27.punktu, pedagogiem piemaksa par 3., 4. un 5.kvalitātes pakāpi, kas tika ieplānota pēc 2015./16. mācību gada pedagogu tarifikācijas datiem. Vispārējās izglītības programma.</t>
  </si>
  <si>
    <t>Līdzekļu ekonomija sakarā ar ziemas sezonas siltajiem laika apstākļiem.</t>
  </si>
  <si>
    <t>Neplānotas vienas reizes atkritumu izvešanas apmaksai.</t>
  </si>
  <si>
    <t>Tāme Nr.09.16.1.</t>
  </si>
  <si>
    <t>Pirmsskolas izglītības iestāde "Lācītis"</t>
  </si>
  <si>
    <t>Tērbatas iela 42, Jūrmala, LV-2016</t>
  </si>
  <si>
    <t>LV37PARX0002484572071</t>
  </si>
  <si>
    <t>LV37PARX0002484573041</t>
  </si>
  <si>
    <t>LV14PARX0002484577044</t>
  </si>
  <si>
    <t>Gada beigās veidojas līdzekļu ekonomija, jo apkures  sezonas laikā( septembrī, oktobrī)  iestādē tika veikti 2 grupu remonti.Šajās telpās remonta laikā netika pieslēgta siltuma padeve.</t>
  </si>
  <si>
    <t>Ar septemba mēnesi iestādē ir atvērusies viena papildus izglītojamo grupa.Sakarā ar to ir palielinājies elektroenerģijas patēriņš..Nepieciešami papildus līdzekļi elektroenerģijas patēriņa rēķina apmaksai par novembra mēnesi.</t>
  </si>
  <si>
    <r>
      <rPr>
        <b/>
        <sz val="9"/>
        <rFont val="Times New Roman"/>
        <family val="1"/>
        <charset val="186"/>
      </rPr>
      <t>22.pielikums</t>
    </r>
    <r>
      <rPr>
        <sz val="9"/>
        <rFont val="Times New Roman"/>
        <family val="1"/>
        <charset val="186"/>
      </rPr>
      <t xml:space="preserve"> Jūrmalas pilsētas domes</t>
    </r>
  </si>
  <si>
    <t>2016.gada budžeta atšifrējums pa programmām un budžeta veidiem</t>
  </si>
  <si>
    <t>Struktūrvienība:</t>
  </si>
  <si>
    <t xml:space="preserve"> Īpašumu pārvaldes Pašvaldības īpašumu nodaļa</t>
  </si>
  <si>
    <t>Programma: Nekustamā īpašuma iegāde</t>
  </si>
  <si>
    <r>
      <t xml:space="preserve">Funkcionālās klasifikācijas kods: </t>
    </r>
    <r>
      <rPr>
        <b/>
        <sz val="9"/>
        <rFont val="Times New Roman"/>
        <family val="1"/>
        <charset val="186"/>
      </rPr>
      <t>04.900.</t>
    </r>
  </si>
  <si>
    <t>2016.gada budžets</t>
  </si>
  <si>
    <t>Stratēģisko dokumetu kods*</t>
  </si>
  <si>
    <t>KOPĀ:</t>
  </si>
  <si>
    <t>Īpašumu iegāde</t>
  </si>
  <si>
    <t>Valsts nodeva īpašumu pirkšanai</t>
  </si>
  <si>
    <t>Izdevumi juridiskās palīdzības sniedzējiem (notāra pakalpojumi)</t>
  </si>
  <si>
    <t>Programma: Pašvaldības īpašumu pārvaldīšana</t>
  </si>
  <si>
    <r>
      <t xml:space="preserve">Funkcionālās klasifikācijas kods: </t>
    </r>
    <r>
      <rPr>
        <b/>
        <sz val="9"/>
        <rFont val="Times New Roman"/>
        <family val="1"/>
        <charset val="186"/>
      </rPr>
      <t>06.600.</t>
    </r>
  </si>
  <si>
    <t>pamatbudžets</t>
  </si>
  <si>
    <t>maksas pakalpojumi</t>
  </si>
  <si>
    <t xml:space="preserve">KOPĀ </t>
  </si>
  <si>
    <t>Vērtēšana (tirgus vērtības noteikšana un aktualizācija; kapitālsabiedrību pamatkapitālā iekļaujamo nekustamo īpašumu vērtēšana; kapitālsabiedrību vērtēšana)</t>
  </si>
  <si>
    <t>R.3.1.1.</t>
  </si>
  <si>
    <t>Sludinājumi un reklāmas</t>
  </si>
  <si>
    <t>R.3.1.4.</t>
  </si>
  <si>
    <t>Informatīvie stendi (izgatavošana, uzstādīšana un demontāža)</t>
  </si>
  <si>
    <t>R.3.1.2.</t>
  </si>
  <si>
    <t>Nekustamā īpašuma nodokļa kompensācija</t>
  </si>
  <si>
    <t>Telpu noma</t>
  </si>
  <si>
    <t xml:space="preserve">Finansējums nepieciešams telpu nomas rēķina apmaksai </t>
  </si>
  <si>
    <t>Pašvaldības īpašumā esošo nekustamo īpašumu pārvaldīšana un komunālie pakalpojumi</t>
  </si>
  <si>
    <t>R.2.9.1.</t>
  </si>
  <si>
    <t>Parādu segšana par pašvaldības neizīrēto, nedzīvojamo telpu dzīvojamās mājās pārvaldīšanas izmaksas</t>
  </si>
  <si>
    <t>R.3.1.5.</t>
  </si>
  <si>
    <t>Īpašumu apdrošināšana</t>
  </si>
  <si>
    <t>R3.1.1.</t>
  </si>
  <si>
    <t>Ēku tehniskā stāvokļa novērtēšana</t>
  </si>
  <si>
    <t>Kadastrālā uzmērīšana zemesgabaliem, kas ierakstāmi zemesgrāmatā uz Jūrmalas pilsētas pašvaldības vārda, zemes ierīcības projekti</t>
  </si>
  <si>
    <t>Inventerizācijas lietu pasūtīšana Valsts zemes dienestam, dzīvokļu tehniskās pases objektiem, zemesgrāmatā uz Jūrmalas pilsētas pašvaldības vārda, datu aktualizācija VZD kadastā</t>
  </si>
  <si>
    <t>R3.1.2.</t>
  </si>
  <si>
    <t>Kancelejas nodevas, valsts nodevas (kadastra izziņas)</t>
  </si>
  <si>
    <t>Izdevumi juridiskās palīdzības sniedzējiem - notāra pakalpojumi, juridiskie slēdzieni zemes īpašumu lietās</t>
  </si>
  <si>
    <t>Dzīvojamo māju privatizācijas procesa organizatoriskais un tiesiskais nodrošinājums</t>
  </si>
  <si>
    <t>Stratēģisko dokumentu kodu skaidrojums:</t>
  </si>
  <si>
    <t>1.Attīstības programma 2014-2020.gadam (07.11.2013. lēmums Nr.625)</t>
  </si>
  <si>
    <t>Komunālā un transporta infrastruktūra</t>
  </si>
  <si>
    <t>R.2.6.2.</t>
  </si>
  <si>
    <t>Racionālas un videi draudzīgas energoapgādes sistēmas attīstība</t>
  </si>
  <si>
    <t>Pašvaldības dzīvojamā fonda attīstība</t>
  </si>
  <si>
    <t>Sociālā infrastruktūra</t>
  </si>
  <si>
    <t>Pilsētas attīstības plānošana</t>
  </si>
  <si>
    <t>Pašvaldības pārvaldes kapacitātes celšana</t>
  </si>
  <si>
    <t>Uzlabota komunikācija ar pilsētas iedzīvotājiem</t>
  </si>
  <si>
    <t>Pilsētas pārvaldības infrastruktūras pilnveide</t>
  </si>
  <si>
    <r>
      <rPr>
        <b/>
        <sz val="9"/>
        <rFont val="Times New Roman"/>
        <family val="1"/>
        <charset val="186"/>
      </rPr>
      <t>24.pielikums</t>
    </r>
    <r>
      <rPr>
        <sz val="9"/>
        <rFont val="Times New Roman"/>
        <family val="1"/>
        <charset val="186"/>
      </rPr>
      <t xml:space="preserve"> Jūrmalas pilsētas domes</t>
    </r>
  </si>
  <si>
    <t xml:space="preserve">JŪRMALAS  KULTŪRAS  CENTRS </t>
  </si>
  <si>
    <t>2016.gada budžeta projekta atšifrējums pa programmām un budžeta veidiem</t>
  </si>
  <si>
    <t xml:space="preserve">Valsts svētki, svinamās un atceres dienas         </t>
  </si>
  <si>
    <t>R.1.7.1., 4.punkts</t>
  </si>
  <si>
    <t>Ietaupīto līdzekļu pārcelšana Gadskārtu pasākumiem</t>
  </si>
  <si>
    <t>Gadskārtu svētki</t>
  </si>
  <si>
    <t>Ziemassvētku pasākumu izdevumu palielinājums saskaņā ar pasākumu organizēšanas iecerēm un plāniem</t>
  </si>
  <si>
    <t>Izdevumu palielinājums viesmākslinieku atlīdzībai</t>
  </si>
  <si>
    <t>Izdevumu palielinājums skatuves nomai, gaismas tehnikas nomai un skaņas apartūrai (skatuves izmēru palielinājums)</t>
  </si>
  <si>
    <t>Izdevumu samazinājums radošo pakalpojumu apmaksai</t>
  </si>
  <si>
    <t>Izdevumu palielinājums noformējuma materiāliem</t>
  </si>
  <si>
    <t>Lielākie  Jūrmalas pilsētas pasākumi</t>
  </si>
  <si>
    <t>3.2</t>
  </si>
  <si>
    <t xml:space="preserve">Starptautisks koru festivāls </t>
  </si>
  <si>
    <t>3.3</t>
  </si>
  <si>
    <t xml:space="preserve">Jomas ielas svētki </t>
  </si>
  <si>
    <t>3.4.</t>
  </si>
  <si>
    <t xml:space="preserve">Nakts ekspedīcija ģimenei "Nestāsti pasaciņas" </t>
  </si>
  <si>
    <t>3.6</t>
  </si>
  <si>
    <t>Rudens gadatirgus "Majoru bazārs"</t>
  </si>
  <si>
    <t>3.7</t>
  </si>
  <si>
    <t xml:space="preserve">Jaunā gada sagaidīšana  </t>
  </si>
  <si>
    <t>Kūrorta svētku gājiens</t>
  </si>
  <si>
    <t>Dažādi  pasākumi</t>
  </si>
  <si>
    <t>Pilsētas Ziemassvētku noformējuma konkursa noslēguma pasākums</t>
  </si>
  <si>
    <t>Zvaigznes dienas pasākums</t>
  </si>
  <si>
    <t>4.3.</t>
  </si>
  <si>
    <t>Jubilejas pasākums - koncerts jauktajam korim "Spārnos"</t>
  </si>
  <si>
    <t>4.4.</t>
  </si>
  <si>
    <t xml:space="preserve">"Jokosim tautiski" </t>
  </si>
  <si>
    <t>4.5.</t>
  </si>
  <si>
    <t xml:space="preserve">Mākslas dienas                                                 </t>
  </si>
  <si>
    <t>4.6.</t>
  </si>
  <si>
    <t xml:space="preserve">Muzeju nakts </t>
  </si>
  <si>
    <t>4.7.</t>
  </si>
  <si>
    <t xml:space="preserve">Neformālo pianistu festivāls </t>
  </si>
  <si>
    <t>4.8.</t>
  </si>
  <si>
    <t>Pasākumu cikls "Bērnu vasara"</t>
  </si>
  <si>
    <t>4.9.</t>
  </si>
  <si>
    <t>Vasaras koncerti Horna dārzā</t>
  </si>
  <si>
    <t>4.10.</t>
  </si>
  <si>
    <t>Starptautiskais senioru deju festivāls "Puķu Balle"</t>
  </si>
  <si>
    <t>4.11.</t>
  </si>
  <si>
    <t>Dzejas dienas Jūrmalā</t>
  </si>
  <si>
    <t>4.12.</t>
  </si>
  <si>
    <t>Mākslas projekts - konkurss izstāde - JĀ / Neatkarība</t>
  </si>
  <si>
    <t>4.13.</t>
  </si>
  <si>
    <t>Ceļojošais mini festivāls "Pirkstiņi pa taustiņiem"</t>
  </si>
  <si>
    <t>4.14.</t>
  </si>
  <si>
    <t>Pasākumu cikli</t>
  </si>
  <si>
    <t>4.15.</t>
  </si>
  <si>
    <t>Mākslas izstādes</t>
  </si>
  <si>
    <t>4.16.</t>
  </si>
  <si>
    <t xml:space="preserve">Kinoseansi </t>
  </si>
  <si>
    <t>Izdevumu samazinājums kinolektoriju organizēšanai</t>
  </si>
  <si>
    <t>4.17.</t>
  </si>
  <si>
    <t>Atklāšanas un tematiskie pasākumi</t>
  </si>
  <si>
    <t>4.18.</t>
  </si>
  <si>
    <t>Ķemeru svētki</t>
  </si>
  <si>
    <t>4.19.</t>
  </si>
  <si>
    <t xml:space="preserve">Jauniešu teātra studija ''Eksperiments'' </t>
  </si>
  <si>
    <t>4.20.</t>
  </si>
  <si>
    <t>Jubilejas lieluzvedums Vidējās paaudzes deju kolektīvam "Vēlreiz"</t>
  </si>
  <si>
    <t>4.21.</t>
  </si>
  <si>
    <t>Koncertuzvedums bērnu tautisko deju kolektīvam "Vizmiņa"</t>
  </si>
  <si>
    <t>4.-22.</t>
  </si>
  <si>
    <t>Starptautiskais tautas deju festivāls ''Sudmaliņas''</t>
  </si>
  <si>
    <t>4.-23.</t>
  </si>
  <si>
    <t>Atpūtas pasākumi - džeza klubs, balles</t>
  </si>
  <si>
    <t>4.-24.</t>
  </si>
  <si>
    <t>18.novembra svētki Ķemeros</t>
  </si>
  <si>
    <t>4.-25.</t>
  </si>
  <si>
    <t>Ziemassvētku pasākumi Jūrmalas senioriem</t>
  </si>
  <si>
    <t>Jūrmalas radošo kolektīvu darbības finansējums</t>
  </si>
  <si>
    <t>Pilsētas radošo kolektīvu piedalīšanās republikas mēroga pasākumos</t>
  </si>
  <si>
    <t xml:space="preserve">Pilsētas radošo  kolektīvu un kultūras darbinieku pilsētas mēroga konkursi un skates </t>
  </si>
  <si>
    <t>Pilsētas radošo  kolektīvu piedalīšanās ārzemēs rīkotajos koncertos, festivālos, konkursos un izstādēs</t>
  </si>
  <si>
    <t>Jūrmalas teātra iestudējumi</t>
  </si>
  <si>
    <t>Izdevumu palielinājums atlīdzībai Ziemassvētku izrādes iestudējumam sakarā ar nepieciešamību veidot specifiskus  scenogrāfijas elementus</t>
  </si>
  <si>
    <t>Citas kultūras pasākumu izmaksas</t>
  </si>
  <si>
    <t>Tipogrāfijas pakalpojumi (biļetes, afišas un tml.)</t>
  </si>
  <si>
    <t>AKKA/LAA un LaIPA</t>
  </si>
  <si>
    <t>Publisko pasākumu apdrošināšana</t>
  </si>
  <si>
    <t>Elektroenerģijas apmaksa un pieslēguma nodrošinājumskultūras pasākumos dabā</t>
  </si>
  <si>
    <t>6.5.</t>
  </si>
  <si>
    <t>Reklāmas izdevumi kultūras pasākumiem</t>
  </si>
  <si>
    <t>Izdevumu samazinājums - 2016.gadā vairs nav paredzēts izmantot tulkošanas pakalpokjumus</t>
  </si>
  <si>
    <t>Izdevumu samazinājums reklāmas pakalpojumiem</t>
  </si>
  <si>
    <t>Izdevumu palielinājums reklāmas baneru izvietošanai pilsētā</t>
  </si>
  <si>
    <t>Jauni, atjaunojami un vienreizēji projekti</t>
  </si>
  <si>
    <t>Romu kultūras festivāls</t>
  </si>
  <si>
    <t>Stratēģiskā dokumenta nosaukums,</t>
  </si>
  <si>
    <t>Jūrmalas pilsētas attīstības programma 2014-2020.gadam</t>
  </si>
  <si>
    <t>Stratēģiskā dokumenta kodu atšifrējums.</t>
  </si>
  <si>
    <t>rīcības virziens R1.7.1.: Kultūras tūrisma piedāvājuma attīstība (4.uzdevums ''Kultūras dzīves piedāvājuma attīstība ziemā''.</t>
  </si>
  <si>
    <t>2.uzdevums ''Jaunu kultūras tūrisma produktu attīstība'')</t>
  </si>
  <si>
    <t>Tāme Nr.01.2.3.</t>
  </si>
  <si>
    <t>Pašvaldības pamatbudžets</t>
  </si>
  <si>
    <t>Jūrmala, Jomas iela 1/5</t>
  </si>
  <si>
    <t>01.890</t>
  </si>
  <si>
    <t>Izdevumi neparedzētiem gadījumiem</t>
  </si>
  <si>
    <t>Pašvaldības budžeta kopējie izdevumu konti</t>
  </si>
  <si>
    <t>Finansējums nepieciešams Avārijas darbu veikšanai.</t>
  </si>
  <si>
    <t>Tāme Nr. 09.20.1.</t>
  </si>
  <si>
    <t>Pirmsskolas izglītības iestāde "Podziņa"</t>
  </si>
  <si>
    <t>90009563202</t>
  </si>
  <si>
    <t>Lībiešu iela 21, Jūrmala, LV-2016</t>
  </si>
  <si>
    <t>LV31PARX0002484572082</t>
  </si>
  <si>
    <t>LV15PARX0002484573049</t>
  </si>
  <si>
    <t>LV89PARX0002484577052</t>
  </si>
  <si>
    <t>Līdzekļi nepieciešami tehnisko darbinieku prēmiju apmaksai.</t>
  </si>
  <si>
    <t>Līdzekļi nepieciešami tehnisko darbinieku darba algas fondam</t>
  </si>
  <si>
    <t>Līdzekļi nepieciešami tehnisko darbinieku nakts darba apmaksai.</t>
  </si>
  <si>
    <t>Līdzekļi nepieciešami pamatbudžetā tehnisko darbinieku prēmiju apmaksai, mērķdotācijā pedagoģisko darbinieku prēmiju apmaksai.</t>
  </si>
  <si>
    <t>Līdzekļi nepieciešami pedagogu kvalitātes piemaksām.</t>
  </si>
  <si>
    <t>PB, Līdzekļi nepieciešami tehnisko darbinieku prēmiju apmaksai, VB nodokļa nomaksai avansā par 2017.gadu</t>
  </si>
  <si>
    <t>Nepieciešami līdzekļi elektroenerģijas apmaksai.</t>
  </si>
  <si>
    <r>
      <rPr>
        <b/>
        <sz val="9"/>
        <rFont val="Times New Roman"/>
        <family val="1"/>
        <charset val="186"/>
      </rPr>
      <t xml:space="preserve"> 9.pielikums</t>
    </r>
    <r>
      <rPr>
        <sz val="9"/>
        <rFont val="Times New Roman"/>
        <family val="1"/>
        <charset val="186"/>
      </rPr>
      <t xml:space="preserve"> Jūrmalas pilsētas domes</t>
    </r>
  </si>
  <si>
    <t>18.19.</t>
  </si>
  <si>
    <t>IPA Winter Cup Jūrmala 2017</t>
  </si>
  <si>
    <t>Finansējums nepieciešams pasākuma "IPA Winter Cup Jūrmala 2017" nodrošināšanai</t>
  </si>
  <si>
    <t>Tāme Nr.09.2.1.</t>
  </si>
  <si>
    <t>Jūrmalas Alternatīvā skola</t>
  </si>
  <si>
    <t>90000051665</t>
  </si>
  <si>
    <t>Viestura iela 6, Jūrmala</t>
  </si>
  <si>
    <t>LV94PARX0002484572015</t>
  </si>
  <si>
    <t>LV60PARX0002484573015</t>
  </si>
  <si>
    <t>LV21PARX0002484577015</t>
  </si>
  <si>
    <t>paklājum maiņa</t>
  </si>
  <si>
    <t>ietaupījums no e-klases</t>
  </si>
  <si>
    <t>Rīcibas virziens"R3.2.1. Pirmsskolas, pamata un vispārējās izglītības pakalpojumu attīstība"</t>
  </si>
  <si>
    <t>Tāme Nr.09.5.1.</t>
  </si>
  <si>
    <t>90000051487</t>
  </si>
  <si>
    <t>Raiņa iela 55, Jūrmala, LV-2011</t>
  </si>
  <si>
    <t>LV73PARX0002484572005</t>
  </si>
  <si>
    <t>LV39PARX0002484573005</t>
  </si>
  <si>
    <t>LV97PARX0002484577005</t>
  </si>
  <si>
    <t>Sakarā ar to, ka slimības pabalstiem planojām lielāku summu nekā reāli izmaksājām, kodā 1221 izveidojās ekonomija, bet kodā 1119 trūkst līdzekļu</t>
  </si>
  <si>
    <t>Plānots izmaksāt prēmijas pēc novērtēšanas rezultātiem. Līdzekļi prēmijām novirzīti no kodu 1149 un 1210 ekonomijas</t>
  </si>
  <si>
    <t>Tarifikācijā uz 01.01.2016. apstiprināta piemaksa ģimnāzijā strādājosiem pedagogiem 2087.89 EUR apmērā. Pedagogu atvaļinājuma laikā piemaksa netika maksāta. Atbilstoši grāmatvedības programmas OZOLS datiem par periodu jūnijs - augusts tika izmaksāts 2611.71EUR. Ekonomijas aprēķins: 2087.89EUR*3-2611.71EUR=3651.96EUR</t>
  </si>
  <si>
    <r>
      <rPr>
        <b/>
        <sz val="9"/>
        <rFont val="Times New Roman"/>
        <family val="1"/>
        <charset val="186"/>
      </rPr>
      <t>PB</t>
    </r>
    <r>
      <rPr>
        <sz val="9"/>
        <rFont val="Times New Roman"/>
        <family val="1"/>
        <charset val="186"/>
      </rPr>
      <t xml:space="preserve">: koda 1221 ekonomija plānota VSAOI samaksai par decembrī paredzētajām prēmijām no pašvaldības līdzekļiem.
</t>
    </r>
    <r>
      <rPr>
        <b/>
        <sz val="9"/>
        <rFont val="Times New Roman"/>
        <family val="1"/>
        <charset val="186"/>
      </rPr>
      <t>MD</t>
    </r>
    <r>
      <rPr>
        <sz val="9"/>
        <rFont val="Times New Roman"/>
        <family val="1"/>
        <charset val="186"/>
      </rPr>
      <t>: Ekonomija izveidojās sakarā ar to, ka pensionāriem ir zemāka sociālo iemaksu likme, nekā pārējiem strādājošiem pedagogiem. Koda ekonomiju plānots novirzīt uz kodu 1148.</t>
    </r>
  </si>
  <si>
    <r>
      <rPr>
        <b/>
        <sz val="9"/>
        <rFont val="Times New Roman"/>
        <family val="1"/>
        <charset val="186"/>
      </rPr>
      <t>PB</t>
    </r>
    <r>
      <rPr>
        <sz val="9"/>
        <rFont val="Times New Roman"/>
        <family val="1"/>
        <charset val="186"/>
      </rPr>
      <t xml:space="preserve">: Sakarā ar to, ka pedagogiem salīdzinot ar 2015.gadu samazinājas algas,  samazinājas arī atvaļinājuma pabalsta apmērs un izveidojās ekonomija. Ekonomiju plānots novīrzīt uz kodu 1210 VSAOI samaksai decembrī paredzētajām prēmijām.
</t>
    </r>
    <r>
      <rPr>
        <b/>
        <sz val="9"/>
        <rFont val="Times New Roman"/>
        <family val="1"/>
        <charset val="186"/>
      </rPr>
      <t>MD</t>
    </r>
    <r>
      <rPr>
        <sz val="9"/>
        <rFont val="Times New Roman"/>
        <family val="1"/>
        <charset val="186"/>
      </rPr>
      <t>: Sakarā ar to, ka slimības pabalstiem planojām lielāku summu nekā reāli izmaksājām, kodā 1221 izveidojās ekonomija, bet kodā 1119 trūkst līdzekļu</t>
    </r>
  </si>
  <si>
    <t>Tāme Nr.09.9.1.</t>
  </si>
  <si>
    <t>Atvaļinājumu un slimības naudu vidējās izpeļņas palielinājums no EKK 1149 MD pamata un vispārējā izgl. Programmā EUR +4000. Soc.nodokļa ekonomija MD pamata un vispārējā izgl. Programmā EUR +600.</t>
  </si>
  <si>
    <t>Līdzekļi nepieciešami prēmiju izmaksi MD pamata un vispārējā izgl.programmā EUR +3600</t>
  </si>
  <si>
    <t>Atvaļinājumu un slim.naudu vidējā izpeļņa izmaksāta no 1119 koda MD Pamata un vispārējā izgl. Programmā EUR -4000. Līdzekļu ekonomija MD Pamata un vispārējā izgl.programmā EUR -3600</t>
  </si>
  <si>
    <t>Nodokļa ekonomija izveidojas no zemākas nodokļa likmes pensionāriem MD Pamata un vispārējā izgl.programmā EUR -600</t>
  </si>
  <si>
    <t>Tāme Nr.09.11.1.</t>
  </si>
  <si>
    <t>90000051595</t>
  </si>
  <si>
    <t>Rūpniecības iela 13, Jūrmala</t>
  </si>
  <si>
    <t>R 3.2.1. ; R.3.2.4.</t>
  </si>
  <si>
    <t>LV89PARX0002484572008</t>
  </si>
  <si>
    <t>LV55PARX0002484573008</t>
  </si>
  <si>
    <t>LV16PARX0002484577008</t>
  </si>
  <si>
    <t>Pamata un vispar.izgl.5380 EUR, bērnu no 5 gadu vecuma apmācība 120 EUR</t>
  </si>
  <si>
    <t>Ekonomija, kas radusies stājoties spēkā MK noteikumiem Nr.445 un Nr.447, jo kvalitātes piemaksa tika aprēķināta no visu pedagogu stundu skaita</t>
  </si>
  <si>
    <t>Mērķdotācijā lūdzu veikt grozījumus pa izglītības programmām: pamata un vispār.izgl + 50 EUR, interešu izgl.+20 EUR, bērnu no 5 gadu vecuma apmācība -70 EUR</t>
  </si>
  <si>
    <t>Maksa par obligātajā veselības pārbaudēm skolotājiem I.Miglai un J.Pilpei, kuriem nav ERGO veselības apdrošināšana</t>
  </si>
  <si>
    <t>Ekonomija arhīva pakalpojumiem</t>
  </si>
  <si>
    <t>Tāme Nr.09.13.1.</t>
  </si>
  <si>
    <t>Pirmsskolas izglītības iestāde "Austras koks"</t>
  </si>
  <si>
    <t>90009249140</t>
  </si>
  <si>
    <t>Tukuma iela 9, Jūrmala, LV-2012</t>
  </si>
  <si>
    <t>LV91PARX0002484572069</t>
  </si>
  <si>
    <t>LV91PARX0002484573039</t>
  </si>
  <si>
    <t>LV68PARX0002484577042</t>
  </si>
  <si>
    <t>Nepieciešami līdzekļi pedagogu sociālā nodokļa apmaksai.</t>
  </si>
  <si>
    <t>Tāme Nr.09.14.1.</t>
  </si>
  <si>
    <t>Pirmsskolas izglītības iestāde "Bitīte"</t>
  </si>
  <si>
    <t>90009249210</t>
  </si>
  <si>
    <t>Lēdurgas iela 20a, Jūrmala, LV-2010</t>
  </si>
  <si>
    <t>LV48PARX0002484572067</t>
  </si>
  <si>
    <t>LV48PARX0002484573037</t>
  </si>
  <si>
    <t>LV25PARX0002484577040</t>
  </si>
  <si>
    <t>Nepieciešami līdzekļi pedagogu darba algas izmaksām.</t>
  </si>
  <si>
    <t>Tāme Nr.09.15.1.</t>
  </si>
  <si>
    <t>Pirmsskolas izglītības iestāde "Katrīna"</t>
  </si>
  <si>
    <t>90009249155</t>
  </si>
  <si>
    <t>Salaspils iela 4, Jūrmala, LV-2010</t>
  </si>
  <si>
    <t>LV10PARX0002484572072</t>
  </si>
  <si>
    <t>LV10PARX0002484573042</t>
  </si>
  <si>
    <t>LV84PARX0002484577045</t>
  </si>
  <si>
    <t>Nepieciešams elektroenerģijas rēķinu apmaksai</t>
  </si>
  <si>
    <t>Nepieciešami līdzekļi mobilā telefona rēķinu apmaksai.</t>
  </si>
  <si>
    <t>Līdzekļi nepieciešami energoresursu rēķina apmaksai.</t>
  </si>
  <si>
    <t>Tāme Nr.09.18.1.</t>
  </si>
  <si>
    <t>Pirmsskolas izglītības iestāde "Mārīte"</t>
  </si>
  <si>
    <t>Engures iela 4, Jūrmala, LV-2016</t>
  </si>
  <si>
    <t>LV64PARX0002484572070</t>
  </si>
  <si>
    <t>LV64PARX0002484573040</t>
  </si>
  <si>
    <t>LV41PARX0002484577043</t>
  </si>
  <si>
    <t>Nepieciešami līdzekļi pedagogukvalitātes izmaksām.</t>
  </si>
  <si>
    <t>Tāme Nr.09.19.1.</t>
  </si>
  <si>
    <t>Pirmsskolas izglītības iestāde "Namiņš"</t>
  </si>
  <si>
    <t>90009249136</t>
  </si>
  <si>
    <t>Poruka prospekts 14, Jūrmala, LV-2008</t>
  </si>
  <si>
    <t>.</t>
  </si>
  <si>
    <t>LV80PARX0002484572073</t>
  </si>
  <si>
    <t>LV80PARX0002484573043</t>
  </si>
  <si>
    <t>LV57PARX0002484577046</t>
  </si>
  <si>
    <t>līdzekļu ekonomija</t>
  </si>
  <si>
    <t>ekonomija</t>
  </si>
  <si>
    <t>Jūrmalas pilsētas attīstības programma 2014-2020 2.daļa Rīcības virziens "R3.2.1. Pirmsskolas, pamata un</t>
  </si>
  <si>
    <t xml:space="preserve">vipārējās izglītības pakalpojumu attīstība", </t>
  </si>
  <si>
    <t xml:space="preserve">Jūrmalas pilsētas izglītības attīstības koncepsija 2015.-2020.gadam Rīcības virziens "R3.2.2. Pirmsskolas izglītības </t>
  </si>
  <si>
    <t>pakalpojumi"</t>
  </si>
  <si>
    <t>Veselības vaicināšanas plans Jūrmalas pilsētai 2013.-2020.gadam, kods 2.3.1. Veselīga uztura veicināšana.</t>
  </si>
  <si>
    <t>Tāme Nr.09.21.1.</t>
  </si>
  <si>
    <t>Pirmsskolas izglītības iestāde "Saulīte"</t>
  </si>
  <si>
    <t>90009249206</t>
  </si>
  <si>
    <t>Rēzeknes pulka iela 28, Jūrmala, LV-2010</t>
  </si>
  <si>
    <t>LV21PARX0002484572068</t>
  </si>
  <si>
    <t>LV21PARX0002484573038</t>
  </si>
  <si>
    <t>LV95PARX0002484577041</t>
  </si>
  <si>
    <t>Tāme Nr.09.22.1.</t>
  </si>
  <si>
    <t>Pirmsskolas izglītības iestāde "Zvaniņš"</t>
  </si>
  <si>
    <t>90009251357</t>
  </si>
  <si>
    <t>Lībiešu iela 19, Jūrmala, LV-2015</t>
  </si>
  <si>
    <t>LV53PARX0002484572074</t>
  </si>
  <si>
    <t>LV53PARX0002484573044</t>
  </si>
  <si>
    <t>LV30PARX0002484577047</t>
  </si>
  <si>
    <t>LV64PARX0002484576047</t>
  </si>
  <si>
    <t>Tāme Nr.09.25.1.</t>
  </si>
  <si>
    <t>Sākumskola "Ābelīte"</t>
  </si>
  <si>
    <t>90009251361</t>
  </si>
  <si>
    <t>Plūdu iela 4a, Jūrmala, LV-2015</t>
  </si>
  <si>
    <t>Iestāžu uzturēšana un vispārējās izglītības nodrošināšana</t>
  </si>
  <si>
    <t>R3.2.3.</t>
  </si>
  <si>
    <t>LV69PARX0002484572077</t>
  </si>
  <si>
    <t>LV69PARX0002484573047</t>
  </si>
  <si>
    <t>LV46PARX0002484577050</t>
  </si>
  <si>
    <t>Līdzekļu ekonomija.</t>
  </si>
  <si>
    <t>Līdzekļi novirzāmi sociālā nodokļa apmaksai.</t>
  </si>
  <si>
    <t>Tāme Nr.09.26.1.</t>
  </si>
  <si>
    <t>Jūrmalas sākumskola "TAURENĪTIS"</t>
  </si>
  <si>
    <t>90000051699</t>
  </si>
  <si>
    <t>Kļavu iela 29/31, Jūrmala, LV-2015</t>
  </si>
  <si>
    <t>LV67PARX0002484572016</t>
  </si>
  <si>
    <t>LV33PARX0002484573016</t>
  </si>
  <si>
    <t>LV91PARX0002484577016</t>
  </si>
  <si>
    <t>Naudas līdzekļi ir nepieciešami interešu izglītības pedagogu darbnespējas lapu apmakais</t>
  </si>
  <si>
    <t>Tāme Nr.09.31.1.</t>
  </si>
  <si>
    <t>90000783949</t>
  </si>
  <si>
    <t>Skautu iela 2, Jūrmala, LV-2008</t>
  </si>
  <si>
    <t>R 3.2.5.</t>
  </si>
  <si>
    <t>LV29PARX0002484572021</t>
  </si>
  <si>
    <t>LV92PARX0002484573021</t>
  </si>
  <si>
    <t>LV53PARX0002484577021</t>
  </si>
  <si>
    <t>LV87PARX0002484576021</t>
  </si>
  <si>
    <t>Ekonomija radusies vispārējās izglītības pedagogu algu fondā, jo laikā no 01.01.2016. līdz 22.02.2016. skolā bija vakanta logopēda vieta ar algu 470 EUR mēnesī (EUR 828)</t>
  </si>
  <si>
    <t xml:space="preserve">Papildu līdzekļi nepieciešami, lai saskaņā ar ikgadējās novērtēšanas rezultātiem vispārējās izglītības pedagogiem izmaksātu prēmijas attiecīgi 75 % un 50 % apmērā no mēnešalgas </t>
  </si>
  <si>
    <t>Ekonomija radusies, jo vispārējās izglītības pedagogiem tarificētās piemaksas EUR 512 izmaksājot atvaļinājuma naudu par diviem mēnešiem tiek izmaksātas nevis no EKK 1149, bet no EKK 1119.</t>
  </si>
  <si>
    <t>Jūrmalas pilsētas Izglītības attīstības koncepcija 2015.-2020.gadam, R3.2.5. Iekļaujošās un alternatīvās izglības pakalpojumi</t>
  </si>
  <si>
    <t>Tāme Nr.09.3.1.</t>
  </si>
  <si>
    <t>90000051561</t>
  </si>
  <si>
    <t>Lielupes-21</t>
  </si>
  <si>
    <t>LV19PARX0002484572007</t>
  </si>
  <si>
    <t>LV82PARX0002484573007</t>
  </si>
  <si>
    <t>LV43PARX0002484577007</t>
  </si>
  <si>
    <t>LV77PARX0002484576007</t>
  </si>
  <si>
    <t xml:space="preserve"> </t>
  </si>
  <si>
    <t>Tāme Nr. 09.8.1.</t>
  </si>
  <si>
    <t xml:space="preserve"> JŪRMALAS PILSĒTAS LIELUPES PAMATSKOLA</t>
  </si>
  <si>
    <t>90000051576</t>
  </si>
  <si>
    <t>Aizputes iela 1A, Jūrmala</t>
  </si>
  <si>
    <t>M3: Sociālā infrastruktūra, P3.2. Kvalitatīva izglītība, R3.2.1. Pirmsskolas un vispārējās izglītības pakalpojumu attīstība</t>
  </si>
  <si>
    <t>LV51PARX0002484572013</t>
  </si>
  <si>
    <t>LV17PARX0002484573013</t>
  </si>
  <si>
    <t>LV75PARX0002484577013</t>
  </si>
  <si>
    <t>Tāme Nr.  09.23.1.</t>
  </si>
  <si>
    <t>PUMPURU VIDUSSKOLA</t>
  </si>
  <si>
    <t>90000051542</t>
  </si>
  <si>
    <t>Kronvalda iela 8, Jūrmala, LV2008</t>
  </si>
  <si>
    <t xml:space="preserve">R.3.2.1. "Pirmsskolas un vispārējās izglītības pakalpojumu attīstība" </t>
  </si>
  <si>
    <t>LV35PARX0002484572010</t>
  </si>
  <si>
    <t>LV98PARX0002484573010</t>
  </si>
  <si>
    <t>LV27TREL981304500400B</t>
  </si>
  <si>
    <t>LV59PARX0002484572010</t>
  </si>
  <si>
    <t>pirmssk.izgl.programmā (pluss) +261 EUR, jo paliek pāri slimības naudas;  interešu izgl.programmā (mīnuss) -21 EUR slimības naudu apmaksai</t>
  </si>
  <si>
    <t>No EKK 1149 novirzīts prēmijām visp.vid.izgl.progr.-11844 eur, interešu izgl.progr.-462 eur, pirmsskolas izgl.progr.872 eur.</t>
  </si>
  <si>
    <t xml:space="preserve"> EKK 1149 ekonomija novirzīta prēmijām visp.vid.izgl.progr.-11844 eur, interešu izgl.progr.-462 eur, pirmsskolas izgl.progr.872 eur.</t>
  </si>
  <si>
    <t>pirmssk.izgl.programmā ( mīnuss) -261 EUR; interešu izgl.programmā (pluss) +21 EUR slimības naudu apmaksai</t>
  </si>
  <si>
    <t xml:space="preserve">Jūrmalas pilsētas izglītības attīstības koncepcija 2015.-2020.gadam. </t>
  </si>
  <si>
    <t>R.3.2.1."Pirmsskolas un vispārējās izglītības pakalpojumu attīstība"</t>
  </si>
  <si>
    <t>Tāme Nr.09.28.1.</t>
  </si>
  <si>
    <t>Jūrmalas pilsētas internātpamatskola</t>
  </si>
  <si>
    <t>90009251342</t>
  </si>
  <si>
    <t>Dzirnavu iela 50, Jūrmala, LV 2011</t>
  </si>
  <si>
    <t>LV42PARX0002484572078</t>
  </si>
  <si>
    <t>LV42PARX0002484573048</t>
  </si>
  <si>
    <t>LV14PARX0002484572097</t>
  </si>
  <si>
    <t>LV19PARX0002484577051</t>
  </si>
  <si>
    <t>Mazāki izdevumi par ūdeni un kanalizāciju</t>
  </si>
  <si>
    <t>Mazāki izdevumi par elektrību</t>
  </si>
  <si>
    <t>Lielāki izdevumi par atkritumu izvešanu līdz 2016.gada beigām</t>
  </si>
  <si>
    <t>Līdzekļu ekonomija sakarā ar lētāku degvielu un mazāku braucienu skaitu</t>
  </si>
  <si>
    <t>Lielāki izdevumi par ēdināšanu</t>
  </si>
  <si>
    <t xml:space="preserve">Jūrmalas pilsētas attīstības programmas 2014.-2020.gadam 2.daļas "Rīcības plāns" g) nodaļa "Darbības un pasākumi" </t>
  </si>
  <si>
    <t xml:space="preserve">P3.1. Uz nākotni orientēta pilsētas pārvaldība, kas atbalsta pilsonisko iniciatīvu  </t>
  </si>
  <si>
    <t>R3.1.2. Pašvaldības pārvaldes kapacitātes celšana</t>
  </si>
  <si>
    <t>Tāme Nr.04.1.2.</t>
  </si>
  <si>
    <t>Pamatojoties uz JPD nolikumu Nr.21 no 15.12.2011</t>
  </si>
  <si>
    <t>Tāme Nr.08.7.3.</t>
  </si>
  <si>
    <t>Sabiedrība ar ierobežotu atbildību "Dzintaru koncertzāle"</t>
  </si>
  <si>
    <t>40003378932</t>
  </si>
  <si>
    <t>Turaidas iela 1, Jūrmala, LV 2015</t>
  </si>
  <si>
    <t>Iepriekšējo gadu pamatkapitāla palielināšana</t>
  </si>
  <si>
    <t xml:space="preserve"> R1.7.1.</t>
  </si>
  <si>
    <t>LV36PARX0002484572089</t>
  </si>
  <si>
    <t>Jūrmalas pilsētas attīstības programmas 2014.-2020.gadam prioritāte:P1.7 Kultūras tūrisma attīstība, Rīcības virziens R1.7.1. Kultūras tūrisma piedāvājuma attīstība</t>
  </si>
  <si>
    <t>LV64PARX0002484572167</t>
  </si>
  <si>
    <t>R 2.5.3.</t>
  </si>
  <si>
    <t>Notekūdeņu apsaimniekošana (meliorācijas sistēmas apsaimniekošana)</t>
  </si>
  <si>
    <t>05.200</t>
  </si>
  <si>
    <t>Promenādes iela 1a, Jūrmala</t>
  </si>
  <si>
    <t>40003275333</t>
  </si>
  <si>
    <t>Sabiedrība ar ierobežotu atbildību "Jūrmalas ūdens"</t>
  </si>
  <si>
    <t>Tāme Nr.05.2.1.</t>
  </si>
  <si>
    <t>Notekūdeņu apsaimniekošana (lietus ūdens kanalizācijas apsaimniekošana)</t>
  </si>
  <si>
    <t>Tāme Nr.05.2.2.</t>
  </si>
  <si>
    <t>2.pielikums Jūrmalas pilsētas domes</t>
  </si>
  <si>
    <r>
      <t>Jūrmalas pilsētas pašvaldības budžeta izdevumi 2016.gadam (</t>
    </r>
    <r>
      <rPr>
        <b/>
        <i/>
        <sz val="12"/>
        <rFont val="Times New Roman"/>
        <family val="1"/>
        <charset val="186"/>
      </rPr>
      <t>euro</t>
    </r>
    <r>
      <rPr>
        <b/>
        <sz val="12"/>
        <rFont val="Times New Roman"/>
        <family val="1"/>
        <charset val="186"/>
      </rPr>
      <t>)</t>
    </r>
  </si>
  <si>
    <t>Budžeta finansētas institūcijas reģistrācijas  Nr.</t>
  </si>
  <si>
    <t>Nozares pēc valdības funkciju klasifikācijas / Budžeta finansēta institūcija</t>
  </si>
  <si>
    <t>Asignējumu apjoms 2016.gadam</t>
  </si>
  <si>
    <t xml:space="preserve">                                                                                        Tāmes Nr.</t>
  </si>
  <si>
    <t>Piezīmes</t>
  </si>
  <si>
    <t>Kopā, apstiprināts</t>
  </si>
  <si>
    <t>Pamatbudžets, apstiprināts</t>
  </si>
  <si>
    <t>Pamatbudžets, izmaiņas kopā</t>
  </si>
  <si>
    <t>SN/Rīkojuma Nr.</t>
  </si>
  <si>
    <t>Valsts budžeta transferti, apstiprināti</t>
  </si>
  <si>
    <t>Valsts budžeta transferti</t>
  </si>
  <si>
    <t>Valsts budžeta transferti, izmaiņas kopā</t>
  </si>
  <si>
    <t>Maksas pakalpojumi, apstiprināti</t>
  </si>
  <si>
    <t>Maksas pakalpojumi, izmaiņas kopā</t>
  </si>
  <si>
    <t>Aizņēmumu atmaksa F40020020</t>
  </si>
  <si>
    <t>Ziedojumi, apstiprināti</t>
  </si>
  <si>
    <t>Ziedojumi</t>
  </si>
  <si>
    <t>Ziedojumi, izmaiņas kopā</t>
  </si>
  <si>
    <t>Konsolidējamie izdevumi, apstiprināti</t>
  </si>
  <si>
    <t>Konsolidējamie izdevumi</t>
  </si>
  <si>
    <t>Konsolidējamie izdevumi, izmaiņas kopā</t>
  </si>
  <si>
    <t>SN 21.01.2016. Nr.2</t>
  </si>
  <si>
    <t>R 09.02.2016. Nr.1.1-14/43, R 16.02.2016. Nr.1.1-14/54, R 29.02.2016. Nr.1.1-14/69</t>
  </si>
  <si>
    <t>SN 10.03.2016. Nr.6</t>
  </si>
  <si>
    <t>R 18.04.2016. Nr.1.1-14/117, R 26.04.2016. Nr.1.1-14/127</t>
  </si>
  <si>
    <t>SN 19.05.2016. Nr.13</t>
  </si>
  <si>
    <t>R 10.06.2016. Nr.1.1-14/182, R 17.06.2016. Nr.1.1-14/187, R 08.07.2016. Nr.1.1-14/204</t>
  </si>
  <si>
    <t>SN 14.07.2016. Nr.16</t>
  </si>
  <si>
    <t>R 28.07.2016. Nr.1.1-14/221</t>
  </si>
  <si>
    <t>SN 18.08.2016. Nr.20</t>
  </si>
  <si>
    <t>SN 25.08.2016. Nr.28</t>
  </si>
  <si>
    <t>R 07.09.2016. Nr.1.1-14/248</t>
  </si>
  <si>
    <t>SN 15.09.2016. Nr.30</t>
  </si>
  <si>
    <t>R 19.09.2016. Nr.1.1-14/261, R 23.09.2016. Nr.1.1-14/265, R 30.09.2016. Nr.1.1-14/272</t>
  </si>
  <si>
    <t>SN 20.10.2016. Nr.34</t>
  </si>
  <si>
    <t>R 27.10.2016. Nr.1.1-14/315, R 01.11.2016. Nr.1.1-14/321, R 08.11.2016. Nr.1.1-14/327, R 22.11.2016. Nr.1.1-14/342</t>
  </si>
  <si>
    <t>SN 25.11.2016. Nr.44</t>
  </si>
  <si>
    <t>R 09.12.2016. 1.1-14/378, R 09.12.2016. 1.1-14/388, R 16.12.2016.  1.1-14/397, R 27.12.2016.  1.1-14/410</t>
  </si>
  <si>
    <t>Nākamie</t>
  </si>
  <si>
    <t>R 10.06.2016. Nr.1.1-14/182, R 17.06.2016. Nr.1.1-14/187</t>
  </si>
  <si>
    <t>nākamie SN</t>
  </si>
  <si>
    <t>16</t>
  </si>
  <si>
    <t>01</t>
  </si>
  <si>
    <t>Vispārējie valdības dienesti</t>
  </si>
  <si>
    <t>01.1.1.</t>
  </si>
  <si>
    <t>Centralizēti pasākumi</t>
  </si>
  <si>
    <t>01.1.2.,
01.1.3.</t>
  </si>
  <si>
    <t>01.1.4.</t>
  </si>
  <si>
    <t>4.pielikums</t>
  </si>
  <si>
    <t>Norēķini par izglītības pakalpojumiem, ko sniedz citas pašvaldības</t>
  </si>
  <si>
    <t>01.1.5.</t>
  </si>
  <si>
    <t>Ar tiesvedības procesiem saistīti izdevumi</t>
  </si>
  <si>
    <t>01.1.6.</t>
  </si>
  <si>
    <t>7.pielikums</t>
  </si>
  <si>
    <t>Juridiskie pakalpojumi ar pašvaldības darbu saistītos jautājumos</t>
  </si>
  <si>
    <t>01.1.7.</t>
  </si>
  <si>
    <t>17.pielikums</t>
  </si>
  <si>
    <t>Projekts „Atbalsts integrētu teritoriālo investīciju īstenošanai Jūrmalas pilsētas pašvaldībā”</t>
  </si>
  <si>
    <t>01.1.8.</t>
  </si>
  <si>
    <t>PVN nomaksa</t>
  </si>
  <si>
    <t>01.2.1.</t>
  </si>
  <si>
    <t>Iemaksas pašvaldību izlīdzināšanas fondā</t>
  </si>
  <si>
    <t>01.2.2.</t>
  </si>
  <si>
    <t>01.2.3.</t>
  </si>
  <si>
    <t>Procentu maksājumi Valsts kasei</t>
  </si>
  <si>
    <t>01.2.4.</t>
  </si>
  <si>
    <t>Pašvaldības budžeta norēķini ar valsts budžetu</t>
  </si>
  <si>
    <t>01.2.5.</t>
  </si>
  <si>
    <t>03</t>
  </si>
  <si>
    <t>Sabiedriskā kārtība un drošība</t>
  </si>
  <si>
    <t>03.1.1.</t>
  </si>
  <si>
    <t>Iebraukšanas nodevas iekasēšanas nodrošinājums</t>
  </si>
  <si>
    <t>03.1.2.</t>
  </si>
  <si>
    <t>03.1.3.</t>
  </si>
  <si>
    <t>Labklājības pārvalde</t>
  </si>
  <si>
    <t>Sociālā palīdzība</t>
  </si>
  <si>
    <t>03.2.1.</t>
  </si>
  <si>
    <t>30.pielikums</t>
  </si>
  <si>
    <t>Jūrmalas pilsētas pašvaldības policija</t>
  </si>
  <si>
    <t>Iestādes uzturēšana un sabiedriskās kārtības nodrošināšana</t>
  </si>
  <si>
    <t>03.3.1.</t>
  </si>
  <si>
    <t>Atskaitījumi CSDD par apstāšanās un stāvēšanas noteikumu pārkāpumu iekasēšanas nodrošināšanu</t>
  </si>
  <si>
    <t>03.4.1.</t>
  </si>
  <si>
    <t>04</t>
  </si>
  <si>
    <t>Ekonomiskā darbība</t>
  </si>
  <si>
    <t>04.1.1.,
04.1.2.</t>
  </si>
  <si>
    <t>04.1.3.</t>
  </si>
  <si>
    <t>Pašvaldības autobusa uzturēšanas izdevumi</t>
  </si>
  <si>
    <t>04.1.4.</t>
  </si>
  <si>
    <t>Zivju resursu atjaunošana</t>
  </si>
  <si>
    <t>04.1.5.</t>
  </si>
  <si>
    <t>6.pielikums</t>
  </si>
  <si>
    <t>Pilsētas mežu un publiskās teritorijās esošo koku kopšanas pasākumi</t>
  </si>
  <si>
    <t>04.1.6.</t>
  </si>
  <si>
    <t>13.pielikums</t>
  </si>
  <si>
    <t>Sabiedriskā transporta organizēšanas pasākumi</t>
  </si>
  <si>
    <t>04.1.7.</t>
  </si>
  <si>
    <t>8.pielikums</t>
  </si>
  <si>
    <t>04.1.8., 04.1.18.</t>
  </si>
  <si>
    <t>3.pielikums</t>
  </si>
  <si>
    <t>04.1.9.</t>
  </si>
  <si>
    <t>04.1.10.</t>
  </si>
  <si>
    <t>21.pielikums</t>
  </si>
  <si>
    <t>Nekustamā īpašuma iegāde</t>
  </si>
  <si>
    <t>04.1.11.</t>
  </si>
  <si>
    <t>22.pielikums</t>
  </si>
  <si>
    <t>Tūrisma attīstības nodrošināšanas pasākumi</t>
  </si>
  <si>
    <t>04.1.12.</t>
  </si>
  <si>
    <t>5.pielikums</t>
  </si>
  <si>
    <t>Pilsētas ekonomiskās attīstības pasākumi</t>
  </si>
  <si>
    <t>04.1.13.</t>
  </si>
  <si>
    <t>8.pielikums, 11.pielikums, 14.pielikums</t>
  </si>
  <si>
    <t>Projekts "Jūrmalas pilsētas tranzītielas P128 (Talsu šoseja/Kolkas iela) izbūve"</t>
  </si>
  <si>
    <t>04.1.14.</t>
  </si>
  <si>
    <t>Projekts "Jūrmalas kūrortpilsētas dalība ārvalstu starptautiskajās tūrisma izstādēs, gadatirgos un konferencēs - 2015/2"</t>
  </si>
  <si>
    <t>04.1.15.</t>
  </si>
  <si>
    <t>Projekts "Jūrmalas kūrortpilsētas dalība ārvalstu starptautiskajās tūrisma izstādēs, gadatirgos un konferencēs - 2016"/"Latvijas starptautiskās konkurētspējas veicināšana tūrismā"</t>
  </si>
  <si>
    <t>04.1.16.</t>
  </si>
  <si>
    <t>Projekts "Algoti pagaidu sabiedriskie darbi"</t>
  </si>
  <si>
    <t>04.1.17.</t>
  </si>
  <si>
    <t>Algoti pagaidu sabiedriskie darbi 2016</t>
  </si>
  <si>
    <t>04.1.19.</t>
  </si>
  <si>
    <t>Projekts "Pašvaldību dalība starptautiskās izstādēs"</t>
  </si>
  <si>
    <t>04.1.20.</t>
  </si>
  <si>
    <t>Projekts "Jūrmalas kūrortpilsētas dalība ārvalstu starptautiskajās tūrisma izstādēs, gadatirgos un konferencēs - 2015"</t>
  </si>
  <si>
    <t>04.1.21.</t>
  </si>
  <si>
    <t>Projekts "Labās prakses pārņemšana interaktīva dabas tūrisma objekta izveidei"</t>
  </si>
  <si>
    <t>04.1.22.</t>
  </si>
  <si>
    <t>Projekts "Latvijas starptautiskās konkurētspējas veicināšana tūrismā / 2017.gada aktivitātes"</t>
  </si>
  <si>
    <t>04.1.23.</t>
  </si>
  <si>
    <t>Jūrmalas ostas pārvalde</t>
  </si>
  <si>
    <t>Pretplūdu pasākumu veikšana un iestādes uzturēšanas izdevumi</t>
  </si>
  <si>
    <t>04.2.1.</t>
  </si>
  <si>
    <t xml:space="preserve">Projekts „Moderns un pievilcīgs mazo ostu tīkls ar interaktīvu pārrobežu informācijas sistēmu, kopēju mārketingu un uzlabotiem ostu pakalpojumiem” </t>
  </si>
  <si>
    <t>04.2.2.</t>
  </si>
  <si>
    <t>Līdzfinansējuma un priekšfinansējuma nodrošināšana ES un citas ārvalstu finanšu palīdzības projektu īstenošanā</t>
  </si>
  <si>
    <t>04.3.1.</t>
  </si>
  <si>
    <t>POS termināla nodrošinājums u.c.</t>
  </si>
  <si>
    <t>04.3.2.</t>
  </si>
  <si>
    <t>Apropriācijas rezerve</t>
  </si>
  <si>
    <t>04.3.3.</t>
  </si>
  <si>
    <t>Līdzfinansējuma nodrošināšana konferenču, semināru un starpnozaru pasākumu īstenošanai</t>
  </si>
  <si>
    <t>04.3.4.</t>
  </si>
  <si>
    <t>Kredīta atmaksa - Ielu asfalta seguma kapitālais remonts</t>
  </si>
  <si>
    <t>Kredīta atmaksa - Raiņa ielas rekonstrukcija posmā no Satiksmes ielas līdz Nometņu ielai</t>
  </si>
  <si>
    <t>Kredīta atmaksa - Jūrmalas pilsētas tranzītielas P128 (Talsu šoseja/Kolkas iela) izbūve</t>
  </si>
  <si>
    <t>Projekts "Zivju resursu aizsardzība Jūrmalas pilsētas administratīvajā teritorijā - 2"</t>
  </si>
  <si>
    <t>04.4.1.</t>
  </si>
  <si>
    <t>05</t>
  </si>
  <si>
    <t>Vides aizsardzība</t>
  </si>
  <si>
    <t>Vides piesārņojuma novēršana un samazināšana</t>
  </si>
  <si>
    <t>05.1.1.</t>
  </si>
  <si>
    <t>Vides aizsardzības pasākumi bioloģiskās daudzveidības un ainavas aizsardzības jomā</t>
  </si>
  <si>
    <t>05.1.2.</t>
  </si>
  <si>
    <t>Vides aizsardzības veicināšanas pasākumu vadība, regulēšana, uzraudzība</t>
  </si>
  <si>
    <t>05.1.3.</t>
  </si>
  <si>
    <t>Pašvaldības pārziņā esošo teritoriju apsaimniekošana (kopšana un tīrīšana)</t>
  </si>
  <si>
    <t>05.1.4.</t>
  </si>
  <si>
    <t>15.pielikums</t>
  </si>
  <si>
    <t>05.1.5.</t>
  </si>
  <si>
    <t>05.2.1.</t>
  </si>
  <si>
    <t>05.2.2.</t>
  </si>
  <si>
    <t>Pamatkapitāla palielināšana, projekts "Jūrmalas ūdenssaimniecības attīstība III kārta"</t>
  </si>
  <si>
    <t>05.2.3.</t>
  </si>
  <si>
    <t>Pamatkapitāla palielināšana, projekts "Jūrmalas ūdenssaimniecības attīstība IV kārta"</t>
  </si>
  <si>
    <t>05.2.4.</t>
  </si>
  <si>
    <t>05.2.5.</t>
  </si>
  <si>
    <t>Kredīta atmaksa - Kompleksi risinājumi siltumnīcefekta gāzu emisiju samazināšanai Jūrmalas pašvaldības izglītības iestāžu ēkās</t>
  </si>
  <si>
    <t>06</t>
  </si>
  <si>
    <t>Teritoriju un mājokļu apsaimniekošana</t>
  </si>
  <si>
    <t>06.1.1.</t>
  </si>
  <si>
    <t>06.1.2.</t>
  </si>
  <si>
    <t>Pilsētas teritoriju labiekārtošanas pasākumi</t>
  </si>
  <si>
    <t>06.1.3.
06.1.4.</t>
  </si>
  <si>
    <t>12., 15., 20.pielikums</t>
  </si>
  <si>
    <t>Pilsētas svētku noformējums</t>
  </si>
  <si>
    <t>06.1.5.</t>
  </si>
  <si>
    <t>12.pielikums</t>
  </si>
  <si>
    <t>Pašvaldības īpašumu pārvaldīšana</t>
  </si>
  <si>
    <t>06.1.6.</t>
  </si>
  <si>
    <t xml:space="preserve">19., 22.pielikums, </t>
  </si>
  <si>
    <t>Publisku teritoriju, ēku un mājokļu būvniecība, atjaunošana un uzlabošana</t>
  </si>
  <si>
    <t>06.1.7.,
06.1.8.</t>
  </si>
  <si>
    <t>Projekts "Antropogēnās slodzes mazināšana dabas liegumā "Lielupes grīvas pļavās", izveidojot trīs labiekārtotas peldvietas pie Lielupes"</t>
  </si>
  <si>
    <t>06.1.9.</t>
  </si>
  <si>
    <t>Sabiedrība ar ierobežotu atbildību "Jūrmalas gaisma"</t>
  </si>
  <si>
    <t>Pilsētas ielu apgaismojuma nodrošināšana</t>
  </si>
  <si>
    <t>06.2.1.</t>
  </si>
  <si>
    <t>06.3.1.</t>
  </si>
  <si>
    <t>Kredīta atmaksa - SIA "Jūrmalas ūdens" pamatkapitāla palielināšanai, Jūrmalas ūdenssaimniecības attīstības projekta II kārta īstenošanai</t>
  </si>
  <si>
    <t>Kredīta atmaksa - SIA "Jūrmalas ūdens" pamatkapitāla palielināšanai, Jūrmalas ūdenssaimniecības attīstības projekta III kārta īstenošanai</t>
  </si>
  <si>
    <t>Kredīta atmaksa - Ēkas lit.002 rekonstrukcija par Mākslas skolu Strēlnieku prospektā 30 un Jāņa Poruka prospekta izbūve posmā no Friča Brīvzemnieka ielas līdz sporta zālei "Taurenītis" Jūrmalā</t>
  </si>
  <si>
    <t>07</t>
  </si>
  <si>
    <t>Veselība</t>
  </si>
  <si>
    <t>Specializēto medicīnisko pakalpojumu līdzfinansējums</t>
  </si>
  <si>
    <t>07.1.1.</t>
  </si>
  <si>
    <t>26.pielikums</t>
  </si>
  <si>
    <t>Atkarību profilakses programmu finansējums</t>
  </si>
  <si>
    <t>07.1.2.</t>
  </si>
  <si>
    <t>Pārējo veselības aprūpes pakalpojumu līdzfinansējums</t>
  </si>
  <si>
    <t>07.1.3.</t>
  </si>
  <si>
    <t>p/a "Jūrmalas sociālās aprūpes centrs"</t>
  </si>
  <si>
    <t>Metadona kabinets</t>
  </si>
  <si>
    <t>07.2.1.</t>
  </si>
  <si>
    <t xml:space="preserve">Vingrošana ūdenī </t>
  </si>
  <si>
    <t>07.2.2.</t>
  </si>
  <si>
    <t>Pašvaldības sabiedrība ar ierobežotu atbildību "Kauguru veselības centrs"</t>
  </si>
  <si>
    <t>07.3.1.</t>
  </si>
  <si>
    <t>Jūrmalas pilsētas pašvaldības iestāde “Jūrmalas veselības veicināšanas un sociālo pakalpojumu centrs”</t>
  </si>
  <si>
    <t>07.4.1.</t>
  </si>
  <si>
    <t>07.4.2.</t>
  </si>
  <si>
    <t>08</t>
  </si>
  <si>
    <t>Atpūta, kultūra un reliģija</t>
  </si>
  <si>
    <t>08.1.1.,
08.1.2.</t>
  </si>
  <si>
    <t>08.1.3.</t>
  </si>
  <si>
    <t>4., 15.pielikums</t>
  </si>
  <si>
    <t>08.1.4.</t>
  </si>
  <si>
    <t>9.pielikums</t>
  </si>
  <si>
    <t>08.1.5.</t>
  </si>
  <si>
    <t>Muzeju ēku būvniecība, atjaunošana un uzlabošana</t>
  </si>
  <si>
    <t>08.1.6.</t>
  </si>
  <si>
    <t>08.1.7.</t>
  </si>
  <si>
    <t>Teātru, koncertzāļu, estrāžu būvniecība, atjaunošana un uzlabošana</t>
  </si>
  <si>
    <t>08.1.8.,
08.1.9.</t>
  </si>
  <si>
    <t>Pilsētas kultūrvēsturiskā mantojuma saglabāšana</t>
  </si>
  <si>
    <t>08.1.10.</t>
  </si>
  <si>
    <t>Kultūras pasākumi</t>
  </si>
  <si>
    <t>08.1.11.,
08.1.12.</t>
  </si>
  <si>
    <t>16.pielikums</t>
  </si>
  <si>
    <t>Sabiedrisko attiecību veidošanas pasākumi</t>
  </si>
  <si>
    <t>08.1.13.</t>
  </si>
  <si>
    <t>10.pielikums</t>
  </si>
  <si>
    <t>08.1.14.</t>
  </si>
  <si>
    <t>Integrācijas projektu īstenošana</t>
  </si>
  <si>
    <t>08.2.1.</t>
  </si>
  <si>
    <t>27.pielikums</t>
  </si>
  <si>
    <t>Nacionālo vērtību stiprināšana</t>
  </si>
  <si>
    <t>08.2.2.</t>
  </si>
  <si>
    <t>Etniskā integrācija</t>
  </si>
  <si>
    <t>08.2.3.</t>
  </si>
  <si>
    <t>Integrācija kultūras aspektā</t>
  </si>
  <si>
    <t>08.2.4.</t>
  </si>
  <si>
    <t>Sociālā integrācija</t>
  </si>
  <si>
    <t>08.2.5.</t>
  </si>
  <si>
    <t>Integrācijas rīcības virzieni izglītības jomā</t>
  </si>
  <si>
    <t>08.2.6.</t>
  </si>
  <si>
    <t>Pilsoniskās sabiedrības stiprināšana</t>
  </si>
  <si>
    <t>08.2.7.</t>
  </si>
  <si>
    <t>Jūrmalas Centrālā bibliotēka</t>
  </si>
  <si>
    <t>Iestādes uzturēšana un bibliotēku pakalpojumu pieejamības nodrošināšana</t>
  </si>
  <si>
    <t>08.3.1.</t>
  </si>
  <si>
    <t>Jūrmalas Kultūras centrs</t>
  </si>
  <si>
    <t>Iestādes uzturēšana un kultūras pakalpojumu sniegšanas nodrošināšana</t>
  </si>
  <si>
    <t>08.4.1.</t>
  </si>
  <si>
    <t xml:space="preserve">Pilsētas kultūras un atpūtas pasākumi </t>
  </si>
  <si>
    <t>08.4.2.</t>
  </si>
  <si>
    <t>24.pielikums</t>
  </si>
  <si>
    <t>08.5.1.</t>
  </si>
  <si>
    <t>Jūrmalas pilsētas stadiona "Sloka" uzturēšana</t>
  </si>
  <si>
    <t>08.5.2.</t>
  </si>
  <si>
    <t>Jūrmalas Valsts ģimnāzijas sporta halles uzturēšana</t>
  </si>
  <si>
    <t>08.5.3.</t>
  </si>
  <si>
    <t>Majoru sporta laukuma uzturēšana</t>
  </si>
  <si>
    <t>08.5.4.</t>
  </si>
  <si>
    <t>Sporta nama "Taurenītis" uzturēšana</t>
  </si>
  <si>
    <t>08.5.5.</t>
  </si>
  <si>
    <t>Jūrmalas pludmales centra uzturēšana</t>
  </si>
  <si>
    <t>08.5.6.</t>
  </si>
  <si>
    <t>Jūrmalas pilsētas muzejs</t>
  </si>
  <si>
    <t>Iestādes uzturēšana un muzeju un izstāžu pakalpojumu sniegšanas nodrošināšana</t>
  </si>
  <si>
    <t>08.6.1.</t>
  </si>
  <si>
    <t>Jūrmalas pilsētas muzeja filiāles, Aspazijas mājas digitālās ekspozīcijas ieviešana</t>
  </si>
  <si>
    <t>08.6.2.</t>
  </si>
  <si>
    <t>08.6.3.</t>
  </si>
  <si>
    <t>23.pielikums</t>
  </si>
  <si>
    <t>Projekts "Jūrmalas pilsētas muzeja izstāde "Bērns kūrortā""</t>
  </si>
  <si>
    <t>08.6.4.</t>
  </si>
  <si>
    <t>Kapitālsabiedrības organizēto koncertu pieejamības veicināšana</t>
  </si>
  <si>
    <t>08.7.1.</t>
  </si>
  <si>
    <t>Pamatkapitāla palielināšana</t>
  </si>
  <si>
    <t>08.7.2.</t>
  </si>
  <si>
    <t>08.7.3.</t>
  </si>
  <si>
    <t>Kredīta atmaksa - Aspazijas mājas Nr.002 restaurācija un ēkas Nr.001 rekonstrukcija, saglabājot funkciju muzejs Z.Meierovica prospektā 18/20, Jūrmalā</t>
  </si>
  <si>
    <t>Kredīta atmaksa - Slokas sporta kompleksa būvniecība</t>
  </si>
  <si>
    <t>Kredīta atmaksa - Dzintaru mežaparka būvniecība</t>
  </si>
  <si>
    <t>Kredīta atmaksa - Dzintaru koncertzāles slēgtās zāles rekonstrukcija/restaurācija Turaidas ielā 1, Jūrmalā</t>
  </si>
  <si>
    <t>09</t>
  </si>
  <si>
    <t>Izglītība</t>
  </si>
  <si>
    <t>09.1.1.</t>
  </si>
  <si>
    <t>Pirmsskolas izglītības nodrošināšana</t>
  </si>
  <si>
    <t>09.1.2.</t>
  </si>
  <si>
    <t>18.pielikums</t>
  </si>
  <si>
    <t>Pirmsskolas izglītības iestāžu labiekārtošanas pasākumi</t>
  </si>
  <si>
    <t>09.1.3.</t>
  </si>
  <si>
    <t>Pirmsskolas izglītības iestāžu būvniecība, atjaunošana un uzlabošana</t>
  </si>
  <si>
    <t>09.1.4.</t>
  </si>
  <si>
    <t>Centralizētie pasākumi vispārējās izglītības jomā</t>
  </si>
  <si>
    <t>09.1.5.</t>
  </si>
  <si>
    <t>Sākumskolu, pamatskolu un vidusskolu būvniecība, atjaunošana un uzlabošana</t>
  </si>
  <si>
    <t>09.1.6.,
09.1.7.,
09.1.8.</t>
  </si>
  <si>
    <t>Interešu un profesionālās ievirzes izglītības iestāžu būvniecība, atjaunošana un uzlabošana</t>
  </si>
  <si>
    <t>09.1.9.</t>
  </si>
  <si>
    <t>Starpskolu pasākumi, konkursi, sacensības interešu un profesionālās ievirzes izglītības jomā</t>
  </si>
  <si>
    <t>09.1.10.</t>
  </si>
  <si>
    <t>Projekts "Lietpratīga pārvaldība un Latvijas pašvaldību veiktspējas uzlabošana"</t>
  </si>
  <si>
    <t>09.1.11.</t>
  </si>
  <si>
    <t>Projekts "Kopā esam"</t>
  </si>
  <si>
    <t>09.1.12.</t>
  </si>
  <si>
    <t>09.2.1.</t>
  </si>
  <si>
    <t>Brīvpusdienu nodrošināšana</t>
  </si>
  <si>
    <t>09.2.2.</t>
  </si>
  <si>
    <t>Projekts "Skolotāja profesionālā pilnveide"</t>
  </si>
  <si>
    <t>09.2.3.</t>
  </si>
  <si>
    <t>09.3.1.</t>
  </si>
  <si>
    <t>09.3.2.</t>
  </si>
  <si>
    <t>Projekts "Eiropas galda klāšana"</t>
  </si>
  <si>
    <t>09.3.3.</t>
  </si>
  <si>
    <t>Jūrmalas Bērnu un jauniešu interešu centrs</t>
  </si>
  <si>
    <t>Iestādes uzturēšana, interešu izglītības un jaunatnes darba nodrošināšana</t>
  </si>
  <si>
    <t>09.4.1.</t>
  </si>
  <si>
    <t>Projekts "IN !"</t>
  </si>
  <si>
    <t>09.4.2.</t>
  </si>
  <si>
    <t>Projekts "PROTI un DARI"</t>
  </si>
  <si>
    <t>09.4.3.</t>
  </si>
  <si>
    <t>Projekts "Solis ilgtspējīgā uzņēmējdarbībā"</t>
  </si>
  <si>
    <t>09.4.4.</t>
  </si>
  <si>
    <t>Projekts "Eurodesk reģionālā koordinatora pakalpojumi 2016.gadā"</t>
  </si>
  <si>
    <t>09.4.5.</t>
  </si>
  <si>
    <t>09.5.1.</t>
  </si>
  <si>
    <t>09.5.2.</t>
  </si>
  <si>
    <t>Reģionālā metodiskā centra un pedagogu tālākizglītības centra darbības nodrošināšana</t>
  </si>
  <si>
    <t>09.5.3.</t>
  </si>
  <si>
    <t>Projekts "Atcere – totalitārisms Eiropā un vēsturiskā apziņa Eiropas kontekstā"</t>
  </si>
  <si>
    <t>09.5.4.</t>
  </si>
  <si>
    <t>Jūrmalas Kauguru vidusskola</t>
  </si>
  <si>
    <t>09.6.1.</t>
  </si>
  <si>
    <t>09.6.2.</t>
  </si>
  <si>
    <t>Projekts "Urban music workshop/Pilsētas mūzikas darbnīca"</t>
  </si>
  <si>
    <t>09.6.3.</t>
  </si>
  <si>
    <t>Projekts "Exploring Nature and Environmental Issues""</t>
  </si>
  <si>
    <t>09.6.4.</t>
  </si>
  <si>
    <t>Ķemeru pamatskola</t>
  </si>
  <si>
    <t>09.7.1.</t>
  </si>
  <si>
    <t>09.7.2.</t>
  </si>
  <si>
    <t>Jūrmalas pilsētas Lielupes pamatskola</t>
  </si>
  <si>
    <t>09.8.1.</t>
  </si>
  <si>
    <t>09.8.2.</t>
  </si>
  <si>
    <t>09.9.1.</t>
  </si>
  <si>
    <t>09.9.2.</t>
  </si>
  <si>
    <t>Jūrmalas Mākslas skola</t>
  </si>
  <si>
    <t>Iestādes uzturēšana,interešu un profesionālās ievirzes izglītības nodrošināšana</t>
  </si>
  <si>
    <t>09.10.1.</t>
  </si>
  <si>
    <t>09.10.2.</t>
  </si>
  <si>
    <t>09.11.1.</t>
  </si>
  <si>
    <t>09.11.2.</t>
  </si>
  <si>
    <t>Jūrmalas Mūzikas vidusskola</t>
  </si>
  <si>
    <t>Iestādes uzturēšana, profesionālās ievirzes izglītības nodrošināšana</t>
  </si>
  <si>
    <t>09.12.1.</t>
  </si>
  <si>
    <t>Projekts “17. starptautiskais akadēmiskās mūzikas konkurss "JŪRMALA 2016" klavieru specialitātē”</t>
  </si>
  <si>
    <t>09.12.2.</t>
  </si>
  <si>
    <t>Projekts “Mūzikas instrumentu iegāde Jūrmalas Mūzikas vidusskolai"</t>
  </si>
  <si>
    <t>09.12.3.</t>
  </si>
  <si>
    <t>09.13.1.</t>
  </si>
  <si>
    <t>09.13.2.</t>
  </si>
  <si>
    <t>09.14.1.</t>
  </si>
  <si>
    <t>09.14.2.</t>
  </si>
  <si>
    <t>09.15.1.</t>
  </si>
  <si>
    <t>09.15.2.</t>
  </si>
  <si>
    <t>09.16.1.</t>
  </si>
  <si>
    <t>09.16.2.</t>
  </si>
  <si>
    <t>09.17.1.</t>
  </si>
  <si>
    <t>09.17.2.</t>
  </si>
  <si>
    <t>09.18.1.</t>
  </si>
  <si>
    <t>09.18.2.</t>
  </si>
  <si>
    <t>09.19.1.</t>
  </si>
  <si>
    <t>09.19.2.</t>
  </si>
  <si>
    <t>09.20.1.</t>
  </si>
  <si>
    <t>09.21.1.</t>
  </si>
  <si>
    <t>09.21.2.</t>
  </si>
  <si>
    <t>09.22.1.</t>
  </si>
  <si>
    <t>09.22.2.</t>
  </si>
  <si>
    <t>09.23.1.</t>
  </si>
  <si>
    <t>09.23.2.</t>
  </si>
  <si>
    <t xml:space="preserve">Projekts "Iedvesmojies. Mācies. Radi!" </t>
  </si>
  <si>
    <t>09.23.3.</t>
  </si>
  <si>
    <t>Projekts "Eiropas jaunieši aktīvā mācīšanās procesā"</t>
  </si>
  <si>
    <t>09.23.4.</t>
  </si>
  <si>
    <t>Jūrmalas sākumskola "Atvase"</t>
  </si>
  <si>
    <t>09.24.1.</t>
  </si>
  <si>
    <t>09.24.2.</t>
  </si>
  <si>
    <t>09.25.1.</t>
  </si>
  <si>
    <t>09.25.2.</t>
  </si>
  <si>
    <t>Projekts "Kreatīva pieeja mūzikas mācīšanā pirmsskolā un sākumskolā"</t>
  </si>
  <si>
    <t>09.25.3.</t>
  </si>
  <si>
    <t>Jūrmalas sākumskola "Taurenītis"</t>
  </si>
  <si>
    <t>09.26.1.</t>
  </si>
  <si>
    <t>09.26.2.</t>
  </si>
  <si>
    <t>Slokas pamatskola</t>
  </si>
  <si>
    <t>09.27.1.</t>
  </si>
  <si>
    <t>09.27.2.</t>
  </si>
  <si>
    <t>09.28.1.</t>
  </si>
  <si>
    <t>Projekts "Pētīsim un izzināsim Latvijas vēsturi"</t>
  </si>
  <si>
    <t>09.28.2.</t>
  </si>
  <si>
    <t>Jūrmalas Sporta skola</t>
  </si>
  <si>
    <t>Iestādes uzturēšana, interešu un profesionālās ievirzes izglītības nodrošināšana</t>
  </si>
  <si>
    <t>09.29.1.</t>
  </si>
  <si>
    <t>Sporta skolas pasākumi</t>
  </si>
  <si>
    <t>09.29.2.</t>
  </si>
  <si>
    <t>25.pielikums</t>
  </si>
  <si>
    <t>Ledus laukuma noma</t>
  </si>
  <si>
    <t>09.30.1.</t>
  </si>
  <si>
    <t>09.31.1.</t>
  </si>
  <si>
    <t>09.31.2.</t>
  </si>
  <si>
    <t>Projekts  "Dažādu metožu izmantošana dabaszinātņu mācīšanā, lai veicinātu skolēnu motivāciju un uzlabotu viņu izglītības līmeni"</t>
  </si>
  <si>
    <t>09.31.3.</t>
  </si>
  <si>
    <t>Jūrmalas vakara vidusskola</t>
  </si>
  <si>
    <t>09.32.1.</t>
  </si>
  <si>
    <t>09.32.2.</t>
  </si>
  <si>
    <t>"LATVIJAS STARPTAUTISKĀ SKOLA"</t>
  </si>
  <si>
    <t>09.33.1.</t>
  </si>
  <si>
    <t>Kredīta atmaksa - Jūrmalas Valsts ģimnāzijas un sākumskolas "Atvase" daudzfunkcionālās sporta halles projektēšana un celtniecība</t>
  </si>
  <si>
    <t>Kredīta atmaksa - Slokas pamatskolas ēkas rekonstrukcija</t>
  </si>
  <si>
    <t>Kredīta atmaksa - Bērnudārza jaunbūve Tukuma ielā 9, Jūrmalā</t>
  </si>
  <si>
    <t>Kredīta atmaksa - Bērnudārza "Katrīna" ēkas rekonstrukcija</t>
  </si>
  <si>
    <t>Kredīta atmaksa - Kompleksi risinājumi siltumnīcefekta gāzu emisiju samazināšanai Jūrmalas pilsētas Mežmalas vidusskolā</t>
  </si>
  <si>
    <t>10</t>
  </si>
  <si>
    <t>Sociālā aizsardzība</t>
  </si>
  <si>
    <t>10.1.1.</t>
  </si>
  <si>
    <t>10.1.2.</t>
  </si>
  <si>
    <t>10.1.3.</t>
  </si>
  <si>
    <t>10.2.1.</t>
  </si>
  <si>
    <t>Sociālā aizsardzība invaliditātes gadījumā</t>
  </si>
  <si>
    <t>10.2.2.</t>
  </si>
  <si>
    <t>29., 30.pielikums</t>
  </si>
  <si>
    <t>Atbalsts gados veciem cilvēkiem</t>
  </si>
  <si>
    <t>10.2.3.</t>
  </si>
  <si>
    <t>Atbalsts ģimenēm ar bērniem</t>
  </si>
  <si>
    <t>10.2.4.</t>
  </si>
  <si>
    <t>28., 29.pielikums</t>
  </si>
  <si>
    <t>Mājokļa atbalsts</t>
  </si>
  <si>
    <t>10.2.5.</t>
  </si>
  <si>
    <t>28., 29., 30.pielikums</t>
  </si>
  <si>
    <t>Pārējie citur neklasificētie sociālās aizsardzības pasākumi</t>
  </si>
  <si>
    <t>10.2.6.</t>
  </si>
  <si>
    <t>29.pielikums</t>
  </si>
  <si>
    <t xml:space="preserve">Pārējais citur neklasificēts atbalsts sociāli atstumtām personām </t>
  </si>
  <si>
    <t>10.2.7.</t>
  </si>
  <si>
    <t>Dienas aprūpe bērniem ar funkcionāliem traucējumiem</t>
  </si>
  <si>
    <t>10.2.8.</t>
  </si>
  <si>
    <t>Projekts "Sniegt iespēju bērniem/EmpowerKids"</t>
  </si>
  <si>
    <t>10.2.9.</t>
  </si>
  <si>
    <t>Pansionāta pakalpojumu sniegšana</t>
  </si>
  <si>
    <t>10.3.1.</t>
  </si>
  <si>
    <t>Veselības aprūpes pieejamības palielināšana pensijas vecuma cilvēkiem un invalīdiem</t>
  </si>
  <si>
    <t>10.3.2.</t>
  </si>
  <si>
    <t xml:space="preserve">Dienas centrs </t>
  </si>
  <si>
    <t>10.3.3.</t>
  </si>
  <si>
    <t>Zupas virtuves pakalpojumu nodrošināšana</t>
  </si>
  <si>
    <t>10.3.4.</t>
  </si>
  <si>
    <t>Nakts patversme</t>
  </si>
  <si>
    <t>10.3.5.</t>
  </si>
  <si>
    <t>Mājas aprūpes un pavadoņu pakalpojuma nodrošināšana</t>
  </si>
  <si>
    <t>10.3.6.</t>
  </si>
  <si>
    <t>Invalīdu pārvadāšanas nodrošināšana</t>
  </si>
  <si>
    <t>10.3.7.</t>
  </si>
  <si>
    <t>Dienas nodarbinātības centrs - specializētā darbnīca</t>
  </si>
  <si>
    <t>10.3.8.</t>
  </si>
  <si>
    <t>Dienas aprūpes centrs personām ar garīgās veselības traucējumiem, īpašuma Dūņu ceļš 2 apsaimniekošana</t>
  </si>
  <si>
    <t>10.3.9.</t>
  </si>
  <si>
    <t>Grupu dzīvokļa pakalpojuma izveide un nodrošināšana Jūrmalā</t>
  </si>
  <si>
    <t>10.3.10.</t>
  </si>
  <si>
    <t>Jūrmalas pilsētas pašvaldības iestāde "Sprīdītis"</t>
  </si>
  <si>
    <t>Aprūpe pašvaldības sociālās aprūpes institūcijās</t>
  </si>
  <si>
    <t>10.4.1.</t>
  </si>
  <si>
    <t>10.4.2.</t>
  </si>
  <si>
    <t>Jūrmalas pilsētas bāriņtiesa</t>
  </si>
  <si>
    <t>Bērnu tiesību aizsardzības nodrošināšana</t>
  </si>
  <si>
    <t>10.5.1.</t>
  </si>
  <si>
    <t>Kredīta atmaksa - Ēkas rekonstrukcija ar funkcijas maiņu par sociālās aprūpes ēku ar publiski pieejamām telpām 1.stāvā Skolas ielā 44</t>
  </si>
  <si>
    <t>10.6.1.</t>
  </si>
  <si>
    <t>Kredīta atmaksa - Mācību korpusa lit.002 rekonstrukcija bez apjoma palielināšanas Dūņu ceļš 2, Jūrmalā</t>
  </si>
  <si>
    <t>10.6.2.</t>
  </si>
  <si>
    <t>10.6.3.</t>
  </si>
  <si>
    <t>10.6.4.</t>
  </si>
  <si>
    <t>10.6.5.</t>
  </si>
  <si>
    <t>10.6.6.</t>
  </si>
  <si>
    <t>10.6.7.</t>
  </si>
  <si>
    <t>10.6.8.</t>
  </si>
  <si>
    <t>10.6.9.</t>
  </si>
  <si>
    <t>10.6.10.</t>
  </si>
  <si>
    <t>10.6.11.</t>
  </si>
  <si>
    <t>10.6.12.</t>
  </si>
  <si>
    <t>Kopā atlikums gada beigās, t.sk.:</t>
  </si>
  <si>
    <t>Atlikums gada beigās</t>
  </si>
  <si>
    <t>Kopā izdevumi bez atlikuma gada beigās un atdotajiem kredītiem</t>
  </si>
  <si>
    <t>Pavisam kopā izdevumi</t>
  </si>
  <si>
    <t>Kontrole 1:</t>
  </si>
  <si>
    <t>Kontrole 2:</t>
  </si>
  <si>
    <t>Kontrole 3:</t>
  </si>
  <si>
    <t>Bilance</t>
  </si>
  <si>
    <t>1.pielikums Jūrmalas pilsētas domes</t>
  </si>
  <si>
    <r>
      <t>Jūrmalas pilsētas pašvaldības 2016.gada budžeta ieņēmumi (</t>
    </r>
    <r>
      <rPr>
        <b/>
        <i/>
        <sz val="14"/>
        <rFont val="Times New Roman"/>
        <family val="1"/>
        <charset val="186"/>
      </rPr>
      <t>euro</t>
    </r>
    <r>
      <rPr>
        <b/>
        <sz val="14"/>
        <rFont val="Times New Roman"/>
        <family val="1"/>
        <charset val="186"/>
      </rPr>
      <t>)</t>
    </r>
  </si>
  <si>
    <t>Kods</t>
  </si>
  <si>
    <t>Ieņēmumu veids</t>
  </si>
  <si>
    <t>2016.gada budžets, apstiprināts</t>
  </si>
  <si>
    <t>2016.gada budžets, izmaiņas kopā</t>
  </si>
  <si>
    <t>R 19.09.2016. Nr.1.1-14/261, R 23.09.2016. Nr.1.1-14/265</t>
  </si>
  <si>
    <t>Konsolidē-jamie ieņēmumi, apstiprināts</t>
  </si>
  <si>
    <t>Konsolidē-jamie ieņēmumi</t>
  </si>
  <si>
    <t>Konsolidē-jamie ieņēmumi, izmaiņas kopā</t>
  </si>
  <si>
    <t>2016.gada budžets kopā ar konsolidāciju, apstiprināts</t>
  </si>
  <si>
    <t>2016.gada budžets kopā ar konsolidāciju</t>
  </si>
  <si>
    <t>I Pamatbudžets</t>
  </si>
  <si>
    <t>1.0.0.0.</t>
  </si>
  <si>
    <t>IENĀKUMA NODOKĻI</t>
  </si>
  <si>
    <t>1.1.0.0.</t>
  </si>
  <si>
    <t>Ieņēmumi no iedzīvotāju ienākuma nodokļa</t>
  </si>
  <si>
    <t>1.1.1.0.</t>
  </si>
  <si>
    <t>Iedzīvotāju ienākuma nodoklis</t>
  </si>
  <si>
    <t>1.1.1.1.</t>
  </si>
  <si>
    <t xml:space="preserve">Saņemts no Valsts kases sadales konta iepriekšējā gada nesadalītais iedzīvotāju ienākuma nodokļa atlikums </t>
  </si>
  <si>
    <t>1.1.1.2.</t>
  </si>
  <si>
    <t>Saņemts  no Valsts kases sadales konta pārskata gadā ieskaitītais iedzīvotāju ienākuma nodoklis</t>
  </si>
  <si>
    <t>4.0.0.0.</t>
  </si>
  <si>
    <t>ĪPAŠUMA NODOKĻI</t>
  </si>
  <si>
    <t>4.1.0.0.</t>
  </si>
  <si>
    <t>Nekustamā īpašuma nodoklis</t>
  </si>
  <si>
    <t>4.1.1.0.</t>
  </si>
  <si>
    <t>Nekustamā īpašuma nodoklis par zemi</t>
  </si>
  <si>
    <t>4.1.1.1.</t>
  </si>
  <si>
    <t>Nekustamā īpašuma nodokļa par zemi kārtējā saimnieciskā gada ieņēmumi</t>
  </si>
  <si>
    <t>4.1.1.2.</t>
  </si>
  <si>
    <t>Nekustamā īpašuma nodokļa par zemi iepriekšējo gadu parādi</t>
  </si>
  <si>
    <t>4.1.2.0.</t>
  </si>
  <si>
    <t xml:space="preserve">Nekustamā īpašuma nodoklis par ēkām </t>
  </si>
  <si>
    <t>4.1.2.1.</t>
  </si>
  <si>
    <t>Nekustamā īpašuma nodokļa par ēkām  kārtējā gada maksājumi</t>
  </si>
  <si>
    <t>4.1.2.2.</t>
  </si>
  <si>
    <t>Nekustamā īpašuma nodokļa par ēkām parādi par iepriekšējiem gadiem</t>
  </si>
  <si>
    <t>4.1.3.0.</t>
  </si>
  <si>
    <t>Nekustamā īpašuma nodoklis par mājokļiem</t>
  </si>
  <si>
    <t>4.1.3.1.</t>
  </si>
  <si>
    <t>Nekustamā īpašuma nodokļa par mājokļiem  kārtējā saimnieciskā gada ieņēmumi</t>
  </si>
  <si>
    <t>4.1.3.2.</t>
  </si>
  <si>
    <t>Nekustamā īpašuma nodokļa par mājokļiem parādi par iepriekšējiem gadiem</t>
  </si>
  <si>
    <t>5.0.0.0.</t>
  </si>
  <si>
    <t>NODOKĻI PAR PAKALPOJUMIEM UN PRECĒM</t>
  </si>
  <si>
    <t>5.4.0.0.</t>
  </si>
  <si>
    <t>Nodokļi atsevišķām precēm un pakalpojumu veidiem</t>
  </si>
  <si>
    <t>5.4.1.0.</t>
  </si>
  <si>
    <t>Azartspēļu nodoklis</t>
  </si>
  <si>
    <t>5.5.0.0.</t>
  </si>
  <si>
    <t>Nodokļi un maksājumi par tiesībām lietot atsevišķas preces</t>
  </si>
  <si>
    <t>5.5.3.0.</t>
  </si>
  <si>
    <t>Dabas resursu nodoklis</t>
  </si>
  <si>
    <t>5.5.3.1.</t>
  </si>
  <si>
    <t>Dabas resursu nodoklis par dabas resursu ieguvi un vides piesārņošanu</t>
  </si>
  <si>
    <t>9.0.0.0.</t>
  </si>
  <si>
    <t>VALSTS (PAŠVALDĪBU) NODEVAS UN KANCELEJAS NODEVAS</t>
  </si>
  <si>
    <t>9.4.0.0.</t>
  </si>
  <si>
    <t>Valsts nodevas, kuras ieskaita pašvaldību budžetā</t>
  </si>
  <si>
    <t>9.4.5.0.</t>
  </si>
  <si>
    <t>Valsts nodevas par laulības reģistrāciju, civilstāvokļa aktu reģistra ieraksta aktualizēšanu vai atjaunošanu un atkārtotas civilstāvokļa aktu reģistrācijas apliecības izsniegšanu</t>
  </si>
  <si>
    <t>9.4.9.0.</t>
  </si>
  <si>
    <t>Pārējās valsts nodevas, kuras ieskaita pašvaldību budžetā</t>
  </si>
  <si>
    <t>9.5.0.0.</t>
  </si>
  <si>
    <t>Pašvaldību nodevas</t>
  </si>
  <si>
    <t>9.5.1.4.</t>
  </si>
  <si>
    <t>Pašvaldības nodeva par tirdzniecību publiskās vietās</t>
  </si>
  <si>
    <t>9.5.1.6.</t>
  </si>
  <si>
    <t>Pašvaldības nodeva par transportlīdzekļu iebraukšanu īpaša režīma zonās</t>
  </si>
  <si>
    <t>9.5.1.7.</t>
  </si>
  <si>
    <t>Pašvaldības nodeva par reklāmas, afišu un sludinājumu izvietošanu publiskās vietās</t>
  </si>
  <si>
    <t>9.5.2.1.</t>
  </si>
  <si>
    <t>Pašvaldības nodeva par būvatļaujas saņemšanu</t>
  </si>
  <si>
    <t>10.0.0.0.</t>
  </si>
  <si>
    <t>NAUDAS SODI UN SANKCIJAS</t>
  </si>
  <si>
    <t>10.1.0.0.</t>
  </si>
  <si>
    <t>Naudas sodi</t>
  </si>
  <si>
    <t>10.1.4.0.</t>
  </si>
  <si>
    <t>Naudas sodi, ko uzliek pašvaldības</t>
  </si>
  <si>
    <t>12.0.0.0.</t>
  </si>
  <si>
    <t>PĀRĒJIE NENODOKĻU IEŅĒMUMI</t>
  </si>
  <si>
    <t>12.2.0.0.</t>
  </si>
  <si>
    <t>Nenodokļu ieņēmumi un ieņēmumi no zaudējumu atlīdzībām un kompensācijām</t>
  </si>
  <si>
    <t xml:space="preserve">12.2.3.0. </t>
  </si>
  <si>
    <t>Ieņēmumi no ūdenstilpju un zvejas tiesību nomas un zvejas tiesību rūpnieciskas izmantošanas (licences)</t>
  </si>
  <si>
    <t>12.3.0.0.</t>
  </si>
  <si>
    <t>Dažādi nenodokļu ieņēmumi</t>
  </si>
  <si>
    <t>12.3.9.0.</t>
  </si>
  <si>
    <t>Citi dažādi nenodokļu ieņēmumi</t>
  </si>
  <si>
    <t>12.3.9.2.</t>
  </si>
  <si>
    <t>Maksājumi par konkursa vai izsoles nolikumu</t>
  </si>
  <si>
    <t>12.3.9.9.</t>
  </si>
  <si>
    <t>Pārējie dažādi nenodokļu ieņēmumi, kas nav iepriekš klasificēti šajā klasifikācijā</t>
  </si>
  <si>
    <t>13.0.0.0.</t>
  </si>
  <si>
    <t>IEŅĒMUMI NO VALSTS (PAŠVALDĪBU) ĪPAŠUMA IZNOMĀŠANAS, PĀRDOŠANAS UN NO NODOKĻU PAMATPARĀDA KAPITALIZĀCIJAS</t>
  </si>
  <si>
    <t>13.2.0.0.</t>
  </si>
  <si>
    <t>Ieņēmumi no zemes, meža īpašuma pārdošanas</t>
  </si>
  <si>
    <t>13.2.1.0.</t>
  </si>
  <si>
    <t>Ieņēmumi no zemes īpašuma pārdošanas</t>
  </si>
  <si>
    <t>13.5.0.0.</t>
  </si>
  <si>
    <t>Ienākumi no valsts un pašvaldību īpašuma iznomāšanas</t>
  </si>
  <si>
    <t>13.5.1.0.</t>
  </si>
  <si>
    <t>13.5.2.0.</t>
  </si>
  <si>
    <t>13.5.3.0.</t>
  </si>
  <si>
    <t>Pludmales noma</t>
  </si>
  <si>
    <t>18.0.0.0.</t>
  </si>
  <si>
    <t>VALSTS BUDŽETA TRANSFERTI</t>
  </si>
  <si>
    <t>18.6.0.0.</t>
  </si>
  <si>
    <t>Pašvaldību saņemtie transferti no valsts budžeta</t>
  </si>
  <si>
    <t xml:space="preserve">18.6.2.0. </t>
  </si>
  <si>
    <t>Pašvaldību saņemtie valsts budžeta transferti noteiktam mērķim</t>
  </si>
  <si>
    <t>18.6.3.0.</t>
  </si>
  <si>
    <t>Pašvaldību no valsts budžeta iestādēm saņemtie transferti Eiropas Savienības politiku instrumentu un pārējās ārvalstu finanšu palīdzības līdzfinansētajiem projektiem (pasākumiem)</t>
  </si>
  <si>
    <t>18.6.9.0.</t>
  </si>
  <si>
    <t xml:space="preserve">Pārējie pašvaldību saņemtie valsts budžeta iestāžu transferti </t>
  </si>
  <si>
    <t>19.0.0.0.</t>
  </si>
  <si>
    <t>PAŠVALDĪBU BUDŽETU TRANSFERTI</t>
  </si>
  <si>
    <t>19.2.0.0.</t>
  </si>
  <si>
    <t>Pašvaldību saņemtie transferti no citām pašvaldībām</t>
  </si>
  <si>
    <t xml:space="preserve">19.2.1.0. </t>
  </si>
  <si>
    <t>Ieņēmumi izglītības funkciju nodrošināšanai</t>
  </si>
  <si>
    <t>19.3.0.0.</t>
  </si>
  <si>
    <t>Pašvaldību iestāžu saņemtie transferti no augstākas iestādes</t>
  </si>
  <si>
    <t>21.0.0.0.</t>
  </si>
  <si>
    <t>IESTĀDES IEŅĒMUMI</t>
  </si>
  <si>
    <t>21.1.0.0.</t>
  </si>
  <si>
    <t>Iestādes ieņēmumi no ārvalstu finanšu palīdzības</t>
  </si>
  <si>
    <t>21.1.9.0.</t>
  </si>
  <si>
    <t>Ieņēmumi no citu Eiropas Savienības politiku instrumentu līdzfinansēto projektu un pasākumu īstenošanas un citu valstu finanšu palīdzības programmu īstenošanas, saņemtā ārvalstu finanšu palīdzība</t>
  </si>
  <si>
    <t>21.1.9.1.</t>
  </si>
  <si>
    <t>Ieņēmumi no citu Eiropas Savienības politiku instrumentu līdzfinansēto projektu un pasākumu īstenošanas un saņemtās ārvalstu finanšu palīdzības, kas nav Eiropas Savienības struktūrfondi</t>
  </si>
  <si>
    <t>21.1.9.2.</t>
  </si>
  <si>
    <t>Ieņēmumi no citu valstu finanšu palīdzības programmu īstenošanas</t>
  </si>
  <si>
    <t>21.1.9.3.</t>
  </si>
  <si>
    <t>Ieņēmumi no saņemtajām atmaksām par iepriekšējos saimnieciskajos gados pārskaitītajiem līdzekļiem Eiropas Savienības politiku instrumentu un pārējās ārvalstu finanšu palīdzības līdzfinansēto projektu (pasākumu) īstenošanai</t>
  </si>
  <si>
    <t>21.1.9.4.</t>
  </si>
  <si>
    <t>Ieņēmumi no vadošā partnera partneru grupas īstenotajiem Eiropas Savienības politiku instrumentu projektiem</t>
  </si>
  <si>
    <t>21.3.0.0.</t>
  </si>
  <si>
    <t>Ieņēmumi no iestāžu sniegtajiem maksas pakalpojumiem un citi pašu ieņēmumi</t>
  </si>
  <si>
    <t>21.3.5.0.</t>
  </si>
  <si>
    <t>21.3.5.1.</t>
  </si>
  <si>
    <t>21.3.5.2.</t>
  </si>
  <si>
    <t>21.3.5.9.</t>
  </si>
  <si>
    <t>21.3.7.0.</t>
  </si>
  <si>
    <t>21.3.7.9.</t>
  </si>
  <si>
    <t>Ieņēmumi par pārējo dokumentu izsniegšanu un pārējiem kancelejas pakalpojumiem</t>
  </si>
  <si>
    <t>21.3.8.0.</t>
  </si>
  <si>
    <t>21.3.8.1.</t>
  </si>
  <si>
    <t>Ieņēmumi par telpu nomu </t>
  </si>
  <si>
    <t>21.3.8.3.</t>
  </si>
  <si>
    <t>21.3.9.0.</t>
  </si>
  <si>
    <t>Ieņēmumi par pārējiem iestāžu sniegtajiem maksas pakalpojumiem</t>
  </si>
  <si>
    <t>21.3.9.1.</t>
  </si>
  <si>
    <t>21.3.9.3.</t>
  </si>
  <si>
    <t>21.3.9.9.</t>
  </si>
  <si>
    <t>21.4.0.0.</t>
  </si>
  <si>
    <t>Pārējie 21.3.0.0.grupā neklasificētie iestāžu ieņēmumi par iestāžu sniegtajiem maksas pakalpojumiem un citi pašu ieņēmumi</t>
  </si>
  <si>
    <t>21.4.2.0.</t>
  </si>
  <si>
    <t>21.4.2.9.</t>
  </si>
  <si>
    <t>Pārējie iepriekš neklasificētie maksas pakalpojumi un pašu ieņēmumi</t>
  </si>
  <si>
    <t>21.4.9.9.</t>
  </si>
  <si>
    <t>F55 01 00 20</t>
  </si>
  <si>
    <t>Akcijas un cita līdzdalība komersantu pašu kapitālā, neskaitot kopieguldījumu fondu akcijas (pārdošana)</t>
  </si>
  <si>
    <t>Kopā pamatbudžeta ieņēmumi (bez kredītlīdzekļiem un atlikuma gada sākumā):</t>
  </si>
  <si>
    <t>F40020010</t>
  </si>
  <si>
    <t>Vidēja termiņa un ilgtermiņa aizņēmumi</t>
  </si>
  <si>
    <t>F40220010</t>
  </si>
  <si>
    <t>Vidēja termiņa aizņēmumi</t>
  </si>
  <si>
    <t>F40320010</t>
  </si>
  <si>
    <t>Ilgtermiņa aizņēmumi</t>
  </si>
  <si>
    <t>Ielu asfalta seguma kapitālajam remontam</t>
  </si>
  <si>
    <t>Sabiedriskā kompleksa būvniecība (Mūzikas skola)</t>
  </si>
  <si>
    <t>Lielupes vidusskolas rekonstrukcija 2 kārtās (t.sk. sporta zāles būvniecība), (2.kārtas projektēšana, skolas ēkas būvniecība)</t>
  </si>
  <si>
    <t>Dzintaru koncertzāles slēgtās zāles rekonstrukcijai/ restaurācijai Turaidas ielā 1, Jūrmalā</t>
  </si>
  <si>
    <t>Jūrmalas ūdenssaimniecības projekts IV kārta</t>
  </si>
  <si>
    <t>Jūrmalas ūdenssaimniecības projekts III kārta</t>
  </si>
  <si>
    <t>Ceļu un to kompleksa investīciju projektiem</t>
  </si>
  <si>
    <t>Dubultu kultūras un izglītības centra Strēlnieku prospektā 30, Jūrmalā būvniecībai</t>
  </si>
  <si>
    <t>Pamatbudžeta līdzekļu atlikums gada sākumā</t>
  </si>
  <si>
    <t>Pašvaldības budžeta līdzekļu atlikums</t>
  </si>
  <si>
    <t>Maksas pakalpojumu atlikums</t>
  </si>
  <si>
    <t>Atlikums no projektu līdzekļiem</t>
  </si>
  <si>
    <t>Mērķdotācija pedagogu atalgojumam</t>
  </si>
  <si>
    <t xml:space="preserve">Mērķdotācija tautas tērpu un to detaļu vai mūzikas instrumentu iegādei </t>
  </si>
  <si>
    <t>Mērķdotācija pedagogu atalgojumam profesionālās ievirzes izglītības programmu finansēšanai</t>
  </si>
  <si>
    <t>Mērķdotācija grāmatu iegādei</t>
  </si>
  <si>
    <t>Dotācijas skolēniem ēdināšanas izdevumiem</t>
  </si>
  <si>
    <t>Mēķdotācija māksliniecisko kolektīvu vadītājiem (Mūz.sk.)</t>
  </si>
  <si>
    <t>Mērķdotācija asistentu pakalpojumu nodrošināšanai skolās</t>
  </si>
  <si>
    <t>Mērķdotācija pašvaldību spec. skolu izdevumiem</t>
  </si>
  <si>
    <t>Mērķdotācija pansionāta iemītniekiem</t>
  </si>
  <si>
    <t>Atlikums pārskaitītajam pamatkapitāla palielinājumam</t>
  </si>
  <si>
    <t>Apstādījumu atjaunošanas līdzekļi</t>
  </si>
  <si>
    <t>Mērķdotācijas pašvaldību autoceļu (ielu) fondiem</t>
  </si>
  <si>
    <t>Mērķdotācijas pašvaldībām pasažieru regulārajiem pārvadājumiem</t>
  </si>
  <si>
    <t>F22010010</t>
  </si>
  <si>
    <t>II Speciālais budžets</t>
  </si>
  <si>
    <t>23.0.0.0.</t>
  </si>
  <si>
    <t>SAŅEMTIE ZIEDOJUMI UN DĀVINĀJUMI</t>
  </si>
  <si>
    <t>23.4.1.0.</t>
  </si>
  <si>
    <t>23.5.0.0.</t>
  </si>
  <si>
    <t>Ziedojumi un dāvinājumi, kas saņemti no fiziskām personām</t>
  </si>
  <si>
    <t>Speciālā budžeta līdzekļu atlikums gada sākumā</t>
  </si>
  <si>
    <t xml:space="preserve">ziedojumi un dāvinājumi, kas saņemti no juridiskām personām </t>
  </si>
  <si>
    <t xml:space="preserve">ziedojumi un dāvinājumi, kas saņemti no fiziskām personām </t>
  </si>
  <si>
    <t>Kopā pašvaldības konsolidētā budžeta ieņēmumi bez atlikumiem gada sākumā un plānotajiem kredītiem</t>
  </si>
  <si>
    <t>Pašvaldības konsolidētie budžeta ieņēmumi</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</si>
</sst>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Ls&quot;\ * #,##0.00_-;\-&quot;Ls&quot;\ * #,##0.00_-;_-&quot;Ls&quot;\ * &quot;-&quot;??_-;_-@_-"/>
    <numFmt numFmtId="164" formatCode="0.000"/>
    <numFmt numFmtId="165" formatCode="#,##0.0"/>
  </numFmts>
  <fonts count="37" x14ac:knownFonts="1">
    <font>
      <sz val="11"/>
      <color theme="1"/>
      <name val="Calibri"/>
      <family val="2"/>
      <charset val="186"/>
      <scheme val="minor"/>
    </font>
    <font>
      <sz val="10"/>
      <name val="Arial"/>
      <family val="2"/>
      <charset val="186"/>
    </font>
    <font>
      <sz val="9"/>
      <name val="Times New Roman"/>
      <family val="1"/>
      <charset val="186"/>
    </font>
    <font>
      <b/>
      <sz val="9"/>
      <name val="Times New Roman"/>
      <family val="1"/>
      <charset val="186"/>
    </font>
    <font>
      <b/>
      <u/>
      <sz val="12"/>
      <name val="Times New Roman"/>
      <family val="1"/>
      <charset val="186"/>
    </font>
    <font>
      <sz val="10"/>
      <name val="Times New Roman"/>
      <family val="1"/>
      <charset val="186"/>
    </font>
    <font>
      <i/>
      <sz val="9"/>
      <name val="Times New Roman"/>
      <family val="1"/>
      <charset val="186"/>
    </font>
    <font>
      <sz val="6"/>
      <name val="Times New Roman"/>
      <family val="1"/>
      <charset val="186"/>
    </font>
    <font>
      <sz val="9"/>
      <color theme="1"/>
      <name val="Times New Roman"/>
      <family val="1"/>
      <charset val="186"/>
    </font>
    <font>
      <sz val="9"/>
      <color rgb="FFFF0000"/>
      <name val="Times New Roman"/>
      <family val="1"/>
      <charset val="186"/>
    </font>
    <font>
      <b/>
      <sz val="12"/>
      <name val="Times New Roman"/>
      <family val="1"/>
      <charset val="186"/>
    </font>
    <font>
      <b/>
      <i/>
      <sz val="12"/>
      <name val="Times New Roman"/>
      <family val="1"/>
      <charset val="186"/>
    </font>
    <font>
      <i/>
      <sz val="8"/>
      <name val="Times New Roman"/>
      <family val="1"/>
      <charset val="186"/>
    </font>
    <font>
      <b/>
      <sz val="9"/>
      <color rgb="FFFF0000"/>
      <name val="Times New Roman"/>
      <family val="1"/>
      <charset val="186"/>
    </font>
    <font>
      <sz val="8"/>
      <name val="Times New Roman"/>
      <family val="1"/>
      <charset val="186"/>
    </font>
    <font>
      <sz val="11"/>
      <color theme="1"/>
      <name val="Calibri"/>
      <family val="2"/>
      <charset val="186"/>
      <scheme val="minor"/>
    </font>
    <font>
      <b/>
      <sz val="8"/>
      <name val="Times New Roman"/>
      <family val="1"/>
      <charset val="186"/>
    </font>
    <font>
      <i/>
      <sz val="10"/>
      <name val="Times New Roman"/>
      <family val="1"/>
      <charset val="186"/>
    </font>
    <font>
      <u/>
      <sz val="9"/>
      <name val="Times New Roman"/>
      <family val="1"/>
      <charset val="186"/>
    </font>
    <font>
      <b/>
      <sz val="12"/>
      <color theme="1"/>
      <name val="Times New Roman"/>
      <family val="1"/>
      <charset val="186"/>
    </font>
    <font>
      <sz val="11"/>
      <color theme="1"/>
      <name val="Calibri"/>
      <family val="2"/>
      <scheme val="minor"/>
    </font>
    <font>
      <sz val="14"/>
      <name val="Times New Roman"/>
      <family val="1"/>
    </font>
    <font>
      <b/>
      <sz val="10"/>
      <name val="Times New Roman"/>
      <family val="1"/>
      <charset val="186"/>
    </font>
    <font>
      <u/>
      <sz val="10"/>
      <name val="Times New Roman"/>
      <family val="1"/>
      <charset val="186"/>
    </font>
    <font>
      <b/>
      <sz val="9"/>
      <color theme="1"/>
      <name val="Times New Roman"/>
      <family val="1"/>
      <charset val="186"/>
    </font>
    <font>
      <sz val="10"/>
      <color theme="1"/>
      <name val="Times New Roman"/>
      <family val="1"/>
      <charset val="186"/>
    </font>
    <font>
      <sz val="10"/>
      <color rgb="FFFF0000"/>
      <name val="Times New Roman"/>
      <family val="1"/>
      <charset val="186"/>
    </font>
    <font>
      <b/>
      <sz val="9"/>
      <color indexed="10"/>
      <name val="Times New Roman"/>
      <family val="1"/>
      <charset val="186"/>
    </font>
    <font>
      <b/>
      <sz val="9"/>
      <color indexed="81"/>
      <name val="Tahoma"/>
      <family val="2"/>
      <charset val="186"/>
    </font>
    <font>
      <sz val="9"/>
      <color indexed="81"/>
      <name val="Tahoma"/>
      <family val="2"/>
      <charset val="186"/>
    </font>
    <font>
      <b/>
      <sz val="14"/>
      <name val="Times New Roman"/>
      <family val="1"/>
      <charset val="186"/>
    </font>
    <font>
      <b/>
      <i/>
      <sz val="14"/>
      <name val="Times New Roman"/>
      <family val="1"/>
      <charset val="186"/>
    </font>
    <font>
      <b/>
      <sz val="9"/>
      <color indexed="9"/>
      <name val="Times New Roman"/>
      <family val="1"/>
      <charset val="186"/>
    </font>
    <font>
      <b/>
      <u/>
      <sz val="9"/>
      <name val="Times New Roman"/>
      <family val="1"/>
      <charset val="186"/>
    </font>
    <font>
      <b/>
      <sz val="9"/>
      <color theme="0"/>
      <name val="Times New Roman"/>
      <family val="1"/>
      <charset val="186"/>
    </font>
    <font>
      <b/>
      <sz val="8"/>
      <color indexed="81"/>
      <name val="Times New Roman"/>
      <family val="1"/>
      <charset val="186"/>
    </font>
    <font>
      <sz val="8"/>
      <color indexed="81"/>
      <name val="Times New Roman"/>
      <family val="1"/>
      <charset val="186"/>
    </font>
  </fonts>
  <fills count="15">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CCFF66"/>
        <bgColor indexed="64"/>
      </patternFill>
    </fill>
    <fill>
      <patternFill patternType="solid">
        <fgColor theme="0" tint="-4.9989318521683403E-2"/>
        <bgColor indexed="64"/>
      </patternFill>
    </fill>
    <fill>
      <patternFill patternType="solid">
        <fgColor indexed="10"/>
        <bgColor indexed="64"/>
      </patternFill>
    </fill>
    <fill>
      <patternFill patternType="solid">
        <fgColor rgb="FFFF0000"/>
        <bgColor indexed="64"/>
      </patternFill>
    </fill>
    <fill>
      <patternFill patternType="solid">
        <fgColor indexed="43"/>
        <bgColor indexed="64"/>
      </patternFill>
    </fill>
    <fill>
      <patternFill patternType="solid">
        <fgColor rgb="FFFFFF99"/>
        <bgColor indexed="64"/>
      </patternFill>
    </fill>
    <fill>
      <patternFill patternType="solid">
        <fgColor rgb="FFFFFF57"/>
        <bgColor indexed="64"/>
      </patternFill>
    </fill>
  </fills>
  <borders count="225">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hair">
        <color indexed="64"/>
      </left>
      <right style="hair">
        <color indexed="64"/>
      </right>
      <top style="thin">
        <color indexed="64"/>
      </top>
      <bottom/>
      <diagonal/>
    </border>
    <border>
      <left style="thin">
        <color indexed="64"/>
      </left>
      <right style="thin">
        <color indexed="64"/>
      </right>
      <top/>
      <bottom style="double">
        <color indexed="64"/>
      </bottom>
      <diagonal/>
    </border>
    <border>
      <left/>
      <right/>
      <top/>
      <bottom style="double">
        <color indexed="64"/>
      </bottom>
      <diagonal/>
    </border>
    <border>
      <left style="hair">
        <color indexed="64"/>
      </left>
      <right style="hair">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thin">
        <color indexed="64"/>
      </left>
      <right style="hair">
        <color indexed="64"/>
      </right>
      <top/>
      <bottom/>
      <diagonal/>
    </border>
    <border>
      <left style="hair">
        <color indexed="64"/>
      </left>
      <right/>
      <top/>
      <bottom/>
      <diagonal/>
    </border>
    <border>
      <left/>
      <right style="hair">
        <color indexed="64"/>
      </right>
      <top/>
      <bottom/>
      <diagonal/>
    </border>
    <border>
      <left style="hair">
        <color indexed="64"/>
      </left>
      <right style="hair">
        <color indexed="64"/>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bottom style="double">
        <color indexed="64"/>
      </bottom>
      <diagonal/>
    </border>
    <border>
      <left style="thin">
        <color indexed="64"/>
      </left>
      <right style="hair">
        <color indexed="64"/>
      </right>
      <top/>
      <bottom style="double">
        <color indexed="64"/>
      </bottom>
      <diagonal/>
    </border>
    <border>
      <left style="hair">
        <color indexed="64"/>
      </left>
      <right/>
      <top/>
      <bottom style="double">
        <color indexed="64"/>
      </bottom>
      <diagonal/>
    </border>
    <border>
      <left/>
      <right style="hair">
        <color indexed="64"/>
      </right>
      <top/>
      <bottom style="double">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style="hair">
        <color indexed="64"/>
      </left>
      <right/>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right style="hair">
        <color indexed="64"/>
      </right>
      <top style="double">
        <color indexed="64"/>
      </top>
      <bottom style="hair">
        <color indexed="64"/>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thin">
        <color indexed="64"/>
      </top>
      <bottom style="thin">
        <color indexed="64"/>
      </bottom>
      <diagonal/>
    </border>
    <border>
      <left/>
      <right/>
      <top style="hair">
        <color indexed="64"/>
      </top>
      <bottom style="thin">
        <color indexed="64"/>
      </bottom>
      <diagonal/>
    </border>
    <border>
      <left/>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thin">
        <color indexed="64"/>
      </right>
      <top style="thin">
        <color indexed="64"/>
      </top>
      <bottom style="double">
        <color indexed="64"/>
      </bottom>
      <diagonal/>
    </border>
    <border>
      <left style="hair">
        <color indexed="64"/>
      </left>
      <right style="thin">
        <color indexed="64"/>
      </right>
      <top style="double">
        <color indexed="64"/>
      </top>
      <bottom style="thin">
        <color indexed="64"/>
      </bottom>
      <diagonal/>
    </border>
    <border>
      <left style="hair">
        <color indexed="64"/>
      </left>
      <right style="thin">
        <color indexed="64"/>
      </right>
      <top/>
      <bottom style="double">
        <color indexed="64"/>
      </bottom>
      <diagonal/>
    </border>
    <border>
      <left style="hair">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hair">
        <color indexed="64"/>
      </right>
      <top style="double">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style="medium">
        <color indexed="64"/>
      </top>
      <bottom/>
      <diagonal/>
    </border>
    <border>
      <left style="hair">
        <color indexed="64"/>
      </left>
      <right/>
      <top style="hair">
        <color indexed="64"/>
      </top>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top style="hair">
        <color indexed="64"/>
      </top>
      <bottom style="thin">
        <color indexed="64"/>
      </bottom>
      <diagonal/>
    </border>
    <border>
      <left style="hair">
        <color indexed="64"/>
      </left>
      <right/>
      <top style="double">
        <color indexed="64"/>
      </top>
      <bottom style="double">
        <color indexed="64"/>
      </bottom>
      <diagonal/>
    </border>
    <border>
      <left style="thin">
        <color theme="0"/>
      </left>
      <right style="thin">
        <color theme="0"/>
      </right>
      <top style="thin">
        <color theme="0"/>
      </top>
      <bottom style="thin">
        <color theme="0"/>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double">
        <color indexed="64"/>
      </bottom>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double">
        <color indexed="64"/>
      </bottom>
      <diagonal/>
    </border>
    <border>
      <left/>
      <right style="medium">
        <color indexed="64"/>
      </right>
      <top/>
      <bottom style="hair">
        <color indexed="64"/>
      </bottom>
      <diagonal/>
    </border>
    <border>
      <left style="medium">
        <color indexed="64"/>
      </left>
      <right style="medium">
        <color indexed="64"/>
      </right>
      <top/>
      <bottom style="hair">
        <color indexed="64"/>
      </bottom>
      <diagonal/>
    </border>
    <border>
      <left/>
      <right style="medium">
        <color indexed="64"/>
      </right>
      <top style="hair">
        <color indexed="64"/>
      </top>
      <bottom/>
      <diagonal/>
    </border>
    <border>
      <left style="medium">
        <color indexed="64"/>
      </left>
      <right style="medium">
        <color indexed="64"/>
      </right>
      <top style="hair">
        <color indexed="64"/>
      </top>
      <bottom/>
      <diagonal/>
    </border>
    <border>
      <left style="medium">
        <color indexed="64"/>
      </left>
      <right style="thin">
        <color indexed="64"/>
      </right>
      <top style="hair">
        <color indexed="64"/>
      </top>
      <bottom/>
      <diagonal/>
    </border>
    <border>
      <left/>
      <right style="medium">
        <color indexed="64"/>
      </right>
      <top style="double">
        <color indexed="64"/>
      </top>
      <bottom style="hair">
        <color indexed="64"/>
      </bottom>
      <diagonal/>
    </border>
    <border>
      <left style="medium">
        <color indexed="64"/>
      </left>
      <right style="medium">
        <color indexed="64"/>
      </right>
      <top style="double">
        <color indexed="64"/>
      </top>
      <bottom style="hair">
        <color indexed="64"/>
      </bottom>
      <diagonal/>
    </border>
    <border>
      <left style="medium">
        <color indexed="64"/>
      </left>
      <right style="medium">
        <color indexed="64"/>
      </right>
      <top style="double">
        <color indexed="64"/>
      </top>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hair">
        <color indexed="64"/>
      </bottom>
      <diagonal/>
    </border>
    <border>
      <left style="thin">
        <color indexed="64"/>
      </left>
      <right style="medium">
        <color indexed="64"/>
      </right>
      <top/>
      <bottom style="hair">
        <color indexed="64"/>
      </bottom>
      <diagonal/>
    </border>
    <border>
      <left style="medium">
        <color indexed="64"/>
      </left>
      <right/>
      <top style="hair">
        <color indexed="64"/>
      </top>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medium">
        <color indexed="64"/>
      </left>
      <right/>
      <top style="thin">
        <color indexed="64"/>
      </top>
      <bottom/>
      <diagonal/>
    </border>
    <border>
      <left style="medium">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9">
    <xf numFmtId="0" fontId="0" fillId="0" borderId="0"/>
    <xf numFmtId="0" fontId="1" fillId="0" borderId="0"/>
    <xf numFmtId="0" fontId="1" fillId="0" borderId="0"/>
    <xf numFmtId="44" fontId="1" fillId="0" borderId="0" applyFont="0" applyFill="0" applyBorder="0" applyAlignment="0" applyProtection="0"/>
    <xf numFmtId="0" fontId="1" fillId="0" borderId="0"/>
    <xf numFmtId="0" fontId="20" fillId="0" borderId="0"/>
    <xf numFmtId="0" fontId="1" fillId="0" borderId="0"/>
    <xf numFmtId="0" fontId="1" fillId="0" borderId="0"/>
    <xf numFmtId="0" fontId="1" fillId="0" borderId="0"/>
  </cellStyleXfs>
  <cellXfs count="1806">
    <xf numFmtId="0" fontId="0" fillId="0" borderId="0" xfId="0"/>
    <xf numFmtId="0" fontId="2" fillId="0" borderId="0" xfId="1" applyFont="1" applyBorder="1" applyAlignment="1" applyProtection="1">
      <alignment vertical="center"/>
    </xf>
    <xf numFmtId="0" fontId="3" fillId="0" borderId="0" xfId="1" applyFont="1" applyFill="1" applyBorder="1" applyAlignment="1" applyProtection="1">
      <alignment vertical="top"/>
    </xf>
    <xf numFmtId="0" fontId="3" fillId="0" borderId="0" xfId="1" applyFont="1" applyFill="1" applyBorder="1" applyAlignment="1" applyProtection="1">
      <alignment vertical="top"/>
      <protection locked="0"/>
    </xf>
    <xf numFmtId="0" fontId="3" fillId="0" borderId="0" xfId="1" applyFont="1" applyFill="1" applyBorder="1" applyAlignment="1" applyProtection="1">
      <alignment horizontal="right" vertical="top"/>
      <protection locked="0"/>
    </xf>
    <xf numFmtId="0" fontId="2" fillId="0" borderId="0" xfId="1" applyFont="1" applyFill="1" applyBorder="1" applyAlignment="1" applyProtection="1">
      <alignment vertical="center"/>
    </xf>
    <xf numFmtId="0" fontId="3" fillId="0" borderId="1" xfId="1" applyFont="1" applyFill="1" applyBorder="1" applyAlignment="1" applyProtection="1">
      <alignment vertical="top"/>
    </xf>
    <xf numFmtId="0" fontId="2" fillId="0" borderId="5" xfId="1" applyFont="1" applyFill="1" applyBorder="1" applyAlignment="1" applyProtection="1">
      <alignment vertical="center"/>
    </xf>
    <xf numFmtId="49" fontId="2" fillId="2" borderId="5" xfId="1" applyNumberFormat="1" applyFont="1" applyFill="1" applyBorder="1" applyAlignment="1" applyProtection="1">
      <alignment vertical="center"/>
    </xf>
    <xf numFmtId="49" fontId="2" fillId="2" borderId="0" xfId="1" applyNumberFormat="1" applyFont="1" applyFill="1" applyBorder="1" applyAlignment="1" applyProtection="1">
      <alignment vertical="center"/>
    </xf>
    <xf numFmtId="49" fontId="2" fillId="2" borderId="0" xfId="1" applyNumberFormat="1" applyFont="1" applyFill="1" applyBorder="1" applyAlignment="1" applyProtection="1">
      <alignment horizontal="centerContinuous" vertical="center"/>
    </xf>
    <xf numFmtId="49" fontId="2" fillId="2" borderId="7" xfId="1" applyNumberFormat="1" applyFont="1" applyFill="1" applyBorder="1" applyAlignment="1" applyProtection="1">
      <alignment horizontal="center" vertical="center"/>
    </xf>
    <xf numFmtId="0" fontId="2" fillId="0" borderId="6" xfId="1" applyFont="1" applyFill="1" applyBorder="1" applyAlignment="1" applyProtection="1">
      <alignment vertical="center"/>
    </xf>
    <xf numFmtId="49" fontId="5" fillId="2" borderId="5" xfId="1" applyNumberFormat="1" applyFont="1" applyFill="1" applyBorder="1" applyAlignment="1" applyProtection="1">
      <alignment vertical="center"/>
    </xf>
    <xf numFmtId="49" fontId="3" fillId="2" borderId="0" xfId="1" applyNumberFormat="1" applyFont="1" applyFill="1" applyBorder="1" applyAlignment="1" applyProtection="1">
      <alignment vertical="center"/>
    </xf>
    <xf numFmtId="49" fontId="6" fillId="2" borderId="5" xfId="1" applyNumberFormat="1" applyFont="1" applyFill="1" applyBorder="1" applyAlignment="1" applyProtection="1">
      <alignment vertical="center"/>
    </xf>
    <xf numFmtId="49" fontId="2" fillId="2" borderId="8" xfId="1" applyNumberFormat="1" applyFont="1" applyFill="1" applyBorder="1" applyAlignment="1" applyProtection="1">
      <alignment vertical="center"/>
      <protection locked="0"/>
    </xf>
    <xf numFmtId="0" fontId="2" fillId="0" borderId="9" xfId="1" applyFont="1" applyFill="1" applyBorder="1" applyAlignment="1" applyProtection="1">
      <alignment vertical="center"/>
      <protection locked="0"/>
    </xf>
    <xf numFmtId="49" fontId="2" fillId="2" borderId="10" xfId="1" applyNumberFormat="1" applyFont="1" applyFill="1" applyBorder="1" applyAlignment="1" applyProtection="1">
      <alignment vertical="center"/>
    </xf>
    <xf numFmtId="49" fontId="2" fillId="2" borderId="1" xfId="1" applyNumberFormat="1" applyFont="1" applyFill="1" applyBorder="1" applyAlignment="1" applyProtection="1">
      <alignment vertical="center"/>
    </xf>
    <xf numFmtId="49" fontId="2" fillId="0" borderId="0" xfId="1" applyNumberFormat="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textRotation="90"/>
    </xf>
    <xf numFmtId="1" fontId="7" fillId="0" borderId="22" xfId="1" applyNumberFormat="1" applyFont="1" applyFill="1" applyBorder="1" applyAlignment="1" applyProtection="1">
      <alignment horizontal="center" vertical="center"/>
    </xf>
    <xf numFmtId="1" fontId="7" fillId="0" borderId="23" xfId="1" applyNumberFormat="1" applyFont="1" applyFill="1" applyBorder="1" applyAlignment="1" applyProtection="1">
      <alignment horizontal="center" vertical="center"/>
    </xf>
    <xf numFmtId="1" fontId="7" fillId="0" borderId="24" xfId="1" applyNumberFormat="1" applyFont="1" applyFill="1" applyBorder="1" applyAlignment="1" applyProtection="1">
      <alignment horizontal="center" vertical="center"/>
    </xf>
    <xf numFmtId="1" fontId="7" fillId="0" borderId="25" xfId="1" applyNumberFormat="1" applyFont="1" applyFill="1" applyBorder="1" applyAlignment="1" applyProtection="1">
      <alignment horizontal="center" vertical="center"/>
    </xf>
    <xf numFmtId="1" fontId="7" fillId="0" borderId="26" xfId="1" applyNumberFormat="1" applyFont="1" applyFill="1" applyBorder="1" applyAlignment="1" applyProtection="1">
      <alignment horizontal="center" vertical="center"/>
    </xf>
    <xf numFmtId="1" fontId="7" fillId="0" borderId="27" xfId="1" applyNumberFormat="1" applyFont="1" applyFill="1" applyBorder="1" applyAlignment="1" applyProtection="1">
      <alignment horizontal="center" vertical="center"/>
    </xf>
    <xf numFmtId="1" fontId="7" fillId="0" borderId="28" xfId="1" applyNumberFormat="1" applyFont="1" applyFill="1" applyBorder="1" applyAlignment="1" applyProtection="1">
      <alignment horizontal="center" vertical="center"/>
    </xf>
    <xf numFmtId="1" fontId="7" fillId="0" borderId="29" xfId="1" applyNumberFormat="1" applyFont="1" applyFill="1" applyBorder="1" applyAlignment="1" applyProtection="1">
      <alignment horizontal="center" vertical="center"/>
    </xf>
    <xf numFmtId="0" fontId="3" fillId="0" borderId="16" xfId="1" applyFont="1" applyFill="1" applyBorder="1" applyAlignment="1" applyProtection="1">
      <alignment vertical="center" wrapText="1"/>
    </xf>
    <xf numFmtId="0" fontId="3" fillId="0" borderId="16" xfId="1" applyFont="1" applyFill="1" applyBorder="1" applyAlignment="1" applyProtection="1">
      <alignment horizontal="left" vertical="center" wrapText="1"/>
    </xf>
    <xf numFmtId="0" fontId="3" fillId="0" borderId="5" xfId="1" applyFont="1" applyFill="1" applyBorder="1" applyAlignment="1" applyProtection="1">
      <alignment vertical="center"/>
    </xf>
    <xf numFmtId="0" fontId="3" fillId="0" borderId="30" xfId="1" applyFont="1" applyFill="1" applyBorder="1" applyAlignment="1" applyProtection="1">
      <alignment vertical="center"/>
      <protection locked="0"/>
    </xf>
    <xf numFmtId="0" fontId="3" fillId="0" borderId="31" xfId="1" applyFont="1" applyFill="1" applyBorder="1" applyAlignment="1" applyProtection="1">
      <alignment vertical="center"/>
      <protection locked="0"/>
    </xf>
    <xf numFmtId="0" fontId="3" fillId="0" borderId="16" xfId="1" applyFont="1" applyFill="1" applyBorder="1" applyAlignment="1" applyProtection="1">
      <alignment vertical="center"/>
    </xf>
    <xf numFmtId="0" fontId="3" fillId="0" borderId="32" xfId="1" applyFont="1" applyFill="1" applyBorder="1" applyAlignment="1" applyProtection="1">
      <alignment vertical="center"/>
      <protection locked="0"/>
    </xf>
    <xf numFmtId="0" fontId="3" fillId="0" borderId="6" xfId="1" applyFont="1" applyFill="1" applyBorder="1" applyAlignment="1" applyProtection="1">
      <alignment vertical="center"/>
    </xf>
    <xf numFmtId="0" fontId="3" fillId="0" borderId="0" xfId="1" applyFont="1" applyFill="1" applyBorder="1" applyAlignment="1" applyProtection="1">
      <alignment vertical="center"/>
      <protection locked="0"/>
    </xf>
    <xf numFmtId="0" fontId="3" fillId="0" borderId="33" xfId="1" applyFont="1" applyFill="1" applyBorder="1" applyAlignment="1" applyProtection="1">
      <alignment vertical="center"/>
      <protection locked="0"/>
    </xf>
    <xf numFmtId="0" fontId="3" fillId="0" borderId="6" xfId="1" applyFont="1" applyFill="1" applyBorder="1" applyAlignment="1" applyProtection="1">
      <alignment horizontal="left" vertical="center"/>
      <protection locked="0"/>
    </xf>
    <xf numFmtId="0" fontId="3" fillId="0" borderId="0" xfId="1" applyFont="1" applyFill="1" applyBorder="1" applyAlignment="1" applyProtection="1">
      <alignment vertical="center"/>
    </xf>
    <xf numFmtId="0" fontId="3" fillId="0" borderId="34" xfId="1" applyFont="1" applyFill="1" applyBorder="1" applyAlignment="1" applyProtection="1">
      <alignment vertical="center" wrapText="1"/>
    </xf>
    <xf numFmtId="0" fontId="3" fillId="0" borderId="34" xfId="1" applyFont="1" applyFill="1" applyBorder="1" applyAlignment="1" applyProtection="1">
      <alignment horizontal="left" vertical="center" wrapText="1"/>
    </xf>
    <xf numFmtId="3" fontId="3" fillId="0" borderId="35" xfId="1" applyNumberFormat="1" applyFont="1" applyFill="1" applyBorder="1" applyAlignment="1" applyProtection="1">
      <alignment horizontal="right" vertical="center"/>
    </xf>
    <xf numFmtId="3" fontId="3" fillId="0" borderId="36" xfId="1" applyNumberFormat="1" applyFont="1" applyFill="1" applyBorder="1" applyAlignment="1" applyProtection="1">
      <alignment horizontal="right" vertical="center"/>
    </xf>
    <xf numFmtId="3" fontId="3" fillId="0" borderId="37" xfId="1" applyNumberFormat="1" applyFont="1" applyFill="1" applyBorder="1" applyAlignment="1" applyProtection="1">
      <alignment horizontal="right" vertical="center"/>
    </xf>
    <xf numFmtId="3" fontId="3" fillId="0" borderId="34" xfId="1" applyNumberFormat="1" applyFont="1" applyFill="1" applyBorder="1" applyAlignment="1" applyProtection="1">
      <alignment horizontal="right" vertical="center"/>
    </xf>
    <xf numFmtId="3" fontId="3" fillId="0" borderId="38" xfId="1" applyNumberFormat="1" applyFont="1" applyFill="1" applyBorder="1" applyAlignment="1" applyProtection="1">
      <alignment horizontal="right" vertical="center"/>
    </xf>
    <xf numFmtId="3" fontId="3" fillId="0" borderId="39" xfId="1" applyNumberFormat="1" applyFont="1" applyFill="1" applyBorder="1" applyAlignment="1" applyProtection="1">
      <alignment horizontal="right" vertical="center"/>
    </xf>
    <xf numFmtId="3" fontId="3" fillId="0" borderId="40" xfId="1" applyNumberFormat="1" applyFont="1" applyFill="1" applyBorder="1" applyAlignment="1" applyProtection="1">
      <alignment horizontal="right" vertical="center"/>
    </xf>
    <xf numFmtId="3" fontId="3" fillId="0" borderId="41" xfId="1" applyNumberFormat="1" applyFont="1" applyFill="1" applyBorder="1" applyAlignment="1" applyProtection="1">
      <alignment horizontal="right" vertical="center"/>
    </xf>
    <xf numFmtId="3" fontId="3" fillId="0" borderId="39" xfId="1" applyNumberFormat="1" applyFont="1" applyFill="1" applyBorder="1" applyAlignment="1" applyProtection="1">
      <alignment horizontal="left" vertical="center" wrapText="1"/>
      <protection locked="0"/>
    </xf>
    <xf numFmtId="3" fontId="3" fillId="0" borderId="0" xfId="1" applyNumberFormat="1" applyFont="1" applyFill="1" applyBorder="1" applyAlignment="1" applyProtection="1">
      <alignment vertical="center"/>
    </xf>
    <xf numFmtId="0" fontId="2" fillId="0" borderId="22" xfId="1" applyFont="1" applyFill="1" applyBorder="1" applyAlignment="1" applyProtection="1">
      <alignment vertical="center" wrapText="1"/>
    </xf>
    <xf numFmtId="0" fontId="2" fillId="0" borderId="22" xfId="1" applyFont="1" applyFill="1" applyBorder="1" applyAlignment="1" applyProtection="1">
      <alignment horizontal="left" vertical="center" wrapText="1"/>
    </xf>
    <xf numFmtId="3" fontId="2" fillId="0" borderId="23" xfId="1" applyNumberFormat="1" applyFont="1" applyFill="1" applyBorder="1" applyAlignment="1" applyProtection="1">
      <alignment horizontal="right" vertical="center"/>
    </xf>
    <xf numFmtId="3" fontId="2" fillId="0" borderId="24" xfId="1" applyNumberFormat="1" applyFont="1" applyFill="1" applyBorder="1" applyAlignment="1" applyProtection="1">
      <alignment horizontal="right" vertical="center"/>
    </xf>
    <xf numFmtId="3" fontId="2" fillId="0" borderId="25" xfId="1" applyNumberFormat="1" applyFont="1" applyFill="1" applyBorder="1" applyAlignment="1" applyProtection="1">
      <alignment horizontal="right" vertical="center"/>
    </xf>
    <xf numFmtId="3" fontId="2" fillId="0" borderId="22" xfId="1" applyNumberFormat="1" applyFont="1" applyFill="1" applyBorder="1" applyAlignment="1" applyProtection="1">
      <alignment horizontal="right" vertical="center"/>
    </xf>
    <xf numFmtId="3" fontId="2" fillId="0" borderId="26" xfId="1" applyNumberFormat="1" applyFont="1" applyFill="1" applyBorder="1" applyAlignment="1" applyProtection="1">
      <alignment horizontal="right" vertical="center"/>
    </xf>
    <xf numFmtId="3" fontId="2" fillId="0" borderId="27" xfId="1" applyNumberFormat="1" applyFont="1" applyFill="1" applyBorder="1" applyAlignment="1" applyProtection="1">
      <alignment horizontal="right" vertical="center"/>
    </xf>
    <xf numFmtId="3" fontId="2" fillId="0" borderId="28" xfId="1" applyNumberFormat="1" applyFont="1" applyFill="1" applyBorder="1" applyAlignment="1" applyProtection="1">
      <alignment horizontal="right" vertical="center"/>
    </xf>
    <xf numFmtId="3" fontId="2" fillId="0" borderId="29" xfId="1" applyNumberFormat="1" applyFont="1" applyFill="1" applyBorder="1" applyAlignment="1" applyProtection="1">
      <alignment horizontal="right" vertical="center"/>
    </xf>
    <xf numFmtId="3" fontId="2" fillId="0" borderId="27" xfId="1" applyNumberFormat="1" applyFont="1" applyFill="1" applyBorder="1" applyAlignment="1" applyProtection="1">
      <alignment horizontal="left" vertical="center" wrapText="1"/>
      <protection locked="0"/>
    </xf>
    <xf numFmtId="0" fontId="2" fillId="0" borderId="16" xfId="1" applyFont="1" applyFill="1" applyBorder="1" applyAlignment="1" applyProtection="1">
      <alignment vertical="center" wrapText="1"/>
    </xf>
    <xf numFmtId="0" fontId="2" fillId="0" borderId="16" xfId="1" applyFont="1" applyFill="1" applyBorder="1" applyAlignment="1" applyProtection="1">
      <alignment horizontal="right" vertical="center" wrapText="1"/>
    </xf>
    <xf numFmtId="3" fontId="2" fillId="0" borderId="5" xfId="1" applyNumberFormat="1" applyFont="1" applyFill="1" applyBorder="1" applyAlignment="1" applyProtection="1">
      <alignment horizontal="right" vertical="center"/>
    </xf>
    <xf numFmtId="3" fontId="2" fillId="0" borderId="30" xfId="1" applyNumberFormat="1" applyFont="1" applyFill="1" applyBorder="1" applyAlignment="1" applyProtection="1">
      <alignment horizontal="right" vertical="center"/>
      <protection locked="0"/>
    </xf>
    <xf numFmtId="3" fontId="2" fillId="0" borderId="33" xfId="1" applyNumberFormat="1" applyFont="1" applyFill="1" applyBorder="1" applyAlignment="1" applyProtection="1">
      <alignment horizontal="right" vertical="center"/>
      <protection locked="0"/>
    </xf>
    <xf numFmtId="3" fontId="2" fillId="0" borderId="42" xfId="1" applyNumberFormat="1" applyFont="1" applyFill="1" applyBorder="1" applyAlignment="1" applyProtection="1">
      <alignment horizontal="right" vertical="center"/>
    </xf>
    <xf numFmtId="3" fontId="2" fillId="0" borderId="32" xfId="1" applyNumberFormat="1" applyFont="1" applyFill="1" applyBorder="1" applyAlignment="1" applyProtection="1">
      <alignment horizontal="right" vertical="center"/>
      <protection locked="0"/>
    </xf>
    <xf numFmtId="3" fontId="2" fillId="0" borderId="6" xfId="1" applyNumberFormat="1" applyFont="1" applyFill="1" applyBorder="1" applyAlignment="1" applyProtection="1">
      <alignment horizontal="right" vertical="center"/>
    </xf>
    <xf numFmtId="3" fontId="2" fillId="0" borderId="0" xfId="1" applyNumberFormat="1" applyFont="1" applyFill="1" applyBorder="1" applyAlignment="1" applyProtection="1">
      <alignment horizontal="right" vertical="center"/>
      <protection locked="0"/>
    </xf>
    <xf numFmtId="3" fontId="2" fillId="0" borderId="6" xfId="1" applyNumberFormat="1" applyFont="1" applyFill="1" applyBorder="1" applyAlignment="1" applyProtection="1">
      <alignment horizontal="left" vertical="center" wrapText="1"/>
      <protection locked="0"/>
    </xf>
    <xf numFmtId="0" fontId="2" fillId="0" borderId="43" xfId="1" applyFont="1" applyFill="1" applyBorder="1" applyAlignment="1" applyProtection="1">
      <alignment vertical="center" wrapText="1"/>
    </xf>
    <xf numFmtId="0" fontId="2" fillId="0" borderId="43" xfId="1" applyFont="1" applyFill="1" applyBorder="1" applyAlignment="1" applyProtection="1">
      <alignment horizontal="right" vertical="center" wrapText="1"/>
    </xf>
    <xf numFmtId="3" fontId="2" fillId="0" borderId="44" xfId="1" applyNumberFormat="1" applyFont="1" applyFill="1" applyBorder="1" applyAlignment="1" applyProtection="1">
      <alignment horizontal="right" vertical="center"/>
    </xf>
    <xf numFmtId="3" fontId="2" fillId="0" borderId="45" xfId="1" applyNumberFormat="1" applyFont="1" applyFill="1" applyBorder="1" applyAlignment="1" applyProtection="1">
      <alignment horizontal="right" vertical="center"/>
      <protection locked="0"/>
    </xf>
    <xf numFmtId="3" fontId="2" fillId="0" borderId="46" xfId="1" applyNumberFormat="1" applyFont="1" applyFill="1" applyBorder="1" applyAlignment="1" applyProtection="1">
      <alignment horizontal="right" vertical="center"/>
      <protection locked="0"/>
    </xf>
    <xf numFmtId="3" fontId="2" fillId="0" borderId="43" xfId="1" applyNumberFormat="1" applyFont="1" applyFill="1" applyBorder="1" applyAlignment="1" applyProtection="1">
      <alignment horizontal="right" vertical="center"/>
    </xf>
    <xf numFmtId="3" fontId="2" fillId="0" borderId="47" xfId="1" applyNumberFormat="1" applyFont="1" applyFill="1" applyBorder="1" applyAlignment="1" applyProtection="1">
      <alignment horizontal="right" vertical="center"/>
      <protection locked="0"/>
    </xf>
    <xf numFmtId="3" fontId="2" fillId="0" borderId="9" xfId="1" applyNumberFormat="1" applyFont="1" applyFill="1" applyBorder="1" applyAlignment="1" applyProtection="1">
      <alignment horizontal="right" vertical="center"/>
    </xf>
    <xf numFmtId="3" fontId="2" fillId="0" borderId="8" xfId="1" applyNumberFormat="1" applyFont="1" applyFill="1" applyBorder="1" applyAlignment="1" applyProtection="1">
      <alignment horizontal="right" vertical="center"/>
      <protection locked="0"/>
    </xf>
    <xf numFmtId="3" fontId="2" fillId="0" borderId="48" xfId="1" applyNumberFormat="1" applyFont="1" applyFill="1" applyBorder="1" applyAlignment="1" applyProtection="1">
      <alignment horizontal="right" vertical="center"/>
      <protection locked="0"/>
    </xf>
    <xf numFmtId="3" fontId="2" fillId="0" borderId="9" xfId="1" applyNumberFormat="1" applyFont="1" applyFill="1" applyBorder="1" applyAlignment="1" applyProtection="1">
      <alignment horizontal="left" vertical="center" wrapText="1"/>
      <protection locked="0"/>
    </xf>
    <xf numFmtId="0" fontId="3" fillId="0" borderId="18" xfId="1" applyFont="1" applyFill="1" applyBorder="1" applyAlignment="1" applyProtection="1">
      <alignment horizontal="left" vertical="center" wrapText="1"/>
    </xf>
    <xf numFmtId="3" fontId="2" fillId="0" borderId="49" xfId="1" applyNumberFormat="1" applyFont="1" applyFill="1" applyBorder="1" applyAlignment="1" applyProtection="1">
      <alignment vertical="center"/>
    </xf>
    <xf numFmtId="3" fontId="2" fillId="0" borderId="50" xfId="1" applyNumberFormat="1" applyFont="1" applyFill="1" applyBorder="1" applyAlignment="1" applyProtection="1">
      <alignment vertical="center"/>
      <protection locked="0"/>
    </xf>
    <xf numFmtId="3" fontId="2" fillId="0" borderId="51" xfId="1" applyNumberFormat="1" applyFont="1" applyFill="1" applyBorder="1" applyAlignment="1" applyProtection="1">
      <alignment vertical="center"/>
      <protection locked="0"/>
    </xf>
    <xf numFmtId="3" fontId="2" fillId="0" borderId="18" xfId="1" applyNumberFormat="1" applyFont="1" applyFill="1" applyBorder="1" applyAlignment="1" applyProtection="1">
      <alignment vertical="center"/>
    </xf>
    <xf numFmtId="3" fontId="2" fillId="0" borderId="52" xfId="1" applyNumberFormat="1" applyFont="1" applyFill="1" applyBorder="1" applyAlignment="1" applyProtection="1">
      <alignment vertical="center"/>
      <protection locked="0"/>
    </xf>
    <xf numFmtId="3" fontId="2" fillId="0" borderId="21" xfId="1" applyNumberFormat="1" applyFont="1" applyFill="1" applyBorder="1" applyAlignment="1" applyProtection="1">
      <alignment vertical="center"/>
    </xf>
    <xf numFmtId="3" fontId="2" fillId="0" borderId="50" xfId="1" applyNumberFormat="1" applyFont="1" applyFill="1" applyBorder="1" applyAlignment="1" applyProtection="1">
      <alignment horizontal="center" vertical="center"/>
    </xf>
    <xf numFmtId="3" fontId="2" fillId="0" borderId="52" xfId="1" applyNumberFormat="1" applyFont="1" applyFill="1" applyBorder="1" applyAlignment="1" applyProtection="1">
      <alignment horizontal="center" vertical="center"/>
    </xf>
    <xf numFmtId="3" fontId="2" fillId="0" borderId="21" xfId="1" applyNumberFormat="1" applyFont="1" applyFill="1" applyBorder="1" applyAlignment="1" applyProtection="1">
      <alignment horizontal="center" vertical="center"/>
    </xf>
    <xf numFmtId="3" fontId="2" fillId="0" borderId="19" xfId="1" applyNumberFormat="1" applyFont="1" applyFill="1" applyBorder="1" applyAlignment="1" applyProtection="1">
      <alignment horizontal="center" vertical="center"/>
    </xf>
    <xf numFmtId="3" fontId="2" fillId="0" borderId="20" xfId="1" applyNumberFormat="1" applyFont="1" applyFill="1" applyBorder="1" applyAlignment="1" applyProtection="1">
      <alignment horizontal="center" vertical="center"/>
    </xf>
    <xf numFmtId="3" fontId="2" fillId="0" borderId="21" xfId="1" applyNumberFormat="1" applyFont="1" applyFill="1" applyBorder="1" applyAlignment="1" applyProtection="1">
      <alignment horizontal="left" vertical="center" wrapText="1"/>
      <protection locked="0"/>
    </xf>
    <xf numFmtId="0" fontId="3" fillId="0" borderId="53" xfId="1" applyFont="1" applyFill="1" applyBorder="1" applyAlignment="1" applyProtection="1">
      <alignment horizontal="left" vertical="center" wrapText="1"/>
    </xf>
    <xf numFmtId="3" fontId="2" fillId="0" borderId="10" xfId="1" applyNumberFormat="1" applyFont="1" applyFill="1" applyBorder="1" applyAlignment="1" applyProtection="1">
      <alignment vertical="center"/>
    </xf>
    <xf numFmtId="3" fontId="2" fillId="0" borderId="54" xfId="1" applyNumberFormat="1" applyFont="1" applyFill="1" applyBorder="1" applyAlignment="1" applyProtection="1">
      <alignment horizontal="center" vertical="center"/>
      <protection locked="0"/>
    </xf>
    <xf numFmtId="3" fontId="2" fillId="0" borderId="55" xfId="1" applyNumberFormat="1" applyFont="1" applyFill="1" applyBorder="1" applyAlignment="1" applyProtection="1">
      <alignment horizontal="center" vertical="center"/>
      <protection locked="0"/>
    </xf>
    <xf numFmtId="3" fontId="2" fillId="0" borderId="56" xfId="1" applyNumberFormat="1" applyFont="1" applyFill="1" applyBorder="1" applyAlignment="1" applyProtection="1">
      <alignment horizontal="right" vertical="center"/>
    </xf>
    <xf numFmtId="3" fontId="2" fillId="0" borderId="54" xfId="1" applyNumberFormat="1" applyFont="1" applyFill="1" applyBorder="1" applyAlignment="1" applyProtection="1">
      <alignment horizontal="center" vertical="center"/>
    </xf>
    <xf numFmtId="3" fontId="2" fillId="0" borderId="57" xfId="1" applyNumberFormat="1" applyFont="1" applyFill="1" applyBorder="1" applyAlignment="1" applyProtection="1">
      <alignment horizontal="center" vertical="center"/>
    </xf>
    <xf numFmtId="3" fontId="2" fillId="0" borderId="11" xfId="1" applyNumberFormat="1" applyFont="1" applyFill="1" applyBorder="1" applyAlignment="1" applyProtection="1">
      <alignment horizontal="center" vertical="center"/>
    </xf>
    <xf numFmtId="3" fontId="2" fillId="0" borderId="1" xfId="1" applyNumberFormat="1" applyFont="1" applyFill="1" applyBorder="1" applyAlignment="1" applyProtection="1">
      <alignment horizontal="center" vertical="center"/>
    </xf>
    <xf numFmtId="3" fontId="2" fillId="0" borderId="55" xfId="1" applyNumberFormat="1" applyFont="1" applyFill="1" applyBorder="1" applyAlignment="1" applyProtection="1">
      <alignment horizontal="center" vertical="center"/>
    </xf>
    <xf numFmtId="3" fontId="2" fillId="0" borderId="11" xfId="1" applyNumberFormat="1" applyFont="1" applyFill="1" applyBorder="1" applyAlignment="1" applyProtection="1">
      <alignment horizontal="left" vertical="center" wrapText="1"/>
      <protection locked="0"/>
    </xf>
    <xf numFmtId="3" fontId="2" fillId="0" borderId="58" xfId="1" applyNumberFormat="1" applyFont="1" applyFill="1" applyBorder="1" applyAlignment="1" applyProtection="1">
      <alignment horizontal="center" vertical="center"/>
    </xf>
    <xf numFmtId="3" fontId="2" fillId="0" borderId="53" xfId="1" applyNumberFormat="1" applyFont="1" applyFill="1" applyBorder="1" applyAlignment="1" applyProtection="1">
      <alignment horizontal="center" vertical="center"/>
    </xf>
    <xf numFmtId="3" fontId="2" fillId="0" borderId="54" xfId="1" applyNumberFormat="1" applyFont="1" applyFill="1" applyBorder="1" applyAlignment="1" applyProtection="1">
      <alignment vertical="center"/>
    </xf>
    <xf numFmtId="3" fontId="2" fillId="0" borderId="57" xfId="1" applyNumberFormat="1" applyFont="1" applyFill="1" applyBorder="1" applyAlignment="1" applyProtection="1">
      <alignment vertical="center"/>
    </xf>
    <xf numFmtId="3" fontId="2" fillId="0" borderId="11" xfId="1" applyNumberFormat="1" applyFont="1" applyFill="1" applyBorder="1" applyAlignment="1" applyProtection="1">
      <alignment vertical="center"/>
    </xf>
    <xf numFmtId="0" fontId="3" fillId="0" borderId="53" xfId="1" applyFont="1" applyFill="1" applyBorder="1" applyAlignment="1" applyProtection="1">
      <alignment horizontal="center" vertical="center" wrapText="1"/>
    </xf>
    <xf numFmtId="0" fontId="2" fillId="0" borderId="16" xfId="1" applyFont="1" applyFill="1" applyBorder="1" applyAlignment="1" applyProtection="1">
      <alignment horizontal="left" vertical="center" wrapText="1"/>
    </xf>
    <xf numFmtId="3" fontId="2" fillId="0" borderId="5" xfId="1" applyNumberFormat="1" applyFont="1" applyFill="1" applyBorder="1" applyAlignment="1" applyProtection="1">
      <alignment vertical="center"/>
    </xf>
    <xf numFmtId="3" fontId="2" fillId="0" borderId="30" xfId="1" applyNumberFormat="1" applyFont="1" applyFill="1" applyBorder="1" applyAlignment="1" applyProtection="1">
      <alignment horizontal="center" vertical="center"/>
    </xf>
    <xf numFmtId="3" fontId="2" fillId="0" borderId="33" xfId="1" applyNumberFormat="1" applyFont="1" applyFill="1" applyBorder="1" applyAlignment="1" applyProtection="1">
      <alignment horizontal="center" vertical="center"/>
    </xf>
    <xf numFmtId="3" fontId="2" fillId="0" borderId="42" xfId="1" applyNumberFormat="1" applyFont="1" applyFill="1" applyBorder="1" applyAlignment="1" applyProtection="1">
      <alignment horizontal="center" vertical="center"/>
    </xf>
    <xf numFmtId="3" fontId="2" fillId="0" borderId="32" xfId="1" applyNumberFormat="1" applyFont="1" applyFill="1" applyBorder="1" applyAlignment="1" applyProtection="1">
      <alignment horizontal="center" vertical="center"/>
    </xf>
    <xf numFmtId="3" fontId="2" fillId="0" borderId="6" xfId="1" applyNumberFormat="1" applyFont="1" applyFill="1" applyBorder="1" applyAlignment="1" applyProtection="1">
      <alignment horizontal="center" vertical="center"/>
    </xf>
    <xf numFmtId="3" fontId="2" fillId="0" borderId="30" xfId="1" applyNumberFormat="1" applyFont="1" applyFill="1" applyBorder="1" applyAlignment="1" applyProtection="1">
      <alignment vertical="center"/>
      <protection locked="0"/>
    </xf>
    <xf numFmtId="3" fontId="2" fillId="0" borderId="32" xfId="1" applyNumberFormat="1" applyFont="1" applyFill="1" applyBorder="1" applyAlignment="1" applyProtection="1">
      <alignment vertical="center"/>
      <protection locked="0"/>
    </xf>
    <xf numFmtId="3" fontId="2" fillId="0" borderId="6" xfId="1" applyNumberFormat="1" applyFont="1" applyFill="1" applyBorder="1" applyAlignment="1" applyProtection="1">
      <alignment vertical="center"/>
    </xf>
    <xf numFmtId="3" fontId="2" fillId="0" borderId="0" xfId="1" applyNumberFormat="1" applyFont="1" applyFill="1" applyBorder="1" applyAlignment="1" applyProtection="1">
      <alignment horizontal="center" vertical="center"/>
    </xf>
    <xf numFmtId="0" fontId="2" fillId="0" borderId="43" xfId="1" applyFont="1" applyFill="1" applyBorder="1" applyAlignment="1" applyProtection="1">
      <alignment horizontal="left" vertical="center" wrapText="1"/>
    </xf>
    <xf numFmtId="3" fontId="2" fillId="0" borderId="44" xfId="1" applyNumberFormat="1" applyFont="1" applyFill="1" applyBorder="1" applyAlignment="1" applyProtection="1">
      <alignment vertical="center"/>
    </xf>
    <xf numFmtId="3" fontId="2" fillId="0" borderId="45" xfId="1" applyNumberFormat="1" applyFont="1" applyFill="1" applyBorder="1" applyAlignment="1" applyProtection="1">
      <alignment horizontal="center" vertical="center"/>
    </xf>
    <xf numFmtId="3" fontId="2" fillId="0" borderId="46" xfId="1" applyNumberFormat="1" applyFont="1" applyFill="1" applyBorder="1" applyAlignment="1" applyProtection="1">
      <alignment horizontal="center" vertical="center"/>
    </xf>
    <xf numFmtId="3" fontId="2" fillId="0" borderId="43" xfId="1" applyNumberFormat="1" applyFont="1" applyFill="1" applyBorder="1" applyAlignment="1" applyProtection="1">
      <alignment horizontal="center" vertical="center"/>
    </xf>
    <xf numFmtId="3" fontId="2" fillId="0" borderId="47" xfId="1" applyNumberFormat="1" applyFont="1" applyFill="1" applyBorder="1" applyAlignment="1" applyProtection="1">
      <alignment horizontal="center" vertical="center"/>
    </xf>
    <xf numFmtId="3" fontId="2" fillId="0" borderId="9" xfId="1" applyNumberFormat="1" applyFont="1" applyFill="1" applyBorder="1" applyAlignment="1" applyProtection="1">
      <alignment horizontal="center" vertical="center"/>
    </xf>
    <xf numFmtId="3" fontId="2" fillId="0" borderId="45" xfId="1" applyNumberFormat="1" applyFont="1" applyFill="1" applyBorder="1" applyAlignment="1" applyProtection="1">
      <alignment vertical="center"/>
      <protection locked="0"/>
    </xf>
    <xf numFmtId="3" fontId="2" fillId="0" borderId="47" xfId="1" applyNumberFormat="1" applyFont="1" applyFill="1" applyBorder="1" applyAlignment="1" applyProtection="1">
      <alignment vertical="center"/>
      <protection locked="0"/>
    </xf>
    <xf numFmtId="3" fontId="2" fillId="0" borderId="9" xfId="1" applyNumberFormat="1" applyFont="1" applyFill="1" applyBorder="1" applyAlignment="1" applyProtection="1">
      <alignment vertical="center"/>
    </xf>
    <xf numFmtId="3" fontId="2" fillId="0" borderId="8" xfId="1" applyNumberFormat="1" applyFont="1" applyFill="1" applyBorder="1" applyAlignment="1" applyProtection="1">
      <alignment horizontal="center" vertical="center"/>
    </xf>
    <xf numFmtId="3" fontId="2" fillId="0" borderId="48" xfId="1" applyNumberFormat="1" applyFont="1" applyFill="1" applyBorder="1" applyAlignment="1" applyProtection="1">
      <alignment horizontal="center" vertical="center"/>
    </xf>
    <xf numFmtId="3" fontId="2" fillId="0" borderId="59" xfId="1" applyNumberFormat="1" applyFont="1" applyFill="1" applyBorder="1" applyAlignment="1" applyProtection="1">
      <alignment horizontal="center" vertical="center"/>
    </xf>
    <xf numFmtId="3" fontId="2" fillId="0" borderId="56" xfId="1" applyNumberFormat="1" applyFont="1" applyFill="1" applyBorder="1" applyAlignment="1" applyProtection="1">
      <alignment horizontal="center" vertical="center"/>
    </xf>
    <xf numFmtId="0" fontId="2" fillId="0" borderId="60" xfId="1" applyFont="1" applyFill="1" applyBorder="1" applyAlignment="1" applyProtection="1">
      <alignment horizontal="right" vertical="center" wrapText="1"/>
    </xf>
    <xf numFmtId="0" fontId="2" fillId="0" borderId="60" xfId="1" applyFont="1" applyFill="1" applyBorder="1" applyAlignment="1" applyProtection="1">
      <alignment horizontal="left" vertical="center" wrapText="1"/>
    </xf>
    <xf numFmtId="3" fontId="2" fillId="0" borderId="61" xfId="1" applyNumberFormat="1" applyFont="1" applyFill="1" applyBorder="1" applyAlignment="1" applyProtection="1">
      <alignment vertical="center"/>
    </xf>
    <xf numFmtId="3" fontId="2" fillId="0" borderId="62" xfId="1" applyNumberFormat="1" applyFont="1" applyFill="1" applyBorder="1" applyAlignment="1" applyProtection="1">
      <alignment horizontal="center" vertical="center"/>
    </xf>
    <xf numFmtId="3" fontId="2" fillId="0" borderId="63" xfId="1" applyNumberFormat="1" applyFont="1" applyFill="1" applyBorder="1" applyAlignment="1" applyProtection="1">
      <alignment horizontal="center" vertical="center"/>
    </xf>
    <xf numFmtId="3" fontId="2" fillId="0" borderId="64" xfId="1" applyNumberFormat="1" applyFont="1" applyFill="1" applyBorder="1" applyAlignment="1" applyProtection="1">
      <alignment horizontal="center" vertical="center"/>
    </xf>
    <xf numFmtId="3" fontId="2" fillId="0" borderId="65" xfId="1" applyNumberFormat="1" applyFont="1" applyFill="1" applyBorder="1" applyAlignment="1" applyProtection="1">
      <alignment horizontal="center" vertical="center"/>
    </xf>
    <xf numFmtId="3" fontId="2" fillId="0" borderId="66" xfId="1" applyNumberFormat="1" applyFont="1" applyFill="1" applyBorder="1" applyAlignment="1" applyProtection="1">
      <alignment horizontal="center" vertical="center"/>
    </xf>
    <xf numFmtId="3" fontId="2" fillId="0" borderId="62" xfId="1" applyNumberFormat="1" applyFont="1" applyFill="1" applyBorder="1" applyAlignment="1" applyProtection="1">
      <alignment vertical="center"/>
      <protection locked="0"/>
    </xf>
    <xf numFmtId="3" fontId="2" fillId="0" borderId="65" xfId="1" applyNumberFormat="1" applyFont="1" applyFill="1" applyBorder="1" applyAlignment="1" applyProtection="1">
      <alignment vertical="center"/>
      <protection locked="0"/>
    </xf>
    <xf numFmtId="3" fontId="2" fillId="0" borderId="66" xfId="1" applyNumberFormat="1" applyFont="1" applyFill="1" applyBorder="1" applyAlignment="1" applyProtection="1">
      <alignment vertical="center"/>
    </xf>
    <xf numFmtId="3" fontId="2" fillId="0" borderId="67" xfId="1" applyNumberFormat="1" applyFont="1" applyFill="1" applyBorder="1" applyAlignment="1" applyProtection="1">
      <alignment horizontal="center" vertical="center"/>
    </xf>
    <xf numFmtId="3" fontId="2" fillId="0" borderId="66" xfId="1" applyNumberFormat="1" applyFont="1" applyFill="1" applyBorder="1" applyAlignment="1" applyProtection="1">
      <alignment horizontal="left" vertical="center" wrapText="1"/>
      <protection locked="0"/>
    </xf>
    <xf numFmtId="3" fontId="2" fillId="0" borderId="31" xfId="1" applyNumberFormat="1" applyFont="1" applyFill="1" applyBorder="1" applyAlignment="1" applyProtection="1">
      <alignment horizontal="center" vertical="center"/>
    </xf>
    <xf numFmtId="3" fontId="2" fillId="0" borderId="16"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right" vertical="center"/>
    </xf>
    <xf numFmtId="3" fontId="2" fillId="0" borderId="54" xfId="1" applyNumberFormat="1" applyFont="1" applyFill="1" applyBorder="1" applyAlignment="1" applyProtection="1">
      <alignment horizontal="right" vertical="center"/>
      <protection locked="0"/>
    </xf>
    <xf numFmtId="3" fontId="2" fillId="0" borderId="55" xfId="1" applyNumberFormat="1" applyFont="1" applyFill="1" applyBorder="1" applyAlignment="1" applyProtection="1">
      <alignment horizontal="right" vertical="center"/>
      <protection locked="0"/>
    </xf>
    <xf numFmtId="0" fontId="3" fillId="0" borderId="68" xfId="1" applyFont="1" applyFill="1" applyBorder="1" applyAlignment="1" applyProtection="1">
      <alignment horizontal="center" vertical="center" wrapText="1"/>
    </xf>
    <xf numFmtId="0" fontId="3" fillId="0" borderId="68" xfId="1" applyFont="1" applyFill="1" applyBorder="1" applyAlignment="1" applyProtection="1">
      <alignment horizontal="left" vertical="center" wrapText="1"/>
    </xf>
    <xf numFmtId="3" fontId="2" fillId="0" borderId="69" xfId="1" applyNumberFormat="1" applyFont="1" applyFill="1" applyBorder="1" applyAlignment="1" applyProtection="1">
      <alignment horizontal="right" vertical="center"/>
    </xf>
    <xf numFmtId="3" fontId="2" fillId="0" borderId="70" xfId="1" applyNumberFormat="1" applyFont="1" applyFill="1" applyBorder="1" applyAlignment="1" applyProtection="1">
      <alignment horizontal="right" vertical="center"/>
    </xf>
    <xf numFmtId="3" fontId="2" fillId="0" borderId="71" xfId="1" applyNumberFormat="1" applyFont="1" applyFill="1" applyBorder="1" applyAlignment="1" applyProtection="1">
      <alignment horizontal="right" vertical="center"/>
    </xf>
    <xf numFmtId="3" fontId="2" fillId="0" borderId="72" xfId="1" applyNumberFormat="1" applyFont="1" applyFill="1" applyBorder="1" applyAlignment="1" applyProtection="1">
      <alignment horizontal="right" vertical="center"/>
    </xf>
    <xf numFmtId="3" fontId="2" fillId="0" borderId="15" xfId="1" applyNumberFormat="1" applyFont="1" applyFill="1" applyBorder="1" applyAlignment="1" applyProtection="1">
      <alignment horizontal="right" vertical="center"/>
    </xf>
    <xf numFmtId="3" fontId="2" fillId="0" borderId="61" xfId="1" applyNumberFormat="1" applyFont="1" applyFill="1" applyBorder="1" applyAlignment="1" applyProtection="1">
      <alignment horizontal="right" vertical="center"/>
    </xf>
    <xf numFmtId="3" fontId="2" fillId="0" borderId="30" xfId="1" applyNumberFormat="1" applyFont="1" applyFill="1" applyBorder="1" applyAlignment="1" applyProtection="1">
      <alignment horizontal="center" vertical="center"/>
      <protection locked="0"/>
    </xf>
    <xf numFmtId="0" fontId="3" fillId="0" borderId="73" xfId="1" applyFont="1" applyFill="1" applyBorder="1" applyAlignment="1" applyProtection="1">
      <alignment horizontal="center" vertical="center" wrapText="1"/>
    </xf>
    <xf numFmtId="0" fontId="3" fillId="0" borderId="73" xfId="1" applyFont="1" applyFill="1" applyBorder="1" applyAlignment="1" applyProtection="1">
      <alignment horizontal="left" vertical="center" wrapText="1"/>
    </xf>
    <xf numFmtId="3" fontId="2" fillId="0" borderId="74" xfId="1" applyNumberFormat="1" applyFont="1" applyFill="1" applyBorder="1" applyAlignment="1" applyProtection="1">
      <alignment horizontal="center" vertical="center"/>
    </xf>
    <xf numFmtId="3" fontId="2" fillId="0" borderId="75" xfId="1" applyNumberFormat="1" applyFont="1" applyFill="1" applyBorder="1" applyAlignment="1" applyProtection="1">
      <alignment horizontal="center" vertical="center"/>
    </xf>
    <xf numFmtId="3" fontId="2" fillId="0" borderId="76" xfId="1" applyNumberFormat="1" applyFont="1" applyFill="1" applyBorder="1" applyAlignment="1" applyProtection="1">
      <alignment horizontal="center" vertical="center"/>
    </xf>
    <xf numFmtId="3" fontId="2" fillId="0" borderId="77" xfId="1" applyNumberFormat="1" applyFont="1" applyFill="1" applyBorder="1" applyAlignment="1" applyProtection="1">
      <alignment horizontal="center" vertical="center"/>
    </xf>
    <xf numFmtId="3" fontId="2" fillId="0" borderId="78" xfId="1" applyNumberFormat="1" applyFont="1" applyFill="1" applyBorder="1" applyAlignment="1" applyProtection="1">
      <alignment horizontal="center" vertical="center"/>
    </xf>
    <xf numFmtId="3" fontId="2" fillId="0" borderId="1" xfId="1" applyNumberFormat="1" applyFont="1" applyFill="1" applyBorder="1" applyAlignment="1" applyProtection="1">
      <alignment horizontal="right" vertical="center"/>
    </xf>
    <xf numFmtId="3" fontId="2" fillId="0" borderId="55" xfId="1" applyNumberFormat="1" applyFont="1" applyFill="1" applyBorder="1" applyAlignment="1" applyProtection="1">
      <alignment horizontal="right" vertical="center"/>
    </xf>
    <xf numFmtId="3" fontId="2" fillId="0" borderId="11" xfId="1" applyNumberFormat="1" applyFont="1" applyFill="1" applyBorder="1" applyAlignment="1" applyProtection="1">
      <alignment horizontal="right" vertical="center"/>
    </xf>
    <xf numFmtId="0" fontId="2" fillId="0" borderId="79" xfId="1" applyFont="1" applyFill="1" applyBorder="1" applyAlignment="1" applyProtection="1">
      <alignment horizontal="right" vertical="center" wrapText="1"/>
    </xf>
    <xf numFmtId="0" fontId="2" fillId="0" borderId="79" xfId="1" applyFont="1" applyFill="1" applyBorder="1" applyAlignment="1" applyProtection="1">
      <alignment horizontal="left" vertical="center" wrapText="1"/>
    </xf>
    <xf numFmtId="3" fontId="2" fillId="0" borderId="80" xfId="1" applyNumberFormat="1" applyFont="1" applyFill="1" applyBorder="1" applyAlignment="1" applyProtection="1">
      <alignment horizontal="right" vertical="center"/>
    </xf>
    <xf numFmtId="3" fontId="2" fillId="0" borderId="81" xfId="1" applyNumberFormat="1" applyFont="1" applyFill="1" applyBorder="1" applyAlignment="1" applyProtection="1">
      <alignment horizontal="center" vertical="center"/>
    </xf>
    <xf numFmtId="3" fontId="2" fillId="0" borderId="82" xfId="1" applyNumberFormat="1" applyFont="1" applyFill="1" applyBorder="1" applyAlignment="1" applyProtection="1">
      <alignment horizontal="center" vertical="center"/>
    </xf>
    <xf numFmtId="3" fontId="2" fillId="0" borderId="83" xfId="1" applyNumberFormat="1" applyFont="1" applyFill="1" applyBorder="1" applyAlignment="1" applyProtection="1">
      <alignment horizontal="center" vertical="center"/>
    </xf>
    <xf numFmtId="3" fontId="2" fillId="0" borderId="84" xfId="1" applyNumberFormat="1" applyFont="1" applyFill="1" applyBorder="1" applyAlignment="1" applyProtection="1">
      <alignment horizontal="center" vertical="center"/>
    </xf>
    <xf numFmtId="3" fontId="2" fillId="0" borderId="85" xfId="1" applyNumberFormat="1" applyFont="1" applyFill="1" applyBorder="1" applyAlignment="1" applyProtection="1">
      <alignment horizontal="center" vertical="center"/>
    </xf>
    <xf numFmtId="3" fontId="2" fillId="0" borderId="7" xfId="1" applyNumberFormat="1" applyFont="1" applyFill="1" applyBorder="1" applyAlignment="1" applyProtection="1">
      <alignment horizontal="right" vertical="center"/>
      <protection locked="0"/>
    </xf>
    <xf numFmtId="3" fontId="2" fillId="0" borderId="82" xfId="1" applyNumberFormat="1" applyFont="1" applyFill="1" applyBorder="1" applyAlignment="1" applyProtection="1">
      <alignment horizontal="right" vertical="center"/>
      <protection locked="0"/>
    </xf>
    <xf numFmtId="3" fontId="2" fillId="0" borderId="85" xfId="1" applyNumberFormat="1" applyFont="1" applyFill="1" applyBorder="1" applyAlignment="1" applyProtection="1">
      <alignment horizontal="right" vertical="center"/>
    </xf>
    <xf numFmtId="3" fontId="2" fillId="0" borderId="85" xfId="1" applyNumberFormat="1" applyFont="1" applyFill="1" applyBorder="1" applyAlignment="1" applyProtection="1">
      <alignment horizontal="left" vertical="center" wrapText="1"/>
      <protection locked="0"/>
    </xf>
    <xf numFmtId="0" fontId="2" fillId="0" borderId="79" xfId="1" applyFont="1" applyFill="1" applyBorder="1" applyAlignment="1" applyProtection="1">
      <alignment vertical="center" wrapText="1"/>
    </xf>
    <xf numFmtId="3" fontId="2" fillId="0" borderId="80" xfId="1" applyNumberFormat="1" applyFont="1" applyFill="1" applyBorder="1" applyAlignment="1" applyProtection="1">
      <alignment vertical="center"/>
    </xf>
    <xf numFmtId="3" fontId="2" fillId="0" borderId="81" xfId="1" applyNumberFormat="1" applyFont="1" applyFill="1" applyBorder="1" applyAlignment="1" applyProtection="1">
      <alignment horizontal="center" vertical="center"/>
      <protection locked="0"/>
    </xf>
    <xf numFmtId="3" fontId="2" fillId="0" borderId="86" xfId="1" applyNumberFormat="1" applyFont="1" applyFill="1" applyBorder="1" applyAlignment="1" applyProtection="1">
      <alignment horizontal="center" vertical="center"/>
      <protection locked="0"/>
    </xf>
    <xf numFmtId="3" fontId="2" fillId="0" borderId="79" xfId="1" applyNumberFormat="1" applyFont="1" applyFill="1" applyBorder="1" applyAlignment="1" applyProtection="1">
      <alignment horizontal="right" vertical="center"/>
    </xf>
    <xf numFmtId="3" fontId="2" fillId="0" borderId="84" xfId="1" applyNumberFormat="1" applyFont="1" applyFill="1" applyBorder="1" applyAlignment="1" applyProtection="1">
      <alignment horizontal="center" vertical="center"/>
      <protection locked="0"/>
    </xf>
    <xf numFmtId="3" fontId="2" fillId="0" borderId="81" xfId="1" applyNumberFormat="1" applyFont="1" applyFill="1" applyBorder="1" applyAlignment="1" applyProtection="1">
      <alignment horizontal="right" vertical="center"/>
      <protection locked="0"/>
    </xf>
    <xf numFmtId="3" fontId="2" fillId="0" borderId="84" xfId="1" applyNumberFormat="1" applyFont="1" applyFill="1" applyBorder="1" applyAlignment="1" applyProtection="1">
      <alignment horizontal="right" vertical="center"/>
      <protection locked="0"/>
    </xf>
    <xf numFmtId="0" fontId="3" fillId="0" borderId="16" xfId="1" applyFont="1" applyBorder="1" applyAlignment="1" applyProtection="1">
      <alignment vertical="center" wrapText="1"/>
    </xf>
    <xf numFmtId="0" fontId="3" fillId="0" borderId="16" xfId="1" applyFont="1" applyBorder="1" applyAlignment="1" applyProtection="1">
      <alignment horizontal="left" vertical="center" wrapText="1"/>
    </xf>
    <xf numFmtId="3" fontId="3" fillId="0" borderId="5" xfId="1" applyNumberFormat="1" applyFont="1" applyBorder="1" applyAlignment="1" applyProtection="1">
      <alignment vertical="center"/>
    </xf>
    <xf numFmtId="3" fontId="3" fillId="0" borderId="30" xfId="1" applyNumberFormat="1" applyFont="1" applyBorder="1" applyAlignment="1" applyProtection="1">
      <alignment vertical="center"/>
      <protection locked="0"/>
    </xf>
    <xf numFmtId="3" fontId="3" fillId="0" borderId="31" xfId="1" applyNumberFormat="1" applyFont="1" applyBorder="1" applyAlignment="1" applyProtection="1">
      <alignment vertical="center"/>
      <protection locked="0"/>
    </xf>
    <xf numFmtId="3" fontId="2" fillId="0" borderId="16" xfId="1" applyNumberFormat="1" applyFont="1" applyBorder="1" applyAlignment="1" applyProtection="1">
      <alignment vertical="center"/>
    </xf>
    <xf numFmtId="3" fontId="3" fillId="0" borderId="32" xfId="1" applyNumberFormat="1" applyFont="1" applyBorder="1" applyAlignment="1" applyProtection="1">
      <alignment vertical="center"/>
      <protection locked="0"/>
    </xf>
    <xf numFmtId="3" fontId="3" fillId="0" borderId="6" xfId="1" applyNumberFormat="1" applyFont="1" applyBorder="1" applyAlignment="1" applyProtection="1">
      <alignment vertical="center"/>
    </xf>
    <xf numFmtId="3" fontId="3" fillId="0" borderId="0" xfId="1" applyNumberFormat="1" applyFont="1" applyBorder="1" applyAlignment="1" applyProtection="1">
      <alignment vertical="center"/>
      <protection locked="0"/>
    </xf>
    <xf numFmtId="3" fontId="3" fillId="0" borderId="33" xfId="1" applyNumberFormat="1" applyFont="1" applyBorder="1" applyAlignment="1" applyProtection="1">
      <alignment vertical="center"/>
      <protection locked="0"/>
    </xf>
    <xf numFmtId="3" fontId="3" fillId="0" borderId="6" xfId="1" applyNumberFormat="1" applyFont="1" applyBorder="1" applyAlignment="1" applyProtection="1">
      <alignment horizontal="left" vertical="center" wrapText="1"/>
      <protection locked="0"/>
    </xf>
    <xf numFmtId="0" fontId="3" fillId="0" borderId="34" xfId="1" applyFont="1" applyFill="1" applyBorder="1" applyAlignment="1" applyProtection="1">
      <alignment vertical="center"/>
    </xf>
    <xf numFmtId="3" fontId="3" fillId="0" borderId="35" xfId="1" applyNumberFormat="1" applyFont="1" applyFill="1" applyBorder="1" applyAlignment="1" applyProtection="1">
      <alignment vertical="center"/>
    </xf>
    <xf numFmtId="3" fontId="3" fillId="0" borderId="36" xfId="1" applyNumberFormat="1" applyFont="1" applyFill="1" applyBorder="1" applyAlignment="1" applyProtection="1">
      <alignment vertical="center"/>
    </xf>
    <xf numFmtId="3" fontId="3" fillId="0" borderId="37" xfId="1" applyNumberFormat="1" applyFont="1" applyFill="1" applyBorder="1" applyAlignment="1" applyProtection="1">
      <alignment vertical="center"/>
    </xf>
    <xf numFmtId="3" fontId="3" fillId="0" borderId="34" xfId="1" applyNumberFormat="1" applyFont="1" applyFill="1" applyBorder="1" applyAlignment="1" applyProtection="1">
      <alignment vertical="center"/>
    </xf>
    <xf numFmtId="3" fontId="3" fillId="0" borderId="38" xfId="1" applyNumberFormat="1" applyFont="1" applyFill="1" applyBorder="1" applyAlignment="1" applyProtection="1">
      <alignment vertical="center"/>
    </xf>
    <xf numFmtId="3" fontId="3" fillId="0" borderId="39" xfId="1" applyNumberFormat="1" applyFont="1" applyFill="1" applyBorder="1" applyAlignment="1" applyProtection="1">
      <alignment vertical="center"/>
    </xf>
    <xf numFmtId="3" fontId="3" fillId="0" borderId="40" xfId="1" applyNumberFormat="1" applyFont="1" applyFill="1" applyBorder="1" applyAlignment="1" applyProtection="1">
      <alignment vertical="center"/>
    </xf>
    <xf numFmtId="3" fontId="3" fillId="0" borderId="41" xfId="1" applyNumberFormat="1" applyFont="1" applyFill="1" applyBorder="1" applyAlignment="1" applyProtection="1">
      <alignment vertical="center"/>
    </xf>
    <xf numFmtId="0" fontId="3" fillId="0" borderId="87" xfId="1" applyFont="1" applyFill="1" applyBorder="1" applyAlignment="1" applyProtection="1">
      <alignment vertical="center"/>
    </xf>
    <xf numFmtId="0" fontId="3" fillId="0" borderId="87" xfId="1" applyFont="1" applyFill="1" applyBorder="1" applyAlignment="1" applyProtection="1">
      <alignment vertical="center" wrapText="1"/>
    </xf>
    <xf numFmtId="3" fontId="3" fillId="0" borderId="88" xfId="1" applyNumberFormat="1" applyFont="1" applyFill="1" applyBorder="1" applyAlignment="1" applyProtection="1">
      <alignment vertical="center"/>
    </xf>
    <xf numFmtId="3" fontId="3" fillId="0" borderId="89" xfId="1" applyNumberFormat="1" applyFont="1" applyFill="1" applyBorder="1" applyAlignment="1" applyProtection="1">
      <alignment vertical="center"/>
    </xf>
    <xf numFmtId="3" fontId="3" fillId="0" borderId="90" xfId="1" applyNumberFormat="1" applyFont="1" applyFill="1" applyBorder="1" applyAlignment="1" applyProtection="1">
      <alignment vertical="center"/>
    </xf>
    <xf numFmtId="3" fontId="3" fillId="0" borderId="87" xfId="1" applyNumberFormat="1" applyFont="1" applyFill="1" applyBorder="1" applyAlignment="1" applyProtection="1">
      <alignment vertical="center"/>
    </xf>
    <xf numFmtId="3" fontId="3" fillId="0" borderId="91" xfId="1" applyNumberFormat="1" applyFont="1" applyFill="1" applyBorder="1" applyAlignment="1" applyProtection="1">
      <alignment vertical="center"/>
    </xf>
    <xf numFmtId="3" fontId="3" fillId="0" borderId="92" xfId="1" applyNumberFormat="1" applyFont="1" applyFill="1" applyBorder="1" applyAlignment="1" applyProtection="1">
      <alignment vertical="center"/>
    </xf>
    <xf numFmtId="3" fontId="3" fillId="0" borderId="93" xfId="1" applyNumberFormat="1" applyFont="1" applyFill="1" applyBorder="1" applyAlignment="1" applyProtection="1">
      <alignment vertical="center"/>
    </xf>
    <xf numFmtId="3" fontId="3" fillId="0" borderId="94" xfId="1" applyNumberFormat="1" applyFont="1" applyFill="1" applyBorder="1" applyAlignment="1" applyProtection="1">
      <alignment vertical="center"/>
    </xf>
    <xf numFmtId="3" fontId="3" fillId="0" borderId="92" xfId="1" applyNumberFormat="1" applyFont="1" applyFill="1" applyBorder="1" applyAlignment="1" applyProtection="1">
      <alignment horizontal="left" vertical="center" wrapText="1"/>
      <protection locked="0"/>
    </xf>
    <xf numFmtId="3" fontId="3" fillId="0" borderId="5" xfId="1" applyNumberFormat="1" applyFont="1" applyFill="1" applyBorder="1" applyAlignment="1" applyProtection="1">
      <alignment vertical="center"/>
    </xf>
    <xf numFmtId="3" fontId="3" fillId="0" borderId="30" xfId="1" applyNumberFormat="1" applyFont="1" applyFill="1" applyBorder="1" applyAlignment="1" applyProtection="1">
      <alignment vertical="center"/>
    </xf>
    <xf numFmtId="3" fontId="3" fillId="0" borderId="31" xfId="1" applyNumberFormat="1" applyFont="1" applyFill="1" applyBorder="1" applyAlignment="1" applyProtection="1">
      <alignment vertical="center"/>
    </xf>
    <xf numFmtId="3" fontId="3" fillId="0" borderId="16" xfId="1" applyNumberFormat="1" applyFont="1" applyFill="1" applyBorder="1" applyAlignment="1" applyProtection="1">
      <alignment vertical="center"/>
    </xf>
    <xf numFmtId="3" fontId="3" fillId="0" borderId="32" xfId="1" applyNumberFormat="1" applyFont="1" applyFill="1" applyBorder="1" applyAlignment="1" applyProtection="1">
      <alignment vertical="center"/>
    </xf>
    <xf numFmtId="3" fontId="3" fillId="0" borderId="6" xfId="1" applyNumberFormat="1" applyFont="1" applyFill="1" applyBorder="1" applyAlignment="1" applyProtection="1">
      <alignment vertical="center"/>
    </xf>
    <xf numFmtId="3" fontId="3" fillId="0" borderId="33" xfId="1" applyNumberFormat="1" applyFont="1" applyFill="1" applyBorder="1" applyAlignment="1" applyProtection="1">
      <alignment vertical="center"/>
    </xf>
    <xf numFmtId="3" fontId="3" fillId="0" borderId="6" xfId="1" applyNumberFormat="1" applyFont="1" applyFill="1" applyBorder="1" applyAlignment="1" applyProtection="1">
      <alignment horizontal="left" vertical="center" wrapText="1"/>
      <protection locked="0"/>
    </xf>
    <xf numFmtId="0" fontId="3" fillId="3" borderId="68" xfId="1" applyFont="1" applyFill="1" applyBorder="1" applyAlignment="1" applyProtection="1">
      <alignment horizontal="left" vertical="center" wrapText="1"/>
    </xf>
    <xf numFmtId="3" fontId="3" fillId="3" borderId="13" xfId="1" applyNumberFormat="1" applyFont="1" applyFill="1" applyBorder="1" applyAlignment="1" applyProtection="1">
      <alignment vertical="center"/>
    </xf>
    <xf numFmtId="3" fontId="3" fillId="3" borderId="69" xfId="1" applyNumberFormat="1" applyFont="1" applyFill="1" applyBorder="1" applyAlignment="1" applyProtection="1">
      <alignment vertical="center"/>
    </xf>
    <xf numFmtId="3" fontId="3" fillId="3" borderId="95" xfId="1" applyNumberFormat="1" applyFont="1" applyFill="1" applyBorder="1" applyAlignment="1" applyProtection="1">
      <alignment vertical="center"/>
    </xf>
    <xf numFmtId="3" fontId="3" fillId="3" borderId="68" xfId="1" applyNumberFormat="1" applyFont="1" applyFill="1" applyBorder="1" applyAlignment="1" applyProtection="1">
      <alignment vertical="center"/>
    </xf>
    <xf numFmtId="3" fontId="3" fillId="3" borderId="72" xfId="1" applyNumberFormat="1" applyFont="1" applyFill="1" applyBorder="1" applyAlignment="1" applyProtection="1">
      <alignment vertical="center"/>
    </xf>
    <xf numFmtId="3" fontId="3" fillId="3" borderId="15" xfId="1" applyNumberFormat="1" applyFont="1" applyFill="1" applyBorder="1" applyAlignment="1" applyProtection="1">
      <alignment vertical="center"/>
    </xf>
    <xf numFmtId="3" fontId="3" fillId="3" borderId="14" xfId="1" applyNumberFormat="1" applyFont="1" applyFill="1" applyBorder="1" applyAlignment="1" applyProtection="1">
      <alignment vertical="center"/>
    </xf>
    <xf numFmtId="3" fontId="3" fillId="3" borderId="70" xfId="1" applyNumberFormat="1" applyFont="1" applyFill="1" applyBorder="1" applyAlignment="1" applyProtection="1">
      <alignment vertical="center"/>
    </xf>
    <xf numFmtId="3" fontId="3" fillId="3" borderId="15" xfId="1" applyNumberFormat="1" applyFont="1" applyFill="1" applyBorder="1" applyAlignment="1" applyProtection="1">
      <alignment horizontal="left" vertical="center" wrapText="1"/>
      <protection locked="0"/>
    </xf>
    <xf numFmtId="0" fontId="2" fillId="0" borderId="53" xfId="1" applyFont="1" applyFill="1" applyBorder="1" applyAlignment="1" applyProtection="1">
      <alignment horizontal="left" vertical="center" wrapText="1"/>
    </xf>
    <xf numFmtId="3" fontId="2" fillId="0" borderId="58" xfId="1" applyNumberFormat="1" applyFont="1" applyFill="1" applyBorder="1" applyAlignment="1" applyProtection="1">
      <alignment vertical="center"/>
    </xf>
    <xf numFmtId="3" fontId="2" fillId="0" borderId="53"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xf>
    <xf numFmtId="3" fontId="2" fillId="0" borderId="70" xfId="1" applyNumberFormat="1" applyFont="1" applyFill="1" applyBorder="1" applyAlignment="1" applyProtection="1">
      <alignment vertical="center"/>
    </xf>
    <xf numFmtId="3" fontId="2" fillId="0" borderId="15" xfId="1" applyNumberFormat="1" applyFont="1" applyFill="1" applyBorder="1" applyAlignment="1" applyProtection="1">
      <alignment vertical="center"/>
    </xf>
    <xf numFmtId="3" fontId="2" fillId="0" borderId="15" xfId="1" applyNumberFormat="1" applyFont="1" applyFill="1" applyBorder="1" applyAlignment="1" applyProtection="1">
      <alignment horizontal="left" vertical="center" wrapText="1"/>
      <protection locked="0"/>
    </xf>
    <xf numFmtId="0" fontId="2" fillId="0" borderId="79" xfId="1" applyFont="1" applyFill="1" applyBorder="1" applyAlignment="1" applyProtection="1">
      <alignment horizontal="center" vertical="center" wrapText="1"/>
    </xf>
    <xf numFmtId="3" fontId="2" fillId="0" borderId="81" xfId="1" applyNumberFormat="1" applyFont="1" applyFill="1" applyBorder="1" applyAlignment="1" applyProtection="1">
      <alignment vertical="center"/>
    </xf>
    <xf numFmtId="3" fontId="2" fillId="0" borderId="86" xfId="1" applyNumberFormat="1" applyFont="1" applyFill="1" applyBorder="1" applyAlignment="1" applyProtection="1">
      <alignment vertical="center"/>
    </xf>
    <xf numFmtId="3" fontId="2" fillId="0" borderId="79" xfId="1" applyNumberFormat="1" applyFont="1" applyFill="1" applyBorder="1" applyAlignment="1" applyProtection="1">
      <alignment vertical="center"/>
    </xf>
    <xf numFmtId="3" fontId="2" fillId="0" borderId="84" xfId="1" applyNumberFormat="1" applyFont="1" applyFill="1" applyBorder="1" applyAlignment="1" applyProtection="1">
      <alignment vertical="center"/>
    </xf>
    <xf numFmtId="3" fontId="2" fillId="0" borderId="85" xfId="1" applyNumberFormat="1" applyFont="1" applyFill="1" applyBorder="1" applyAlignment="1" applyProtection="1">
      <alignment vertical="center"/>
    </xf>
    <xf numFmtId="3" fontId="2" fillId="0" borderId="7" xfId="1" applyNumberFormat="1" applyFont="1" applyFill="1" applyBorder="1" applyAlignment="1" applyProtection="1">
      <alignment vertical="center"/>
    </xf>
    <xf numFmtId="3" fontId="2" fillId="0" borderId="82" xfId="1" applyNumberFormat="1" applyFont="1" applyFill="1" applyBorder="1" applyAlignment="1" applyProtection="1">
      <alignment vertical="center"/>
    </xf>
    <xf numFmtId="3" fontId="2" fillId="0" borderId="33" xfId="1" applyNumberFormat="1" applyFont="1" applyFill="1" applyBorder="1" applyAlignment="1" applyProtection="1">
      <alignment vertical="center"/>
      <protection locked="0"/>
    </xf>
    <xf numFmtId="3" fontId="2" fillId="0" borderId="42" xfId="1" applyNumberFormat="1" applyFont="1" applyFill="1" applyBorder="1" applyAlignment="1" applyProtection="1">
      <alignment vertical="center"/>
    </xf>
    <xf numFmtId="3" fontId="2" fillId="0" borderId="0" xfId="1" applyNumberFormat="1" applyFont="1" applyFill="1" applyBorder="1" applyAlignment="1" applyProtection="1">
      <alignment vertical="center"/>
      <protection locked="0"/>
    </xf>
    <xf numFmtId="0" fontId="2" fillId="4" borderId="43" xfId="1" applyFont="1" applyFill="1" applyBorder="1" applyAlignment="1" applyProtection="1">
      <alignment horizontal="right" vertical="center" wrapText="1"/>
    </xf>
    <xf numFmtId="0" fontId="2" fillId="4" borderId="43" xfId="1" applyFont="1" applyFill="1" applyBorder="1" applyAlignment="1" applyProtection="1">
      <alignment horizontal="left" vertical="center" wrapText="1"/>
    </xf>
    <xf numFmtId="3" fontId="2" fillId="4" borderId="44" xfId="1" applyNumberFormat="1" applyFont="1" applyFill="1" applyBorder="1" applyAlignment="1" applyProtection="1">
      <alignment vertical="center"/>
    </xf>
    <xf numFmtId="3" fontId="2" fillId="4" borderId="45" xfId="1" applyNumberFormat="1" applyFont="1" applyFill="1" applyBorder="1" applyAlignment="1" applyProtection="1">
      <alignment vertical="center"/>
      <protection locked="0"/>
    </xf>
    <xf numFmtId="3" fontId="2" fillId="4" borderId="46" xfId="1" applyNumberFormat="1" applyFont="1" applyFill="1" applyBorder="1" applyAlignment="1" applyProtection="1">
      <alignment vertical="center"/>
      <protection locked="0"/>
    </xf>
    <xf numFmtId="3" fontId="2" fillId="4" borderId="43" xfId="1" applyNumberFormat="1" applyFont="1" applyFill="1" applyBorder="1" applyAlignment="1" applyProtection="1">
      <alignment vertical="center"/>
    </xf>
    <xf numFmtId="3" fontId="2" fillId="4" borderId="47" xfId="1" applyNumberFormat="1" applyFont="1" applyFill="1" applyBorder="1" applyAlignment="1" applyProtection="1">
      <alignment vertical="center"/>
      <protection locked="0"/>
    </xf>
    <xf numFmtId="3" fontId="2" fillId="4" borderId="9" xfId="1" applyNumberFormat="1" applyFont="1" applyFill="1" applyBorder="1" applyAlignment="1" applyProtection="1">
      <alignment vertical="center"/>
    </xf>
    <xf numFmtId="3" fontId="2" fillId="4" borderId="8" xfId="1" applyNumberFormat="1" applyFont="1" applyFill="1" applyBorder="1" applyAlignment="1" applyProtection="1">
      <alignment vertical="center"/>
      <protection locked="0"/>
    </xf>
    <xf numFmtId="3" fontId="2" fillId="4" borderId="48" xfId="1" applyNumberFormat="1" applyFont="1" applyFill="1" applyBorder="1" applyAlignment="1" applyProtection="1">
      <alignment vertical="center"/>
      <protection locked="0"/>
    </xf>
    <xf numFmtId="3" fontId="2" fillId="4" borderId="9" xfId="1" applyNumberFormat="1" applyFont="1" applyFill="1" applyBorder="1" applyAlignment="1" applyProtection="1">
      <alignment horizontal="left" vertical="center" wrapText="1"/>
      <protection locked="0"/>
    </xf>
    <xf numFmtId="0" fontId="2" fillId="0" borderId="43" xfId="1" applyFont="1" applyFill="1" applyBorder="1" applyAlignment="1" applyProtection="1">
      <alignment horizontal="center" vertical="center" wrapText="1"/>
    </xf>
    <xf numFmtId="3" fontId="2" fillId="0" borderId="45" xfId="1" applyNumberFormat="1" applyFont="1" applyFill="1" applyBorder="1" applyAlignment="1" applyProtection="1">
      <alignment vertical="center"/>
    </xf>
    <xf numFmtId="3" fontId="2" fillId="0" borderId="46" xfId="1" applyNumberFormat="1" applyFont="1" applyFill="1" applyBorder="1" applyAlignment="1" applyProtection="1">
      <alignment vertical="center"/>
    </xf>
    <xf numFmtId="3" fontId="2" fillId="0" borderId="43" xfId="1" applyNumberFormat="1" applyFont="1" applyFill="1" applyBorder="1" applyAlignment="1" applyProtection="1">
      <alignment vertical="center"/>
    </xf>
    <xf numFmtId="3" fontId="2" fillId="0" borderId="47" xfId="1" applyNumberFormat="1" applyFont="1" applyFill="1" applyBorder="1" applyAlignment="1" applyProtection="1">
      <alignment vertical="center"/>
    </xf>
    <xf numFmtId="3" fontId="2" fillId="0" borderId="8" xfId="1" applyNumberFormat="1" applyFont="1" applyFill="1" applyBorder="1" applyAlignment="1" applyProtection="1">
      <alignment vertical="center"/>
    </xf>
    <xf numFmtId="3" fontId="2" fillId="0" borderId="48" xfId="1" applyNumberFormat="1" applyFont="1" applyFill="1" applyBorder="1" applyAlignment="1" applyProtection="1">
      <alignment vertical="center"/>
    </xf>
    <xf numFmtId="3" fontId="2" fillId="0" borderId="46" xfId="1" applyNumberFormat="1" applyFont="1" applyFill="1" applyBorder="1" applyAlignment="1" applyProtection="1">
      <alignment vertical="center"/>
      <protection locked="0"/>
    </xf>
    <xf numFmtId="3" fontId="2" fillId="0" borderId="8" xfId="1" applyNumberFormat="1" applyFont="1" applyFill="1" applyBorder="1" applyAlignment="1" applyProtection="1">
      <alignment vertical="center"/>
      <protection locked="0"/>
    </xf>
    <xf numFmtId="3" fontId="2" fillId="0" borderId="48" xfId="1" applyNumberFormat="1" applyFont="1" applyFill="1" applyBorder="1" applyAlignment="1" applyProtection="1">
      <alignment vertical="center"/>
      <protection locked="0"/>
    </xf>
    <xf numFmtId="3" fontId="2" fillId="0" borderId="59" xfId="1" applyNumberFormat="1" applyFont="1" applyFill="1" applyBorder="1" applyAlignment="1" applyProtection="1">
      <alignment vertical="center"/>
    </xf>
    <xf numFmtId="3" fontId="2" fillId="0" borderId="81" xfId="1" applyNumberFormat="1" applyFont="1" applyFill="1" applyBorder="1" applyAlignment="1" applyProtection="1">
      <alignment vertical="center"/>
      <protection locked="0"/>
    </xf>
    <xf numFmtId="3" fontId="2" fillId="0" borderId="86" xfId="1" applyNumberFormat="1" applyFont="1" applyFill="1" applyBorder="1" applyAlignment="1" applyProtection="1">
      <alignment vertical="center"/>
      <protection locked="0"/>
    </xf>
    <xf numFmtId="3" fontId="2" fillId="0" borderId="84" xfId="1" applyNumberFormat="1" applyFont="1" applyFill="1" applyBorder="1" applyAlignment="1" applyProtection="1">
      <alignment vertical="center"/>
      <protection locked="0"/>
    </xf>
    <xf numFmtId="3" fontId="2" fillId="0" borderId="7" xfId="1" applyNumberFormat="1" applyFont="1" applyFill="1" applyBorder="1" applyAlignment="1" applyProtection="1">
      <alignment vertical="center"/>
      <protection locked="0"/>
    </xf>
    <xf numFmtId="3" fontId="2" fillId="0" borderId="82" xfId="1" applyNumberFormat="1" applyFont="1" applyFill="1" applyBorder="1" applyAlignment="1" applyProtection="1">
      <alignment vertical="center"/>
      <protection locked="0"/>
    </xf>
    <xf numFmtId="3" fontId="2" fillId="0" borderId="1" xfId="1" applyNumberFormat="1" applyFont="1" applyFill="1" applyBorder="1" applyAlignment="1" applyProtection="1">
      <alignment vertical="center"/>
    </xf>
    <xf numFmtId="3" fontId="2" fillId="0" borderId="55" xfId="1" applyNumberFormat="1" applyFont="1" applyFill="1" applyBorder="1" applyAlignment="1" applyProtection="1">
      <alignment vertical="center"/>
    </xf>
    <xf numFmtId="0" fontId="2" fillId="0" borderId="16" xfId="1" applyFont="1" applyFill="1" applyBorder="1" applyAlignment="1" applyProtection="1">
      <alignment horizontal="center" vertical="center" wrapText="1"/>
    </xf>
    <xf numFmtId="3" fontId="2" fillId="0" borderId="31" xfId="1" applyNumberFormat="1" applyFont="1" applyFill="1" applyBorder="1" applyAlignment="1" applyProtection="1">
      <alignment vertical="center"/>
      <protection locked="0"/>
    </xf>
    <xf numFmtId="3" fontId="2" fillId="0" borderId="16" xfId="1" applyNumberFormat="1" applyFont="1" applyFill="1" applyBorder="1" applyAlignment="1" applyProtection="1">
      <alignment vertical="center"/>
    </xf>
    <xf numFmtId="3" fontId="2" fillId="0" borderId="30" xfId="1" applyNumberFormat="1" applyFont="1" applyFill="1" applyBorder="1" applyAlignment="1" applyProtection="1">
      <alignment vertical="center"/>
    </xf>
    <xf numFmtId="3" fontId="2" fillId="0" borderId="31" xfId="1" applyNumberFormat="1" applyFont="1" applyFill="1" applyBorder="1" applyAlignment="1" applyProtection="1">
      <alignment vertical="center"/>
    </xf>
    <xf numFmtId="3" fontId="2" fillId="0" borderId="32" xfId="1" applyNumberFormat="1" applyFont="1" applyFill="1" applyBorder="1" applyAlignment="1" applyProtection="1">
      <alignment vertical="center"/>
    </xf>
    <xf numFmtId="3" fontId="2" fillId="0" borderId="0" xfId="1" applyNumberFormat="1" applyFont="1" applyFill="1" applyBorder="1" applyAlignment="1" applyProtection="1">
      <alignment vertical="center"/>
    </xf>
    <xf numFmtId="3" fontId="2" fillId="0" borderId="33" xfId="1" applyNumberFormat="1" applyFont="1" applyFill="1" applyBorder="1" applyAlignment="1" applyProtection="1">
      <alignment vertical="center"/>
    </xf>
    <xf numFmtId="3" fontId="2" fillId="0" borderId="73" xfId="1" applyNumberFormat="1" applyFont="1" applyFill="1" applyBorder="1" applyAlignment="1" applyProtection="1">
      <alignment vertical="center"/>
    </xf>
    <xf numFmtId="3" fontId="2" fillId="0" borderId="96" xfId="1" applyNumberFormat="1" applyFont="1" applyFill="1" applyBorder="1" applyAlignment="1" applyProtection="1">
      <alignment vertical="center"/>
    </xf>
    <xf numFmtId="3" fontId="2" fillId="0" borderId="75" xfId="1" applyNumberFormat="1" applyFont="1" applyFill="1" applyBorder="1" applyAlignment="1" applyProtection="1">
      <alignment vertical="center"/>
    </xf>
    <xf numFmtId="3" fontId="2" fillId="0" borderId="78" xfId="1" applyNumberFormat="1" applyFont="1" applyFill="1" applyBorder="1" applyAlignment="1" applyProtection="1">
      <alignment vertical="center"/>
    </xf>
    <xf numFmtId="3" fontId="2" fillId="0" borderId="78" xfId="1" applyNumberFormat="1" applyFont="1" applyFill="1" applyBorder="1" applyAlignment="1" applyProtection="1">
      <alignment horizontal="left" vertical="center" wrapText="1"/>
      <protection locked="0"/>
    </xf>
    <xf numFmtId="0" fontId="2" fillId="4" borderId="0" xfId="1" applyFont="1" applyFill="1" applyBorder="1" applyAlignment="1" applyProtection="1">
      <alignment vertical="center"/>
    </xf>
    <xf numFmtId="3" fontId="2" fillId="0" borderId="62" xfId="1" applyNumberFormat="1" applyFont="1" applyFill="1" applyBorder="1" applyAlignment="1" applyProtection="1">
      <alignment vertical="center"/>
    </xf>
    <xf numFmtId="3" fontId="8" fillId="4" borderId="9" xfId="1" applyNumberFormat="1" applyFont="1" applyFill="1" applyBorder="1" applyAlignment="1" applyProtection="1">
      <alignment horizontal="left" vertical="center" wrapText="1"/>
      <protection locked="0"/>
    </xf>
    <xf numFmtId="3" fontId="2" fillId="0" borderId="83" xfId="1" applyNumberFormat="1" applyFont="1" applyFill="1" applyBorder="1" applyAlignment="1" applyProtection="1">
      <alignment vertical="center"/>
    </xf>
    <xf numFmtId="3" fontId="2" fillId="0" borderId="54" xfId="1" applyNumberFormat="1" applyFont="1" applyFill="1" applyBorder="1" applyAlignment="1" applyProtection="1">
      <alignment vertical="center"/>
      <protection locked="0"/>
    </xf>
    <xf numFmtId="3" fontId="2" fillId="0" borderId="55" xfId="1" applyNumberFormat="1" applyFont="1" applyFill="1" applyBorder="1" applyAlignment="1" applyProtection="1">
      <alignment vertical="center"/>
      <protection locked="0"/>
    </xf>
    <xf numFmtId="3" fontId="2" fillId="0" borderId="56" xfId="1" applyNumberFormat="1" applyFont="1" applyFill="1" applyBorder="1" applyAlignment="1" applyProtection="1">
      <alignment vertical="center"/>
    </xf>
    <xf numFmtId="3" fontId="2" fillId="0" borderId="57" xfId="1" applyNumberFormat="1" applyFont="1" applyFill="1" applyBorder="1" applyAlignment="1" applyProtection="1">
      <alignment vertical="center"/>
      <protection locked="0"/>
    </xf>
    <xf numFmtId="3" fontId="2" fillId="0" borderId="1" xfId="1" applyNumberFormat="1" applyFont="1" applyFill="1" applyBorder="1" applyAlignment="1" applyProtection="1">
      <alignment vertical="center"/>
      <protection locked="0"/>
    </xf>
    <xf numFmtId="3" fontId="2" fillId="0" borderId="76" xfId="1" applyNumberFormat="1" applyFont="1" applyFill="1" applyBorder="1" applyAlignment="1" applyProtection="1">
      <alignment vertical="center"/>
    </xf>
    <xf numFmtId="3" fontId="2" fillId="0" borderId="67" xfId="1" applyNumberFormat="1" applyFont="1" applyFill="1" applyBorder="1" applyAlignment="1" applyProtection="1">
      <alignment vertical="center"/>
    </xf>
    <xf numFmtId="3" fontId="2" fillId="0" borderId="63" xfId="1" applyNumberFormat="1" applyFont="1" applyFill="1" applyBorder="1" applyAlignment="1" applyProtection="1">
      <alignment vertical="center"/>
    </xf>
    <xf numFmtId="0" fontId="3" fillId="0" borderId="0" xfId="1" applyFont="1" applyFill="1" applyBorder="1" applyAlignment="1" applyProtection="1">
      <alignment horizontal="left" vertical="center"/>
    </xf>
    <xf numFmtId="3" fontId="3" fillId="3" borderId="71" xfId="1" applyNumberFormat="1" applyFont="1" applyFill="1" applyBorder="1" applyAlignment="1" applyProtection="1">
      <alignment vertical="center"/>
    </xf>
    <xf numFmtId="0" fontId="2" fillId="0" borderId="68" xfId="1" applyFont="1" applyFill="1" applyBorder="1" applyAlignment="1" applyProtection="1">
      <alignment horizontal="left" vertical="center" wrapText="1"/>
    </xf>
    <xf numFmtId="3" fontId="2" fillId="0" borderId="97" xfId="1" applyNumberFormat="1" applyFont="1" applyFill="1" applyBorder="1" applyAlignment="1" applyProtection="1">
      <alignment vertical="center"/>
    </xf>
    <xf numFmtId="3" fontId="2" fillId="0" borderId="98" xfId="1" applyNumberFormat="1" applyFont="1" applyFill="1" applyBorder="1" applyAlignment="1" applyProtection="1">
      <alignment vertical="center"/>
    </xf>
    <xf numFmtId="3" fontId="2" fillId="0" borderId="99" xfId="1" applyNumberFormat="1" applyFont="1" applyFill="1" applyBorder="1" applyAlignment="1" applyProtection="1">
      <alignment vertical="center"/>
    </xf>
    <xf numFmtId="3" fontId="2" fillId="0" borderId="99" xfId="1" applyNumberFormat="1" applyFont="1" applyFill="1" applyBorder="1" applyAlignment="1" applyProtection="1">
      <alignment horizontal="left" vertical="center" wrapText="1"/>
      <protection locked="0"/>
    </xf>
    <xf numFmtId="0" fontId="2" fillId="0" borderId="100" xfId="1" applyFont="1" applyFill="1" applyBorder="1" applyAlignment="1" applyProtection="1">
      <alignment horizontal="right" vertical="center" wrapText="1"/>
    </xf>
    <xf numFmtId="3" fontId="2" fillId="0" borderId="101" xfId="1" applyNumberFormat="1" applyFont="1" applyFill="1" applyBorder="1" applyAlignment="1" applyProtection="1">
      <alignment vertical="center"/>
    </xf>
    <xf numFmtId="3" fontId="2" fillId="0" borderId="102" xfId="1" applyNumberFormat="1" applyFont="1" applyFill="1" applyBorder="1" applyAlignment="1" applyProtection="1">
      <alignment vertical="center"/>
      <protection locked="0"/>
    </xf>
    <xf numFmtId="3" fontId="2" fillId="0" borderId="98" xfId="1" applyNumberFormat="1" applyFont="1" applyFill="1" applyBorder="1" applyAlignment="1" applyProtection="1">
      <alignment vertical="center"/>
      <protection locked="0"/>
    </xf>
    <xf numFmtId="3" fontId="2" fillId="0" borderId="103" xfId="1" applyNumberFormat="1" applyFont="1" applyFill="1" applyBorder="1" applyAlignment="1" applyProtection="1">
      <alignment vertical="center"/>
    </xf>
    <xf numFmtId="3" fontId="2" fillId="0" borderId="104" xfId="1" applyNumberFormat="1" applyFont="1" applyFill="1" applyBorder="1" applyAlignment="1" applyProtection="1">
      <alignment vertical="center"/>
      <protection locked="0"/>
    </xf>
    <xf numFmtId="3" fontId="2" fillId="0" borderId="97" xfId="1" applyNumberFormat="1" applyFont="1" applyFill="1" applyBorder="1" applyAlignment="1" applyProtection="1">
      <alignment vertical="center"/>
      <protection locked="0"/>
    </xf>
    <xf numFmtId="3" fontId="2" fillId="0" borderId="13" xfId="1" applyNumberFormat="1" applyFont="1" applyFill="1" applyBorder="1" applyAlignment="1" applyProtection="1">
      <alignment vertical="center"/>
    </xf>
    <xf numFmtId="3" fontId="2" fillId="0" borderId="69" xfId="1" applyNumberFormat="1" applyFont="1" applyFill="1" applyBorder="1" applyAlignment="1" applyProtection="1">
      <alignment vertical="center"/>
    </xf>
    <xf numFmtId="3" fontId="2" fillId="0" borderId="71" xfId="1" applyNumberFormat="1" applyFont="1" applyFill="1" applyBorder="1" applyAlignment="1" applyProtection="1">
      <alignment vertical="center"/>
    </xf>
    <xf numFmtId="3" fontId="2" fillId="0" borderId="72" xfId="1" applyNumberFormat="1" applyFont="1" applyFill="1" applyBorder="1" applyAlignment="1" applyProtection="1">
      <alignment vertical="center"/>
    </xf>
    <xf numFmtId="1" fontId="3" fillId="3" borderId="68" xfId="1" applyNumberFormat="1" applyFont="1" applyFill="1" applyBorder="1" applyAlignment="1" applyProtection="1">
      <alignment horizontal="left" vertical="center" wrapText="1"/>
    </xf>
    <xf numFmtId="1" fontId="3" fillId="0" borderId="53" xfId="1" applyNumberFormat="1" applyFont="1" applyFill="1" applyBorder="1" applyAlignment="1" applyProtection="1">
      <alignment horizontal="left" vertical="center" wrapText="1"/>
    </xf>
    <xf numFmtId="0" fontId="3" fillId="0" borderId="16" xfId="1" applyFont="1" applyFill="1" applyBorder="1" applyAlignment="1" applyProtection="1">
      <alignment horizontal="center" vertical="center" wrapText="1"/>
    </xf>
    <xf numFmtId="3" fontId="3" fillId="0" borderId="96" xfId="1" applyNumberFormat="1" applyFont="1" applyFill="1" applyBorder="1" applyAlignment="1" applyProtection="1">
      <alignment vertical="center"/>
    </xf>
    <xf numFmtId="3" fontId="3" fillId="0" borderId="75" xfId="1" applyNumberFormat="1" applyFont="1" applyFill="1" applyBorder="1" applyAlignment="1" applyProtection="1">
      <alignment vertical="center"/>
    </xf>
    <xf numFmtId="3" fontId="3" fillId="0" borderId="78" xfId="1" applyNumberFormat="1" applyFont="1" applyFill="1" applyBorder="1" applyAlignment="1" applyProtection="1">
      <alignment vertical="center"/>
    </xf>
    <xf numFmtId="3" fontId="3" fillId="0" borderId="78" xfId="1" applyNumberFormat="1" applyFont="1" applyFill="1" applyBorder="1" applyAlignment="1" applyProtection="1">
      <alignment horizontal="left" vertical="center" wrapText="1"/>
      <protection locked="0"/>
    </xf>
    <xf numFmtId="0" fontId="2" fillId="0" borderId="100" xfId="1" applyFont="1" applyFill="1" applyBorder="1" applyAlignment="1" applyProtection="1">
      <alignment horizontal="center" vertical="center" wrapText="1"/>
    </xf>
    <xf numFmtId="0" fontId="2" fillId="0" borderId="100" xfId="1" applyFont="1" applyFill="1" applyBorder="1" applyAlignment="1" applyProtection="1">
      <alignment horizontal="left" vertical="center" wrapText="1"/>
    </xf>
    <xf numFmtId="0" fontId="2" fillId="0" borderId="43" xfId="1" applyFont="1" applyFill="1" applyBorder="1" applyAlignment="1" applyProtection="1">
      <alignment vertical="center"/>
    </xf>
    <xf numFmtId="0" fontId="3" fillId="3" borderId="53" xfId="1" applyFont="1" applyFill="1" applyBorder="1" applyAlignment="1" applyProtection="1">
      <alignment horizontal="left" vertical="center" wrapText="1"/>
    </xf>
    <xf numFmtId="3" fontId="3" fillId="3" borderId="10" xfId="1" applyNumberFormat="1" applyFont="1" applyFill="1" applyBorder="1" applyAlignment="1" applyProtection="1">
      <alignment vertical="center"/>
    </xf>
    <xf numFmtId="3" fontId="3" fillId="3" borderId="54" xfId="1" applyNumberFormat="1" applyFont="1" applyFill="1" applyBorder="1" applyAlignment="1" applyProtection="1">
      <alignment vertical="center"/>
    </xf>
    <xf numFmtId="3" fontId="3" fillId="3" borderId="58" xfId="1" applyNumberFormat="1" applyFont="1" applyFill="1" applyBorder="1" applyAlignment="1" applyProtection="1">
      <alignment vertical="center"/>
    </xf>
    <xf numFmtId="3" fontId="3" fillId="3" borderId="53" xfId="1" applyNumberFormat="1" applyFont="1" applyFill="1" applyBorder="1" applyAlignment="1" applyProtection="1">
      <alignment vertical="center"/>
    </xf>
    <xf numFmtId="3" fontId="3" fillId="3" borderId="57" xfId="1" applyNumberFormat="1" applyFont="1" applyFill="1" applyBorder="1" applyAlignment="1" applyProtection="1">
      <alignment vertical="center"/>
    </xf>
    <xf numFmtId="3" fontId="3" fillId="3" borderId="11" xfId="1" applyNumberFormat="1" applyFont="1" applyFill="1" applyBorder="1" applyAlignment="1" applyProtection="1">
      <alignment vertical="center"/>
    </xf>
    <xf numFmtId="3" fontId="3" fillId="3" borderId="96" xfId="1" applyNumberFormat="1" applyFont="1" applyFill="1" applyBorder="1" applyAlignment="1" applyProtection="1">
      <alignment vertical="center"/>
    </xf>
    <xf numFmtId="3" fontId="3" fillId="3" borderId="75" xfId="1" applyNumberFormat="1" applyFont="1" applyFill="1" applyBorder="1" applyAlignment="1" applyProtection="1">
      <alignment vertical="center"/>
    </xf>
    <xf numFmtId="3" fontId="3" fillId="3" borderId="78" xfId="1" applyNumberFormat="1" applyFont="1" applyFill="1" applyBorder="1" applyAlignment="1" applyProtection="1">
      <alignment vertical="center"/>
    </xf>
    <xf numFmtId="3" fontId="3" fillId="3" borderId="78" xfId="1" applyNumberFormat="1" applyFont="1" applyFill="1" applyBorder="1" applyAlignment="1" applyProtection="1">
      <alignment horizontal="left" vertical="center" wrapText="1"/>
      <protection locked="0"/>
    </xf>
    <xf numFmtId="0" fontId="9" fillId="0" borderId="0" xfId="1" applyFont="1" applyFill="1" applyBorder="1" applyAlignment="1" applyProtection="1">
      <alignment vertical="center"/>
    </xf>
    <xf numFmtId="3" fontId="2" fillId="0" borderId="105" xfId="1" applyNumberFormat="1" applyFont="1" applyFill="1" applyBorder="1" applyAlignment="1" applyProtection="1">
      <alignment vertical="center"/>
    </xf>
    <xf numFmtId="3" fontId="2" fillId="0" borderId="74" xfId="1" applyNumberFormat="1" applyFont="1" applyFill="1" applyBorder="1" applyAlignment="1" applyProtection="1">
      <alignment vertical="center"/>
    </xf>
    <xf numFmtId="3" fontId="2" fillId="0" borderId="77" xfId="1" applyNumberFormat="1" applyFont="1" applyFill="1" applyBorder="1" applyAlignment="1" applyProtection="1">
      <alignment vertical="center"/>
    </xf>
    <xf numFmtId="3" fontId="2" fillId="0" borderId="60" xfId="1" applyNumberFormat="1" applyFont="1" applyFill="1" applyBorder="1" applyAlignment="1" applyProtection="1">
      <alignment vertical="center"/>
    </xf>
    <xf numFmtId="3" fontId="2" fillId="0" borderId="63" xfId="1" applyNumberFormat="1" applyFont="1" applyFill="1" applyBorder="1" applyAlignment="1" applyProtection="1">
      <alignment vertical="center"/>
      <protection locked="0"/>
    </xf>
    <xf numFmtId="3" fontId="2" fillId="0" borderId="64" xfId="1" applyNumberFormat="1" applyFont="1" applyFill="1" applyBorder="1" applyAlignment="1" applyProtection="1">
      <alignment vertical="center"/>
    </xf>
    <xf numFmtId="3" fontId="2" fillId="0" borderId="67" xfId="1" applyNumberFormat="1" applyFont="1" applyFill="1" applyBorder="1" applyAlignment="1" applyProtection="1">
      <alignment vertical="center"/>
      <protection locked="0"/>
    </xf>
    <xf numFmtId="0" fontId="2" fillId="0" borderId="79" xfId="1" applyFont="1" applyFill="1" applyBorder="1" applyAlignment="1" applyProtection="1">
      <alignment vertical="center"/>
    </xf>
    <xf numFmtId="0" fontId="2" fillId="0" borderId="53" xfId="1" applyFont="1" applyFill="1" applyBorder="1" applyAlignment="1" applyProtection="1">
      <alignment horizontal="right" vertical="center" wrapText="1"/>
    </xf>
    <xf numFmtId="0" fontId="2" fillId="0" borderId="68" xfId="1" applyFont="1" applyFill="1" applyBorder="1" applyAlignment="1" applyProtection="1">
      <alignment vertical="center"/>
    </xf>
    <xf numFmtId="0" fontId="2" fillId="0" borderId="12" xfId="1" applyFont="1" applyFill="1" applyBorder="1" applyAlignment="1" applyProtection="1">
      <alignment vertical="center"/>
    </xf>
    <xf numFmtId="3" fontId="2" fillId="0" borderId="3" xfId="1" applyNumberFormat="1" applyFont="1" applyFill="1" applyBorder="1" applyAlignment="1" applyProtection="1">
      <alignment vertical="center"/>
    </xf>
    <xf numFmtId="3" fontId="2" fillId="0" borderId="106" xfId="1" applyNumberFormat="1" applyFont="1" applyFill="1" applyBorder="1" applyAlignment="1" applyProtection="1">
      <alignment vertical="center"/>
    </xf>
    <xf numFmtId="3" fontId="2" fillId="0" borderId="107" xfId="1" applyNumberFormat="1" applyFont="1" applyFill="1" applyBorder="1" applyAlignment="1" applyProtection="1">
      <alignment vertical="center"/>
    </xf>
    <xf numFmtId="3" fontId="2" fillId="0" borderId="12" xfId="1" applyNumberFormat="1" applyFont="1" applyFill="1" applyBorder="1" applyAlignment="1" applyProtection="1">
      <alignment vertical="center"/>
    </xf>
    <xf numFmtId="3" fontId="2" fillId="0" borderId="108" xfId="1" applyNumberFormat="1" applyFont="1" applyFill="1" applyBorder="1" applyAlignment="1" applyProtection="1">
      <alignment vertical="center"/>
    </xf>
    <xf numFmtId="3" fontId="2" fillId="0" borderId="4" xfId="1" applyNumberFormat="1" applyFont="1" applyFill="1" applyBorder="1" applyAlignment="1" applyProtection="1">
      <alignment vertical="center"/>
    </xf>
    <xf numFmtId="0" fontId="3" fillId="0" borderId="69" xfId="1" applyFont="1" applyFill="1" applyBorder="1" applyAlignment="1" applyProtection="1">
      <alignment horizontal="left" vertical="center"/>
    </xf>
    <xf numFmtId="0" fontId="3" fillId="0" borderId="71" xfId="1" applyFont="1" applyFill="1" applyBorder="1" applyAlignment="1" applyProtection="1">
      <alignment horizontal="left" vertical="center"/>
    </xf>
    <xf numFmtId="3" fontId="3" fillId="0" borderId="14" xfId="1" applyNumberFormat="1" applyFont="1" applyFill="1" applyBorder="1" applyAlignment="1" applyProtection="1">
      <alignment vertical="center"/>
    </xf>
    <xf numFmtId="3" fontId="3" fillId="0" borderId="69" xfId="1" applyNumberFormat="1" applyFont="1" applyFill="1" applyBorder="1" applyAlignment="1" applyProtection="1">
      <alignment vertical="center"/>
    </xf>
    <xf numFmtId="3" fontId="3" fillId="0" borderId="95" xfId="1" applyNumberFormat="1" applyFont="1" applyFill="1" applyBorder="1" applyAlignment="1" applyProtection="1">
      <alignment vertical="center"/>
    </xf>
    <xf numFmtId="3" fontId="3" fillId="0" borderId="68" xfId="1" applyNumberFormat="1" applyFont="1" applyFill="1" applyBorder="1" applyAlignment="1" applyProtection="1">
      <alignment vertical="center"/>
    </xf>
    <xf numFmtId="3" fontId="3" fillId="0" borderId="72" xfId="1" applyNumberFormat="1" applyFont="1" applyFill="1" applyBorder="1" applyAlignment="1" applyProtection="1">
      <alignment vertical="center"/>
    </xf>
    <xf numFmtId="3" fontId="3" fillId="0" borderId="15" xfId="1" applyNumberFormat="1" applyFont="1" applyFill="1" applyBorder="1" applyAlignment="1" applyProtection="1">
      <alignment vertical="center"/>
    </xf>
    <xf numFmtId="3" fontId="3" fillId="0" borderId="70" xfId="1" applyNumberFormat="1" applyFont="1" applyFill="1" applyBorder="1" applyAlignment="1" applyProtection="1">
      <alignment vertical="center"/>
    </xf>
    <xf numFmtId="3" fontId="3" fillId="0" borderId="15" xfId="1" applyNumberFormat="1" applyFont="1" applyFill="1" applyBorder="1" applyAlignment="1" applyProtection="1">
      <alignment horizontal="left" vertical="center" wrapText="1"/>
      <protection locked="0"/>
    </xf>
    <xf numFmtId="0" fontId="3" fillId="0" borderId="12" xfId="1" applyFont="1" applyFill="1" applyBorder="1" applyAlignment="1" applyProtection="1">
      <alignment vertical="center"/>
    </xf>
    <xf numFmtId="0" fontId="3" fillId="0" borderId="68" xfId="1" applyFont="1" applyFill="1" applyBorder="1" applyAlignment="1" applyProtection="1">
      <alignment vertical="center"/>
    </xf>
    <xf numFmtId="3" fontId="3" fillId="0" borderId="71" xfId="1" applyNumberFormat="1" applyFont="1" applyFill="1" applyBorder="1" applyAlignment="1" applyProtection="1">
      <alignment vertical="center"/>
    </xf>
    <xf numFmtId="0" fontId="2" fillId="0" borderId="100" xfId="1" applyFont="1" applyFill="1" applyBorder="1" applyAlignment="1" applyProtection="1">
      <alignment vertical="center"/>
    </xf>
    <xf numFmtId="0" fontId="2" fillId="0" borderId="100" xfId="1" applyFont="1" applyFill="1" applyBorder="1" applyAlignment="1" applyProtection="1">
      <alignment vertical="center" wrapText="1"/>
    </xf>
    <xf numFmtId="3" fontId="3" fillId="0" borderId="13" xfId="1" applyNumberFormat="1" applyFont="1" applyFill="1" applyBorder="1" applyAlignment="1" applyProtection="1">
      <alignment vertical="center"/>
    </xf>
    <xf numFmtId="3" fontId="3" fillId="0" borderId="69" xfId="1" applyNumberFormat="1" applyFont="1" applyFill="1" applyBorder="1" applyAlignment="1" applyProtection="1">
      <alignment vertical="center"/>
      <protection locked="0"/>
    </xf>
    <xf numFmtId="3" fontId="3" fillId="0" borderId="70" xfId="1" applyNumberFormat="1" applyFont="1" applyFill="1" applyBorder="1" applyAlignment="1" applyProtection="1">
      <alignment vertical="center"/>
      <protection locked="0"/>
    </xf>
    <xf numFmtId="3" fontId="3" fillId="0" borderId="72" xfId="1" applyNumberFormat="1" applyFont="1" applyFill="1" applyBorder="1" applyAlignment="1" applyProtection="1">
      <alignment vertical="center"/>
      <protection locked="0"/>
    </xf>
    <xf numFmtId="3" fontId="3" fillId="0" borderId="14" xfId="1" applyNumberFormat="1" applyFont="1" applyFill="1" applyBorder="1" applyAlignment="1" applyProtection="1">
      <alignment vertical="center"/>
      <protection locked="0"/>
    </xf>
    <xf numFmtId="0" fontId="3" fillId="0" borderId="1" xfId="1" applyFont="1" applyFill="1" applyBorder="1" applyAlignment="1" applyProtection="1">
      <alignment vertical="center" wrapText="1"/>
    </xf>
    <xf numFmtId="3" fontId="3" fillId="0" borderId="10" xfId="1" applyNumberFormat="1" applyFont="1" applyFill="1" applyBorder="1" applyAlignment="1" applyProtection="1">
      <alignment vertical="center"/>
    </xf>
    <xf numFmtId="3" fontId="3" fillId="0" borderId="54" xfId="1" applyNumberFormat="1" applyFont="1" applyFill="1" applyBorder="1" applyAlignment="1" applyProtection="1">
      <alignment vertical="center"/>
      <protection locked="0"/>
    </xf>
    <xf numFmtId="3" fontId="3" fillId="0" borderId="55" xfId="1" applyNumberFormat="1" applyFont="1" applyFill="1" applyBorder="1" applyAlignment="1" applyProtection="1">
      <alignment vertical="center"/>
      <protection locked="0"/>
    </xf>
    <xf numFmtId="3" fontId="3" fillId="0" borderId="56" xfId="1" applyNumberFormat="1" applyFont="1" applyFill="1" applyBorder="1" applyAlignment="1" applyProtection="1">
      <alignment vertical="center"/>
    </xf>
    <xf numFmtId="0" fontId="2" fillId="2" borderId="2" xfId="1" applyFont="1" applyFill="1" applyBorder="1" applyAlignment="1" applyProtection="1">
      <alignment vertical="center"/>
    </xf>
    <xf numFmtId="0" fontId="2" fillId="2" borderId="3" xfId="1" applyFont="1" applyFill="1" applyBorder="1" applyAlignment="1" applyProtection="1">
      <alignment vertical="center"/>
    </xf>
    <xf numFmtId="0" fontId="2" fillId="2" borderId="4" xfId="1" applyFont="1" applyFill="1" applyBorder="1" applyAlignment="1" applyProtection="1">
      <alignment vertical="center"/>
    </xf>
    <xf numFmtId="0" fontId="2" fillId="2" borderId="109" xfId="1" applyFont="1" applyFill="1" applyBorder="1" applyAlignment="1" applyProtection="1">
      <alignment vertical="center"/>
      <protection locked="0"/>
    </xf>
    <xf numFmtId="0" fontId="2" fillId="2" borderId="110" xfId="1" applyFont="1" applyFill="1" applyBorder="1" applyAlignment="1" applyProtection="1">
      <alignment vertical="center"/>
      <protection locked="0"/>
    </xf>
    <xf numFmtId="0" fontId="2" fillId="2" borderId="111" xfId="1" applyFont="1" applyFill="1" applyBorder="1" applyAlignment="1" applyProtection="1">
      <alignment vertical="center"/>
      <protection locked="0"/>
    </xf>
    <xf numFmtId="3" fontId="3" fillId="3" borderId="55" xfId="1" applyNumberFormat="1" applyFont="1" applyFill="1" applyBorder="1" applyAlignment="1" applyProtection="1">
      <alignment vertical="center"/>
    </xf>
    <xf numFmtId="3" fontId="3" fillId="3" borderId="56" xfId="1" applyNumberFormat="1" applyFont="1" applyFill="1" applyBorder="1" applyAlignment="1" applyProtection="1">
      <alignment vertical="center"/>
    </xf>
    <xf numFmtId="0" fontId="3" fillId="2" borderId="0" xfId="1" applyFont="1" applyFill="1" applyBorder="1" applyAlignment="1" applyProtection="1">
      <alignment vertical="center"/>
    </xf>
    <xf numFmtId="0" fontId="3" fillId="2" borderId="0" xfId="1" applyFont="1" applyFill="1" applyBorder="1" applyAlignment="1" applyProtection="1">
      <alignment horizontal="right" vertical="center"/>
    </xf>
    <xf numFmtId="0" fontId="2" fillId="0" borderId="2" xfId="1" applyFont="1" applyBorder="1" applyAlignment="1" applyProtection="1">
      <alignment vertical="center"/>
    </xf>
    <xf numFmtId="0" fontId="3" fillId="2" borderId="3" xfId="1" applyFont="1" applyFill="1" applyBorder="1" applyAlignment="1" applyProtection="1">
      <alignment vertical="center"/>
    </xf>
    <xf numFmtId="0" fontId="3" fillId="2" borderId="3" xfId="1" applyFont="1" applyFill="1" applyBorder="1" applyAlignment="1" applyProtection="1">
      <alignment horizontal="right" vertical="center"/>
    </xf>
    <xf numFmtId="0" fontId="3" fillId="2" borderId="4" xfId="1" applyFont="1" applyFill="1" applyBorder="1" applyAlignment="1" applyProtection="1">
      <alignment vertical="center"/>
    </xf>
    <xf numFmtId="0" fontId="9" fillId="0" borderId="5" xfId="1" applyFont="1" applyFill="1" applyBorder="1" applyAlignment="1" applyProtection="1">
      <alignment vertical="center"/>
    </xf>
    <xf numFmtId="49" fontId="4" fillId="2" borderId="5" xfId="1" applyNumberFormat="1" applyFont="1" applyFill="1" applyBorder="1" applyAlignment="1" applyProtection="1">
      <alignment horizontal="center" vertical="center"/>
    </xf>
    <xf numFmtId="49" fontId="4" fillId="2" borderId="0" xfId="1" applyNumberFormat="1" applyFont="1" applyFill="1" applyBorder="1" applyAlignment="1" applyProtection="1">
      <alignment horizontal="center" vertical="center"/>
    </xf>
    <xf numFmtId="49" fontId="4" fillId="2" borderId="6" xfId="1" applyNumberFormat="1" applyFont="1" applyFill="1" applyBorder="1" applyAlignment="1" applyProtection="1">
      <alignment horizontal="center" vertical="center"/>
    </xf>
    <xf numFmtId="49" fontId="2" fillId="2" borderId="96" xfId="1" applyNumberFormat="1" applyFont="1" applyFill="1" applyBorder="1" applyAlignment="1" applyProtection="1">
      <alignment vertical="center"/>
      <protection locked="0"/>
    </xf>
    <xf numFmtId="49" fontId="2" fillId="2" borderId="78" xfId="1" applyNumberFormat="1" applyFont="1" applyFill="1" applyBorder="1" applyAlignment="1" applyProtection="1">
      <alignment vertical="center"/>
      <protection locked="0"/>
    </xf>
    <xf numFmtId="0" fontId="3" fillId="0" borderId="42" xfId="1" applyFont="1" applyFill="1" applyBorder="1" applyAlignment="1" applyProtection="1">
      <alignment vertical="center"/>
    </xf>
    <xf numFmtId="0" fontId="3" fillId="0" borderId="6" xfId="1" applyFont="1" applyFill="1" applyBorder="1" applyAlignment="1" applyProtection="1">
      <alignment vertical="center"/>
      <protection locked="0"/>
    </xf>
    <xf numFmtId="0" fontId="3" fillId="0" borderId="16" xfId="1" applyFont="1" applyFill="1" applyBorder="1" applyAlignment="1" applyProtection="1">
      <alignment vertical="center"/>
      <protection locked="0"/>
    </xf>
    <xf numFmtId="0" fontId="3" fillId="0" borderId="42" xfId="1" applyFont="1" applyFill="1" applyBorder="1" applyAlignment="1" applyProtection="1">
      <alignment vertical="center"/>
      <protection locked="0"/>
    </xf>
    <xf numFmtId="3" fontId="3" fillId="0" borderId="112" xfId="1" applyNumberFormat="1" applyFont="1" applyFill="1" applyBorder="1" applyAlignment="1" applyProtection="1">
      <alignment horizontal="right" vertical="center"/>
    </xf>
    <xf numFmtId="3" fontId="2" fillId="0" borderId="113" xfId="1" applyNumberFormat="1" applyFont="1" applyFill="1" applyBorder="1" applyAlignment="1" applyProtection="1">
      <alignment horizontal="right" vertical="center"/>
    </xf>
    <xf numFmtId="3" fontId="2" fillId="0" borderId="6" xfId="1" applyNumberFormat="1" applyFont="1" applyFill="1" applyBorder="1" applyAlignment="1" applyProtection="1">
      <alignment horizontal="right" vertical="center"/>
      <protection locked="0"/>
    </xf>
    <xf numFmtId="3" fontId="2" fillId="0" borderId="42" xfId="1" applyNumberFormat="1" applyFont="1" applyFill="1" applyBorder="1" applyAlignment="1" applyProtection="1">
      <alignment horizontal="right" vertical="center"/>
      <protection locked="0"/>
    </xf>
    <xf numFmtId="3" fontId="2" fillId="0" borderId="59" xfId="1" applyNumberFormat="1" applyFont="1" applyFill="1" applyBorder="1" applyAlignment="1" applyProtection="1">
      <alignment horizontal="right" vertical="center"/>
    </xf>
    <xf numFmtId="3" fontId="2" fillId="0" borderId="9" xfId="1" applyNumberFormat="1" applyFont="1" applyFill="1" applyBorder="1" applyAlignment="1" applyProtection="1">
      <alignment horizontal="right" vertical="center"/>
      <protection locked="0"/>
    </xf>
    <xf numFmtId="3" fontId="2" fillId="0" borderId="45" xfId="1" applyNumberFormat="1" applyFont="1" applyFill="1" applyBorder="1" applyAlignment="1" applyProtection="1">
      <alignment horizontal="right" vertical="center"/>
    </xf>
    <xf numFmtId="3" fontId="2" fillId="0" borderId="59" xfId="1" applyNumberFormat="1" applyFont="1" applyFill="1" applyBorder="1" applyAlignment="1" applyProtection="1">
      <alignment horizontal="right" vertical="center"/>
      <protection locked="0"/>
    </xf>
    <xf numFmtId="3" fontId="2" fillId="0" borderId="114" xfId="1" applyNumberFormat="1" applyFont="1" applyFill="1" applyBorder="1" applyAlignment="1" applyProtection="1">
      <alignment vertical="center"/>
    </xf>
    <xf numFmtId="3" fontId="2" fillId="0" borderId="20" xfId="1" applyNumberFormat="1" applyFont="1" applyFill="1" applyBorder="1" applyAlignment="1" applyProtection="1">
      <alignment vertical="center"/>
      <protection locked="0"/>
    </xf>
    <xf numFmtId="3" fontId="2" fillId="0" borderId="21" xfId="1" applyNumberFormat="1" applyFont="1" applyFill="1" applyBorder="1" applyAlignment="1" applyProtection="1">
      <alignment horizontal="right" vertical="center"/>
      <protection locked="0"/>
    </xf>
    <xf numFmtId="3" fontId="2" fillId="0" borderId="19" xfId="1" applyNumberFormat="1" applyFont="1" applyFill="1" applyBorder="1" applyAlignment="1" applyProtection="1">
      <alignment horizontal="right" vertical="center"/>
      <protection locked="0"/>
    </xf>
    <xf numFmtId="3" fontId="2" fillId="0" borderId="51" xfId="1" applyNumberFormat="1" applyFont="1" applyFill="1" applyBorder="1" applyAlignment="1" applyProtection="1">
      <alignment horizontal="center" vertical="center"/>
    </xf>
    <xf numFmtId="3" fontId="2" fillId="0" borderId="18" xfId="1" applyNumberFormat="1" applyFont="1" applyFill="1" applyBorder="1" applyAlignment="1" applyProtection="1">
      <alignment horizontal="center" vertical="center"/>
    </xf>
    <xf numFmtId="3" fontId="2" fillId="0" borderId="39" xfId="1" applyNumberFormat="1" applyFont="1" applyFill="1" applyBorder="1" applyAlignment="1" applyProtection="1">
      <alignment horizontal="left" vertical="center" wrapText="1"/>
    </xf>
    <xf numFmtId="3" fontId="2" fillId="0" borderId="11" xfId="1" applyNumberFormat="1" applyFont="1" applyFill="1" applyBorder="1" applyAlignment="1" applyProtection="1">
      <alignment horizontal="right" vertical="center"/>
      <protection locked="0"/>
    </xf>
    <xf numFmtId="3" fontId="2" fillId="0" borderId="9" xfId="1" applyNumberFormat="1" applyFont="1" applyFill="1" applyBorder="1" applyAlignment="1" applyProtection="1">
      <alignment vertical="center" wrapText="1"/>
      <protection locked="0"/>
    </xf>
    <xf numFmtId="3" fontId="2" fillId="0" borderId="6" xfId="1" applyNumberFormat="1" applyFont="1" applyFill="1" applyBorder="1" applyAlignment="1" applyProtection="1">
      <alignment vertical="center"/>
      <protection locked="0"/>
    </xf>
    <xf numFmtId="3" fontId="2" fillId="0" borderId="9" xfId="1" applyNumberFormat="1" applyFont="1" applyFill="1" applyBorder="1" applyAlignment="1" applyProtection="1">
      <alignment vertical="center"/>
      <protection locked="0"/>
    </xf>
    <xf numFmtId="3" fontId="2" fillId="0" borderId="66" xfId="1" applyNumberFormat="1" applyFont="1" applyFill="1" applyBorder="1" applyAlignment="1" applyProtection="1">
      <alignment horizontal="right" vertical="center"/>
      <protection locked="0"/>
    </xf>
    <xf numFmtId="3" fontId="2" fillId="0" borderId="66" xfId="1" applyNumberFormat="1" applyFont="1" applyFill="1" applyBorder="1" applyAlignment="1" applyProtection="1">
      <alignment vertical="center"/>
      <protection locked="0"/>
    </xf>
    <xf numFmtId="3" fontId="2" fillId="0" borderId="43" xfId="1" applyNumberFormat="1" applyFont="1" applyFill="1" applyBorder="1" applyAlignment="1" applyProtection="1">
      <alignment horizontal="right" vertical="center"/>
      <protection locked="0"/>
    </xf>
    <xf numFmtId="3" fontId="2" fillId="0" borderId="14" xfId="1" applyNumberFormat="1" applyFont="1" applyFill="1" applyBorder="1" applyAlignment="1" applyProtection="1">
      <alignment horizontal="right" vertical="center"/>
    </xf>
    <xf numFmtId="3" fontId="2" fillId="0" borderId="64" xfId="1" applyNumberFormat="1" applyFont="1" applyFill="1" applyBorder="1" applyAlignment="1" applyProtection="1">
      <alignment horizontal="right" vertical="center"/>
    </xf>
    <xf numFmtId="3" fontId="2" fillId="0" borderId="32" xfId="1" applyNumberFormat="1" applyFont="1" applyFill="1" applyBorder="1" applyAlignment="1" applyProtection="1">
      <alignment horizontal="center" vertical="center"/>
      <protection locked="0"/>
    </xf>
    <xf numFmtId="3" fontId="2" fillId="0" borderId="63" xfId="1" applyNumberFormat="1" applyFont="1" applyFill="1" applyBorder="1" applyAlignment="1" applyProtection="1">
      <alignment horizontal="center" vertical="center"/>
      <protection locked="0"/>
    </xf>
    <xf numFmtId="3" fontId="2" fillId="0" borderId="6" xfId="1" applyNumberFormat="1" applyFont="1" applyFill="1" applyBorder="1" applyAlignment="1" applyProtection="1">
      <alignment horizontal="center" vertical="center"/>
      <protection locked="0"/>
    </xf>
    <xf numFmtId="3" fontId="2" fillId="0" borderId="96" xfId="1" applyNumberFormat="1" applyFont="1" applyFill="1" applyBorder="1" applyAlignment="1" applyProtection="1">
      <alignment horizontal="center" vertical="center"/>
    </xf>
    <xf numFmtId="3" fontId="2" fillId="0" borderId="54" xfId="1" applyNumberFormat="1" applyFont="1" applyFill="1" applyBorder="1" applyAlignment="1" applyProtection="1">
      <alignment horizontal="right" vertical="center"/>
    </xf>
    <xf numFmtId="3" fontId="2" fillId="0" borderId="83" xfId="1" applyNumberFormat="1" applyFont="1" applyFill="1" applyBorder="1" applyAlignment="1" applyProtection="1">
      <alignment horizontal="right" vertical="center"/>
    </xf>
    <xf numFmtId="3" fontId="2" fillId="0" borderId="7" xfId="1" applyNumberFormat="1" applyFont="1" applyFill="1" applyBorder="1" applyAlignment="1" applyProtection="1">
      <alignment horizontal="center" vertical="center"/>
    </xf>
    <xf numFmtId="3" fontId="2" fillId="0" borderId="81" xfId="1" applyNumberFormat="1" applyFont="1" applyFill="1" applyBorder="1" applyAlignment="1" applyProtection="1">
      <alignment horizontal="right" vertical="center"/>
    </xf>
    <xf numFmtId="3" fontId="2" fillId="0" borderId="86" xfId="1" applyNumberFormat="1" applyFont="1" applyFill="1" applyBorder="1" applyAlignment="1" applyProtection="1">
      <alignment horizontal="right" vertical="center"/>
    </xf>
    <xf numFmtId="3" fontId="2" fillId="0" borderId="82" xfId="1" applyNumberFormat="1" applyFont="1" applyFill="1" applyBorder="1" applyAlignment="1" applyProtection="1">
      <alignment horizontal="right" vertical="center"/>
    </xf>
    <xf numFmtId="3" fontId="3" fillId="0" borderId="42" xfId="1" applyNumberFormat="1" applyFont="1" applyFill="1" applyBorder="1" applyAlignment="1" applyProtection="1">
      <alignment vertical="center"/>
    </xf>
    <xf numFmtId="3" fontId="3" fillId="0" borderId="30" xfId="1" applyNumberFormat="1" applyFont="1" applyBorder="1" applyAlignment="1" applyProtection="1">
      <alignment vertical="center"/>
    </xf>
    <xf numFmtId="3" fontId="3" fillId="0" borderId="33" xfId="1" applyNumberFormat="1" applyFont="1" applyBorder="1" applyAlignment="1" applyProtection="1">
      <alignment vertical="center"/>
    </xf>
    <xf numFmtId="3" fontId="3" fillId="0" borderId="42" xfId="1" applyNumberFormat="1" applyFont="1" applyBorder="1" applyAlignment="1" applyProtection="1">
      <alignment vertical="center"/>
    </xf>
    <xf numFmtId="3" fontId="3" fillId="0" borderId="112" xfId="1" applyNumberFormat="1" applyFont="1" applyFill="1" applyBorder="1" applyAlignment="1" applyProtection="1">
      <alignment vertical="center"/>
    </xf>
    <xf numFmtId="3" fontId="3" fillId="0" borderId="115" xfId="1" applyNumberFormat="1" applyFont="1" applyFill="1" applyBorder="1" applyAlignment="1" applyProtection="1">
      <alignment vertical="center"/>
    </xf>
    <xf numFmtId="3" fontId="3" fillId="5" borderId="71" xfId="1" applyNumberFormat="1" applyFont="1" applyFill="1" applyBorder="1" applyAlignment="1" applyProtection="1">
      <alignment vertical="center"/>
    </xf>
    <xf numFmtId="3" fontId="3" fillId="5" borderId="69" xfId="1" applyNumberFormat="1" applyFont="1" applyFill="1" applyBorder="1" applyAlignment="1" applyProtection="1">
      <alignment vertical="center"/>
    </xf>
    <xf numFmtId="3" fontId="3" fillId="5" borderId="70" xfId="1" applyNumberFormat="1" applyFont="1" applyFill="1" applyBorder="1" applyAlignment="1" applyProtection="1">
      <alignment vertical="center"/>
    </xf>
    <xf numFmtId="3" fontId="3" fillId="5" borderId="15" xfId="1" applyNumberFormat="1" applyFont="1" applyFill="1" applyBorder="1" applyAlignment="1" applyProtection="1">
      <alignment vertical="center"/>
    </xf>
    <xf numFmtId="3" fontId="3" fillId="5" borderId="72" xfId="1" applyNumberFormat="1" applyFont="1" applyFill="1" applyBorder="1" applyAlignment="1" applyProtection="1">
      <alignment vertical="center"/>
    </xf>
    <xf numFmtId="3" fontId="3" fillId="5" borderId="14" xfId="1" applyNumberFormat="1" applyFont="1" applyFill="1" applyBorder="1" applyAlignment="1" applyProtection="1">
      <alignment vertical="center"/>
    </xf>
    <xf numFmtId="3" fontId="3" fillId="5" borderId="95" xfId="1" applyNumberFormat="1" applyFont="1" applyFill="1" applyBorder="1" applyAlignment="1" applyProtection="1">
      <alignment vertical="center"/>
    </xf>
    <xf numFmtId="3" fontId="3" fillId="5" borderId="68" xfId="1" applyNumberFormat="1" applyFont="1" applyFill="1" applyBorder="1" applyAlignment="1" applyProtection="1">
      <alignment vertical="center"/>
    </xf>
    <xf numFmtId="3" fontId="2" fillId="0" borderId="42" xfId="1" applyNumberFormat="1" applyFont="1" applyFill="1" applyBorder="1" applyAlignment="1" applyProtection="1">
      <alignment vertical="center"/>
      <protection locked="0"/>
    </xf>
    <xf numFmtId="3" fontId="2" fillId="0" borderId="43" xfId="1" applyNumberFormat="1" applyFont="1" applyFill="1" applyBorder="1" applyAlignment="1" applyProtection="1">
      <alignment vertical="center"/>
      <protection locked="0"/>
    </xf>
    <xf numFmtId="3" fontId="2" fillId="0" borderId="59" xfId="1" applyNumberFormat="1" applyFont="1" applyFill="1" applyBorder="1" applyAlignment="1" applyProtection="1">
      <alignment vertical="center"/>
      <protection locked="0"/>
    </xf>
    <xf numFmtId="3" fontId="2" fillId="0" borderId="85" xfId="1" applyNumberFormat="1" applyFont="1" applyFill="1" applyBorder="1" applyAlignment="1" applyProtection="1">
      <alignment vertical="center"/>
      <protection locked="0"/>
    </xf>
    <xf numFmtId="3" fontId="2" fillId="0" borderId="79" xfId="1" applyNumberFormat="1" applyFont="1" applyFill="1" applyBorder="1" applyAlignment="1" applyProtection="1">
      <alignment vertical="center"/>
      <protection locked="0"/>
    </xf>
    <xf numFmtId="3" fontId="2" fillId="0" borderId="83" xfId="1" applyNumberFormat="1" applyFont="1" applyFill="1" applyBorder="1" applyAlignment="1" applyProtection="1">
      <alignment vertical="center"/>
      <protection locked="0"/>
    </xf>
    <xf numFmtId="3" fontId="2" fillId="4" borderId="85" xfId="1" applyNumberFormat="1" applyFont="1" applyFill="1" applyBorder="1" applyAlignment="1" applyProtection="1">
      <alignment vertical="center" wrapText="1"/>
      <protection locked="0"/>
    </xf>
    <xf numFmtId="3" fontId="2" fillId="4" borderId="30" xfId="1" applyNumberFormat="1" applyFont="1" applyFill="1" applyBorder="1" applyAlignment="1" applyProtection="1">
      <alignment vertical="center"/>
      <protection locked="0"/>
    </xf>
    <xf numFmtId="3" fontId="2" fillId="4" borderId="31" xfId="1" applyNumberFormat="1" applyFont="1" applyFill="1" applyBorder="1" applyAlignment="1" applyProtection="1">
      <alignment vertical="center"/>
      <protection locked="0"/>
    </xf>
    <xf numFmtId="3" fontId="2" fillId="4" borderId="16" xfId="1" applyNumberFormat="1" applyFont="1" applyFill="1" applyBorder="1" applyAlignment="1" applyProtection="1">
      <alignment vertical="center"/>
      <protection locked="0"/>
    </xf>
    <xf numFmtId="3" fontId="2" fillId="4" borderId="6" xfId="1" applyNumberFormat="1" applyFont="1" applyFill="1" applyBorder="1" applyAlignment="1" applyProtection="1">
      <alignment vertical="center" wrapText="1"/>
      <protection locked="0"/>
    </xf>
    <xf numFmtId="3" fontId="2" fillId="4" borderId="9" xfId="1" applyNumberFormat="1" applyFont="1" applyFill="1" applyBorder="1" applyAlignment="1" applyProtection="1">
      <alignment vertical="center" wrapText="1"/>
      <protection locked="0"/>
    </xf>
    <xf numFmtId="3" fontId="2" fillId="4" borderId="9" xfId="1" applyNumberFormat="1" applyFont="1" applyFill="1" applyBorder="1" applyAlignment="1" applyProtection="1">
      <alignment vertical="center"/>
      <protection locked="0"/>
    </xf>
    <xf numFmtId="3" fontId="2" fillId="0" borderId="9" xfId="1" applyNumberFormat="1" applyFont="1" applyFill="1" applyBorder="1" applyAlignment="1" applyProtection="1">
      <alignment vertical="center" wrapText="1"/>
    </xf>
    <xf numFmtId="3" fontId="2" fillId="0" borderId="6" xfId="1" applyNumberFormat="1" applyFont="1" applyFill="1" applyBorder="1" applyAlignment="1" applyProtection="1">
      <alignment vertical="center" wrapText="1"/>
      <protection locked="0"/>
    </xf>
    <xf numFmtId="3" fontId="2" fillId="0" borderId="11" xfId="1" applyNumberFormat="1" applyFont="1" applyFill="1" applyBorder="1" applyAlignment="1" applyProtection="1">
      <alignment vertical="center"/>
      <protection locked="0"/>
    </xf>
    <xf numFmtId="3" fontId="2" fillId="0" borderId="56" xfId="1" applyNumberFormat="1" applyFont="1" applyFill="1" applyBorder="1" applyAlignment="1" applyProtection="1">
      <alignment vertical="center"/>
      <protection locked="0"/>
    </xf>
    <xf numFmtId="3" fontId="2" fillId="0" borderId="102" xfId="1" applyNumberFormat="1" applyFont="1" applyFill="1" applyBorder="1" applyAlignment="1" applyProtection="1">
      <alignment vertical="center"/>
    </xf>
    <xf numFmtId="3" fontId="2" fillId="0" borderId="99" xfId="1" applyNumberFormat="1" applyFont="1" applyFill="1" applyBorder="1" applyAlignment="1" applyProtection="1">
      <alignment vertical="center"/>
      <protection locked="0"/>
    </xf>
    <xf numFmtId="3" fontId="2" fillId="0" borderId="103" xfId="1" applyNumberFormat="1" applyFont="1" applyFill="1" applyBorder="1" applyAlignment="1" applyProtection="1">
      <alignment vertical="center"/>
      <protection locked="0"/>
    </xf>
    <xf numFmtId="3" fontId="3" fillId="0" borderId="74" xfId="1" applyNumberFormat="1" applyFont="1" applyFill="1" applyBorder="1" applyAlignment="1" applyProtection="1">
      <alignment vertical="center"/>
    </xf>
    <xf numFmtId="3" fontId="2" fillId="4" borderId="5" xfId="1" applyNumberFormat="1" applyFont="1" applyFill="1" applyBorder="1" applyAlignment="1" applyProtection="1">
      <alignment vertical="center" wrapText="1"/>
      <protection locked="0"/>
    </xf>
    <xf numFmtId="3" fontId="3" fillId="5" borderId="56" xfId="1" applyNumberFormat="1" applyFont="1" applyFill="1" applyBorder="1" applyAlignment="1" applyProtection="1">
      <alignment vertical="center"/>
    </xf>
    <xf numFmtId="3" fontId="3" fillId="5" borderId="54" xfId="1" applyNumberFormat="1" applyFont="1" applyFill="1" applyBorder="1" applyAlignment="1" applyProtection="1">
      <alignment vertical="center"/>
    </xf>
    <xf numFmtId="3" fontId="3" fillId="5" borderId="55" xfId="1" applyNumberFormat="1" applyFont="1" applyFill="1" applyBorder="1" applyAlignment="1" applyProtection="1">
      <alignment vertical="center"/>
    </xf>
    <xf numFmtId="3" fontId="3" fillId="5" borderId="11" xfId="1" applyNumberFormat="1" applyFont="1" applyFill="1" applyBorder="1" applyAlignment="1" applyProtection="1">
      <alignment vertical="center"/>
    </xf>
    <xf numFmtId="3" fontId="3" fillId="5" borderId="57" xfId="1" applyNumberFormat="1" applyFont="1" applyFill="1" applyBorder="1" applyAlignment="1" applyProtection="1">
      <alignment vertical="center"/>
    </xf>
    <xf numFmtId="3" fontId="3" fillId="5" borderId="1" xfId="1" applyNumberFormat="1" applyFont="1" applyFill="1" applyBorder="1" applyAlignment="1" applyProtection="1">
      <alignment vertical="center"/>
    </xf>
    <xf numFmtId="3" fontId="3" fillId="3" borderId="74" xfId="1" applyNumberFormat="1" applyFont="1" applyFill="1" applyBorder="1" applyAlignment="1" applyProtection="1">
      <alignment vertical="center"/>
    </xf>
    <xf numFmtId="0" fontId="2" fillId="0" borderId="73" xfId="1" applyFont="1" applyFill="1" applyBorder="1" applyAlignment="1" applyProtection="1">
      <alignment horizontal="left" vertical="center" wrapText="1"/>
    </xf>
    <xf numFmtId="3" fontId="2" fillId="0" borderId="64" xfId="1" applyNumberFormat="1" applyFont="1" applyFill="1" applyBorder="1" applyAlignment="1" applyProtection="1">
      <alignment vertical="center"/>
      <protection locked="0"/>
    </xf>
    <xf numFmtId="0" fontId="2" fillId="0" borderId="34" xfId="1" applyFont="1" applyFill="1" applyBorder="1" applyAlignment="1" applyProtection="1">
      <alignment vertical="center"/>
    </xf>
    <xf numFmtId="3" fontId="2" fillId="0" borderId="112" xfId="1" applyNumberFormat="1" applyFont="1" applyFill="1" applyBorder="1" applyAlignment="1" applyProtection="1">
      <alignment vertical="center"/>
    </xf>
    <xf numFmtId="3" fontId="2" fillId="0" borderId="36" xfId="1" applyNumberFormat="1" applyFont="1" applyFill="1" applyBorder="1" applyAlignment="1" applyProtection="1">
      <alignment vertical="center"/>
    </xf>
    <xf numFmtId="3" fontId="2" fillId="0" borderId="41" xfId="1" applyNumberFormat="1" applyFont="1" applyFill="1" applyBorder="1" applyAlignment="1" applyProtection="1">
      <alignment vertical="center"/>
    </xf>
    <xf numFmtId="3" fontId="2" fillId="0" borderId="39" xfId="1" applyNumberFormat="1" applyFont="1" applyFill="1" applyBorder="1" applyAlignment="1" applyProtection="1">
      <alignment vertical="center"/>
    </xf>
    <xf numFmtId="3" fontId="2" fillId="0" borderId="38" xfId="1" applyNumberFormat="1" applyFont="1" applyFill="1" applyBorder="1" applyAlignment="1" applyProtection="1">
      <alignment vertical="center"/>
    </xf>
    <xf numFmtId="3" fontId="2" fillId="0" borderId="40" xfId="1" applyNumberFormat="1" applyFont="1" applyFill="1" applyBorder="1" applyAlignment="1" applyProtection="1">
      <alignment vertical="center"/>
    </xf>
    <xf numFmtId="3" fontId="2" fillId="0" borderId="37" xfId="1" applyNumberFormat="1" applyFont="1" applyFill="1" applyBorder="1" applyAlignment="1" applyProtection="1">
      <alignment vertical="center"/>
    </xf>
    <xf numFmtId="3" fontId="2" fillId="0" borderId="34" xfId="1" applyNumberFormat="1" applyFont="1" applyFill="1" applyBorder="1" applyAlignment="1" applyProtection="1">
      <alignment vertical="center"/>
    </xf>
    <xf numFmtId="3" fontId="3" fillId="0" borderId="117" xfId="1" applyNumberFormat="1" applyFont="1" applyFill="1" applyBorder="1" applyAlignment="1" applyProtection="1">
      <alignment vertical="center"/>
    </xf>
    <xf numFmtId="3" fontId="3" fillId="0" borderId="116" xfId="1" applyNumberFormat="1" applyFont="1" applyFill="1" applyBorder="1" applyAlignment="1" applyProtection="1">
      <alignment vertical="center"/>
    </xf>
    <xf numFmtId="3" fontId="3" fillId="0" borderId="118" xfId="1" applyNumberFormat="1" applyFont="1" applyFill="1" applyBorder="1" applyAlignment="1" applyProtection="1">
      <alignment vertical="center"/>
    </xf>
    <xf numFmtId="3" fontId="3" fillId="0" borderId="119" xfId="1" applyNumberFormat="1" applyFont="1" applyFill="1" applyBorder="1" applyAlignment="1" applyProtection="1">
      <alignment vertical="center"/>
    </xf>
    <xf numFmtId="3" fontId="3" fillId="0" borderId="120" xfId="1" applyNumberFormat="1" applyFont="1" applyFill="1" applyBorder="1" applyAlignment="1" applyProtection="1">
      <alignment vertical="center"/>
    </xf>
    <xf numFmtId="3" fontId="3" fillId="0" borderId="121" xfId="1" applyNumberFormat="1" applyFont="1" applyFill="1" applyBorder="1" applyAlignment="1" applyProtection="1">
      <alignment vertical="center"/>
    </xf>
    <xf numFmtId="3" fontId="3" fillId="0" borderId="54" xfId="1" applyNumberFormat="1" applyFont="1" applyFill="1" applyBorder="1" applyAlignment="1" applyProtection="1">
      <alignment vertical="center"/>
    </xf>
    <xf numFmtId="3" fontId="3" fillId="0" borderId="55" xfId="1" applyNumberFormat="1" applyFont="1" applyFill="1" applyBorder="1" applyAlignment="1" applyProtection="1">
      <alignment vertical="center"/>
    </xf>
    <xf numFmtId="3" fontId="3" fillId="0" borderId="11" xfId="1" applyNumberFormat="1" applyFont="1" applyFill="1" applyBorder="1" applyAlignment="1" applyProtection="1">
      <alignment vertical="center"/>
    </xf>
    <xf numFmtId="3" fontId="3" fillId="0" borderId="57" xfId="1" applyNumberFormat="1" applyFont="1" applyFill="1" applyBorder="1" applyAlignment="1" applyProtection="1">
      <alignment vertical="center"/>
    </xf>
    <xf numFmtId="3" fontId="3" fillId="0" borderId="1" xfId="1" applyNumberFormat="1" applyFont="1" applyFill="1" applyBorder="1" applyAlignment="1" applyProtection="1">
      <alignment vertical="center"/>
    </xf>
    <xf numFmtId="0" fontId="3" fillId="0" borderId="53" xfId="1" applyFont="1" applyFill="1" applyBorder="1" applyAlignment="1" applyProtection="1">
      <alignment vertical="center"/>
    </xf>
    <xf numFmtId="0" fontId="3" fillId="0" borderId="122" xfId="1" applyFont="1" applyFill="1" applyBorder="1" applyAlignment="1" applyProtection="1">
      <alignment vertical="center"/>
    </xf>
    <xf numFmtId="3" fontId="3" fillId="0" borderId="116" xfId="1" applyNumberFormat="1" applyFont="1" applyFill="1" applyBorder="1" applyAlignment="1" applyProtection="1">
      <alignment vertical="center"/>
      <protection locked="0"/>
    </xf>
    <xf numFmtId="3" fontId="3" fillId="0" borderId="118" xfId="1" applyNumberFormat="1" applyFont="1" applyFill="1" applyBorder="1" applyAlignment="1" applyProtection="1">
      <alignment vertical="center"/>
      <protection locked="0"/>
    </xf>
    <xf numFmtId="3" fontId="3" fillId="0" borderId="119" xfId="1" applyNumberFormat="1" applyFont="1" applyFill="1" applyBorder="1" applyAlignment="1" applyProtection="1">
      <alignment vertical="center"/>
      <protection locked="0"/>
    </xf>
    <xf numFmtId="3" fontId="3" fillId="0" borderId="120" xfId="1" applyNumberFormat="1" applyFont="1" applyFill="1" applyBorder="1" applyAlignment="1" applyProtection="1">
      <alignment vertical="center"/>
      <protection locked="0"/>
    </xf>
    <xf numFmtId="3" fontId="3" fillId="0" borderId="121" xfId="1" applyNumberFormat="1" applyFont="1" applyFill="1" applyBorder="1" applyAlignment="1" applyProtection="1">
      <alignment vertical="center"/>
      <protection locked="0"/>
    </xf>
    <xf numFmtId="3" fontId="3" fillId="0" borderId="117" xfId="1" applyNumberFormat="1" applyFont="1" applyFill="1" applyBorder="1" applyAlignment="1" applyProtection="1">
      <alignment vertical="center"/>
      <protection locked="0"/>
    </xf>
    <xf numFmtId="3" fontId="2" fillId="0" borderId="22" xfId="1" applyNumberFormat="1" applyFont="1" applyFill="1" applyBorder="1" applyAlignment="1" applyProtection="1">
      <alignment vertical="center"/>
      <protection locked="0"/>
    </xf>
    <xf numFmtId="0" fontId="2" fillId="0" borderId="2" xfId="0" applyFont="1" applyBorder="1"/>
    <xf numFmtId="0" fontId="2" fillId="0" borderId="5" xfId="0" applyFont="1" applyBorder="1"/>
    <xf numFmtId="0" fontId="2" fillId="2" borderId="0" xfId="1" applyFont="1" applyFill="1" applyBorder="1" applyAlignment="1" applyProtection="1">
      <alignment vertical="center"/>
    </xf>
    <xf numFmtId="0" fontId="2" fillId="2" borderId="6" xfId="1" applyFont="1" applyFill="1" applyBorder="1" applyAlignment="1" applyProtection="1">
      <alignment vertical="center"/>
    </xf>
    <xf numFmtId="0" fontId="2" fillId="2" borderId="5" xfId="1" applyFont="1" applyFill="1" applyBorder="1" applyAlignment="1" applyProtection="1">
      <alignment vertical="center"/>
    </xf>
    <xf numFmtId="0" fontId="2" fillId="2" borderId="109" xfId="1" applyFont="1" applyFill="1" applyBorder="1" applyAlignment="1" applyProtection="1">
      <alignment vertical="center"/>
    </xf>
    <xf numFmtId="0" fontId="2" fillId="2" borderId="110" xfId="1" applyFont="1" applyFill="1" applyBorder="1" applyAlignment="1" applyProtection="1">
      <alignment vertical="center"/>
    </xf>
    <xf numFmtId="14" fontId="2" fillId="2" borderId="111" xfId="1" applyNumberFormat="1" applyFont="1" applyFill="1" applyBorder="1" applyAlignment="1" applyProtection="1">
      <alignment vertical="center"/>
    </xf>
    <xf numFmtId="0" fontId="2" fillId="0" borderId="123" xfId="1" applyFont="1" applyFill="1" applyBorder="1" applyAlignment="1" applyProtection="1">
      <alignment vertical="center"/>
    </xf>
    <xf numFmtId="0" fontId="2" fillId="0" borderId="0" xfId="1" applyFont="1" applyAlignment="1">
      <alignment vertical="center"/>
    </xf>
    <xf numFmtId="0" fontId="2" fillId="0" borderId="0" xfId="1" applyFont="1" applyAlignment="1">
      <alignment horizontal="right" vertical="center"/>
    </xf>
    <xf numFmtId="0" fontId="11" fillId="0" borderId="0" xfId="1" applyFont="1" applyAlignment="1">
      <alignment vertical="center"/>
    </xf>
    <xf numFmtId="0" fontId="2" fillId="0" borderId="0" xfId="1" applyFont="1" applyAlignment="1">
      <alignment horizontal="left" vertical="center"/>
    </xf>
    <xf numFmtId="0" fontId="2" fillId="0" borderId="48" xfId="1" applyFont="1" applyBorder="1" applyAlignment="1">
      <alignment horizontal="center" vertical="center" wrapText="1"/>
    </xf>
    <xf numFmtId="0" fontId="2" fillId="0" borderId="48" xfId="0" applyFont="1" applyBorder="1" applyAlignment="1">
      <alignment horizontal="center" vertical="center" wrapText="1"/>
    </xf>
    <xf numFmtId="0" fontId="2" fillId="0" borderId="48" xfId="1" applyFont="1" applyFill="1" applyBorder="1" applyAlignment="1" applyProtection="1">
      <alignment horizontal="center" vertical="center" wrapText="1"/>
    </xf>
    <xf numFmtId="3" fontId="3" fillId="0" borderId="48" xfId="1" applyNumberFormat="1" applyFont="1" applyBorder="1" applyAlignment="1">
      <alignment vertical="center" wrapText="1"/>
    </xf>
    <xf numFmtId="3" fontId="3" fillId="0" borderId="48" xfId="1" applyNumberFormat="1" applyFont="1" applyFill="1" applyBorder="1" applyAlignment="1">
      <alignment vertical="center" wrapText="1"/>
    </xf>
    <xf numFmtId="3" fontId="12" fillId="0" borderId="48" xfId="1" applyNumberFormat="1" applyFont="1" applyFill="1" applyBorder="1" applyAlignment="1" applyProtection="1">
      <alignment vertical="center" wrapText="1"/>
      <protection locked="0"/>
    </xf>
    <xf numFmtId="0" fontId="2" fillId="0" borderId="48" xfId="1" applyFont="1" applyBorder="1" applyAlignment="1">
      <alignment horizontal="center" vertical="center"/>
    </xf>
    <xf numFmtId="1" fontId="3" fillId="0" borderId="48" xfId="1" applyNumberFormat="1" applyFont="1" applyBorder="1" applyAlignment="1" applyProtection="1">
      <alignment vertical="center" wrapText="1"/>
      <protection locked="0"/>
    </xf>
    <xf numFmtId="3" fontId="2" fillId="0" borderId="48" xfId="1" applyNumberFormat="1" applyFont="1" applyBorder="1" applyAlignment="1" applyProtection="1">
      <alignment vertical="center" wrapText="1"/>
      <protection locked="0"/>
    </xf>
    <xf numFmtId="3" fontId="13" fillId="0" borderId="48" xfId="1" applyNumberFormat="1" applyFont="1" applyFill="1" applyBorder="1" applyAlignment="1" applyProtection="1">
      <alignment vertical="center" wrapText="1"/>
      <protection locked="0"/>
    </xf>
    <xf numFmtId="3" fontId="2" fillId="0" borderId="48" xfId="1" applyNumberFormat="1" applyFont="1" applyBorder="1" applyAlignment="1" applyProtection="1">
      <alignment horizontal="center" vertical="center" wrapText="1"/>
      <protection locked="0"/>
    </xf>
    <xf numFmtId="3" fontId="13" fillId="0" borderId="48" xfId="1" applyNumberFormat="1" applyFont="1" applyBorder="1" applyAlignment="1" applyProtection="1">
      <alignment vertical="center" wrapText="1"/>
      <protection locked="0"/>
    </xf>
    <xf numFmtId="3" fontId="2" fillId="0" borderId="0" xfId="1" applyNumberFormat="1" applyFont="1" applyBorder="1" applyAlignment="1" applyProtection="1">
      <alignment horizontal="center" vertical="center" wrapText="1"/>
      <protection locked="0"/>
    </xf>
    <xf numFmtId="0" fontId="2" fillId="0" borderId="0" xfId="1" applyFont="1" applyBorder="1" applyAlignment="1" applyProtection="1">
      <alignment horizontal="left" vertical="center" wrapText="1"/>
      <protection locked="0"/>
    </xf>
    <xf numFmtId="1" fontId="3" fillId="0" borderId="0" xfId="1" applyNumberFormat="1" applyFont="1" applyBorder="1" applyAlignment="1" applyProtection="1">
      <alignment vertical="center" wrapText="1"/>
      <protection locked="0"/>
    </xf>
    <xf numFmtId="3" fontId="2" fillId="0" borderId="0" xfId="1" applyNumberFormat="1" applyFont="1" applyBorder="1" applyAlignment="1" applyProtection="1">
      <alignment vertical="center" wrapText="1"/>
      <protection locked="0"/>
    </xf>
    <xf numFmtId="0" fontId="2" fillId="0" borderId="48" xfId="1" applyFont="1" applyBorder="1" applyAlignment="1" applyProtection="1">
      <alignment horizontal="center" vertical="center" wrapText="1"/>
      <protection locked="0"/>
    </xf>
    <xf numFmtId="0" fontId="2" fillId="0" borderId="0" xfId="1" applyFont="1" applyBorder="1" applyAlignment="1" applyProtection="1">
      <alignment horizontal="center" vertical="center" wrapText="1"/>
      <protection locked="0"/>
    </xf>
    <xf numFmtId="0" fontId="2" fillId="0" borderId="98" xfId="1" applyFont="1" applyBorder="1" applyAlignment="1" applyProtection="1">
      <alignment horizontal="center" vertical="center" wrapText="1"/>
      <protection locked="0"/>
    </xf>
    <xf numFmtId="3" fontId="2" fillId="0" borderId="48" xfId="1" applyNumberFormat="1" applyFont="1" applyFill="1" applyBorder="1" applyAlignment="1" applyProtection="1">
      <alignment vertical="center" wrapText="1"/>
      <protection locked="0"/>
    </xf>
    <xf numFmtId="0" fontId="2" fillId="0" borderId="48" xfId="1" applyFont="1" applyFill="1" applyBorder="1" applyAlignment="1" applyProtection="1">
      <alignment horizontal="center" vertical="center" wrapText="1"/>
      <protection locked="0"/>
    </xf>
    <xf numFmtId="0" fontId="2" fillId="0" borderId="98" xfId="1" applyFont="1" applyFill="1" applyBorder="1" applyAlignment="1" applyProtection="1">
      <alignment horizontal="center" vertical="center" wrapText="1"/>
      <protection locked="0"/>
    </xf>
    <xf numFmtId="0" fontId="0" fillId="0" borderId="0" xfId="0" applyFill="1"/>
    <xf numFmtId="0" fontId="2" fillId="0" borderId="98" xfId="1" applyFont="1" applyFill="1" applyBorder="1" applyAlignment="1" applyProtection="1">
      <alignment horizontal="center" vertical="center"/>
      <protection locked="0"/>
    </xf>
    <xf numFmtId="0" fontId="2" fillId="0" borderId="48" xfId="1" applyFont="1" applyFill="1" applyBorder="1" applyAlignment="1" applyProtection="1">
      <alignment horizontal="center" vertical="center"/>
      <protection locked="0"/>
    </xf>
    <xf numFmtId="0" fontId="2" fillId="0" borderId="97" xfId="1" applyFont="1" applyBorder="1" applyAlignment="1" applyProtection="1">
      <alignment horizontal="center" vertical="center" wrapText="1"/>
      <protection locked="0"/>
    </xf>
    <xf numFmtId="0" fontId="2" fillId="0" borderId="97" xfId="1" applyFont="1" applyBorder="1" applyAlignment="1" applyProtection="1">
      <alignment horizontal="left" vertical="center" wrapText="1"/>
      <protection locked="0"/>
    </xf>
    <xf numFmtId="1" fontId="3" fillId="0" borderId="97" xfId="1" applyNumberFormat="1" applyFont="1" applyBorder="1" applyAlignment="1" applyProtection="1">
      <alignment vertical="center" wrapText="1"/>
      <protection locked="0"/>
    </xf>
    <xf numFmtId="3" fontId="2" fillId="0" borderId="97" xfId="1" applyNumberFormat="1" applyFont="1" applyBorder="1" applyAlignment="1" applyProtection="1">
      <alignment vertical="center" wrapText="1"/>
      <protection locked="0"/>
    </xf>
    <xf numFmtId="3" fontId="2" fillId="0" borderId="97" xfId="1" applyNumberFormat="1" applyFont="1" applyFill="1" applyBorder="1" applyAlignment="1" applyProtection="1">
      <alignment vertical="center" wrapText="1"/>
      <protection locked="0"/>
    </xf>
    <xf numFmtId="3" fontId="2" fillId="0" borderId="97" xfId="1" applyNumberFormat="1" applyFont="1" applyBorder="1" applyAlignment="1" applyProtection="1">
      <alignment horizontal="center" vertical="center" wrapText="1"/>
      <protection locked="0"/>
    </xf>
    <xf numFmtId="3" fontId="3" fillId="0" borderId="48" xfId="1" applyNumberFormat="1" applyFont="1" applyBorder="1" applyAlignment="1">
      <alignment horizontal="center" vertical="center" wrapText="1"/>
    </xf>
    <xf numFmtId="1" fontId="3" fillId="0" borderId="48" xfId="1" applyNumberFormat="1" applyFont="1" applyFill="1" applyBorder="1" applyAlignment="1" applyProtection="1">
      <alignment vertical="center" wrapText="1"/>
      <protection locked="0"/>
    </xf>
    <xf numFmtId="3" fontId="2" fillId="0" borderId="48" xfId="1" applyNumberFormat="1" applyFont="1" applyFill="1" applyBorder="1" applyAlignment="1" applyProtection="1">
      <alignment horizontal="center" vertical="center" wrapText="1"/>
      <protection locked="0"/>
    </xf>
    <xf numFmtId="0" fontId="2" fillId="0" borderId="48" xfId="1" applyFont="1" applyBorder="1" applyAlignment="1">
      <alignment vertical="center"/>
    </xf>
    <xf numFmtId="0" fontId="2" fillId="0" borderId="0" xfId="1" applyFont="1" applyFill="1" applyBorder="1" applyAlignment="1" applyProtection="1">
      <alignment horizontal="left" vertical="center" wrapText="1"/>
      <protection locked="0"/>
    </xf>
    <xf numFmtId="3" fontId="9" fillId="0" borderId="48" xfId="1" applyNumberFormat="1" applyFont="1" applyBorder="1" applyAlignment="1" applyProtection="1">
      <alignment vertical="center" wrapText="1"/>
      <protection locked="0"/>
    </xf>
    <xf numFmtId="3" fontId="14" fillId="0" borderId="48" xfId="1" applyNumberFormat="1" applyFont="1" applyFill="1" applyBorder="1" applyAlignment="1" applyProtection="1">
      <alignment vertical="center" wrapText="1"/>
      <protection locked="0"/>
    </xf>
    <xf numFmtId="0" fontId="2" fillId="0" borderId="46" xfId="1" applyFont="1" applyBorder="1" applyAlignment="1">
      <alignment horizontal="center" vertical="center" wrapText="1"/>
    </xf>
    <xf numFmtId="3" fontId="2" fillId="0" borderId="48" xfId="1" applyNumberFormat="1" applyFont="1" applyBorder="1" applyAlignment="1">
      <alignment vertical="center" wrapText="1"/>
    </xf>
    <xf numFmtId="3" fontId="13" fillId="0" borderId="48" xfId="1" applyNumberFormat="1" applyFont="1" applyFill="1" applyBorder="1" applyAlignment="1">
      <alignment vertical="center" wrapText="1"/>
    </xf>
    <xf numFmtId="0" fontId="2" fillId="0" borderId="98" xfId="1" applyFont="1" applyBorder="1" applyAlignment="1">
      <alignment horizontal="center" vertical="center" wrapText="1"/>
    </xf>
    <xf numFmtId="0" fontId="2" fillId="0" borderId="0" xfId="1" applyFont="1"/>
    <xf numFmtId="0" fontId="2" fillId="0" borderId="98" xfId="1" applyFont="1" applyFill="1" applyBorder="1" applyAlignment="1">
      <alignment horizontal="center" vertical="center" wrapText="1"/>
    </xf>
    <xf numFmtId="3" fontId="2" fillId="0" borderId="48" xfId="1" applyNumberFormat="1" applyFont="1" applyFill="1" applyBorder="1" applyAlignment="1">
      <alignment vertical="center" wrapText="1"/>
    </xf>
    <xf numFmtId="0" fontId="2" fillId="0" borderId="0" xfId="1" applyFont="1" applyFill="1" applyBorder="1" applyAlignment="1">
      <alignment horizontal="center" vertical="center" wrapText="1"/>
    </xf>
    <xf numFmtId="1" fontId="3" fillId="0" borderId="0" xfId="1" applyNumberFormat="1" applyFont="1" applyFill="1" applyBorder="1" applyAlignment="1" applyProtection="1">
      <alignment vertical="center" wrapText="1"/>
      <protection locked="0"/>
    </xf>
    <xf numFmtId="3" fontId="2" fillId="0" borderId="0" xfId="1" applyNumberFormat="1" applyFont="1" applyFill="1" applyBorder="1" applyAlignment="1">
      <alignment vertical="center" wrapText="1"/>
    </xf>
    <xf numFmtId="3" fontId="3" fillId="0" borderId="0" xfId="1" applyNumberFormat="1" applyFont="1" applyFill="1" applyBorder="1" applyAlignment="1">
      <alignment vertical="center" wrapText="1"/>
    </xf>
    <xf numFmtId="1" fontId="3" fillId="0" borderId="48" xfId="1" applyNumberFormat="1" applyFont="1" applyFill="1" applyBorder="1" applyAlignment="1" applyProtection="1">
      <alignment horizontal="right" vertical="center" wrapText="1"/>
      <protection locked="0"/>
    </xf>
    <xf numFmtId="0" fontId="2" fillId="0" borderId="48" xfId="1" applyFont="1" applyBorder="1" applyAlignment="1" applyProtection="1">
      <alignment horizontal="center" vertical="center"/>
      <protection locked="0"/>
    </xf>
    <xf numFmtId="0" fontId="2" fillId="0" borderId="0" xfId="1" applyFont="1" applyBorder="1" applyAlignment="1" applyProtection="1">
      <alignment horizontal="center" vertical="center"/>
      <protection locked="0"/>
    </xf>
    <xf numFmtId="3" fontId="3" fillId="0" borderId="0" xfId="1" applyNumberFormat="1" applyFont="1" applyFill="1" applyBorder="1" applyAlignment="1" applyProtection="1">
      <alignment vertical="center" wrapText="1"/>
      <protection locked="0"/>
    </xf>
    <xf numFmtId="0" fontId="2" fillId="0" borderId="98" xfId="1" applyFont="1" applyBorder="1" applyAlignment="1" applyProtection="1">
      <alignment horizontal="center" vertical="center"/>
      <protection locked="0"/>
    </xf>
    <xf numFmtId="3" fontId="9" fillId="0" borderId="0" xfId="1" applyNumberFormat="1" applyFont="1" applyFill="1" applyBorder="1" applyAlignment="1" applyProtection="1">
      <alignment vertical="center" wrapText="1"/>
      <protection locked="0"/>
    </xf>
    <xf numFmtId="0" fontId="2" fillId="0" borderId="97" xfId="1" applyFont="1" applyBorder="1"/>
    <xf numFmtId="3" fontId="2" fillId="0" borderId="97" xfId="1" applyNumberFormat="1" applyFont="1" applyBorder="1"/>
    <xf numFmtId="0" fontId="14" fillId="0" borderId="0" xfId="1" applyFont="1"/>
    <xf numFmtId="0" fontId="2" fillId="0" borderId="0" xfId="1" applyFont="1" applyFill="1"/>
    <xf numFmtId="0" fontId="2" fillId="0" borderId="0" xfId="0" applyFont="1"/>
    <xf numFmtId="0" fontId="2" fillId="0" borderId="0" xfId="0" applyFont="1" applyFill="1"/>
    <xf numFmtId="49" fontId="4" fillId="2" borderId="5" xfId="1" applyNumberFormat="1" applyFont="1" applyFill="1" applyBorder="1" applyAlignment="1" applyProtection="1">
      <alignment horizontal="center" vertical="center"/>
    </xf>
    <xf numFmtId="49" fontId="4" fillId="2" borderId="0" xfId="1" applyNumberFormat="1" applyFont="1" applyFill="1" applyBorder="1" applyAlignment="1" applyProtection="1">
      <alignment horizontal="center" vertical="center"/>
    </xf>
    <xf numFmtId="0" fontId="2" fillId="0" borderId="16" xfId="1" applyFont="1" applyFill="1" applyBorder="1" applyAlignment="1" applyProtection="1">
      <alignment horizontal="center" vertical="center" wrapText="1"/>
    </xf>
    <xf numFmtId="0" fontId="0" fillId="0" borderId="5" xfId="0" applyBorder="1"/>
    <xf numFmtId="1" fontId="7" fillId="6" borderId="25" xfId="1" applyNumberFormat="1" applyFont="1" applyFill="1" applyBorder="1" applyAlignment="1" applyProtection="1">
      <alignment horizontal="center" vertical="center"/>
    </xf>
    <xf numFmtId="0" fontId="3" fillId="6" borderId="31" xfId="1" applyFont="1" applyFill="1" applyBorder="1" applyAlignment="1" applyProtection="1">
      <alignment vertical="center"/>
      <protection locked="0"/>
    </xf>
    <xf numFmtId="3" fontId="3" fillId="6" borderId="37" xfId="1" applyNumberFormat="1" applyFont="1" applyFill="1" applyBorder="1" applyAlignment="1" applyProtection="1">
      <alignment horizontal="right" vertical="center"/>
    </xf>
    <xf numFmtId="3" fontId="2" fillId="6" borderId="51" xfId="1" applyNumberFormat="1" applyFont="1" applyFill="1" applyBorder="1" applyAlignment="1" applyProtection="1">
      <alignment vertical="center"/>
      <protection locked="0"/>
    </xf>
    <xf numFmtId="3" fontId="2" fillId="6" borderId="86" xfId="1" applyNumberFormat="1" applyFont="1" applyFill="1" applyBorder="1" applyAlignment="1" applyProtection="1">
      <alignment horizontal="center" vertical="center"/>
      <protection locked="0"/>
    </xf>
    <xf numFmtId="3" fontId="3" fillId="6" borderId="31" xfId="1" applyNumberFormat="1" applyFont="1" applyFill="1" applyBorder="1" applyAlignment="1" applyProtection="1">
      <alignment vertical="center"/>
      <protection locked="0"/>
    </xf>
    <xf numFmtId="3" fontId="3" fillId="6" borderId="37" xfId="1" applyNumberFormat="1" applyFont="1" applyFill="1" applyBorder="1" applyAlignment="1" applyProtection="1">
      <alignment vertical="center"/>
    </xf>
    <xf numFmtId="3" fontId="3" fillId="6" borderId="90" xfId="1" applyNumberFormat="1" applyFont="1" applyFill="1" applyBorder="1" applyAlignment="1" applyProtection="1">
      <alignment vertical="center"/>
    </xf>
    <xf numFmtId="3" fontId="3" fillId="6" borderId="31" xfId="1" applyNumberFormat="1" applyFont="1" applyFill="1" applyBorder="1" applyAlignment="1" applyProtection="1">
      <alignment vertical="center"/>
    </xf>
    <xf numFmtId="3" fontId="3" fillId="6" borderId="95" xfId="1" applyNumberFormat="1" applyFont="1" applyFill="1" applyBorder="1" applyAlignment="1" applyProtection="1">
      <alignment vertical="center"/>
    </xf>
    <xf numFmtId="3" fontId="2" fillId="6" borderId="58" xfId="1" applyNumberFormat="1" applyFont="1" applyFill="1" applyBorder="1" applyAlignment="1" applyProtection="1">
      <alignment vertical="center"/>
    </xf>
    <xf numFmtId="3" fontId="2" fillId="6" borderId="46" xfId="1" applyNumberFormat="1" applyFont="1" applyFill="1" applyBorder="1" applyAlignment="1" applyProtection="1">
      <alignment vertical="center"/>
      <protection locked="0"/>
    </xf>
    <xf numFmtId="3" fontId="2" fillId="6" borderId="107" xfId="1" applyNumberFormat="1" applyFont="1" applyFill="1" applyBorder="1" applyAlignment="1" applyProtection="1">
      <alignment vertical="center"/>
    </xf>
    <xf numFmtId="0" fontId="2" fillId="0" borderId="8" xfId="1" applyFont="1" applyFill="1" applyBorder="1" applyAlignment="1" applyProtection="1">
      <alignment vertical="center"/>
      <protection locked="0"/>
    </xf>
    <xf numFmtId="3" fontId="2" fillId="0" borderId="16" xfId="1" applyNumberFormat="1" applyFont="1" applyFill="1" applyBorder="1" applyAlignment="1" applyProtection="1">
      <alignment horizontal="right" vertical="center"/>
    </xf>
    <xf numFmtId="3" fontId="2" fillId="0" borderId="62" xfId="1" applyNumberFormat="1" applyFont="1" applyFill="1" applyBorder="1" applyAlignment="1" applyProtection="1">
      <alignment horizontal="right" vertical="center"/>
      <protection locked="0"/>
    </xf>
    <xf numFmtId="3" fontId="2" fillId="0" borderId="63" xfId="1" applyNumberFormat="1" applyFont="1" applyFill="1" applyBorder="1" applyAlignment="1" applyProtection="1">
      <alignment horizontal="right" vertical="center"/>
      <protection locked="0"/>
    </xf>
    <xf numFmtId="3" fontId="2" fillId="0" borderId="66" xfId="1" applyNumberFormat="1" applyFont="1" applyFill="1" applyBorder="1" applyAlignment="1" applyProtection="1">
      <alignment horizontal="right" vertical="center"/>
    </xf>
    <xf numFmtId="3" fontId="2" fillId="0" borderId="125" xfId="1" applyNumberFormat="1" applyFont="1" applyFill="1" applyBorder="1" applyAlignment="1" applyProtection="1">
      <alignment vertical="center"/>
      <protection locked="0"/>
    </xf>
    <xf numFmtId="3" fontId="2" fillId="0" borderId="127" xfId="1" applyNumberFormat="1" applyFont="1" applyFill="1" applyBorder="1" applyAlignment="1" applyProtection="1">
      <alignment vertical="center"/>
    </xf>
    <xf numFmtId="3" fontId="2" fillId="0" borderId="69" xfId="1" applyNumberFormat="1" applyFont="1" applyFill="1" applyBorder="1" applyAlignment="1" applyProtection="1">
      <alignment horizontal="center" vertical="center"/>
    </xf>
    <xf numFmtId="3" fontId="2" fillId="0" borderId="70" xfId="1" applyNumberFormat="1" applyFont="1" applyFill="1" applyBorder="1" applyAlignment="1" applyProtection="1">
      <alignment horizontal="center" vertical="center"/>
    </xf>
    <xf numFmtId="3" fontId="2" fillId="0" borderId="15" xfId="1" applyNumberFormat="1" applyFont="1" applyFill="1" applyBorder="1" applyAlignment="1" applyProtection="1">
      <alignment horizontal="center" vertical="center"/>
    </xf>
    <xf numFmtId="3" fontId="2" fillId="0" borderId="53" xfId="1" applyNumberFormat="1" applyFont="1" applyFill="1" applyBorder="1" applyAlignment="1" applyProtection="1">
      <alignment horizontal="right" vertical="center"/>
    </xf>
    <xf numFmtId="3" fontId="2" fillId="0" borderId="74" xfId="1" applyNumberFormat="1" applyFont="1" applyFill="1" applyBorder="1" applyAlignment="1" applyProtection="1">
      <alignment horizontal="right" vertical="center"/>
      <protection locked="0"/>
    </xf>
    <xf numFmtId="3" fontId="2" fillId="0" borderId="75" xfId="1" applyNumberFormat="1" applyFont="1" applyFill="1" applyBorder="1" applyAlignment="1" applyProtection="1">
      <alignment horizontal="right" vertical="center"/>
      <protection locked="0"/>
    </xf>
    <xf numFmtId="3" fontId="2" fillId="0" borderId="78" xfId="1" applyNumberFormat="1" applyFont="1" applyFill="1" applyBorder="1" applyAlignment="1" applyProtection="1">
      <alignment horizontal="right" vertical="center"/>
    </xf>
    <xf numFmtId="3" fontId="2" fillId="0" borderId="60" xfId="1" applyNumberFormat="1" applyFont="1" applyFill="1" applyBorder="1" applyAlignment="1" applyProtection="1">
      <alignment horizontal="right" vertical="center"/>
    </xf>
    <xf numFmtId="3" fontId="2" fillId="0" borderId="48" xfId="1" applyNumberFormat="1" applyFont="1" applyFill="1" applyBorder="1" applyAlignment="1" applyProtection="1">
      <alignment horizontal="center" vertical="center"/>
      <protection locked="0"/>
    </xf>
    <xf numFmtId="3" fontId="3" fillId="0" borderId="16" xfId="1" applyNumberFormat="1" applyFont="1" applyBorder="1" applyAlignment="1" applyProtection="1">
      <alignment vertical="center"/>
    </xf>
    <xf numFmtId="3" fontId="3" fillId="0" borderId="55" xfId="1" applyNumberFormat="1" applyFont="1" applyBorder="1" applyAlignment="1" applyProtection="1">
      <alignment vertical="center"/>
      <protection locked="0"/>
    </xf>
    <xf numFmtId="3" fontId="2" fillId="0" borderId="11" xfId="1" applyNumberFormat="1" applyFont="1" applyBorder="1" applyAlignment="1" applyProtection="1">
      <alignment vertical="center"/>
    </xf>
    <xf numFmtId="3" fontId="2" fillId="0" borderId="106" xfId="1" applyNumberFormat="1" applyFont="1" applyFill="1" applyBorder="1" applyAlignment="1" applyProtection="1">
      <alignment vertical="center"/>
      <protection locked="0"/>
    </xf>
    <xf numFmtId="3" fontId="2" fillId="0" borderId="17" xfId="1" applyNumberFormat="1" applyFont="1" applyFill="1" applyBorder="1" applyAlignment="1" applyProtection="1">
      <alignment vertical="center"/>
      <protection locked="0"/>
    </xf>
    <xf numFmtId="3" fontId="2" fillId="0" borderId="74" xfId="1" applyNumberFormat="1" applyFont="1" applyFill="1" applyBorder="1" applyAlignment="1" applyProtection="1">
      <alignment vertical="center"/>
      <protection locked="0"/>
    </xf>
    <xf numFmtId="3" fontId="2" fillId="0" borderId="75" xfId="1" applyNumberFormat="1" applyFont="1" applyFill="1" applyBorder="1" applyAlignment="1" applyProtection="1">
      <alignment vertical="center"/>
      <protection locked="0"/>
    </xf>
    <xf numFmtId="3" fontId="2" fillId="0" borderId="100" xfId="1" applyNumberFormat="1" applyFont="1" applyFill="1" applyBorder="1" applyAlignment="1" applyProtection="1">
      <alignment vertical="center"/>
    </xf>
    <xf numFmtId="3" fontId="2" fillId="0" borderId="68" xfId="1" applyNumberFormat="1" applyFont="1" applyFill="1" applyBorder="1" applyAlignment="1" applyProtection="1">
      <alignment vertical="center"/>
    </xf>
    <xf numFmtId="3" fontId="3" fillId="0" borderId="73" xfId="1" applyNumberFormat="1" applyFont="1" applyFill="1" applyBorder="1" applyAlignment="1" applyProtection="1">
      <alignment vertical="center"/>
    </xf>
    <xf numFmtId="3" fontId="3" fillId="0" borderId="77" xfId="1" applyNumberFormat="1" applyFont="1" applyFill="1" applyBorder="1" applyAlignment="1" applyProtection="1">
      <alignment vertical="center"/>
    </xf>
    <xf numFmtId="3" fontId="3" fillId="0" borderId="53" xfId="1" applyNumberFormat="1" applyFont="1" applyFill="1" applyBorder="1" applyAlignment="1" applyProtection="1">
      <alignment vertical="center"/>
    </xf>
    <xf numFmtId="3" fontId="2" fillId="0" borderId="126" xfId="1" applyNumberFormat="1" applyFont="1" applyFill="1" applyBorder="1" applyAlignment="1" applyProtection="1">
      <alignment vertical="center"/>
      <protection locked="0"/>
    </xf>
    <xf numFmtId="49" fontId="4" fillId="2" borderId="5" xfId="1" applyNumberFormat="1" applyFont="1" applyFill="1" applyBorder="1" applyAlignment="1" applyProtection="1">
      <alignment horizontal="center" vertical="center"/>
    </xf>
    <xf numFmtId="49" fontId="4" fillId="2" borderId="0" xfId="1" applyNumberFormat="1" applyFont="1" applyFill="1" applyBorder="1" applyAlignment="1" applyProtection="1">
      <alignment horizontal="center" vertical="center"/>
    </xf>
    <xf numFmtId="49" fontId="3" fillId="2" borderId="8" xfId="1" applyNumberFormat="1" applyFont="1" applyFill="1" applyBorder="1" applyAlignment="1" applyProtection="1">
      <alignment horizontal="center" vertical="center" wrapText="1"/>
      <protection locked="0"/>
    </xf>
    <xf numFmtId="0" fontId="2" fillId="0" borderId="16" xfId="1" applyFont="1" applyFill="1" applyBorder="1" applyAlignment="1" applyProtection="1">
      <alignment horizontal="center" vertical="center" wrapText="1"/>
    </xf>
    <xf numFmtId="0" fontId="2" fillId="0" borderId="48" xfId="1" applyFont="1" applyBorder="1" applyAlignment="1">
      <alignment horizontal="center" vertical="center" wrapText="1"/>
    </xf>
    <xf numFmtId="0" fontId="3" fillId="0" borderId="48" xfId="1" applyFont="1" applyBorder="1" applyAlignment="1">
      <alignment horizontal="right" vertical="center" wrapText="1"/>
    </xf>
    <xf numFmtId="0" fontId="2" fillId="0" borderId="0" xfId="1" applyFont="1" applyAlignment="1">
      <alignment horizontal="left" vertical="center"/>
    </xf>
    <xf numFmtId="0" fontId="2" fillId="0" borderId="48" xfId="1" applyFont="1" applyBorder="1" applyAlignment="1" applyProtection="1">
      <alignment horizontal="center" vertical="center" wrapText="1"/>
      <protection locked="0"/>
    </xf>
    <xf numFmtId="1" fontId="7" fillId="0" borderId="113" xfId="1" applyNumberFormat="1" applyFont="1" applyFill="1" applyBorder="1" applyAlignment="1" applyProtection="1">
      <alignment horizontal="center" vertical="center"/>
    </xf>
    <xf numFmtId="3" fontId="2" fillId="0" borderId="129" xfId="1" applyNumberFormat="1" applyFont="1" applyFill="1" applyBorder="1" applyAlignment="1" applyProtection="1">
      <alignment horizontal="right" vertical="center"/>
      <protection locked="0"/>
    </xf>
    <xf numFmtId="3" fontId="2" fillId="0" borderId="130" xfId="1" applyNumberFormat="1" applyFont="1" applyFill="1" applyBorder="1" applyAlignment="1" applyProtection="1">
      <alignment vertical="center"/>
      <protection locked="0"/>
    </xf>
    <xf numFmtId="3" fontId="2" fillId="0" borderId="131" xfId="1" applyNumberFormat="1" applyFont="1" applyFill="1" applyBorder="1" applyAlignment="1" applyProtection="1">
      <alignment vertical="center"/>
    </xf>
    <xf numFmtId="3" fontId="2" fillId="0" borderId="58" xfId="1" applyNumberFormat="1" applyFont="1" applyFill="1" applyBorder="1" applyAlignment="1" applyProtection="1">
      <alignment horizontal="center" vertical="center"/>
      <protection locked="0"/>
    </xf>
    <xf numFmtId="3" fontId="2" fillId="0" borderId="95" xfId="1" applyNumberFormat="1" applyFont="1" applyFill="1" applyBorder="1" applyAlignment="1" applyProtection="1">
      <alignment horizontal="center" vertical="center"/>
    </xf>
    <xf numFmtId="3" fontId="2" fillId="0" borderId="71" xfId="1" applyNumberFormat="1" applyFont="1" applyFill="1" applyBorder="1" applyAlignment="1" applyProtection="1">
      <alignment horizontal="center" vertical="center"/>
    </xf>
    <xf numFmtId="3" fontId="2" fillId="0" borderId="129" xfId="1" applyNumberFormat="1" applyFont="1" applyFill="1" applyBorder="1" applyAlignment="1" applyProtection="1">
      <alignment horizontal="center" vertical="center"/>
    </xf>
    <xf numFmtId="3" fontId="2" fillId="0" borderId="132" xfId="1" applyNumberFormat="1" applyFont="1" applyFill="1" applyBorder="1" applyAlignment="1" applyProtection="1">
      <alignment horizontal="center" vertical="center"/>
    </xf>
    <xf numFmtId="3" fontId="2" fillId="0" borderId="132" xfId="1" applyNumberFormat="1" applyFont="1" applyFill="1" applyBorder="1" applyAlignment="1" applyProtection="1">
      <alignment horizontal="right" vertical="center"/>
      <protection locked="0"/>
    </xf>
    <xf numFmtId="3" fontId="2" fillId="0" borderId="76" xfId="1" applyNumberFormat="1" applyFont="1" applyFill="1" applyBorder="1" applyAlignment="1" applyProtection="1">
      <alignment horizontal="right" vertical="center"/>
    </xf>
    <xf numFmtId="3" fontId="2" fillId="0" borderId="95" xfId="1" applyNumberFormat="1" applyFont="1" applyFill="1" applyBorder="1" applyAlignment="1" applyProtection="1">
      <alignment horizontal="right" vertical="center"/>
    </xf>
    <xf numFmtId="3" fontId="2" fillId="0" borderId="31" xfId="1" applyNumberFormat="1" applyFont="1" applyFill="1" applyBorder="1" applyAlignment="1" applyProtection="1">
      <alignment horizontal="right" vertical="center"/>
      <protection locked="0"/>
    </xf>
    <xf numFmtId="3" fontId="2" fillId="0" borderId="86" xfId="1" applyNumberFormat="1" applyFont="1" applyFill="1" applyBorder="1" applyAlignment="1" applyProtection="1">
      <alignment horizontal="center" vertical="center"/>
    </xf>
    <xf numFmtId="3" fontId="2" fillId="0" borderId="46" xfId="1" applyNumberFormat="1" applyFont="1" applyFill="1" applyBorder="1" applyAlignment="1" applyProtection="1">
      <alignment horizontal="center" vertical="center"/>
      <protection locked="0"/>
    </xf>
    <xf numFmtId="3" fontId="3" fillId="0" borderId="58" xfId="1" applyNumberFormat="1" applyFont="1" applyBorder="1" applyAlignment="1" applyProtection="1">
      <alignment vertical="center"/>
      <protection locked="0"/>
    </xf>
    <xf numFmtId="3" fontId="2" fillId="0" borderId="56" xfId="1" applyNumberFormat="1" applyFont="1" applyBorder="1" applyAlignment="1" applyProtection="1">
      <alignment vertical="center"/>
    </xf>
    <xf numFmtId="3" fontId="2" fillId="0" borderId="129" xfId="1" applyNumberFormat="1" applyFont="1" applyFill="1" applyBorder="1" applyAlignment="1" applyProtection="1">
      <alignment vertical="center"/>
    </xf>
    <xf numFmtId="3" fontId="2" fillId="0" borderId="132" xfId="1" applyNumberFormat="1" applyFont="1" applyFill="1" applyBorder="1" applyAlignment="1" applyProtection="1">
      <alignment vertical="center"/>
    </xf>
    <xf numFmtId="3" fontId="2" fillId="0" borderId="107" xfId="1" applyNumberFormat="1" applyFont="1" applyFill="1" applyBorder="1" applyAlignment="1" applyProtection="1">
      <alignment vertical="center"/>
      <protection locked="0"/>
    </xf>
    <xf numFmtId="3" fontId="2" fillId="0" borderId="128" xfId="1" applyNumberFormat="1" applyFont="1" applyFill="1" applyBorder="1" applyAlignment="1" applyProtection="1">
      <alignment vertical="center"/>
    </xf>
    <xf numFmtId="3" fontId="2" fillId="0" borderId="132" xfId="1" applyNumberFormat="1" applyFont="1" applyFill="1" applyBorder="1" applyAlignment="1" applyProtection="1">
      <alignment vertical="center"/>
      <protection locked="0"/>
    </xf>
    <xf numFmtId="3" fontId="2" fillId="0" borderId="124" xfId="1" applyNumberFormat="1" applyFont="1" applyFill="1" applyBorder="1" applyAlignment="1" applyProtection="1">
      <alignment vertical="center"/>
      <protection locked="0"/>
    </xf>
    <xf numFmtId="3" fontId="2" fillId="0" borderId="95" xfId="1" applyNumberFormat="1" applyFont="1" applyFill="1" applyBorder="1" applyAlignment="1" applyProtection="1">
      <alignment vertical="center"/>
    </xf>
    <xf numFmtId="3" fontId="3" fillId="0" borderId="58" xfId="1" applyNumberFormat="1" applyFont="1" applyFill="1" applyBorder="1" applyAlignment="1" applyProtection="1">
      <alignment vertical="center"/>
    </xf>
    <xf numFmtId="3" fontId="2" fillId="0" borderId="129" xfId="1" applyNumberFormat="1" applyFont="1" applyFill="1" applyBorder="1" applyAlignment="1" applyProtection="1">
      <alignment vertical="center"/>
      <protection locked="0"/>
    </xf>
    <xf numFmtId="3" fontId="3" fillId="0" borderId="95" xfId="1" applyNumberFormat="1" applyFont="1" applyFill="1" applyBorder="1" applyAlignment="1" applyProtection="1">
      <alignment vertical="center"/>
      <protection locked="0"/>
    </xf>
    <xf numFmtId="3" fontId="3" fillId="0" borderId="58" xfId="1" applyNumberFormat="1" applyFont="1" applyFill="1" applyBorder="1" applyAlignment="1" applyProtection="1">
      <alignment vertical="center"/>
      <protection locked="0"/>
    </xf>
    <xf numFmtId="3" fontId="2" fillId="0" borderId="82" xfId="1" applyNumberFormat="1" applyFont="1" applyFill="1" applyBorder="1" applyAlignment="1" applyProtection="1">
      <alignment horizontal="center" vertical="center"/>
      <protection locked="0"/>
    </xf>
    <xf numFmtId="3" fontId="2" fillId="0" borderId="6" xfId="1" applyNumberFormat="1" applyFont="1" applyBorder="1" applyAlignment="1" applyProtection="1">
      <alignment vertical="center"/>
    </xf>
    <xf numFmtId="3" fontId="2" fillId="0" borderId="43" xfId="1" applyNumberFormat="1" applyFont="1" applyFill="1" applyBorder="1" applyAlignment="1" applyProtection="1">
      <alignment vertical="center" wrapText="1"/>
      <protection locked="0"/>
    </xf>
    <xf numFmtId="3" fontId="2" fillId="0" borderId="17" xfId="1" applyNumberFormat="1" applyFont="1" applyFill="1" applyBorder="1" applyAlignment="1" applyProtection="1">
      <alignment vertical="center"/>
    </xf>
    <xf numFmtId="0" fontId="2" fillId="2" borderId="10" xfId="1" applyFont="1" applyFill="1" applyBorder="1" applyAlignment="1" applyProtection="1">
      <alignment vertical="center"/>
      <protection locked="0"/>
    </xf>
    <xf numFmtId="0" fontId="2" fillId="2" borderId="1" xfId="1" applyFont="1" applyFill="1" applyBorder="1" applyAlignment="1" applyProtection="1">
      <alignment vertical="center"/>
      <protection locked="0"/>
    </xf>
    <xf numFmtId="0" fontId="2" fillId="2" borderId="11" xfId="1" applyFont="1" applyFill="1" applyBorder="1" applyAlignment="1" applyProtection="1">
      <alignment vertical="center"/>
      <protection locked="0"/>
    </xf>
    <xf numFmtId="3" fontId="2" fillId="0" borderId="114" xfId="1" applyNumberFormat="1" applyFont="1" applyFill="1" applyBorder="1" applyAlignment="1" applyProtection="1">
      <alignment horizontal="right" vertical="center"/>
    </xf>
    <xf numFmtId="3" fontId="2" fillId="0" borderId="114" xfId="1" applyNumberFormat="1" applyFont="1" applyFill="1" applyBorder="1" applyAlignment="1" applyProtection="1">
      <alignment horizontal="right" vertical="center"/>
      <protection locked="0"/>
    </xf>
    <xf numFmtId="3" fontId="2" fillId="0" borderId="51" xfId="1" applyNumberFormat="1" applyFont="1" applyFill="1" applyBorder="1" applyAlignment="1" applyProtection="1">
      <alignment horizontal="right" vertical="center"/>
      <protection locked="0"/>
    </xf>
    <xf numFmtId="3" fontId="2" fillId="0" borderId="114" xfId="1" applyNumberFormat="1" applyFont="1" applyFill="1" applyBorder="1" applyAlignment="1" applyProtection="1">
      <alignment horizontal="center" vertical="center"/>
    </xf>
    <xf numFmtId="3" fontId="2" fillId="0" borderId="56" xfId="1" applyNumberFormat="1" applyFont="1" applyFill="1" applyBorder="1" applyAlignment="1" applyProtection="1">
      <alignment horizontal="right" vertical="center"/>
      <protection locked="0"/>
    </xf>
    <xf numFmtId="3" fontId="2" fillId="0" borderId="64" xfId="1" applyNumberFormat="1" applyFont="1" applyFill="1" applyBorder="1" applyAlignment="1" applyProtection="1">
      <alignment horizontal="right" vertical="center"/>
      <protection locked="0"/>
    </xf>
    <xf numFmtId="3" fontId="2" fillId="0" borderId="58" xfId="1" applyNumberFormat="1" applyFont="1" applyFill="1" applyBorder="1" applyAlignment="1" applyProtection="1">
      <alignment horizontal="right" vertical="center"/>
      <protection locked="0"/>
    </xf>
    <xf numFmtId="3" fontId="2" fillId="0" borderId="58" xfId="1" applyNumberFormat="1" applyFont="1" applyFill="1" applyBorder="1" applyAlignment="1" applyProtection="1">
      <alignment horizontal="right" vertical="center"/>
    </xf>
    <xf numFmtId="3" fontId="2" fillId="0" borderId="62" xfId="1" applyNumberFormat="1" applyFont="1" applyFill="1" applyBorder="1" applyAlignment="1" applyProtection="1">
      <alignment horizontal="center" vertical="center"/>
      <protection locked="0"/>
    </xf>
    <xf numFmtId="3" fontId="2" fillId="0" borderId="129" xfId="1" applyNumberFormat="1" applyFont="1" applyFill="1" applyBorder="1" applyAlignment="1" applyProtection="1">
      <alignment horizontal="center" vertical="center"/>
      <protection locked="0"/>
    </xf>
    <xf numFmtId="3" fontId="2" fillId="0" borderId="66" xfId="1" applyNumberFormat="1" applyFont="1" applyFill="1" applyBorder="1" applyAlignment="1" applyProtection="1">
      <alignment horizontal="center" vertical="center"/>
      <protection locked="0"/>
    </xf>
    <xf numFmtId="3" fontId="3" fillId="0" borderId="42" xfId="1" applyNumberFormat="1" applyFont="1" applyFill="1" applyBorder="1" applyAlignment="1" applyProtection="1">
      <alignment horizontal="right" vertical="center"/>
    </xf>
    <xf numFmtId="3" fontId="3" fillId="0" borderId="115" xfId="1" applyNumberFormat="1" applyFont="1" applyFill="1" applyBorder="1" applyAlignment="1" applyProtection="1">
      <alignment horizontal="right" vertical="center"/>
    </xf>
    <xf numFmtId="3" fontId="3" fillId="5" borderId="71" xfId="1" applyNumberFormat="1" applyFont="1" applyFill="1" applyBorder="1" applyAlignment="1" applyProtection="1">
      <alignment horizontal="right" vertical="center"/>
    </xf>
    <xf numFmtId="3" fontId="2" fillId="0" borderId="85" xfId="1" applyNumberFormat="1" applyFont="1" applyFill="1" applyBorder="1" applyAlignment="1" applyProtection="1">
      <alignment vertical="center" wrapText="1"/>
      <protection locked="0"/>
    </xf>
    <xf numFmtId="0" fontId="8" fillId="0" borderId="73" xfId="0" applyFont="1" applyBorder="1" applyAlignment="1">
      <alignment wrapText="1"/>
    </xf>
    <xf numFmtId="3" fontId="2" fillId="0" borderId="58" xfId="1" applyNumberFormat="1" applyFont="1" applyFill="1" applyBorder="1" applyAlignment="1" applyProtection="1">
      <alignment vertical="center"/>
      <protection locked="0"/>
    </xf>
    <xf numFmtId="3" fontId="2" fillId="0" borderId="103" xfId="1" applyNumberFormat="1" applyFont="1" applyFill="1" applyBorder="1" applyAlignment="1" applyProtection="1">
      <alignment horizontal="right" vertical="center"/>
    </xf>
    <xf numFmtId="3" fontId="3" fillId="5" borderId="56" xfId="1" applyNumberFormat="1" applyFont="1" applyFill="1" applyBorder="1" applyAlignment="1" applyProtection="1">
      <alignment horizontal="right" vertical="center"/>
    </xf>
    <xf numFmtId="3" fontId="3" fillId="5" borderId="58" xfId="1" applyNumberFormat="1" applyFont="1" applyFill="1" applyBorder="1" applyAlignment="1" applyProtection="1">
      <alignment vertical="center"/>
    </xf>
    <xf numFmtId="3" fontId="2" fillId="0" borderId="112" xfId="1" applyNumberFormat="1" applyFont="1" applyFill="1" applyBorder="1" applyAlignment="1" applyProtection="1">
      <alignment horizontal="right" vertical="center"/>
    </xf>
    <xf numFmtId="3" fontId="3" fillId="0" borderId="117" xfId="1" applyNumberFormat="1" applyFont="1" applyFill="1" applyBorder="1" applyAlignment="1" applyProtection="1">
      <alignment horizontal="right" vertical="center"/>
    </xf>
    <xf numFmtId="3" fontId="3" fillId="0" borderId="133" xfId="1" applyNumberFormat="1" applyFont="1" applyFill="1" applyBorder="1" applyAlignment="1" applyProtection="1">
      <alignment vertical="center"/>
    </xf>
    <xf numFmtId="3" fontId="3" fillId="0" borderId="56" xfId="1" applyNumberFormat="1" applyFont="1" applyFill="1" applyBorder="1" applyAlignment="1" applyProtection="1">
      <alignment horizontal="right" vertical="center"/>
    </xf>
    <xf numFmtId="3" fontId="3" fillId="0" borderId="133" xfId="1" applyNumberFormat="1" applyFont="1" applyFill="1" applyBorder="1" applyAlignment="1" applyProtection="1">
      <alignment vertical="center"/>
      <protection locked="0"/>
    </xf>
    <xf numFmtId="0" fontId="2" fillId="2" borderId="5" xfId="1" applyFont="1" applyFill="1" applyBorder="1" applyAlignment="1" applyProtection="1">
      <alignment vertical="center"/>
      <protection locked="0"/>
    </xf>
    <xf numFmtId="0" fontId="2" fillId="2" borderId="0" xfId="1" applyFont="1" applyFill="1" applyBorder="1" applyAlignment="1" applyProtection="1">
      <alignment vertical="center"/>
      <protection locked="0"/>
    </xf>
    <xf numFmtId="0" fontId="2" fillId="2" borderId="6" xfId="1" applyFont="1" applyFill="1" applyBorder="1" applyAlignment="1" applyProtection="1">
      <alignment vertical="center"/>
      <protection locked="0"/>
    </xf>
    <xf numFmtId="0" fontId="2" fillId="0" borderId="0" xfId="1" applyFont="1" applyBorder="1" applyAlignment="1" applyProtection="1">
      <alignment vertical="center"/>
      <protection locked="0"/>
    </xf>
    <xf numFmtId="0" fontId="2" fillId="2" borderId="111" xfId="1" applyFont="1" applyFill="1" applyBorder="1" applyAlignment="1" applyProtection="1">
      <alignment vertical="center"/>
    </xf>
    <xf numFmtId="0" fontId="2" fillId="0" borderId="0" xfId="1" applyFont="1" applyAlignment="1">
      <alignment horizontal="right"/>
    </xf>
    <xf numFmtId="0" fontId="2" fillId="0" borderId="0" xfId="1" applyFont="1" applyAlignment="1"/>
    <xf numFmtId="0" fontId="10" fillId="0" borderId="0" xfId="1" applyFont="1" applyAlignment="1">
      <alignment horizontal="center"/>
    </xf>
    <xf numFmtId="3" fontId="2" fillId="0" borderId="0" xfId="1" applyNumberFormat="1" applyFont="1"/>
    <xf numFmtId="3" fontId="3" fillId="0" borderId="48" xfId="1" applyNumberFormat="1" applyFont="1" applyFill="1" applyBorder="1" applyAlignment="1" applyProtection="1">
      <alignment vertical="center" wrapText="1"/>
      <protection locked="0"/>
    </xf>
    <xf numFmtId="0" fontId="16" fillId="0" borderId="48" xfId="2" applyFont="1" applyFill="1" applyBorder="1" applyAlignment="1">
      <alignment horizontal="center" vertical="center" wrapText="1"/>
    </xf>
    <xf numFmtId="0" fontId="16" fillId="0" borderId="48" xfId="2" applyFont="1" applyFill="1" applyBorder="1" applyAlignment="1">
      <alignment horizontal="right" vertical="center" wrapText="1"/>
    </xf>
    <xf numFmtId="3" fontId="2" fillId="0" borderId="82" xfId="1" applyNumberFormat="1" applyFont="1" applyFill="1" applyBorder="1" applyAlignment="1" applyProtection="1">
      <alignment horizontal="center" vertical="center" wrapText="1"/>
      <protection locked="0"/>
    </xf>
    <xf numFmtId="0" fontId="14" fillId="0" borderId="48" xfId="2" applyFont="1" applyFill="1" applyBorder="1" applyAlignment="1">
      <alignment horizontal="center" vertical="center" wrapText="1"/>
    </xf>
    <xf numFmtId="0" fontId="16" fillId="0" borderId="48" xfId="2" applyFont="1" applyFill="1" applyBorder="1" applyAlignment="1">
      <alignment horizontal="right" vertical="center"/>
    </xf>
    <xf numFmtId="3" fontId="2" fillId="0" borderId="48" xfId="1" applyNumberFormat="1" applyFont="1" applyFill="1" applyBorder="1" applyAlignment="1">
      <alignment vertical="center"/>
    </xf>
    <xf numFmtId="0" fontId="14" fillId="0" borderId="98" xfId="2" applyFont="1" applyFill="1" applyBorder="1" applyAlignment="1">
      <alignment horizontal="center" vertical="center" wrapText="1"/>
    </xf>
    <xf numFmtId="3" fontId="2" fillId="0" borderId="98" xfId="1" applyNumberFormat="1" applyFont="1" applyFill="1" applyBorder="1" applyAlignment="1" applyProtection="1">
      <alignment horizontal="center" vertical="center" wrapText="1"/>
      <protection locked="0"/>
    </xf>
    <xf numFmtId="16" fontId="14" fillId="0" borderId="48" xfId="2" applyNumberFormat="1" applyFont="1" applyFill="1" applyBorder="1" applyAlignment="1">
      <alignment horizontal="center" vertical="center" wrapText="1"/>
    </xf>
    <xf numFmtId="0" fontId="16" fillId="0" borderId="48" xfId="2" applyFont="1" applyFill="1" applyBorder="1" applyAlignment="1">
      <alignment vertical="center"/>
    </xf>
    <xf numFmtId="0" fontId="14" fillId="0" borderId="48" xfId="2" applyFont="1" applyFill="1" applyBorder="1" applyAlignment="1">
      <alignment horizontal="center"/>
    </xf>
    <xf numFmtId="0" fontId="14" fillId="0" borderId="48" xfId="2" applyFont="1" applyFill="1" applyBorder="1" applyAlignment="1">
      <alignment horizontal="center" vertical="center"/>
    </xf>
    <xf numFmtId="3" fontId="3" fillId="0" borderId="48" xfId="1" applyNumberFormat="1" applyFont="1" applyFill="1" applyBorder="1" applyAlignment="1">
      <alignment vertical="center"/>
    </xf>
    <xf numFmtId="3" fontId="2" fillId="0" borderId="46" xfId="1" applyNumberFormat="1" applyFont="1" applyFill="1" applyBorder="1" applyAlignment="1" applyProtection="1">
      <alignment vertical="center" wrapText="1"/>
      <protection locked="0"/>
    </xf>
    <xf numFmtId="3" fontId="2" fillId="0" borderId="47" xfId="1" applyNumberFormat="1" applyFont="1" applyFill="1" applyBorder="1" applyAlignment="1" applyProtection="1">
      <alignment horizontal="center" vertical="center" wrapText="1"/>
      <protection locked="0"/>
    </xf>
    <xf numFmtId="0" fontId="14" fillId="0" borderId="0" xfId="2" applyFont="1" applyFill="1" applyBorder="1" applyAlignment="1">
      <alignment horizontal="center" vertical="center" wrapText="1"/>
    </xf>
    <xf numFmtId="0" fontId="14" fillId="0" borderId="0" xfId="2" applyFont="1" applyFill="1" applyBorder="1" applyAlignment="1">
      <alignment horizontal="left" vertical="center" wrapText="1"/>
    </xf>
    <xf numFmtId="0" fontId="16" fillId="0" borderId="0" xfId="2" applyFont="1" applyFill="1" applyBorder="1" applyAlignment="1">
      <alignment horizontal="right" vertical="center" wrapText="1"/>
    </xf>
    <xf numFmtId="3" fontId="2" fillId="0" borderId="0" xfId="1" applyNumberFormat="1" applyFont="1" applyFill="1" applyBorder="1" applyAlignment="1" applyProtection="1">
      <alignment vertical="center" wrapText="1"/>
      <protection locked="0"/>
    </xf>
    <xf numFmtId="0" fontId="3" fillId="0" borderId="0" xfId="1" applyFont="1"/>
    <xf numFmtId="0" fontId="14" fillId="0" borderId="0" xfId="2" applyFont="1" applyFill="1" applyBorder="1" applyAlignment="1">
      <alignment vertical="center" wrapText="1"/>
    </xf>
    <xf numFmtId="3" fontId="2" fillId="0" borderId="0" xfId="1" applyNumberFormat="1" applyFont="1" applyFill="1" applyBorder="1" applyAlignment="1" applyProtection="1">
      <alignment horizontal="center" vertical="center" wrapText="1"/>
      <protection locked="0"/>
    </xf>
    <xf numFmtId="0" fontId="17" fillId="0" borderId="0" xfId="1" applyFont="1"/>
    <xf numFmtId="0" fontId="2" fillId="0" borderId="0" xfId="1" applyFont="1" applyProtection="1">
      <protection locked="0"/>
    </xf>
    <xf numFmtId="0" fontId="2" fillId="0" borderId="0" xfId="4" applyFont="1" applyAlignment="1">
      <alignment horizontal="right"/>
    </xf>
    <xf numFmtId="0" fontId="11" fillId="0" borderId="0" xfId="1" applyFont="1" applyAlignment="1"/>
    <xf numFmtId="3" fontId="3" fillId="0" borderId="48" xfId="1" applyNumberFormat="1" applyFont="1" applyBorder="1" applyAlignment="1" applyProtection="1">
      <alignment vertical="center" wrapText="1"/>
      <protection locked="0"/>
    </xf>
    <xf numFmtId="3" fontId="3" fillId="0" borderId="48" xfId="1" applyNumberFormat="1" applyFont="1" applyBorder="1" applyAlignment="1" applyProtection="1">
      <alignment horizontal="right" vertical="center"/>
      <protection locked="0"/>
    </xf>
    <xf numFmtId="3" fontId="3" fillId="0" borderId="0" xfId="1" applyNumberFormat="1" applyFont="1" applyBorder="1" applyAlignment="1" applyProtection="1">
      <alignment horizontal="right" vertical="center"/>
      <protection locked="0"/>
    </xf>
    <xf numFmtId="0" fontId="2" fillId="0" borderId="0" xfId="1" applyFont="1" applyBorder="1" applyAlignment="1">
      <alignment vertical="center" wrapText="1"/>
    </xf>
    <xf numFmtId="0" fontId="18" fillId="0" borderId="0" xfId="1" applyFont="1"/>
    <xf numFmtId="0" fontId="1" fillId="0" borderId="0" xfId="2"/>
    <xf numFmtId="0" fontId="1" fillId="0" borderId="0" xfId="2" applyFill="1"/>
    <xf numFmtId="0" fontId="21" fillId="0" borderId="0" xfId="5" applyFont="1" applyAlignment="1">
      <alignment horizontal="center" vertical="center" wrapText="1"/>
    </xf>
    <xf numFmtId="0" fontId="21" fillId="0" borderId="0" xfId="5" applyFont="1" applyAlignment="1">
      <alignment horizontal="left" vertical="top" wrapText="1"/>
    </xf>
    <xf numFmtId="0" fontId="21" fillId="0" borderId="0" xfId="5" applyFont="1" applyFill="1" applyAlignment="1">
      <alignment horizontal="center" vertical="center" wrapText="1"/>
    </xf>
    <xf numFmtId="0" fontId="21" fillId="0" borderId="0" xfId="5" applyFont="1"/>
    <xf numFmtId="0" fontId="2" fillId="0" borderId="0" xfId="1" applyFont="1" applyBorder="1" applyAlignment="1">
      <alignment wrapText="1"/>
    </xf>
    <xf numFmtId="0" fontId="2" fillId="0" borderId="0" xfId="1" applyFont="1" applyBorder="1"/>
    <xf numFmtId="3" fontId="2" fillId="0" borderId="42" xfId="1" applyNumberFormat="1" applyFont="1" applyBorder="1" applyAlignment="1" applyProtection="1">
      <alignment vertical="center"/>
    </xf>
    <xf numFmtId="3" fontId="2" fillId="0" borderId="43" xfId="1" applyNumberFormat="1" applyFont="1" applyFill="1" applyBorder="1" applyAlignment="1" applyProtection="1">
      <alignment horizontal="left" vertical="center" wrapText="1"/>
      <protection locked="0"/>
    </xf>
    <xf numFmtId="3" fontId="5" fillId="0" borderId="43" xfId="1" applyNumberFormat="1" applyFont="1" applyFill="1" applyBorder="1" applyAlignment="1" applyProtection="1">
      <alignment horizontal="left" vertical="center" wrapText="1"/>
      <protection locked="0"/>
    </xf>
    <xf numFmtId="3" fontId="2" fillId="0" borderId="60" xfId="1" applyNumberFormat="1" applyFont="1" applyFill="1" applyBorder="1" applyAlignment="1" applyProtection="1">
      <alignment horizontal="center" vertical="center"/>
    </xf>
    <xf numFmtId="3" fontId="2" fillId="0" borderId="68" xfId="1" applyNumberFormat="1" applyFont="1" applyFill="1" applyBorder="1" applyAlignment="1" applyProtection="1">
      <alignment horizontal="right" vertical="center"/>
    </xf>
    <xf numFmtId="3" fontId="2" fillId="0" borderId="9" xfId="1" applyNumberFormat="1" applyFont="1" applyFill="1" applyBorder="1" applyAlignment="1" applyProtection="1">
      <alignment horizontal="left" vertical="center"/>
      <protection locked="0"/>
    </xf>
    <xf numFmtId="0" fontId="2" fillId="0" borderId="43" xfId="0" applyFont="1" applyBorder="1" applyAlignment="1" applyProtection="1">
      <alignment wrapText="1"/>
      <protection locked="0"/>
    </xf>
    <xf numFmtId="0" fontId="2" fillId="0" borderId="43" xfId="0" applyFont="1" applyBorder="1" applyAlignment="1">
      <alignment vertical="center" wrapText="1"/>
    </xf>
    <xf numFmtId="49" fontId="2" fillId="2" borderId="8" xfId="1" applyNumberFormat="1" applyFont="1" applyFill="1" applyBorder="1" applyAlignment="1" applyProtection="1">
      <alignment horizontal="center" vertical="top"/>
      <protection locked="0"/>
    </xf>
    <xf numFmtId="49" fontId="3" fillId="2" borderId="8" xfId="1" applyNumberFormat="1" applyFont="1" applyFill="1" applyBorder="1" applyAlignment="1" applyProtection="1">
      <alignment horizontal="center" vertical="top"/>
      <protection locked="0"/>
    </xf>
    <xf numFmtId="0" fontId="2" fillId="0" borderId="9" xfId="1" applyFont="1" applyFill="1" applyBorder="1" applyAlignment="1" applyProtection="1">
      <alignment horizontal="center" vertical="top"/>
      <protection locked="0"/>
    </xf>
    <xf numFmtId="0" fontId="2" fillId="4" borderId="43" xfId="1" applyFont="1" applyFill="1" applyBorder="1" applyAlignment="1" applyProtection="1">
      <alignment vertical="center" wrapText="1"/>
    </xf>
    <xf numFmtId="3" fontId="2" fillId="4" borderId="45" xfId="1" applyNumberFormat="1" applyFont="1" applyFill="1" applyBorder="1" applyAlignment="1" applyProtection="1">
      <alignment horizontal="center" vertical="center"/>
    </xf>
    <xf numFmtId="3" fontId="2" fillId="4" borderId="46" xfId="1" applyNumberFormat="1" applyFont="1" applyFill="1" applyBorder="1" applyAlignment="1" applyProtection="1">
      <alignment horizontal="center" vertical="center"/>
    </xf>
    <xf numFmtId="3" fontId="2" fillId="4" borderId="43" xfId="1" applyNumberFormat="1" applyFont="1" applyFill="1" applyBorder="1" applyAlignment="1" applyProtection="1">
      <alignment horizontal="center" vertical="center"/>
    </xf>
    <xf numFmtId="3" fontId="2" fillId="4" borderId="47" xfId="1" applyNumberFormat="1" applyFont="1" applyFill="1" applyBorder="1" applyAlignment="1" applyProtection="1">
      <alignment horizontal="center" vertical="center"/>
    </xf>
    <xf numFmtId="3" fontId="2" fillId="4" borderId="9" xfId="1" applyNumberFormat="1" applyFont="1" applyFill="1" applyBorder="1" applyAlignment="1" applyProtection="1">
      <alignment horizontal="center" vertical="center"/>
    </xf>
    <xf numFmtId="3" fontId="2" fillId="4" borderId="8" xfId="1" applyNumberFormat="1" applyFont="1" applyFill="1" applyBorder="1" applyAlignment="1" applyProtection="1">
      <alignment horizontal="center" vertical="center"/>
    </xf>
    <xf numFmtId="3" fontId="2" fillId="4" borderId="48" xfId="1" applyNumberFormat="1" applyFont="1" applyFill="1" applyBorder="1" applyAlignment="1" applyProtection="1">
      <alignment horizontal="center" vertical="center"/>
    </xf>
    <xf numFmtId="0" fontId="2" fillId="4" borderId="79" xfId="1" applyFont="1" applyFill="1" applyBorder="1" applyAlignment="1" applyProtection="1">
      <alignment horizontal="center" vertical="center" wrapText="1"/>
    </xf>
    <xf numFmtId="0" fontId="2" fillId="4" borderId="79" xfId="1" applyFont="1" applyFill="1" applyBorder="1" applyAlignment="1" applyProtection="1">
      <alignment horizontal="left" vertical="center" wrapText="1"/>
    </xf>
    <xf numFmtId="3" fontId="2" fillId="4" borderId="81" xfId="1" applyNumberFormat="1" applyFont="1" applyFill="1" applyBorder="1" applyAlignment="1" applyProtection="1">
      <alignment vertical="center"/>
      <protection locked="0"/>
    </xf>
    <xf numFmtId="3" fontId="2" fillId="4" borderId="86" xfId="1" applyNumberFormat="1" applyFont="1" applyFill="1" applyBorder="1" applyAlignment="1" applyProtection="1">
      <alignment vertical="center"/>
      <protection locked="0"/>
    </xf>
    <xf numFmtId="3" fontId="2" fillId="4" borderId="79" xfId="1" applyNumberFormat="1" applyFont="1" applyFill="1" applyBorder="1" applyAlignment="1" applyProtection="1">
      <alignment vertical="center"/>
    </xf>
    <xf numFmtId="3" fontId="2" fillId="4" borderId="84" xfId="1" applyNumberFormat="1" applyFont="1" applyFill="1" applyBorder="1" applyAlignment="1" applyProtection="1">
      <alignment vertical="center"/>
      <protection locked="0"/>
    </xf>
    <xf numFmtId="3" fontId="2" fillId="4" borderId="85" xfId="1" applyNumberFormat="1" applyFont="1" applyFill="1" applyBorder="1" applyAlignment="1" applyProtection="1">
      <alignment vertical="center"/>
    </xf>
    <xf numFmtId="3" fontId="2" fillId="4" borderId="7" xfId="1" applyNumberFormat="1" applyFont="1" applyFill="1" applyBorder="1" applyAlignment="1" applyProtection="1">
      <alignment vertical="center"/>
      <protection locked="0"/>
    </xf>
    <xf numFmtId="3" fontId="2" fillId="4" borderId="82" xfId="1" applyNumberFormat="1" applyFont="1" applyFill="1" applyBorder="1" applyAlignment="1" applyProtection="1">
      <alignment vertical="center"/>
      <protection locked="0"/>
    </xf>
    <xf numFmtId="3" fontId="2" fillId="4" borderId="85" xfId="1" applyNumberFormat="1" applyFont="1" applyFill="1" applyBorder="1" applyAlignment="1" applyProtection="1">
      <alignment horizontal="left" vertical="center" wrapText="1"/>
      <protection locked="0"/>
    </xf>
    <xf numFmtId="0" fontId="2" fillId="4" borderId="43" xfId="1" applyFont="1" applyFill="1" applyBorder="1" applyAlignment="1" applyProtection="1">
      <alignment horizontal="center" vertical="center" wrapText="1"/>
    </xf>
    <xf numFmtId="0" fontId="2" fillId="4" borderId="43" xfId="1" applyFont="1" applyFill="1" applyBorder="1" applyAlignment="1" applyProtection="1">
      <alignment vertical="center"/>
    </xf>
    <xf numFmtId="0" fontId="2" fillId="4" borderId="53" xfId="1" applyFont="1" applyFill="1" applyBorder="1" applyAlignment="1" applyProtection="1">
      <alignment horizontal="right" vertical="center" wrapText="1"/>
    </xf>
    <xf numFmtId="3" fontId="2" fillId="4" borderId="5" xfId="1" applyNumberFormat="1" applyFont="1" applyFill="1" applyBorder="1" applyAlignment="1" applyProtection="1">
      <alignment vertical="center"/>
    </xf>
    <xf numFmtId="3" fontId="2" fillId="4" borderId="16" xfId="1" applyNumberFormat="1" applyFont="1" applyFill="1" applyBorder="1" applyAlignment="1" applyProtection="1">
      <alignment vertical="center"/>
    </xf>
    <xf numFmtId="3" fontId="2" fillId="4" borderId="32" xfId="1" applyNumberFormat="1" applyFont="1" applyFill="1" applyBorder="1" applyAlignment="1" applyProtection="1">
      <alignment vertical="center"/>
      <protection locked="0"/>
    </xf>
    <xf numFmtId="3" fontId="2" fillId="4" borderId="6" xfId="1" applyNumberFormat="1" applyFont="1" applyFill="1" applyBorder="1" applyAlignment="1" applyProtection="1">
      <alignment vertical="center"/>
    </xf>
    <xf numFmtId="3" fontId="2" fillId="4" borderId="0" xfId="1" applyNumberFormat="1" applyFont="1" applyFill="1" applyBorder="1" applyAlignment="1" applyProtection="1">
      <alignment vertical="center"/>
      <protection locked="0"/>
    </xf>
    <xf numFmtId="3" fontId="2" fillId="4" borderId="33" xfId="1" applyNumberFormat="1" applyFont="1" applyFill="1" applyBorder="1" applyAlignment="1" applyProtection="1">
      <alignment vertical="center"/>
      <protection locked="0"/>
    </xf>
    <xf numFmtId="3" fontId="2" fillId="4" borderId="6" xfId="1" applyNumberFormat="1" applyFont="1" applyFill="1" applyBorder="1" applyAlignment="1" applyProtection="1">
      <alignment horizontal="left" vertical="center" wrapText="1"/>
      <protection locked="0"/>
    </xf>
    <xf numFmtId="0" fontId="2" fillId="0" borderId="0" xfId="6" applyFont="1"/>
    <xf numFmtId="0" fontId="2" fillId="0" borderId="0" xfId="6" applyFont="1" applyAlignment="1">
      <alignment horizontal="right"/>
    </xf>
    <xf numFmtId="0" fontId="2" fillId="0" borderId="0" xfId="6" applyFont="1" applyAlignment="1"/>
    <xf numFmtId="0" fontId="2" fillId="0" borderId="0" xfId="1" applyFont="1" applyAlignment="1">
      <alignment horizontal="left"/>
    </xf>
    <xf numFmtId="0" fontId="10" fillId="0" borderId="0" xfId="6" applyFont="1" applyAlignment="1">
      <alignment horizontal="center"/>
    </xf>
    <xf numFmtId="0" fontId="2" fillId="0" borderId="0" xfId="6" applyFont="1" applyAlignment="1">
      <alignment vertical="center"/>
    </xf>
    <xf numFmtId="0" fontId="11" fillId="0" borderId="0" xfId="6" applyFont="1" applyAlignment="1" applyProtection="1">
      <alignment vertical="center"/>
      <protection locked="0"/>
    </xf>
    <xf numFmtId="0" fontId="11" fillId="0" borderId="0" xfId="6" applyFont="1" applyAlignment="1" applyProtection="1">
      <alignment horizontal="left" vertical="center"/>
      <protection locked="0"/>
    </xf>
    <xf numFmtId="0" fontId="2" fillId="0" borderId="0" xfId="1" applyFont="1" applyBorder="1" applyAlignment="1">
      <alignment vertical="center"/>
    </xf>
    <xf numFmtId="0" fontId="17" fillId="0" borderId="0" xfId="1" applyFont="1" applyBorder="1" applyAlignment="1">
      <alignment horizontal="right" vertical="center"/>
    </xf>
    <xf numFmtId="0" fontId="22" fillId="0" borderId="0" xfId="1" applyFont="1" applyBorder="1" applyAlignment="1">
      <alignment vertical="center"/>
    </xf>
    <xf numFmtId="0" fontId="2" fillId="0" borderId="48" xfId="1" applyFont="1" applyBorder="1" applyAlignment="1">
      <alignment vertical="center" wrapText="1"/>
    </xf>
    <xf numFmtId="0" fontId="2" fillId="0" borderId="0" xfId="1" applyFont="1" applyBorder="1" applyAlignment="1">
      <alignment horizontal="center" vertical="center" wrapText="1"/>
    </xf>
    <xf numFmtId="1" fontId="2" fillId="0" borderId="0" xfId="1" applyNumberFormat="1" applyFont="1" applyBorder="1" applyAlignment="1">
      <alignment horizontal="center" vertical="center"/>
    </xf>
    <xf numFmtId="3" fontId="2" fillId="0" borderId="0" xfId="1" applyNumberFormat="1" applyFont="1" applyAlignment="1">
      <alignment vertical="center"/>
    </xf>
    <xf numFmtId="0" fontId="2" fillId="0" borderId="48" xfId="1" applyFont="1" applyBorder="1" applyAlignment="1">
      <alignment horizontal="left" vertical="center" wrapText="1"/>
    </xf>
    <xf numFmtId="3" fontId="2" fillId="0" borderId="48" xfId="1" applyNumberFormat="1" applyFont="1" applyBorder="1" applyAlignment="1">
      <alignment vertical="center"/>
    </xf>
    <xf numFmtId="1" fontId="2" fillId="0" borderId="48" xfId="1" applyNumberFormat="1" applyFont="1" applyBorder="1" applyAlignment="1">
      <alignment vertical="center"/>
    </xf>
    <xf numFmtId="1" fontId="2" fillId="0" borderId="0" xfId="1" applyNumberFormat="1" applyFont="1" applyBorder="1" applyAlignment="1">
      <alignment horizontal="left" vertical="center" wrapText="1"/>
    </xf>
    <xf numFmtId="0" fontId="5" fillId="0" borderId="0" xfId="1" applyFont="1" applyBorder="1" applyAlignment="1">
      <alignment horizontal="center" vertical="center" wrapText="1"/>
    </xf>
    <xf numFmtId="0" fontId="5" fillId="0" borderId="0" xfId="1" applyFont="1" applyBorder="1" applyAlignment="1">
      <alignment vertical="center" wrapText="1"/>
    </xf>
    <xf numFmtId="0" fontId="2" fillId="0" borderId="48" xfId="6" applyFont="1" applyBorder="1" applyAlignment="1">
      <alignment horizontal="center" vertical="center" wrapText="1"/>
    </xf>
    <xf numFmtId="3" fontId="3" fillId="0" borderId="48" xfId="6" applyNumberFormat="1" applyFont="1" applyBorder="1" applyAlignment="1">
      <alignment vertical="center" wrapText="1"/>
    </xf>
    <xf numFmtId="0" fontId="2" fillId="0" borderId="48" xfId="6" applyFont="1" applyBorder="1" applyAlignment="1" applyProtection="1">
      <alignment horizontal="center" vertical="center" wrapText="1"/>
      <protection locked="0"/>
    </xf>
    <xf numFmtId="0" fontId="2" fillId="0" borderId="48" xfId="6" applyFont="1" applyBorder="1" applyAlignment="1" applyProtection="1">
      <alignment vertical="center" wrapText="1"/>
      <protection locked="0"/>
    </xf>
    <xf numFmtId="0" fontId="3" fillId="0" borderId="48" xfId="6" applyFont="1" applyBorder="1" applyAlignment="1">
      <alignment vertical="center"/>
    </xf>
    <xf numFmtId="3" fontId="2" fillId="0" borderId="48" xfId="6" applyNumberFormat="1" applyFont="1" applyBorder="1" applyAlignment="1">
      <alignment vertical="center"/>
    </xf>
    <xf numFmtId="3" fontId="13" fillId="0" borderId="48" xfId="6" applyNumberFormat="1" applyFont="1" applyBorder="1" applyAlignment="1">
      <alignment vertical="center"/>
    </xf>
    <xf numFmtId="3" fontId="2" fillId="0" borderId="48" xfId="6" applyNumberFormat="1" applyFont="1" applyBorder="1" applyAlignment="1">
      <alignment vertical="center" wrapText="1"/>
    </xf>
    <xf numFmtId="0" fontId="2" fillId="0" borderId="48" xfId="6" applyFont="1" applyBorder="1" applyAlignment="1" applyProtection="1">
      <alignment horizontal="left" vertical="center" wrapText="1"/>
      <protection locked="0"/>
    </xf>
    <xf numFmtId="3" fontId="3" fillId="0" borderId="48" xfId="6" applyNumberFormat="1" applyFont="1" applyBorder="1" applyAlignment="1">
      <alignment horizontal="left" vertical="center" wrapText="1"/>
    </xf>
    <xf numFmtId="3" fontId="3" fillId="0" borderId="48" xfId="6" applyNumberFormat="1" applyFont="1" applyBorder="1" applyAlignment="1">
      <alignment vertical="center"/>
    </xf>
    <xf numFmtId="3" fontId="2" fillId="0" borderId="48" xfId="6" applyNumberFormat="1" applyFont="1" applyBorder="1" applyAlignment="1">
      <alignment horizontal="left" vertical="center" wrapText="1"/>
    </xf>
    <xf numFmtId="0" fontId="2" fillId="0" borderId="0" xfId="6" applyFont="1" applyBorder="1" applyAlignment="1" applyProtection="1">
      <alignment horizontal="left" vertical="center" wrapText="1"/>
      <protection locked="0"/>
    </xf>
    <xf numFmtId="0" fontId="2" fillId="0" borderId="0" xfId="6" applyFont="1" applyBorder="1" applyAlignment="1">
      <alignment vertical="center"/>
    </xf>
    <xf numFmtId="0" fontId="2" fillId="0" borderId="0" xfId="6" applyFont="1" applyBorder="1" applyAlignment="1">
      <alignment vertical="center" wrapText="1"/>
    </xf>
    <xf numFmtId="3" fontId="2" fillId="0" borderId="0" xfId="6" applyNumberFormat="1" applyFont="1" applyBorder="1" applyAlignment="1">
      <alignment vertical="center" wrapText="1"/>
    </xf>
    <xf numFmtId="0" fontId="23" fillId="0" borderId="0" xfId="6" applyFont="1" applyProtection="1">
      <protection locked="0"/>
    </xf>
    <xf numFmtId="0" fontId="5" fillId="0" borderId="0" xfId="6" applyFont="1" applyProtection="1">
      <protection locked="0"/>
    </xf>
    <xf numFmtId="0" fontId="5" fillId="0" borderId="0" xfId="6" applyFont="1"/>
    <xf numFmtId="0" fontId="22" fillId="0" borderId="0" xfId="6" applyFont="1" applyProtection="1">
      <protection locked="0"/>
    </xf>
    <xf numFmtId="0" fontId="2" fillId="0" borderId="0" xfId="6" applyFont="1" applyProtection="1">
      <protection locked="0"/>
    </xf>
    <xf numFmtId="0" fontId="2" fillId="0" borderId="0" xfId="4" applyFont="1"/>
    <xf numFmtId="0" fontId="2" fillId="0" borderId="0" xfId="4" applyFont="1" applyBorder="1"/>
    <xf numFmtId="0" fontId="2" fillId="0" borderId="0" xfId="4" applyFont="1" applyBorder="1" applyAlignment="1"/>
    <xf numFmtId="0" fontId="2" fillId="0" borderId="0" xfId="4" applyFont="1" applyBorder="1" applyAlignment="1" applyProtection="1">
      <protection locked="0"/>
    </xf>
    <xf numFmtId="0" fontId="2" fillId="0" borderId="0" xfId="4" applyFont="1" applyBorder="1" applyAlignment="1" applyProtection="1">
      <alignment horizontal="center"/>
      <protection locked="0"/>
    </xf>
    <xf numFmtId="0" fontId="2" fillId="0" borderId="0" xfId="4" quotePrefix="1" applyFont="1" applyBorder="1" applyAlignment="1" applyProtection="1">
      <protection locked="0"/>
    </xf>
    <xf numFmtId="0" fontId="2" fillId="0" borderId="0" xfId="4" applyFont="1" applyBorder="1" applyAlignment="1" applyProtection="1">
      <alignment horizontal="center" wrapText="1"/>
      <protection locked="0"/>
    </xf>
    <xf numFmtId="0" fontId="10" fillId="0" borderId="0" xfId="4" applyFont="1" applyAlignment="1"/>
    <xf numFmtId="0" fontId="2" fillId="0" borderId="7" xfId="4" applyFont="1" applyBorder="1"/>
    <xf numFmtId="49" fontId="2" fillId="0" borderId="0" xfId="4" applyNumberFormat="1" applyFont="1" applyBorder="1" applyAlignment="1" applyProtection="1">
      <alignment horizontal="center"/>
      <protection locked="0"/>
    </xf>
    <xf numFmtId="0" fontId="2" fillId="0" borderId="48" xfId="4" applyFont="1" applyBorder="1" applyAlignment="1">
      <alignment horizontal="center" wrapText="1"/>
    </xf>
    <xf numFmtId="3" fontId="3" fillId="0" borderId="48" xfId="6" applyNumberFormat="1" applyFont="1" applyFill="1" applyBorder="1" applyAlignment="1">
      <alignment wrapText="1"/>
    </xf>
    <xf numFmtId="3" fontId="3" fillId="0" borderId="48" xfId="4" applyNumberFormat="1" applyFont="1" applyBorder="1" applyAlignment="1">
      <alignment wrapText="1"/>
    </xf>
    <xf numFmtId="0" fontId="2" fillId="0" borderId="48" xfId="6" applyFont="1" applyBorder="1"/>
    <xf numFmtId="3" fontId="3" fillId="0" borderId="48" xfId="6" applyNumberFormat="1" applyFont="1" applyFill="1" applyBorder="1" applyAlignment="1">
      <alignment horizontal="right" vertical="center" wrapText="1"/>
    </xf>
    <xf numFmtId="3" fontId="3" fillId="0" borderId="48" xfId="4" applyNumberFormat="1" applyFont="1" applyBorder="1" applyProtection="1">
      <protection locked="0"/>
    </xf>
    <xf numFmtId="3" fontId="2" fillId="0" borderId="48" xfId="4" applyNumberFormat="1" applyFont="1" applyBorder="1" applyAlignment="1" applyProtection="1">
      <alignment wrapText="1"/>
      <protection locked="0"/>
    </xf>
    <xf numFmtId="3" fontId="3" fillId="0" borderId="48" xfId="6" applyNumberFormat="1" applyFont="1" applyFill="1" applyBorder="1" applyAlignment="1">
      <alignment horizontal="center" vertical="center" wrapText="1"/>
    </xf>
    <xf numFmtId="1" fontId="3" fillId="0" borderId="48" xfId="6" applyNumberFormat="1" applyFont="1" applyFill="1" applyBorder="1" applyAlignment="1">
      <alignment wrapText="1"/>
    </xf>
    <xf numFmtId="3" fontId="2" fillId="0" borderId="48" xfId="6" applyNumberFormat="1" applyFont="1" applyFill="1" applyBorder="1" applyAlignment="1">
      <alignment wrapText="1"/>
    </xf>
    <xf numFmtId="3" fontId="2" fillId="0" borderId="48" xfId="4" applyNumberFormat="1" applyFont="1" applyBorder="1" applyProtection="1">
      <protection locked="0"/>
    </xf>
    <xf numFmtId="1" fontId="3" fillId="0" borderId="48" xfId="6" applyNumberFormat="1" applyFont="1" applyFill="1" applyBorder="1"/>
    <xf numFmtId="3" fontId="2" fillId="0" borderId="48" xfId="6" applyNumberFormat="1" applyFont="1" applyFill="1" applyBorder="1"/>
    <xf numFmtId="1" fontId="3" fillId="0" borderId="48" xfId="6" applyNumberFormat="1" applyFont="1" applyFill="1" applyBorder="1" applyAlignment="1">
      <alignment vertical="center"/>
    </xf>
    <xf numFmtId="1" fontId="3" fillId="0" borderId="48" xfId="6" applyNumberFormat="1" applyFont="1" applyFill="1" applyBorder="1" applyAlignment="1">
      <alignment vertical="center" wrapText="1"/>
    </xf>
    <xf numFmtId="3" fontId="3" fillId="0" borderId="48" xfId="6" applyNumberFormat="1" applyFont="1" applyFill="1" applyBorder="1" applyAlignment="1">
      <alignment vertical="center" wrapText="1"/>
    </xf>
    <xf numFmtId="0" fontId="2" fillId="0" borderId="48" xfId="6" applyFont="1" applyFill="1" applyBorder="1"/>
    <xf numFmtId="3" fontId="3" fillId="0" borderId="48" xfId="6" applyNumberFormat="1" applyFont="1" applyFill="1" applyBorder="1" applyAlignment="1">
      <alignment horizontal="left" vertical="center" wrapText="1"/>
    </xf>
    <xf numFmtId="1" fontId="3" fillId="0" borderId="48" xfId="6" applyNumberFormat="1" applyFont="1" applyFill="1" applyBorder="1" applyAlignment="1">
      <alignment horizontal="right" vertical="center" wrapText="1"/>
    </xf>
    <xf numFmtId="3" fontId="3" fillId="0" borderId="48" xfId="6" applyNumberFormat="1" applyFont="1" applyFill="1" applyBorder="1" applyAlignment="1">
      <alignment horizontal="right" wrapText="1"/>
    </xf>
    <xf numFmtId="1" fontId="24" fillId="0" borderId="48" xfId="6" applyNumberFormat="1" applyFont="1" applyFill="1" applyBorder="1" applyAlignment="1">
      <alignment vertical="center"/>
    </xf>
    <xf numFmtId="3" fontId="2" fillId="0" borderId="48" xfId="6" applyNumberFormat="1" applyFont="1" applyFill="1" applyBorder="1" applyAlignment="1">
      <alignment vertical="center"/>
    </xf>
    <xf numFmtId="3" fontId="2" fillId="0" borderId="48" xfId="4" applyNumberFormat="1" applyFont="1" applyBorder="1" applyAlignment="1" applyProtection="1">
      <protection locked="0"/>
    </xf>
    <xf numFmtId="3" fontId="3" fillId="0" borderId="48" xfId="6" applyNumberFormat="1" applyFont="1" applyFill="1" applyBorder="1"/>
    <xf numFmtId="0" fontId="2" fillId="0" borderId="48" xfId="6" applyFont="1" applyFill="1" applyBorder="1" applyAlignment="1">
      <alignment horizontal="center" vertical="center" wrapText="1"/>
    </xf>
    <xf numFmtId="3" fontId="2" fillId="0" borderId="48" xfId="6" applyNumberFormat="1" applyFont="1" applyFill="1" applyBorder="1" applyAlignment="1">
      <alignment horizontal="center" vertical="center" wrapText="1"/>
    </xf>
    <xf numFmtId="3" fontId="3" fillId="0" borderId="48" xfId="6" applyNumberFormat="1" applyFont="1" applyFill="1" applyBorder="1" applyAlignment="1">
      <alignment vertical="top" wrapText="1"/>
    </xf>
    <xf numFmtId="0" fontId="3" fillId="0" borderId="48" xfId="6" applyFont="1" applyFill="1" applyBorder="1"/>
    <xf numFmtId="1" fontId="3" fillId="0" borderId="48" xfId="6" applyNumberFormat="1" applyFont="1" applyFill="1" applyBorder="1" applyAlignment="1">
      <alignment horizontal="right"/>
    </xf>
    <xf numFmtId="1" fontId="2" fillId="0" borderId="48" xfId="6" applyNumberFormat="1" applyFont="1" applyFill="1" applyBorder="1" applyAlignment="1">
      <alignment horizontal="right"/>
    </xf>
    <xf numFmtId="3" fontId="2" fillId="0" borderId="48" xfId="6" applyNumberFormat="1" applyFont="1" applyFill="1" applyBorder="1" applyAlignment="1">
      <alignment vertical="center" wrapText="1"/>
    </xf>
    <xf numFmtId="3" fontId="2" fillId="0" borderId="48" xfId="6" applyNumberFormat="1" applyFont="1" applyFill="1" applyBorder="1" applyAlignment="1">
      <alignment horizontal="right"/>
    </xf>
    <xf numFmtId="3" fontId="3" fillId="0" borderId="48" xfId="6" applyNumberFormat="1" applyFont="1" applyFill="1" applyBorder="1" applyAlignment="1">
      <alignment vertical="center"/>
    </xf>
    <xf numFmtId="1" fontId="3" fillId="0" borderId="48" xfId="6" applyNumberFormat="1" applyFont="1" applyFill="1" applyBorder="1" applyAlignment="1"/>
    <xf numFmtId="3" fontId="3" fillId="0" borderId="48" xfId="6" applyNumberFormat="1" applyFont="1" applyFill="1" applyBorder="1" applyAlignment="1"/>
    <xf numFmtId="3" fontId="2" fillId="0" borderId="48" xfId="6" applyNumberFormat="1" applyFont="1" applyFill="1" applyBorder="1" applyAlignment="1"/>
    <xf numFmtId="1" fontId="3" fillId="0" borderId="48" xfId="6" applyNumberFormat="1" applyFont="1" applyFill="1" applyBorder="1" applyAlignment="1">
      <alignment vertical="top"/>
    </xf>
    <xf numFmtId="3" fontId="3" fillId="0" borderId="48" xfId="6" applyNumberFormat="1" applyFont="1" applyFill="1" applyBorder="1" applyAlignment="1">
      <alignment vertical="top"/>
    </xf>
    <xf numFmtId="4" fontId="2" fillId="0" borderId="48" xfId="6" applyNumberFormat="1" applyFont="1" applyFill="1" applyBorder="1"/>
    <xf numFmtId="2" fontId="2" fillId="0" borderId="48" xfId="6" applyNumberFormat="1" applyFont="1" applyFill="1" applyBorder="1"/>
    <xf numFmtId="3" fontId="2" fillId="0" borderId="48" xfId="4" applyNumberFormat="1" applyFont="1" applyBorder="1" applyAlignment="1" applyProtection="1">
      <alignment vertical="center" wrapText="1"/>
      <protection locked="0"/>
    </xf>
    <xf numFmtId="3" fontId="2" fillId="0" borderId="48" xfId="4" applyNumberFormat="1" applyFont="1" applyBorder="1" applyAlignment="1" applyProtection="1">
      <alignment horizontal="right" wrapText="1"/>
      <protection locked="0"/>
    </xf>
    <xf numFmtId="3" fontId="2" fillId="0" borderId="48" xfId="4" applyNumberFormat="1" applyFont="1" applyBorder="1" applyAlignment="1" applyProtection="1">
      <alignment horizontal="center" wrapText="1"/>
      <protection locked="0"/>
    </xf>
    <xf numFmtId="0" fontId="2" fillId="0" borderId="0" xfId="4" applyFont="1" applyBorder="1" applyAlignment="1">
      <alignment wrapText="1"/>
    </xf>
    <xf numFmtId="3" fontId="2" fillId="0" borderId="57" xfId="1" applyNumberFormat="1" applyFont="1" applyFill="1" applyBorder="1" applyAlignment="1" applyProtection="1">
      <alignment horizontal="center" vertical="center"/>
      <protection locked="0"/>
    </xf>
    <xf numFmtId="3" fontId="2" fillId="0" borderId="57" xfId="1" applyNumberFormat="1" applyFont="1" applyFill="1" applyBorder="1" applyAlignment="1" applyProtection="1">
      <alignment horizontal="right" vertical="center"/>
      <protection locked="0"/>
    </xf>
    <xf numFmtId="3" fontId="2" fillId="0" borderId="73" xfId="1" applyNumberFormat="1" applyFont="1" applyFill="1" applyBorder="1" applyAlignment="1" applyProtection="1">
      <alignment horizontal="center" vertical="center"/>
    </xf>
    <xf numFmtId="3" fontId="2" fillId="0" borderId="79" xfId="1" applyNumberFormat="1" applyFont="1" applyFill="1" applyBorder="1" applyAlignment="1" applyProtection="1">
      <alignment horizontal="center" vertical="center"/>
    </xf>
    <xf numFmtId="3" fontId="3" fillId="0" borderId="32" xfId="1" applyNumberFormat="1" applyFont="1" applyBorder="1" applyAlignment="1" applyProtection="1">
      <alignment vertical="center"/>
    </xf>
    <xf numFmtId="3" fontId="3" fillId="0" borderId="14" xfId="1" applyNumberFormat="1" applyFont="1" applyFill="1" applyBorder="1" applyAlignment="1" applyProtection="1">
      <alignment horizontal="left" vertical="center" wrapText="1"/>
      <protection locked="0"/>
    </xf>
    <xf numFmtId="0" fontId="8" fillId="4" borderId="0" xfId="0" applyFont="1" applyFill="1"/>
    <xf numFmtId="0" fontId="3" fillId="0" borderId="48" xfId="2" applyFont="1" applyFill="1" applyBorder="1" applyAlignment="1">
      <alignment horizontal="center" vertical="center" wrapText="1"/>
    </xf>
    <xf numFmtId="3" fontId="3" fillId="0" borderId="48" xfId="1" applyNumberFormat="1" applyFont="1" applyFill="1" applyBorder="1" applyAlignment="1" applyProtection="1">
      <alignment horizontal="center" vertical="center" wrapText="1"/>
      <protection locked="0"/>
    </xf>
    <xf numFmtId="0" fontId="2" fillId="0" borderId="48" xfId="2" applyFont="1" applyFill="1" applyBorder="1" applyAlignment="1">
      <alignment horizontal="center" vertical="center" wrapText="1"/>
    </xf>
    <xf numFmtId="0" fontId="3" fillId="0" borderId="48" xfId="2" applyFont="1" applyFill="1" applyBorder="1" applyAlignment="1">
      <alignment horizontal="center" vertical="center"/>
    </xf>
    <xf numFmtId="0" fontId="2" fillId="0" borderId="98" xfId="2" applyFont="1" applyFill="1" applyBorder="1" applyAlignment="1">
      <alignment horizontal="center" vertical="center" wrapText="1"/>
    </xf>
    <xf numFmtId="16" fontId="2" fillId="0" borderId="48" xfId="2" applyNumberFormat="1" applyFont="1" applyFill="1" applyBorder="1" applyAlignment="1">
      <alignment horizontal="center" vertical="center" wrapText="1"/>
    </xf>
    <xf numFmtId="0" fontId="2" fillId="0" borderId="48" xfId="2" applyFont="1" applyFill="1" applyBorder="1" applyAlignment="1">
      <alignment horizontal="center"/>
    </xf>
    <xf numFmtId="0" fontId="2" fillId="0" borderId="48" xfId="2" applyFont="1" applyFill="1" applyBorder="1" applyAlignment="1">
      <alignment horizontal="center" vertical="center"/>
    </xf>
    <xf numFmtId="3" fontId="3" fillId="0" borderId="48" xfId="1" applyNumberFormat="1" applyFont="1" applyFill="1" applyBorder="1" applyAlignment="1">
      <alignment horizontal="center" vertical="center"/>
    </xf>
    <xf numFmtId="0" fontId="16" fillId="0" borderId="0" xfId="2" applyFont="1" applyFill="1" applyBorder="1" applyAlignment="1">
      <alignment horizontal="center" vertical="center" wrapText="1"/>
    </xf>
    <xf numFmtId="0" fontId="14" fillId="0" borderId="46" xfId="2" applyFont="1" applyFill="1" applyBorder="1" applyAlignment="1">
      <alignment horizontal="left" vertical="center" wrapText="1"/>
    </xf>
    <xf numFmtId="0" fontId="14" fillId="0" borderId="47" xfId="2" applyFont="1" applyFill="1" applyBorder="1" applyAlignment="1">
      <alignment horizontal="left" vertical="center" wrapText="1"/>
    </xf>
    <xf numFmtId="0" fontId="3" fillId="0" borderId="3" xfId="1" applyFont="1" applyFill="1" applyBorder="1" applyAlignment="1" applyProtection="1">
      <alignment vertical="top"/>
    </xf>
    <xf numFmtId="0" fontId="3" fillId="0" borderId="3" xfId="1" applyFont="1" applyFill="1" applyBorder="1" applyAlignment="1" applyProtection="1">
      <alignment vertical="top"/>
      <protection locked="0"/>
    </xf>
    <xf numFmtId="0" fontId="3" fillId="0" borderId="3" xfId="1" applyFont="1" applyFill="1" applyBorder="1" applyAlignment="1" applyProtection="1">
      <alignment horizontal="right" vertical="top"/>
      <protection locked="0"/>
    </xf>
    <xf numFmtId="0" fontId="2" fillId="0" borderId="4" xfId="1" applyFont="1" applyFill="1" applyBorder="1" applyAlignment="1" applyProtection="1">
      <alignment vertical="center"/>
    </xf>
    <xf numFmtId="3" fontId="8" fillId="0" borderId="6" xfId="1" applyNumberFormat="1" applyFont="1" applyFill="1" applyBorder="1" applyAlignment="1" applyProtection="1">
      <alignment horizontal="left" vertical="center" wrapText="1"/>
      <protection locked="0"/>
    </xf>
    <xf numFmtId="3" fontId="2" fillId="4" borderId="61" xfId="1" applyNumberFormat="1" applyFont="1" applyFill="1" applyBorder="1" applyAlignment="1" applyProtection="1">
      <alignment horizontal="right" vertical="center"/>
    </xf>
    <xf numFmtId="3" fontId="2" fillId="4" borderId="30" xfId="1" applyNumberFormat="1" applyFont="1" applyFill="1" applyBorder="1" applyAlignment="1" applyProtection="1">
      <alignment horizontal="right" vertical="center"/>
      <protection locked="0"/>
    </xf>
    <xf numFmtId="3" fontId="2" fillId="4" borderId="33" xfId="1" applyNumberFormat="1" applyFont="1" applyFill="1" applyBorder="1" applyAlignment="1" applyProtection="1">
      <alignment horizontal="right" vertical="center"/>
      <protection locked="0"/>
    </xf>
    <xf numFmtId="3" fontId="2" fillId="4" borderId="42" xfId="1" applyNumberFormat="1" applyFont="1" applyFill="1" applyBorder="1" applyAlignment="1" applyProtection="1">
      <alignment horizontal="right" vertical="center"/>
    </xf>
    <xf numFmtId="3" fontId="2" fillId="4" borderId="30" xfId="1" applyNumberFormat="1" applyFont="1" applyFill="1" applyBorder="1" applyAlignment="1" applyProtection="1">
      <alignment horizontal="center" vertical="center"/>
      <protection locked="0"/>
    </xf>
    <xf numFmtId="3" fontId="2" fillId="4" borderId="32" xfId="1" applyNumberFormat="1" applyFont="1" applyFill="1" applyBorder="1" applyAlignment="1" applyProtection="1">
      <alignment horizontal="right" vertical="center"/>
      <protection locked="0"/>
    </xf>
    <xf numFmtId="3" fontId="2" fillId="4" borderId="6" xfId="1" applyNumberFormat="1" applyFont="1" applyFill="1" applyBorder="1" applyAlignment="1" applyProtection="1">
      <alignment horizontal="right" vertical="center"/>
    </xf>
    <xf numFmtId="3" fontId="2" fillId="4" borderId="67" xfId="1" applyNumberFormat="1" applyFont="1" applyFill="1" applyBorder="1" applyAlignment="1" applyProtection="1">
      <alignment horizontal="center" vertical="center"/>
    </xf>
    <xf numFmtId="3" fontId="2" fillId="4" borderId="63" xfId="1" applyNumberFormat="1" applyFont="1" applyFill="1" applyBorder="1" applyAlignment="1" applyProtection="1">
      <alignment horizontal="center" vertical="center"/>
    </xf>
    <xf numFmtId="3" fontId="2" fillId="4" borderId="66" xfId="1" applyNumberFormat="1" applyFont="1" applyFill="1" applyBorder="1" applyAlignment="1" applyProtection="1">
      <alignment horizontal="center" vertical="center"/>
    </xf>
    <xf numFmtId="3" fontId="2" fillId="4" borderId="66" xfId="1" applyNumberFormat="1" applyFont="1" applyFill="1" applyBorder="1" applyAlignment="1" applyProtection="1">
      <alignment horizontal="left" vertical="center" wrapText="1"/>
      <protection locked="0"/>
    </xf>
    <xf numFmtId="3" fontId="2" fillId="4" borderId="59" xfId="1" applyNumberFormat="1" applyFont="1" applyFill="1" applyBorder="1" applyAlignment="1" applyProtection="1">
      <alignment vertical="center"/>
    </xf>
    <xf numFmtId="3" fontId="8" fillId="4" borderId="45" xfId="1" applyNumberFormat="1" applyFont="1" applyFill="1" applyBorder="1" applyAlignment="1" applyProtection="1">
      <alignment vertical="center"/>
      <protection locked="0"/>
    </xf>
    <xf numFmtId="3" fontId="2" fillId="4" borderId="73" xfId="1" applyNumberFormat="1" applyFont="1" applyFill="1" applyBorder="1" applyAlignment="1" applyProtection="1">
      <alignment vertical="center"/>
    </xf>
    <xf numFmtId="3" fontId="2" fillId="4" borderId="73" xfId="1" applyNumberFormat="1" applyFont="1" applyFill="1" applyBorder="1" applyAlignment="1" applyProtection="1">
      <alignment horizontal="center" vertical="center"/>
    </xf>
    <xf numFmtId="3" fontId="2" fillId="4" borderId="78" xfId="1" applyNumberFormat="1" applyFont="1" applyFill="1" applyBorder="1" applyAlignment="1" applyProtection="1">
      <alignment horizontal="center" vertical="center"/>
    </xf>
    <xf numFmtId="3" fontId="2" fillId="4" borderId="78" xfId="1" applyNumberFormat="1" applyFont="1" applyFill="1" applyBorder="1" applyAlignment="1" applyProtection="1">
      <alignment vertical="center"/>
    </xf>
    <xf numFmtId="3" fontId="2" fillId="0" borderId="12" xfId="1" applyNumberFormat="1" applyFont="1" applyFill="1" applyBorder="1" applyAlignment="1" applyProtection="1">
      <alignment horizontal="right" vertical="center"/>
    </xf>
    <xf numFmtId="3" fontId="2" fillId="0" borderId="4" xfId="1" applyNumberFormat="1" applyFont="1" applyFill="1" applyBorder="1" applyAlignment="1" applyProtection="1">
      <alignment horizontal="right" vertical="center"/>
    </xf>
    <xf numFmtId="3" fontId="2" fillId="4" borderId="31" xfId="1" applyNumberFormat="1" applyFont="1" applyFill="1" applyBorder="1" applyAlignment="1" applyProtection="1">
      <alignment horizontal="right" vertical="center"/>
      <protection locked="0"/>
    </xf>
    <xf numFmtId="3" fontId="2" fillId="4" borderId="60" xfId="1" applyNumberFormat="1" applyFont="1" applyFill="1" applyBorder="1" applyAlignment="1" applyProtection="1">
      <alignment horizontal="right" vertical="center"/>
    </xf>
    <xf numFmtId="3" fontId="2" fillId="4" borderId="64" xfId="1" applyNumberFormat="1" applyFont="1" applyFill="1" applyBorder="1" applyAlignment="1" applyProtection="1">
      <alignment horizontal="right" vertical="center"/>
    </xf>
    <xf numFmtId="0" fontId="2" fillId="4" borderId="16" xfId="1" applyFont="1" applyFill="1" applyBorder="1" applyAlignment="1" applyProtection="1">
      <alignment horizontal="right" vertical="center" wrapText="1"/>
    </xf>
    <xf numFmtId="0" fontId="2" fillId="4" borderId="16" xfId="1" applyFont="1" applyFill="1" applyBorder="1" applyAlignment="1" applyProtection="1">
      <alignment horizontal="left" vertical="center" wrapText="1"/>
    </xf>
    <xf numFmtId="3" fontId="8" fillId="0" borderId="45" xfId="1" applyNumberFormat="1" applyFont="1" applyFill="1" applyBorder="1" applyAlignment="1" applyProtection="1">
      <alignment vertical="center"/>
      <protection locked="0"/>
    </xf>
    <xf numFmtId="49" fontId="2" fillId="0" borderId="5" xfId="1" applyNumberFormat="1" applyFont="1" applyFill="1" applyBorder="1" applyAlignment="1" applyProtection="1">
      <alignment horizontal="center" vertical="center" wrapText="1"/>
    </xf>
    <xf numFmtId="3" fontId="2" fillId="7" borderId="45" xfId="1" applyNumberFormat="1" applyFont="1" applyFill="1" applyBorder="1" applyAlignment="1" applyProtection="1">
      <alignment vertical="center"/>
      <protection locked="0"/>
    </xf>
    <xf numFmtId="3" fontId="2" fillId="7" borderId="46" xfId="1" applyNumberFormat="1" applyFont="1" applyFill="1" applyBorder="1" applyAlignment="1" applyProtection="1">
      <alignment vertical="center"/>
      <protection locked="0"/>
    </xf>
    <xf numFmtId="3" fontId="2" fillId="7" borderId="47" xfId="1" applyNumberFormat="1" applyFont="1" applyFill="1" applyBorder="1" applyAlignment="1" applyProtection="1">
      <alignment vertical="center"/>
      <protection locked="0"/>
    </xf>
    <xf numFmtId="3" fontId="2" fillId="7" borderId="8" xfId="1" applyNumberFormat="1" applyFont="1" applyFill="1" applyBorder="1" applyAlignment="1" applyProtection="1">
      <alignment vertical="center"/>
      <protection locked="0"/>
    </xf>
    <xf numFmtId="3" fontId="2" fillId="7" borderId="48" xfId="1" applyNumberFormat="1" applyFont="1" applyFill="1" applyBorder="1" applyAlignment="1" applyProtection="1">
      <alignment vertical="center"/>
      <protection locked="0"/>
    </xf>
    <xf numFmtId="3" fontId="2" fillId="7" borderId="9" xfId="1" applyNumberFormat="1" applyFont="1" applyFill="1" applyBorder="1" applyAlignment="1" applyProtection="1">
      <alignment horizontal="left" vertical="center" wrapText="1"/>
      <protection locked="0"/>
    </xf>
    <xf numFmtId="3" fontId="2" fillId="7" borderId="30" xfId="1" applyNumberFormat="1" applyFont="1" applyFill="1" applyBorder="1" applyAlignment="1" applyProtection="1">
      <alignment vertical="center"/>
      <protection locked="0"/>
    </xf>
    <xf numFmtId="3" fontId="2" fillId="7" borderId="31" xfId="1" applyNumberFormat="1" applyFont="1" applyFill="1" applyBorder="1" applyAlignment="1" applyProtection="1">
      <alignment vertical="center"/>
      <protection locked="0"/>
    </xf>
    <xf numFmtId="3" fontId="2" fillId="7" borderId="32" xfId="1" applyNumberFormat="1" applyFont="1" applyFill="1" applyBorder="1" applyAlignment="1" applyProtection="1">
      <alignment vertical="center"/>
      <protection locked="0"/>
    </xf>
    <xf numFmtId="3" fontId="2" fillId="7" borderId="0" xfId="1" applyNumberFormat="1" applyFont="1" applyFill="1" applyBorder="1" applyAlignment="1" applyProtection="1">
      <alignment vertical="center"/>
      <protection locked="0"/>
    </xf>
    <xf numFmtId="3" fontId="2" fillId="7" borderId="33" xfId="1" applyNumberFormat="1" applyFont="1" applyFill="1" applyBorder="1" applyAlignment="1" applyProtection="1">
      <alignment vertical="center"/>
      <protection locked="0"/>
    </xf>
    <xf numFmtId="3" fontId="8" fillId="4" borderId="6" xfId="1" applyNumberFormat="1" applyFont="1" applyFill="1" applyBorder="1" applyAlignment="1" applyProtection="1">
      <alignment horizontal="left" vertical="center" wrapText="1"/>
      <protection locked="0"/>
    </xf>
    <xf numFmtId="3" fontId="2" fillId="0" borderId="16" xfId="1" applyNumberFormat="1" applyFont="1" applyFill="1" applyBorder="1" applyAlignment="1" applyProtection="1">
      <alignment horizontal="right" vertical="center"/>
      <protection locked="0"/>
    </xf>
    <xf numFmtId="3" fontId="2" fillId="0" borderId="18" xfId="1" applyNumberFormat="1" applyFont="1" applyFill="1" applyBorder="1" applyAlignment="1" applyProtection="1">
      <alignment vertical="center"/>
      <protection locked="0"/>
    </xf>
    <xf numFmtId="3" fontId="2" fillId="0" borderId="53" xfId="1" applyNumberFormat="1" applyFont="1" applyFill="1" applyBorder="1" applyAlignment="1" applyProtection="1">
      <alignment horizontal="center" vertical="center"/>
      <protection locked="0"/>
    </xf>
    <xf numFmtId="3" fontId="2" fillId="0" borderId="53" xfId="1" applyNumberFormat="1" applyFont="1" applyFill="1" applyBorder="1" applyAlignment="1" applyProtection="1">
      <alignment horizontal="right" vertical="center"/>
      <protection locked="0"/>
    </xf>
    <xf numFmtId="3" fontId="2" fillId="0" borderId="79" xfId="1" applyNumberFormat="1" applyFont="1" applyFill="1" applyBorder="1" applyAlignment="1" applyProtection="1">
      <alignment horizontal="center" vertical="center"/>
      <protection locked="0"/>
    </xf>
    <xf numFmtId="3" fontId="3" fillId="0" borderId="16" xfId="1" applyNumberFormat="1" applyFont="1" applyBorder="1" applyAlignment="1" applyProtection="1">
      <alignment vertical="center"/>
      <protection locked="0"/>
    </xf>
    <xf numFmtId="3" fontId="2" fillId="0" borderId="16" xfId="1" applyNumberFormat="1" applyFont="1" applyFill="1" applyBorder="1" applyAlignment="1" applyProtection="1">
      <alignment vertical="center"/>
      <protection locked="0"/>
    </xf>
    <xf numFmtId="3" fontId="2" fillId="0" borderId="53" xfId="1" applyNumberFormat="1" applyFont="1" applyFill="1" applyBorder="1" applyAlignment="1" applyProtection="1">
      <alignment vertical="center"/>
      <protection locked="0"/>
    </xf>
    <xf numFmtId="3" fontId="2" fillId="0" borderId="100" xfId="1" applyNumberFormat="1" applyFont="1" applyFill="1" applyBorder="1" applyAlignment="1" applyProtection="1">
      <alignment vertical="center"/>
      <protection locked="0"/>
    </xf>
    <xf numFmtId="3" fontId="2" fillId="0" borderId="60" xfId="1" applyNumberFormat="1" applyFont="1" applyFill="1" applyBorder="1" applyAlignment="1" applyProtection="1">
      <alignment vertical="center"/>
      <protection locked="0"/>
    </xf>
    <xf numFmtId="3" fontId="3" fillId="0" borderId="68" xfId="1" applyNumberFormat="1" applyFont="1" applyFill="1" applyBorder="1" applyAlignment="1" applyProtection="1">
      <alignment vertical="center"/>
      <protection locked="0"/>
    </xf>
    <xf numFmtId="3" fontId="3" fillId="0" borderId="53" xfId="1" applyNumberFormat="1" applyFont="1" applyFill="1" applyBorder="1" applyAlignment="1" applyProtection="1">
      <alignment vertical="center"/>
      <protection locked="0"/>
    </xf>
    <xf numFmtId="0" fontId="2" fillId="0" borderId="134" xfId="1" applyFont="1" applyFill="1" applyBorder="1" applyAlignment="1" applyProtection="1">
      <alignment vertical="center"/>
      <protection locked="0"/>
    </xf>
    <xf numFmtId="3" fontId="2" fillId="4" borderId="66" xfId="1" applyNumberFormat="1" applyFont="1" applyFill="1" applyBorder="1" applyAlignment="1" applyProtection="1">
      <alignment horizontal="right" vertical="center"/>
    </xf>
    <xf numFmtId="3" fontId="2" fillId="4" borderId="30" xfId="1" applyNumberFormat="1" applyFont="1" applyFill="1" applyBorder="1" applyAlignment="1" applyProtection="1">
      <alignment horizontal="center" vertical="center"/>
    </xf>
    <xf numFmtId="3" fontId="2" fillId="4" borderId="31" xfId="1" applyNumberFormat="1" applyFont="1" applyFill="1" applyBorder="1" applyAlignment="1" applyProtection="1">
      <alignment horizontal="center" vertical="center"/>
    </xf>
    <xf numFmtId="3" fontId="2" fillId="4" borderId="16" xfId="1" applyNumberFormat="1" applyFont="1" applyFill="1" applyBorder="1" applyAlignment="1" applyProtection="1">
      <alignment horizontal="center" vertical="center"/>
    </xf>
    <xf numFmtId="3" fontId="2" fillId="4" borderId="32" xfId="1" applyNumberFormat="1" applyFont="1" applyFill="1" applyBorder="1" applyAlignment="1" applyProtection="1">
      <alignment horizontal="center" vertical="center"/>
    </xf>
    <xf numFmtId="3" fontId="2" fillId="4" borderId="6" xfId="1" applyNumberFormat="1" applyFont="1" applyFill="1" applyBorder="1" applyAlignment="1" applyProtection="1">
      <alignment horizontal="center" vertical="center"/>
    </xf>
    <xf numFmtId="3" fontId="2" fillId="4" borderId="0" xfId="1" applyNumberFormat="1" applyFont="1" applyFill="1" applyBorder="1" applyAlignment="1" applyProtection="1">
      <alignment horizontal="center" vertical="center"/>
    </xf>
    <xf numFmtId="3" fontId="2" fillId="4" borderId="33" xfId="1" applyNumberFormat="1" applyFont="1" applyFill="1" applyBorder="1" applyAlignment="1" applyProtection="1">
      <alignment horizontal="center" vertical="center"/>
    </xf>
    <xf numFmtId="0" fontId="8" fillId="4" borderId="43" xfId="1" applyFont="1" applyFill="1" applyBorder="1" applyAlignment="1" applyProtection="1">
      <alignment horizontal="right" vertical="center" wrapText="1"/>
    </xf>
    <xf numFmtId="0" fontId="8" fillId="4" borderId="43" xfId="1" applyFont="1" applyFill="1" applyBorder="1" applyAlignment="1" applyProtection="1">
      <alignment horizontal="left" vertical="center" wrapText="1"/>
    </xf>
    <xf numFmtId="3" fontId="8" fillId="4" borderId="44" xfId="1" applyNumberFormat="1" applyFont="1" applyFill="1" applyBorder="1" applyAlignment="1" applyProtection="1">
      <alignment vertical="center"/>
    </xf>
    <xf numFmtId="3" fontId="8" fillId="4" borderId="46" xfId="1" applyNumberFormat="1" applyFont="1" applyFill="1" applyBorder="1" applyAlignment="1" applyProtection="1">
      <alignment vertical="center"/>
      <protection locked="0"/>
    </xf>
    <xf numFmtId="3" fontId="8" fillId="4" borderId="43" xfId="1" applyNumberFormat="1" applyFont="1" applyFill="1" applyBorder="1" applyAlignment="1" applyProtection="1">
      <alignment vertical="center"/>
    </xf>
    <xf numFmtId="3" fontId="8" fillId="4" borderId="47" xfId="1" applyNumberFormat="1" applyFont="1" applyFill="1" applyBorder="1" applyAlignment="1" applyProtection="1">
      <alignment vertical="center"/>
      <protection locked="0"/>
    </xf>
    <xf numFmtId="3" fontId="8" fillId="4" borderId="9" xfId="1" applyNumberFormat="1" applyFont="1" applyFill="1" applyBorder="1" applyAlignment="1" applyProtection="1">
      <alignment vertical="center"/>
    </xf>
    <xf numFmtId="3" fontId="8" fillId="4" borderId="8" xfId="1" applyNumberFormat="1" applyFont="1" applyFill="1" applyBorder="1" applyAlignment="1" applyProtection="1">
      <alignment vertical="center"/>
      <protection locked="0"/>
    </xf>
    <xf numFmtId="3" fontId="8" fillId="4" borderId="48" xfId="1" applyNumberFormat="1" applyFont="1" applyFill="1" applyBorder="1" applyAlignment="1" applyProtection="1">
      <alignment vertical="center"/>
      <protection locked="0"/>
    </xf>
    <xf numFmtId="3" fontId="9" fillId="0" borderId="45" xfId="1" applyNumberFormat="1" applyFont="1" applyFill="1" applyBorder="1" applyAlignment="1" applyProtection="1">
      <alignment vertical="center"/>
      <protection locked="0"/>
    </xf>
    <xf numFmtId="0" fontId="2" fillId="0" borderId="86" xfId="1" applyFont="1" applyBorder="1" applyAlignment="1" applyProtection="1">
      <alignment vertical="center"/>
      <protection locked="0"/>
    </xf>
    <xf numFmtId="49" fontId="2" fillId="2" borderId="46" xfId="1" applyNumberFormat="1" applyFont="1" applyFill="1" applyBorder="1" applyAlignment="1" applyProtection="1">
      <alignment vertical="center"/>
      <protection locked="0"/>
    </xf>
    <xf numFmtId="49" fontId="2" fillId="2" borderId="9" xfId="1" applyNumberFormat="1" applyFont="1" applyFill="1" applyBorder="1" applyAlignment="1" applyProtection="1">
      <alignment vertical="center"/>
      <protection locked="0"/>
    </xf>
    <xf numFmtId="3" fontId="0" fillId="0" borderId="0" xfId="0" applyNumberFormat="1"/>
    <xf numFmtId="0" fontId="8" fillId="0" borderId="16" xfId="1" applyFont="1" applyFill="1" applyBorder="1" applyAlignment="1" applyProtection="1">
      <alignment horizontal="center" vertical="center" wrapText="1"/>
    </xf>
    <xf numFmtId="0" fontId="8" fillId="0" borderId="16" xfId="1" applyFont="1" applyFill="1" applyBorder="1" applyAlignment="1" applyProtection="1">
      <alignment horizontal="left" vertical="center" wrapText="1"/>
    </xf>
    <xf numFmtId="3" fontId="8" fillId="0" borderId="5" xfId="1" applyNumberFormat="1" applyFont="1" applyFill="1" applyBorder="1" applyAlignment="1" applyProtection="1">
      <alignment vertical="center"/>
    </xf>
    <xf numFmtId="3" fontId="8" fillId="0" borderId="30" xfId="1" applyNumberFormat="1" applyFont="1" applyFill="1" applyBorder="1" applyAlignment="1" applyProtection="1">
      <alignment vertical="center"/>
      <protection locked="0"/>
    </xf>
    <xf numFmtId="3" fontId="8" fillId="0" borderId="31" xfId="1" applyNumberFormat="1" applyFont="1" applyFill="1" applyBorder="1" applyAlignment="1" applyProtection="1">
      <alignment vertical="center"/>
      <protection locked="0"/>
    </xf>
    <xf numFmtId="3" fontId="8" fillId="0" borderId="16" xfId="1" applyNumberFormat="1" applyFont="1" applyFill="1" applyBorder="1" applyAlignment="1" applyProtection="1">
      <alignment vertical="center"/>
    </xf>
    <xf numFmtId="3" fontId="8" fillId="0" borderId="32" xfId="1" applyNumberFormat="1" applyFont="1" applyFill="1" applyBorder="1" applyAlignment="1" applyProtection="1">
      <alignment vertical="center"/>
      <protection locked="0"/>
    </xf>
    <xf numFmtId="3" fontId="8" fillId="0" borderId="6" xfId="1" applyNumberFormat="1" applyFont="1" applyFill="1" applyBorder="1" applyAlignment="1" applyProtection="1">
      <alignment vertical="center"/>
    </xf>
    <xf numFmtId="3" fontId="8" fillId="0" borderId="0" xfId="1" applyNumberFormat="1" applyFont="1" applyFill="1" applyBorder="1" applyAlignment="1" applyProtection="1">
      <alignment vertical="center"/>
      <protection locked="0"/>
    </xf>
    <xf numFmtId="3" fontId="8" fillId="0" borderId="33" xfId="1" applyNumberFormat="1" applyFont="1" applyFill="1" applyBorder="1" applyAlignment="1" applyProtection="1">
      <alignment vertical="center"/>
      <protection locked="0"/>
    </xf>
    <xf numFmtId="0" fontId="15" fillId="4" borderId="0" xfId="0" applyFont="1" applyFill="1"/>
    <xf numFmtId="3" fontId="9" fillId="0" borderId="9" xfId="1" applyNumberFormat="1" applyFont="1" applyFill="1" applyBorder="1" applyAlignment="1" applyProtection="1">
      <alignment horizontal="left" vertical="center" wrapText="1"/>
      <protection locked="0"/>
    </xf>
    <xf numFmtId="0" fontId="3" fillId="0" borderId="0" xfId="1" applyFont="1" applyFill="1" applyBorder="1" applyAlignment="1" applyProtection="1">
      <alignment horizontal="right" vertical="top"/>
    </xf>
    <xf numFmtId="0" fontId="2" fillId="2" borderId="2" xfId="1" applyFont="1" applyFill="1" applyBorder="1" applyAlignment="1" applyProtection="1">
      <alignment vertical="center"/>
      <protection locked="0"/>
    </xf>
    <xf numFmtId="0" fontId="2" fillId="2" borderId="3" xfId="1" applyFont="1" applyFill="1" applyBorder="1" applyAlignment="1" applyProtection="1">
      <alignment vertical="center"/>
      <protection locked="0"/>
    </xf>
    <xf numFmtId="0" fontId="3" fillId="0" borderId="12" xfId="1" applyFont="1" applyFill="1" applyBorder="1" applyAlignment="1" applyProtection="1">
      <alignment vertical="center"/>
      <protection locked="0"/>
    </xf>
    <xf numFmtId="3" fontId="9" fillId="0" borderId="43" xfId="1" applyNumberFormat="1" applyFont="1" applyFill="1" applyBorder="1" applyAlignment="1" applyProtection="1">
      <alignment vertical="center"/>
      <protection locked="0"/>
    </xf>
    <xf numFmtId="3" fontId="13" fillId="0" borderId="9" xfId="1" applyNumberFormat="1" applyFont="1" applyFill="1" applyBorder="1" applyAlignment="1" applyProtection="1">
      <alignment horizontal="left" vertical="center" wrapText="1"/>
      <protection locked="0"/>
    </xf>
    <xf numFmtId="3" fontId="9" fillId="0" borderId="47" xfId="1" applyNumberFormat="1" applyFont="1" applyFill="1" applyBorder="1" applyAlignment="1" applyProtection="1">
      <alignment vertical="center"/>
      <protection locked="0"/>
    </xf>
    <xf numFmtId="3" fontId="9" fillId="0" borderId="8" xfId="1" applyNumberFormat="1" applyFont="1" applyFill="1" applyBorder="1" applyAlignment="1" applyProtection="1">
      <alignment vertical="center"/>
      <protection locked="0"/>
    </xf>
    <xf numFmtId="3" fontId="9" fillId="0" borderId="48" xfId="1" applyNumberFormat="1" applyFont="1" applyFill="1" applyBorder="1" applyAlignment="1" applyProtection="1">
      <alignment vertical="center"/>
      <protection locked="0"/>
    </xf>
    <xf numFmtId="3" fontId="9" fillId="0" borderId="79" xfId="1" applyNumberFormat="1" applyFont="1" applyFill="1" applyBorder="1" applyAlignment="1" applyProtection="1">
      <alignment vertical="center"/>
      <protection locked="0"/>
    </xf>
    <xf numFmtId="3" fontId="13" fillId="0" borderId="85" xfId="1" applyNumberFormat="1" applyFont="1" applyFill="1" applyBorder="1" applyAlignment="1" applyProtection="1">
      <alignment horizontal="left" vertical="center" wrapText="1"/>
      <protection locked="0"/>
    </xf>
    <xf numFmtId="4" fontId="3" fillId="0" borderId="39" xfId="1" applyNumberFormat="1" applyFont="1" applyFill="1" applyBorder="1" applyAlignment="1" applyProtection="1">
      <alignment horizontal="right" vertical="center"/>
    </xf>
    <xf numFmtId="3" fontId="2" fillId="0" borderId="126" xfId="1" applyNumberFormat="1" applyFont="1" applyFill="1" applyBorder="1" applyAlignment="1" applyProtection="1">
      <alignment horizontal="right" vertical="center"/>
      <protection locked="0"/>
    </xf>
    <xf numFmtId="4" fontId="14" fillId="0" borderId="21" xfId="1" applyNumberFormat="1" applyFont="1" applyFill="1" applyBorder="1" applyAlignment="1" applyProtection="1">
      <alignment vertical="center"/>
    </xf>
    <xf numFmtId="4" fontId="2" fillId="0" borderId="32" xfId="1" applyNumberFormat="1" applyFont="1" applyFill="1" applyBorder="1" applyAlignment="1" applyProtection="1">
      <alignment vertical="center"/>
      <protection locked="0"/>
    </xf>
    <xf numFmtId="4" fontId="2" fillId="0" borderId="6" xfId="1" applyNumberFormat="1" applyFont="1" applyFill="1" applyBorder="1" applyAlignment="1" applyProtection="1">
      <alignment vertical="center"/>
    </xf>
    <xf numFmtId="4" fontId="2" fillId="0" borderId="108" xfId="1" applyNumberFormat="1" applyFont="1" applyFill="1" applyBorder="1" applyAlignment="1" applyProtection="1">
      <alignment vertical="center"/>
    </xf>
    <xf numFmtId="4" fontId="2" fillId="0" borderId="4" xfId="1" applyNumberFormat="1" applyFont="1" applyFill="1" applyBorder="1" applyAlignment="1" applyProtection="1">
      <alignment vertical="center"/>
    </xf>
    <xf numFmtId="0" fontId="5" fillId="0" borderId="43" xfId="0" applyFont="1" applyBorder="1" applyAlignment="1" applyProtection="1">
      <alignment wrapText="1"/>
      <protection locked="0"/>
    </xf>
    <xf numFmtId="0" fontId="2" fillId="0" borderId="0" xfId="1" applyFont="1" applyFill="1" applyBorder="1" applyAlignment="1" applyProtection="1">
      <alignment vertical="center"/>
      <protection locked="0"/>
    </xf>
    <xf numFmtId="0" fontId="2" fillId="2" borderId="6" xfId="1" applyFont="1" applyFill="1" applyBorder="1" applyAlignment="1" applyProtection="1">
      <alignment horizontal="left" vertical="center" wrapText="1"/>
      <protection locked="0"/>
    </xf>
    <xf numFmtId="0" fontId="2" fillId="2" borderId="5" xfId="1" applyFont="1" applyFill="1" applyBorder="1" applyAlignment="1" applyProtection="1">
      <alignment horizontal="left" vertical="center" wrapText="1"/>
      <protection locked="0"/>
    </xf>
    <xf numFmtId="0" fontId="2" fillId="0" borderId="16" xfId="1" applyFont="1" applyFill="1" applyBorder="1" applyAlignment="1" applyProtection="1">
      <alignment horizontal="center" vertical="center" wrapText="1"/>
    </xf>
    <xf numFmtId="0" fontId="2" fillId="0" borderId="0" xfId="6" applyFont="1" applyFill="1" applyBorder="1" applyAlignment="1">
      <alignment horizontal="center" vertical="center" wrapText="1"/>
    </xf>
    <xf numFmtId="49" fontId="2" fillId="0" borderId="0" xfId="6" applyNumberFormat="1" applyFont="1" applyFill="1" applyBorder="1" applyAlignment="1">
      <alignment horizontal="center" vertical="center" wrapText="1"/>
    </xf>
    <xf numFmtId="0" fontId="3" fillId="0" borderId="0" xfId="6" applyFont="1" applyFill="1" applyBorder="1" applyAlignment="1">
      <alignment horizontal="center" vertical="center" wrapText="1"/>
    </xf>
    <xf numFmtId="0" fontId="2" fillId="8" borderId="0" xfId="6" applyFont="1" applyFill="1" applyBorder="1" applyAlignment="1">
      <alignment horizontal="center" vertical="center" wrapText="1"/>
    </xf>
    <xf numFmtId="0" fontId="2" fillId="0" borderId="0" xfId="7" applyFont="1" applyAlignment="1">
      <alignment horizontal="right" vertical="center"/>
    </xf>
    <xf numFmtId="0" fontId="2" fillId="0" borderId="123" xfId="6" applyFont="1" applyFill="1" applyBorder="1" applyAlignment="1">
      <alignment horizontal="center" vertical="center" wrapText="1"/>
    </xf>
    <xf numFmtId="0" fontId="2" fillId="0" borderId="123" xfId="6" applyFont="1" applyFill="1" applyBorder="1"/>
    <xf numFmtId="0" fontId="2" fillId="8" borderId="123" xfId="6" applyFont="1" applyFill="1" applyBorder="1"/>
    <xf numFmtId="0" fontId="2" fillId="0" borderId="34" xfId="6" applyFont="1" applyFill="1" applyBorder="1" applyAlignment="1">
      <alignment horizontal="center" vertical="center" textRotation="90" wrapText="1"/>
    </xf>
    <xf numFmtId="0" fontId="2" fillId="0" borderId="49" xfId="6" applyFont="1" applyFill="1" applyBorder="1" applyAlignment="1">
      <alignment horizontal="center" vertical="center" textRotation="90" wrapText="1"/>
    </xf>
    <xf numFmtId="0" fontId="2" fillId="0" borderId="35" xfId="8" applyFont="1" applyFill="1" applyBorder="1" applyAlignment="1">
      <alignment horizontal="center" vertical="center" textRotation="90" wrapText="1"/>
    </xf>
    <xf numFmtId="0" fontId="2" fillId="0" borderId="35" xfId="6" applyFont="1" applyFill="1" applyBorder="1" applyAlignment="1">
      <alignment horizontal="center" vertical="center" textRotation="90" wrapText="1"/>
    </xf>
    <xf numFmtId="0" fontId="2" fillId="0" borderId="34" xfId="8" applyFont="1" applyFill="1" applyBorder="1" applyAlignment="1">
      <alignment horizontal="center" vertical="center" textRotation="90" wrapText="1"/>
    </xf>
    <xf numFmtId="0" fontId="2" fillId="0" borderId="151" xfId="8" applyFont="1" applyFill="1" applyBorder="1" applyAlignment="1">
      <alignment horizontal="center" vertical="center" textRotation="90" wrapText="1"/>
    </xf>
    <xf numFmtId="0" fontId="2" fillId="0" borderId="18" xfId="6" applyFont="1" applyFill="1" applyBorder="1" applyAlignment="1">
      <alignment horizontal="center" vertical="center" textRotation="90" wrapText="1"/>
    </xf>
    <xf numFmtId="0" fontId="2" fillId="8" borderId="49" xfId="6" applyFont="1" applyFill="1" applyBorder="1" applyAlignment="1">
      <alignment horizontal="center" vertical="center" textRotation="90" wrapText="1"/>
    </xf>
    <xf numFmtId="0" fontId="2" fillId="0" borderId="154" xfId="6" applyFont="1" applyFill="1" applyBorder="1" applyAlignment="1">
      <alignment horizontal="center" vertical="center" textRotation="90" wrapText="1"/>
    </xf>
    <xf numFmtId="0" fontId="7" fillId="0" borderId="157" xfId="6" applyFont="1" applyFill="1" applyBorder="1" applyAlignment="1">
      <alignment horizontal="center" vertical="center" wrapText="1"/>
    </xf>
    <xf numFmtId="0" fontId="7" fillId="0" borderId="121" xfId="6" applyFont="1" applyFill="1" applyBorder="1" applyAlignment="1">
      <alignment horizontal="center" vertical="center" wrapText="1"/>
    </xf>
    <xf numFmtId="0" fontId="7" fillId="0" borderId="159" xfId="6" applyFont="1" applyFill="1" applyBorder="1" applyAlignment="1">
      <alignment horizontal="center" vertical="center" wrapText="1"/>
    </xf>
    <xf numFmtId="0" fontId="7" fillId="0" borderId="122" xfId="6" applyFont="1" applyFill="1" applyBorder="1" applyAlignment="1">
      <alignment horizontal="center" vertical="center" wrapText="1"/>
    </xf>
    <xf numFmtId="0" fontId="7" fillId="0" borderId="160" xfId="6" applyFont="1" applyFill="1" applyBorder="1" applyAlignment="1">
      <alignment horizontal="center" vertical="center" wrapText="1"/>
    </xf>
    <xf numFmtId="0" fontId="7" fillId="8" borderId="122" xfId="6" applyFont="1" applyFill="1" applyBorder="1" applyAlignment="1">
      <alignment horizontal="center" vertical="center" wrapText="1"/>
    </xf>
    <xf numFmtId="0" fontId="7" fillId="0" borderId="161" xfId="6" applyFont="1" applyFill="1" applyBorder="1" applyAlignment="1">
      <alignment horizontal="center" vertical="center" wrapText="1"/>
    </xf>
    <xf numFmtId="49" fontId="7" fillId="0" borderId="157" xfId="6" applyNumberFormat="1" applyFont="1" applyFill="1" applyBorder="1" applyAlignment="1">
      <alignment horizontal="center" vertical="center" wrapText="1"/>
    </xf>
    <xf numFmtId="0" fontId="14" fillId="0" borderId="0" xfId="6" applyFont="1" applyFill="1" applyBorder="1" applyAlignment="1">
      <alignment horizontal="center" vertical="center" wrapText="1"/>
    </xf>
    <xf numFmtId="0" fontId="2" fillId="0" borderId="162" xfId="6" applyFont="1" applyFill="1" applyBorder="1" applyAlignment="1">
      <alignment horizontal="center" vertical="center" wrapText="1"/>
    </xf>
    <xf numFmtId="0" fontId="2" fillId="0" borderId="164" xfId="6" applyFont="1" applyFill="1" applyBorder="1" applyAlignment="1">
      <alignment horizontal="center" vertical="center" wrapText="1"/>
    </xf>
    <xf numFmtId="0" fontId="3" fillId="0" borderId="166" xfId="6" applyFont="1" applyFill="1" applyBorder="1" applyAlignment="1">
      <alignment horizontal="center" vertical="center" wrapText="1"/>
    </xf>
    <xf numFmtId="0" fontId="2" fillId="0" borderId="167" xfId="6" applyFont="1" applyFill="1" applyBorder="1" applyAlignment="1">
      <alignment horizontal="center" vertical="center" wrapText="1"/>
    </xf>
    <xf numFmtId="0" fontId="2" fillId="0" borderId="168" xfId="6" applyFont="1" applyFill="1" applyBorder="1" applyAlignment="1">
      <alignment horizontal="center" vertical="center" wrapText="1"/>
    </xf>
    <xf numFmtId="0" fontId="2" fillId="8" borderId="167" xfId="6" applyFont="1" applyFill="1" applyBorder="1" applyAlignment="1">
      <alignment horizontal="center" vertical="center" wrapText="1"/>
    </xf>
    <xf numFmtId="0" fontId="2" fillId="0" borderId="169" xfId="6" applyFont="1" applyFill="1" applyBorder="1" applyAlignment="1">
      <alignment horizontal="center" vertical="center" wrapText="1"/>
    </xf>
    <xf numFmtId="49" fontId="2" fillId="0" borderId="162" xfId="6" applyNumberFormat="1" applyFont="1" applyFill="1" applyBorder="1" applyAlignment="1">
      <alignment horizontal="center" vertical="center" wrapText="1"/>
    </xf>
    <xf numFmtId="0" fontId="2" fillId="0" borderId="142" xfId="6" applyFont="1" applyFill="1" applyBorder="1" applyAlignment="1">
      <alignment horizontal="center" vertical="center" wrapText="1"/>
    </xf>
    <xf numFmtId="0" fontId="2" fillId="0" borderId="170" xfId="6" applyFont="1" applyFill="1" applyBorder="1" applyAlignment="1">
      <alignment horizontal="center" vertical="center" wrapText="1"/>
    </xf>
    <xf numFmtId="0" fontId="3" fillId="0" borderId="173" xfId="6" applyFont="1" applyFill="1" applyBorder="1" applyAlignment="1">
      <alignment horizontal="left" vertical="center" wrapText="1"/>
    </xf>
    <xf numFmtId="0" fontId="3" fillId="0" borderId="19" xfId="6" applyFont="1" applyFill="1" applyBorder="1" applyAlignment="1">
      <alignment horizontal="left" vertical="center" wrapText="1"/>
    </xf>
    <xf numFmtId="3" fontId="2" fillId="0" borderId="174" xfId="6" applyNumberFormat="1" applyFont="1" applyFill="1" applyBorder="1" applyAlignment="1">
      <alignment horizontal="right" vertical="center" wrapText="1"/>
    </xf>
    <xf numFmtId="3" fontId="2" fillId="0" borderId="175" xfId="6" applyNumberFormat="1" applyFont="1" applyFill="1" applyBorder="1" applyAlignment="1">
      <alignment horizontal="right" vertical="center" wrapText="1"/>
    </xf>
    <xf numFmtId="3" fontId="2" fillId="8" borderId="174" xfId="6" applyNumberFormat="1" applyFont="1" applyFill="1" applyBorder="1" applyAlignment="1">
      <alignment horizontal="right" vertical="center" wrapText="1"/>
    </xf>
    <xf numFmtId="3" fontId="2" fillId="0" borderId="172" xfId="6" applyNumberFormat="1" applyFont="1" applyFill="1" applyBorder="1" applyAlignment="1">
      <alignment horizontal="right" vertical="center" wrapText="1"/>
    </xf>
    <xf numFmtId="49" fontId="2" fillId="0" borderId="176" xfId="6" applyNumberFormat="1" applyFont="1" applyFill="1" applyBorder="1" applyAlignment="1">
      <alignment horizontal="right" vertical="center" wrapText="1"/>
    </xf>
    <xf numFmtId="1" fontId="14" fillId="0" borderId="177" xfId="6" applyNumberFormat="1" applyFont="1" applyFill="1" applyBorder="1" applyAlignment="1">
      <alignment horizontal="center" vertical="center" wrapText="1"/>
    </xf>
    <xf numFmtId="0" fontId="2" fillId="0" borderId="88" xfId="6" applyFont="1" applyFill="1" applyBorder="1" applyAlignment="1">
      <alignment horizontal="center" vertical="center" wrapText="1"/>
    </xf>
    <xf numFmtId="0" fontId="2" fillId="0" borderId="8" xfId="6" applyFont="1" applyFill="1" applyBorder="1" applyAlignment="1">
      <alignment horizontal="left" vertical="center" wrapText="1"/>
    </xf>
    <xf numFmtId="3" fontId="2" fillId="0" borderId="178" xfId="6" applyNumberFormat="1" applyFont="1" applyFill="1" applyBorder="1" applyAlignment="1">
      <alignment horizontal="right" vertical="center" wrapText="1"/>
    </xf>
    <xf numFmtId="3" fontId="2" fillId="0" borderId="43" xfId="6" applyNumberFormat="1" applyFont="1" applyFill="1" applyBorder="1" applyAlignment="1">
      <alignment horizontal="right" vertical="center" wrapText="1"/>
    </xf>
    <xf numFmtId="3" fontId="2" fillId="0" borderId="44" xfId="6" applyNumberFormat="1" applyFont="1" applyFill="1" applyBorder="1" applyAlignment="1">
      <alignment horizontal="right" vertical="center" wrapText="1"/>
    </xf>
    <xf numFmtId="3" fontId="2" fillId="0" borderId="8" xfId="6" applyNumberFormat="1" applyFont="1" applyFill="1" applyBorder="1" applyAlignment="1">
      <alignment horizontal="right" vertical="center" wrapText="1"/>
    </xf>
    <xf numFmtId="3" fontId="2" fillId="8" borderId="43" xfId="6" applyNumberFormat="1" applyFont="1" applyFill="1" applyBorder="1" applyAlignment="1">
      <alignment horizontal="right" vertical="center" wrapText="1"/>
    </xf>
    <xf numFmtId="3" fontId="2" fillId="0" borderId="179" xfId="6" applyNumberFormat="1" applyFont="1" applyFill="1" applyBorder="1" applyAlignment="1">
      <alignment horizontal="right" vertical="center" wrapText="1"/>
    </xf>
    <xf numFmtId="49" fontId="2" fillId="0" borderId="180" xfId="6" applyNumberFormat="1" applyFont="1" applyFill="1" applyBorder="1" applyAlignment="1">
      <alignment horizontal="left" vertical="center" wrapText="1"/>
    </xf>
    <xf numFmtId="0" fontId="2" fillId="0" borderId="180" xfId="6" applyFont="1" applyFill="1" applyBorder="1" applyAlignment="1">
      <alignment horizontal="left" vertical="center" wrapText="1"/>
    </xf>
    <xf numFmtId="1" fontId="14" fillId="0" borderId="181" xfId="6" applyNumberFormat="1" applyFont="1" applyFill="1" applyBorder="1" applyAlignment="1">
      <alignment horizontal="center" vertical="center" wrapText="1"/>
    </xf>
    <xf numFmtId="0" fontId="5" fillId="0" borderId="0" xfId="6" applyFont="1" applyFill="1" applyBorder="1" applyAlignment="1">
      <alignment horizontal="left" vertical="center" wrapText="1"/>
    </xf>
    <xf numFmtId="0" fontId="5" fillId="0" borderId="6" xfId="6" applyFont="1" applyFill="1" applyBorder="1" applyAlignment="1">
      <alignment horizontal="left" vertical="center" wrapText="1"/>
    </xf>
    <xf numFmtId="0" fontId="2" fillId="0" borderId="178" xfId="6" applyFont="1" applyFill="1" applyBorder="1" applyAlignment="1">
      <alignment horizontal="center" vertical="center" wrapText="1"/>
    </xf>
    <xf numFmtId="0" fontId="2" fillId="0" borderId="8" xfId="6" applyFont="1" applyFill="1" applyBorder="1" applyAlignment="1">
      <alignment horizontal="center" vertical="center" wrapText="1"/>
    </xf>
    <xf numFmtId="0" fontId="5" fillId="0" borderId="8" xfId="6" applyFont="1" applyFill="1" applyBorder="1" applyAlignment="1">
      <alignment horizontal="left" vertical="center" wrapText="1"/>
    </xf>
    <xf numFmtId="0" fontId="5" fillId="0" borderId="9" xfId="6" applyFont="1" applyFill="1" applyBorder="1" applyAlignment="1">
      <alignment horizontal="left" vertical="center" wrapText="1"/>
    </xf>
    <xf numFmtId="0" fontId="2" fillId="0" borderId="44" xfId="6" applyFont="1" applyFill="1" applyBorder="1" applyAlignment="1">
      <alignment horizontal="left" vertical="center" wrapText="1"/>
    </xf>
    <xf numFmtId="0" fontId="2" fillId="0" borderId="142" xfId="6" applyFont="1" applyFill="1" applyBorder="1" applyAlignment="1">
      <alignment horizontal="left" vertical="center" wrapText="1"/>
    </xf>
    <xf numFmtId="0" fontId="2" fillId="0" borderId="7" xfId="6" applyFont="1" applyFill="1" applyBorder="1" applyAlignment="1">
      <alignment horizontal="left" vertical="center" wrapText="1"/>
    </xf>
    <xf numFmtId="3" fontId="2" fillId="0" borderId="182" xfId="6" applyNumberFormat="1" applyFont="1" applyFill="1" applyBorder="1" applyAlignment="1">
      <alignment horizontal="right" vertical="center" wrapText="1"/>
    </xf>
    <xf numFmtId="3" fontId="2" fillId="0" borderId="16" xfId="6" applyNumberFormat="1" applyFont="1" applyFill="1" applyBorder="1" applyAlignment="1">
      <alignment horizontal="right" vertical="center" wrapText="1"/>
    </xf>
    <xf numFmtId="3" fontId="2" fillId="0" borderId="5" xfId="6" applyNumberFormat="1" applyFont="1" applyFill="1" applyBorder="1" applyAlignment="1">
      <alignment horizontal="right" vertical="center" wrapText="1"/>
    </xf>
    <xf numFmtId="3" fontId="2" fillId="0" borderId="0" xfId="6" applyNumberFormat="1" applyFont="1" applyFill="1" applyBorder="1" applyAlignment="1">
      <alignment horizontal="right" vertical="center" wrapText="1"/>
    </xf>
    <xf numFmtId="3" fontId="2" fillId="8" borderId="16" xfId="6" applyNumberFormat="1" applyFont="1" applyFill="1" applyBorder="1" applyAlignment="1">
      <alignment horizontal="right" vertical="center" wrapText="1"/>
    </xf>
    <xf numFmtId="3" fontId="2" fillId="0" borderId="144" xfId="6" applyNumberFormat="1" applyFont="1" applyFill="1" applyBorder="1" applyAlignment="1">
      <alignment horizontal="right" vertical="center" wrapText="1"/>
    </xf>
    <xf numFmtId="0" fontId="5" fillId="0" borderId="9" xfId="6" applyFont="1" applyFill="1" applyBorder="1" applyAlignment="1">
      <alignment horizontal="center" vertical="center" wrapText="1"/>
    </xf>
    <xf numFmtId="0" fontId="2" fillId="0" borderId="182" xfId="6" applyFont="1" applyFill="1" applyBorder="1" applyAlignment="1">
      <alignment horizontal="center" vertical="center" wrapText="1"/>
    </xf>
    <xf numFmtId="0" fontId="2" fillId="0" borderId="110" xfId="6" applyFont="1" applyFill="1" applyBorder="1" applyAlignment="1">
      <alignment horizontal="center" vertical="center" wrapText="1"/>
    </xf>
    <xf numFmtId="49" fontId="2" fillId="0" borderId="183" xfId="6" applyNumberFormat="1" applyFont="1" applyFill="1" applyBorder="1" applyAlignment="1">
      <alignment horizontal="left" vertical="center" wrapText="1"/>
    </xf>
    <xf numFmtId="0" fontId="2" fillId="0" borderId="184" xfId="6" applyFont="1" applyFill="1" applyBorder="1" applyAlignment="1">
      <alignment horizontal="center" vertical="center" wrapText="1"/>
    </xf>
    <xf numFmtId="0" fontId="3" fillId="0" borderId="172" xfId="6" applyFont="1" applyFill="1" applyBorder="1" applyAlignment="1">
      <alignment horizontal="left" vertical="center" wrapText="1"/>
    </xf>
    <xf numFmtId="49" fontId="2" fillId="0" borderId="170" xfId="6" applyNumberFormat="1" applyFont="1" applyFill="1" applyBorder="1" applyAlignment="1">
      <alignment horizontal="left" vertical="center" wrapText="1"/>
    </xf>
    <xf numFmtId="0" fontId="2" fillId="0" borderId="170" xfId="6" applyFont="1" applyFill="1" applyBorder="1" applyAlignment="1">
      <alignment horizontal="left" vertical="center" wrapText="1"/>
    </xf>
    <xf numFmtId="0" fontId="2" fillId="0" borderId="177" xfId="6" applyFont="1" applyFill="1" applyBorder="1" applyAlignment="1">
      <alignment horizontal="center" vertical="center" wrapText="1"/>
    </xf>
    <xf numFmtId="0" fontId="2" fillId="0" borderId="93" xfId="6" applyFont="1" applyFill="1" applyBorder="1" applyAlignment="1">
      <alignment horizontal="center" vertical="center" wrapText="1"/>
    </xf>
    <xf numFmtId="0" fontId="2" fillId="0" borderId="181" xfId="6" applyFont="1" applyFill="1" applyBorder="1" applyAlignment="1">
      <alignment horizontal="center" vertical="center" wrapText="1"/>
    </xf>
    <xf numFmtId="0" fontId="2" fillId="0" borderId="8" xfId="6" applyFont="1" applyFill="1" applyBorder="1" applyAlignment="1">
      <alignment vertical="center" wrapText="1"/>
    </xf>
    <xf numFmtId="49" fontId="2" fillId="0" borderId="0" xfId="6" applyNumberFormat="1" applyFont="1" applyFill="1" applyBorder="1" applyAlignment="1">
      <alignment horizontal="left" vertical="center" wrapText="1"/>
    </xf>
    <xf numFmtId="49" fontId="2" fillId="0" borderId="142" xfId="6" applyNumberFormat="1" applyFont="1" applyFill="1" applyBorder="1" applyAlignment="1">
      <alignment horizontal="left" vertical="center" wrapText="1"/>
    </xf>
    <xf numFmtId="0" fontId="2" fillId="0" borderId="7" xfId="6" applyFont="1" applyFill="1" applyBorder="1" applyAlignment="1">
      <alignment horizontal="center" vertical="center" wrapText="1"/>
    </xf>
    <xf numFmtId="0" fontId="5" fillId="0" borderId="7" xfId="6" applyFont="1" applyFill="1" applyBorder="1" applyAlignment="1">
      <alignment horizontal="left" vertical="center" wrapText="1"/>
    </xf>
    <xf numFmtId="0" fontId="5" fillId="0" borderId="85" xfId="6" applyFont="1" applyFill="1" applyBorder="1" applyAlignment="1">
      <alignment horizontal="left" vertical="center" wrapText="1"/>
    </xf>
    <xf numFmtId="3" fontId="2" fillId="0" borderId="80" xfId="6" applyNumberFormat="1" applyFont="1" applyFill="1" applyBorder="1" applyAlignment="1">
      <alignment horizontal="right" vertical="center" wrapText="1"/>
    </xf>
    <xf numFmtId="3" fontId="2" fillId="0" borderId="79" xfId="6" applyNumberFormat="1" applyFont="1" applyFill="1" applyBorder="1" applyAlignment="1">
      <alignment horizontal="right" vertical="center" wrapText="1"/>
    </xf>
    <xf numFmtId="3" fontId="2" fillId="0" borderId="7" xfId="6" applyNumberFormat="1" applyFont="1" applyFill="1" applyBorder="1" applyAlignment="1">
      <alignment horizontal="right" vertical="center" wrapText="1"/>
    </xf>
    <xf numFmtId="3" fontId="2" fillId="8" borderId="79" xfId="6" applyNumberFormat="1" applyFont="1" applyFill="1" applyBorder="1" applyAlignment="1">
      <alignment horizontal="right" vertical="center" wrapText="1"/>
    </xf>
    <xf numFmtId="3" fontId="2" fillId="0" borderId="185" xfId="6" applyNumberFormat="1" applyFont="1" applyFill="1" applyBorder="1" applyAlignment="1">
      <alignment horizontal="right" vertical="center" wrapText="1"/>
    </xf>
    <xf numFmtId="49" fontId="2" fillId="0" borderId="186" xfId="6" applyNumberFormat="1" applyFont="1" applyFill="1" applyBorder="1" applyAlignment="1">
      <alignment horizontal="left" vertical="center" wrapText="1"/>
    </xf>
    <xf numFmtId="3" fontId="2" fillId="0" borderId="181" xfId="6" applyNumberFormat="1" applyFont="1" applyFill="1" applyBorder="1" applyAlignment="1">
      <alignment horizontal="right" vertical="center" wrapText="1"/>
    </xf>
    <xf numFmtId="0" fontId="5" fillId="0" borderId="8" xfId="6" applyFont="1" applyFill="1" applyBorder="1" applyAlignment="1">
      <alignment vertical="center" wrapText="1"/>
    </xf>
    <xf numFmtId="0" fontId="5" fillId="0" borderId="9" xfId="6" applyFont="1" applyFill="1" applyBorder="1" applyAlignment="1">
      <alignment vertical="center" wrapText="1"/>
    </xf>
    <xf numFmtId="0" fontId="2" fillId="0" borderId="97" xfId="6" applyFont="1" applyFill="1" applyBorder="1" applyAlignment="1">
      <alignment vertical="center" wrapText="1"/>
    </xf>
    <xf numFmtId="3" fontId="2" fillId="0" borderId="100" xfId="6" applyNumberFormat="1" applyFont="1" applyFill="1" applyBorder="1" applyAlignment="1">
      <alignment horizontal="right" vertical="center" wrapText="1"/>
    </xf>
    <xf numFmtId="3" fontId="2" fillId="0" borderId="101" xfId="6" applyNumberFormat="1" applyFont="1" applyFill="1" applyBorder="1" applyAlignment="1">
      <alignment horizontal="right" vertical="center" wrapText="1"/>
    </xf>
    <xf numFmtId="3" fontId="2" fillId="0" borderId="97" xfId="6" applyNumberFormat="1" applyFont="1" applyFill="1" applyBorder="1" applyAlignment="1">
      <alignment horizontal="right" vertical="center" wrapText="1"/>
    </xf>
    <xf numFmtId="3" fontId="2" fillId="8" borderId="100" xfId="6" applyNumberFormat="1" applyFont="1" applyFill="1" applyBorder="1" applyAlignment="1">
      <alignment horizontal="right" vertical="center" wrapText="1"/>
    </xf>
    <xf numFmtId="3" fontId="2" fillId="0" borderId="187" xfId="6" applyNumberFormat="1" applyFont="1" applyFill="1" applyBorder="1" applyAlignment="1">
      <alignment horizontal="right" vertical="center" wrapText="1"/>
    </xf>
    <xf numFmtId="0" fontId="2" fillId="0" borderId="188" xfId="6" applyFont="1" applyFill="1" applyBorder="1" applyAlignment="1">
      <alignment horizontal="left" vertical="center" wrapText="1"/>
    </xf>
    <xf numFmtId="0" fontId="2" fillId="0" borderId="189" xfId="6" applyFont="1" applyFill="1" applyBorder="1" applyAlignment="1">
      <alignment horizontal="center" vertical="center" wrapText="1"/>
    </xf>
    <xf numFmtId="0" fontId="2" fillId="0" borderId="97" xfId="6" applyFont="1" applyFill="1" applyBorder="1" applyAlignment="1">
      <alignment horizontal="center" vertical="center" wrapText="1"/>
    </xf>
    <xf numFmtId="49" fontId="2" fillId="0" borderId="97" xfId="6" applyNumberFormat="1" applyFont="1" applyFill="1" applyBorder="1" applyAlignment="1">
      <alignment horizontal="left" vertical="center" wrapText="1"/>
    </xf>
    <xf numFmtId="3" fontId="2" fillId="0" borderId="189" xfId="6" applyNumberFormat="1" applyFont="1" applyFill="1" applyBorder="1" applyAlignment="1">
      <alignment horizontal="right" vertical="center" wrapText="1"/>
    </xf>
    <xf numFmtId="49" fontId="2" fillId="0" borderId="188" xfId="6" applyNumberFormat="1" applyFont="1" applyFill="1" applyBorder="1" applyAlignment="1">
      <alignment horizontal="left" vertical="center" wrapText="1"/>
    </xf>
    <xf numFmtId="0" fontId="2" fillId="0" borderId="93" xfId="6" applyFont="1" applyFill="1" applyBorder="1" applyAlignment="1">
      <alignment horizontal="left" vertical="center" wrapText="1"/>
    </xf>
    <xf numFmtId="3" fontId="2" fillId="0" borderId="177" xfId="6" applyNumberFormat="1" applyFont="1" applyFill="1" applyBorder="1" applyAlignment="1">
      <alignment horizontal="right" vertical="center" wrapText="1"/>
    </xf>
    <xf numFmtId="3" fontId="2" fillId="0" borderId="87" xfId="6" applyNumberFormat="1" applyFont="1" applyFill="1" applyBorder="1" applyAlignment="1">
      <alignment horizontal="right" vertical="center" wrapText="1"/>
    </xf>
    <xf numFmtId="3" fontId="2" fillId="0" borderId="88" xfId="6" applyNumberFormat="1" applyFont="1" applyFill="1" applyBorder="1" applyAlignment="1">
      <alignment horizontal="right" vertical="center" wrapText="1"/>
    </xf>
    <xf numFmtId="3" fontId="2" fillId="0" borderId="93" xfId="6" applyNumberFormat="1" applyFont="1" applyFill="1" applyBorder="1" applyAlignment="1">
      <alignment horizontal="right" vertical="center" wrapText="1"/>
    </xf>
    <xf numFmtId="3" fontId="2" fillId="8" borderId="87" xfId="6" applyNumberFormat="1" applyFont="1" applyFill="1" applyBorder="1" applyAlignment="1">
      <alignment horizontal="right" vertical="center" wrapText="1"/>
    </xf>
    <xf numFmtId="3" fontId="2" fillId="0" borderId="190" xfId="6" applyNumberFormat="1" applyFont="1" applyFill="1" applyBorder="1" applyAlignment="1">
      <alignment horizontal="right" vertical="center" wrapText="1"/>
    </xf>
    <xf numFmtId="49" fontId="2" fillId="0" borderId="191" xfId="6" applyNumberFormat="1" applyFont="1" applyFill="1" applyBorder="1" applyAlignment="1">
      <alignment horizontal="left" vertical="center" wrapText="1"/>
    </xf>
    <xf numFmtId="0" fontId="2" fillId="0" borderId="191" xfId="6" applyFont="1" applyFill="1" applyBorder="1" applyAlignment="1">
      <alignment horizontal="left" vertical="center" wrapText="1"/>
    </xf>
    <xf numFmtId="0" fontId="2" fillId="0" borderId="44" xfId="6" applyFont="1" applyFill="1" applyBorder="1" applyAlignment="1">
      <alignment horizontal="center" vertical="center" wrapText="1"/>
    </xf>
    <xf numFmtId="0" fontId="2" fillId="0" borderId="88" xfId="6" applyFont="1" applyFill="1" applyBorder="1" applyAlignment="1">
      <alignment horizontal="left" vertical="center" wrapText="1"/>
    </xf>
    <xf numFmtId="49" fontId="2" fillId="0" borderId="192" xfId="6" applyNumberFormat="1" applyFont="1" applyFill="1" applyBorder="1" applyAlignment="1">
      <alignment horizontal="left" vertical="center" wrapText="1"/>
    </xf>
    <xf numFmtId="0" fontId="2" fillId="0" borderId="186" xfId="6" applyFont="1" applyFill="1" applyBorder="1" applyAlignment="1">
      <alignment horizontal="left" vertical="center" wrapText="1"/>
    </xf>
    <xf numFmtId="0" fontId="8" fillId="0" borderId="8" xfId="6" applyFont="1" applyFill="1" applyBorder="1" applyAlignment="1">
      <alignment horizontal="center" vertical="center" wrapText="1"/>
    </xf>
    <xf numFmtId="0" fontId="8" fillId="0" borderId="8" xfId="6" applyFont="1" applyFill="1" applyBorder="1" applyAlignment="1">
      <alignment horizontal="left" vertical="center" wrapText="1"/>
    </xf>
    <xf numFmtId="3" fontId="8" fillId="0" borderId="178" xfId="6" applyNumberFormat="1" applyFont="1" applyFill="1" applyBorder="1" applyAlignment="1">
      <alignment horizontal="right" vertical="center" wrapText="1"/>
    </xf>
    <xf numFmtId="3" fontId="8" fillId="0" borderId="43" xfId="6" applyNumberFormat="1" applyFont="1" applyFill="1" applyBorder="1" applyAlignment="1">
      <alignment horizontal="right" vertical="center" wrapText="1"/>
    </xf>
    <xf numFmtId="3" fontId="8" fillId="0" borderId="44" xfId="6" applyNumberFormat="1" applyFont="1" applyFill="1" applyBorder="1" applyAlignment="1">
      <alignment horizontal="right" vertical="center" wrapText="1"/>
    </xf>
    <xf numFmtId="3" fontId="8" fillId="0" borderId="8" xfId="6" applyNumberFormat="1" applyFont="1" applyFill="1" applyBorder="1" applyAlignment="1">
      <alignment horizontal="right" vertical="center" wrapText="1"/>
    </xf>
    <xf numFmtId="3" fontId="8" fillId="8" borderId="43" xfId="6" applyNumberFormat="1" applyFont="1" applyFill="1" applyBorder="1" applyAlignment="1">
      <alignment horizontal="right" vertical="center" wrapText="1"/>
    </xf>
    <xf numFmtId="3" fontId="8" fillId="0" borderId="179" xfId="6" applyNumberFormat="1" applyFont="1" applyFill="1" applyBorder="1" applyAlignment="1">
      <alignment horizontal="right" vertical="center" wrapText="1"/>
    </xf>
    <xf numFmtId="49" fontId="8" fillId="0" borderId="180" xfId="6" applyNumberFormat="1" applyFont="1" applyFill="1" applyBorder="1" applyAlignment="1">
      <alignment horizontal="left" vertical="center" wrapText="1"/>
    </xf>
    <xf numFmtId="0" fontId="8" fillId="0" borderId="180" xfId="6" applyFont="1" applyFill="1" applyBorder="1" applyAlignment="1">
      <alignment horizontal="left" vertical="center" wrapText="1"/>
    </xf>
    <xf numFmtId="0" fontId="2" fillId="0" borderId="178" xfId="1" applyFont="1" applyFill="1" applyBorder="1" applyAlignment="1">
      <alignment horizontal="center" vertical="center" wrapText="1"/>
    </xf>
    <xf numFmtId="0" fontId="2" fillId="0" borderId="8" xfId="1" applyFont="1" applyFill="1" applyBorder="1" applyAlignment="1">
      <alignment horizontal="center" vertical="center" wrapText="1"/>
    </xf>
    <xf numFmtId="0" fontId="2" fillId="0" borderId="193" xfId="1" applyFont="1" applyFill="1" applyBorder="1" applyAlignment="1">
      <alignment horizontal="left" vertical="center" wrapText="1"/>
    </xf>
    <xf numFmtId="0" fontId="2" fillId="0" borderId="97" xfId="6" applyFont="1" applyFill="1" applyBorder="1" applyAlignment="1">
      <alignment horizontal="left" vertical="center" wrapText="1"/>
    </xf>
    <xf numFmtId="0" fontId="5" fillId="0" borderId="8" xfId="1" applyFont="1" applyFill="1" applyBorder="1" applyAlignment="1">
      <alignment horizontal="left" vertical="center" wrapText="1"/>
    </xf>
    <xf numFmtId="0" fontId="5" fillId="0" borderId="9" xfId="1" applyFont="1" applyFill="1" applyBorder="1" applyAlignment="1">
      <alignment horizontal="left" vertical="center" wrapText="1"/>
    </xf>
    <xf numFmtId="0" fontId="2" fillId="0" borderId="193" xfId="6" applyFont="1" applyFill="1" applyBorder="1" applyAlignment="1">
      <alignment horizontal="left" vertical="center" wrapText="1"/>
    </xf>
    <xf numFmtId="0" fontId="2" fillId="0" borderId="178" xfId="6" applyFont="1" applyFill="1" applyBorder="1" applyAlignment="1">
      <alignment horizontal="left" vertical="center" wrapText="1"/>
    </xf>
    <xf numFmtId="3" fontId="2" fillId="0" borderId="44" xfId="6" applyNumberFormat="1" applyFont="1" applyFill="1" applyBorder="1" applyAlignment="1">
      <alignment horizontal="left" vertical="center" wrapText="1"/>
    </xf>
    <xf numFmtId="0" fontId="2" fillId="0" borderId="0" xfId="6" applyFont="1" applyFill="1" applyBorder="1" applyAlignment="1">
      <alignment horizontal="left" vertical="center" wrapText="1"/>
    </xf>
    <xf numFmtId="0" fontId="2" fillId="0" borderId="179" xfId="6" applyFont="1" applyFill="1" applyBorder="1" applyAlignment="1">
      <alignment vertical="center" wrapText="1"/>
    </xf>
    <xf numFmtId="0" fontId="9" fillId="0" borderId="178" xfId="6" applyFont="1" applyFill="1" applyBorder="1" applyAlignment="1">
      <alignment horizontal="center" vertical="center" wrapText="1"/>
    </xf>
    <xf numFmtId="0" fontId="26" fillId="0" borderId="8" xfId="6" applyFont="1" applyFill="1" applyBorder="1" applyAlignment="1">
      <alignment horizontal="left" vertical="center" wrapText="1"/>
    </xf>
    <xf numFmtId="0" fontId="26" fillId="0" borderId="9" xfId="6" applyFont="1" applyFill="1" applyBorder="1" applyAlignment="1">
      <alignment horizontal="left" vertical="center" wrapText="1"/>
    </xf>
    <xf numFmtId="4" fontId="2" fillId="0" borderId="43" xfId="6" applyNumberFormat="1" applyFont="1" applyFill="1" applyBorder="1" applyAlignment="1">
      <alignment horizontal="right" vertical="center" wrapText="1"/>
    </xf>
    <xf numFmtId="0" fontId="2" fillId="9" borderId="159" xfId="6" applyFont="1" applyFill="1" applyBorder="1" applyAlignment="1">
      <alignment horizontal="center" vertical="center" wrapText="1"/>
    </xf>
    <xf numFmtId="0" fontId="3" fillId="0" borderId="121" xfId="6" applyFont="1" applyFill="1" applyBorder="1" applyAlignment="1">
      <alignment horizontal="left" vertical="center" wrapText="1"/>
    </xf>
    <xf numFmtId="3" fontId="2" fillId="0" borderId="122" xfId="6" applyNumberFormat="1" applyFont="1" applyFill="1" applyBorder="1" applyAlignment="1">
      <alignment horizontal="right" vertical="center" wrapText="1"/>
    </xf>
    <xf numFmtId="3" fontId="2" fillId="0" borderId="160" xfId="6" applyNumberFormat="1" applyFont="1" applyFill="1" applyBorder="1" applyAlignment="1">
      <alignment horizontal="right" vertical="center" wrapText="1"/>
    </xf>
    <xf numFmtId="3" fontId="2" fillId="8" borderId="122" xfId="6" applyNumberFormat="1" applyFont="1" applyFill="1" applyBorder="1" applyAlignment="1">
      <alignment horizontal="right" vertical="center" wrapText="1"/>
    </xf>
    <xf numFmtId="3" fontId="2" fillId="0" borderId="121" xfId="6" applyNumberFormat="1" applyFont="1" applyFill="1" applyBorder="1" applyAlignment="1">
      <alignment horizontal="right" vertical="center" wrapText="1"/>
    </xf>
    <xf numFmtId="49" fontId="2" fillId="0" borderId="157" xfId="6" applyNumberFormat="1" applyFont="1" applyFill="1" applyBorder="1" applyAlignment="1">
      <alignment horizontal="right" vertical="center" wrapText="1"/>
    </xf>
    <xf numFmtId="0" fontId="2" fillId="0" borderId="157" xfId="6" applyFont="1" applyFill="1" applyBorder="1" applyAlignment="1">
      <alignment horizontal="left" vertical="center" wrapText="1"/>
    </xf>
    <xf numFmtId="0" fontId="2" fillId="9" borderId="182" xfId="6" applyFont="1" applyFill="1" applyBorder="1" applyAlignment="1">
      <alignment horizontal="center" vertical="center" wrapText="1"/>
    </xf>
    <xf numFmtId="0" fontId="2" fillId="0" borderId="3" xfId="6" applyFont="1" applyFill="1" applyBorder="1" applyAlignment="1">
      <alignment horizontal="center" vertical="center" wrapText="1"/>
    </xf>
    <xf numFmtId="0" fontId="2" fillId="0" borderId="3" xfId="6" applyFont="1" applyFill="1" applyBorder="1" applyAlignment="1">
      <alignment horizontal="left" vertical="center" wrapText="1"/>
    </xf>
    <xf numFmtId="3" fontId="2" fillId="0" borderId="194" xfId="6" applyNumberFormat="1" applyFont="1" applyFill="1" applyBorder="1" applyAlignment="1">
      <alignment horizontal="right" vertical="center" wrapText="1"/>
    </xf>
    <xf numFmtId="3" fontId="2" fillId="0" borderId="12" xfId="6" applyNumberFormat="1" applyFont="1" applyFill="1" applyBorder="1" applyAlignment="1">
      <alignment horizontal="right" vertical="center" wrapText="1"/>
    </xf>
    <xf numFmtId="3" fontId="2" fillId="0" borderId="2" xfId="6" applyNumberFormat="1" applyFont="1" applyFill="1" applyBorder="1" applyAlignment="1">
      <alignment horizontal="right" vertical="center" wrapText="1"/>
    </xf>
    <xf numFmtId="3" fontId="2" fillId="0" borderId="3" xfId="6" applyNumberFormat="1" applyFont="1" applyFill="1" applyBorder="1" applyAlignment="1">
      <alignment horizontal="right" vertical="center" wrapText="1"/>
    </xf>
    <xf numFmtId="3" fontId="2" fillId="8" borderId="12" xfId="6" applyNumberFormat="1" applyFont="1" applyFill="1" applyBorder="1" applyAlignment="1">
      <alignment horizontal="right" vertical="center" wrapText="1"/>
    </xf>
    <xf numFmtId="3" fontId="2" fillId="0" borderId="195" xfId="6" applyNumberFormat="1" applyFont="1" applyFill="1" applyBorder="1" applyAlignment="1">
      <alignment horizontal="right" vertical="center" wrapText="1"/>
    </xf>
    <xf numFmtId="49" fontId="2" fillId="0" borderId="196" xfId="6" applyNumberFormat="1" applyFont="1" applyFill="1" applyBorder="1" applyAlignment="1">
      <alignment horizontal="left" vertical="center" wrapText="1"/>
    </xf>
    <xf numFmtId="3" fontId="3" fillId="0" borderId="159" xfId="6" applyNumberFormat="1" applyFont="1" applyFill="1" applyBorder="1" applyAlignment="1">
      <alignment horizontal="right" vertical="center" wrapText="1"/>
    </xf>
    <xf numFmtId="0" fontId="2" fillId="0" borderId="176" xfId="6" applyFont="1" applyFill="1" applyBorder="1" applyAlignment="1">
      <alignment horizontal="left" vertical="center" wrapText="1"/>
    </xf>
    <xf numFmtId="3" fontId="3" fillId="0" borderId="184" xfId="6" applyNumberFormat="1" applyFont="1" applyFill="1" applyBorder="1" applyAlignment="1">
      <alignment horizontal="right" vertical="center" wrapText="1"/>
    </xf>
    <xf numFmtId="49" fontId="2" fillId="0" borderId="170" xfId="6" applyNumberFormat="1" applyFont="1" applyFill="1" applyBorder="1" applyAlignment="1">
      <alignment horizontal="right" vertical="center" wrapText="1"/>
    </xf>
    <xf numFmtId="0" fontId="2" fillId="0" borderId="0" xfId="6" applyFont="1" applyFill="1" applyBorder="1" applyAlignment="1">
      <alignment horizontal="right" vertical="center" wrapText="1"/>
    </xf>
    <xf numFmtId="3" fontId="3" fillId="0" borderId="0" xfId="6" applyNumberFormat="1" applyFont="1" applyFill="1" applyBorder="1" applyAlignment="1">
      <alignment horizontal="right" vertical="center" wrapText="1"/>
    </xf>
    <xf numFmtId="3" fontId="3" fillId="8" borderId="0" xfId="6" applyNumberFormat="1" applyFont="1" applyFill="1" applyBorder="1" applyAlignment="1">
      <alignment horizontal="right" vertical="center" wrapText="1"/>
    </xf>
    <xf numFmtId="49" fontId="3" fillId="0" borderId="0" xfId="6" applyNumberFormat="1" applyFont="1" applyFill="1" applyBorder="1" applyAlignment="1">
      <alignment horizontal="right" vertical="center" wrapText="1"/>
    </xf>
    <xf numFmtId="0" fontId="3" fillId="0" borderId="14" xfId="6" applyFont="1" applyFill="1" applyBorder="1" applyAlignment="1">
      <alignment horizontal="center" vertical="center" wrapText="1"/>
    </xf>
    <xf numFmtId="0" fontId="3" fillId="8" borderId="14" xfId="6" applyFont="1" applyFill="1" applyBorder="1" applyAlignment="1">
      <alignment horizontal="center" vertical="center" wrapText="1"/>
    </xf>
    <xf numFmtId="49" fontId="3" fillId="0" borderId="15" xfId="6" applyNumberFormat="1" applyFont="1" applyFill="1" applyBorder="1" applyAlignment="1">
      <alignment horizontal="center" vertical="center" wrapText="1"/>
    </xf>
    <xf numFmtId="0" fontId="27" fillId="0" borderId="0" xfId="6" applyFont="1" applyFill="1" applyBorder="1" applyAlignment="1">
      <alignment horizontal="center" vertical="center" wrapText="1"/>
    </xf>
    <xf numFmtId="49" fontId="27" fillId="0" borderId="0" xfId="6" applyNumberFormat="1" applyFont="1" applyFill="1" applyBorder="1" applyAlignment="1">
      <alignment horizontal="left" vertical="center" wrapText="1"/>
    </xf>
    <xf numFmtId="0" fontId="27" fillId="0" borderId="0" xfId="6" applyFont="1" applyFill="1" applyBorder="1" applyAlignment="1">
      <alignment horizontal="left" vertical="center" wrapText="1"/>
    </xf>
    <xf numFmtId="3" fontId="27" fillId="0" borderId="0" xfId="6" applyNumberFormat="1" applyFont="1" applyFill="1" applyBorder="1" applyAlignment="1">
      <alignment horizontal="center" vertical="center" wrapText="1"/>
    </xf>
    <xf numFmtId="3" fontId="27" fillId="8" borderId="0" xfId="6" applyNumberFormat="1" applyFont="1" applyFill="1" applyBorder="1" applyAlignment="1">
      <alignment horizontal="center" vertical="center" wrapText="1"/>
    </xf>
    <xf numFmtId="49" fontId="27" fillId="0" borderId="0" xfId="6" applyNumberFormat="1" applyFont="1" applyFill="1" applyBorder="1" applyAlignment="1">
      <alignment horizontal="center" vertical="center" wrapText="1"/>
    </xf>
    <xf numFmtId="3" fontId="3" fillId="6" borderId="0" xfId="6" applyNumberFormat="1" applyFont="1" applyFill="1" applyBorder="1" applyAlignment="1">
      <alignment horizontal="center" vertical="center" wrapText="1"/>
    </xf>
    <xf numFmtId="3" fontId="2" fillId="0" borderId="0" xfId="6" applyNumberFormat="1" applyFont="1" applyFill="1" applyBorder="1" applyAlignment="1">
      <alignment horizontal="center" vertical="center" wrapText="1"/>
    </xf>
    <xf numFmtId="3" fontId="2" fillId="8" borderId="0" xfId="6" applyNumberFormat="1" applyFont="1" applyFill="1" applyBorder="1" applyAlignment="1">
      <alignment horizontal="center" vertical="center" wrapText="1"/>
    </xf>
    <xf numFmtId="3" fontId="3" fillId="0" borderId="0" xfId="6" applyNumberFormat="1" applyFont="1" applyFill="1" applyBorder="1" applyAlignment="1">
      <alignment horizontal="center" vertical="center" wrapText="1"/>
    </xf>
    <xf numFmtId="0" fontId="2" fillId="0" borderId="0" xfId="6" applyFont="1" applyFill="1" applyBorder="1" applyAlignment="1">
      <alignment horizontal="center" vertical="center"/>
    </xf>
    <xf numFmtId="0" fontId="2" fillId="0" borderId="0" xfId="8" applyFont="1" applyFill="1"/>
    <xf numFmtId="0" fontId="2" fillId="8" borderId="0" xfId="8" applyFont="1" applyFill="1"/>
    <xf numFmtId="0" fontId="2" fillId="0" borderId="0" xfId="8" applyFont="1" applyFill="1" applyBorder="1"/>
    <xf numFmtId="0" fontId="2" fillId="8" borderId="0" xfId="8" applyFont="1" applyFill="1" applyBorder="1"/>
    <xf numFmtId="0" fontId="2" fillId="0" borderId="150" xfId="8" applyFont="1" applyFill="1" applyBorder="1" applyAlignment="1">
      <alignment horizontal="center" vertical="center"/>
    </xf>
    <xf numFmtId="0" fontId="2" fillId="0" borderId="147" xfId="8" applyFont="1" applyFill="1" applyBorder="1" applyAlignment="1">
      <alignment horizontal="center" vertical="center" wrapText="1"/>
    </xf>
    <xf numFmtId="0" fontId="2" fillId="0" borderId="151" xfId="8" applyFont="1" applyFill="1" applyBorder="1" applyAlignment="1">
      <alignment horizontal="center" vertical="center" wrapText="1"/>
    </xf>
    <xf numFmtId="0" fontId="2" fillId="0" borderId="146" xfId="8" applyFont="1" applyFill="1" applyBorder="1" applyAlignment="1">
      <alignment horizontal="center" vertical="center" wrapText="1"/>
    </xf>
    <xf numFmtId="0" fontId="2" fillId="0" borderId="197" xfId="8" applyFont="1" applyFill="1" applyBorder="1" applyAlignment="1">
      <alignment horizontal="center" vertical="center" wrapText="1"/>
    </xf>
    <xf numFmtId="0" fontId="7" fillId="0" borderId="34" xfId="8" applyFont="1" applyFill="1" applyBorder="1" applyAlignment="1">
      <alignment horizontal="center" vertical="center"/>
    </xf>
    <xf numFmtId="0" fontId="7" fillId="0" borderId="35" xfId="8" applyFont="1" applyFill="1" applyBorder="1" applyAlignment="1">
      <alignment horizontal="center" vertical="center" wrapText="1"/>
    </xf>
    <xf numFmtId="0" fontId="7" fillId="0" borderId="49" xfId="8" applyFont="1" applyFill="1" applyBorder="1" applyAlignment="1">
      <alignment horizontal="center" vertical="center" wrapText="1"/>
    </xf>
    <xf numFmtId="0" fontId="7" fillId="8" borderId="35" xfId="8" applyFont="1" applyFill="1" applyBorder="1" applyAlignment="1">
      <alignment horizontal="center" vertical="center" wrapText="1"/>
    </xf>
    <xf numFmtId="0" fontId="7" fillId="0" borderId="199" xfId="8" applyFont="1" applyFill="1" applyBorder="1" applyAlignment="1">
      <alignment horizontal="center" vertical="center" wrapText="1"/>
    </xf>
    <xf numFmtId="3" fontId="32" fillId="10" borderId="16" xfId="8" applyNumberFormat="1" applyFont="1" applyFill="1" applyBorder="1" applyAlignment="1">
      <alignment horizontal="right" vertical="center" wrapText="1"/>
    </xf>
    <xf numFmtId="3" fontId="32" fillId="11" borderId="16" xfId="8" applyNumberFormat="1" applyFont="1" applyFill="1" applyBorder="1" applyAlignment="1">
      <alignment horizontal="right" vertical="center" wrapText="1"/>
    </xf>
    <xf numFmtId="3" fontId="32" fillId="8" borderId="16" xfId="8" applyNumberFormat="1" applyFont="1" applyFill="1" applyBorder="1" applyAlignment="1">
      <alignment horizontal="right" vertical="center" wrapText="1"/>
    </xf>
    <xf numFmtId="3" fontId="32" fillId="11" borderId="5" xfId="8" applyNumberFormat="1" applyFont="1" applyFill="1" applyBorder="1" applyAlignment="1">
      <alignment horizontal="right" vertical="center" wrapText="1"/>
    </xf>
    <xf numFmtId="3" fontId="32" fillId="10" borderId="5" xfId="8" applyNumberFormat="1" applyFont="1" applyFill="1" applyBorder="1" applyAlignment="1">
      <alignment horizontal="right" vertical="center" wrapText="1"/>
    </xf>
    <xf numFmtId="3" fontId="32" fillId="10" borderId="200" xfId="8" applyNumberFormat="1" applyFont="1" applyFill="1" applyBorder="1" applyAlignment="1">
      <alignment horizontal="right" vertical="center" wrapText="1"/>
    </xf>
    <xf numFmtId="0" fontId="3" fillId="0" borderId="0" xfId="8" applyFont="1" applyFill="1" applyBorder="1"/>
    <xf numFmtId="0" fontId="32" fillId="0" borderId="201" xfId="8" applyFont="1" applyFill="1" applyBorder="1" applyAlignment="1">
      <alignment horizontal="center" vertical="center" wrapText="1"/>
    </xf>
    <xf numFmtId="0" fontId="32" fillId="0" borderId="14" xfId="8" applyFont="1" applyFill="1" applyBorder="1" applyAlignment="1">
      <alignment horizontal="center" vertical="center" wrapText="1"/>
    </xf>
    <xf numFmtId="0" fontId="32" fillId="0" borderId="15" xfId="8" applyFont="1" applyFill="1" applyBorder="1" applyAlignment="1">
      <alignment horizontal="center" vertical="center" wrapText="1"/>
    </xf>
    <xf numFmtId="0" fontId="32" fillId="0" borderId="68" xfId="8" applyFont="1" applyFill="1" applyBorder="1" applyAlignment="1">
      <alignment horizontal="center" vertical="center" wrapText="1"/>
    </xf>
    <xf numFmtId="3" fontId="32" fillId="0" borderId="68" xfId="8" applyNumberFormat="1" applyFont="1" applyFill="1" applyBorder="1" applyAlignment="1">
      <alignment horizontal="right" vertical="center" wrapText="1"/>
    </xf>
    <xf numFmtId="3" fontId="32" fillId="8" borderId="68" xfId="8" applyNumberFormat="1" applyFont="1" applyFill="1" applyBorder="1" applyAlignment="1">
      <alignment horizontal="right" vertical="center" wrapText="1"/>
    </xf>
    <xf numFmtId="3" fontId="32" fillId="0" borderId="13" xfId="8" applyNumberFormat="1" applyFont="1" applyFill="1" applyBorder="1" applyAlignment="1">
      <alignment horizontal="right" vertical="center" wrapText="1"/>
    </xf>
    <xf numFmtId="3" fontId="3" fillId="0" borderId="13" xfId="8" applyNumberFormat="1" applyFont="1" applyFill="1" applyBorder="1" applyAlignment="1">
      <alignment horizontal="right" vertical="center" wrapText="1"/>
    </xf>
    <xf numFmtId="3" fontId="32" fillId="0" borderId="202" xfId="8" applyNumberFormat="1" applyFont="1" applyFill="1" applyBorder="1" applyAlignment="1">
      <alignment horizontal="right" vertical="center" wrapText="1"/>
    </xf>
    <xf numFmtId="0" fontId="33" fillId="12" borderId="68" xfId="8" applyFont="1" applyFill="1" applyBorder="1" applyAlignment="1">
      <alignment horizontal="left" vertical="center" wrapText="1"/>
    </xf>
    <xf numFmtId="3" fontId="33" fillId="12" borderId="68" xfId="8" applyNumberFormat="1" applyFont="1" applyFill="1" applyBorder="1" applyAlignment="1">
      <alignment horizontal="right" vertical="center" wrapText="1"/>
    </xf>
    <xf numFmtId="3" fontId="33" fillId="13" borderId="68" xfId="8" applyNumberFormat="1" applyFont="1" applyFill="1" applyBorder="1" applyAlignment="1">
      <alignment horizontal="right" vertical="center" wrapText="1"/>
    </xf>
    <xf numFmtId="3" fontId="33" fillId="8" borderId="68" xfId="8" applyNumberFormat="1" applyFont="1" applyFill="1" applyBorder="1" applyAlignment="1">
      <alignment horizontal="right" vertical="center" wrapText="1"/>
    </xf>
    <xf numFmtId="3" fontId="33" fillId="13" borderId="13" xfId="8" applyNumberFormat="1" applyFont="1" applyFill="1" applyBorder="1" applyAlignment="1">
      <alignment horizontal="right" vertical="center" wrapText="1"/>
    </xf>
    <xf numFmtId="3" fontId="33" fillId="12" borderId="13" xfId="8" applyNumberFormat="1" applyFont="1" applyFill="1" applyBorder="1" applyAlignment="1">
      <alignment horizontal="right" vertical="center" wrapText="1"/>
    </xf>
    <xf numFmtId="3" fontId="33" fillId="12" borderId="202" xfId="8" applyNumberFormat="1" applyFont="1" applyFill="1" applyBorder="1" applyAlignment="1">
      <alignment horizontal="right" vertical="center" wrapText="1"/>
    </xf>
    <xf numFmtId="0" fontId="33" fillId="0" borderId="0" xfId="8" applyFont="1" applyFill="1" applyBorder="1"/>
    <xf numFmtId="0" fontId="3" fillId="0" borderId="201" xfId="8" applyFont="1" applyFill="1" applyBorder="1" applyAlignment="1">
      <alignment vertical="center"/>
    </xf>
    <xf numFmtId="0" fontId="3" fillId="0" borderId="68" xfId="8" applyFont="1" applyFill="1" applyBorder="1" applyAlignment="1">
      <alignment vertical="center" wrapText="1"/>
    </xf>
    <xf numFmtId="3" fontId="3" fillId="0" borderId="68" xfId="8" applyNumberFormat="1" applyFont="1" applyFill="1" applyBorder="1" applyAlignment="1">
      <alignment horizontal="right" vertical="center" wrapText="1"/>
    </xf>
    <xf numFmtId="3" fontId="3" fillId="8" borderId="68" xfId="8" applyNumberFormat="1" applyFont="1" applyFill="1" applyBorder="1" applyAlignment="1">
      <alignment horizontal="right" vertical="center" wrapText="1"/>
    </xf>
    <xf numFmtId="3" fontId="3" fillId="0" borderId="202" xfId="8" applyNumberFormat="1" applyFont="1" applyFill="1" applyBorder="1" applyAlignment="1">
      <alignment horizontal="right" vertical="center" wrapText="1"/>
    </xf>
    <xf numFmtId="0" fontId="2" fillId="0" borderId="203" xfId="8" applyFont="1" applyFill="1" applyBorder="1" applyAlignment="1">
      <alignment vertical="center"/>
    </xf>
    <xf numFmtId="0" fontId="2" fillId="0" borderId="53" xfId="8" applyFont="1" applyFill="1" applyBorder="1" applyAlignment="1">
      <alignment vertical="center" wrapText="1"/>
    </xf>
    <xf numFmtId="3" fontId="2" fillId="0" borderId="53" xfId="8" applyNumberFormat="1" applyFont="1" applyFill="1" applyBorder="1" applyAlignment="1">
      <alignment vertical="center"/>
    </xf>
    <xf numFmtId="3" fontId="2" fillId="8" borderId="53" xfId="8" applyNumberFormat="1" applyFont="1" applyFill="1" applyBorder="1" applyAlignment="1">
      <alignment vertical="center"/>
    </xf>
    <xf numFmtId="3" fontId="2" fillId="0" borderId="10" xfId="8" applyNumberFormat="1" applyFont="1" applyFill="1" applyBorder="1" applyAlignment="1">
      <alignment vertical="center"/>
    </xf>
    <xf numFmtId="3" fontId="2" fillId="0" borderId="204" xfId="8" applyNumberFormat="1" applyFont="1" applyFill="1" applyBorder="1" applyAlignment="1">
      <alignment vertical="center"/>
    </xf>
    <xf numFmtId="0" fontId="2" fillId="0" borderId="205" xfId="8" applyFont="1" applyFill="1" applyBorder="1" applyAlignment="1">
      <alignment vertical="center"/>
    </xf>
    <xf numFmtId="0" fontId="2" fillId="0" borderId="79" xfId="8" applyFont="1" applyFill="1" applyBorder="1" applyAlignment="1">
      <alignment vertical="center" wrapText="1"/>
    </xf>
    <xf numFmtId="3" fontId="2" fillId="0" borderId="79" xfId="8" applyNumberFormat="1" applyFont="1" applyFill="1" applyBorder="1" applyAlignment="1">
      <alignment vertical="center"/>
    </xf>
    <xf numFmtId="3" fontId="2" fillId="8" borderId="79" xfId="8" applyNumberFormat="1" applyFont="1" applyFill="1" applyBorder="1" applyAlignment="1">
      <alignment vertical="center"/>
    </xf>
    <xf numFmtId="3" fontId="2" fillId="0" borderId="80" xfId="8" applyNumberFormat="1" applyFont="1" applyFill="1" applyBorder="1" applyAlignment="1">
      <alignment vertical="center"/>
    </xf>
    <xf numFmtId="3" fontId="2" fillId="0" borderId="206" xfId="8" applyNumberFormat="1" applyFont="1" applyFill="1" applyBorder="1" applyAlignment="1">
      <alignment vertical="center"/>
    </xf>
    <xf numFmtId="0" fontId="2" fillId="0" borderId="207" xfId="8" applyFont="1" applyFill="1" applyBorder="1" applyAlignment="1">
      <alignment vertical="center"/>
    </xf>
    <xf numFmtId="0" fontId="2" fillId="0" borderId="100" xfId="8" applyFont="1" applyFill="1" applyBorder="1" applyAlignment="1">
      <alignment vertical="center" wrapText="1"/>
    </xf>
    <xf numFmtId="3" fontId="2" fillId="0" borderId="100" xfId="8" applyNumberFormat="1" applyFont="1" applyFill="1" applyBorder="1" applyAlignment="1">
      <alignment vertical="center"/>
    </xf>
    <xf numFmtId="3" fontId="2" fillId="0" borderId="16" xfId="8" applyNumberFormat="1" applyFont="1" applyFill="1" applyBorder="1" applyAlignment="1">
      <alignment vertical="center"/>
    </xf>
    <xf numFmtId="3" fontId="2" fillId="8" borderId="16" xfId="8" applyNumberFormat="1" applyFont="1" applyFill="1" applyBorder="1" applyAlignment="1">
      <alignment vertical="center"/>
    </xf>
    <xf numFmtId="3" fontId="2" fillId="0" borderId="5" xfId="8" applyNumberFormat="1" applyFont="1" applyFill="1" applyBorder="1" applyAlignment="1">
      <alignment vertical="center"/>
    </xf>
    <xf numFmtId="3" fontId="2" fillId="0" borderId="200" xfId="8" applyNumberFormat="1" applyFont="1" applyFill="1" applyBorder="1" applyAlignment="1">
      <alignment vertical="center"/>
    </xf>
    <xf numFmtId="3" fontId="33" fillId="12" borderId="68" xfId="8" applyNumberFormat="1" applyFont="1" applyFill="1" applyBorder="1" applyAlignment="1">
      <alignment vertical="center"/>
    </xf>
    <xf numFmtId="3" fontId="33" fillId="13" borderId="68" xfId="8" applyNumberFormat="1" applyFont="1" applyFill="1" applyBorder="1" applyAlignment="1">
      <alignment vertical="center"/>
    </xf>
    <xf numFmtId="3" fontId="33" fillId="8" borderId="68" xfId="8" applyNumberFormat="1" applyFont="1" applyFill="1" applyBorder="1" applyAlignment="1">
      <alignment vertical="center"/>
    </xf>
    <xf numFmtId="3" fontId="33" fillId="13" borderId="13" xfId="8" applyNumberFormat="1" applyFont="1" applyFill="1" applyBorder="1" applyAlignment="1">
      <alignment vertical="center"/>
    </xf>
    <xf numFmtId="3" fontId="33" fillId="12" borderId="13" xfId="8" applyNumberFormat="1" applyFont="1" applyFill="1" applyBorder="1" applyAlignment="1">
      <alignment vertical="center"/>
    </xf>
    <xf numFmtId="3" fontId="33" fillId="12" borderId="202" xfId="8" applyNumberFormat="1" applyFont="1" applyFill="1" applyBorder="1" applyAlignment="1">
      <alignment vertical="center"/>
    </xf>
    <xf numFmtId="3" fontId="3" fillId="0" borderId="68" xfId="8" applyNumberFormat="1" applyFont="1" applyFill="1" applyBorder="1" applyAlignment="1">
      <alignment vertical="center"/>
    </xf>
    <xf numFmtId="3" fontId="3" fillId="8" borderId="68" xfId="8" applyNumberFormat="1" applyFont="1" applyFill="1" applyBorder="1" applyAlignment="1">
      <alignment vertical="center"/>
    </xf>
    <xf numFmtId="3" fontId="3" fillId="0" borderId="13" xfId="8" applyNumberFormat="1" applyFont="1" applyFill="1" applyBorder="1" applyAlignment="1">
      <alignment vertical="center"/>
    </xf>
    <xf numFmtId="3" fontId="3" fillId="0" borderId="202" xfId="8" applyNumberFormat="1" applyFont="1" applyFill="1" applyBorder="1" applyAlignment="1">
      <alignment vertical="center"/>
    </xf>
    <xf numFmtId="0" fontId="2" fillId="0" borderId="201" xfId="8" applyFont="1" applyFill="1" applyBorder="1" applyAlignment="1">
      <alignment vertical="center"/>
    </xf>
    <xf numFmtId="0" fontId="2" fillId="0" borderId="68" xfId="8" applyFont="1" applyFill="1" applyBorder="1" applyAlignment="1">
      <alignment vertical="center" wrapText="1"/>
    </xf>
    <xf numFmtId="3" fontId="2" fillId="0" borderId="68" xfId="8" applyNumberFormat="1" applyFont="1" applyFill="1" applyBorder="1" applyAlignment="1">
      <alignment vertical="center"/>
    </xf>
    <xf numFmtId="3" fontId="2" fillId="8" borderId="68" xfId="8" applyNumberFormat="1" applyFont="1" applyFill="1" applyBorder="1" applyAlignment="1">
      <alignment vertical="center"/>
    </xf>
    <xf numFmtId="3" fontId="2" fillId="0" borderId="13" xfId="8" applyNumberFormat="1" applyFont="1" applyFill="1" applyBorder="1" applyAlignment="1">
      <alignment vertical="center"/>
    </xf>
    <xf numFmtId="3" fontId="2" fillId="0" borderId="202" xfId="8" applyNumberFormat="1" applyFont="1" applyFill="1" applyBorder="1" applyAlignment="1">
      <alignment vertical="center"/>
    </xf>
    <xf numFmtId="3" fontId="2" fillId="0" borderId="105" xfId="8" applyNumberFormat="1" applyFont="1" applyFill="1" applyBorder="1" applyAlignment="1">
      <alignment vertical="center"/>
    </xf>
    <xf numFmtId="3" fontId="2" fillId="0" borderId="73" xfId="8" applyNumberFormat="1" applyFont="1" applyFill="1" applyBorder="1" applyAlignment="1">
      <alignment vertical="center"/>
    </xf>
    <xf numFmtId="3" fontId="2" fillId="0" borderId="208" xfId="8" applyNumberFormat="1" applyFont="1" applyFill="1" applyBorder="1" applyAlignment="1">
      <alignment vertical="center"/>
    </xf>
    <xf numFmtId="0" fontId="2" fillId="0" borderId="143" xfId="8" applyFont="1" applyFill="1" applyBorder="1" applyAlignment="1">
      <alignment vertical="center"/>
    </xf>
    <xf numFmtId="3" fontId="2" fillId="0" borderId="60" xfId="8" applyNumberFormat="1" applyFont="1" applyFill="1" applyBorder="1" applyAlignment="1">
      <alignment vertical="center"/>
    </xf>
    <xf numFmtId="3" fontId="2" fillId="8" borderId="60" xfId="8" applyNumberFormat="1" applyFont="1" applyFill="1" applyBorder="1" applyAlignment="1">
      <alignment vertical="center"/>
    </xf>
    <xf numFmtId="3" fontId="2" fillId="0" borderId="61" xfId="8" applyNumberFormat="1" applyFont="1" applyFill="1" applyBorder="1" applyAlignment="1">
      <alignment vertical="center"/>
    </xf>
    <xf numFmtId="3" fontId="2" fillId="0" borderId="209" xfId="8" applyNumberFormat="1" applyFont="1" applyFill="1" applyBorder="1" applyAlignment="1">
      <alignment vertical="center"/>
    </xf>
    <xf numFmtId="0" fontId="3" fillId="0" borderId="68" xfId="8" applyFont="1" applyFill="1" applyBorder="1" applyAlignment="1">
      <alignment horizontal="left" vertical="center" wrapText="1"/>
    </xf>
    <xf numFmtId="0" fontId="2" fillId="0" borderId="16" xfId="8" applyFont="1" applyFill="1" applyBorder="1" applyAlignment="1">
      <alignment vertical="center" wrapText="1"/>
    </xf>
    <xf numFmtId="0" fontId="3" fillId="0" borderId="12" xfId="8" applyFont="1" applyFill="1" applyBorder="1" applyAlignment="1">
      <alignment wrapText="1"/>
    </xf>
    <xf numFmtId="0" fontId="2" fillId="0" borderId="68" xfId="8" applyFont="1" applyFill="1" applyBorder="1" applyAlignment="1">
      <alignment wrapText="1"/>
    </xf>
    <xf numFmtId="0" fontId="2" fillId="0" borderId="14" xfId="8" applyFont="1" applyFill="1" applyBorder="1" applyAlignment="1">
      <alignment horizontal="center"/>
    </xf>
    <xf numFmtId="0" fontId="2" fillId="0" borderId="14" xfId="8" applyFont="1" applyFill="1" applyBorder="1" applyAlignment="1">
      <alignment horizontal="right"/>
    </xf>
    <xf numFmtId="0" fontId="2" fillId="0" borderId="53" xfId="8" applyFont="1" applyFill="1" applyBorder="1" applyAlignment="1">
      <alignment wrapText="1"/>
    </xf>
    <xf numFmtId="0" fontId="33" fillId="12" borderId="68" xfId="8" applyFont="1" applyFill="1" applyBorder="1" applyAlignment="1">
      <alignment vertical="center" wrapText="1"/>
    </xf>
    <xf numFmtId="0" fontId="2" fillId="0" borderId="210" xfId="8" applyFont="1" applyFill="1" applyBorder="1" applyAlignment="1">
      <alignment vertical="center"/>
    </xf>
    <xf numFmtId="0" fontId="2" fillId="0" borderId="12" xfId="8" applyFont="1" applyFill="1" applyBorder="1" applyAlignment="1">
      <alignment vertical="center" wrapText="1"/>
    </xf>
    <xf numFmtId="3" fontId="2" fillId="0" borderId="12" xfId="8" applyNumberFormat="1" applyFont="1" applyFill="1" applyBorder="1" applyAlignment="1">
      <alignment vertical="center"/>
    </xf>
    <xf numFmtId="3" fontId="3" fillId="0" borderId="10" xfId="8" applyNumberFormat="1" applyFont="1" applyFill="1" applyBorder="1" applyAlignment="1">
      <alignment vertical="center"/>
    </xf>
    <xf numFmtId="3" fontId="3" fillId="0" borderId="204" xfId="8" applyNumberFormat="1" applyFont="1" applyFill="1" applyBorder="1" applyAlignment="1">
      <alignment vertical="center"/>
    </xf>
    <xf numFmtId="0" fontId="2" fillId="0" borderId="211" xfId="8" applyFont="1" applyFill="1" applyBorder="1" applyAlignment="1">
      <alignment vertical="center"/>
    </xf>
    <xf numFmtId="0" fontId="2" fillId="0" borderId="43" xfId="8" applyFont="1" applyFill="1" applyBorder="1" applyAlignment="1">
      <alignment vertical="center" wrapText="1"/>
    </xf>
    <xf numFmtId="3" fontId="2" fillId="0" borderId="43" xfId="8" applyNumberFormat="1" applyFont="1" applyFill="1" applyBorder="1" applyAlignment="1">
      <alignment vertical="center"/>
    </xf>
    <xf numFmtId="3" fontId="2" fillId="8" borderId="43" xfId="8" applyNumberFormat="1" applyFont="1" applyFill="1" applyBorder="1" applyAlignment="1">
      <alignment vertical="center"/>
    </xf>
    <xf numFmtId="3" fontId="2" fillId="0" borderId="44" xfId="8" applyNumberFormat="1" applyFont="1" applyFill="1" applyBorder="1" applyAlignment="1">
      <alignment vertical="center"/>
    </xf>
    <xf numFmtId="3" fontId="2" fillId="0" borderId="193" xfId="8" applyNumberFormat="1" applyFont="1" applyFill="1" applyBorder="1" applyAlignment="1">
      <alignment vertical="center"/>
    </xf>
    <xf numFmtId="0" fontId="2" fillId="0" borderId="212" xfId="8" applyFont="1" applyFill="1" applyBorder="1" applyAlignment="1">
      <alignment vertical="center"/>
    </xf>
    <xf numFmtId="0" fontId="2" fillId="0" borderId="60" xfId="8" applyFont="1" applyFill="1" applyBorder="1" applyAlignment="1">
      <alignment vertical="center" wrapText="1"/>
    </xf>
    <xf numFmtId="3" fontId="2" fillId="8" borderId="12" xfId="8" applyNumberFormat="1" applyFont="1" applyFill="1" applyBorder="1" applyAlignment="1">
      <alignment vertical="center"/>
    </xf>
    <xf numFmtId="0" fontId="3" fillId="0" borderId="12" xfId="8" applyFont="1" applyFill="1" applyBorder="1" applyAlignment="1">
      <alignment vertical="top" wrapText="1"/>
    </xf>
    <xf numFmtId="0" fontId="2" fillId="0" borderId="68" xfId="8" applyFont="1" applyFill="1" applyBorder="1" applyAlignment="1">
      <alignment vertical="top" wrapText="1"/>
    </xf>
    <xf numFmtId="0" fontId="2" fillId="0" borderId="213" xfId="8" applyFont="1" applyFill="1" applyBorder="1" applyAlignment="1">
      <alignment vertical="center"/>
    </xf>
    <xf numFmtId="0" fontId="2" fillId="0" borderId="73" xfId="8" applyFont="1" applyFill="1" applyBorder="1" applyAlignment="1">
      <alignment vertical="center" wrapText="1"/>
    </xf>
    <xf numFmtId="3" fontId="2" fillId="8" borderId="73" xfId="8" applyNumberFormat="1" applyFont="1" applyFill="1" applyBorder="1" applyAlignment="1">
      <alignment vertical="center"/>
    </xf>
    <xf numFmtId="3" fontId="2" fillId="0" borderId="2" xfId="8" applyNumberFormat="1" applyFont="1" applyFill="1" applyBorder="1" applyAlignment="1">
      <alignment vertical="center"/>
    </xf>
    <xf numFmtId="3" fontId="2" fillId="0" borderId="214" xfId="8" applyNumberFormat="1" applyFont="1" applyFill="1" applyBorder="1" applyAlignment="1">
      <alignment vertical="center"/>
    </xf>
    <xf numFmtId="3" fontId="9" fillId="0" borderId="53" xfId="8" applyNumberFormat="1" applyFont="1" applyFill="1" applyBorder="1" applyAlignment="1">
      <alignment vertical="center"/>
    </xf>
    <xf numFmtId="3" fontId="9" fillId="0" borderId="10" xfId="8" applyNumberFormat="1" applyFont="1" applyFill="1" applyBorder="1" applyAlignment="1">
      <alignment vertical="center"/>
    </xf>
    <xf numFmtId="0" fontId="3" fillId="0" borderId="14" xfId="8" applyFont="1" applyFill="1" applyBorder="1" applyAlignment="1">
      <alignment horizontal="left" vertical="center"/>
    </xf>
    <xf numFmtId="0" fontId="3" fillId="0" borderId="13" xfId="8" applyFont="1" applyFill="1" applyBorder="1" applyAlignment="1">
      <alignment vertical="center" wrapText="1"/>
    </xf>
    <xf numFmtId="0" fontId="2" fillId="0" borderId="212" xfId="8" applyFont="1" applyFill="1" applyBorder="1" applyAlignment="1">
      <alignment horizontal="left" vertical="center"/>
    </xf>
    <xf numFmtId="0" fontId="3" fillId="0" borderId="67" xfId="8" applyFont="1" applyFill="1" applyBorder="1" applyAlignment="1">
      <alignment horizontal="left" vertical="center"/>
    </xf>
    <xf numFmtId="0" fontId="3" fillId="0" borderId="66" xfId="8" applyFont="1" applyFill="1" applyBorder="1" applyAlignment="1">
      <alignment horizontal="right" vertical="center"/>
    </xf>
    <xf numFmtId="0" fontId="3" fillId="0" borderId="61" xfId="8" applyFont="1" applyFill="1" applyBorder="1" applyAlignment="1">
      <alignment vertical="center" wrapText="1"/>
    </xf>
    <xf numFmtId="0" fontId="2" fillId="0" borderId="210" xfId="8" applyFont="1" applyFill="1" applyBorder="1" applyAlignment="1">
      <alignment horizontal="left" vertical="center"/>
    </xf>
    <xf numFmtId="0" fontId="2" fillId="0" borderId="2" xfId="8" applyFont="1" applyFill="1" applyBorder="1" applyAlignment="1">
      <alignment vertical="center" wrapText="1"/>
    </xf>
    <xf numFmtId="0" fontId="33" fillId="0" borderId="201" xfId="8" applyFont="1" applyFill="1" applyBorder="1" applyAlignment="1">
      <alignment horizontal="left" vertical="center"/>
    </xf>
    <xf numFmtId="3" fontId="18" fillId="0" borderId="68" xfId="8" applyNumberFormat="1" applyFont="1" applyFill="1" applyBorder="1" applyAlignment="1">
      <alignment vertical="center"/>
    </xf>
    <xf numFmtId="3" fontId="18" fillId="8" borderId="68" xfId="8" applyNumberFormat="1" applyFont="1" applyFill="1" applyBorder="1" applyAlignment="1">
      <alignment vertical="center"/>
    </xf>
    <xf numFmtId="3" fontId="18" fillId="0" borderId="13" xfId="8" applyNumberFormat="1" applyFont="1" applyFill="1" applyBorder="1" applyAlignment="1">
      <alignment vertical="center"/>
    </xf>
    <xf numFmtId="0" fontId="2" fillId="0" borderId="68" xfId="6" applyFont="1" applyBorder="1" applyAlignment="1">
      <alignment wrapText="1"/>
    </xf>
    <xf numFmtId="3" fontId="2" fillId="0" borderId="68" xfId="8" applyNumberFormat="1" applyFont="1" applyFill="1" applyBorder="1" applyAlignment="1">
      <alignment horizontal="right" vertical="center"/>
    </xf>
    <xf numFmtId="3" fontId="2" fillId="8" borderId="68" xfId="8" applyNumberFormat="1" applyFont="1" applyFill="1" applyBorder="1" applyAlignment="1">
      <alignment horizontal="right" vertical="center"/>
    </xf>
    <xf numFmtId="3" fontId="2" fillId="0" borderId="13" xfId="8" applyNumberFormat="1" applyFont="1" applyFill="1" applyBorder="1" applyAlignment="1">
      <alignment horizontal="right" vertical="center"/>
    </xf>
    <xf numFmtId="3" fontId="2" fillId="0" borderId="202" xfId="8" applyNumberFormat="1" applyFont="1" applyFill="1" applyBorder="1" applyAlignment="1">
      <alignment horizontal="right" vertical="center"/>
    </xf>
    <xf numFmtId="0" fontId="3" fillId="0" borderId="201" xfId="8" applyFont="1" applyFill="1" applyBorder="1"/>
    <xf numFmtId="0" fontId="3" fillId="0" borderId="203" xfId="8" applyFont="1" applyFill="1" applyBorder="1"/>
    <xf numFmtId="0" fontId="2" fillId="0" borderId="0" xfId="8" applyFont="1" applyFill="1" applyBorder="1" applyAlignment="1">
      <alignment horizontal="center"/>
    </xf>
    <xf numFmtId="0" fontId="2" fillId="0" borderId="6" xfId="8" applyFont="1" applyFill="1" applyBorder="1" applyAlignment="1">
      <alignment horizontal="center"/>
    </xf>
    <xf numFmtId="3" fontId="2" fillId="0" borderId="16" xfId="8" applyNumberFormat="1" applyFont="1" applyFill="1" applyBorder="1" applyAlignment="1">
      <alignment horizontal="right" vertical="center"/>
    </xf>
    <xf numFmtId="3" fontId="2" fillId="0" borderId="10" xfId="8" applyNumberFormat="1" applyFont="1" applyFill="1" applyBorder="1" applyAlignment="1">
      <alignment horizontal="right" vertical="center"/>
    </xf>
    <xf numFmtId="3" fontId="2" fillId="0" borderId="204" xfId="8" applyNumberFormat="1" applyFont="1" applyFill="1" applyBorder="1" applyAlignment="1">
      <alignment horizontal="right" vertical="center"/>
    </xf>
    <xf numFmtId="0" fontId="3" fillId="14" borderId="203" xfId="8" applyFont="1" applyFill="1" applyBorder="1"/>
    <xf numFmtId="0" fontId="3" fillId="14" borderId="14" xfId="6" applyFont="1" applyFill="1" applyBorder="1"/>
    <xf numFmtId="0" fontId="3" fillId="14" borderId="15" xfId="8" applyFont="1" applyFill="1" applyBorder="1" applyAlignment="1">
      <alignment horizontal="center"/>
    </xf>
    <xf numFmtId="0" fontId="3" fillId="14" borderId="14" xfId="6" applyFont="1" applyFill="1" applyBorder="1" applyAlignment="1">
      <alignment wrapText="1"/>
    </xf>
    <xf numFmtId="3" fontId="3" fillId="14" borderId="68" xfId="8" applyNumberFormat="1" applyFont="1" applyFill="1" applyBorder="1" applyAlignment="1">
      <alignment horizontal="right" vertical="center"/>
    </xf>
    <xf numFmtId="3" fontId="3" fillId="14" borderId="53" xfId="8" applyNumberFormat="1" applyFont="1" applyFill="1" applyBorder="1" applyAlignment="1">
      <alignment horizontal="right" vertical="center"/>
    </xf>
    <xf numFmtId="3" fontId="3" fillId="8" borderId="53" xfId="8" applyNumberFormat="1" applyFont="1" applyFill="1" applyBorder="1" applyAlignment="1">
      <alignment horizontal="right" vertical="center"/>
    </xf>
    <xf numFmtId="3" fontId="3" fillId="14" borderId="10" xfId="8" applyNumberFormat="1" applyFont="1" applyFill="1" applyBorder="1" applyAlignment="1">
      <alignment horizontal="right" vertical="center"/>
    </xf>
    <xf numFmtId="3" fontId="3" fillId="6" borderId="10" xfId="8" applyNumberFormat="1" applyFont="1" applyFill="1" applyBorder="1" applyAlignment="1">
      <alignment horizontal="right" vertical="center"/>
    </xf>
    <xf numFmtId="3" fontId="3" fillId="0" borderId="10" xfId="8" applyNumberFormat="1" applyFont="1" applyFill="1" applyBorder="1" applyAlignment="1">
      <alignment horizontal="right" vertical="center"/>
    </xf>
    <xf numFmtId="3" fontId="3" fillId="14" borderId="204" xfId="8" applyNumberFormat="1" applyFont="1" applyFill="1" applyBorder="1" applyAlignment="1">
      <alignment horizontal="right" vertical="center"/>
    </xf>
    <xf numFmtId="0" fontId="2" fillId="0" borderId="1" xfId="8" applyFont="1" applyFill="1" applyBorder="1" applyAlignment="1">
      <alignment vertical="center"/>
    </xf>
    <xf numFmtId="0" fontId="2" fillId="0" borderId="11" xfId="8" applyFont="1" applyFill="1" applyBorder="1" applyAlignment="1">
      <alignment vertical="center"/>
    </xf>
    <xf numFmtId="3" fontId="22" fillId="0" borderId="68" xfId="8" applyNumberFormat="1" applyFont="1" applyFill="1" applyBorder="1" applyAlignment="1">
      <alignment vertical="center"/>
    </xf>
    <xf numFmtId="3" fontId="22" fillId="8" borderId="68" xfId="8" applyNumberFormat="1" applyFont="1" applyFill="1" applyBorder="1" applyAlignment="1">
      <alignment vertical="center"/>
    </xf>
    <xf numFmtId="3" fontId="22" fillId="0" borderId="13" xfId="8" applyNumberFormat="1" applyFont="1" applyFill="1" applyBorder="1" applyAlignment="1">
      <alignment vertical="center"/>
    </xf>
    <xf numFmtId="3" fontId="22" fillId="0" borderId="202" xfId="8" applyNumberFormat="1" applyFont="1" applyFill="1" applyBorder="1" applyAlignment="1">
      <alignment vertical="center"/>
    </xf>
    <xf numFmtId="0" fontId="22" fillId="0" borderId="0" xfId="8" applyFont="1" applyFill="1" applyBorder="1"/>
    <xf numFmtId="0" fontId="2" fillId="0" borderId="14" xfId="8" applyFont="1" applyFill="1" applyBorder="1" applyAlignment="1">
      <alignment vertical="center"/>
    </xf>
    <xf numFmtId="0" fontId="2" fillId="0" borderId="15" xfId="8" applyFont="1" applyFill="1" applyBorder="1" applyAlignment="1">
      <alignment vertical="center"/>
    </xf>
    <xf numFmtId="0" fontId="3" fillId="0" borderId="14" xfId="6" applyFont="1" applyBorder="1" applyAlignment="1">
      <alignment horizontal="center"/>
    </xf>
    <xf numFmtId="0" fontId="3" fillId="0" borderId="100" xfId="8" applyFont="1" applyFill="1" applyBorder="1" applyAlignment="1">
      <alignment vertical="center" wrapText="1"/>
    </xf>
    <xf numFmtId="0" fontId="3" fillId="0" borderId="14" xfId="8" applyFont="1" applyFill="1" applyBorder="1"/>
    <xf numFmtId="0" fontId="3" fillId="0" borderId="68" xfId="8" applyFont="1" applyFill="1" applyBorder="1" applyAlignment="1">
      <alignment wrapText="1"/>
    </xf>
    <xf numFmtId="0" fontId="2" fillId="0" borderId="203" xfId="8" applyFont="1" applyFill="1" applyBorder="1"/>
    <xf numFmtId="0" fontId="2" fillId="0" borderId="1" xfId="8" applyFont="1" applyFill="1" applyBorder="1"/>
    <xf numFmtId="0" fontId="3" fillId="0" borderId="1" xfId="6" applyFont="1" applyBorder="1" applyAlignment="1">
      <alignment horizontal="center"/>
    </xf>
    <xf numFmtId="0" fontId="2" fillId="0" borderId="8" xfId="8" applyFont="1" applyFill="1" applyBorder="1" applyAlignment="1">
      <alignment horizontal="right" vertical="center"/>
    </xf>
    <xf numFmtId="0" fontId="2" fillId="0" borderId="9" xfId="8" applyFont="1" applyFill="1" applyBorder="1" applyAlignment="1">
      <alignment horizontal="right" vertical="center"/>
    </xf>
    <xf numFmtId="3" fontId="2" fillId="8" borderId="100" xfId="8" applyNumberFormat="1" applyFont="1" applyFill="1" applyBorder="1" applyAlignment="1">
      <alignment vertical="center"/>
    </xf>
    <xf numFmtId="3" fontId="2" fillId="0" borderId="101" xfId="8" applyNumberFormat="1" applyFont="1" applyFill="1" applyBorder="1" applyAlignment="1">
      <alignment vertical="center"/>
    </xf>
    <xf numFmtId="3" fontId="2" fillId="0" borderId="215" xfId="8" applyNumberFormat="1" applyFont="1" applyFill="1" applyBorder="1" applyAlignment="1">
      <alignment vertical="center"/>
    </xf>
    <xf numFmtId="0" fontId="3" fillId="0" borderId="15" xfId="8" applyFont="1" applyFill="1" applyBorder="1"/>
    <xf numFmtId="3" fontId="3" fillId="0" borderId="0" xfId="8" applyNumberFormat="1" applyFont="1" applyFill="1" applyBorder="1"/>
    <xf numFmtId="0" fontId="2" fillId="0" borderId="201" xfId="8" applyFont="1" applyFill="1" applyBorder="1"/>
    <xf numFmtId="0" fontId="2" fillId="0" borderId="14" xfId="8" applyFont="1" applyFill="1" applyBorder="1"/>
    <xf numFmtId="0" fontId="2" fillId="0" borderId="15" xfId="8" applyFont="1" applyFill="1" applyBorder="1"/>
    <xf numFmtId="0" fontId="2" fillId="0" borderId="68" xfId="8" applyFont="1" applyFill="1" applyBorder="1" applyAlignment="1">
      <alignment horizontal="left" wrapText="1"/>
    </xf>
    <xf numFmtId="0" fontId="2" fillId="0" borderId="210" xfId="8" applyFont="1" applyFill="1" applyBorder="1"/>
    <xf numFmtId="0" fontId="2" fillId="0" borderId="3" xfId="8" applyFont="1" applyFill="1" applyBorder="1"/>
    <xf numFmtId="0" fontId="2" fillId="0" borderId="4" xfId="8" applyFont="1" applyFill="1" applyBorder="1"/>
    <xf numFmtId="3" fontId="34" fillId="11" borderId="12" xfId="8" applyNumberFormat="1" applyFont="1" applyFill="1" applyBorder="1" applyAlignment="1">
      <alignment horizontal="right" vertical="center"/>
    </xf>
    <xf numFmtId="3" fontId="34" fillId="8" borderId="12" xfId="8" applyNumberFormat="1" applyFont="1" applyFill="1" applyBorder="1" applyAlignment="1">
      <alignment horizontal="right" vertical="center"/>
    </xf>
    <xf numFmtId="3" fontId="34" fillId="11" borderId="2" xfId="8" applyNumberFormat="1" applyFont="1" applyFill="1" applyBorder="1" applyAlignment="1">
      <alignment horizontal="right" vertical="center"/>
    </xf>
    <xf numFmtId="3" fontId="34" fillId="11" borderId="214" xfId="8" applyNumberFormat="1" applyFont="1" applyFill="1" applyBorder="1" applyAlignment="1">
      <alignment horizontal="right" vertical="center"/>
    </xf>
    <xf numFmtId="3" fontId="2" fillId="0" borderId="12" xfId="8" applyNumberFormat="1" applyFont="1" applyFill="1" applyBorder="1" applyAlignment="1">
      <alignment horizontal="right" vertical="center"/>
    </xf>
    <xf numFmtId="3" fontId="2" fillId="8" borderId="12" xfId="8" applyNumberFormat="1" applyFont="1" applyFill="1" applyBorder="1" applyAlignment="1">
      <alignment horizontal="right" vertical="center"/>
    </xf>
    <xf numFmtId="3" fontId="2" fillId="0" borderId="2" xfId="8" applyNumberFormat="1" applyFont="1" applyFill="1" applyBorder="1" applyAlignment="1">
      <alignment horizontal="right" vertical="center"/>
    </xf>
    <xf numFmtId="3" fontId="2" fillId="0" borderId="214" xfId="8" applyNumberFormat="1" applyFont="1" applyFill="1" applyBorder="1" applyAlignment="1">
      <alignment horizontal="right" vertical="center"/>
    </xf>
    <xf numFmtId="0" fontId="33" fillId="13" borderId="68" xfId="8" applyFont="1" applyFill="1" applyBorder="1" applyAlignment="1">
      <alignment wrapText="1"/>
    </xf>
    <xf numFmtId="3" fontId="33" fillId="13" borderId="12" xfId="8" applyNumberFormat="1" applyFont="1" applyFill="1" applyBorder="1" applyAlignment="1">
      <alignment horizontal="right" vertical="center"/>
    </xf>
    <xf numFmtId="3" fontId="33" fillId="8" borderId="12" xfId="8" applyNumberFormat="1" applyFont="1" applyFill="1" applyBorder="1" applyAlignment="1">
      <alignment horizontal="right" vertical="center"/>
    </xf>
    <xf numFmtId="3" fontId="33" fillId="13" borderId="2" xfId="8" applyNumberFormat="1" applyFont="1" applyFill="1" applyBorder="1" applyAlignment="1">
      <alignment horizontal="right" vertical="center"/>
    </xf>
    <xf numFmtId="3" fontId="33" fillId="13" borderId="214" xfId="8" applyNumberFormat="1" applyFont="1" applyFill="1" applyBorder="1" applyAlignment="1">
      <alignment horizontal="right" vertical="center"/>
    </xf>
    <xf numFmtId="3" fontId="3" fillId="0" borderId="12" xfId="8" applyNumberFormat="1" applyFont="1" applyFill="1" applyBorder="1" applyAlignment="1">
      <alignment horizontal="right" vertical="center"/>
    </xf>
    <xf numFmtId="3" fontId="3" fillId="8" borderId="12" xfId="8" applyNumberFormat="1" applyFont="1" applyFill="1" applyBorder="1" applyAlignment="1">
      <alignment horizontal="right" vertical="center"/>
    </xf>
    <xf numFmtId="3" fontId="3" fillId="0" borderId="2" xfId="8" applyNumberFormat="1" applyFont="1" applyFill="1" applyBorder="1" applyAlignment="1">
      <alignment horizontal="right" vertical="center"/>
    </xf>
    <xf numFmtId="3" fontId="3" fillId="0" borderId="214" xfId="8" applyNumberFormat="1" applyFont="1" applyFill="1" applyBorder="1" applyAlignment="1">
      <alignment horizontal="right" vertical="center"/>
    </xf>
    <xf numFmtId="0" fontId="2" fillId="0" borderId="68" xfId="8" applyFont="1" applyFill="1" applyBorder="1" applyAlignment="1">
      <alignment horizontal="right" wrapText="1"/>
    </xf>
    <xf numFmtId="3" fontId="3" fillId="0" borderId="219" xfId="8" applyNumberFormat="1" applyFont="1" applyFill="1" applyBorder="1" applyAlignment="1">
      <alignment vertical="center"/>
    </xf>
    <xf numFmtId="3" fontId="3" fillId="8" borderId="219" xfId="8" applyNumberFormat="1" applyFont="1" applyFill="1" applyBorder="1" applyAlignment="1">
      <alignment vertical="center"/>
    </xf>
    <xf numFmtId="3" fontId="3" fillId="0" borderId="220" xfId="8" applyNumberFormat="1" applyFont="1" applyFill="1" applyBorder="1" applyAlignment="1">
      <alignment vertical="center"/>
    </xf>
    <xf numFmtId="3" fontId="3" fillId="0" borderId="221" xfId="8" applyNumberFormat="1" applyFont="1" applyFill="1" applyBorder="1" applyAlignment="1">
      <alignment vertical="center"/>
    </xf>
    <xf numFmtId="3" fontId="3" fillId="0" borderId="223" xfId="8" applyNumberFormat="1" applyFont="1" applyFill="1" applyBorder="1" applyAlignment="1">
      <alignment vertical="center"/>
    </xf>
    <xf numFmtId="3" fontId="3" fillId="8" borderId="223" xfId="8" applyNumberFormat="1" applyFont="1" applyFill="1" applyBorder="1" applyAlignment="1">
      <alignment vertical="center"/>
    </xf>
    <xf numFmtId="3" fontId="3" fillId="0" borderId="109" xfId="8" applyNumberFormat="1" applyFont="1" applyFill="1" applyBorder="1" applyAlignment="1">
      <alignment vertical="center"/>
    </xf>
    <xf numFmtId="3" fontId="3" fillId="0" borderId="224" xfId="8" applyNumberFormat="1" applyFont="1" applyFill="1" applyBorder="1" applyAlignment="1">
      <alignment vertical="center"/>
    </xf>
    <xf numFmtId="0" fontId="3" fillId="0" borderId="14" xfId="8" applyFont="1" applyFill="1" applyBorder="1" applyAlignment="1">
      <alignment horizontal="left" vertical="center"/>
    </xf>
    <xf numFmtId="0" fontId="30" fillId="0" borderId="0" xfId="8" applyFont="1" applyFill="1" applyAlignment="1">
      <alignment horizontal="center"/>
    </xf>
    <xf numFmtId="0" fontId="2" fillId="0" borderId="145" xfId="8" applyFont="1" applyFill="1" applyBorder="1" applyAlignment="1">
      <alignment horizontal="center" vertical="center" wrapText="1"/>
    </xf>
    <xf numFmtId="0" fontId="2" fillId="0" borderId="150" xfId="8" applyFont="1" applyFill="1" applyBorder="1" applyAlignment="1">
      <alignment horizontal="center" vertical="center" wrapText="1"/>
    </xf>
    <xf numFmtId="0" fontId="7" fillId="0" borderId="198" xfId="8" applyFont="1" applyFill="1" applyBorder="1" applyAlignment="1">
      <alignment horizontal="center" vertical="center" wrapText="1"/>
    </xf>
    <xf numFmtId="0" fontId="7" fillId="0" borderId="40" xfId="8" applyFont="1" applyFill="1" applyBorder="1" applyAlignment="1">
      <alignment horizontal="center" vertical="center" wrapText="1"/>
    </xf>
    <xf numFmtId="0" fontId="7" fillId="0" borderId="39" xfId="8" applyFont="1" applyFill="1" applyBorder="1" applyAlignment="1">
      <alignment horizontal="center" vertical="center" wrapText="1"/>
    </xf>
    <xf numFmtId="0" fontId="32" fillId="10" borderId="143" xfId="8" applyFont="1" applyFill="1" applyBorder="1" applyAlignment="1">
      <alignment horizontal="center" vertical="center" wrapText="1"/>
    </xf>
    <xf numFmtId="0" fontId="32" fillId="10" borderId="0" xfId="8" applyFont="1" applyFill="1" applyBorder="1" applyAlignment="1">
      <alignment horizontal="center" vertical="center" wrapText="1"/>
    </xf>
    <xf numFmtId="0" fontId="32" fillId="10" borderId="6" xfId="8" applyFont="1" applyFill="1" applyBorder="1" applyAlignment="1">
      <alignment horizontal="center" vertical="center" wrapText="1"/>
    </xf>
    <xf numFmtId="0" fontId="33" fillId="12" borderId="201" xfId="8" applyFont="1" applyFill="1" applyBorder="1" applyAlignment="1">
      <alignment horizontal="left" vertical="center"/>
    </xf>
    <xf numFmtId="0" fontId="33" fillId="12" borderId="14" xfId="8" applyFont="1" applyFill="1" applyBorder="1" applyAlignment="1">
      <alignment horizontal="left" vertical="center"/>
    </xf>
    <xf numFmtId="0" fontId="2" fillId="0" borderId="14" xfId="8" applyFont="1" applyFill="1" applyBorder="1" applyAlignment="1">
      <alignment horizontal="center" vertical="center"/>
    </xf>
    <xf numFmtId="0" fontId="2" fillId="0" borderId="1" xfId="8" applyFont="1" applyFill="1" applyBorder="1" applyAlignment="1">
      <alignment horizontal="center" vertical="center"/>
    </xf>
    <xf numFmtId="0" fontId="2" fillId="0" borderId="7" xfId="8" applyFont="1" applyFill="1" applyBorder="1" applyAlignment="1">
      <alignment horizontal="right" vertical="center"/>
    </xf>
    <xf numFmtId="0" fontId="2" fillId="0" borderId="97" xfId="8" applyFont="1" applyFill="1" applyBorder="1" applyAlignment="1">
      <alignment horizontal="right" vertical="center" wrapText="1"/>
    </xf>
    <xf numFmtId="0" fontId="2" fillId="0" borderId="97" xfId="8" applyFont="1" applyFill="1" applyBorder="1" applyAlignment="1">
      <alignment horizontal="right" vertical="center"/>
    </xf>
    <xf numFmtId="0" fontId="2" fillId="0" borderId="7" xfId="8" applyFont="1" applyFill="1" applyBorder="1" applyAlignment="1">
      <alignment horizontal="right" vertical="center" wrapText="1"/>
    </xf>
    <xf numFmtId="0" fontId="2" fillId="0" borderId="0" xfId="8" applyFont="1" applyFill="1" applyBorder="1" applyAlignment="1">
      <alignment horizontal="center" vertical="center"/>
    </xf>
    <xf numFmtId="0" fontId="3" fillId="0" borderId="3" xfId="8" applyFont="1" applyFill="1" applyBorder="1" applyAlignment="1">
      <alignment horizontal="left"/>
    </xf>
    <xf numFmtId="0" fontId="3" fillId="0" borderId="4" xfId="8" applyFont="1" applyFill="1" applyBorder="1" applyAlignment="1">
      <alignment horizontal="left"/>
    </xf>
    <xf numFmtId="0" fontId="2" fillId="0" borderId="14" xfId="8" applyFont="1" applyFill="1" applyBorder="1" applyAlignment="1">
      <alignment horizontal="center"/>
    </xf>
    <xf numFmtId="0" fontId="2" fillId="0" borderId="15" xfId="8" applyFont="1" applyFill="1" applyBorder="1" applyAlignment="1">
      <alignment horizontal="center"/>
    </xf>
    <xf numFmtId="0" fontId="2" fillId="0" borderId="3" xfId="8" applyFont="1" applyFill="1" applyBorder="1" applyAlignment="1">
      <alignment horizontal="center" vertical="center"/>
    </xf>
    <xf numFmtId="0" fontId="2" fillId="0" borderId="8" xfId="8" applyFont="1" applyFill="1" applyBorder="1" applyAlignment="1">
      <alignment horizontal="right" vertical="center"/>
    </xf>
    <xf numFmtId="0" fontId="2" fillId="0" borderId="67" xfId="8" applyFont="1" applyFill="1" applyBorder="1" applyAlignment="1">
      <alignment horizontal="center" vertical="center"/>
    </xf>
    <xf numFmtId="0" fontId="3" fillId="0" borderId="3" xfId="8" applyFont="1" applyFill="1" applyBorder="1" applyAlignment="1">
      <alignment horizontal="left" vertical="top"/>
    </xf>
    <xf numFmtId="0" fontId="3" fillId="0" borderId="4" xfId="8" applyFont="1" applyFill="1" applyBorder="1" applyAlignment="1">
      <alignment horizontal="left" vertical="top"/>
    </xf>
    <xf numFmtId="0" fontId="2" fillId="0" borderId="14" xfId="8" applyFont="1" applyFill="1" applyBorder="1" applyAlignment="1">
      <alignment horizontal="center" vertical="top"/>
    </xf>
    <xf numFmtId="0" fontId="2" fillId="0" borderId="15" xfId="8" applyFont="1" applyFill="1" applyBorder="1" applyAlignment="1">
      <alignment horizontal="center" vertical="top"/>
    </xf>
    <xf numFmtId="0" fontId="2" fillId="0" borderId="67" xfId="8" applyFont="1" applyFill="1" applyBorder="1" applyAlignment="1">
      <alignment horizontal="right" vertical="center"/>
    </xf>
    <xf numFmtId="0" fontId="2" fillId="0" borderId="66" xfId="8" applyFont="1" applyFill="1" applyBorder="1" applyAlignment="1">
      <alignment horizontal="right" vertical="center"/>
    </xf>
    <xf numFmtId="0" fontId="2" fillId="0" borderId="96" xfId="8" applyFont="1" applyFill="1" applyBorder="1" applyAlignment="1">
      <alignment horizontal="right" vertical="center"/>
    </xf>
    <xf numFmtId="0" fontId="2" fillId="0" borderId="78" xfId="8" applyFont="1" applyFill="1" applyBorder="1" applyAlignment="1">
      <alignment horizontal="right" vertical="center"/>
    </xf>
    <xf numFmtId="0" fontId="3" fillId="0" borderId="15" xfId="8" applyFont="1" applyFill="1" applyBorder="1" applyAlignment="1">
      <alignment horizontal="left" vertical="center"/>
    </xf>
    <xf numFmtId="0" fontId="33" fillId="12" borderId="15" xfId="8" applyFont="1" applyFill="1" applyBorder="1" applyAlignment="1">
      <alignment horizontal="left" vertical="center"/>
    </xf>
    <xf numFmtId="0" fontId="2" fillId="0" borderId="15" xfId="8" applyFont="1" applyFill="1" applyBorder="1" applyAlignment="1">
      <alignment horizontal="center" vertical="center"/>
    </xf>
    <xf numFmtId="0" fontId="2" fillId="0" borderId="9" xfId="8" applyFont="1" applyFill="1" applyBorder="1" applyAlignment="1">
      <alignment horizontal="right" vertical="center"/>
    </xf>
    <xf numFmtId="0" fontId="2" fillId="0" borderId="14" xfId="8" applyFont="1" applyFill="1" applyBorder="1" applyAlignment="1">
      <alignment horizontal="right" vertical="center"/>
    </xf>
    <xf numFmtId="0" fontId="2" fillId="0" borderId="15" xfId="8" applyFont="1" applyFill="1" applyBorder="1" applyAlignment="1">
      <alignment horizontal="right" vertical="center"/>
    </xf>
    <xf numFmtId="0" fontId="2" fillId="0" borderId="99" xfId="8" applyFont="1" applyFill="1" applyBorder="1" applyAlignment="1">
      <alignment horizontal="right" vertical="center"/>
    </xf>
    <xf numFmtId="0" fontId="22" fillId="0" borderId="201" xfId="8" applyFont="1" applyFill="1" applyBorder="1" applyAlignment="1">
      <alignment horizontal="center" vertical="center" wrapText="1"/>
    </xf>
    <xf numFmtId="0" fontId="22" fillId="0" borderId="14" xfId="8" applyFont="1" applyFill="1" applyBorder="1" applyAlignment="1">
      <alignment horizontal="center" vertical="center" wrapText="1"/>
    </xf>
    <xf numFmtId="0" fontId="22" fillId="0" borderId="15" xfId="8" applyFont="1" applyFill="1" applyBorder="1" applyAlignment="1">
      <alignment horizontal="center" vertical="center" wrapText="1"/>
    </xf>
    <xf numFmtId="0" fontId="3" fillId="0" borderId="14" xfId="6" applyFont="1" applyBorder="1" applyAlignment="1">
      <alignment horizontal="center"/>
    </xf>
    <xf numFmtId="0" fontId="3" fillId="0" borderId="15" xfId="6" applyFont="1" applyBorder="1" applyAlignment="1">
      <alignment horizontal="center"/>
    </xf>
    <xf numFmtId="0" fontId="3" fillId="0" borderId="139" xfId="8" applyFont="1" applyFill="1" applyBorder="1" applyAlignment="1">
      <alignment horizontal="center"/>
    </xf>
    <xf numFmtId="0" fontId="3" fillId="0" borderId="140" xfId="8" applyFont="1" applyFill="1" applyBorder="1" applyAlignment="1">
      <alignment horizontal="center"/>
    </xf>
    <xf numFmtId="0" fontId="3" fillId="0" borderId="222" xfId="8" applyFont="1" applyFill="1" applyBorder="1" applyAlignment="1">
      <alignment horizontal="center"/>
    </xf>
    <xf numFmtId="49" fontId="2" fillId="0" borderId="0" xfId="8" applyNumberFormat="1" applyFont="1" applyFill="1" applyAlignment="1">
      <alignment horizontal="left"/>
    </xf>
    <xf numFmtId="0" fontId="34" fillId="11" borderId="201" xfId="8" applyFont="1" applyFill="1" applyBorder="1" applyAlignment="1">
      <alignment horizontal="center"/>
    </xf>
    <xf numFmtId="0" fontId="34" fillId="11" borderId="14" xfId="8" applyFont="1" applyFill="1" applyBorder="1" applyAlignment="1">
      <alignment horizontal="center"/>
    </xf>
    <xf numFmtId="0" fontId="34" fillId="11" borderId="15" xfId="8" applyFont="1" applyFill="1" applyBorder="1" applyAlignment="1">
      <alignment horizontal="center"/>
    </xf>
    <xf numFmtId="0" fontId="33" fillId="13" borderId="201" xfId="8" applyFont="1" applyFill="1" applyBorder="1" applyAlignment="1">
      <alignment horizontal="center"/>
    </xf>
    <xf numFmtId="0" fontId="33" fillId="13" borderId="14" xfId="8" applyFont="1" applyFill="1" applyBorder="1" applyAlignment="1">
      <alignment horizontal="center"/>
    </xf>
    <xf numFmtId="0" fontId="33" fillId="13" borderId="15" xfId="8" applyFont="1" applyFill="1" applyBorder="1" applyAlignment="1">
      <alignment horizontal="center"/>
    </xf>
    <xf numFmtId="0" fontId="3" fillId="0" borderId="216" xfId="8" applyFont="1" applyFill="1" applyBorder="1" applyAlignment="1">
      <alignment horizontal="center" vertical="center" wrapText="1"/>
    </xf>
    <xf numFmtId="0" fontId="3" fillId="0" borderId="217" xfId="8" applyFont="1" applyFill="1" applyBorder="1" applyAlignment="1">
      <alignment horizontal="center" vertical="center" wrapText="1"/>
    </xf>
    <xf numFmtId="0" fontId="3" fillId="0" borderId="218" xfId="8" applyFont="1" applyFill="1" applyBorder="1" applyAlignment="1">
      <alignment horizontal="center" vertical="center" wrapText="1"/>
    </xf>
    <xf numFmtId="0" fontId="2" fillId="0" borderId="146" xfId="6" applyFont="1" applyFill="1" applyBorder="1" applyAlignment="1">
      <alignment horizontal="center" vertical="center" textRotation="90" wrapText="1"/>
    </xf>
    <xf numFmtId="0" fontId="2" fillId="0" borderId="34" xfId="6" applyFont="1" applyFill="1" applyBorder="1" applyAlignment="1">
      <alignment horizontal="center" vertical="center" textRotation="90" wrapText="1"/>
    </xf>
    <xf numFmtId="0" fontId="2" fillId="0" borderId="147" xfId="6" applyFont="1" applyFill="1" applyBorder="1" applyAlignment="1">
      <alignment horizontal="center" vertical="center" wrapText="1"/>
    </xf>
    <xf numFmtId="0" fontId="2" fillId="0" borderId="148" xfId="6" applyFont="1" applyFill="1" applyBorder="1" applyAlignment="1">
      <alignment horizontal="center" vertical="center" wrapText="1"/>
    </xf>
    <xf numFmtId="0" fontId="2" fillId="0" borderId="123" xfId="6" applyFont="1" applyFill="1" applyBorder="1" applyAlignment="1">
      <alignment horizontal="center" vertical="center" wrapText="1"/>
    </xf>
    <xf numFmtId="0" fontId="2" fillId="0" borderId="149" xfId="6" applyFont="1" applyFill="1" applyBorder="1" applyAlignment="1">
      <alignment horizontal="center" vertical="center" wrapText="1"/>
    </xf>
    <xf numFmtId="0" fontId="10" fillId="0" borderId="0" xfId="6" applyFont="1" applyFill="1" applyBorder="1" applyAlignment="1">
      <alignment horizontal="center" vertical="center" wrapText="1"/>
    </xf>
    <xf numFmtId="0" fontId="2" fillId="0" borderId="135" xfId="6" applyFont="1" applyFill="1" applyBorder="1" applyAlignment="1">
      <alignment horizontal="center" vertical="center" wrapText="1"/>
    </xf>
    <xf numFmtId="0" fontId="2" fillId="0" borderId="142" xfId="6" applyFont="1" applyFill="1" applyBorder="1" applyAlignment="1">
      <alignment horizontal="center" vertical="center" wrapText="1"/>
    </xf>
    <xf numFmtId="0" fontId="2" fillId="0" borderId="136" xfId="6" applyFont="1" applyFill="1" applyBorder="1" applyAlignment="1">
      <alignment horizontal="center" vertical="center" wrapText="1"/>
    </xf>
    <xf numFmtId="0" fontId="2" fillId="0" borderId="137" xfId="6" applyFont="1" applyFill="1" applyBorder="1" applyAlignment="1">
      <alignment horizontal="center" vertical="center" wrapText="1"/>
    </xf>
    <xf numFmtId="0" fontId="2" fillId="0" borderId="143" xfId="6" applyFont="1" applyFill="1" applyBorder="1" applyAlignment="1">
      <alignment horizontal="center" vertical="center" wrapText="1"/>
    </xf>
    <xf numFmtId="0" fontId="2" fillId="0" borderId="0" xfId="6" applyFont="1" applyFill="1" applyBorder="1" applyAlignment="1">
      <alignment horizontal="center" vertical="center" wrapText="1"/>
    </xf>
    <xf numFmtId="0" fontId="2" fillId="0" borderId="6" xfId="6" applyFont="1" applyFill="1" applyBorder="1" applyAlignment="1">
      <alignment horizontal="center" vertical="center" wrapText="1"/>
    </xf>
    <xf numFmtId="0" fontId="2" fillId="0" borderId="138" xfId="6" applyFont="1" applyFill="1" applyBorder="1" applyAlignment="1">
      <alignment horizontal="center" vertical="center" wrapText="1"/>
    </xf>
    <xf numFmtId="0" fontId="2" fillId="0" borderId="144" xfId="6" applyFont="1" applyFill="1" applyBorder="1" applyAlignment="1">
      <alignment horizontal="center" vertical="center" wrapText="1"/>
    </xf>
    <xf numFmtId="0" fontId="2" fillId="0" borderId="154" xfId="6" applyFont="1" applyFill="1" applyBorder="1" applyAlignment="1">
      <alignment horizontal="center" vertical="center" wrapText="1"/>
    </xf>
    <xf numFmtId="0" fontId="2" fillId="0" borderId="139" xfId="6" applyFont="1" applyFill="1" applyBorder="1" applyAlignment="1">
      <alignment horizontal="center" vertical="center" wrapText="1"/>
    </xf>
    <xf numFmtId="0" fontId="2" fillId="0" borderId="140" xfId="6" applyFont="1" applyFill="1" applyBorder="1"/>
    <xf numFmtId="49" fontId="2" fillId="0" borderId="141" xfId="6" applyNumberFormat="1" applyFont="1" applyFill="1" applyBorder="1" applyAlignment="1">
      <alignment horizontal="center" vertical="center" textRotation="90" wrapText="1"/>
    </xf>
    <xf numFmtId="49" fontId="2" fillId="0" borderId="153" xfId="6" applyNumberFormat="1" applyFont="1" applyFill="1" applyBorder="1" applyAlignment="1">
      <alignment horizontal="center" vertical="center" textRotation="90" wrapText="1"/>
    </xf>
    <xf numFmtId="49" fontId="2" fillId="0" borderId="156" xfId="6" applyNumberFormat="1" applyFont="1" applyFill="1" applyBorder="1" applyAlignment="1">
      <alignment horizontal="center" vertical="center" textRotation="90" wrapText="1"/>
    </xf>
    <xf numFmtId="0" fontId="3" fillId="0" borderId="145" xfId="6" applyFont="1" applyFill="1" applyBorder="1" applyAlignment="1">
      <alignment horizontal="center" vertical="center" textRotation="90" wrapText="1"/>
    </xf>
    <xf numFmtId="0" fontId="3" fillId="0" borderId="155" xfId="6" applyFont="1" applyFill="1" applyBorder="1" applyAlignment="1">
      <alignment horizontal="center" vertical="center" textRotation="90" wrapText="1"/>
    </xf>
    <xf numFmtId="0" fontId="5" fillId="0" borderId="8" xfId="6" applyFont="1" applyFill="1" applyBorder="1" applyAlignment="1">
      <alignment horizontal="left" vertical="center" wrapText="1"/>
    </xf>
    <xf numFmtId="0" fontId="5" fillId="0" borderId="9" xfId="6" applyFont="1" applyFill="1" applyBorder="1" applyAlignment="1">
      <alignment horizontal="left" vertical="center" wrapText="1"/>
    </xf>
    <xf numFmtId="49" fontId="2" fillId="0" borderId="110" xfId="6" applyNumberFormat="1" applyFont="1" applyFill="1" applyBorder="1" applyAlignment="1">
      <alignment horizontal="center" vertical="center" wrapText="1"/>
    </xf>
    <xf numFmtId="49" fontId="2" fillId="0" borderId="111" xfId="6" applyNumberFormat="1" applyFont="1" applyFill="1" applyBorder="1" applyAlignment="1">
      <alignment horizontal="center" vertical="center" wrapText="1"/>
    </xf>
    <xf numFmtId="49" fontId="3" fillId="0" borderId="172" xfId="6" applyNumberFormat="1" applyFont="1" applyFill="1" applyBorder="1" applyAlignment="1">
      <alignment horizontal="center" vertical="center" wrapText="1"/>
    </xf>
    <xf numFmtId="0" fontId="5" fillId="0" borderId="93" xfId="6" applyFont="1" applyFill="1" applyBorder="1" applyAlignment="1">
      <alignment horizontal="left" vertical="center" wrapText="1"/>
    </xf>
    <xf numFmtId="0" fontId="5" fillId="0" borderId="92" xfId="6" applyFont="1" applyFill="1" applyBorder="1" applyAlignment="1">
      <alignment horizontal="left" vertical="center" wrapText="1"/>
    </xf>
    <xf numFmtId="0" fontId="2" fillId="0" borderId="151" xfId="6" applyFont="1" applyFill="1" applyBorder="1" applyAlignment="1">
      <alignment horizontal="center" vertical="center" textRotation="90" wrapText="1"/>
    </xf>
    <xf numFmtId="0" fontId="2" fillId="0" borderId="49" xfId="6" applyFont="1" applyFill="1" applyBorder="1" applyAlignment="1">
      <alignment horizontal="center" vertical="center" textRotation="90" wrapText="1"/>
    </xf>
    <xf numFmtId="0" fontId="2" fillId="0" borderId="152" xfId="6" applyFont="1" applyFill="1" applyBorder="1" applyAlignment="1">
      <alignment horizontal="center" vertical="center" wrapText="1"/>
    </xf>
    <xf numFmtId="0" fontId="7" fillId="0" borderId="158" xfId="6" applyFont="1" applyFill="1" applyBorder="1" applyAlignment="1">
      <alignment horizontal="center" vertical="center" wrapText="1"/>
    </xf>
    <xf numFmtId="0" fontId="7" fillId="0" borderId="121" xfId="6" applyFont="1" applyFill="1" applyBorder="1" applyAlignment="1">
      <alignment horizontal="center" vertical="center" wrapText="1"/>
    </xf>
    <xf numFmtId="0" fontId="7" fillId="0" borderId="119" xfId="6" applyFont="1" applyFill="1" applyBorder="1" applyAlignment="1">
      <alignment horizontal="center" vertical="center" wrapText="1"/>
    </xf>
    <xf numFmtId="0" fontId="2" fillId="0" borderId="163" xfId="6" applyFont="1" applyFill="1" applyBorder="1" applyAlignment="1">
      <alignment horizontal="center" vertical="center" wrapText="1"/>
    </xf>
    <xf numFmtId="0" fontId="2" fillId="0" borderId="164" xfId="6" applyFont="1" applyFill="1" applyBorder="1" applyAlignment="1">
      <alignment horizontal="center" vertical="center" wrapText="1"/>
    </xf>
    <xf numFmtId="0" fontId="2" fillId="0" borderId="165" xfId="6" applyFont="1" applyFill="1" applyBorder="1" applyAlignment="1">
      <alignment horizontal="center" vertical="center" wrapText="1"/>
    </xf>
    <xf numFmtId="49" fontId="3" fillId="0" borderId="171" xfId="6" applyNumberFormat="1" applyFont="1" applyFill="1" applyBorder="1" applyAlignment="1">
      <alignment horizontal="center" vertical="center" wrapText="1"/>
    </xf>
    <xf numFmtId="0" fontId="2" fillId="0" borderId="150" xfId="6" applyFont="1" applyFill="1" applyBorder="1" applyAlignment="1">
      <alignment horizontal="center" vertical="center" textRotation="90" wrapText="1"/>
    </xf>
    <xf numFmtId="0" fontId="2" fillId="0" borderId="18" xfId="6" applyFont="1" applyFill="1" applyBorder="1" applyAlignment="1">
      <alignment horizontal="center" vertical="center" textRotation="90" wrapText="1"/>
    </xf>
    <xf numFmtId="0" fontId="2" fillId="0" borderId="147" xfId="6" applyFont="1" applyFill="1" applyBorder="1" applyAlignment="1">
      <alignment horizontal="center" vertical="center" textRotation="90" wrapText="1"/>
    </xf>
    <xf numFmtId="0" fontId="2" fillId="0" borderId="35" xfId="6" applyFont="1" applyFill="1" applyBorder="1" applyAlignment="1">
      <alignment horizontal="center" vertical="center" textRotation="90" wrapText="1"/>
    </xf>
    <xf numFmtId="49" fontId="5" fillId="0" borderId="97" xfId="6" applyNumberFormat="1" applyFont="1" applyFill="1" applyBorder="1" applyAlignment="1">
      <alignment horizontal="left" vertical="center" wrapText="1"/>
    </xf>
    <xf numFmtId="49" fontId="5" fillId="0" borderId="99" xfId="6" applyNumberFormat="1" applyFont="1" applyFill="1" applyBorder="1" applyAlignment="1">
      <alignment horizontal="left" vertical="center" wrapText="1"/>
    </xf>
    <xf numFmtId="49" fontId="2" fillId="0" borderId="110" xfId="6" applyNumberFormat="1" applyFont="1" applyFill="1" applyBorder="1" applyAlignment="1">
      <alignment horizontal="left" vertical="center" wrapText="1"/>
    </xf>
    <xf numFmtId="49" fontId="2" fillId="0" borderId="111" xfId="6" applyNumberFormat="1" applyFont="1" applyFill="1" applyBorder="1" applyAlignment="1">
      <alignment horizontal="left" vertical="center" wrapText="1"/>
    </xf>
    <xf numFmtId="0" fontId="5" fillId="0" borderId="8" xfId="1" applyFont="1" applyFill="1" applyBorder="1" applyAlignment="1">
      <alignment horizontal="left" vertical="center" wrapText="1"/>
    </xf>
    <xf numFmtId="0" fontId="5" fillId="0" borderId="9" xfId="1" applyFont="1" applyFill="1" applyBorder="1" applyAlignment="1">
      <alignment horizontal="left" vertical="center" wrapText="1"/>
    </xf>
    <xf numFmtId="0" fontId="5" fillId="0" borderId="97" xfId="6" applyFont="1" applyFill="1" applyBorder="1" applyAlignment="1">
      <alignment horizontal="left" vertical="center" wrapText="1"/>
    </xf>
    <xf numFmtId="0" fontId="5" fillId="0" borderId="99" xfId="6" applyFont="1" applyFill="1" applyBorder="1" applyAlignment="1">
      <alignment horizontal="left" vertical="center" wrapText="1"/>
    </xf>
    <xf numFmtId="0" fontId="25" fillId="0" borderId="8" xfId="6" applyFont="1" applyFill="1" applyBorder="1" applyAlignment="1">
      <alignment horizontal="left" vertical="center" wrapText="1"/>
    </xf>
    <xf numFmtId="0" fontId="25" fillId="0" borderId="9" xfId="6" applyFont="1" applyFill="1" applyBorder="1" applyAlignment="1">
      <alignment horizontal="left" vertical="center" wrapText="1"/>
    </xf>
    <xf numFmtId="49" fontId="5" fillId="0" borderId="110" xfId="6" applyNumberFormat="1" applyFont="1" applyFill="1" applyBorder="1" applyAlignment="1">
      <alignment horizontal="left" vertical="center" wrapText="1"/>
    </xf>
    <xf numFmtId="49" fontId="5" fillId="0" borderId="111" xfId="6" applyNumberFormat="1" applyFont="1" applyFill="1" applyBorder="1" applyAlignment="1">
      <alignment horizontal="left" vertical="center" wrapText="1"/>
    </xf>
    <xf numFmtId="49" fontId="2" fillId="0" borderId="0" xfId="6" applyNumberFormat="1" applyFont="1" applyFill="1" applyBorder="1" applyAlignment="1">
      <alignment horizontal="left" vertical="center" wrapText="1"/>
    </xf>
    <xf numFmtId="49" fontId="2" fillId="0" borderId="6" xfId="6" applyNumberFormat="1" applyFont="1" applyFill="1" applyBorder="1" applyAlignment="1">
      <alignment horizontal="left" vertical="center" wrapText="1"/>
    </xf>
    <xf numFmtId="0" fontId="3" fillId="0" borderId="121" xfId="6" applyFont="1" applyFill="1" applyBorder="1" applyAlignment="1">
      <alignment horizontal="left" vertical="center" wrapText="1"/>
    </xf>
    <xf numFmtId="0" fontId="3" fillId="0" borderId="119" xfId="6" applyFont="1" applyFill="1" applyBorder="1" applyAlignment="1">
      <alignment horizontal="left" vertical="center" wrapText="1"/>
    </xf>
    <xf numFmtId="0" fontId="5" fillId="0" borderId="3" xfId="6" applyFont="1" applyFill="1" applyBorder="1" applyAlignment="1">
      <alignment horizontal="left" vertical="center" wrapText="1"/>
    </xf>
    <xf numFmtId="0" fontId="5" fillId="0" borderId="4" xfId="6" applyFont="1" applyFill="1" applyBorder="1" applyAlignment="1">
      <alignment horizontal="left" vertical="center" wrapText="1"/>
    </xf>
    <xf numFmtId="49" fontId="2" fillId="2" borderId="8" xfId="1" applyNumberFormat="1" applyFont="1" applyFill="1" applyBorder="1" applyAlignment="1" applyProtection="1">
      <alignment horizontal="center" vertical="center"/>
      <protection locked="0"/>
    </xf>
    <xf numFmtId="49" fontId="2" fillId="2" borderId="9" xfId="1" applyNumberFormat="1" applyFont="1" applyFill="1" applyBorder="1" applyAlignment="1" applyProtection="1">
      <alignment horizontal="center" vertical="center"/>
      <protection locked="0"/>
    </xf>
    <xf numFmtId="49" fontId="3" fillId="2" borderId="8" xfId="1" applyNumberFormat="1" applyFont="1" applyFill="1" applyBorder="1" applyAlignment="1" applyProtection="1">
      <alignment horizontal="center" vertical="center" wrapText="1"/>
      <protection locked="0"/>
    </xf>
    <xf numFmtId="49" fontId="3" fillId="2" borderId="9" xfId="1" applyNumberFormat="1" applyFont="1" applyFill="1" applyBorder="1" applyAlignment="1" applyProtection="1">
      <alignment horizontal="center" vertical="center" wrapText="1"/>
      <protection locked="0"/>
    </xf>
    <xf numFmtId="0" fontId="2" fillId="2" borderId="2" xfId="1" applyFont="1" applyFill="1" applyBorder="1" applyAlignment="1" applyProtection="1">
      <alignment horizontal="center" vertical="center"/>
    </xf>
    <xf numFmtId="0" fontId="2" fillId="2" borderId="3" xfId="1" applyFont="1" applyFill="1" applyBorder="1" applyAlignment="1" applyProtection="1">
      <alignment horizontal="center" vertical="center"/>
    </xf>
    <xf numFmtId="0" fontId="2" fillId="2" borderId="4" xfId="1" applyFont="1" applyFill="1" applyBorder="1" applyAlignment="1" applyProtection="1">
      <alignment horizontal="center" vertical="center"/>
    </xf>
    <xf numFmtId="49" fontId="4" fillId="2" borderId="5" xfId="1" applyNumberFormat="1" applyFont="1" applyFill="1" applyBorder="1" applyAlignment="1" applyProtection="1">
      <alignment horizontal="center" vertical="center"/>
    </xf>
    <xf numFmtId="49" fontId="4" fillId="2" borderId="0" xfId="1" applyNumberFormat="1" applyFont="1" applyFill="1" applyBorder="1" applyAlignment="1" applyProtection="1">
      <alignment horizontal="center" vertical="center"/>
    </xf>
    <xf numFmtId="49" fontId="4" fillId="2" borderId="6" xfId="1" applyNumberFormat="1" applyFont="1" applyFill="1" applyBorder="1" applyAlignment="1" applyProtection="1">
      <alignment horizontal="center" vertical="center"/>
    </xf>
    <xf numFmtId="0" fontId="2" fillId="0" borderId="4" xfId="1" applyFont="1" applyFill="1" applyBorder="1" applyAlignment="1" applyProtection="1">
      <alignment horizontal="center" vertical="center" textRotation="90" wrapText="1"/>
    </xf>
    <xf numFmtId="0" fontId="2" fillId="0" borderId="21" xfId="1" applyFont="1" applyFill="1" applyBorder="1" applyAlignment="1" applyProtection="1">
      <alignment horizontal="center" vertical="center" textRotation="90" wrapText="1"/>
    </xf>
    <xf numFmtId="0" fontId="2" fillId="0" borderId="3" xfId="1" applyFont="1" applyFill="1" applyBorder="1" applyAlignment="1" applyProtection="1">
      <alignment horizontal="center" vertical="center" textRotation="90" wrapText="1"/>
    </xf>
    <xf numFmtId="0" fontId="2" fillId="0" borderId="19" xfId="1" applyFont="1" applyFill="1" applyBorder="1" applyAlignment="1" applyProtection="1">
      <alignment horizontal="center" vertical="center" textRotation="90" wrapText="1"/>
    </xf>
    <xf numFmtId="0" fontId="2" fillId="0" borderId="17" xfId="1" applyFont="1" applyFill="1" applyBorder="1" applyAlignment="1" applyProtection="1">
      <alignment horizontal="center" vertical="center" textRotation="90" wrapText="1"/>
    </xf>
    <xf numFmtId="0" fontId="2" fillId="0" borderId="20" xfId="1" applyFont="1" applyFill="1" applyBorder="1" applyAlignment="1" applyProtection="1">
      <alignment horizontal="center" vertical="center" textRotation="90" wrapText="1"/>
    </xf>
    <xf numFmtId="49" fontId="2" fillId="2" borderId="1" xfId="1" applyNumberFormat="1" applyFont="1" applyFill="1" applyBorder="1" applyAlignment="1" applyProtection="1">
      <alignment horizontal="center" vertical="center"/>
      <protection locked="0"/>
    </xf>
    <xf numFmtId="49" fontId="2" fillId="2" borderId="11" xfId="1" applyNumberFormat="1" applyFont="1" applyFill="1" applyBorder="1" applyAlignment="1" applyProtection="1">
      <alignment horizontal="center" vertical="center"/>
      <protection locked="0"/>
    </xf>
    <xf numFmtId="49" fontId="2" fillId="0" borderId="12" xfId="1" applyNumberFormat="1" applyFont="1" applyFill="1" applyBorder="1" applyAlignment="1" applyProtection="1">
      <alignment horizontal="center" vertical="center" textRotation="90" wrapText="1"/>
    </xf>
    <xf numFmtId="49" fontId="2" fillId="0" borderId="16" xfId="1" applyNumberFormat="1" applyFont="1" applyFill="1" applyBorder="1" applyAlignment="1" applyProtection="1">
      <alignment horizontal="center" vertical="center" textRotation="90" wrapText="1"/>
    </xf>
    <xf numFmtId="0" fontId="2" fillId="0" borderId="18" xfId="1" applyFont="1" applyFill="1" applyBorder="1" applyAlignment="1" applyProtection="1">
      <alignment horizontal="center" vertical="center" wrapText="1"/>
    </xf>
    <xf numFmtId="49" fontId="2" fillId="0" borderId="12" xfId="1" applyNumberFormat="1" applyFont="1" applyFill="1" applyBorder="1" applyAlignment="1" applyProtection="1">
      <alignment horizontal="center" vertical="center" wrapText="1"/>
    </xf>
    <xf numFmtId="49" fontId="2" fillId="0" borderId="16" xfId="1" applyNumberFormat="1" applyFont="1" applyFill="1" applyBorder="1" applyAlignment="1" applyProtection="1">
      <alignment horizontal="center" vertical="center" wrapText="1"/>
    </xf>
    <xf numFmtId="49" fontId="2" fillId="0" borderId="18" xfId="1" applyNumberFormat="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xf>
    <xf numFmtId="49" fontId="2" fillId="0" borderId="14" xfId="1" applyNumberFormat="1" applyFont="1" applyFill="1" applyBorder="1" applyAlignment="1" applyProtection="1">
      <alignment horizontal="center" vertical="center"/>
    </xf>
    <xf numFmtId="49" fontId="2" fillId="0" borderId="15" xfId="1" applyNumberFormat="1" applyFont="1" applyFill="1" applyBorder="1" applyAlignment="1" applyProtection="1">
      <alignment horizontal="center" vertical="center"/>
    </xf>
    <xf numFmtId="0" fontId="2" fillId="0" borderId="12" xfId="1" applyFont="1" applyFill="1" applyBorder="1" applyAlignment="1" applyProtection="1">
      <alignment horizontal="center" vertical="center" textRotation="90"/>
    </xf>
    <xf numFmtId="0" fontId="2" fillId="0" borderId="18" xfId="1" applyFont="1" applyFill="1" applyBorder="1" applyAlignment="1" applyProtection="1">
      <alignment horizontal="center" vertical="center" textRotation="90"/>
    </xf>
    <xf numFmtId="0" fontId="2" fillId="0" borderId="107" xfId="1" applyFont="1" applyFill="1" applyBorder="1" applyAlignment="1" applyProtection="1">
      <alignment horizontal="center" vertical="center" textRotation="90" wrapText="1"/>
    </xf>
    <xf numFmtId="0" fontId="2" fillId="0" borderId="51" xfId="1" applyFont="1" applyFill="1" applyBorder="1" applyAlignment="1" applyProtection="1">
      <alignment horizontal="center" vertical="center" textRotation="90" wrapText="1"/>
    </xf>
    <xf numFmtId="0" fontId="2" fillId="0" borderId="12" xfId="1" applyFont="1" applyFill="1" applyBorder="1" applyAlignment="1" applyProtection="1">
      <alignment horizontal="center" vertical="center" textRotation="90" wrapText="1"/>
    </xf>
    <xf numFmtId="0" fontId="2" fillId="0" borderId="18" xfId="1" applyFont="1" applyFill="1" applyBorder="1" applyAlignment="1" applyProtection="1">
      <alignment horizontal="center" vertical="center" textRotation="90" wrapText="1"/>
    </xf>
    <xf numFmtId="49" fontId="4" fillId="2" borderId="2" xfId="1" applyNumberFormat="1" applyFont="1" applyFill="1" applyBorder="1" applyAlignment="1" applyProtection="1">
      <alignment horizontal="center" vertical="center"/>
    </xf>
    <xf numFmtId="49" fontId="4" fillId="2" borderId="3" xfId="1" applyNumberFormat="1" applyFont="1" applyFill="1" applyBorder="1" applyAlignment="1" applyProtection="1">
      <alignment horizontal="center" vertical="center"/>
    </xf>
    <xf numFmtId="49" fontId="4" fillId="2" borderId="4" xfId="1" applyNumberFormat="1" applyFont="1" applyFill="1" applyBorder="1" applyAlignment="1" applyProtection="1">
      <alignment horizontal="center" vertical="center"/>
    </xf>
    <xf numFmtId="0" fontId="2" fillId="0" borderId="2" xfId="1" applyFont="1" applyBorder="1" applyAlignment="1" applyProtection="1">
      <alignment horizontal="center" vertical="center"/>
    </xf>
    <xf numFmtId="0" fontId="2" fillId="0" borderId="3" xfId="1" applyFont="1" applyBorder="1" applyAlignment="1" applyProtection="1">
      <alignment horizontal="center" vertical="center"/>
    </xf>
    <xf numFmtId="0" fontId="2" fillId="0" borderId="4" xfId="1" applyFont="1" applyBorder="1" applyAlignment="1" applyProtection="1">
      <alignment horizontal="center" vertical="center"/>
    </xf>
    <xf numFmtId="49" fontId="3" fillId="2" borderId="8" xfId="1" applyNumberFormat="1" applyFont="1" applyFill="1" applyBorder="1" applyAlignment="1" applyProtection="1">
      <alignment horizontal="center" vertical="center"/>
      <protection locked="0"/>
    </xf>
    <xf numFmtId="0" fontId="2" fillId="0" borderId="128" xfId="1" applyFont="1" applyFill="1" applyBorder="1" applyAlignment="1" applyProtection="1">
      <alignment horizontal="center" vertical="center" textRotation="90" wrapText="1"/>
    </xf>
    <xf numFmtId="0" fontId="2" fillId="0" borderId="114" xfId="1" applyFont="1" applyFill="1" applyBorder="1" applyAlignment="1" applyProtection="1">
      <alignment horizontal="center" vertical="center" textRotation="90" wrapText="1"/>
    </xf>
    <xf numFmtId="0" fontId="2" fillId="6" borderId="17" xfId="1" applyFont="1" applyFill="1" applyBorder="1" applyAlignment="1" applyProtection="1">
      <alignment horizontal="center" vertical="center" textRotation="90" wrapText="1"/>
    </xf>
    <xf numFmtId="0" fontId="2" fillId="6" borderId="20" xfId="1" applyFont="1" applyFill="1" applyBorder="1" applyAlignment="1" applyProtection="1">
      <alignment horizontal="center" vertical="center" textRotation="90" wrapText="1"/>
    </xf>
    <xf numFmtId="49" fontId="2" fillId="2" borderId="8" xfId="1" applyNumberFormat="1" applyFont="1" applyFill="1" applyBorder="1" applyAlignment="1" applyProtection="1">
      <alignment horizontal="center" vertical="center" wrapText="1"/>
      <protection locked="0"/>
    </xf>
    <xf numFmtId="49" fontId="2" fillId="2" borderId="9" xfId="1" applyNumberFormat="1" applyFont="1" applyFill="1" applyBorder="1" applyAlignment="1" applyProtection="1">
      <alignment horizontal="center" vertical="center" wrapText="1"/>
      <protection locked="0"/>
    </xf>
    <xf numFmtId="0" fontId="2" fillId="0" borderId="8" xfId="1" applyFont="1" applyBorder="1" applyAlignment="1" applyProtection="1">
      <alignment horizontal="center" vertical="center"/>
      <protection locked="0"/>
    </xf>
    <xf numFmtId="0" fontId="2" fillId="0" borderId="9" xfId="1" applyFont="1" applyBorder="1" applyAlignment="1" applyProtection="1">
      <alignment horizontal="center" vertical="center"/>
      <protection locked="0"/>
    </xf>
    <xf numFmtId="0" fontId="2" fillId="0" borderId="16" xfId="1" applyFont="1" applyFill="1" applyBorder="1" applyAlignment="1" applyProtection="1">
      <alignment horizontal="center" vertical="center" wrapText="1"/>
    </xf>
    <xf numFmtId="49" fontId="2" fillId="0" borderId="61" xfId="1" applyNumberFormat="1" applyFont="1" applyFill="1" applyBorder="1" applyAlignment="1" applyProtection="1">
      <alignment horizontal="center" vertical="center"/>
    </xf>
    <xf numFmtId="49" fontId="2" fillId="0" borderId="67" xfId="1" applyNumberFormat="1" applyFont="1" applyFill="1" applyBorder="1" applyAlignment="1" applyProtection="1">
      <alignment horizontal="center" vertical="center"/>
    </xf>
    <xf numFmtId="49" fontId="2" fillId="0" borderId="66" xfId="1" applyNumberFormat="1" applyFont="1" applyFill="1" applyBorder="1" applyAlignment="1" applyProtection="1">
      <alignment horizontal="center" vertical="center"/>
    </xf>
    <xf numFmtId="49" fontId="2" fillId="0" borderId="4" xfId="1" applyNumberFormat="1" applyFont="1" applyFill="1" applyBorder="1" applyAlignment="1" applyProtection="1">
      <alignment horizontal="center" vertical="center" wrapText="1"/>
    </xf>
    <xf numFmtId="49" fontId="2" fillId="0" borderId="6" xfId="1" applyNumberFormat="1" applyFont="1" applyFill="1" applyBorder="1" applyAlignment="1" applyProtection="1">
      <alignment horizontal="center" vertical="center" wrapText="1"/>
    </xf>
    <xf numFmtId="49" fontId="2" fillId="0" borderId="21" xfId="1" applyNumberFormat="1" applyFont="1" applyFill="1" applyBorder="1" applyAlignment="1" applyProtection="1">
      <alignment horizontal="center" vertical="center" wrapText="1"/>
    </xf>
    <xf numFmtId="0" fontId="2" fillId="0" borderId="2" xfId="1" applyFont="1" applyFill="1" applyBorder="1" applyAlignment="1" applyProtection="1">
      <alignment horizontal="center" vertical="center" textRotation="90" wrapText="1"/>
    </xf>
    <xf numFmtId="0" fontId="2" fillId="0" borderId="49" xfId="1" applyFont="1" applyFill="1" applyBorder="1" applyAlignment="1" applyProtection="1">
      <alignment horizontal="center" vertical="center" textRotation="90" wrapText="1"/>
    </xf>
    <xf numFmtId="0" fontId="2" fillId="0" borderId="106" xfId="1" applyFont="1" applyFill="1" applyBorder="1" applyAlignment="1" applyProtection="1">
      <alignment horizontal="center" vertical="center" textRotation="90" wrapText="1"/>
    </xf>
    <xf numFmtId="0" fontId="2" fillId="0" borderId="50" xfId="1" applyFont="1" applyFill="1" applyBorder="1" applyAlignment="1" applyProtection="1">
      <alignment horizontal="center" vertical="center" textRotation="90" wrapText="1"/>
    </xf>
    <xf numFmtId="0" fontId="3" fillId="0" borderId="116" xfId="1" applyFont="1" applyFill="1" applyBorder="1" applyAlignment="1" applyProtection="1">
      <alignment horizontal="left" vertical="center"/>
    </xf>
    <xf numFmtId="0" fontId="3" fillId="0" borderId="117" xfId="1" applyFont="1" applyFill="1" applyBorder="1" applyAlignment="1" applyProtection="1">
      <alignment horizontal="left" vertical="center"/>
    </xf>
    <xf numFmtId="0" fontId="3" fillId="0" borderId="54" xfId="1" applyFont="1" applyFill="1" applyBorder="1" applyAlignment="1" applyProtection="1">
      <alignment horizontal="left" vertical="center"/>
    </xf>
    <xf numFmtId="0" fontId="3" fillId="0" borderId="56" xfId="1" applyFont="1" applyFill="1" applyBorder="1" applyAlignment="1" applyProtection="1">
      <alignment horizontal="left" vertical="center"/>
    </xf>
    <xf numFmtId="49" fontId="2" fillId="2" borderId="8" xfId="1" applyNumberFormat="1" applyFont="1" applyFill="1" applyBorder="1" applyAlignment="1" applyProtection="1">
      <alignment horizontal="center" vertical="top"/>
      <protection locked="0"/>
    </xf>
    <xf numFmtId="49" fontId="2" fillId="2" borderId="9" xfId="1" applyNumberFormat="1" applyFont="1" applyFill="1" applyBorder="1" applyAlignment="1" applyProtection="1">
      <alignment horizontal="center" vertical="top"/>
      <protection locked="0"/>
    </xf>
    <xf numFmtId="49" fontId="3" fillId="2" borderId="8" xfId="1" applyNumberFormat="1" applyFont="1" applyFill="1" applyBorder="1" applyAlignment="1" applyProtection="1">
      <alignment horizontal="center" vertical="top" wrapText="1"/>
      <protection locked="0"/>
    </xf>
    <xf numFmtId="49" fontId="3" fillId="2" borderId="9" xfId="1" applyNumberFormat="1" applyFont="1" applyFill="1" applyBorder="1" applyAlignment="1" applyProtection="1">
      <alignment horizontal="center" vertical="top" wrapText="1"/>
      <protection locked="0"/>
    </xf>
    <xf numFmtId="0" fontId="5" fillId="2" borderId="5" xfId="1" quotePrefix="1" applyFont="1" applyFill="1" applyBorder="1" applyAlignment="1" applyProtection="1">
      <alignment horizontal="left" vertical="center" wrapText="1"/>
      <protection locked="0"/>
    </xf>
    <xf numFmtId="0" fontId="5" fillId="2" borderId="0" xfId="1" quotePrefix="1" applyFont="1" applyFill="1" applyBorder="1" applyAlignment="1" applyProtection="1">
      <alignment horizontal="left" vertical="center" wrapText="1"/>
      <protection locked="0"/>
    </xf>
    <xf numFmtId="0" fontId="5" fillId="2" borderId="6" xfId="1" quotePrefix="1" applyFont="1" applyFill="1" applyBorder="1" applyAlignment="1" applyProtection="1">
      <alignment horizontal="left" vertical="center" wrapText="1"/>
      <protection locked="0"/>
    </xf>
    <xf numFmtId="0" fontId="2" fillId="2" borderId="5" xfId="1" applyFont="1" applyFill="1" applyBorder="1" applyAlignment="1" applyProtection="1">
      <alignment horizontal="left" vertical="center" wrapText="1"/>
      <protection locked="0"/>
    </xf>
    <xf numFmtId="0" fontId="2" fillId="2" borderId="0" xfId="1" applyFont="1" applyFill="1" applyBorder="1" applyAlignment="1" applyProtection="1">
      <alignment horizontal="left" vertical="center" wrapText="1"/>
      <protection locked="0"/>
    </xf>
    <xf numFmtId="0" fontId="2" fillId="2" borderId="6" xfId="1" applyFont="1" applyFill="1" applyBorder="1" applyAlignment="1" applyProtection="1">
      <alignment horizontal="left" vertical="center" wrapText="1"/>
      <protection locked="0"/>
    </xf>
    <xf numFmtId="0" fontId="3" fillId="0" borderId="2" xfId="1" applyFont="1" applyFill="1" applyBorder="1" applyAlignment="1" applyProtection="1">
      <alignment horizontal="center" vertical="top"/>
    </xf>
    <xf numFmtId="0" fontId="3" fillId="0" borderId="3" xfId="1" applyFont="1" applyFill="1" applyBorder="1" applyAlignment="1" applyProtection="1">
      <alignment horizontal="center" vertical="top"/>
    </xf>
    <xf numFmtId="0" fontId="3" fillId="0" borderId="4" xfId="1" applyFont="1" applyFill="1" applyBorder="1" applyAlignment="1" applyProtection="1">
      <alignment horizontal="center" vertical="top"/>
    </xf>
    <xf numFmtId="49" fontId="2" fillId="2" borderId="46" xfId="1" applyNumberFormat="1" applyFont="1" applyFill="1" applyBorder="1" applyAlignment="1" applyProtection="1">
      <alignment horizontal="center" vertical="center"/>
      <protection locked="0"/>
    </xf>
    <xf numFmtId="49" fontId="3" fillId="2" borderId="46" xfId="1" applyNumberFormat="1" applyFont="1" applyFill="1" applyBorder="1" applyAlignment="1" applyProtection="1">
      <alignment horizontal="center" vertical="center" wrapText="1"/>
      <protection locked="0"/>
    </xf>
    <xf numFmtId="49" fontId="2" fillId="2" borderId="58" xfId="1" applyNumberFormat="1" applyFont="1" applyFill="1" applyBorder="1" applyAlignment="1" applyProtection="1">
      <alignment horizontal="center" vertical="center"/>
      <protection locked="0"/>
    </xf>
    <xf numFmtId="0" fontId="2" fillId="0" borderId="0" xfId="1" applyFont="1" applyAlignment="1">
      <alignment horizontal="left" vertical="center"/>
    </xf>
    <xf numFmtId="0" fontId="10" fillId="0" borderId="0" xfId="1" applyFont="1" applyAlignment="1">
      <alignment horizontal="center" vertical="center"/>
    </xf>
    <xf numFmtId="0" fontId="2" fillId="0" borderId="0" xfId="1" applyFont="1" applyFill="1" applyAlignment="1">
      <alignment horizontal="left" vertical="center"/>
    </xf>
    <xf numFmtId="0" fontId="3" fillId="0" borderId="0" xfId="1" applyFont="1" applyAlignment="1">
      <alignment horizontal="left" vertical="center"/>
    </xf>
    <xf numFmtId="0" fontId="2" fillId="0" borderId="48" xfId="1" applyFont="1" applyBorder="1" applyAlignment="1">
      <alignment horizontal="center" vertical="center" wrapText="1"/>
    </xf>
    <xf numFmtId="0" fontId="3" fillId="0" borderId="48" xfId="1" applyFont="1" applyBorder="1" applyAlignment="1">
      <alignment horizontal="right" vertical="center" wrapText="1"/>
    </xf>
    <xf numFmtId="0" fontId="2" fillId="0" borderId="48" xfId="1" applyFont="1" applyBorder="1" applyAlignment="1" applyProtection="1">
      <alignment horizontal="left" vertical="center" wrapText="1"/>
      <protection locked="0"/>
    </xf>
    <xf numFmtId="3" fontId="2" fillId="0" borderId="48" xfId="1" applyNumberFormat="1" applyFont="1" applyBorder="1" applyAlignment="1" applyProtection="1">
      <alignment horizontal="center" vertical="center" wrapText="1"/>
      <protection locked="0"/>
    </xf>
    <xf numFmtId="0" fontId="2" fillId="0" borderId="46" xfId="1" applyFont="1" applyBorder="1" applyAlignment="1" applyProtection="1">
      <alignment horizontal="left" vertical="center" wrapText="1"/>
      <protection locked="0"/>
    </xf>
    <xf numFmtId="0" fontId="2" fillId="0" borderId="47" xfId="1" applyFont="1" applyBorder="1" applyAlignment="1" applyProtection="1">
      <alignment horizontal="left" vertical="center" wrapText="1"/>
      <protection locked="0"/>
    </xf>
    <xf numFmtId="0" fontId="2" fillId="0" borderId="98" xfId="1" applyFont="1" applyBorder="1" applyAlignment="1" applyProtection="1">
      <alignment horizontal="center" vertical="center" wrapText="1"/>
      <protection locked="0"/>
    </xf>
    <xf numFmtId="0" fontId="2" fillId="0" borderId="33" xfId="1" applyFont="1" applyBorder="1" applyAlignment="1" applyProtection="1">
      <alignment horizontal="center" vertical="center" wrapText="1"/>
      <protection locked="0"/>
    </xf>
    <xf numFmtId="0" fontId="2" fillId="0" borderId="82" xfId="1" applyFont="1" applyBorder="1" applyAlignment="1" applyProtection="1">
      <alignment horizontal="center" vertical="center" wrapText="1"/>
      <protection locked="0"/>
    </xf>
    <xf numFmtId="0" fontId="2" fillId="0" borderId="124" xfId="1" applyFont="1" applyBorder="1" applyAlignment="1" applyProtection="1">
      <alignment horizontal="left" vertical="center" wrapText="1"/>
      <protection locked="0"/>
    </xf>
    <xf numFmtId="0" fontId="2" fillId="0" borderId="104" xfId="1" applyFont="1" applyBorder="1" applyAlignment="1" applyProtection="1">
      <alignment horizontal="left" vertical="center" wrapText="1"/>
      <protection locked="0"/>
    </xf>
    <xf numFmtId="0" fontId="2" fillId="0" borderId="31" xfId="1" applyFont="1" applyBorder="1" applyAlignment="1" applyProtection="1">
      <alignment horizontal="left" vertical="center" wrapText="1"/>
      <protection locked="0"/>
    </xf>
    <xf numFmtId="0" fontId="2" fillId="0" borderId="32" xfId="1" applyFont="1" applyBorder="1" applyAlignment="1" applyProtection="1">
      <alignment horizontal="left" vertical="center" wrapText="1"/>
      <protection locked="0"/>
    </xf>
    <xf numFmtId="0" fontId="2" fillId="0" borderId="86" xfId="1" applyFont="1" applyBorder="1" applyAlignment="1" applyProtection="1">
      <alignment horizontal="left" vertical="center" wrapText="1"/>
      <protection locked="0"/>
    </xf>
    <xf numFmtId="0" fontId="2" fillId="0" borderId="84" xfId="1" applyFont="1" applyBorder="1" applyAlignment="1" applyProtection="1">
      <alignment horizontal="left" vertical="center" wrapText="1"/>
      <protection locked="0"/>
    </xf>
    <xf numFmtId="0" fontId="2" fillId="0" borderId="98" xfId="1" applyFont="1" applyFill="1" applyBorder="1" applyAlignment="1" applyProtection="1">
      <alignment horizontal="center" vertical="center" wrapText="1"/>
      <protection locked="0"/>
    </xf>
    <xf numFmtId="0" fontId="2" fillId="0" borderId="82" xfId="1" applyFont="1" applyFill="1" applyBorder="1" applyAlignment="1" applyProtection="1">
      <alignment horizontal="center" vertical="center" wrapText="1"/>
      <protection locked="0"/>
    </xf>
    <xf numFmtId="3" fontId="2" fillId="0" borderId="98" xfId="1" quotePrefix="1" applyNumberFormat="1" applyFont="1" applyFill="1" applyBorder="1" applyAlignment="1" applyProtection="1">
      <alignment horizontal="center" vertical="center" wrapText="1"/>
      <protection locked="0"/>
    </xf>
    <xf numFmtId="3" fontId="2" fillId="0" borderId="82" xfId="1" quotePrefix="1" applyNumberFormat="1" applyFont="1" applyFill="1" applyBorder="1" applyAlignment="1" applyProtection="1">
      <alignment horizontal="center" vertical="center" wrapText="1"/>
      <protection locked="0"/>
    </xf>
    <xf numFmtId="0" fontId="2" fillId="0" borderId="46" xfId="1" applyFont="1" applyFill="1" applyBorder="1" applyAlignment="1" applyProtection="1">
      <alignment horizontal="left" vertical="center" wrapText="1"/>
      <protection locked="0"/>
    </xf>
    <xf numFmtId="0" fontId="2" fillId="0" borderId="47" xfId="1" applyFont="1" applyFill="1" applyBorder="1" applyAlignment="1" applyProtection="1">
      <alignment horizontal="left" vertical="center" wrapText="1"/>
      <protection locked="0"/>
    </xf>
    <xf numFmtId="0" fontId="2" fillId="0" borderId="97" xfId="1" applyFont="1" applyBorder="1" applyAlignment="1">
      <alignment horizontal="left" vertical="center"/>
    </xf>
    <xf numFmtId="0" fontId="2" fillId="0" borderId="46" xfId="1" applyFont="1" applyBorder="1" applyAlignment="1">
      <alignment horizontal="center" vertical="center" wrapText="1"/>
    </xf>
    <xf numFmtId="0" fontId="2" fillId="0" borderId="47" xfId="1" applyFont="1" applyBorder="1" applyAlignment="1">
      <alignment horizontal="center" vertical="center" wrapText="1"/>
    </xf>
    <xf numFmtId="0" fontId="3" fillId="0" borderId="46" xfId="1" applyFont="1" applyBorder="1" applyAlignment="1">
      <alignment horizontal="right" vertical="center" wrapText="1"/>
    </xf>
    <xf numFmtId="0" fontId="3" fillId="0" borderId="8" xfId="1" applyFont="1" applyBorder="1" applyAlignment="1">
      <alignment horizontal="right" vertical="center" wrapText="1"/>
    </xf>
    <xf numFmtId="0" fontId="3" fillId="0" borderId="47" xfId="1" applyFont="1" applyBorder="1" applyAlignment="1">
      <alignment horizontal="right" vertical="center" wrapText="1"/>
    </xf>
    <xf numFmtId="0" fontId="2" fillId="0" borderId="98" xfId="1" applyFont="1" applyBorder="1" applyAlignment="1">
      <alignment horizontal="center" vertical="center" wrapText="1"/>
    </xf>
    <xf numFmtId="0" fontId="2" fillId="0" borderId="82" xfId="1" applyFont="1" applyBorder="1" applyAlignment="1">
      <alignment horizontal="center" vertical="center" wrapText="1"/>
    </xf>
    <xf numFmtId="0" fontId="2" fillId="0" borderId="48" xfId="1" applyFont="1" applyBorder="1" applyAlignment="1" applyProtection="1">
      <alignment horizontal="center" vertical="center" wrapText="1"/>
      <protection locked="0"/>
    </xf>
    <xf numFmtId="0" fontId="1" fillId="0" borderId="48" xfId="1" applyFont="1" applyBorder="1" applyAlignment="1">
      <alignment horizontal="left" vertical="center" wrapText="1"/>
    </xf>
    <xf numFmtId="0" fontId="2" fillId="0" borderId="124" xfId="1" applyFont="1" applyFill="1" applyBorder="1" applyAlignment="1" applyProtection="1">
      <alignment horizontal="left" vertical="center" wrapText="1"/>
      <protection locked="0"/>
    </xf>
    <xf numFmtId="0" fontId="2" fillId="0" borderId="104" xfId="1" applyFont="1" applyFill="1" applyBorder="1" applyAlignment="1" applyProtection="1">
      <alignment horizontal="left" vertical="center" wrapText="1"/>
      <protection locked="0"/>
    </xf>
    <xf numFmtId="0" fontId="2" fillId="0" borderId="48" xfId="1" applyFont="1" applyFill="1" applyBorder="1" applyAlignment="1" applyProtection="1">
      <alignment horizontal="left" vertical="center" wrapText="1"/>
      <protection locked="0"/>
    </xf>
    <xf numFmtId="0" fontId="2" fillId="0" borderId="98" xfId="1" applyFont="1" applyBorder="1" applyAlignment="1" applyProtection="1">
      <alignment horizontal="left" vertical="center" wrapText="1"/>
      <protection locked="0"/>
    </xf>
    <xf numFmtId="0" fontId="2" fillId="0" borderId="82" xfId="1" applyFont="1" applyBorder="1" applyAlignment="1" applyProtection="1">
      <alignment horizontal="left" vertical="center" wrapText="1"/>
      <protection locked="0"/>
    </xf>
    <xf numFmtId="0" fontId="14" fillId="0" borderId="0" xfId="1" applyFont="1" applyBorder="1" applyAlignment="1">
      <alignment horizontal="left" vertical="top" wrapText="1"/>
    </xf>
    <xf numFmtId="0" fontId="2" fillId="0" borderId="0" xfId="1" applyFont="1" applyAlignment="1">
      <alignment horizontal="left"/>
    </xf>
    <xf numFmtId="0" fontId="10" fillId="0" borderId="0" xfId="1" applyFont="1" applyFill="1" applyAlignment="1">
      <alignment horizontal="center"/>
    </xf>
    <xf numFmtId="0" fontId="11" fillId="0" borderId="0" xfId="1" applyFont="1" applyAlignment="1">
      <alignment horizontal="left"/>
    </xf>
    <xf numFmtId="3" fontId="2" fillId="0" borderId="98" xfId="1" applyNumberFormat="1" applyFont="1" applyFill="1" applyBorder="1" applyAlignment="1" applyProtection="1">
      <alignment horizontal="center" vertical="center" wrapText="1"/>
      <protection locked="0"/>
    </xf>
    <xf numFmtId="3" fontId="2" fillId="0" borderId="33" xfId="1" applyNumberFormat="1" applyFont="1" applyFill="1" applyBorder="1" applyAlignment="1" applyProtection="1">
      <alignment horizontal="center" vertical="center" wrapText="1"/>
      <protection locked="0"/>
    </xf>
    <xf numFmtId="3" fontId="2" fillId="0" borderId="82" xfId="1" applyNumberFormat="1" applyFont="1" applyFill="1" applyBorder="1" applyAlignment="1" applyProtection="1">
      <alignment horizontal="center" vertical="center" wrapText="1"/>
      <protection locked="0"/>
    </xf>
    <xf numFmtId="0" fontId="3" fillId="0" borderId="0" xfId="1" applyFont="1" applyAlignment="1">
      <alignment horizontal="left"/>
    </xf>
    <xf numFmtId="0" fontId="2" fillId="0" borderId="48" xfId="0" applyFont="1" applyBorder="1" applyAlignment="1">
      <alignment horizontal="center" vertical="center" wrapText="1"/>
    </xf>
    <xf numFmtId="0" fontId="14" fillId="0" borderId="98"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14" fillId="0" borderId="82" xfId="2" applyFont="1" applyFill="1" applyBorder="1" applyAlignment="1">
      <alignment horizontal="center" vertical="center" wrapText="1"/>
    </xf>
    <xf numFmtId="0" fontId="14" fillId="0" borderId="124" xfId="2" applyFont="1" applyFill="1" applyBorder="1" applyAlignment="1">
      <alignment horizontal="left" vertical="center" wrapText="1"/>
    </xf>
    <xf numFmtId="0" fontId="14" fillId="0" borderId="104" xfId="2" applyFont="1" applyFill="1" applyBorder="1" applyAlignment="1">
      <alignment horizontal="left" vertical="center" wrapText="1"/>
    </xf>
    <xf numFmtId="0" fontId="14" fillId="0" borderId="31" xfId="2" applyFont="1" applyFill="1" applyBorder="1" applyAlignment="1">
      <alignment horizontal="left" vertical="center" wrapText="1"/>
    </xf>
    <xf numFmtId="0" fontId="14" fillId="0" borderId="32" xfId="2" applyFont="1" applyFill="1" applyBorder="1" applyAlignment="1">
      <alignment horizontal="left" vertical="center" wrapText="1"/>
    </xf>
    <xf numFmtId="0" fontId="14" fillId="0" borderId="86" xfId="2" applyFont="1" applyFill="1" applyBorder="1" applyAlignment="1">
      <alignment horizontal="left" vertical="center" wrapText="1"/>
    </xf>
    <xf numFmtId="0" fontId="14" fillId="0" borderId="84" xfId="2" applyFont="1" applyFill="1" applyBorder="1" applyAlignment="1">
      <alignment horizontal="left" vertical="center" wrapText="1"/>
    </xf>
    <xf numFmtId="3" fontId="2" fillId="0" borderId="98" xfId="1" applyNumberFormat="1" applyFont="1" applyFill="1" applyBorder="1" applyAlignment="1" applyProtection="1">
      <alignment horizontal="left" vertical="top" wrapText="1"/>
      <protection locked="0"/>
    </xf>
    <xf numFmtId="3" fontId="2" fillId="0" borderId="33" xfId="1" applyNumberFormat="1" applyFont="1" applyFill="1" applyBorder="1" applyAlignment="1" applyProtection="1">
      <alignment horizontal="left" vertical="top" wrapText="1"/>
      <protection locked="0"/>
    </xf>
    <xf numFmtId="3" fontId="2" fillId="0" borderId="82" xfId="1" applyNumberFormat="1" applyFont="1" applyFill="1" applyBorder="1" applyAlignment="1" applyProtection="1">
      <alignment horizontal="left" vertical="top" wrapText="1"/>
      <protection locked="0"/>
    </xf>
    <xf numFmtId="0" fontId="16" fillId="0" borderId="46" xfId="2" applyFont="1" applyFill="1" applyBorder="1" applyAlignment="1">
      <alignment horizontal="left" vertical="center" wrapText="1"/>
    </xf>
    <xf numFmtId="0" fontId="16" fillId="0" borderId="47" xfId="2" applyFont="1" applyFill="1" applyBorder="1" applyAlignment="1">
      <alignment horizontal="left" vertical="center" wrapText="1"/>
    </xf>
    <xf numFmtId="0" fontId="14" fillId="0" borderId="48" xfId="2" applyFont="1" applyFill="1" applyBorder="1" applyAlignment="1">
      <alignment horizontal="center" vertical="center" wrapText="1"/>
    </xf>
    <xf numFmtId="0" fontId="3" fillId="0" borderId="48" xfId="1" applyFont="1" applyFill="1" applyBorder="1" applyAlignment="1">
      <alignment horizontal="right" vertical="center" wrapText="1"/>
    </xf>
    <xf numFmtId="0" fontId="16" fillId="0" borderId="46" xfId="2" applyFont="1" applyFill="1" applyBorder="1" applyAlignment="1">
      <alignment horizontal="center" vertical="center" wrapText="1"/>
    </xf>
    <xf numFmtId="0" fontId="16" fillId="0" borderId="8" xfId="2" applyFont="1" applyFill="1" applyBorder="1" applyAlignment="1">
      <alignment horizontal="center" vertical="center" wrapText="1"/>
    </xf>
    <xf numFmtId="0" fontId="16" fillId="0" borderId="47" xfId="2" applyFont="1" applyFill="1" applyBorder="1" applyAlignment="1">
      <alignment horizontal="center" vertical="center" wrapText="1"/>
    </xf>
    <xf numFmtId="0" fontId="14" fillId="0" borderId="46" xfId="2" applyFont="1" applyFill="1" applyBorder="1" applyAlignment="1">
      <alignment horizontal="left" vertical="center" wrapText="1"/>
    </xf>
    <xf numFmtId="0" fontId="14" fillId="0" borderId="47" xfId="2" applyFont="1" applyFill="1" applyBorder="1" applyAlignment="1">
      <alignment horizontal="left" vertical="center" wrapText="1"/>
    </xf>
    <xf numFmtId="3" fontId="2" fillId="0" borderId="98" xfId="1" applyNumberFormat="1" applyFont="1" applyFill="1" applyBorder="1" applyAlignment="1" applyProtection="1">
      <alignment horizontal="center" vertical="center"/>
      <protection locked="0"/>
    </xf>
    <xf numFmtId="3" fontId="2" fillId="0" borderId="33" xfId="1" applyNumberFormat="1" applyFont="1" applyFill="1" applyBorder="1" applyAlignment="1" applyProtection="1">
      <alignment horizontal="center" vertical="center"/>
      <protection locked="0"/>
    </xf>
    <xf numFmtId="3" fontId="2" fillId="0" borderId="82" xfId="1" applyNumberFormat="1" applyFont="1" applyFill="1" applyBorder="1" applyAlignment="1" applyProtection="1">
      <alignment horizontal="center" vertical="center"/>
      <protection locked="0"/>
    </xf>
    <xf numFmtId="0" fontId="14" fillId="0" borderId="48" xfId="2" applyFont="1" applyFill="1" applyBorder="1" applyAlignment="1">
      <alignment horizontal="center" vertical="center"/>
    </xf>
    <xf numFmtId="0" fontId="14" fillId="0" borderId="98" xfId="2" applyFont="1" applyFill="1" applyBorder="1" applyAlignment="1">
      <alignment horizontal="center" vertical="center"/>
    </xf>
    <xf numFmtId="0" fontId="14" fillId="0" borderId="33" xfId="2" applyFont="1" applyFill="1" applyBorder="1" applyAlignment="1">
      <alignment horizontal="center" vertical="center"/>
    </xf>
    <xf numFmtId="0" fontId="14" fillId="0" borderId="82" xfId="2" applyFont="1" applyFill="1" applyBorder="1" applyAlignment="1">
      <alignment horizontal="center" vertical="center"/>
    </xf>
    <xf numFmtId="0" fontId="14" fillId="0" borderId="46" xfId="2" quotePrefix="1" applyFont="1" applyFill="1" applyBorder="1" applyAlignment="1">
      <alignment horizontal="left" vertical="center" wrapText="1"/>
    </xf>
    <xf numFmtId="0" fontId="14" fillId="0" borderId="47" xfId="2" quotePrefix="1" applyFont="1" applyFill="1" applyBorder="1" applyAlignment="1">
      <alignment horizontal="left" vertical="center" wrapText="1"/>
    </xf>
    <xf numFmtId="44" fontId="14" fillId="0" borderId="46" xfId="3" applyFont="1" applyFill="1" applyBorder="1" applyAlignment="1">
      <alignment horizontal="left" vertical="center" wrapText="1"/>
    </xf>
    <xf numFmtId="44" fontId="14" fillId="0" borderId="47" xfId="3" applyFont="1" applyFill="1" applyBorder="1" applyAlignment="1">
      <alignment horizontal="left" vertical="center" wrapText="1"/>
    </xf>
    <xf numFmtId="0" fontId="14" fillId="0" borderId="46" xfId="2" applyFont="1" applyFill="1" applyBorder="1" applyAlignment="1">
      <alignment horizontal="left" vertical="center"/>
    </xf>
    <xf numFmtId="0" fontId="14" fillId="0" borderId="47" xfId="2" applyFont="1" applyFill="1" applyBorder="1" applyAlignment="1">
      <alignment horizontal="left" vertical="center"/>
    </xf>
    <xf numFmtId="0" fontId="14" fillId="0" borderId="46" xfId="2" applyFont="1" applyFill="1" applyBorder="1" applyAlignment="1">
      <alignment horizontal="left" wrapText="1"/>
    </xf>
    <xf numFmtId="0" fontId="14" fillId="0" borderId="47" xfId="2" applyFont="1" applyFill="1" applyBorder="1" applyAlignment="1">
      <alignment horizontal="left" wrapText="1"/>
    </xf>
    <xf numFmtId="0" fontId="11" fillId="0" borderId="0" xfId="1" applyFont="1" applyFill="1" applyAlignment="1">
      <alignment horizontal="left"/>
    </xf>
    <xf numFmtId="0" fontId="2" fillId="0" borderId="0" xfId="1" applyFont="1" applyFill="1" applyAlignment="1">
      <alignment horizontal="left"/>
    </xf>
    <xf numFmtId="164" fontId="3" fillId="0" borderId="0" xfId="1" applyNumberFormat="1" applyFont="1" applyFill="1" applyAlignment="1">
      <alignment horizontal="left"/>
    </xf>
    <xf numFmtId="0" fontId="14" fillId="0" borderId="8" xfId="2" applyFont="1" applyFill="1" applyBorder="1" applyAlignment="1">
      <alignment horizontal="left" vertical="center" wrapText="1"/>
    </xf>
    <xf numFmtId="0" fontId="2" fillId="0" borderId="0" xfId="1" applyFont="1" applyAlignment="1" applyProtection="1">
      <alignment horizontal="left" vertical="center" wrapText="1"/>
      <protection locked="0"/>
    </xf>
    <xf numFmtId="0" fontId="2" fillId="0" borderId="98" xfId="2" applyFont="1" applyFill="1" applyBorder="1" applyAlignment="1">
      <alignment horizontal="center" vertical="center" wrapText="1"/>
    </xf>
    <xf numFmtId="0" fontId="2" fillId="0" borderId="33" xfId="2" applyFont="1" applyFill="1" applyBorder="1" applyAlignment="1">
      <alignment horizontal="center" vertical="center" wrapText="1"/>
    </xf>
    <xf numFmtId="0" fontId="2" fillId="0" borderId="82" xfId="2" applyFont="1" applyFill="1" applyBorder="1" applyAlignment="1">
      <alignment horizontal="center" vertical="center" wrapText="1"/>
    </xf>
    <xf numFmtId="0" fontId="2" fillId="0" borderId="124" xfId="2" applyFont="1" applyFill="1" applyBorder="1" applyAlignment="1">
      <alignment horizontal="left" vertical="center" wrapText="1"/>
    </xf>
    <xf numFmtId="0" fontId="2" fillId="0" borderId="104" xfId="2" applyFont="1" applyFill="1" applyBorder="1" applyAlignment="1">
      <alignment horizontal="left" vertical="center" wrapText="1"/>
    </xf>
    <xf numFmtId="0" fontId="2" fillId="0" borderId="31" xfId="2" applyFont="1" applyFill="1" applyBorder="1" applyAlignment="1">
      <alignment horizontal="left" vertical="center" wrapText="1"/>
    </xf>
    <xf numFmtId="0" fontId="2" fillId="0" borderId="32" xfId="2" applyFont="1" applyFill="1" applyBorder="1" applyAlignment="1">
      <alignment horizontal="left" vertical="center" wrapText="1"/>
    </xf>
    <xf numFmtId="0" fontId="2" fillId="0" borderId="86" xfId="2" applyFont="1" applyFill="1" applyBorder="1" applyAlignment="1">
      <alignment horizontal="left" vertical="center" wrapText="1"/>
    </xf>
    <xf numFmtId="0" fontId="2" fillId="0" borderId="84" xfId="2" applyFont="1" applyFill="1" applyBorder="1" applyAlignment="1">
      <alignment horizontal="left" vertical="center" wrapText="1"/>
    </xf>
    <xf numFmtId="0" fontId="3" fillId="0" borderId="46" xfId="2" applyFont="1" applyFill="1" applyBorder="1" applyAlignment="1">
      <alignment horizontal="left" vertical="center" wrapText="1"/>
    </xf>
    <xf numFmtId="0" fontId="3" fillId="0" borderId="47" xfId="2" applyFont="1" applyFill="1" applyBorder="1" applyAlignment="1">
      <alignment horizontal="left" vertical="center" wrapText="1"/>
    </xf>
    <xf numFmtId="0" fontId="2" fillId="0" borderId="48" xfId="2" applyFont="1" applyFill="1" applyBorder="1" applyAlignment="1">
      <alignment horizontal="center" vertical="center" wrapText="1"/>
    </xf>
    <xf numFmtId="0" fontId="3" fillId="0" borderId="46" xfId="2" applyFont="1" applyFill="1" applyBorder="1" applyAlignment="1">
      <alignment horizontal="center" vertical="center" wrapText="1"/>
    </xf>
    <xf numFmtId="0" fontId="3" fillId="0" borderId="8" xfId="2" applyFont="1" applyFill="1" applyBorder="1" applyAlignment="1">
      <alignment horizontal="center" vertical="center" wrapText="1"/>
    </xf>
    <xf numFmtId="0" fontId="3" fillId="0" borderId="47" xfId="2" applyFont="1" applyFill="1" applyBorder="1" applyAlignment="1">
      <alignment horizontal="center" vertical="center" wrapText="1"/>
    </xf>
    <xf numFmtId="0" fontId="2" fillId="0" borderId="46" xfId="2" applyFont="1" applyFill="1" applyBorder="1" applyAlignment="1">
      <alignment horizontal="left" vertical="center" wrapText="1"/>
    </xf>
    <xf numFmtId="0" fontId="2" fillId="0" borderId="47" xfId="2" applyFont="1" applyFill="1" applyBorder="1" applyAlignment="1">
      <alignment horizontal="left" vertical="center" wrapText="1"/>
    </xf>
    <xf numFmtId="0" fontId="2" fillId="0" borderId="48" xfId="2" applyFont="1" applyFill="1" applyBorder="1" applyAlignment="1">
      <alignment horizontal="center" vertical="center"/>
    </xf>
    <xf numFmtId="0" fontId="2" fillId="0" borderId="98" xfId="2" applyFont="1" applyFill="1" applyBorder="1" applyAlignment="1">
      <alignment horizontal="center" vertical="center"/>
    </xf>
    <xf numFmtId="0" fontId="2" fillId="0" borderId="33" xfId="2" applyFont="1" applyFill="1" applyBorder="1" applyAlignment="1">
      <alignment horizontal="center" vertical="center"/>
    </xf>
    <xf numFmtId="0" fontId="2" fillId="0" borderId="82" xfId="2" applyFont="1" applyFill="1" applyBorder="1" applyAlignment="1">
      <alignment horizontal="center" vertical="center"/>
    </xf>
    <xf numFmtId="0" fontId="2" fillId="0" borderId="46" xfId="2" quotePrefix="1" applyFont="1" applyFill="1" applyBorder="1" applyAlignment="1">
      <alignment horizontal="left" vertical="center" wrapText="1"/>
    </xf>
    <xf numFmtId="0" fontId="2" fillId="0" borderId="47" xfId="2" quotePrefix="1" applyFont="1" applyFill="1" applyBorder="1" applyAlignment="1">
      <alignment horizontal="left" vertical="center" wrapText="1"/>
    </xf>
    <xf numFmtId="44" fontId="2" fillId="0" borderId="46" xfId="3" applyFont="1" applyFill="1" applyBorder="1" applyAlignment="1">
      <alignment horizontal="left" vertical="center" wrapText="1"/>
    </xf>
    <xf numFmtId="44" fontId="2" fillId="0" borderId="47" xfId="3" applyFont="1" applyFill="1" applyBorder="1" applyAlignment="1">
      <alignment horizontal="left" vertical="center" wrapText="1"/>
    </xf>
    <xf numFmtId="0" fontId="2" fillId="0" borderId="46" xfId="2" applyFont="1" applyFill="1" applyBorder="1" applyAlignment="1">
      <alignment horizontal="left" vertical="center"/>
    </xf>
    <xf numFmtId="0" fontId="2" fillId="0" borderId="47" xfId="2" applyFont="1" applyFill="1" applyBorder="1" applyAlignment="1">
      <alignment horizontal="left" vertical="center"/>
    </xf>
    <xf numFmtId="0" fontId="2" fillId="0" borderId="46" xfId="2" applyFont="1" applyFill="1" applyBorder="1" applyAlignment="1">
      <alignment horizontal="left" wrapText="1"/>
    </xf>
    <xf numFmtId="0" fontId="2" fillId="0" borderId="47" xfId="2" applyFont="1" applyFill="1" applyBorder="1" applyAlignment="1">
      <alignment horizontal="left" wrapText="1"/>
    </xf>
    <xf numFmtId="0" fontId="2" fillId="0" borderId="8" xfId="2" applyFont="1" applyFill="1" applyBorder="1" applyAlignment="1">
      <alignment horizontal="left" vertical="center" wrapText="1"/>
    </xf>
    <xf numFmtId="0" fontId="10" fillId="0" borderId="0" xfId="1" applyFont="1" applyAlignment="1">
      <alignment horizontal="center"/>
    </xf>
    <xf numFmtId="164" fontId="3" fillId="0" borderId="0" xfId="1" applyNumberFormat="1" applyFont="1" applyAlignment="1">
      <alignment horizontal="left"/>
    </xf>
    <xf numFmtId="0" fontId="2" fillId="0" borderId="4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0" xfId="1" applyFont="1" applyAlignment="1">
      <alignment horizontal="left" wrapText="1"/>
    </xf>
    <xf numFmtId="0" fontId="19" fillId="0" borderId="0" xfId="0" applyFont="1" applyAlignment="1">
      <alignment horizontal="left" wrapText="1"/>
    </xf>
    <xf numFmtId="0" fontId="10" fillId="0" borderId="0" xfId="6" applyFont="1" applyAlignment="1">
      <alignment horizontal="center"/>
    </xf>
    <xf numFmtId="0" fontId="2" fillId="0" borderId="48" xfId="1" applyFont="1" applyFill="1" applyBorder="1" applyAlignment="1" applyProtection="1">
      <alignment horizontal="center" vertical="center" wrapText="1"/>
    </xf>
    <xf numFmtId="0" fontId="2" fillId="0" borderId="48" xfId="6" applyFont="1" applyBorder="1" applyAlignment="1">
      <alignment horizontal="center" vertical="center" wrapText="1"/>
    </xf>
    <xf numFmtId="0" fontId="3" fillId="0" borderId="48" xfId="6" applyFont="1" applyBorder="1" applyAlignment="1">
      <alignment horizontal="right" wrapText="1"/>
    </xf>
    <xf numFmtId="0" fontId="2" fillId="0" borderId="48" xfId="6" applyFont="1" applyBorder="1" applyAlignment="1" applyProtection="1">
      <alignment horizontal="center" vertical="center" wrapText="1"/>
      <protection locked="0"/>
    </xf>
    <xf numFmtId="0" fontId="2" fillId="0" borderId="48" xfId="6" applyFont="1" applyBorder="1" applyAlignment="1" applyProtection="1">
      <alignment horizontal="left" vertical="center" wrapText="1"/>
      <protection locked="0"/>
    </xf>
    <xf numFmtId="3" fontId="3" fillId="0" borderId="48" xfId="6" applyNumberFormat="1" applyFont="1" applyBorder="1" applyAlignment="1">
      <alignment horizontal="left" vertical="center" wrapText="1"/>
    </xf>
    <xf numFmtId="0" fontId="2" fillId="0" borderId="98" xfId="4" applyFont="1" applyBorder="1" applyAlignment="1">
      <alignment horizontal="center" vertical="center" wrapText="1"/>
    </xf>
    <xf numFmtId="0" fontId="2" fillId="0" borderId="82" xfId="4" applyFont="1" applyBorder="1" applyAlignment="1">
      <alignment horizontal="center" vertical="center" wrapText="1"/>
    </xf>
    <xf numFmtId="3" fontId="3" fillId="0" borderId="48" xfId="6" applyNumberFormat="1" applyFont="1" applyFill="1" applyBorder="1" applyAlignment="1">
      <alignment horizontal="right" wrapText="1"/>
    </xf>
    <xf numFmtId="3" fontId="3" fillId="0" borderId="98" xfId="6" applyNumberFormat="1" applyFont="1" applyFill="1" applyBorder="1" applyAlignment="1">
      <alignment horizontal="center" vertical="center" wrapText="1"/>
    </xf>
    <xf numFmtId="3" fontId="3" fillId="0" borderId="33" xfId="6" applyNumberFormat="1" applyFont="1" applyFill="1" applyBorder="1" applyAlignment="1">
      <alignment horizontal="center" vertical="center" wrapText="1"/>
    </xf>
    <xf numFmtId="3" fontId="3" fillId="0" borderId="82" xfId="6" applyNumberFormat="1" applyFont="1" applyFill="1" applyBorder="1" applyAlignment="1">
      <alignment horizontal="center" vertical="center" wrapText="1"/>
    </xf>
    <xf numFmtId="0" fontId="2" fillId="0" borderId="48" xfId="6" applyFont="1" applyFill="1" applyBorder="1" applyAlignment="1">
      <alignment horizontal="center" vertical="center" wrapText="1"/>
    </xf>
    <xf numFmtId="0" fontId="10" fillId="0" borderId="0" xfId="4" applyFont="1" applyBorder="1" applyAlignment="1">
      <alignment horizontal="center"/>
    </xf>
    <xf numFmtId="0" fontId="2" fillId="0" borderId="0" xfId="4" applyFont="1" applyBorder="1" applyAlignment="1">
      <alignment horizontal="left"/>
    </xf>
    <xf numFmtId="0" fontId="2" fillId="0" borderId="0" xfId="4" applyFont="1" applyBorder="1" applyAlignment="1" applyProtection="1">
      <alignment horizontal="center"/>
      <protection locked="0"/>
    </xf>
    <xf numFmtId="49" fontId="3" fillId="0" borderId="7" xfId="4" applyNumberFormat="1" applyFont="1" applyBorder="1" applyAlignment="1" applyProtection="1">
      <alignment horizontal="left"/>
      <protection locked="0"/>
    </xf>
    <xf numFmtId="0" fontId="2" fillId="0" borderId="46" xfId="4" applyFont="1" applyBorder="1" applyAlignment="1">
      <alignment horizontal="center" vertical="center" wrapText="1"/>
    </xf>
    <xf numFmtId="0" fontId="2" fillId="0" borderId="47" xfId="4" applyFont="1" applyBorder="1" applyAlignment="1">
      <alignment horizontal="center" vertical="center" wrapText="1"/>
    </xf>
    <xf numFmtId="3" fontId="2" fillId="0" borderId="48" xfId="6" applyNumberFormat="1" applyFont="1" applyFill="1" applyBorder="1" applyAlignment="1">
      <alignment horizontal="center" vertical="center" wrapText="1"/>
    </xf>
    <xf numFmtId="3" fontId="2" fillId="0" borderId="48" xfId="6" applyNumberFormat="1" applyFont="1" applyFill="1" applyBorder="1" applyAlignment="1">
      <alignment horizontal="left" vertical="center" wrapText="1"/>
    </xf>
    <xf numFmtId="3" fontId="2" fillId="0" borderId="48" xfId="6" quotePrefix="1" applyNumberFormat="1" applyFont="1" applyFill="1" applyBorder="1" applyAlignment="1">
      <alignment horizontal="center" vertical="center" wrapText="1"/>
    </xf>
    <xf numFmtId="3" fontId="3" fillId="0" borderId="98" xfId="6" applyNumberFormat="1" applyFont="1" applyFill="1" applyBorder="1" applyAlignment="1">
      <alignment horizontal="left" vertical="center" wrapText="1"/>
    </xf>
    <xf numFmtId="3" fontId="3" fillId="0" borderId="33" xfId="6" applyNumberFormat="1" applyFont="1" applyFill="1" applyBorder="1" applyAlignment="1">
      <alignment horizontal="left" vertical="center" wrapText="1"/>
    </xf>
    <xf numFmtId="3" fontId="3" fillId="0" borderId="82" xfId="6" applyNumberFormat="1" applyFont="1" applyFill="1" applyBorder="1" applyAlignment="1">
      <alignment horizontal="left" vertical="center" wrapText="1"/>
    </xf>
    <xf numFmtId="49" fontId="2" fillId="0" borderId="48" xfId="6" applyNumberFormat="1" applyFont="1" applyFill="1" applyBorder="1" applyAlignment="1">
      <alignment horizontal="center" vertical="center" wrapText="1"/>
    </xf>
    <xf numFmtId="0" fontId="2" fillId="0" borderId="98" xfId="6" applyFont="1" applyFill="1" applyBorder="1" applyAlignment="1">
      <alignment horizontal="center" vertical="center" wrapText="1"/>
    </xf>
    <xf numFmtId="0" fontId="2" fillId="0" borderId="82" xfId="6" applyFont="1" applyFill="1" applyBorder="1" applyAlignment="1">
      <alignment horizontal="center" vertical="center" wrapText="1"/>
    </xf>
    <xf numFmtId="3" fontId="2" fillId="0" borderId="98" xfId="6" quotePrefix="1" applyNumberFormat="1" applyFont="1" applyFill="1" applyBorder="1" applyAlignment="1">
      <alignment horizontal="center" vertical="center"/>
    </xf>
    <xf numFmtId="3" fontId="2" fillId="0" borderId="33" xfId="6" applyNumberFormat="1" applyFont="1" applyFill="1" applyBorder="1" applyAlignment="1">
      <alignment horizontal="center" vertical="center"/>
    </xf>
    <xf numFmtId="3" fontId="2" fillId="0" borderId="82" xfId="6" applyNumberFormat="1" applyFont="1" applyFill="1" applyBorder="1" applyAlignment="1">
      <alignment horizontal="center" vertical="center"/>
    </xf>
    <xf numFmtId="165" fontId="2" fillId="0" borderId="98" xfId="6" applyNumberFormat="1" applyFont="1" applyFill="1" applyBorder="1" applyAlignment="1">
      <alignment horizontal="center" vertical="center" wrapText="1"/>
    </xf>
    <xf numFmtId="165" fontId="2" fillId="0" borderId="33" xfId="6" applyNumberFormat="1" applyFont="1" applyFill="1" applyBorder="1" applyAlignment="1">
      <alignment horizontal="center" vertical="center" wrapText="1"/>
    </xf>
    <xf numFmtId="165" fontId="2" fillId="0" borderId="82" xfId="6" applyNumberFormat="1" applyFont="1" applyFill="1" applyBorder="1" applyAlignment="1">
      <alignment horizontal="center" vertical="center" wrapText="1"/>
    </xf>
    <xf numFmtId="3" fontId="2" fillId="0" borderId="98" xfId="6" applyNumberFormat="1" applyFont="1" applyFill="1" applyBorder="1" applyAlignment="1">
      <alignment horizontal="left" vertical="center" wrapText="1"/>
    </xf>
    <xf numFmtId="3" fontId="2" fillId="0" borderId="33" xfId="6" applyNumberFormat="1" applyFont="1" applyFill="1" applyBorder="1" applyAlignment="1">
      <alignment horizontal="left" vertical="center" wrapText="1"/>
    </xf>
    <xf numFmtId="3" fontId="2" fillId="0" borderId="82" xfId="6" applyNumberFormat="1" applyFont="1" applyFill="1" applyBorder="1" applyAlignment="1">
      <alignment horizontal="left" vertical="center" wrapText="1"/>
    </xf>
    <xf numFmtId="3" fontId="2" fillId="0" borderId="98" xfId="6" applyNumberFormat="1" applyFont="1" applyFill="1" applyBorder="1" applyAlignment="1">
      <alignment horizontal="center" vertical="center" wrapText="1"/>
    </xf>
    <xf numFmtId="3" fontId="2" fillId="0" borderId="82" xfId="6" applyNumberFormat="1" applyFont="1" applyFill="1" applyBorder="1" applyAlignment="1">
      <alignment horizontal="center" vertical="center" wrapText="1"/>
    </xf>
    <xf numFmtId="0" fontId="2" fillId="0" borderId="33" xfId="6" applyFont="1" applyFill="1" applyBorder="1" applyAlignment="1">
      <alignment horizontal="center" vertical="center" wrapText="1"/>
    </xf>
    <xf numFmtId="3" fontId="2" fillId="0" borderId="48" xfId="6" applyNumberFormat="1" applyFont="1" applyFill="1" applyBorder="1" applyAlignment="1">
      <alignment horizontal="center" vertical="center"/>
    </xf>
    <xf numFmtId="0" fontId="2" fillId="0" borderId="48" xfId="6" applyFont="1" applyFill="1" applyBorder="1" applyAlignment="1">
      <alignment horizontal="left" vertical="center"/>
    </xf>
    <xf numFmtId="3" fontId="2" fillId="0" borderId="33" xfId="6" applyNumberFormat="1" applyFont="1" applyFill="1" applyBorder="1" applyAlignment="1">
      <alignment horizontal="center" vertical="center" wrapText="1"/>
    </xf>
    <xf numFmtId="3" fontId="2" fillId="0" borderId="48" xfId="6" quotePrefix="1" applyNumberFormat="1" applyFont="1" applyFill="1" applyBorder="1" applyAlignment="1">
      <alignment horizontal="left" vertical="center" wrapText="1"/>
    </xf>
    <xf numFmtId="4" fontId="2" fillId="0" borderId="48" xfId="6" applyNumberFormat="1" applyFont="1" applyFill="1" applyBorder="1" applyAlignment="1">
      <alignment horizontal="center" vertical="center" wrapText="1"/>
    </xf>
    <xf numFmtId="0" fontId="2" fillId="0" borderId="0" xfId="4" applyFont="1" applyBorder="1" applyAlignment="1">
      <alignment horizontal="left" vertical="top" wrapText="1"/>
    </xf>
    <xf numFmtId="0" fontId="2" fillId="0" borderId="0" xfId="4" applyFont="1" applyBorder="1" applyAlignment="1">
      <alignment horizontal="left" wrapText="1"/>
    </xf>
  </cellXfs>
  <cellStyles count="9">
    <cellStyle name="Currency 2 2" xfId="3"/>
    <cellStyle name="Normal" xfId="0" builtinId="0"/>
    <cellStyle name="Normal 11" xfId="6"/>
    <cellStyle name="Normal 2" xfId="1"/>
    <cellStyle name="Normal 2 2 2" xfId="5"/>
    <cellStyle name="Normal 2 3 2" xfId="2"/>
    <cellStyle name="Normal 3 2 2 2 2" xfId="4"/>
    <cellStyle name="Normal 6" xfId="7"/>
    <cellStyle name="Normal_2007_budz ienem"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sheetPr>
  <dimension ref="A3:AJ157"/>
  <sheetViews>
    <sheetView view="pageLayout" zoomScaleNormal="100" workbookViewId="0">
      <selection activeCell="AL7" sqref="AL7"/>
    </sheetView>
  </sheetViews>
  <sheetFormatPr defaultRowHeight="12" outlineLevelRow="1" outlineLevelCol="1" x14ac:dyDescent="0.2"/>
  <cols>
    <col min="1" max="1" width="1.42578125" style="1223" customWidth="1"/>
    <col min="2" max="2" width="3" style="1223" customWidth="1"/>
    <col min="3" max="3" width="9.140625" style="1223" customWidth="1"/>
    <col min="4" max="4" width="42.42578125" style="1223" customWidth="1"/>
    <col min="5" max="5" width="11.42578125" style="1223" hidden="1" customWidth="1" outlineLevel="1"/>
    <col min="6" max="6" width="9.7109375" style="1223" customWidth="1" collapsed="1"/>
    <col min="7" max="7" width="9.7109375" style="1223" hidden="1" customWidth="1" outlineLevel="1"/>
    <col min="8" max="8" width="8.42578125" style="1223" hidden="1" customWidth="1" outlineLevel="1"/>
    <col min="9" max="9" width="8.85546875" style="1223" hidden="1" customWidth="1" outlineLevel="1"/>
    <col min="10" max="10" width="9" style="1223" hidden="1" customWidth="1" outlineLevel="1"/>
    <col min="11" max="11" width="12" style="1223" hidden="1" customWidth="1" outlineLevel="1"/>
    <col min="12" max="14" width="9" style="1223" hidden="1" customWidth="1" outlineLevel="1"/>
    <col min="15" max="15" width="8.7109375" style="1223" hidden="1" customWidth="1" outlineLevel="1"/>
    <col min="16" max="16" width="11.85546875" style="1223" hidden="1" customWidth="1" outlineLevel="1"/>
    <col min="17" max="17" width="9" style="1223" hidden="1" customWidth="1" outlineLevel="1"/>
    <col min="18" max="18" width="8.42578125" style="1224" hidden="1" customWidth="1" outlineLevel="1"/>
    <col min="19" max="19" width="9" style="1223" hidden="1" customWidth="1" outlineLevel="1"/>
    <col min="20" max="20" width="10" style="1223" hidden="1" customWidth="1" outlineLevel="1"/>
    <col min="21" max="21" width="9.7109375" style="1223" customWidth="1" collapsed="1"/>
    <col min="22" max="22" width="8.7109375" style="1223" hidden="1" customWidth="1" outlineLevel="1"/>
    <col min="23" max="23" width="7.7109375" style="1223" hidden="1" customWidth="1" outlineLevel="1"/>
    <col min="24" max="24" width="8.7109375" style="1223" hidden="1" customWidth="1" outlineLevel="1"/>
    <col min="25" max="25" width="9.140625" style="1223" hidden="1" customWidth="1" outlineLevel="1"/>
    <col min="26" max="26" width="11.42578125" style="1223" hidden="1" customWidth="1" outlineLevel="1"/>
    <col min="27" max="27" width="9.42578125" style="1223" hidden="1" customWidth="1" outlineLevel="1"/>
    <col min="28" max="32" width="8.7109375" style="1223" hidden="1" customWidth="1" outlineLevel="1"/>
    <col min="33" max="33" width="11.7109375" style="1223" hidden="1" customWidth="1" outlineLevel="1"/>
    <col min="34" max="34" width="11.7109375" style="1223" customWidth="1" collapsed="1"/>
    <col min="35" max="16384" width="9.140625" style="1225"/>
  </cols>
  <sheetData>
    <row r="3" spans="1:34" x14ac:dyDescent="0.2">
      <c r="AH3" s="1041" t="s">
        <v>1772</v>
      </c>
    </row>
    <row r="4" spans="1:34" x14ac:dyDescent="0.2">
      <c r="AH4" s="1041" t="s">
        <v>353</v>
      </c>
    </row>
    <row r="5" spans="1:34" x14ac:dyDescent="0.2">
      <c r="AH5" s="1041" t="s">
        <v>354</v>
      </c>
    </row>
    <row r="6" spans="1:34" ht="9" customHeight="1" x14ac:dyDescent="0.2"/>
    <row r="7" spans="1:34" ht="18" customHeight="1" x14ac:dyDescent="0.35">
      <c r="A7" s="1432" t="s">
        <v>1773</v>
      </c>
      <c r="B7" s="1432"/>
      <c r="C7" s="1432"/>
      <c r="D7" s="1432"/>
      <c r="E7" s="1432"/>
      <c r="F7" s="1432"/>
      <c r="G7" s="1432"/>
      <c r="H7" s="1432"/>
      <c r="I7" s="1432"/>
      <c r="J7" s="1432"/>
      <c r="K7" s="1432"/>
      <c r="L7" s="1432"/>
      <c r="M7" s="1432"/>
      <c r="N7" s="1432"/>
      <c r="O7" s="1432"/>
      <c r="P7" s="1432"/>
      <c r="Q7" s="1432"/>
      <c r="R7" s="1432"/>
      <c r="S7" s="1432"/>
      <c r="T7" s="1432"/>
      <c r="U7" s="1432"/>
      <c r="V7" s="1432"/>
      <c r="W7" s="1432"/>
      <c r="X7" s="1432"/>
      <c r="Y7" s="1432"/>
      <c r="Z7" s="1432"/>
      <c r="AA7" s="1432"/>
      <c r="AB7" s="1432"/>
      <c r="AC7" s="1432"/>
      <c r="AD7" s="1432"/>
      <c r="AE7" s="1432"/>
      <c r="AF7" s="1432"/>
      <c r="AG7" s="1432"/>
      <c r="AH7" s="1432"/>
    </row>
    <row r="8" spans="1:34" ht="9" customHeight="1" thickBot="1" x14ac:dyDescent="0.25">
      <c r="A8" s="1225"/>
      <c r="B8" s="1225"/>
      <c r="C8" s="1225"/>
      <c r="D8" s="1225"/>
      <c r="E8" s="1225"/>
      <c r="F8" s="1225"/>
      <c r="G8" s="1225"/>
      <c r="H8" s="1225"/>
      <c r="I8" s="1225"/>
      <c r="J8" s="1225"/>
      <c r="K8" s="1225"/>
      <c r="L8" s="1225"/>
      <c r="M8" s="1225"/>
      <c r="N8" s="1225"/>
      <c r="O8" s="1225"/>
      <c r="P8" s="1225"/>
      <c r="Q8" s="1225"/>
      <c r="R8" s="1226"/>
      <c r="S8" s="1225"/>
      <c r="T8" s="1225"/>
      <c r="U8" s="1225"/>
      <c r="V8" s="1225"/>
      <c r="W8" s="1225"/>
      <c r="X8" s="1225"/>
      <c r="Y8" s="1225"/>
      <c r="Z8" s="1225"/>
      <c r="AA8" s="1225"/>
      <c r="AB8" s="1225"/>
      <c r="AC8" s="1225"/>
      <c r="AD8" s="1225"/>
      <c r="AE8" s="1225"/>
      <c r="AF8" s="1225"/>
      <c r="AG8" s="1225"/>
      <c r="AH8" s="1225"/>
    </row>
    <row r="9" spans="1:34" ht="48.75" customHeight="1" x14ac:dyDescent="0.2">
      <c r="A9" s="1433" t="s">
        <v>1774</v>
      </c>
      <c r="B9" s="1434"/>
      <c r="C9" s="1434"/>
      <c r="D9" s="1227" t="s">
        <v>1775</v>
      </c>
      <c r="E9" s="1228" t="s">
        <v>1776</v>
      </c>
      <c r="F9" s="1228" t="s">
        <v>905</v>
      </c>
      <c r="G9" s="1228" t="s">
        <v>1777</v>
      </c>
      <c r="H9" s="1229" t="s">
        <v>1293</v>
      </c>
      <c r="I9" s="1229" t="s">
        <v>1295</v>
      </c>
      <c r="J9" s="1230" t="s">
        <v>1297</v>
      </c>
      <c r="K9" s="1229" t="s">
        <v>1311</v>
      </c>
      <c r="L9" s="1230" t="s">
        <v>1299</v>
      </c>
      <c r="M9" s="1229" t="s">
        <v>1301</v>
      </c>
      <c r="N9" s="1229" t="s">
        <v>1302</v>
      </c>
      <c r="O9" s="1229" t="s">
        <v>1304</v>
      </c>
      <c r="P9" s="1229" t="s">
        <v>1778</v>
      </c>
      <c r="Q9" s="1229" t="s">
        <v>1306</v>
      </c>
      <c r="R9" s="1229" t="s">
        <v>1308</v>
      </c>
      <c r="S9" s="1229"/>
      <c r="T9" s="1229" t="s">
        <v>1779</v>
      </c>
      <c r="U9" s="1229" t="s">
        <v>1780</v>
      </c>
      <c r="V9" s="1229" t="s">
        <v>1781</v>
      </c>
      <c r="W9" s="1229" t="s">
        <v>1293</v>
      </c>
      <c r="X9" s="1229" t="s">
        <v>1295</v>
      </c>
      <c r="Y9" s="1230" t="s">
        <v>1297</v>
      </c>
      <c r="Z9" s="1229" t="s">
        <v>1311</v>
      </c>
      <c r="AA9" s="1230" t="s">
        <v>1299</v>
      </c>
      <c r="AB9" s="1229" t="s">
        <v>1301</v>
      </c>
      <c r="AC9" s="1229" t="s">
        <v>1304</v>
      </c>
      <c r="AD9" s="1229" t="s">
        <v>1306</v>
      </c>
      <c r="AE9" s="1229"/>
      <c r="AF9" s="1229"/>
      <c r="AG9" s="1231" t="s">
        <v>1782</v>
      </c>
      <c r="AH9" s="1231" t="s">
        <v>1783</v>
      </c>
    </row>
    <row r="10" spans="1:34" ht="10.5" customHeight="1" thickBot="1" x14ac:dyDescent="0.25">
      <c r="A10" s="1435">
        <v>1</v>
      </c>
      <c r="B10" s="1436"/>
      <c r="C10" s="1437"/>
      <c r="D10" s="1232">
        <v>2</v>
      </c>
      <c r="E10" s="1233">
        <v>7</v>
      </c>
      <c r="F10" s="1233"/>
      <c r="G10" s="1233"/>
      <c r="H10" s="1233"/>
      <c r="I10" s="1233"/>
      <c r="J10" s="1234"/>
      <c r="K10" s="1233"/>
      <c r="L10" s="1233"/>
      <c r="M10" s="1233"/>
      <c r="N10" s="1233"/>
      <c r="O10" s="1233"/>
      <c r="P10" s="1233"/>
      <c r="Q10" s="1233"/>
      <c r="R10" s="1235"/>
      <c r="S10" s="1233"/>
      <c r="T10" s="1233">
        <v>8</v>
      </c>
      <c r="U10" s="1233"/>
      <c r="V10" s="1233"/>
      <c r="W10" s="1233"/>
      <c r="X10" s="1233"/>
      <c r="Y10" s="1233"/>
      <c r="Z10" s="1233"/>
      <c r="AA10" s="1233"/>
      <c r="AB10" s="1233"/>
      <c r="AC10" s="1233"/>
      <c r="AD10" s="1233"/>
      <c r="AE10" s="1233"/>
      <c r="AF10" s="1233"/>
      <c r="AG10" s="1236">
        <v>9</v>
      </c>
      <c r="AH10" s="1236">
        <v>9</v>
      </c>
    </row>
    <row r="11" spans="1:34" s="1243" customFormat="1" ht="12.75" customHeight="1" thickTop="1" x14ac:dyDescent="0.2">
      <c r="A11" s="1438" t="s">
        <v>1784</v>
      </c>
      <c r="B11" s="1439"/>
      <c r="C11" s="1439"/>
      <c r="D11" s="1440"/>
      <c r="E11" s="1237">
        <f>SUM(E98,E100,E115)</f>
        <v>102522120</v>
      </c>
      <c r="F11" s="1237">
        <f>SUM(F98,F100,F115)</f>
        <v>95100500</v>
      </c>
      <c r="G11" s="1237">
        <f t="shared" ref="G11:S11" si="0">SUM(G98,G100,G115)</f>
        <v>-7421620</v>
      </c>
      <c r="H11" s="1237">
        <f t="shared" si="0"/>
        <v>-502126</v>
      </c>
      <c r="I11" s="1237">
        <f t="shared" si="0"/>
        <v>102333</v>
      </c>
      <c r="J11" s="1237">
        <f t="shared" si="0"/>
        <v>69285</v>
      </c>
      <c r="K11" s="1237">
        <f t="shared" si="0"/>
        <v>-6494</v>
      </c>
      <c r="L11" s="1237">
        <f t="shared" si="0"/>
        <v>83988</v>
      </c>
      <c r="M11" s="1238">
        <f>SUM(M98,M100,M115)</f>
        <v>738</v>
      </c>
      <c r="N11" s="1238">
        <f t="shared" si="0"/>
        <v>3334</v>
      </c>
      <c r="O11" s="1237">
        <f t="shared" si="0"/>
        <v>29303</v>
      </c>
      <c r="P11" s="1238">
        <f t="shared" si="0"/>
        <v>9544</v>
      </c>
      <c r="Q11" s="1238">
        <f t="shared" si="0"/>
        <v>19973</v>
      </c>
      <c r="R11" s="1239">
        <f t="shared" si="0"/>
        <v>-7231498</v>
      </c>
      <c r="S11" s="1237">
        <f t="shared" si="0"/>
        <v>0</v>
      </c>
      <c r="T11" s="1237">
        <f>SUM(T98,T100,T115)</f>
        <v>-1806440</v>
      </c>
      <c r="U11" s="1237">
        <f t="shared" ref="U11:AF11" si="1">SUM(U98,U100,U115)</f>
        <v>-1712052</v>
      </c>
      <c r="V11" s="1237">
        <f t="shared" si="1"/>
        <v>94388</v>
      </c>
      <c r="W11" s="1237">
        <f t="shared" si="1"/>
        <v>151722</v>
      </c>
      <c r="X11" s="1237">
        <f t="shared" si="1"/>
        <v>-936</v>
      </c>
      <c r="Y11" s="1237">
        <f t="shared" si="1"/>
        <v>-28181</v>
      </c>
      <c r="Z11" s="1237">
        <f t="shared" si="1"/>
        <v>1145</v>
      </c>
      <c r="AA11" s="1237">
        <f t="shared" si="1"/>
        <v>-28047</v>
      </c>
      <c r="AB11" s="1240">
        <f t="shared" si="1"/>
        <v>-738</v>
      </c>
      <c r="AC11" s="1241">
        <f t="shared" si="1"/>
        <v>-1</v>
      </c>
      <c r="AD11" s="1240">
        <f t="shared" si="1"/>
        <v>-576</v>
      </c>
      <c r="AE11" s="1241">
        <f t="shared" si="1"/>
        <v>0</v>
      </c>
      <c r="AF11" s="1241">
        <f t="shared" si="1"/>
        <v>0</v>
      </c>
      <c r="AG11" s="1242">
        <f>SUM(AG98,AG100,AG115)</f>
        <v>100715680</v>
      </c>
      <c r="AH11" s="1242">
        <f>SUM(AH98,AH100,AH115)</f>
        <v>93388448</v>
      </c>
    </row>
    <row r="12" spans="1:34" s="1243" customFormat="1" ht="7.5" customHeight="1" x14ac:dyDescent="0.2">
      <c r="A12" s="1244"/>
      <c r="B12" s="1245"/>
      <c r="C12" s="1246"/>
      <c r="D12" s="1247"/>
      <c r="E12" s="1248"/>
      <c r="F12" s="1248"/>
      <c r="G12" s="1248"/>
      <c r="H12" s="1248"/>
      <c r="I12" s="1248"/>
      <c r="J12" s="1248"/>
      <c r="K12" s="1248"/>
      <c r="L12" s="1248"/>
      <c r="M12" s="1248"/>
      <c r="N12" s="1248"/>
      <c r="O12" s="1248"/>
      <c r="P12" s="1248"/>
      <c r="Q12" s="1248"/>
      <c r="R12" s="1249"/>
      <c r="S12" s="1248"/>
      <c r="T12" s="1248"/>
      <c r="U12" s="1250"/>
      <c r="V12" s="1251"/>
      <c r="W12" s="1250"/>
      <c r="X12" s="1250"/>
      <c r="Y12" s="1250"/>
      <c r="Z12" s="1250"/>
      <c r="AA12" s="1250"/>
      <c r="AB12" s="1250"/>
      <c r="AC12" s="1250"/>
      <c r="AD12" s="1250"/>
      <c r="AE12" s="1250"/>
      <c r="AF12" s="1250"/>
      <c r="AG12" s="1252"/>
      <c r="AH12" s="1252"/>
    </row>
    <row r="13" spans="1:34" s="1260" customFormat="1" x14ac:dyDescent="0.2">
      <c r="A13" s="1441" t="s">
        <v>1785</v>
      </c>
      <c r="B13" s="1442"/>
      <c r="C13" s="1442"/>
      <c r="D13" s="1253" t="s">
        <v>1786</v>
      </c>
      <c r="E13" s="1254">
        <f t="shared" ref="E13:AH14" si="2">E14</f>
        <v>46562516</v>
      </c>
      <c r="F13" s="1254">
        <f t="shared" si="2"/>
        <v>47022192</v>
      </c>
      <c r="G13" s="1254">
        <f t="shared" si="2"/>
        <v>459676</v>
      </c>
      <c r="H13" s="1254">
        <f t="shared" si="2"/>
        <v>107973</v>
      </c>
      <c r="I13" s="1254">
        <f t="shared" si="2"/>
        <v>0</v>
      </c>
      <c r="J13" s="1254">
        <f t="shared" si="2"/>
        <v>0</v>
      </c>
      <c r="K13" s="1255">
        <f t="shared" si="2"/>
        <v>0</v>
      </c>
      <c r="L13" s="1255">
        <f t="shared" si="2"/>
        <v>0</v>
      </c>
      <c r="M13" s="1255">
        <f t="shared" si="2"/>
        <v>0</v>
      </c>
      <c r="N13" s="1255">
        <f t="shared" si="2"/>
        <v>0</v>
      </c>
      <c r="O13" s="1255">
        <f t="shared" si="2"/>
        <v>0</v>
      </c>
      <c r="P13" s="1255">
        <f t="shared" si="2"/>
        <v>0</v>
      </c>
      <c r="Q13" s="1255">
        <f t="shared" si="2"/>
        <v>0</v>
      </c>
      <c r="R13" s="1256">
        <f t="shared" si="2"/>
        <v>351703</v>
      </c>
      <c r="S13" s="1255">
        <f t="shared" si="2"/>
        <v>0</v>
      </c>
      <c r="T13" s="1255">
        <f t="shared" si="2"/>
        <v>0</v>
      </c>
      <c r="U13" s="1257">
        <f t="shared" si="2"/>
        <v>0</v>
      </c>
      <c r="V13" s="1257">
        <f t="shared" si="2"/>
        <v>0</v>
      </c>
      <c r="W13" s="1257">
        <f t="shared" si="2"/>
        <v>0</v>
      </c>
      <c r="X13" s="1257">
        <f t="shared" si="2"/>
        <v>0</v>
      </c>
      <c r="Y13" s="1257">
        <f t="shared" si="2"/>
        <v>0</v>
      </c>
      <c r="Z13" s="1257">
        <f t="shared" si="2"/>
        <v>0</v>
      </c>
      <c r="AA13" s="1257">
        <f t="shared" si="2"/>
        <v>0</v>
      </c>
      <c r="AB13" s="1257">
        <f t="shared" si="2"/>
        <v>0</v>
      </c>
      <c r="AC13" s="1257">
        <f t="shared" si="2"/>
        <v>0</v>
      </c>
      <c r="AD13" s="1257">
        <f t="shared" si="2"/>
        <v>0</v>
      </c>
      <c r="AE13" s="1257">
        <f t="shared" si="2"/>
        <v>0</v>
      </c>
      <c r="AF13" s="1258">
        <f t="shared" si="2"/>
        <v>0</v>
      </c>
      <c r="AG13" s="1259">
        <f t="shared" si="2"/>
        <v>46562516</v>
      </c>
      <c r="AH13" s="1259">
        <f t="shared" si="2"/>
        <v>47022192</v>
      </c>
    </row>
    <row r="14" spans="1:34" s="1243" customFormat="1" x14ac:dyDescent="0.2">
      <c r="A14" s="1261"/>
      <c r="B14" s="1431" t="s">
        <v>1787</v>
      </c>
      <c r="C14" s="1431"/>
      <c r="D14" s="1262" t="s">
        <v>1788</v>
      </c>
      <c r="E14" s="1263">
        <f t="shared" si="2"/>
        <v>46562516</v>
      </c>
      <c r="F14" s="1263">
        <f t="shared" si="2"/>
        <v>47022192</v>
      </c>
      <c r="G14" s="1263">
        <f t="shared" si="2"/>
        <v>459676</v>
      </c>
      <c r="H14" s="1263">
        <f t="shared" si="2"/>
        <v>107973</v>
      </c>
      <c r="I14" s="1263">
        <f t="shared" si="2"/>
        <v>0</v>
      </c>
      <c r="J14" s="1263">
        <f t="shared" si="2"/>
        <v>0</v>
      </c>
      <c r="K14" s="1263">
        <f t="shared" si="2"/>
        <v>0</v>
      </c>
      <c r="L14" s="1263">
        <f t="shared" si="2"/>
        <v>0</v>
      </c>
      <c r="M14" s="1263">
        <f t="shared" si="2"/>
        <v>0</v>
      </c>
      <c r="N14" s="1263">
        <f t="shared" si="2"/>
        <v>0</v>
      </c>
      <c r="O14" s="1263">
        <f t="shared" si="2"/>
        <v>0</v>
      </c>
      <c r="P14" s="1263">
        <f t="shared" si="2"/>
        <v>0</v>
      </c>
      <c r="Q14" s="1263">
        <f t="shared" si="2"/>
        <v>0</v>
      </c>
      <c r="R14" s="1264">
        <f t="shared" si="2"/>
        <v>351703</v>
      </c>
      <c r="S14" s="1263">
        <f t="shared" si="2"/>
        <v>0</v>
      </c>
      <c r="T14" s="1263">
        <f t="shared" si="2"/>
        <v>0</v>
      </c>
      <c r="U14" s="1251">
        <f t="shared" si="2"/>
        <v>0</v>
      </c>
      <c r="V14" s="1251">
        <f t="shared" si="2"/>
        <v>0</v>
      </c>
      <c r="W14" s="1251">
        <f t="shared" si="2"/>
        <v>0</v>
      </c>
      <c r="X14" s="1251">
        <f t="shared" si="2"/>
        <v>0</v>
      </c>
      <c r="Y14" s="1251">
        <f t="shared" si="2"/>
        <v>0</v>
      </c>
      <c r="Z14" s="1251">
        <f t="shared" si="2"/>
        <v>0</v>
      </c>
      <c r="AA14" s="1251">
        <f t="shared" si="2"/>
        <v>0</v>
      </c>
      <c r="AB14" s="1251">
        <f t="shared" si="2"/>
        <v>0</v>
      </c>
      <c r="AC14" s="1251">
        <f t="shared" si="2"/>
        <v>0</v>
      </c>
      <c r="AD14" s="1251">
        <f t="shared" si="2"/>
        <v>0</v>
      </c>
      <c r="AE14" s="1251">
        <f t="shared" si="2"/>
        <v>0</v>
      </c>
      <c r="AF14" s="1251">
        <f t="shared" si="2"/>
        <v>0</v>
      </c>
      <c r="AG14" s="1265">
        <f t="shared" si="2"/>
        <v>46562516</v>
      </c>
      <c r="AH14" s="1265">
        <f t="shared" si="2"/>
        <v>47022192</v>
      </c>
    </row>
    <row r="15" spans="1:34" x14ac:dyDescent="0.2">
      <c r="A15" s="1266"/>
      <c r="B15" s="1444" t="s">
        <v>1789</v>
      </c>
      <c r="C15" s="1444"/>
      <c r="D15" s="1267" t="s">
        <v>1790</v>
      </c>
      <c r="E15" s="1268">
        <f t="shared" ref="E15:AH15" si="3">SUM(E16:E17)</f>
        <v>46562516</v>
      </c>
      <c r="F15" s="1268">
        <f t="shared" si="3"/>
        <v>47022192</v>
      </c>
      <c r="G15" s="1268">
        <f t="shared" si="3"/>
        <v>459676</v>
      </c>
      <c r="H15" s="1268">
        <f t="shared" si="3"/>
        <v>107973</v>
      </c>
      <c r="I15" s="1268">
        <f t="shared" si="3"/>
        <v>0</v>
      </c>
      <c r="J15" s="1268">
        <f t="shared" si="3"/>
        <v>0</v>
      </c>
      <c r="K15" s="1268">
        <f t="shared" si="3"/>
        <v>0</v>
      </c>
      <c r="L15" s="1268">
        <f t="shared" si="3"/>
        <v>0</v>
      </c>
      <c r="M15" s="1268">
        <f t="shared" si="3"/>
        <v>0</v>
      </c>
      <c r="N15" s="1268">
        <f t="shared" si="3"/>
        <v>0</v>
      </c>
      <c r="O15" s="1268">
        <f t="shared" si="3"/>
        <v>0</v>
      </c>
      <c r="P15" s="1268">
        <f t="shared" si="3"/>
        <v>0</v>
      </c>
      <c r="Q15" s="1268">
        <f t="shared" si="3"/>
        <v>0</v>
      </c>
      <c r="R15" s="1269">
        <f t="shared" si="3"/>
        <v>351703</v>
      </c>
      <c r="S15" s="1268">
        <f t="shared" si="3"/>
        <v>0</v>
      </c>
      <c r="T15" s="1268">
        <f t="shared" si="3"/>
        <v>0</v>
      </c>
      <c r="U15" s="1270">
        <f t="shared" si="3"/>
        <v>0</v>
      </c>
      <c r="V15" s="1270">
        <f t="shared" si="3"/>
        <v>0</v>
      </c>
      <c r="W15" s="1270">
        <f t="shared" si="3"/>
        <v>0</v>
      </c>
      <c r="X15" s="1270">
        <f t="shared" si="3"/>
        <v>0</v>
      </c>
      <c r="Y15" s="1270">
        <f t="shared" si="3"/>
        <v>0</v>
      </c>
      <c r="Z15" s="1270">
        <f t="shared" si="3"/>
        <v>0</v>
      </c>
      <c r="AA15" s="1270">
        <f t="shared" si="3"/>
        <v>0</v>
      </c>
      <c r="AB15" s="1270">
        <f t="shared" si="3"/>
        <v>0</v>
      </c>
      <c r="AC15" s="1270">
        <f t="shared" si="3"/>
        <v>0</v>
      </c>
      <c r="AD15" s="1270">
        <f t="shared" si="3"/>
        <v>0</v>
      </c>
      <c r="AE15" s="1270">
        <f t="shared" si="3"/>
        <v>0</v>
      </c>
      <c r="AF15" s="1270">
        <f t="shared" si="3"/>
        <v>0</v>
      </c>
      <c r="AG15" s="1271">
        <f t="shared" si="3"/>
        <v>46562516</v>
      </c>
      <c r="AH15" s="1271">
        <f t="shared" si="3"/>
        <v>47022192</v>
      </c>
    </row>
    <row r="16" spans="1:34" ht="24" x14ac:dyDescent="0.2">
      <c r="A16" s="1272"/>
      <c r="B16" s="1445" t="s">
        <v>1791</v>
      </c>
      <c r="C16" s="1445"/>
      <c r="D16" s="1273" t="s">
        <v>1792</v>
      </c>
      <c r="E16" s="1274">
        <v>205965</v>
      </c>
      <c r="F16" s="1274">
        <f>G16+E16</f>
        <v>313938</v>
      </c>
      <c r="G16" s="1274">
        <f>SUM(H16:S16)</f>
        <v>107973</v>
      </c>
      <c r="H16" s="1274">
        <v>107973</v>
      </c>
      <c r="I16" s="1274"/>
      <c r="J16" s="1274"/>
      <c r="K16" s="1274"/>
      <c r="L16" s="1274"/>
      <c r="M16" s="1274"/>
      <c r="N16" s="1274"/>
      <c r="O16" s="1274"/>
      <c r="P16" s="1274"/>
      <c r="Q16" s="1274"/>
      <c r="R16" s="1275"/>
      <c r="S16" s="1274"/>
      <c r="T16" s="1274"/>
      <c r="U16" s="1276">
        <f>V16+T16</f>
        <v>0</v>
      </c>
      <c r="V16" s="1276">
        <f>SUM(W16:AF16)</f>
        <v>0</v>
      </c>
      <c r="W16" s="1276"/>
      <c r="X16" s="1276"/>
      <c r="Y16" s="1276"/>
      <c r="Z16" s="1276"/>
      <c r="AA16" s="1276"/>
      <c r="AB16" s="1276"/>
      <c r="AC16" s="1276"/>
      <c r="AD16" s="1276"/>
      <c r="AE16" s="1276"/>
      <c r="AF16" s="1276"/>
      <c r="AG16" s="1277">
        <f>E16+T16</f>
        <v>205965</v>
      </c>
      <c r="AH16" s="1277">
        <f>F16+U16</f>
        <v>313938</v>
      </c>
    </row>
    <row r="17" spans="1:34" ht="24" x14ac:dyDescent="0.2">
      <c r="A17" s="1278"/>
      <c r="B17" s="1446" t="s">
        <v>1793</v>
      </c>
      <c r="C17" s="1446"/>
      <c r="D17" s="1279" t="s">
        <v>1794</v>
      </c>
      <c r="E17" s="1280">
        <v>46356551</v>
      </c>
      <c r="F17" s="1281">
        <f>G17+E17</f>
        <v>46708254</v>
      </c>
      <c r="G17" s="1281">
        <f>SUM(H17:S17)</f>
        <v>351703</v>
      </c>
      <c r="H17" s="1281"/>
      <c r="I17" s="1281"/>
      <c r="J17" s="1281"/>
      <c r="K17" s="1281"/>
      <c r="L17" s="1281"/>
      <c r="M17" s="1281"/>
      <c r="N17" s="1281"/>
      <c r="O17" s="1281"/>
      <c r="P17" s="1281"/>
      <c r="Q17" s="1281"/>
      <c r="R17" s="1282">
        <v>351703</v>
      </c>
      <c r="S17" s="1281"/>
      <c r="T17" s="1281"/>
      <c r="U17" s="1283">
        <f>V17+T17</f>
        <v>0</v>
      </c>
      <c r="V17" s="1283">
        <f>SUM(W17:AF17)</f>
        <v>0</v>
      </c>
      <c r="W17" s="1283"/>
      <c r="X17" s="1283"/>
      <c r="Y17" s="1283"/>
      <c r="Z17" s="1283"/>
      <c r="AA17" s="1283"/>
      <c r="AB17" s="1283"/>
      <c r="AC17" s="1283"/>
      <c r="AD17" s="1283"/>
      <c r="AE17" s="1283"/>
      <c r="AF17" s="1283"/>
      <c r="AG17" s="1284">
        <f>E17+T17</f>
        <v>46356551</v>
      </c>
      <c r="AH17" s="1284">
        <f>F17+U17</f>
        <v>46708254</v>
      </c>
    </row>
    <row r="18" spans="1:34" s="1260" customFormat="1" x14ac:dyDescent="0.2">
      <c r="A18" s="1441" t="s">
        <v>1795</v>
      </c>
      <c r="B18" s="1442"/>
      <c r="C18" s="1442"/>
      <c r="D18" s="1253" t="s">
        <v>1796</v>
      </c>
      <c r="E18" s="1285">
        <f t="shared" ref="E18:AH18" si="4">SUM(E19)</f>
        <v>9084888</v>
      </c>
      <c r="F18" s="1285">
        <f t="shared" si="4"/>
        <v>9588888</v>
      </c>
      <c r="G18" s="1285">
        <f t="shared" si="4"/>
        <v>504000</v>
      </c>
      <c r="H18" s="1285">
        <f t="shared" si="4"/>
        <v>504000</v>
      </c>
      <c r="I18" s="1285">
        <f t="shared" si="4"/>
        <v>0</v>
      </c>
      <c r="J18" s="1285">
        <f t="shared" si="4"/>
        <v>0</v>
      </c>
      <c r="K18" s="1286">
        <f t="shared" si="4"/>
        <v>0</v>
      </c>
      <c r="L18" s="1286">
        <f t="shared" si="4"/>
        <v>0</v>
      </c>
      <c r="M18" s="1286">
        <f t="shared" si="4"/>
        <v>0</v>
      </c>
      <c r="N18" s="1286">
        <f t="shared" si="4"/>
        <v>0</v>
      </c>
      <c r="O18" s="1286">
        <f t="shared" si="4"/>
        <v>0</v>
      </c>
      <c r="P18" s="1286">
        <f t="shared" si="4"/>
        <v>0</v>
      </c>
      <c r="Q18" s="1286">
        <f t="shared" si="4"/>
        <v>0</v>
      </c>
      <c r="R18" s="1287">
        <f>SUM(R19)</f>
        <v>0</v>
      </c>
      <c r="S18" s="1286">
        <f t="shared" si="4"/>
        <v>0</v>
      </c>
      <c r="T18" s="1286">
        <f t="shared" si="4"/>
        <v>0</v>
      </c>
      <c r="U18" s="1288">
        <f t="shared" si="4"/>
        <v>0</v>
      </c>
      <c r="V18" s="1288">
        <f t="shared" si="4"/>
        <v>0</v>
      </c>
      <c r="W18" s="1288">
        <f t="shared" si="4"/>
        <v>0</v>
      </c>
      <c r="X18" s="1288">
        <f t="shared" si="4"/>
        <v>0</v>
      </c>
      <c r="Y18" s="1288">
        <f t="shared" si="4"/>
        <v>0</v>
      </c>
      <c r="Z18" s="1288">
        <f t="shared" si="4"/>
        <v>0</v>
      </c>
      <c r="AA18" s="1288">
        <f t="shared" si="4"/>
        <v>0</v>
      </c>
      <c r="AB18" s="1288">
        <f t="shared" si="4"/>
        <v>0</v>
      </c>
      <c r="AC18" s="1288">
        <f t="shared" si="4"/>
        <v>0</v>
      </c>
      <c r="AD18" s="1288">
        <f t="shared" si="4"/>
        <v>0</v>
      </c>
      <c r="AE18" s="1288">
        <f t="shared" si="4"/>
        <v>0</v>
      </c>
      <c r="AF18" s="1289">
        <f t="shared" si="4"/>
        <v>0</v>
      </c>
      <c r="AG18" s="1290">
        <f t="shared" si="4"/>
        <v>9084888</v>
      </c>
      <c r="AH18" s="1290">
        <f t="shared" si="4"/>
        <v>9588888</v>
      </c>
    </row>
    <row r="19" spans="1:34" s="1243" customFormat="1" x14ac:dyDescent="0.2">
      <c r="A19" s="1261"/>
      <c r="B19" s="1431" t="s">
        <v>1797</v>
      </c>
      <c r="C19" s="1431"/>
      <c r="D19" s="1262" t="s">
        <v>1798</v>
      </c>
      <c r="E19" s="1291">
        <f t="shared" ref="E19:AH19" si="5">SUM(E20,E23,E26)</f>
        <v>9084888</v>
      </c>
      <c r="F19" s="1291">
        <f t="shared" si="5"/>
        <v>9588888</v>
      </c>
      <c r="G19" s="1291">
        <f t="shared" si="5"/>
        <v>504000</v>
      </c>
      <c r="H19" s="1291">
        <f t="shared" si="5"/>
        <v>504000</v>
      </c>
      <c r="I19" s="1291">
        <f t="shared" si="5"/>
        <v>0</v>
      </c>
      <c r="J19" s="1291">
        <f t="shared" si="5"/>
        <v>0</v>
      </c>
      <c r="K19" s="1291">
        <f t="shared" si="5"/>
        <v>0</v>
      </c>
      <c r="L19" s="1291">
        <f t="shared" si="5"/>
        <v>0</v>
      </c>
      <c r="M19" s="1291">
        <f t="shared" si="5"/>
        <v>0</v>
      </c>
      <c r="N19" s="1291">
        <f t="shared" si="5"/>
        <v>0</v>
      </c>
      <c r="O19" s="1291">
        <f t="shared" si="5"/>
        <v>0</v>
      </c>
      <c r="P19" s="1291">
        <f t="shared" si="5"/>
        <v>0</v>
      </c>
      <c r="Q19" s="1291">
        <f t="shared" si="5"/>
        <v>0</v>
      </c>
      <c r="R19" s="1292">
        <f t="shared" si="5"/>
        <v>0</v>
      </c>
      <c r="S19" s="1291">
        <f t="shared" si="5"/>
        <v>0</v>
      </c>
      <c r="T19" s="1291">
        <f t="shared" si="5"/>
        <v>0</v>
      </c>
      <c r="U19" s="1293">
        <f t="shared" si="5"/>
        <v>0</v>
      </c>
      <c r="V19" s="1293">
        <f t="shared" si="5"/>
        <v>0</v>
      </c>
      <c r="W19" s="1293">
        <f t="shared" si="5"/>
        <v>0</v>
      </c>
      <c r="X19" s="1293">
        <f t="shared" si="5"/>
        <v>0</v>
      </c>
      <c r="Y19" s="1293">
        <f t="shared" si="5"/>
        <v>0</v>
      </c>
      <c r="Z19" s="1293">
        <f t="shared" si="5"/>
        <v>0</v>
      </c>
      <c r="AA19" s="1293">
        <f t="shared" si="5"/>
        <v>0</v>
      </c>
      <c r="AB19" s="1293">
        <f t="shared" si="5"/>
        <v>0</v>
      </c>
      <c r="AC19" s="1293">
        <f t="shared" si="5"/>
        <v>0</v>
      </c>
      <c r="AD19" s="1293">
        <f t="shared" si="5"/>
        <v>0</v>
      </c>
      <c r="AE19" s="1293">
        <f t="shared" si="5"/>
        <v>0</v>
      </c>
      <c r="AF19" s="1293">
        <f t="shared" si="5"/>
        <v>0</v>
      </c>
      <c r="AG19" s="1294">
        <f t="shared" si="5"/>
        <v>9084888</v>
      </c>
      <c r="AH19" s="1294">
        <f t="shared" si="5"/>
        <v>9588888</v>
      </c>
    </row>
    <row r="20" spans="1:34" x14ac:dyDescent="0.2">
      <c r="A20" s="1295"/>
      <c r="B20" s="1443" t="s">
        <v>1799</v>
      </c>
      <c r="C20" s="1443"/>
      <c r="D20" s="1296" t="s">
        <v>1800</v>
      </c>
      <c r="E20" s="1297">
        <f>SUM(E21:E22)</f>
        <v>4846769</v>
      </c>
      <c r="F20" s="1297">
        <f>SUM(F21:F22)</f>
        <v>4986769</v>
      </c>
      <c r="G20" s="1297">
        <f t="shared" ref="G20:S20" si="6">SUM(G21:G22)</f>
        <v>140000</v>
      </c>
      <c r="H20" s="1297">
        <f t="shared" si="6"/>
        <v>140000</v>
      </c>
      <c r="I20" s="1297">
        <f t="shared" si="6"/>
        <v>0</v>
      </c>
      <c r="J20" s="1297">
        <f t="shared" si="6"/>
        <v>0</v>
      </c>
      <c r="K20" s="1297">
        <f t="shared" si="6"/>
        <v>0</v>
      </c>
      <c r="L20" s="1297">
        <f t="shared" si="6"/>
        <v>0</v>
      </c>
      <c r="M20" s="1297">
        <f t="shared" si="6"/>
        <v>0</v>
      </c>
      <c r="N20" s="1297">
        <f t="shared" si="6"/>
        <v>0</v>
      </c>
      <c r="O20" s="1297">
        <f t="shared" si="6"/>
        <v>0</v>
      </c>
      <c r="P20" s="1297">
        <f t="shared" si="6"/>
        <v>0</v>
      </c>
      <c r="Q20" s="1297">
        <f t="shared" si="6"/>
        <v>0</v>
      </c>
      <c r="R20" s="1298">
        <f t="shared" si="6"/>
        <v>0</v>
      </c>
      <c r="S20" s="1297">
        <f t="shared" si="6"/>
        <v>0</v>
      </c>
      <c r="T20" s="1297">
        <f>SUM(T21:T22)</f>
        <v>0</v>
      </c>
      <c r="U20" s="1299">
        <f t="shared" ref="U20:AF20" si="7">SUM(U21:U22)</f>
        <v>0</v>
      </c>
      <c r="V20" s="1299">
        <f t="shared" si="7"/>
        <v>0</v>
      </c>
      <c r="W20" s="1299">
        <f t="shared" si="7"/>
        <v>0</v>
      </c>
      <c r="X20" s="1299">
        <f t="shared" si="7"/>
        <v>0</v>
      </c>
      <c r="Y20" s="1299">
        <f t="shared" si="7"/>
        <v>0</v>
      </c>
      <c r="Z20" s="1299">
        <f t="shared" si="7"/>
        <v>0</v>
      </c>
      <c r="AA20" s="1299">
        <f t="shared" si="7"/>
        <v>0</v>
      </c>
      <c r="AB20" s="1299">
        <f t="shared" si="7"/>
        <v>0</v>
      </c>
      <c r="AC20" s="1299">
        <f t="shared" si="7"/>
        <v>0</v>
      </c>
      <c r="AD20" s="1299">
        <f t="shared" si="7"/>
        <v>0</v>
      </c>
      <c r="AE20" s="1299">
        <f t="shared" si="7"/>
        <v>0</v>
      </c>
      <c r="AF20" s="1299">
        <f t="shared" si="7"/>
        <v>0</v>
      </c>
      <c r="AG20" s="1300">
        <f>SUM(AG21:AG22)</f>
        <v>4846769</v>
      </c>
      <c r="AH20" s="1300">
        <f>SUM(AH21:AH22)</f>
        <v>4986769</v>
      </c>
    </row>
    <row r="21" spans="1:34" ht="24" x14ac:dyDescent="0.2">
      <c r="A21" s="1272"/>
      <c r="B21" s="1445" t="s">
        <v>1801</v>
      </c>
      <c r="C21" s="1445"/>
      <c r="D21" s="1273" t="s">
        <v>1802</v>
      </c>
      <c r="E21" s="1274">
        <v>4346769</v>
      </c>
      <c r="F21" s="1274">
        <f t="shared" ref="F21:F22" si="8">G21+E21</f>
        <v>4454769</v>
      </c>
      <c r="G21" s="1274">
        <f t="shared" ref="G21:G22" si="9">SUM(H21:S21)</f>
        <v>108000</v>
      </c>
      <c r="H21" s="1274">
        <v>108000</v>
      </c>
      <c r="I21" s="1274"/>
      <c r="J21" s="1274"/>
      <c r="K21" s="1274"/>
      <c r="L21" s="1274"/>
      <c r="M21" s="1274"/>
      <c r="N21" s="1274"/>
      <c r="O21" s="1274"/>
      <c r="P21" s="1274"/>
      <c r="Q21" s="1274"/>
      <c r="R21" s="1275"/>
      <c r="S21" s="1274"/>
      <c r="T21" s="1274"/>
      <c r="U21" s="1276">
        <f t="shared" ref="U21:U22" si="10">V21+T21</f>
        <v>0</v>
      </c>
      <c r="V21" s="1276">
        <f>SUM(W21:AF21)</f>
        <v>0</v>
      </c>
      <c r="W21" s="1276"/>
      <c r="X21" s="1276"/>
      <c r="Y21" s="1276"/>
      <c r="Z21" s="1276"/>
      <c r="AA21" s="1276"/>
      <c r="AB21" s="1276"/>
      <c r="AC21" s="1276"/>
      <c r="AD21" s="1276"/>
      <c r="AE21" s="1276"/>
      <c r="AF21" s="1276"/>
      <c r="AG21" s="1277">
        <f>E21+T21</f>
        <v>4346769</v>
      </c>
      <c r="AH21" s="1277">
        <f>F21+U21</f>
        <v>4454769</v>
      </c>
    </row>
    <row r="22" spans="1:34" ht="24" x14ac:dyDescent="0.2">
      <c r="A22" s="1278"/>
      <c r="B22" s="1447" t="s">
        <v>1803</v>
      </c>
      <c r="C22" s="1447"/>
      <c r="D22" s="1279" t="s">
        <v>1804</v>
      </c>
      <c r="E22" s="1280">
        <v>500000</v>
      </c>
      <c r="F22" s="1281">
        <f t="shared" si="8"/>
        <v>532000</v>
      </c>
      <c r="G22" s="1281">
        <f t="shared" si="9"/>
        <v>32000</v>
      </c>
      <c r="H22" s="1281">
        <v>32000</v>
      </c>
      <c r="I22" s="1281"/>
      <c r="J22" s="1281"/>
      <c r="K22" s="1281"/>
      <c r="L22" s="1281"/>
      <c r="M22" s="1281"/>
      <c r="N22" s="1281"/>
      <c r="O22" s="1281"/>
      <c r="P22" s="1281"/>
      <c r="Q22" s="1281"/>
      <c r="R22" s="1282"/>
      <c r="S22" s="1281"/>
      <c r="T22" s="1281"/>
      <c r="U22" s="1283">
        <f t="shared" si="10"/>
        <v>0</v>
      </c>
      <c r="V22" s="1283">
        <f>SUM(W22:AF22)</f>
        <v>0</v>
      </c>
      <c r="W22" s="1283"/>
      <c r="X22" s="1283"/>
      <c r="Y22" s="1283"/>
      <c r="Z22" s="1283"/>
      <c r="AA22" s="1283"/>
      <c r="AB22" s="1283"/>
      <c r="AC22" s="1283"/>
      <c r="AD22" s="1283"/>
      <c r="AE22" s="1283"/>
      <c r="AF22" s="1283"/>
      <c r="AG22" s="1284">
        <f>E22+T22</f>
        <v>500000</v>
      </c>
      <c r="AH22" s="1284">
        <f>F22+U22</f>
        <v>532000</v>
      </c>
    </row>
    <row r="23" spans="1:34" x14ac:dyDescent="0.2">
      <c r="A23" s="1295"/>
      <c r="B23" s="1443" t="s">
        <v>1805</v>
      </c>
      <c r="C23" s="1443"/>
      <c r="D23" s="1296" t="s">
        <v>1806</v>
      </c>
      <c r="E23" s="1297">
        <f>SUM(E24:E25)</f>
        <v>3564005</v>
      </c>
      <c r="F23" s="1297">
        <f>SUM(F24:F25)</f>
        <v>3023005</v>
      </c>
      <c r="G23" s="1297">
        <f t="shared" ref="G23:S23" si="11">SUM(G24:G25)</f>
        <v>-541000</v>
      </c>
      <c r="H23" s="1297">
        <f t="shared" si="11"/>
        <v>330000</v>
      </c>
      <c r="I23" s="1297">
        <f t="shared" si="11"/>
        <v>0</v>
      </c>
      <c r="J23" s="1297">
        <f t="shared" si="11"/>
        <v>0</v>
      </c>
      <c r="K23" s="1297">
        <f t="shared" si="11"/>
        <v>0</v>
      </c>
      <c r="L23" s="1297">
        <f t="shared" si="11"/>
        <v>-871000</v>
      </c>
      <c r="M23" s="1297">
        <f t="shared" si="11"/>
        <v>0</v>
      </c>
      <c r="N23" s="1297">
        <f t="shared" si="11"/>
        <v>0</v>
      </c>
      <c r="O23" s="1297">
        <f t="shared" si="11"/>
        <v>0</v>
      </c>
      <c r="P23" s="1297">
        <f t="shared" si="11"/>
        <v>0</v>
      </c>
      <c r="Q23" s="1297">
        <f t="shared" si="11"/>
        <v>0</v>
      </c>
      <c r="R23" s="1298">
        <f t="shared" si="11"/>
        <v>0</v>
      </c>
      <c r="S23" s="1297">
        <f t="shared" si="11"/>
        <v>0</v>
      </c>
      <c r="T23" s="1297">
        <f>SUM(T24:T25)</f>
        <v>0</v>
      </c>
      <c r="U23" s="1299">
        <f t="shared" ref="U23:AF23" si="12">SUM(U24:U25)</f>
        <v>0</v>
      </c>
      <c r="V23" s="1299">
        <f t="shared" si="12"/>
        <v>0</v>
      </c>
      <c r="W23" s="1299">
        <f t="shared" si="12"/>
        <v>0</v>
      </c>
      <c r="X23" s="1299">
        <f t="shared" si="12"/>
        <v>0</v>
      </c>
      <c r="Y23" s="1299">
        <f t="shared" si="12"/>
        <v>0</v>
      </c>
      <c r="Z23" s="1299">
        <f t="shared" si="12"/>
        <v>0</v>
      </c>
      <c r="AA23" s="1299">
        <f t="shared" si="12"/>
        <v>0</v>
      </c>
      <c r="AB23" s="1299">
        <f t="shared" si="12"/>
        <v>0</v>
      </c>
      <c r="AC23" s="1299">
        <f t="shared" si="12"/>
        <v>0</v>
      </c>
      <c r="AD23" s="1299">
        <f t="shared" si="12"/>
        <v>0</v>
      </c>
      <c r="AE23" s="1299">
        <f t="shared" si="12"/>
        <v>0</v>
      </c>
      <c r="AF23" s="1299">
        <f t="shared" si="12"/>
        <v>0</v>
      </c>
      <c r="AG23" s="1300">
        <f>SUM(AG24:AG25)</f>
        <v>3564005</v>
      </c>
      <c r="AH23" s="1300">
        <f>SUM(AH24:AH25)</f>
        <v>3023005</v>
      </c>
    </row>
    <row r="24" spans="1:34" ht="24" x14ac:dyDescent="0.2">
      <c r="A24" s="1272"/>
      <c r="B24" s="1448" t="s">
        <v>1807</v>
      </c>
      <c r="C24" s="1448"/>
      <c r="D24" s="1273" t="s">
        <v>1808</v>
      </c>
      <c r="E24" s="1274">
        <v>3351122</v>
      </c>
      <c r="F24" s="1274">
        <f t="shared" ref="F24:F25" si="13">G24+E24</f>
        <v>2513122</v>
      </c>
      <c r="G24" s="1274">
        <f t="shared" ref="G24:G25" si="14">SUM(H24:S24)</f>
        <v>-838000</v>
      </c>
      <c r="H24" s="1274">
        <v>33000</v>
      </c>
      <c r="I24" s="1274"/>
      <c r="J24" s="1274"/>
      <c r="K24" s="1274"/>
      <c r="L24" s="1274">
        <v>-871000</v>
      </c>
      <c r="M24" s="1274"/>
      <c r="N24" s="1274"/>
      <c r="O24" s="1274"/>
      <c r="P24" s="1274"/>
      <c r="Q24" s="1274"/>
      <c r="R24" s="1275"/>
      <c r="S24" s="1274"/>
      <c r="T24" s="1274"/>
      <c r="U24" s="1276">
        <f t="shared" ref="U24:U25" si="15">V24+T24</f>
        <v>0</v>
      </c>
      <c r="V24" s="1276">
        <f>SUM(W24:AF24)</f>
        <v>0</v>
      </c>
      <c r="W24" s="1276"/>
      <c r="X24" s="1276"/>
      <c r="Y24" s="1276"/>
      <c r="Z24" s="1276"/>
      <c r="AA24" s="1276"/>
      <c r="AB24" s="1276"/>
      <c r="AC24" s="1276"/>
      <c r="AD24" s="1276"/>
      <c r="AE24" s="1276"/>
      <c r="AF24" s="1276"/>
      <c r="AG24" s="1277">
        <f>E24+T24</f>
        <v>3351122</v>
      </c>
      <c r="AH24" s="1277">
        <f>F24+U24</f>
        <v>2513122</v>
      </c>
    </row>
    <row r="25" spans="1:34" ht="24" x14ac:dyDescent="0.2">
      <c r="A25" s="1278"/>
      <c r="B25" s="1447" t="s">
        <v>1809</v>
      </c>
      <c r="C25" s="1447"/>
      <c r="D25" s="1279" t="s">
        <v>1810</v>
      </c>
      <c r="E25" s="1280">
        <v>212883</v>
      </c>
      <c r="F25" s="1281">
        <f t="shared" si="13"/>
        <v>509883</v>
      </c>
      <c r="G25" s="1281">
        <f t="shared" si="14"/>
        <v>297000</v>
      </c>
      <c r="H25" s="1281">
        <v>297000</v>
      </c>
      <c r="I25" s="1281"/>
      <c r="J25" s="1281"/>
      <c r="K25" s="1281"/>
      <c r="L25" s="1281"/>
      <c r="M25" s="1281"/>
      <c r="N25" s="1281"/>
      <c r="O25" s="1281"/>
      <c r="P25" s="1281"/>
      <c r="Q25" s="1281"/>
      <c r="R25" s="1282"/>
      <c r="S25" s="1281"/>
      <c r="T25" s="1281"/>
      <c r="U25" s="1301">
        <f t="shared" si="15"/>
        <v>0</v>
      </c>
      <c r="V25" s="1301">
        <f>SUM(W25:AF25)</f>
        <v>0</v>
      </c>
      <c r="W25" s="1301"/>
      <c r="X25" s="1301"/>
      <c r="Y25" s="1301"/>
      <c r="Z25" s="1301"/>
      <c r="AA25" s="1301"/>
      <c r="AB25" s="1301"/>
      <c r="AC25" s="1301"/>
      <c r="AD25" s="1301"/>
      <c r="AE25" s="1301"/>
      <c r="AF25" s="1302"/>
      <c r="AG25" s="1303">
        <f>E25+T25</f>
        <v>212883</v>
      </c>
      <c r="AH25" s="1303">
        <f>F25+U25</f>
        <v>509883</v>
      </c>
    </row>
    <row r="26" spans="1:34" x14ac:dyDescent="0.2">
      <c r="A26" s="1304"/>
      <c r="B26" s="1443" t="s">
        <v>1811</v>
      </c>
      <c r="C26" s="1443"/>
      <c r="D26" s="1296" t="s">
        <v>1812</v>
      </c>
      <c r="E26" s="1297">
        <f>SUM(E27:E28)</f>
        <v>674114</v>
      </c>
      <c r="F26" s="1297">
        <f>SUM(F27:F28)</f>
        <v>1579114</v>
      </c>
      <c r="G26" s="1297">
        <f t="shared" ref="G26:S26" si="16">SUM(G27:G28)</f>
        <v>905000</v>
      </c>
      <c r="H26" s="1297">
        <f t="shared" si="16"/>
        <v>34000</v>
      </c>
      <c r="I26" s="1297">
        <f t="shared" si="16"/>
        <v>0</v>
      </c>
      <c r="J26" s="1297">
        <f t="shared" si="16"/>
        <v>0</v>
      </c>
      <c r="K26" s="1297">
        <f t="shared" si="16"/>
        <v>0</v>
      </c>
      <c r="L26" s="1297">
        <f t="shared" si="16"/>
        <v>871000</v>
      </c>
      <c r="M26" s="1297">
        <f t="shared" si="16"/>
        <v>0</v>
      </c>
      <c r="N26" s="1297">
        <f t="shared" si="16"/>
        <v>0</v>
      </c>
      <c r="O26" s="1297">
        <f t="shared" si="16"/>
        <v>0</v>
      </c>
      <c r="P26" s="1297">
        <f t="shared" si="16"/>
        <v>0</v>
      </c>
      <c r="Q26" s="1297">
        <f t="shared" si="16"/>
        <v>0</v>
      </c>
      <c r="R26" s="1298">
        <f t="shared" si="16"/>
        <v>0</v>
      </c>
      <c r="S26" s="1297">
        <f t="shared" si="16"/>
        <v>0</v>
      </c>
      <c r="T26" s="1297">
        <f>SUM(T27:T28)</f>
        <v>0</v>
      </c>
      <c r="U26" s="1270">
        <f t="shared" ref="U26:AF26" si="17">SUM(U27:U28)</f>
        <v>0</v>
      </c>
      <c r="V26" s="1270">
        <f t="shared" si="17"/>
        <v>0</v>
      </c>
      <c r="W26" s="1270">
        <f t="shared" si="17"/>
        <v>0</v>
      </c>
      <c r="X26" s="1270">
        <f t="shared" si="17"/>
        <v>0</v>
      </c>
      <c r="Y26" s="1270">
        <f t="shared" si="17"/>
        <v>0</v>
      </c>
      <c r="Z26" s="1270">
        <f t="shared" si="17"/>
        <v>0</v>
      </c>
      <c r="AA26" s="1270">
        <f t="shared" si="17"/>
        <v>0</v>
      </c>
      <c r="AB26" s="1270">
        <f t="shared" si="17"/>
        <v>0</v>
      </c>
      <c r="AC26" s="1270">
        <f t="shared" si="17"/>
        <v>0</v>
      </c>
      <c r="AD26" s="1270">
        <f t="shared" si="17"/>
        <v>0</v>
      </c>
      <c r="AE26" s="1270">
        <f t="shared" si="17"/>
        <v>0</v>
      </c>
      <c r="AF26" s="1270">
        <f t="shared" si="17"/>
        <v>0</v>
      </c>
      <c r="AG26" s="1271">
        <f>SUM(AG27:AG28)</f>
        <v>674114</v>
      </c>
      <c r="AH26" s="1271">
        <f>SUM(AH27:AH28)</f>
        <v>1579114</v>
      </c>
    </row>
    <row r="27" spans="1:34" ht="24" x14ac:dyDescent="0.2">
      <c r="A27" s="1304"/>
      <c r="B27" s="1448" t="s">
        <v>1813</v>
      </c>
      <c r="C27" s="1448"/>
      <c r="D27" s="1273" t="s">
        <v>1814</v>
      </c>
      <c r="E27" s="1305">
        <v>594114</v>
      </c>
      <c r="F27" s="1305">
        <f t="shared" ref="F27:F28" si="18">G27+E27</f>
        <v>1491114</v>
      </c>
      <c r="G27" s="1305">
        <f t="shared" ref="G27:G28" si="19">SUM(H27:S27)</f>
        <v>897000</v>
      </c>
      <c r="H27" s="1305">
        <v>26000</v>
      </c>
      <c r="I27" s="1305"/>
      <c r="J27" s="1305"/>
      <c r="K27" s="1305"/>
      <c r="L27" s="1305">
        <v>871000</v>
      </c>
      <c r="M27" s="1305"/>
      <c r="N27" s="1305"/>
      <c r="O27" s="1305"/>
      <c r="P27" s="1305"/>
      <c r="Q27" s="1305"/>
      <c r="R27" s="1306"/>
      <c r="S27" s="1305"/>
      <c r="T27" s="1305"/>
      <c r="U27" s="1307">
        <f t="shared" ref="U27:U28" si="20">V27+T27</f>
        <v>0</v>
      </c>
      <c r="V27" s="1307">
        <f>SUM(W27:AF27)</f>
        <v>0</v>
      </c>
      <c r="W27" s="1307"/>
      <c r="X27" s="1307"/>
      <c r="Y27" s="1307"/>
      <c r="Z27" s="1307"/>
      <c r="AA27" s="1307"/>
      <c r="AB27" s="1307"/>
      <c r="AC27" s="1307"/>
      <c r="AD27" s="1307"/>
      <c r="AE27" s="1307"/>
      <c r="AF27" s="1307"/>
      <c r="AG27" s="1308">
        <f>E27+T27</f>
        <v>594114</v>
      </c>
      <c r="AH27" s="1308">
        <f>F27+U27</f>
        <v>1491114</v>
      </c>
    </row>
    <row r="28" spans="1:34" ht="24" x14ac:dyDescent="0.2">
      <c r="A28" s="1304"/>
      <c r="B28" s="1447" t="s">
        <v>1815</v>
      </c>
      <c r="C28" s="1447"/>
      <c r="D28" s="1279" t="s">
        <v>1816</v>
      </c>
      <c r="E28" s="1281">
        <v>80000</v>
      </c>
      <c r="F28" s="1281">
        <f t="shared" si="18"/>
        <v>88000</v>
      </c>
      <c r="G28" s="1281">
        <f t="shared" si="19"/>
        <v>8000</v>
      </c>
      <c r="H28" s="1281">
        <v>8000</v>
      </c>
      <c r="I28" s="1281"/>
      <c r="J28" s="1281"/>
      <c r="K28" s="1281"/>
      <c r="L28" s="1281"/>
      <c r="M28" s="1281"/>
      <c r="N28" s="1281"/>
      <c r="O28" s="1281"/>
      <c r="P28" s="1281"/>
      <c r="Q28" s="1281"/>
      <c r="R28" s="1282"/>
      <c r="S28" s="1281"/>
      <c r="T28" s="1281"/>
      <c r="U28" s="1283">
        <f t="shared" si="20"/>
        <v>0</v>
      </c>
      <c r="V28" s="1283">
        <f>SUM(W28:AF28)</f>
        <v>0</v>
      </c>
      <c r="W28" s="1283"/>
      <c r="X28" s="1283"/>
      <c r="Y28" s="1283"/>
      <c r="Z28" s="1283"/>
      <c r="AA28" s="1283"/>
      <c r="AB28" s="1283"/>
      <c r="AC28" s="1283"/>
      <c r="AD28" s="1283"/>
      <c r="AE28" s="1283"/>
      <c r="AF28" s="1283"/>
      <c r="AG28" s="1284">
        <f>E28+T28</f>
        <v>80000</v>
      </c>
      <c r="AH28" s="1284">
        <f>F28+U28</f>
        <v>88000</v>
      </c>
    </row>
    <row r="29" spans="1:34" s="1260" customFormat="1" x14ac:dyDescent="0.2">
      <c r="A29" s="1441" t="s">
        <v>1817</v>
      </c>
      <c r="B29" s="1442"/>
      <c r="C29" s="1442"/>
      <c r="D29" s="1253" t="s">
        <v>1818</v>
      </c>
      <c r="E29" s="1285">
        <f t="shared" ref="E29:AH29" si="21">SUM(E30,E32)</f>
        <v>285000</v>
      </c>
      <c r="F29" s="1285">
        <f t="shared" si="21"/>
        <v>285000</v>
      </c>
      <c r="G29" s="1285">
        <f t="shared" si="21"/>
        <v>0</v>
      </c>
      <c r="H29" s="1285">
        <f t="shared" si="21"/>
        <v>0</v>
      </c>
      <c r="I29" s="1285">
        <f t="shared" si="21"/>
        <v>0</v>
      </c>
      <c r="J29" s="1285">
        <f t="shared" si="21"/>
        <v>0</v>
      </c>
      <c r="K29" s="1286">
        <f t="shared" si="21"/>
        <v>0</v>
      </c>
      <c r="L29" s="1286">
        <f t="shared" si="21"/>
        <v>0</v>
      </c>
      <c r="M29" s="1286">
        <f t="shared" si="21"/>
        <v>0</v>
      </c>
      <c r="N29" s="1286">
        <f t="shared" si="21"/>
        <v>0</v>
      </c>
      <c r="O29" s="1286">
        <f t="shared" si="21"/>
        <v>0</v>
      </c>
      <c r="P29" s="1286">
        <f t="shared" si="21"/>
        <v>0</v>
      </c>
      <c r="Q29" s="1286">
        <f t="shared" si="21"/>
        <v>0</v>
      </c>
      <c r="R29" s="1287">
        <f t="shared" si="21"/>
        <v>0</v>
      </c>
      <c r="S29" s="1286">
        <f t="shared" si="21"/>
        <v>0</v>
      </c>
      <c r="T29" s="1286">
        <f t="shared" si="21"/>
        <v>0</v>
      </c>
      <c r="U29" s="1288">
        <f t="shared" si="21"/>
        <v>0</v>
      </c>
      <c r="V29" s="1288">
        <f t="shared" si="21"/>
        <v>0</v>
      </c>
      <c r="W29" s="1288">
        <f t="shared" si="21"/>
        <v>0</v>
      </c>
      <c r="X29" s="1288">
        <f t="shared" si="21"/>
        <v>0</v>
      </c>
      <c r="Y29" s="1288">
        <f t="shared" si="21"/>
        <v>0</v>
      </c>
      <c r="Z29" s="1288">
        <f t="shared" si="21"/>
        <v>0</v>
      </c>
      <c r="AA29" s="1288">
        <f t="shared" si="21"/>
        <v>0</v>
      </c>
      <c r="AB29" s="1288">
        <f t="shared" si="21"/>
        <v>0</v>
      </c>
      <c r="AC29" s="1288">
        <f t="shared" si="21"/>
        <v>0</v>
      </c>
      <c r="AD29" s="1288">
        <f t="shared" si="21"/>
        <v>0</v>
      </c>
      <c r="AE29" s="1288">
        <f t="shared" si="21"/>
        <v>0</v>
      </c>
      <c r="AF29" s="1289">
        <f t="shared" si="21"/>
        <v>0</v>
      </c>
      <c r="AG29" s="1290">
        <f t="shared" si="21"/>
        <v>285000</v>
      </c>
      <c r="AH29" s="1290">
        <f t="shared" si="21"/>
        <v>285000</v>
      </c>
    </row>
    <row r="30" spans="1:34" s="1243" customFormat="1" x14ac:dyDescent="0.2">
      <c r="A30" s="1261"/>
      <c r="B30" s="1431" t="s">
        <v>1819</v>
      </c>
      <c r="C30" s="1431"/>
      <c r="D30" s="1309" t="s">
        <v>1820</v>
      </c>
      <c r="E30" s="1291">
        <f t="shared" ref="E30:AH30" si="22">E31</f>
        <v>180000</v>
      </c>
      <c r="F30" s="1291">
        <f t="shared" si="22"/>
        <v>180000</v>
      </c>
      <c r="G30" s="1291">
        <f t="shared" si="22"/>
        <v>0</v>
      </c>
      <c r="H30" s="1291">
        <f t="shared" si="22"/>
        <v>0</v>
      </c>
      <c r="I30" s="1291">
        <f t="shared" si="22"/>
        <v>0</v>
      </c>
      <c r="J30" s="1291">
        <f t="shared" si="22"/>
        <v>0</v>
      </c>
      <c r="K30" s="1291">
        <f t="shared" si="22"/>
        <v>0</v>
      </c>
      <c r="L30" s="1291">
        <f t="shared" si="22"/>
        <v>0</v>
      </c>
      <c r="M30" s="1291">
        <f t="shared" si="22"/>
        <v>0</v>
      </c>
      <c r="N30" s="1291">
        <f t="shared" si="22"/>
        <v>0</v>
      </c>
      <c r="O30" s="1291">
        <f t="shared" si="22"/>
        <v>0</v>
      </c>
      <c r="P30" s="1291">
        <f t="shared" si="22"/>
        <v>0</v>
      </c>
      <c r="Q30" s="1291">
        <f t="shared" si="22"/>
        <v>0</v>
      </c>
      <c r="R30" s="1292">
        <f t="shared" si="22"/>
        <v>0</v>
      </c>
      <c r="S30" s="1291">
        <f t="shared" si="22"/>
        <v>0</v>
      </c>
      <c r="T30" s="1291">
        <f t="shared" si="22"/>
        <v>0</v>
      </c>
      <c r="U30" s="1293">
        <f t="shared" si="22"/>
        <v>0</v>
      </c>
      <c r="V30" s="1293">
        <f t="shared" si="22"/>
        <v>0</v>
      </c>
      <c r="W30" s="1293">
        <f t="shared" si="22"/>
        <v>0</v>
      </c>
      <c r="X30" s="1293">
        <f t="shared" si="22"/>
        <v>0</v>
      </c>
      <c r="Y30" s="1293">
        <f t="shared" si="22"/>
        <v>0</v>
      </c>
      <c r="Z30" s="1293">
        <f t="shared" si="22"/>
        <v>0</v>
      </c>
      <c r="AA30" s="1293">
        <f t="shared" si="22"/>
        <v>0</v>
      </c>
      <c r="AB30" s="1293">
        <f t="shared" si="22"/>
        <v>0</v>
      </c>
      <c r="AC30" s="1293">
        <f t="shared" si="22"/>
        <v>0</v>
      </c>
      <c r="AD30" s="1293">
        <f t="shared" si="22"/>
        <v>0</v>
      </c>
      <c r="AE30" s="1293">
        <f t="shared" si="22"/>
        <v>0</v>
      </c>
      <c r="AF30" s="1293">
        <f t="shared" si="22"/>
        <v>0</v>
      </c>
      <c r="AG30" s="1294">
        <f t="shared" si="22"/>
        <v>180000</v>
      </c>
      <c r="AH30" s="1294">
        <f t="shared" si="22"/>
        <v>180000</v>
      </c>
    </row>
    <row r="31" spans="1:34" x14ac:dyDescent="0.2">
      <c r="A31" s="1304"/>
      <c r="B31" s="1449" t="s">
        <v>1821</v>
      </c>
      <c r="C31" s="1449"/>
      <c r="D31" s="1310" t="s">
        <v>1822</v>
      </c>
      <c r="E31" s="1281">
        <v>180000</v>
      </c>
      <c r="F31" s="1281">
        <f>G31+E31</f>
        <v>180000</v>
      </c>
      <c r="G31" s="1281">
        <f>SUM(H31:S31)</f>
        <v>0</v>
      </c>
      <c r="H31" s="1281"/>
      <c r="I31" s="1281"/>
      <c r="J31" s="1281"/>
      <c r="K31" s="1281"/>
      <c r="L31" s="1281"/>
      <c r="M31" s="1281"/>
      <c r="N31" s="1281"/>
      <c r="O31" s="1281"/>
      <c r="P31" s="1281"/>
      <c r="Q31" s="1281"/>
      <c r="R31" s="1282"/>
      <c r="S31" s="1281"/>
      <c r="T31" s="1281"/>
      <c r="U31" s="1283">
        <f t="shared" ref="U31" si="23">V31+T31</f>
        <v>0</v>
      </c>
      <c r="V31" s="1283">
        <f>SUM(W31:AF31)</f>
        <v>0</v>
      </c>
      <c r="W31" s="1283"/>
      <c r="X31" s="1283"/>
      <c r="Y31" s="1283"/>
      <c r="Z31" s="1283"/>
      <c r="AA31" s="1283"/>
      <c r="AB31" s="1283"/>
      <c r="AC31" s="1283"/>
      <c r="AD31" s="1283"/>
      <c r="AE31" s="1283"/>
      <c r="AF31" s="1283"/>
      <c r="AG31" s="1284">
        <f>E31+T31</f>
        <v>180000</v>
      </c>
      <c r="AH31" s="1284">
        <f>F31+U31</f>
        <v>180000</v>
      </c>
    </row>
    <row r="32" spans="1:34" s="1243" customFormat="1" ht="24" x14ac:dyDescent="0.2">
      <c r="A32" s="1261"/>
      <c r="B32" s="1450" t="s">
        <v>1823</v>
      </c>
      <c r="C32" s="1451"/>
      <c r="D32" s="1311" t="s">
        <v>1824</v>
      </c>
      <c r="E32" s="1291">
        <f t="shared" ref="E32:AH33" si="24">SUM(E33)</f>
        <v>105000</v>
      </c>
      <c r="F32" s="1291">
        <f t="shared" si="24"/>
        <v>105000</v>
      </c>
      <c r="G32" s="1291">
        <f t="shared" si="24"/>
        <v>0</v>
      </c>
      <c r="H32" s="1291">
        <f t="shared" si="24"/>
        <v>0</v>
      </c>
      <c r="I32" s="1291">
        <f t="shared" si="24"/>
        <v>0</v>
      </c>
      <c r="J32" s="1291">
        <f t="shared" si="24"/>
        <v>0</v>
      </c>
      <c r="K32" s="1291">
        <f t="shared" si="24"/>
        <v>0</v>
      </c>
      <c r="L32" s="1291">
        <f t="shared" si="24"/>
        <v>0</v>
      </c>
      <c r="M32" s="1291">
        <f t="shared" si="24"/>
        <v>0</v>
      </c>
      <c r="N32" s="1291">
        <f t="shared" si="24"/>
        <v>0</v>
      </c>
      <c r="O32" s="1291">
        <f t="shared" si="24"/>
        <v>0</v>
      </c>
      <c r="P32" s="1291">
        <f t="shared" si="24"/>
        <v>0</v>
      </c>
      <c r="Q32" s="1291">
        <f t="shared" si="24"/>
        <v>0</v>
      </c>
      <c r="R32" s="1292">
        <f t="shared" si="24"/>
        <v>0</v>
      </c>
      <c r="S32" s="1291">
        <f t="shared" si="24"/>
        <v>0</v>
      </c>
      <c r="T32" s="1291">
        <f t="shared" si="24"/>
        <v>0</v>
      </c>
      <c r="U32" s="1293">
        <f t="shared" si="24"/>
        <v>0</v>
      </c>
      <c r="V32" s="1293">
        <f t="shared" si="24"/>
        <v>0</v>
      </c>
      <c r="W32" s="1293">
        <f t="shared" si="24"/>
        <v>0</v>
      </c>
      <c r="X32" s="1293">
        <f t="shared" si="24"/>
        <v>0</v>
      </c>
      <c r="Y32" s="1293">
        <f t="shared" si="24"/>
        <v>0</v>
      </c>
      <c r="Z32" s="1293">
        <f t="shared" si="24"/>
        <v>0</v>
      </c>
      <c r="AA32" s="1293">
        <f t="shared" si="24"/>
        <v>0</v>
      </c>
      <c r="AB32" s="1293">
        <f t="shared" si="24"/>
        <v>0</v>
      </c>
      <c r="AC32" s="1293">
        <f t="shared" si="24"/>
        <v>0</v>
      </c>
      <c r="AD32" s="1293">
        <f t="shared" si="24"/>
        <v>0</v>
      </c>
      <c r="AE32" s="1293">
        <f t="shared" si="24"/>
        <v>0</v>
      </c>
      <c r="AF32" s="1293">
        <f t="shared" si="24"/>
        <v>0</v>
      </c>
      <c r="AG32" s="1294">
        <f t="shared" si="24"/>
        <v>105000</v>
      </c>
      <c r="AH32" s="1294">
        <f t="shared" si="24"/>
        <v>105000</v>
      </c>
    </row>
    <row r="33" spans="1:34" x14ac:dyDescent="0.2">
      <c r="A33" s="1304"/>
      <c r="B33" s="1452" t="s">
        <v>1825</v>
      </c>
      <c r="C33" s="1453"/>
      <c r="D33" s="1312" t="s">
        <v>1826</v>
      </c>
      <c r="E33" s="1297">
        <f t="shared" si="24"/>
        <v>105000</v>
      </c>
      <c r="F33" s="1297">
        <f t="shared" si="24"/>
        <v>105000</v>
      </c>
      <c r="G33" s="1297">
        <f t="shared" si="24"/>
        <v>0</v>
      </c>
      <c r="H33" s="1297">
        <f t="shared" si="24"/>
        <v>0</v>
      </c>
      <c r="I33" s="1297">
        <f t="shared" si="24"/>
        <v>0</v>
      </c>
      <c r="J33" s="1297">
        <f t="shared" si="24"/>
        <v>0</v>
      </c>
      <c r="K33" s="1297">
        <f t="shared" si="24"/>
        <v>0</v>
      </c>
      <c r="L33" s="1297">
        <f t="shared" si="24"/>
        <v>0</v>
      </c>
      <c r="M33" s="1297">
        <f t="shared" si="24"/>
        <v>0</v>
      </c>
      <c r="N33" s="1297">
        <f t="shared" si="24"/>
        <v>0</v>
      </c>
      <c r="O33" s="1297">
        <f t="shared" si="24"/>
        <v>0</v>
      </c>
      <c r="P33" s="1297">
        <f t="shared" si="24"/>
        <v>0</v>
      </c>
      <c r="Q33" s="1297">
        <f t="shared" si="24"/>
        <v>0</v>
      </c>
      <c r="R33" s="1298">
        <f t="shared" si="24"/>
        <v>0</v>
      </c>
      <c r="S33" s="1297">
        <f t="shared" si="24"/>
        <v>0</v>
      </c>
      <c r="T33" s="1297">
        <f t="shared" si="24"/>
        <v>0</v>
      </c>
      <c r="U33" s="1299">
        <f t="shared" si="24"/>
        <v>0</v>
      </c>
      <c r="V33" s="1299">
        <f t="shared" si="24"/>
        <v>0</v>
      </c>
      <c r="W33" s="1299">
        <f t="shared" si="24"/>
        <v>0</v>
      </c>
      <c r="X33" s="1299">
        <f t="shared" si="24"/>
        <v>0</v>
      </c>
      <c r="Y33" s="1299">
        <f t="shared" si="24"/>
        <v>0</v>
      </c>
      <c r="Z33" s="1299">
        <f t="shared" si="24"/>
        <v>0</v>
      </c>
      <c r="AA33" s="1299">
        <f t="shared" si="24"/>
        <v>0</v>
      </c>
      <c r="AB33" s="1299">
        <f t="shared" si="24"/>
        <v>0</v>
      </c>
      <c r="AC33" s="1299">
        <f t="shared" si="24"/>
        <v>0</v>
      </c>
      <c r="AD33" s="1299">
        <f t="shared" si="24"/>
        <v>0</v>
      </c>
      <c r="AE33" s="1299">
        <f t="shared" si="24"/>
        <v>0</v>
      </c>
      <c r="AF33" s="1299">
        <f t="shared" si="24"/>
        <v>0</v>
      </c>
      <c r="AG33" s="1300">
        <f t="shared" si="24"/>
        <v>105000</v>
      </c>
      <c r="AH33" s="1300">
        <f t="shared" si="24"/>
        <v>105000</v>
      </c>
    </row>
    <row r="34" spans="1:34" ht="24" x14ac:dyDescent="0.2">
      <c r="A34" s="1304"/>
      <c r="B34" s="1313"/>
      <c r="C34" s="1314" t="s">
        <v>1827</v>
      </c>
      <c r="D34" s="1315" t="s">
        <v>1828</v>
      </c>
      <c r="E34" s="1281">
        <f>105000</f>
        <v>105000</v>
      </c>
      <c r="F34" s="1281">
        <f>G34+E34</f>
        <v>105000</v>
      </c>
      <c r="G34" s="1281">
        <f>SUM(H34:S34)</f>
        <v>0</v>
      </c>
      <c r="H34" s="1281"/>
      <c r="I34" s="1281"/>
      <c r="J34" s="1281"/>
      <c r="K34" s="1281"/>
      <c r="L34" s="1281"/>
      <c r="M34" s="1281"/>
      <c r="N34" s="1281"/>
      <c r="O34" s="1281"/>
      <c r="P34" s="1281"/>
      <c r="Q34" s="1281"/>
      <c r="R34" s="1282"/>
      <c r="S34" s="1281"/>
      <c r="T34" s="1281"/>
      <c r="U34" s="1283">
        <f t="shared" ref="U34" si="25">V34+T34</f>
        <v>0</v>
      </c>
      <c r="V34" s="1283">
        <f>SUM(W34:AF34)</f>
        <v>0</v>
      </c>
      <c r="W34" s="1283"/>
      <c r="X34" s="1283"/>
      <c r="Y34" s="1283"/>
      <c r="Z34" s="1283"/>
      <c r="AA34" s="1283"/>
      <c r="AB34" s="1283"/>
      <c r="AC34" s="1283"/>
      <c r="AD34" s="1283"/>
      <c r="AE34" s="1283"/>
      <c r="AF34" s="1283"/>
      <c r="AG34" s="1284">
        <f>E34+T34</f>
        <v>105000</v>
      </c>
      <c r="AH34" s="1284">
        <f>F34+U34</f>
        <v>105000</v>
      </c>
    </row>
    <row r="35" spans="1:34" s="1260" customFormat="1" ht="24" x14ac:dyDescent="0.2">
      <c r="A35" s="1441" t="s">
        <v>1829</v>
      </c>
      <c r="B35" s="1442"/>
      <c r="C35" s="1442"/>
      <c r="D35" s="1316" t="s">
        <v>1830</v>
      </c>
      <c r="E35" s="1285">
        <f t="shared" ref="E35:AH35" si="26">SUM(E36,E39)</f>
        <v>2245652</v>
      </c>
      <c r="F35" s="1285">
        <f t="shared" si="26"/>
        <v>2245652</v>
      </c>
      <c r="G35" s="1285">
        <f t="shared" si="26"/>
        <v>0</v>
      </c>
      <c r="H35" s="1285">
        <f t="shared" si="26"/>
        <v>0</v>
      </c>
      <c r="I35" s="1285">
        <f t="shared" si="26"/>
        <v>0</v>
      </c>
      <c r="J35" s="1285">
        <f t="shared" si="26"/>
        <v>0</v>
      </c>
      <c r="K35" s="1286">
        <f t="shared" si="26"/>
        <v>0</v>
      </c>
      <c r="L35" s="1286">
        <f t="shared" si="26"/>
        <v>0</v>
      </c>
      <c r="M35" s="1286">
        <f t="shared" si="26"/>
        <v>0</v>
      </c>
      <c r="N35" s="1286">
        <f t="shared" si="26"/>
        <v>0</v>
      </c>
      <c r="O35" s="1286">
        <f t="shared" si="26"/>
        <v>0</v>
      </c>
      <c r="P35" s="1286">
        <f t="shared" si="26"/>
        <v>0</v>
      </c>
      <c r="Q35" s="1286">
        <f t="shared" si="26"/>
        <v>0</v>
      </c>
      <c r="R35" s="1287">
        <f t="shared" si="26"/>
        <v>0</v>
      </c>
      <c r="S35" s="1286">
        <f t="shared" si="26"/>
        <v>0</v>
      </c>
      <c r="T35" s="1286">
        <f t="shared" si="26"/>
        <v>0</v>
      </c>
      <c r="U35" s="1288">
        <f t="shared" si="26"/>
        <v>0</v>
      </c>
      <c r="V35" s="1288">
        <f t="shared" si="26"/>
        <v>0</v>
      </c>
      <c r="W35" s="1288">
        <f t="shared" si="26"/>
        <v>0</v>
      </c>
      <c r="X35" s="1288">
        <f t="shared" si="26"/>
        <v>0</v>
      </c>
      <c r="Y35" s="1288">
        <f t="shared" si="26"/>
        <v>0</v>
      </c>
      <c r="Z35" s="1288">
        <f t="shared" si="26"/>
        <v>0</v>
      </c>
      <c r="AA35" s="1288">
        <f t="shared" si="26"/>
        <v>0</v>
      </c>
      <c r="AB35" s="1288">
        <f t="shared" si="26"/>
        <v>0</v>
      </c>
      <c r="AC35" s="1288">
        <f t="shared" si="26"/>
        <v>0</v>
      </c>
      <c r="AD35" s="1288">
        <f t="shared" si="26"/>
        <v>0</v>
      </c>
      <c r="AE35" s="1288">
        <f t="shared" si="26"/>
        <v>0</v>
      </c>
      <c r="AF35" s="1288">
        <f t="shared" si="26"/>
        <v>0</v>
      </c>
      <c r="AG35" s="1290">
        <f t="shared" si="26"/>
        <v>2245652</v>
      </c>
      <c r="AH35" s="1290">
        <f t="shared" si="26"/>
        <v>2245652</v>
      </c>
    </row>
    <row r="36" spans="1:34" s="1243" customFormat="1" x14ac:dyDescent="0.2">
      <c r="A36" s="1261"/>
      <c r="B36" s="1431" t="s">
        <v>1831</v>
      </c>
      <c r="C36" s="1431"/>
      <c r="D36" s="1262" t="s">
        <v>1832</v>
      </c>
      <c r="E36" s="1291">
        <f t="shared" ref="E36" si="27">SUM(E37:E38)</f>
        <v>14900</v>
      </c>
      <c r="F36" s="1291">
        <f t="shared" ref="F36:AH36" si="28">SUM(F37:F38)</f>
        <v>14900</v>
      </c>
      <c r="G36" s="1291">
        <f t="shared" si="28"/>
        <v>0</v>
      </c>
      <c r="H36" s="1291">
        <f t="shared" si="28"/>
        <v>0</v>
      </c>
      <c r="I36" s="1291">
        <f t="shared" si="28"/>
        <v>0</v>
      </c>
      <c r="J36" s="1291">
        <f t="shared" si="28"/>
        <v>0</v>
      </c>
      <c r="K36" s="1291">
        <f t="shared" si="28"/>
        <v>0</v>
      </c>
      <c r="L36" s="1291">
        <f t="shared" si="28"/>
        <v>0</v>
      </c>
      <c r="M36" s="1291">
        <f t="shared" si="28"/>
        <v>0</v>
      </c>
      <c r="N36" s="1291">
        <f t="shared" si="28"/>
        <v>0</v>
      </c>
      <c r="O36" s="1291">
        <f t="shared" si="28"/>
        <v>0</v>
      </c>
      <c r="P36" s="1291">
        <f t="shared" si="28"/>
        <v>0</v>
      </c>
      <c r="Q36" s="1291">
        <f t="shared" si="28"/>
        <v>0</v>
      </c>
      <c r="R36" s="1292">
        <f t="shared" si="28"/>
        <v>0</v>
      </c>
      <c r="S36" s="1291">
        <f t="shared" si="28"/>
        <v>0</v>
      </c>
      <c r="T36" s="1291">
        <f t="shared" si="28"/>
        <v>0</v>
      </c>
      <c r="U36" s="1293">
        <f t="shared" si="28"/>
        <v>0</v>
      </c>
      <c r="V36" s="1293">
        <f t="shared" si="28"/>
        <v>0</v>
      </c>
      <c r="W36" s="1293">
        <f t="shared" si="28"/>
        <v>0</v>
      </c>
      <c r="X36" s="1293">
        <f t="shared" si="28"/>
        <v>0</v>
      </c>
      <c r="Y36" s="1293">
        <f t="shared" si="28"/>
        <v>0</v>
      </c>
      <c r="Z36" s="1293">
        <f t="shared" si="28"/>
        <v>0</v>
      </c>
      <c r="AA36" s="1293">
        <f t="shared" si="28"/>
        <v>0</v>
      </c>
      <c r="AB36" s="1293">
        <f t="shared" si="28"/>
        <v>0</v>
      </c>
      <c r="AC36" s="1293">
        <f t="shared" si="28"/>
        <v>0</v>
      </c>
      <c r="AD36" s="1293">
        <f t="shared" si="28"/>
        <v>0</v>
      </c>
      <c r="AE36" s="1293">
        <f t="shared" si="28"/>
        <v>0</v>
      </c>
      <c r="AF36" s="1293">
        <f t="shared" si="28"/>
        <v>0</v>
      </c>
      <c r="AG36" s="1294">
        <f t="shared" si="28"/>
        <v>14900</v>
      </c>
      <c r="AH36" s="1294">
        <f t="shared" si="28"/>
        <v>14900</v>
      </c>
    </row>
    <row r="37" spans="1:34" ht="48" x14ac:dyDescent="0.2">
      <c r="A37" s="1295"/>
      <c r="B37" s="1443" t="s">
        <v>1833</v>
      </c>
      <c r="C37" s="1443"/>
      <c r="D37" s="1296" t="s">
        <v>1834</v>
      </c>
      <c r="E37" s="1297">
        <v>9300</v>
      </c>
      <c r="F37" s="1268">
        <f t="shared" ref="F37:F38" si="29">G37+E37</f>
        <v>9300</v>
      </c>
      <c r="G37" s="1268">
        <f t="shared" ref="G37:G38" si="30">SUM(H37:S37)</f>
        <v>0</v>
      </c>
      <c r="H37" s="1268"/>
      <c r="I37" s="1268"/>
      <c r="J37" s="1268"/>
      <c r="K37" s="1268"/>
      <c r="L37" s="1268"/>
      <c r="M37" s="1268"/>
      <c r="N37" s="1268"/>
      <c r="O37" s="1268"/>
      <c r="P37" s="1268"/>
      <c r="Q37" s="1268"/>
      <c r="R37" s="1269"/>
      <c r="S37" s="1268"/>
      <c r="T37" s="1268"/>
      <c r="U37" s="1270">
        <f t="shared" ref="U37:U38" si="31">V37+T37</f>
        <v>0</v>
      </c>
      <c r="V37" s="1270">
        <f>SUM(W37:AF37)</f>
        <v>0</v>
      </c>
      <c r="W37" s="1270"/>
      <c r="X37" s="1270"/>
      <c r="Y37" s="1270"/>
      <c r="Z37" s="1270"/>
      <c r="AA37" s="1270"/>
      <c r="AB37" s="1270"/>
      <c r="AC37" s="1270"/>
      <c r="AD37" s="1270"/>
      <c r="AE37" s="1270"/>
      <c r="AF37" s="1270"/>
      <c r="AG37" s="1271">
        <f>E37+T37</f>
        <v>9300</v>
      </c>
      <c r="AH37" s="1271">
        <f>F37+U37</f>
        <v>9300</v>
      </c>
    </row>
    <row r="38" spans="1:34" x14ac:dyDescent="0.2">
      <c r="A38" s="1317"/>
      <c r="B38" s="1454" t="s">
        <v>1835</v>
      </c>
      <c r="C38" s="1454"/>
      <c r="D38" s="1318" t="s">
        <v>1836</v>
      </c>
      <c r="E38" s="1319">
        <v>5600</v>
      </c>
      <c r="F38" s="1281">
        <f t="shared" si="29"/>
        <v>5600</v>
      </c>
      <c r="G38" s="1281">
        <f t="shared" si="30"/>
        <v>0</v>
      </c>
      <c r="H38" s="1281"/>
      <c r="I38" s="1281"/>
      <c r="J38" s="1281"/>
      <c r="K38" s="1281"/>
      <c r="L38" s="1281"/>
      <c r="M38" s="1281"/>
      <c r="N38" s="1281"/>
      <c r="O38" s="1281"/>
      <c r="P38" s="1281"/>
      <c r="Q38" s="1281"/>
      <c r="R38" s="1282"/>
      <c r="S38" s="1281"/>
      <c r="T38" s="1281"/>
      <c r="U38" s="1299">
        <f t="shared" si="31"/>
        <v>0</v>
      </c>
      <c r="V38" s="1299">
        <f>SUM(W38:AF38)</f>
        <v>0</v>
      </c>
      <c r="W38" s="1299"/>
      <c r="X38" s="1299"/>
      <c r="Y38" s="1299"/>
      <c r="Z38" s="1299"/>
      <c r="AA38" s="1299"/>
      <c r="AB38" s="1299"/>
      <c r="AC38" s="1299"/>
      <c r="AD38" s="1299"/>
      <c r="AE38" s="1299"/>
      <c r="AF38" s="1297"/>
      <c r="AG38" s="1300">
        <f>E38+T38</f>
        <v>5600</v>
      </c>
      <c r="AH38" s="1300">
        <f>F38+U38</f>
        <v>5600</v>
      </c>
    </row>
    <row r="39" spans="1:34" s="1243" customFormat="1" x14ac:dyDescent="0.2">
      <c r="A39" s="1261"/>
      <c r="B39" s="1431" t="s">
        <v>1837</v>
      </c>
      <c r="C39" s="1431"/>
      <c r="D39" s="1262" t="s">
        <v>1838</v>
      </c>
      <c r="E39" s="1291">
        <f>SUM(E40:E43)</f>
        <v>2230752</v>
      </c>
      <c r="F39" s="1291">
        <f>SUM(F40:F43)</f>
        <v>2230752</v>
      </c>
      <c r="G39" s="1291">
        <f t="shared" ref="G39:S39" si="32">SUM(G40:G43)</f>
        <v>0</v>
      </c>
      <c r="H39" s="1291">
        <f t="shared" si="32"/>
        <v>0</v>
      </c>
      <c r="I39" s="1291">
        <f t="shared" si="32"/>
        <v>0</v>
      </c>
      <c r="J39" s="1291">
        <f t="shared" si="32"/>
        <v>0</v>
      </c>
      <c r="K39" s="1291">
        <f t="shared" si="32"/>
        <v>0</v>
      </c>
      <c r="L39" s="1291">
        <f t="shared" si="32"/>
        <v>0</v>
      </c>
      <c r="M39" s="1291">
        <f t="shared" si="32"/>
        <v>0</v>
      </c>
      <c r="N39" s="1291">
        <f t="shared" si="32"/>
        <v>0</v>
      </c>
      <c r="O39" s="1291">
        <f t="shared" si="32"/>
        <v>0</v>
      </c>
      <c r="P39" s="1291">
        <f t="shared" si="32"/>
        <v>0</v>
      </c>
      <c r="Q39" s="1291">
        <f t="shared" si="32"/>
        <v>0</v>
      </c>
      <c r="R39" s="1292">
        <f t="shared" si="32"/>
        <v>0</v>
      </c>
      <c r="S39" s="1291">
        <f t="shared" si="32"/>
        <v>0</v>
      </c>
      <c r="T39" s="1291">
        <f>SUM(T40:T43)</f>
        <v>0</v>
      </c>
      <c r="U39" s="1320">
        <f t="shared" ref="U39:AF39" si="33">SUM(U40:U43)</f>
        <v>0</v>
      </c>
      <c r="V39" s="1320">
        <f t="shared" si="33"/>
        <v>0</v>
      </c>
      <c r="W39" s="1320">
        <f t="shared" si="33"/>
        <v>0</v>
      </c>
      <c r="X39" s="1320">
        <f t="shared" si="33"/>
        <v>0</v>
      </c>
      <c r="Y39" s="1320">
        <f t="shared" si="33"/>
        <v>0</v>
      </c>
      <c r="Z39" s="1320">
        <f t="shared" si="33"/>
        <v>0</v>
      </c>
      <c r="AA39" s="1320">
        <f t="shared" si="33"/>
        <v>0</v>
      </c>
      <c r="AB39" s="1320">
        <f t="shared" si="33"/>
        <v>0</v>
      </c>
      <c r="AC39" s="1320">
        <f t="shared" si="33"/>
        <v>0</v>
      </c>
      <c r="AD39" s="1320">
        <f t="shared" si="33"/>
        <v>0</v>
      </c>
      <c r="AE39" s="1320">
        <f t="shared" si="33"/>
        <v>0</v>
      </c>
      <c r="AF39" s="1320">
        <f t="shared" si="33"/>
        <v>0</v>
      </c>
      <c r="AG39" s="1321">
        <f>SUM(AG40:AG43)</f>
        <v>2230752</v>
      </c>
      <c r="AH39" s="1321">
        <f>SUM(AH40:AH43)</f>
        <v>2230752</v>
      </c>
    </row>
    <row r="40" spans="1:34" x14ac:dyDescent="0.2">
      <c r="A40" s="1322"/>
      <c r="B40" s="1455" t="s">
        <v>1839</v>
      </c>
      <c r="C40" s="1455"/>
      <c r="D40" s="1323" t="s">
        <v>1840</v>
      </c>
      <c r="E40" s="1324">
        <v>50000</v>
      </c>
      <c r="F40" s="1324">
        <f t="shared" ref="F40:F43" si="34">G40+E40</f>
        <v>50000</v>
      </c>
      <c r="G40" s="1324">
        <f t="shared" ref="G40:G43" si="35">SUM(H40:S40)</f>
        <v>0</v>
      </c>
      <c r="H40" s="1324"/>
      <c r="I40" s="1324"/>
      <c r="J40" s="1324"/>
      <c r="K40" s="1324"/>
      <c r="L40" s="1324"/>
      <c r="M40" s="1324"/>
      <c r="N40" s="1324"/>
      <c r="O40" s="1324"/>
      <c r="P40" s="1324"/>
      <c r="Q40" s="1324"/>
      <c r="R40" s="1325"/>
      <c r="S40" s="1324"/>
      <c r="T40" s="1324"/>
      <c r="U40" s="1326">
        <f t="shared" ref="U40:U43" si="36">V40+T40</f>
        <v>0</v>
      </c>
      <c r="V40" s="1326">
        <f>SUM(W40:AF40)</f>
        <v>0</v>
      </c>
      <c r="W40" s="1326"/>
      <c r="X40" s="1326"/>
      <c r="Y40" s="1326"/>
      <c r="Z40" s="1326"/>
      <c r="AA40" s="1326"/>
      <c r="AB40" s="1326"/>
      <c r="AC40" s="1326"/>
      <c r="AD40" s="1326"/>
      <c r="AE40" s="1326"/>
      <c r="AF40" s="1326"/>
      <c r="AG40" s="1327">
        <f t="shared" ref="AG40:AH43" si="37">E40+T40</f>
        <v>50000</v>
      </c>
      <c r="AH40" s="1327">
        <f t="shared" si="37"/>
        <v>50000</v>
      </c>
    </row>
    <row r="41" spans="1:34" ht="24" x14ac:dyDescent="0.2">
      <c r="A41" s="1322"/>
      <c r="B41" s="1455" t="s">
        <v>1841</v>
      </c>
      <c r="C41" s="1455"/>
      <c r="D41" s="1323" t="s">
        <v>1842</v>
      </c>
      <c r="E41" s="1324">
        <v>2082182</v>
      </c>
      <c r="F41" s="1324">
        <f t="shared" si="34"/>
        <v>2082182</v>
      </c>
      <c r="G41" s="1324">
        <f t="shared" si="35"/>
        <v>0</v>
      </c>
      <c r="H41" s="1324"/>
      <c r="I41" s="1324"/>
      <c r="J41" s="1324"/>
      <c r="K41" s="1324"/>
      <c r="L41" s="1324"/>
      <c r="M41" s="1324"/>
      <c r="N41" s="1324"/>
      <c r="O41" s="1324"/>
      <c r="P41" s="1324"/>
      <c r="Q41" s="1324"/>
      <c r="R41" s="1325"/>
      <c r="S41" s="1324"/>
      <c r="T41" s="1324"/>
      <c r="U41" s="1326">
        <f t="shared" si="36"/>
        <v>0</v>
      </c>
      <c r="V41" s="1326">
        <f>SUM(W41:AF41)</f>
        <v>0</v>
      </c>
      <c r="W41" s="1326"/>
      <c r="X41" s="1326"/>
      <c r="Y41" s="1326"/>
      <c r="Z41" s="1326"/>
      <c r="AA41" s="1326"/>
      <c r="AB41" s="1326"/>
      <c r="AC41" s="1326"/>
      <c r="AD41" s="1326"/>
      <c r="AE41" s="1326"/>
      <c r="AF41" s="1326"/>
      <c r="AG41" s="1327">
        <f t="shared" si="37"/>
        <v>2082182</v>
      </c>
      <c r="AH41" s="1327">
        <f t="shared" si="37"/>
        <v>2082182</v>
      </c>
    </row>
    <row r="42" spans="1:34" ht="24" x14ac:dyDescent="0.2">
      <c r="A42" s="1322"/>
      <c r="B42" s="1455" t="s">
        <v>1843</v>
      </c>
      <c r="C42" s="1455"/>
      <c r="D42" s="1323" t="s">
        <v>1844</v>
      </c>
      <c r="E42" s="1324">
        <v>50000</v>
      </c>
      <c r="F42" s="1324">
        <f t="shared" si="34"/>
        <v>50000</v>
      </c>
      <c r="G42" s="1324">
        <f t="shared" si="35"/>
        <v>0</v>
      </c>
      <c r="H42" s="1324"/>
      <c r="I42" s="1324"/>
      <c r="J42" s="1324"/>
      <c r="K42" s="1324"/>
      <c r="L42" s="1324"/>
      <c r="M42" s="1324"/>
      <c r="N42" s="1324"/>
      <c r="O42" s="1324"/>
      <c r="P42" s="1324"/>
      <c r="Q42" s="1324"/>
      <c r="R42" s="1325"/>
      <c r="S42" s="1324"/>
      <c r="T42" s="1324"/>
      <c r="U42" s="1326">
        <f t="shared" si="36"/>
        <v>0</v>
      </c>
      <c r="V42" s="1326">
        <f>SUM(W42:AF42)</f>
        <v>0</v>
      </c>
      <c r="W42" s="1326"/>
      <c r="X42" s="1326"/>
      <c r="Y42" s="1326"/>
      <c r="Z42" s="1326"/>
      <c r="AA42" s="1326"/>
      <c r="AB42" s="1326"/>
      <c r="AC42" s="1326"/>
      <c r="AD42" s="1326"/>
      <c r="AE42" s="1326"/>
      <c r="AF42" s="1326"/>
      <c r="AG42" s="1327">
        <f t="shared" si="37"/>
        <v>50000</v>
      </c>
      <c r="AH42" s="1327">
        <f t="shared" si="37"/>
        <v>50000</v>
      </c>
    </row>
    <row r="43" spans="1:34" x14ac:dyDescent="0.2">
      <c r="A43" s="1278"/>
      <c r="B43" s="1447" t="s">
        <v>1845</v>
      </c>
      <c r="C43" s="1447"/>
      <c r="D43" s="1279" t="s">
        <v>1846</v>
      </c>
      <c r="E43" s="1280">
        <v>48570</v>
      </c>
      <c r="F43" s="1281">
        <f t="shared" si="34"/>
        <v>48570</v>
      </c>
      <c r="G43" s="1281">
        <f t="shared" si="35"/>
        <v>0</v>
      </c>
      <c r="H43" s="1281"/>
      <c r="I43" s="1281"/>
      <c r="J43" s="1281"/>
      <c r="K43" s="1281"/>
      <c r="L43" s="1281"/>
      <c r="M43" s="1281"/>
      <c r="N43" s="1281"/>
      <c r="O43" s="1281"/>
      <c r="P43" s="1281"/>
      <c r="Q43" s="1281"/>
      <c r="R43" s="1282"/>
      <c r="S43" s="1281"/>
      <c r="T43" s="1281"/>
      <c r="U43" s="1283">
        <f t="shared" si="36"/>
        <v>0</v>
      </c>
      <c r="V43" s="1283">
        <f>SUM(W43:AF43)</f>
        <v>0</v>
      </c>
      <c r="W43" s="1283"/>
      <c r="X43" s="1283"/>
      <c r="Y43" s="1283"/>
      <c r="Z43" s="1283"/>
      <c r="AA43" s="1283"/>
      <c r="AB43" s="1283"/>
      <c r="AC43" s="1283"/>
      <c r="AD43" s="1283"/>
      <c r="AE43" s="1283"/>
      <c r="AF43" s="1283"/>
      <c r="AG43" s="1284">
        <f t="shared" si="37"/>
        <v>48570</v>
      </c>
      <c r="AH43" s="1284">
        <f t="shared" si="37"/>
        <v>48570</v>
      </c>
    </row>
    <row r="44" spans="1:34" s="1260" customFormat="1" x14ac:dyDescent="0.2">
      <c r="A44" s="1441" t="s">
        <v>1847</v>
      </c>
      <c r="B44" s="1442"/>
      <c r="C44" s="1442"/>
      <c r="D44" s="1316" t="s">
        <v>1848</v>
      </c>
      <c r="E44" s="1285">
        <f>SUM(E45)</f>
        <v>143200</v>
      </c>
      <c r="F44" s="1285">
        <f>SUM(F45)</f>
        <v>143200</v>
      </c>
      <c r="G44" s="1285">
        <f t="shared" ref="G44:S44" si="38">SUM(G45)</f>
        <v>0</v>
      </c>
      <c r="H44" s="1285">
        <f t="shared" si="38"/>
        <v>0</v>
      </c>
      <c r="I44" s="1285">
        <f t="shared" si="38"/>
        <v>0</v>
      </c>
      <c r="J44" s="1285">
        <f t="shared" si="38"/>
        <v>0</v>
      </c>
      <c r="K44" s="1286">
        <f t="shared" si="38"/>
        <v>0</v>
      </c>
      <c r="L44" s="1286">
        <f t="shared" si="38"/>
        <v>0</v>
      </c>
      <c r="M44" s="1286">
        <f t="shared" si="38"/>
        <v>0</v>
      </c>
      <c r="N44" s="1286">
        <f t="shared" si="38"/>
        <v>0</v>
      </c>
      <c r="O44" s="1286">
        <f t="shared" si="38"/>
        <v>0</v>
      </c>
      <c r="P44" s="1286">
        <f t="shared" si="38"/>
        <v>0</v>
      </c>
      <c r="Q44" s="1286">
        <f t="shared" si="38"/>
        <v>0</v>
      </c>
      <c r="R44" s="1287">
        <f t="shared" si="38"/>
        <v>0</v>
      </c>
      <c r="S44" s="1286">
        <f t="shared" si="38"/>
        <v>0</v>
      </c>
      <c r="T44" s="1286">
        <f>SUM(T45)</f>
        <v>0</v>
      </c>
      <c r="U44" s="1288">
        <f t="shared" ref="U44:AF44" si="39">SUM(U45)</f>
        <v>0</v>
      </c>
      <c r="V44" s="1288">
        <f t="shared" si="39"/>
        <v>0</v>
      </c>
      <c r="W44" s="1288">
        <f t="shared" si="39"/>
        <v>0</v>
      </c>
      <c r="X44" s="1288">
        <f t="shared" si="39"/>
        <v>0</v>
      </c>
      <c r="Y44" s="1288">
        <f t="shared" si="39"/>
        <v>0</v>
      </c>
      <c r="Z44" s="1288">
        <f t="shared" si="39"/>
        <v>0</v>
      </c>
      <c r="AA44" s="1288">
        <f t="shared" si="39"/>
        <v>0</v>
      </c>
      <c r="AB44" s="1288">
        <f t="shared" si="39"/>
        <v>0</v>
      </c>
      <c r="AC44" s="1288">
        <f t="shared" si="39"/>
        <v>0</v>
      </c>
      <c r="AD44" s="1288">
        <f t="shared" si="39"/>
        <v>0</v>
      </c>
      <c r="AE44" s="1288">
        <f t="shared" si="39"/>
        <v>0</v>
      </c>
      <c r="AF44" s="1289">
        <f t="shared" si="39"/>
        <v>0</v>
      </c>
      <c r="AG44" s="1290">
        <f>SUM(AG45)</f>
        <v>143200</v>
      </c>
      <c r="AH44" s="1290">
        <f>SUM(AH45)</f>
        <v>143200</v>
      </c>
    </row>
    <row r="45" spans="1:34" s="1243" customFormat="1" x14ac:dyDescent="0.2">
      <c r="A45" s="1261"/>
      <c r="B45" s="1431" t="s">
        <v>1849</v>
      </c>
      <c r="C45" s="1431"/>
      <c r="D45" s="1262" t="s">
        <v>1850</v>
      </c>
      <c r="E45" s="1291">
        <f t="shared" ref="E45:AH45" si="40">E46</f>
        <v>143200</v>
      </c>
      <c r="F45" s="1291">
        <f t="shared" si="40"/>
        <v>143200</v>
      </c>
      <c r="G45" s="1291">
        <f t="shared" si="40"/>
        <v>0</v>
      </c>
      <c r="H45" s="1291">
        <f t="shared" si="40"/>
        <v>0</v>
      </c>
      <c r="I45" s="1291">
        <f t="shared" si="40"/>
        <v>0</v>
      </c>
      <c r="J45" s="1291">
        <f t="shared" si="40"/>
        <v>0</v>
      </c>
      <c r="K45" s="1291">
        <f t="shared" si="40"/>
        <v>0</v>
      </c>
      <c r="L45" s="1291">
        <f t="shared" si="40"/>
        <v>0</v>
      </c>
      <c r="M45" s="1291">
        <f t="shared" si="40"/>
        <v>0</v>
      </c>
      <c r="N45" s="1291">
        <f t="shared" si="40"/>
        <v>0</v>
      </c>
      <c r="O45" s="1291">
        <f t="shared" si="40"/>
        <v>0</v>
      </c>
      <c r="P45" s="1291">
        <f t="shared" si="40"/>
        <v>0</v>
      </c>
      <c r="Q45" s="1291">
        <f t="shared" si="40"/>
        <v>0</v>
      </c>
      <c r="R45" s="1292">
        <f t="shared" si="40"/>
        <v>0</v>
      </c>
      <c r="S45" s="1291">
        <f t="shared" si="40"/>
        <v>0</v>
      </c>
      <c r="T45" s="1291">
        <f t="shared" si="40"/>
        <v>0</v>
      </c>
      <c r="U45" s="1293">
        <f t="shared" si="40"/>
        <v>0</v>
      </c>
      <c r="V45" s="1293">
        <f t="shared" si="40"/>
        <v>0</v>
      </c>
      <c r="W45" s="1293">
        <f t="shared" si="40"/>
        <v>0</v>
      </c>
      <c r="X45" s="1293">
        <f t="shared" si="40"/>
        <v>0</v>
      </c>
      <c r="Y45" s="1293">
        <f t="shared" si="40"/>
        <v>0</v>
      </c>
      <c r="Z45" s="1293">
        <f t="shared" si="40"/>
        <v>0</v>
      </c>
      <c r="AA45" s="1293">
        <f t="shared" si="40"/>
        <v>0</v>
      </c>
      <c r="AB45" s="1293">
        <f t="shared" si="40"/>
        <v>0</v>
      </c>
      <c r="AC45" s="1293">
        <f t="shared" si="40"/>
        <v>0</v>
      </c>
      <c r="AD45" s="1293">
        <f t="shared" si="40"/>
        <v>0</v>
      </c>
      <c r="AE45" s="1293">
        <f t="shared" si="40"/>
        <v>0</v>
      </c>
      <c r="AF45" s="1293">
        <f t="shared" si="40"/>
        <v>0</v>
      </c>
      <c r="AG45" s="1294">
        <f t="shared" si="40"/>
        <v>143200</v>
      </c>
      <c r="AH45" s="1294">
        <f t="shared" si="40"/>
        <v>143200</v>
      </c>
    </row>
    <row r="46" spans="1:34" x14ac:dyDescent="0.2">
      <c r="A46" s="1328"/>
      <c r="B46" s="1456" t="s">
        <v>1851</v>
      </c>
      <c r="C46" s="1456"/>
      <c r="D46" s="1329" t="s">
        <v>1852</v>
      </c>
      <c r="E46" s="1305">
        <v>143200</v>
      </c>
      <c r="F46" s="1319">
        <f>G46+E46</f>
        <v>143200</v>
      </c>
      <c r="G46" s="1319">
        <f>SUM(H46:S46)</f>
        <v>0</v>
      </c>
      <c r="H46" s="1319"/>
      <c r="I46" s="1319"/>
      <c r="J46" s="1319"/>
      <c r="K46" s="1319"/>
      <c r="L46" s="1319"/>
      <c r="M46" s="1319"/>
      <c r="N46" s="1319"/>
      <c r="O46" s="1319"/>
      <c r="P46" s="1319"/>
      <c r="Q46" s="1319"/>
      <c r="R46" s="1330"/>
      <c r="S46" s="1319"/>
      <c r="T46" s="1297"/>
      <c r="U46" s="1299">
        <f t="shared" ref="U46" si="41">V46+T46</f>
        <v>0</v>
      </c>
      <c r="V46" s="1299">
        <f>SUM(W46:AF46)</f>
        <v>0</v>
      </c>
      <c r="W46" s="1299"/>
      <c r="X46" s="1299"/>
      <c r="Y46" s="1299"/>
      <c r="Z46" s="1299"/>
      <c r="AA46" s="1299"/>
      <c r="AB46" s="1299"/>
      <c r="AC46" s="1299"/>
      <c r="AD46" s="1299"/>
      <c r="AE46" s="1299"/>
      <c r="AF46" s="1299"/>
      <c r="AG46" s="1300">
        <f>E46+T46</f>
        <v>143200</v>
      </c>
      <c r="AH46" s="1300">
        <f>F46+U46</f>
        <v>143200</v>
      </c>
    </row>
    <row r="47" spans="1:34" s="1260" customFormat="1" x14ac:dyDescent="0.2">
      <c r="A47" s="1441" t="s">
        <v>1853</v>
      </c>
      <c r="B47" s="1442"/>
      <c r="C47" s="1442"/>
      <c r="D47" s="1316" t="s">
        <v>1854</v>
      </c>
      <c r="E47" s="1285">
        <f t="shared" ref="E47:AH47" si="42">SUM(E48,E50)</f>
        <v>60234</v>
      </c>
      <c r="F47" s="1285">
        <f t="shared" si="42"/>
        <v>60752</v>
      </c>
      <c r="G47" s="1285">
        <f t="shared" si="42"/>
        <v>518</v>
      </c>
      <c r="H47" s="1285">
        <f t="shared" si="42"/>
        <v>518</v>
      </c>
      <c r="I47" s="1285">
        <f t="shared" si="42"/>
        <v>0</v>
      </c>
      <c r="J47" s="1285">
        <f t="shared" si="42"/>
        <v>0</v>
      </c>
      <c r="K47" s="1286">
        <f t="shared" si="42"/>
        <v>0</v>
      </c>
      <c r="L47" s="1286">
        <f t="shared" si="42"/>
        <v>0</v>
      </c>
      <c r="M47" s="1286">
        <f t="shared" si="42"/>
        <v>0</v>
      </c>
      <c r="N47" s="1286">
        <f t="shared" si="42"/>
        <v>0</v>
      </c>
      <c r="O47" s="1286">
        <f t="shared" si="42"/>
        <v>0</v>
      </c>
      <c r="P47" s="1286">
        <f t="shared" si="42"/>
        <v>0</v>
      </c>
      <c r="Q47" s="1286">
        <f t="shared" si="42"/>
        <v>0</v>
      </c>
      <c r="R47" s="1287">
        <f t="shared" si="42"/>
        <v>0</v>
      </c>
      <c r="S47" s="1286">
        <f t="shared" si="42"/>
        <v>0</v>
      </c>
      <c r="T47" s="1286">
        <f t="shared" si="42"/>
        <v>-304</v>
      </c>
      <c r="U47" s="1288">
        <f t="shared" si="42"/>
        <v>-287</v>
      </c>
      <c r="V47" s="1288">
        <f t="shared" si="42"/>
        <v>17</v>
      </c>
      <c r="W47" s="1288">
        <f t="shared" si="42"/>
        <v>17</v>
      </c>
      <c r="X47" s="1288">
        <f t="shared" si="42"/>
        <v>0</v>
      </c>
      <c r="Y47" s="1288">
        <f t="shared" si="42"/>
        <v>0</v>
      </c>
      <c r="Z47" s="1288">
        <f t="shared" si="42"/>
        <v>0</v>
      </c>
      <c r="AA47" s="1288">
        <f t="shared" si="42"/>
        <v>0</v>
      </c>
      <c r="AB47" s="1288">
        <f t="shared" si="42"/>
        <v>0</v>
      </c>
      <c r="AC47" s="1288">
        <f t="shared" si="42"/>
        <v>0</v>
      </c>
      <c r="AD47" s="1288">
        <f t="shared" si="42"/>
        <v>0</v>
      </c>
      <c r="AE47" s="1288">
        <f t="shared" si="42"/>
        <v>0</v>
      </c>
      <c r="AF47" s="1289">
        <f t="shared" si="42"/>
        <v>0</v>
      </c>
      <c r="AG47" s="1290">
        <f t="shared" si="42"/>
        <v>59930</v>
      </c>
      <c r="AH47" s="1290">
        <f t="shared" si="42"/>
        <v>60465</v>
      </c>
    </row>
    <row r="48" spans="1:34" s="1243" customFormat="1" ht="24" x14ac:dyDescent="0.2">
      <c r="A48" s="1261"/>
      <c r="B48" s="1457" t="s">
        <v>1855</v>
      </c>
      <c r="C48" s="1458"/>
      <c r="D48" s="1331" t="s">
        <v>1856</v>
      </c>
      <c r="E48" s="1291">
        <f t="shared" ref="E48:AH48" si="43">SUM(E49)</f>
        <v>21747</v>
      </c>
      <c r="F48" s="1291">
        <f t="shared" si="43"/>
        <v>21747</v>
      </c>
      <c r="G48" s="1291">
        <f t="shared" si="43"/>
        <v>0</v>
      </c>
      <c r="H48" s="1291">
        <f t="shared" si="43"/>
        <v>0</v>
      </c>
      <c r="I48" s="1291">
        <f t="shared" si="43"/>
        <v>0</v>
      </c>
      <c r="J48" s="1291">
        <f t="shared" si="43"/>
        <v>0</v>
      </c>
      <c r="K48" s="1291">
        <f t="shared" si="43"/>
        <v>0</v>
      </c>
      <c r="L48" s="1291">
        <f t="shared" si="43"/>
        <v>0</v>
      </c>
      <c r="M48" s="1291">
        <f t="shared" si="43"/>
        <v>0</v>
      </c>
      <c r="N48" s="1291">
        <f t="shared" si="43"/>
        <v>0</v>
      </c>
      <c r="O48" s="1291">
        <f t="shared" si="43"/>
        <v>0</v>
      </c>
      <c r="P48" s="1291">
        <f t="shared" si="43"/>
        <v>0</v>
      </c>
      <c r="Q48" s="1291">
        <f t="shared" si="43"/>
        <v>0</v>
      </c>
      <c r="R48" s="1292">
        <f t="shared" si="43"/>
        <v>0</v>
      </c>
      <c r="S48" s="1291">
        <f t="shared" si="43"/>
        <v>0</v>
      </c>
      <c r="T48" s="1291">
        <f t="shared" si="43"/>
        <v>0</v>
      </c>
      <c r="U48" s="1320">
        <f t="shared" si="43"/>
        <v>0</v>
      </c>
      <c r="V48" s="1320">
        <f t="shared" si="43"/>
        <v>0</v>
      </c>
      <c r="W48" s="1320">
        <f t="shared" si="43"/>
        <v>0</v>
      </c>
      <c r="X48" s="1320">
        <f t="shared" si="43"/>
        <v>0</v>
      </c>
      <c r="Y48" s="1320">
        <f t="shared" si="43"/>
        <v>0</v>
      </c>
      <c r="Z48" s="1320">
        <f t="shared" si="43"/>
        <v>0</v>
      </c>
      <c r="AA48" s="1320">
        <f t="shared" si="43"/>
        <v>0</v>
      </c>
      <c r="AB48" s="1320">
        <f t="shared" si="43"/>
        <v>0</v>
      </c>
      <c r="AC48" s="1320">
        <f t="shared" si="43"/>
        <v>0</v>
      </c>
      <c r="AD48" s="1320">
        <f t="shared" si="43"/>
        <v>0</v>
      </c>
      <c r="AE48" s="1320">
        <f t="shared" si="43"/>
        <v>0</v>
      </c>
      <c r="AF48" s="1320">
        <f t="shared" si="43"/>
        <v>0</v>
      </c>
      <c r="AG48" s="1321">
        <f t="shared" si="43"/>
        <v>21747</v>
      </c>
      <c r="AH48" s="1321">
        <f t="shared" si="43"/>
        <v>21747</v>
      </c>
    </row>
    <row r="49" spans="1:34" ht="24" x14ac:dyDescent="0.2">
      <c r="A49" s="1266"/>
      <c r="B49" s="1459" t="s">
        <v>1857</v>
      </c>
      <c r="C49" s="1460"/>
      <c r="D49" s="1332" t="s">
        <v>1858</v>
      </c>
      <c r="E49" s="1268">
        <f>21747</f>
        <v>21747</v>
      </c>
      <c r="F49" s="1268">
        <f>G49+E49</f>
        <v>21747</v>
      </c>
      <c r="G49" s="1268">
        <f>SUM(H49:S49)</f>
        <v>0</v>
      </c>
      <c r="H49" s="1268"/>
      <c r="I49" s="1268"/>
      <c r="J49" s="1268"/>
      <c r="K49" s="1268"/>
      <c r="L49" s="1268"/>
      <c r="M49" s="1268"/>
      <c r="N49" s="1268"/>
      <c r="O49" s="1268"/>
      <c r="P49" s="1268"/>
      <c r="Q49" s="1268"/>
      <c r="R49" s="1269"/>
      <c r="S49" s="1268"/>
      <c r="T49" s="1268"/>
      <c r="U49" s="1270">
        <f t="shared" ref="U49" si="44">V49+T49</f>
        <v>0</v>
      </c>
      <c r="V49" s="1270">
        <f>SUM(W49:AF49)</f>
        <v>0</v>
      </c>
      <c r="W49" s="1270"/>
      <c r="X49" s="1270"/>
      <c r="Y49" s="1270"/>
      <c r="Z49" s="1270"/>
      <c r="AA49" s="1270"/>
      <c r="AB49" s="1270"/>
      <c r="AC49" s="1270"/>
      <c r="AD49" s="1270"/>
      <c r="AE49" s="1270"/>
      <c r="AF49" s="1270"/>
      <c r="AG49" s="1271">
        <f>E49+T49</f>
        <v>21747</v>
      </c>
      <c r="AH49" s="1271">
        <f>F49+U49</f>
        <v>21747</v>
      </c>
    </row>
    <row r="50" spans="1:34" s="1243" customFormat="1" x14ac:dyDescent="0.2">
      <c r="A50" s="1261"/>
      <c r="B50" s="1431" t="s">
        <v>1859</v>
      </c>
      <c r="C50" s="1431"/>
      <c r="D50" s="1262" t="s">
        <v>1860</v>
      </c>
      <c r="E50" s="1291">
        <f>SUM(E51)</f>
        <v>38487</v>
      </c>
      <c r="F50" s="1291">
        <f t="shared" ref="F50:AH50" si="45">SUM(F51)</f>
        <v>39005</v>
      </c>
      <c r="G50" s="1291">
        <f t="shared" si="45"/>
        <v>518</v>
      </c>
      <c r="H50" s="1291">
        <f t="shared" si="45"/>
        <v>518</v>
      </c>
      <c r="I50" s="1291">
        <f t="shared" si="45"/>
        <v>0</v>
      </c>
      <c r="J50" s="1291">
        <f t="shared" si="45"/>
        <v>0</v>
      </c>
      <c r="K50" s="1291">
        <f t="shared" si="45"/>
        <v>0</v>
      </c>
      <c r="L50" s="1291">
        <f t="shared" si="45"/>
        <v>0</v>
      </c>
      <c r="M50" s="1291">
        <f t="shared" si="45"/>
        <v>0</v>
      </c>
      <c r="N50" s="1291">
        <f t="shared" si="45"/>
        <v>0</v>
      </c>
      <c r="O50" s="1291">
        <f t="shared" si="45"/>
        <v>0</v>
      </c>
      <c r="P50" s="1291">
        <f t="shared" si="45"/>
        <v>0</v>
      </c>
      <c r="Q50" s="1291">
        <f t="shared" si="45"/>
        <v>0</v>
      </c>
      <c r="R50" s="1292">
        <f t="shared" si="45"/>
        <v>0</v>
      </c>
      <c r="S50" s="1291">
        <f t="shared" si="45"/>
        <v>0</v>
      </c>
      <c r="T50" s="1291">
        <f t="shared" si="45"/>
        <v>-304</v>
      </c>
      <c r="U50" s="1293">
        <f t="shared" si="45"/>
        <v>-287</v>
      </c>
      <c r="V50" s="1293">
        <f t="shared" si="45"/>
        <v>17</v>
      </c>
      <c r="W50" s="1293">
        <f t="shared" si="45"/>
        <v>17</v>
      </c>
      <c r="X50" s="1293">
        <f t="shared" si="45"/>
        <v>0</v>
      </c>
      <c r="Y50" s="1293">
        <f t="shared" si="45"/>
        <v>0</v>
      </c>
      <c r="Z50" s="1293">
        <f t="shared" si="45"/>
        <v>0</v>
      </c>
      <c r="AA50" s="1293">
        <f t="shared" si="45"/>
        <v>0</v>
      </c>
      <c r="AB50" s="1293">
        <f t="shared" si="45"/>
        <v>0</v>
      </c>
      <c r="AC50" s="1293">
        <f t="shared" si="45"/>
        <v>0</v>
      </c>
      <c r="AD50" s="1293">
        <f t="shared" si="45"/>
        <v>0</v>
      </c>
      <c r="AE50" s="1293">
        <f t="shared" si="45"/>
        <v>0</v>
      </c>
      <c r="AF50" s="1293">
        <f t="shared" si="45"/>
        <v>0</v>
      </c>
      <c r="AG50" s="1294">
        <f t="shared" si="45"/>
        <v>38183</v>
      </c>
      <c r="AH50" s="1294">
        <f t="shared" si="45"/>
        <v>38718</v>
      </c>
    </row>
    <row r="51" spans="1:34" x14ac:dyDescent="0.2">
      <c r="A51" s="1266"/>
      <c r="B51" s="1444" t="s">
        <v>1861</v>
      </c>
      <c r="C51" s="1444"/>
      <c r="D51" s="1267" t="s">
        <v>1862</v>
      </c>
      <c r="E51" s="1268">
        <f t="shared" ref="E51:AH51" si="46">SUM(E52:E53)</f>
        <v>38487</v>
      </c>
      <c r="F51" s="1268">
        <f t="shared" si="46"/>
        <v>39005</v>
      </c>
      <c r="G51" s="1268">
        <f t="shared" si="46"/>
        <v>518</v>
      </c>
      <c r="H51" s="1268">
        <f t="shared" si="46"/>
        <v>518</v>
      </c>
      <c r="I51" s="1268">
        <f t="shared" si="46"/>
        <v>0</v>
      </c>
      <c r="J51" s="1268">
        <f t="shared" si="46"/>
        <v>0</v>
      </c>
      <c r="K51" s="1268">
        <f t="shared" si="46"/>
        <v>0</v>
      </c>
      <c r="L51" s="1268">
        <f t="shared" si="46"/>
        <v>0</v>
      </c>
      <c r="M51" s="1268">
        <f t="shared" si="46"/>
        <v>0</v>
      </c>
      <c r="N51" s="1268">
        <f t="shared" si="46"/>
        <v>0</v>
      </c>
      <c r="O51" s="1268">
        <f t="shared" si="46"/>
        <v>0</v>
      </c>
      <c r="P51" s="1268">
        <f t="shared" si="46"/>
        <v>0</v>
      </c>
      <c r="Q51" s="1268">
        <f t="shared" si="46"/>
        <v>0</v>
      </c>
      <c r="R51" s="1269">
        <f t="shared" si="46"/>
        <v>0</v>
      </c>
      <c r="S51" s="1268">
        <f t="shared" si="46"/>
        <v>0</v>
      </c>
      <c r="T51" s="1268">
        <f t="shared" si="46"/>
        <v>-304</v>
      </c>
      <c r="U51" s="1270">
        <f t="shared" si="46"/>
        <v>-287</v>
      </c>
      <c r="V51" s="1270">
        <f t="shared" si="46"/>
        <v>17</v>
      </c>
      <c r="W51" s="1270">
        <f t="shared" si="46"/>
        <v>17</v>
      </c>
      <c r="X51" s="1270">
        <f t="shared" si="46"/>
        <v>0</v>
      </c>
      <c r="Y51" s="1270">
        <f t="shared" si="46"/>
        <v>0</v>
      </c>
      <c r="Z51" s="1270">
        <f t="shared" si="46"/>
        <v>0</v>
      </c>
      <c r="AA51" s="1270">
        <f t="shared" si="46"/>
        <v>0</v>
      </c>
      <c r="AB51" s="1270">
        <f t="shared" si="46"/>
        <v>0</v>
      </c>
      <c r="AC51" s="1270">
        <f t="shared" si="46"/>
        <v>0</v>
      </c>
      <c r="AD51" s="1270">
        <f t="shared" si="46"/>
        <v>0</v>
      </c>
      <c r="AE51" s="1270">
        <f t="shared" si="46"/>
        <v>0</v>
      </c>
      <c r="AF51" s="1270">
        <f t="shared" si="46"/>
        <v>0</v>
      </c>
      <c r="AG51" s="1271">
        <f t="shared" si="46"/>
        <v>38183</v>
      </c>
      <c r="AH51" s="1271">
        <f t="shared" si="46"/>
        <v>38718</v>
      </c>
    </row>
    <row r="52" spans="1:34" x14ac:dyDescent="0.2">
      <c r="A52" s="1328"/>
      <c r="B52" s="1461" t="s">
        <v>1863</v>
      </c>
      <c r="C52" s="1462"/>
      <c r="D52" s="1329" t="s">
        <v>1864</v>
      </c>
      <c r="E52" s="1305">
        <v>4500</v>
      </c>
      <c r="F52" s="1305">
        <f t="shared" ref="F52:F53" si="47">G52+E52</f>
        <v>4500</v>
      </c>
      <c r="G52" s="1305">
        <f t="shared" ref="G52:G53" si="48">SUM(H52:S52)</f>
        <v>0</v>
      </c>
      <c r="H52" s="1305"/>
      <c r="I52" s="1305"/>
      <c r="J52" s="1305"/>
      <c r="K52" s="1305"/>
      <c r="L52" s="1305"/>
      <c r="M52" s="1305"/>
      <c r="N52" s="1305"/>
      <c r="O52" s="1305"/>
      <c r="P52" s="1305"/>
      <c r="Q52" s="1305"/>
      <c r="R52" s="1306"/>
      <c r="S52" s="1305"/>
      <c r="T52" s="1305"/>
      <c r="U52" s="1307">
        <f t="shared" ref="U52:U53" si="49">V52+T52</f>
        <v>0</v>
      </c>
      <c r="V52" s="1307">
        <f>SUM(W52:AF52)</f>
        <v>0</v>
      </c>
      <c r="W52" s="1307"/>
      <c r="X52" s="1307"/>
      <c r="Y52" s="1307"/>
      <c r="Z52" s="1307"/>
      <c r="AA52" s="1307"/>
      <c r="AB52" s="1307"/>
      <c r="AC52" s="1307"/>
      <c r="AD52" s="1307"/>
      <c r="AE52" s="1307"/>
      <c r="AF52" s="1307"/>
      <c r="AG52" s="1308">
        <f>E52+T52</f>
        <v>4500</v>
      </c>
      <c r="AH52" s="1308">
        <f>F52+U52</f>
        <v>4500</v>
      </c>
    </row>
    <row r="53" spans="1:34" ht="24" x14ac:dyDescent="0.2">
      <c r="A53" s="1333"/>
      <c r="B53" s="1463" t="s">
        <v>1865</v>
      </c>
      <c r="C53" s="1464"/>
      <c r="D53" s="1334" t="s">
        <v>1866</v>
      </c>
      <c r="E53" s="1302">
        <v>33987</v>
      </c>
      <c r="F53" s="1302">
        <f t="shared" si="47"/>
        <v>34505</v>
      </c>
      <c r="G53" s="1302">
        <f t="shared" si="48"/>
        <v>518</v>
      </c>
      <c r="H53" s="1302">
        <f>518</f>
        <v>518</v>
      </c>
      <c r="I53" s="1302"/>
      <c r="J53" s="1302"/>
      <c r="K53" s="1302"/>
      <c r="L53" s="1302"/>
      <c r="M53" s="1302"/>
      <c r="N53" s="1302"/>
      <c r="O53" s="1302"/>
      <c r="P53" s="1302"/>
      <c r="Q53" s="1302"/>
      <c r="R53" s="1335"/>
      <c r="S53" s="1302"/>
      <c r="T53" s="1302">
        <v>-304</v>
      </c>
      <c r="U53" s="1301">
        <f t="shared" si="49"/>
        <v>-287</v>
      </c>
      <c r="V53" s="1301">
        <f>SUM(W53:AF53)</f>
        <v>17</v>
      </c>
      <c r="W53" s="1301">
        <v>17</v>
      </c>
      <c r="X53" s="1301"/>
      <c r="Y53" s="1301"/>
      <c r="Z53" s="1301"/>
      <c r="AA53" s="1301"/>
      <c r="AB53" s="1301"/>
      <c r="AC53" s="1301"/>
      <c r="AD53" s="1301"/>
      <c r="AE53" s="1301"/>
      <c r="AF53" s="1301"/>
      <c r="AG53" s="1303">
        <f>E53+T53</f>
        <v>33683</v>
      </c>
      <c r="AH53" s="1303">
        <f>F53+U53</f>
        <v>34218</v>
      </c>
    </row>
    <row r="54" spans="1:34" s="1260" customFormat="1" ht="36" x14ac:dyDescent="0.2">
      <c r="A54" s="1441" t="s">
        <v>1867</v>
      </c>
      <c r="B54" s="1442"/>
      <c r="C54" s="1442"/>
      <c r="D54" s="1316" t="s">
        <v>1868</v>
      </c>
      <c r="E54" s="1285">
        <f>SUM(E57,E55,)</f>
        <v>2885975</v>
      </c>
      <c r="F54" s="1285">
        <f t="shared" ref="F54:AH54" si="50">SUM(F57,F55,)</f>
        <v>2534272</v>
      </c>
      <c r="G54" s="1285">
        <f t="shared" si="50"/>
        <v>-351703</v>
      </c>
      <c r="H54" s="1285">
        <f t="shared" si="50"/>
        <v>0</v>
      </c>
      <c r="I54" s="1285">
        <f t="shared" si="50"/>
        <v>0</v>
      </c>
      <c r="J54" s="1285">
        <f t="shared" si="50"/>
        <v>0</v>
      </c>
      <c r="K54" s="1286">
        <f t="shared" si="50"/>
        <v>0</v>
      </c>
      <c r="L54" s="1286">
        <f t="shared" si="50"/>
        <v>0</v>
      </c>
      <c r="M54" s="1286">
        <f t="shared" si="50"/>
        <v>0</v>
      </c>
      <c r="N54" s="1286">
        <f t="shared" si="50"/>
        <v>0</v>
      </c>
      <c r="O54" s="1286">
        <f t="shared" si="50"/>
        <v>0</v>
      </c>
      <c r="P54" s="1286">
        <f t="shared" si="50"/>
        <v>0</v>
      </c>
      <c r="Q54" s="1286">
        <f t="shared" si="50"/>
        <v>0</v>
      </c>
      <c r="R54" s="1287">
        <f t="shared" si="50"/>
        <v>-351703</v>
      </c>
      <c r="S54" s="1286">
        <f t="shared" si="50"/>
        <v>0</v>
      </c>
      <c r="T54" s="1286">
        <f t="shared" si="50"/>
        <v>0</v>
      </c>
      <c r="U54" s="1288">
        <f t="shared" si="50"/>
        <v>0</v>
      </c>
      <c r="V54" s="1288">
        <f t="shared" si="50"/>
        <v>0</v>
      </c>
      <c r="W54" s="1288">
        <f t="shared" si="50"/>
        <v>0</v>
      </c>
      <c r="X54" s="1288">
        <f t="shared" si="50"/>
        <v>0</v>
      </c>
      <c r="Y54" s="1288">
        <f t="shared" si="50"/>
        <v>0</v>
      </c>
      <c r="Z54" s="1288">
        <f t="shared" si="50"/>
        <v>0</v>
      </c>
      <c r="AA54" s="1288">
        <f t="shared" si="50"/>
        <v>0</v>
      </c>
      <c r="AB54" s="1288">
        <f t="shared" si="50"/>
        <v>0</v>
      </c>
      <c r="AC54" s="1288">
        <f t="shared" si="50"/>
        <v>0</v>
      </c>
      <c r="AD54" s="1288">
        <f t="shared" si="50"/>
        <v>0</v>
      </c>
      <c r="AE54" s="1288">
        <f t="shared" si="50"/>
        <v>0</v>
      </c>
      <c r="AF54" s="1289">
        <f t="shared" si="50"/>
        <v>0</v>
      </c>
      <c r="AG54" s="1290">
        <f t="shared" si="50"/>
        <v>2885975</v>
      </c>
      <c r="AH54" s="1290">
        <f t="shared" si="50"/>
        <v>2534272</v>
      </c>
    </row>
    <row r="55" spans="1:34" s="1243" customFormat="1" x14ac:dyDescent="0.2">
      <c r="A55" s="1261"/>
      <c r="B55" s="1431" t="s">
        <v>1869</v>
      </c>
      <c r="C55" s="1431"/>
      <c r="D55" s="1262" t="s">
        <v>1870</v>
      </c>
      <c r="E55" s="1291">
        <f>SUM(E56:E56)</f>
        <v>2500000</v>
      </c>
      <c r="F55" s="1291">
        <f>SUM(F56:F56)</f>
        <v>2148297</v>
      </c>
      <c r="G55" s="1291">
        <f t="shared" ref="G55:S55" si="51">SUM(G56:G56)</f>
        <v>-351703</v>
      </c>
      <c r="H55" s="1291">
        <f t="shared" si="51"/>
        <v>0</v>
      </c>
      <c r="I55" s="1291">
        <f t="shared" si="51"/>
        <v>0</v>
      </c>
      <c r="J55" s="1291">
        <f t="shared" si="51"/>
        <v>0</v>
      </c>
      <c r="K55" s="1291">
        <f t="shared" si="51"/>
        <v>0</v>
      </c>
      <c r="L55" s="1291">
        <f t="shared" si="51"/>
        <v>0</v>
      </c>
      <c r="M55" s="1291">
        <f t="shared" si="51"/>
        <v>0</v>
      </c>
      <c r="N55" s="1291">
        <f t="shared" si="51"/>
        <v>0</v>
      </c>
      <c r="O55" s="1291">
        <f t="shared" si="51"/>
        <v>0</v>
      </c>
      <c r="P55" s="1291">
        <f t="shared" si="51"/>
        <v>0</v>
      </c>
      <c r="Q55" s="1291">
        <f t="shared" si="51"/>
        <v>0</v>
      </c>
      <c r="R55" s="1292">
        <f t="shared" si="51"/>
        <v>-351703</v>
      </c>
      <c r="S55" s="1291">
        <f t="shared" si="51"/>
        <v>0</v>
      </c>
      <c r="T55" s="1291">
        <f>SUM(T56:T56)</f>
        <v>0</v>
      </c>
      <c r="U55" s="1293">
        <f t="shared" ref="U55:AF55" si="52">SUM(U56:U56)</f>
        <v>0</v>
      </c>
      <c r="V55" s="1293">
        <f t="shared" si="52"/>
        <v>0</v>
      </c>
      <c r="W55" s="1293">
        <f t="shared" si="52"/>
        <v>0</v>
      </c>
      <c r="X55" s="1293">
        <f t="shared" si="52"/>
        <v>0</v>
      </c>
      <c r="Y55" s="1293">
        <f t="shared" si="52"/>
        <v>0</v>
      </c>
      <c r="Z55" s="1293">
        <f t="shared" si="52"/>
        <v>0</v>
      </c>
      <c r="AA55" s="1293">
        <f t="shared" si="52"/>
        <v>0</v>
      </c>
      <c r="AB55" s="1293">
        <f t="shared" si="52"/>
        <v>0</v>
      </c>
      <c r="AC55" s="1293">
        <f t="shared" si="52"/>
        <v>0</v>
      </c>
      <c r="AD55" s="1293">
        <f t="shared" si="52"/>
        <v>0</v>
      </c>
      <c r="AE55" s="1293">
        <f t="shared" si="52"/>
        <v>0</v>
      </c>
      <c r="AF55" s="1293">
        <f t="shared" si="52"/>
        <v>0</v>
      </c>
      <c r="AG55" s="1294">
        <f>SUM(AG56:AG56)</f>
        <v>2500000</v>
      </c>
      <c r="AH55" s="1294">
        <f>SUM(AH56:AH56)</f>
        <v>2148297</v>
      </c>
    </row>
    <row r="56" spans="1:34" s="1243" customFormat="1" x14ac:dyDescent="0.2">
      <c r="A56" s="1261"/>
      <c r="B56" s="1444" t="s">
        <v>1871</v>
      </c>
      <c r="C56" s="1444"/>
      <c r="D56" s="1296" t="s">
        <v>1872</v>
      </c>
      <c r="E56" s="1297">
        <v>2500000</v>
      </c>
      <c r="F56" s="1297">
        <f>G56+E56</f>
        <v>2148297</v>
      </c>
      <c r="G56" s="1297">
        <f>SUM(H56:S56)</f>
        <v>-351703</v>
      </c>
      <c r="H56" s="1297"/>
      <c r="I56" s="1297"/>
      <c r="J56" s="1297"/>
      <c r="K56" s="1297"/>
      <c r="L56" s="1297"/>
      <c r="M56" s="1297"/>
      <c r="N56" s="1297"/>
      <c r="O56" s="1297"/>
      <c r="P56" s="1297"/>
      <c r="Q56" s="1297"/>
      <c r="R56" s="1298">
        <v>-351703</v>
      </c>
      <c r="S56" s="1297"/>
      <c r="T56" s="1297"/>
      <c r="U56" s="1299">
        <f t="shared" ref="U56" si="53">V56+T56</f>
        <v>0</v>
      </c>
      <c r="V56" s="1299">
        <f>SUM(W56:AF56)</f>
        <v>0</v>
      </c>
      <c r="W56" s="1299"/>
      <c r="X56" s="1299"/>
      <c r="Y56" s="1299"/>
      <c r="Z56" s="1299"/>
      <c r="AA56" s="1299"/>
      <c r="AB56" s="1299"/>
      <c r="AC56" s="1299"/>
      <c r="AD56" s="1299"/>
      <c r="AE56" s="1299"/>
      <c r="AF56" s="1299"/>
      <c r="AG56" s="1300">
        <f>E56+T56</f>
        <v>2500000</v>
      </c>
      <c r="AH56" s="1300">
        <f>F56+U56</f>
        <v>2148297</v>
      </c>
    </row>
    <row r="57" spans="1:34" s="1243" customFormat="1" ht="24" x14ac:dyDescent="0.2">
      <c r="A57" s="1261"/>
      <c r="B57" s="1431" t="s">
        <v>1873</v>
      </c>
      <c r="C57" s="1431"/>
      <c r="D57" s="1262" t="s">
        <v>1874</v>
      </c>
      <c r="E57" s="1291">
        <f t="shared" ref="E57:AH57" si="54">SUM(E58:E60)</f>
        <v>385975</v>
      </c>
      <c r="F57" s="1291">
        <f t="shared" si="54"/>
        <v>385975</v>
      </c>
      <c r="G57" s="1291">
        <f t="shared" si="54"/>
        <v>0</v>
      </c>
      <c r="H57" s="1291">
        <f t="shared" si="54"/>
        <v>0</v>
      </c>
      <c r="I57" s="1291">
        <f t="shared" si="54"/>
        <v>0</v>
      </c>
      <c r="J57" s="1291">
        <f t="shared" si="54"/>
        <v>0</v>
      </c>
      <c r="K57" s="1291">
        <f t="shared" si="54"/>
        <v>0</v>
      </c>
      <c r="L57" s="1291">
        <f t="shared" si="54"/>
        <v>0</v>
      </c>
      <c r="M57" s="1291">
        <f t="shared" si="54"/>
        <v>0</v>
      </c>
      <c r="N57" s="1291">
        <f t="shared" si="54"/>
        <v>0</v>
      </c>
      <c r="O57" s="1291">
        <f t="shared" si="54"/>
        <v>0</v>
      </c>
      <c r="P57" s="1291">
        <f t="shared" si="54"/>
        <v>0</v>
      </c>
      <c r="Q57" s="1291">
        <f t="shared" si="54"/>
        <v>0</v>
      </c>
      <c r="R57" s="1292">
        <f t="shared" si="54"/>
        <v>0</v>
      </c>
      <c r="S57" s="1291">
        <f t="shared" si="54"/>
        <v>0</v>
      </c>
      <c r="T57" s="1291">
        <f t="shared" si="54"/>
        <v>0</v>
      </c>
      <c r="U57" s="1293">
        <f t="shared" si="54"/>
        <v>0</v>
      </c>
      <c r="V57" s="1293">
        <f t="shared" si="54"/>
        <v>0</v>
      </c>
      <c r="W57" s="1293">
        <f t="shared" si="54"/>
        <v>0</v>
      </c>
      <c r="X57" s="1293">
        <f t="shared" si="54"/>
        <v>0</v>
      </c>
      <c r="Y57" s="1293">
        <f t="shared" si="54"/>
        <v>0</v>
      </c>
      <c r="Z57" s="1293">
        <f t="shared" si="54"/>
        <v>0</v>
      </c>
      <c r="AA57" s="1293">
        <f t="shared" si="54"/>
        <v>0</v>
      </c>
      <c r="AB57" s="1293">
        <f t="shared" si="54"/>
        <v>0</v>
      </c>
      <c r="AC57" s="1293">
        <f t="shared" si="54"/>
        <v>0</v>
      </c>
      <c r="AD57" s="1293">
        <f t="shared" si="54"/>
        <v>0</v>
      </c>
      <c r="AE57" s="1293">
        <f t="shared" si="54"/>
        <v>0</v>
      </c>
      <c r="AF57" s="1293">
        <f t="shared" si="54"/>
        <v>0</v>
      </c>
      <c r="AG57" s="1294">
        <f t="shared" si="54"/>
        <v>385975</v>
      </c>
      <c r="AH57" s="1294">
        <f t="shared" si="54"/>
        <v>385975</v>
      </c>
    </row>
    <row r="58" spans="1:34" x14ac:dyDescent="0.2">
      <c r="A58" s="1266"/>
      <c r="B58" s="1444" t="s">
        <v>1875</v>
      </c>
      <c r="C58" s="1444"/>
      <c r="D58" s="1267" t="s">
        <v>138</v>
      </c>
      <c r="E58" s="1268">
        <v>116437</v>
      </c>
      <c r="F58" s="1268">
        <f t="shared" ref="F58:F60" si="55">G58+E58</f>
        <v>116437</v>
      </c>
      <c r="G58" s="1268">
        <f t="shared" ref="G58:G60" si="56">SUM(H58:S58)</f>
        <v>0</v>
      </c>
      <c r="H58" s="1268"/>
      <c r="I58" s="1268"/>
      <c r="J58" s="1268"/>
      <c r="K58" s="1268"/>
      <c r="L58" s="1268"/>
      <c r="M58" s="1268"/>
      <c r="N58" s="1268"/>
      <c r="O58" s="1268"/>
      <c r="P58" s="1268"/>
      <c r="Q58" s="1268"/>
      <c r="R58" s="1269"/>
      <c r="S58" s="1268"/>
      <c r="T58" s="1268"/>
      <c r="U58" s="1270">
        <f t="shared" ref="U58:U60" si="57">V58+T58</f>
        <v>0</v>
      </c>
      <c r="V58" s="1270">
        <f>SUM(W58:AF58)</f>
        <v>0</v>
      </c>
      <c r="W58" s="1270"/>
      <c r="X58" s="1270"/>
      <c r="Y58" s="1270"/>
      <c r="Z58" s="1270"/>
      <c r="AA58" s="1270"/>
      <c r="AB58" s="1270"/>
      <c r="AC58" s="1270"/>
      <c r="AD58" s="1270"/>
      <c r="AE58" s="1270"/>
      <c r="AF58" s="1270"/>
      <c r="AG58" s="1271">
        <f t="shared" ref="AG58:AH60" si="58">E58+T58</f>
        <v>116437</v>
      </c>
      <c r="AH58" s="1271">
        <f t="shared" si="58"/>
        <v>116437</v>
      </c>
    </row>
    <row r="59" spans="1:34" x14ac:dyDescent="0.2">
      <c r="A59" s="1295"/>
      <c r="B59" s="1443" t="s">
        <v>1876</v>
      </c>
      <c r="C59" s="1443"/>
      <c r="D59" s="1296" t="s">
        <v>923</v>
      </c>
      <c r="E59" s="1297">
        <v>43721</v>
      </c>
      <c r="F59" s="1297">
        <f t="shared" si="55"/>
        <v>43721</v>
      </c>
      <c r="G59" s="1297">
        <f t="shared" si="56"/>
        <v>0</v>
      </c>
      <c r="H59" s="1297"/>
      <c r="I59" s="1297"/>
      <c r="J59" s="1297"/>
      <c r="K59" s="1297"/>
      <c r="L59" s="1297"/>
      <c r="M59" s="1297"/>
      <c r="N59" s="1297"/>
      <c r="O59" s="1297"/>
      <c r="P59" s="1297"/>
      <c r="Q59" s="1297"/>
      <c r="R59" s="1298"/>
      <c r="S59" s="1297"/>
      <c r="T59" s="1297"/>
      <c r="U59" s="1299">
        <f t="shared" si="57"/>
        <v>0</v>
      </c>
      <c r="V59" s="1299">
        <f>SUM(W59:AF59)</f>
        <v>0</v>
      </c>
      <c r="W59" s="1299"/>
      <c r="X59" s="1299"/>
      <c r="Y59" s="1299"/>
      <c r="Z59" s="1299"/>
      <c r="AA59" s="1299"/>
      <c r="AB59" s="1299"/>
      <c r="AC59" s="1299"/>
      <c r="AD59" s="1299"/>
      <c r="AE59" s="1299"/>
      <c r="AF59" s="1299"/>
      <c r="AG59" s="1300">
        <f t="shared" si="58"/>
        <v>43721</v>
      </c>
      <c r="AH59" s="1300">
        <f t="shared" si="58"/>
        <v>43721</v>
      </c>
    </row>
    <row r="60" spans="1:34" x14ac:dyDescent="0.2">
      <c r="A60" s="1317"/>
      <c r="B60" s="1454" t="s">
        <v>1877</v>
      </c>
      <c r="C60" s="1454"/>
      <c r="D60" s="1318" t="s">
        <v>1878</v>
      </c>
      <c r="E60" s="1319">
        <v>225817</v>
      </c>
      <c r="F60" s="1319">
        <f t="shared" si="55"/>
        <v>225817</v>
      </c>
      <c r="G60" s="1319">
        <f t="shared" si="56"/>
        <v>0</v>
      </c>
      <c r="H60" s="1319"/>
      <c r="I60" s="1319"/>
      <c r="J60" s="1319"/>
      <c r="K60" s="1319"/>
      <c r="L60" s="1319"/>
      <c r="M60" s="1319"/>
      <c r="N60" s="1319"/>
      <c r="O60" s="1319"/>
      <c r="P60" s="1319"/>
      <c r="Q60" s="1319"/>
      <c r="R60" s="1330"/>
      <c r="S60" s="1319"/>
      <c r="T60" s="1319"/>
      <c r="U60" s="1336">
        <f t="shared" si="57"/>
        <v>0</v>
      </c>
      <c r="V60" s="1336">
        <f>SUM(W60:AF60)</f>
        <v>0</v>
      </c>
      <c r="W60" s="1336"/>
      <c r="X60" s="1336"/>
      <c r="Y60" s="1336"/>
      <c r="Z60" s="1336"/>
      <c r="AA60" s="1336"/>
      <c r="AB60" s="1336"/>
      <c r="AC60" s="1336"/>
      <c r="AD60" s="1336"/>
      <c r="AE60" s="1336"/>
      <c r="AF60" s="1336"/>
      <c r="AG60" s="1337">
        <f t="shared" si="58"/>
        <v>225817</v>
      </c>
      <c r="AH60" s="1337">
        <f t="shared" si="58"/>
        <v>225817</v>
      </c>
    </row>
    <row r="61" spans="1:34" s="1260" customFormat="1" x14ac:dyDescent="0.2">
      <c r="A61" s="1441" t="s">
        <v>1879</v>
      </c>
      <c r="B61" s="1442"/>
      <c r="C61" s="1442"/>
      <c r="D61" s="1316" t="s">
        <v>1880</v>
      </c>
      <c r="E61" s="1285">
        <f t="shared" ref="E61:AH61" si="59">SUM(E62)</f>
        <v>9945841</v>
      </c>
      <c r="F61" s="1285">
        <f t="shared" si="59"/>
        <v>10084754</v>
      </c>
      <c r="G61" s="1285">
        <f t="shared" si="59"/>
        <v>138913</v>
      </c>
      <c r="H61" s="1285">
        <f t="shared" si="59"/>
        <v>-369627</v>
      </c>
      <c r="I61" s="1285">
        <f t="shared" si="59"/>
        <v>99647</v>
      </c>
      <c r="J61" s="1285">
        <f t="shared" si="59"/>
        <v>22076</v>
      </c>
      <c r="K61" s="1286">
        <f t="shared" si="59"/>
        <v>-3685</v>
      </c>
      <c r="L61" s="1286">
        <f t="shared" si="59"/>
        <v>35574</v>
      </c>
      <c r="M61" s="1286">
        <f t="shared" si="59"/>
        <v>0</v>
      </c>
      <c r="N61" s="1286">
        <f t="shared" si="59"/>
        <v>2834</v>
      </c>
      <c r="O61" s="1286">
        <f t="shared" si="59"/>
        <v>29302</v>
      </c>
      <c r="P61" s="1286">
        <f t="shared" si="59"/>
        <v>9544</v>
      </c>
      <c r="Q61" s="1286">
        <f t="shared" si="59"/>
        <v>15829</v>
      </c>
      <c r="R61" s="1287">
        <f t="shared" si="59"/>
        <v>297419</v>
      </c>
      <c r="S61" s="1286">
        <f t="shared" si="59"/>
        <v>0</v>
      </c>
      <c r="T61" s="1286">
        <f t="shared" si="59"/>
        <v>0</v>
      </c>
      <c r="U61" s="1288">
        <f t="shared" si="59"/>
        <v>0</v>
      </c>
      <c r="V61" s="1288">
        <f t="shared" si="59"/>
        <v>0</v>
      </c>
      <c r="W61" s="1288">
        <f t="shared" si="59"/>
        <v>0</v>
      </c>
      <c r="X61" s="1288">
        <f t="shared" si="59"/>
        <v>0</v>
      </c>
      <c r="Y61" s="1288">
        <f t="shared" si="59"/>
        <v>0</v>
      </c>
      <c r="Z61" s="1288">
        <f t="shared" si="59"/>
        <v>0</v>
      </c>
      <c r="AA61" s="1288">
        <f t="shared" si="59"/>
        <v>0</v>
      </c>
      <c r="AB61" s="1288">
        <f t="shared" si="59"/>
        <v>0</v>
      </c>
      <c r="AC61" s="1288">
        <f t="shared" si="59"/>
        <v>0</v>
      </c>
      <c r="AD61" s="1288">
        <f t="shared" si="59"/>
        <v>0</v>
      </c>
      <c r="AE61" s="1288">
        <f t="shared" si="59"/>
        <v>0</v>
      </c>
      <c r="AF61" s="1289">
        <f t="shared" si="59"/>
        <v>0</v>
      </c>
      <c r="AG61" s="1290">
        <f t="shared" si="59"/>
        <v>9945841</v>
      </c>
      <c r="AH61" s="1290">
        <f t="shared" si="59"/>
        <v>10084754</v>
      </c>
    </row>
    <row r="62" spans="1:34" s="1243" customFormat="1" x14ac:dyDescent="0.2">
      <c r="A62" s="1261"/>
      <c r="B62" s="1431" t="s">
        <v>1881</v>
      </c>
      <c r="C62" s="1431"/>
      <c r="D62" s="1262" t="s">
        <v>1882</v>
      </c>
      <c r="E62" s="1291">
        <f t="shared" ref="E62:AH62" si="60">SUM(,E63,E64,E65)</f>
        <v>9945841</v>
      </c>
      <c r="F62" s="1291">
        <f t="shared" si="60"/>
        <v>10084754</v>
      </c>
      <c r="G62" s="1291">
        <f t="shared" si="60"/>
        <v>138913</v>
      </c>
      <c r="H62" s="1291">
        <f t="shared" si="60"/>
        <v>-369627</v>
      </c>
      <c r="I62" s="1291">
        <f t="shared" si="60"/>
        <v>99647</v>
      </c>
      <c r="J62" s="1291">
        <f t="shared" si="60"/>
        <v>22076</v>
      </c>
      <c r="K62" s="1291">
        <f t="shared" si="60"/>
        <v>-3685</v>
      </c>
      <c r="L62" s="1291">
        <f t="shared" si="60"/>
        <v>35574</v>
      </c>
      <c r="M62" s="1291">
        <f t="shared" si="60"/>
        <v>0</v>
      </c>
      <c r="N62" s="1291">
        <f t="shared" si="60"/>
        <v>2834</v>
      </c>
      <c r="O62" s="1291">
        <f t="shared" si="60"/>
        <v>29302</v>
      </c>
      <c r="P62" s="1291">
        <f t="shared" si="60"/>
        <v>9544</v>
      </c>
      <c r="Q62" s="1291">
        <f t="shared" si="60"/>
        <v>15829</v>
      </c>
      <c r="R62" s="1292">
        <f t="shared" si="60"/>
        <v>297419</v>
      </c>
      <c r="S62" s="1291">
        <f t="shared" si="60"/>
        <v>0</v>
      </c>
      <c r="T62" s="1291">
        <f t="shared" si="60"/>
        <v>0</v>
      </c>
      <c r="U62" s="1293">
        <f t="shared" si="60"/>
        <v>0</v>
      </c>
      <c r="V62" s="1293">
        <f t="shared" si="60"/>
        <v>0</v>
      </c>
      <c r="W62" s="1293">
        <f t="shared" si="60"/>
        <v>0</v>
      </c>
      <c r="X62" s="1293">
        <f t="shared" si="60"/>
        <v>0</v>
      </c>
      <c r="Y62" s="1293">
        <f t="shared" si="60"/>
        <v>0</v>
      </c>
      <c r="Z62" s="1293">
        <f t="shared" si="60"/>
        <v>0</v>
      </c>
      <c r="AA62" s="1293">
        <f t="shared" si="60"/>
        <v>0</v>
      </c>
      <c r="AB62" s="1293">
        <f t="shared" si="60"/>
        <v>0</v>
      </c>
      <c r="AC62" s="1293">
        <f t="shared" si="60"/>
        <v>0</v>
      </c>
      <c r="AD62" s="1293">
        <f t="shared" si="60"/>
        <v>0</v>
      </c>
      <c r="AE62" s="1293">
        <f t="shared" si="60"/>
        <v>0</v>
      </c>
      <c r="AF62" s="1293">
        <f t="shared" si="60"/>
        <v>0</v>
      </c>
      <c r="AG62" s="1294">
        <f t="shared" si="60"/>
        <v>9945841</v>
      </c>
      <c r="AH62" s="1294">
        <f t="shared" si="60"/>
        <v>10084754</v>
      </c>
    </row>
    <row r="63" spans="1:34" ht="24" x14ac:dyDescent="0.2">
      <c r="A63" s="1295"/>
      <c r="B63" s="1443" t="s">
        <v>1883</v>
      </c>
      <c r="C63" s="1443"/>
      <c r="D63" s="1296" t="s">
        <v>1884</v>
      </c>
      <c r="E63" s="1297">
        <v>9425264</v>
      </c>
      <c r="F63" s="1268">
        <f t="shared" ref="F63:F65" si="61">G63+E63</f>
        <v>9820892</v>
      </c>
      <c r="G63" s="1268">
        <f t="shared" ref="G63:G65" si="62">SUM(H63:S63)</f>
        <v>395628</v>
      </c>
      <c r="H63" s="1268">
        <f>38781-53506</f>
        <v>-14725</v>
      </c>
      <c r="I63" s="1268">
        <f>100673-582+1486+1246-12380-63-5233+2500</f>
        <v>87647</v>
      </c>
      <c r="J63" s="1268">
        <v>3500</v>
      </c>
      <c r="K63" s="1268"/>
      <c r="L63" s="1268">
        <f>14260+3600+3927</f>
        <v>21787</v>
      </c>
      <c r="M63" s="1268"/>
      <c r="N63" s="1268"/>
      <c r="O63" s="1268"/>
      <c r="P63" s="1268"/>
      <c r="Q63" s="1268"/>
      <c r="R63" s="1269">
        <f>210663-6216+35316+29440+4037+18179+6000</f>
        <v>297419</v>
      </c>
      <c r="S63" s="1268"/>
      <c r="T63" s="1268"/>
      <c r="U63" s="1270">
        <f t="shared" ref="U63:U65" si="63">V63+T63</f>
        <v>0</v>
      </c>
      <c r="V63" s="1270">
        <f>SUM(W63:AF63)</f>
        <v>0</v>
      </c>
      <c r="W63" s="1270"/>
      <c r="X63" s="1270"/>
      <c r="Y63" s="1270"/>
      <c r="Z63" s="1270"/>
      <c r="AA63" s="1270"/>
      <c r="AB63" s="1270"/>
      <c r="AC63" s="1270"/>
      <c r="AD63" s="1270"/>
      <c r="AE63" s="1270"/>
      <c r="AF63" s="1270"/>
      <c r="AG63" s="1271">
        <f t="shared" ref="AG63:AH65" si="64">E63+T63</f>
        <v>9425264</v>
      </c>
      <c r="AH63" s="1271">
        <f t="shared" si="64"/>
        <v>9820892</v>
      </c>
    </row>
    <row r="64" spans="1:34" ht="48" x14ac:dyDescent="0.2">
      <c r="A64" s="1295"/>
      <c r="B64" s="1443" t="s">
        <v>1885</v>
      </c>
      <c r="C64" s="1443"/>
      <c r="D64" s="1296" t="s">
        <v>1886</v>
      </c>
      <c r="E64" s="1297">
        <f>490687</f>
        <v>490687</v>
      </c>
      <c r="F64" s="1268">
        <f t="shared" si="61"/>
        <v>216972</v>
      </c>
      <c r="G64" s="1268">
        <f t="shared" si="62"/>
        <v>-273715</v>
      </c>
      <c r="H64" s="1268">
        <f>-354901-1</f>
        <v>-354902</v>
      </c>
      <c r="I64" s="1268"/>
      <c r="J64" s="1268">
        <v>13576</v>
      </c>
      <c r="K64" s="1268">
        <v>-3685</v>
      </c>
      <c r="L64" s="1268">
        <v>13787</v>
      </c>
      <c r="M64" s="1268"/>
      <c r="N64" s="1268">
        <v>2834</v>
      </c>
      <c r="O64" s="1268">
        <f>1+29301</f>
        <v>29302</v>
      </c>
      <c r="P64" s="1268">
        <v>9544</v>
      </c>
      <c r="Q64" s="1268">
        <v>15829</v>
      </c>
      <c r="R64" s="1269"/>
      <c r="S64" s="1268"/>
      <c r="T64" s="1338"/>
      <c r="U64" s="1270">
        <f t="shared" si="63"/>
        <v>0</v>
      </c>
      <c r="V64" s="1270">
        <f>SUM(W64:AF64)</f>
        <v>0</v>
      </c>
      <c r="W64" s="1339"/>
      <c r="X64" s="1339"/>
      <c r="Y64" s="1339"/>
      <c r="Z64" s="1339"/>
      <c r="AA64" s="1339"/>
      <c r="AB64" s="1339"/>
      <c r="AC64" s="1339"/>
      <c r="AD64" s="1339"/>
      <c r="AE64" s="1339"/>
      <c r="AF64" s="1339"/>
      <c r="AG64" s="1271">
        <f t="shared" si="64"/>
        <v>490687</v>
      </c>
      <c r="AH64" s="1271">
        <f t="shared" si="64"/>
        <v>216972</v>
      </c>
    </row>
    <row r="65" spans="1:34" ht="24" x14ac:dyDescent="0.2">
      <c r="A65" s="1317"/>
      <c r="B65" s="1454" t="s">
        <v>1887</v>
      </c>
      <c r="C65" s="1454"/>
      <c r="D65" s="1318" t="s">
        <v>1888</v>
      </c>
      <c r="E65" s="1319">
        <f>29890</f>
        <v>29890</v>
      </c>
      <c r="F65" s="1281">
        <f t="shared" si="61"/>
        <v>46890</v>
      </c>
      <c r="G65" s="1281">
        <f t="shared" si="62"/>
        <v>17000</v>
      </c>
      <c r="H65" s="1281"/>
      <c r="I65" s="1281">
        <f>4000+8000</f>
        <v>12000</v>
      </c>
      <c r="J65" s="1281">
        <f>5000</f>
        <v>5000</v>
      </c>
      <c r="K65" s="1281"/>
      <c r="L65" s="1281"/>
      <c r="M65" s="1281"/>
      <c r="N65" s="1281"/>
      <c r="O65" s="1281"/>
      <c r="P65" s="1281"/>
      <c r="Q65" s="1281"/>
      <c r="R65" s="1282"/>
      <c r="S65" s="1281"/>
      <c r="T65" s="1281"/>
      <c r="U65" s="1283">
        <f t="shared" si="63"/>
        <v>0</v>
      </c>
      <c r="V65" s="1283">
        <f>SUM(W65:AF65)</f>
        <v>0</v>
      </c>
      <c r="W65" s="1283"/>
      <c r="X65" s="1283"/>
      <c r="Y65" s="1283"/>
      <c r="Z65" s="1283"/>
      <c r="AA65" s="1283"/>
      <c r="AB65" s="1283"/>
      <c r="AC65" s="1283"/>
      <c r="AD65" s="1283"/>
      <c r="AE65" s="1283"/>
      <c r="AF65" s="1283"/>
      <c r="AG65" s="1284">
        <f t="shared" si="64"/>
        <v>29890</v>
      </c>
      <c r="AH65" s="1284">
        <f t="shared" si="64"/>
        <v>46890</v>
      </c>
    </row>
    <row r="66" spans="1:34" s="1260" customFormat="1" x14ac:dyDescent="0.2">
      <c r="A66" s="1441" t="s">
        <v>1889</v>
      </c>
      <c r="B66" s="1442"/>
      <c r="C66" s="1442"/>
      <c r="D66" s="1316" t="s">
        <v>1890</v>
      </c>
      <c r="E66" s="1285">
        <f>SUM(E67,E69)</f>
        <v>2319598</v>
      </c>
      <c r="F66" s="1285">
        <f>SUM(F67,F69)</f>
        <v>2196388</v>
      </c>
      <c r="G66" s="1285">
        <f t="shared" ref="G66:S66" si="65">SUM(G67,G69)</f>
        <v>-123210</v>
      </c>
      <c r="H66" s="1285">
        <f t="shared" si="65"/>
        <v>-151705</v>
      </c>
      <c r="I66" s="1285">
        <f t="shared" si="65"/>
        <v>101</v>
      </c>
      <c r="J66" s="1285">
        <f t="shared" si="65"/>
        <v>3416</v>
      </c>
      <c r="K66" s="1286">
        <f t="shared" si="65"/>
        <v>-3609</v>
      </c>
      <c r="L66" s="1286">
        <f t="shared" si="65"/>
        <v>28047</v>
      </c>
      <c r="M66" s="1286">
        <f t="shared" si="65"/>
        <v>0</v>
      </c>
      <c r="N66" s="1286">
        <f t="shared" si="65"/>
        <v>0</v>
      </c>
      <c r="O66" s="1286">
        <f t="shared" si="65"/>
        <v>1</v>
      </c>
      <c r="P66" s="1286">
        <f t="shared" si="65"/>
        <v>0</v>
      </c>
      <c r="Q66" s="1286">
        <f t="shared" si="65"/>
        <v>539</v>
      </c>
      <c r="R66" s="1287">
        <f t="shared" si="65"/>
        <v>0</v>
      </c>
      <c r="S66" s="1286">
        <f t="shared" si="65"/>
        <v>0</v>
      </c>
      <c r="T66" s="1286">
        <f>SUM(T67,T69)</f>
        <v>-1775598</v>
      </c>
      <c r="U66" s="1288">
        <f t="shared" ref="U66:AF66" si="66">SUM(U67,U69)</f>
        <v>-1652388</v>
      </c>
      <c r="V66" s="1288">
        <f t="shared" si="66"/>
        <v>123210</v>
      </c>
      <c r="W66" s="1288">
        <f t="shared" si="66"/>
        <v>151705</v>
      </c>
      <c r="X66" s="1288">
        <f t="shared" si="66"/>
        <v>-101</v>
      </c>
      <c r="Y66" s="1288">
        <f t="shared" si="66"/>
        <v>-3416</v>
      </c>
      <c r="Z66" s="1288">
        <f t="shared" si="66"/>
        <v>3609</v>
      </c>
      <c r="AA66" s="1288">
        <f t="shared" si="66"/>
        <v>-28047</v>
      </c>
      <c r="AB66" s="1288">
        <f t="shared" si="66"/>
        <v>0</v>
      </c>
      <c r="AC66" s="1288">
        <f t="shared" si="66"/>
        <v>-1</v>
      </c>
      <c r="AD66" s="1288">
        <f t="shared" si="66"/>
        <v>-539</v>
      </c>
      <c r="AE66" s="1288">
        <f t="shared" si="66"/>
        <v>0</v>
      </c>
      <c r="AF66" s="1289">
        <f t="shared" si="66"/>
        <v>0</v>
      </c>
      <c r="AG66" s="1290">
        <f>SUM(AG67,AG69)</f>
        <v>544000</v>
      </c>
      <c r="AH66" s="1290">
        <f>SUM(AH67,AH69)</f>
        <v>544000</v>
      </c>
    </row>
    <row r="67" spans="1:34" s="1243" customFormat="1" x14ac:dyDescent="0.2">
      <c r="A67" s="1261"/>
      <c r="B67" s="1431" t="s">
        <v>1891</v>
      </c>
      <c r="C67" s="1431"/>
      <c r="D67" s="1262" t="s">
        <v>1892</v>
      </c>
      <c r="E67" s="1291">
        <f>SUM(E68)</f>
        <v>544000</v>
      </c>
      <c r="F67" s="1291">
        <f>SUM(F68)</f>
        <v>544000</v>
      </c>
      <c r="G67" s="1291">
        <f t="shared" ref="G67:S67" si="67">SUM(G68)</f>
        <v>0</v>
      </c>
      <c r="H67" s="1291">
        <f t="shared" si="67"/>
        <v>0</v>
      </c>
      <c r="I67" s="1291">
        <f t="shared" si="67"/>
        <v>0</v>
      </c>
      <c r="J67" s="1291">
        <f t="shared" si="67"/>
        <v>0</v>
      </c>
      <c r="K67" s="1291">
        <f t="shared" si="67"/>
        <v>0</v>
      </c>
      <c r="L67" s="1291">
        <f t="shared" si="67"/>
        <v>0</v>
      </c>
      <c r="M67" s="1291">
        <f t="shared" si="67"/>
        <v>0</v>
      </c>
      <c r="N67" s="1291">
        <f t="shared" si="67"/>
        <v>0</v>
      </c>
      <c r="O67" s="1291">
        <f t="shared" si="67"/>
        <v>0</v>
      </c>
      <c r="P67" s="1291">
        <f t="shared" si="67"/>
        <v>0</v>
      </c>
      <c r="Q67" s="1291">
        <f t="shared" si="67"/>
        <v>0</v>
      </c>
      <c r="R67" s="1292">
        <f t="shared" si="67"/>
        <v>0</v>
      </c>
      <c r="S67" s="1291">
        <f t="shared" si="67"/>
        <v>0</v>
      </c>
      <c r="T67" s="1291">
        <f>SUM(T68)</f>
        <v>0</v>
      </c>
      <c r="U67" s="1293">
        <f t="shared" ref="U67:AF67" si="68">SUM(U68)</f>
        <v>0</v>
      </c>
      <c r="V67" s="1293">
        <f t="shared" si="68"/>
        <v>0</v>
      </c>
      <c r="W67" s="1293">
        <f t="shared" si="68"/>
        <v>0</v>
      </c>
      <c r="X67" s="1293">
        <f t="shared" si="68"/>
        <v>0</v>
      </c>
      <c r="Y67" s="1293">
        <f t="shared" si="68"/>
        <v>0</v>
      </c>
      <c r="Z67" s="1293">
        <f t="shared" si="68"/>
        <v>0</v>
      </c>
      <c r="AA67" s="1293">
        <f t="shared" si="68"/>
        <v>0</v>
      </c>
      <c r="AB67" s="1293">
        <f t="shared" si="68"/>
        <v>0</v>
      </c>
      <c r="AC67" s="1293">
        <f t="shared" si="68"/>
        <v>0</v>
      </c>
      <c r="AD67" s="1293">
        <f t="shared" si="68"/>
        <v>0</v>
      </c>
      <c r="AE67" s="1293">
        <f t="shared" si="68"/>
        <v>0</v>
      </c>
      <c r="AF67" s="1293">
        <f t="shared" si="68"/>
        <v>0</v>
      </c>
      <c r="AG67" s="1294">
        <f>SUM(AG68)</f>
        <v>544000</v>
      </c>
      <c r="AH67" s="1294">
        <f>SUM(AH68)</f>
        <v>544000</v>
      </c>
    </row>
    <row r="68" spans="1:34" ht="11.25" customHeight="1" x14ac:dyDescent="0.2">
      <c r="A68" s="1266"/>
      <c r="B68" s="1444" t="s">
        <v>1893</v>
      </c>
      <c r="C68" s="1444"/>
      <c r="D68" s="1267" t="s">
        <v>1894</v>
      </c>
      <c r="E68" s="1268">
        <v>544000</v>
      </c>
      <c r="F68" s="1268">
        <f>G68+E68</f>
        <v>544000</v>
      </c>
      <c r="G68" s="1268">
        <f t="shared" ref="G68" si="69">SUM(H68:S68)</f>
        <v>0</v>
      </c>
      <c r="H68" s="1268"/>
      <c r="I68" s="1268"/>
      <c r="J68" s="1268"/>
      <c r="K68" s="1268"/>
      <c r="L68" s="1268"/>
      <c r="M68" s="1268"/>
      <c r="N68" s="1268"/>
      <c r="O68" s="1268"/>
      <c r="P68" s="1268"/>
      <c r="Q68" s="1268"/>
      <c r="R68" s="1269"/>
      <c r="S68" s="1268"/>
      <c r="T68" s="1268"/>
      <c r="U68" s="1270">
        <f t="shared" ref="U68" si="70">V68+T68</f>
        <v>0</v>
      </c>
      <c r="V68" s="1270">
        <f>SUM(W68:AF68)</f>
        <v>0</v>
      </c>
      <c r="W68" s="1270"/>
      <c r="X68" s="1270"/>
      <c r="Y68" s="1270"/>
      <c r="Z68" s="1270"/>
      <c r="AA68" s="1270"/>
      <c r="AB68" s="1270"/>
      <c r="AC68" s="1270"/>
      <c r="AD68" s="1270"/>
      <c r="AE68" s="1270"/>
      <c r="AF68" s="1270"/>
      <c r="AG68" s="1271">
        <f>E68+T68</f>
        <v>544000</v>
      </c>
      <c r="AH68" s="1271">
        <f>F68+U68</f>
        <v>544000</v>
      </c>
    </row>
    <row r="69" spans="1:34" ht="24" x14ac:dyDescent="0.2">
      <c r="A69" s="1317"/>
      <c r="B69" s="1340" t="s">
        <v>1895</v>
      </c>
      <c r="C69" s="1340"/>
      <c r="D69" s="1341" t="s">
        <v>1896</v>
      </c>
      <c r="E69" s="1319">
        <v>1775598</v>
      </c>
      <c r="F69" s="1319">
        <f t="shared" ref="F69" si="71">G69+E69</f>
        <v>1652388</v>
      </c>
      <c r="G69" s="1319">
        <f>SUM(H69:S69)</f>
        <v>-123210</v>
      </c>
      <c r="H69" s="1319">
        <v>-151705</v>
      </c>
      <c r="I69" s="1319">
        <v>101</v>
      </c>
      <c r="J69" s="1319">
        <f>700+2716</f>
        <v>3416</v>
      </c>
      <c r="K69" s="1319">
        <f>-3709-800+900</f>
        <v>-3609</v>
      </c>
      <c r="L69" s="1319">
        <f>14260+13787</f>
        <v>28047</v>
      </c>
      <c r="M69" s="1319"/>
      <c r="N69" s="1319"/>
      <c r="O69" s="1319">
        <v>1</v>
      </c>
      <c r="P69" s="1319"/>
      <c r="Q69" s="1319">
        <v>539</v>
      </c>
      <c r="R69" s="1330"/>
      <c r="S69" s="1319"/>
      <c r="T69" s="1319">
        <v>-1775598</v>
      </c>
      <c r="U69" s="1336">
        <f>V69+T69</f>
        <v>-1652388</v>
      </c>
      <c r="V69" s="1336">
        <f>SUM(W69:AF69)</f>
        <v>123210</v>
      </c>
      <c r="W69" s="1336">
        <f>-38-3-37-30-38-179073+354901-17647-7326+996</f>
        <v>151705</v>
      </c>
      <c r="X69" s="1336">
        <v>-101</v>
      </c>
      <c r="Y69" s="1336">
        <f>-700-2716</f>
        <v>-3416</v>
      </c>
      <c r="Z69" s="1336">
        <f>3709+800-900</f>
        <v>3609</v>
      </c>
      <c r="AA69" s="1336">
        <f>-14260-13787</f>
        <v>-28047</v>
      </c>
      <c r="AB69" s="1336"/>
      <c r="AC69" s="1336">
        <v>-1</v>
      </c>
      <c r="AD69" s="1336">
        <v>-539</v>
      </c>
      <c r="AE69" s="1336"/>
      <c r="AF69" s="1336"/>
      <c r="AG69" s="1337">
        <f>E69+T69</f>
        <v>0</v>
      </c>
      <c r="AH69" s="1337">
        <f>F69+U69</f>
        <v>0</v>
      </c>
    </row>
    <row r="70" spans="1:34" s="1260" customFormat="1" x14ac:dyDescent="0.2">
      <c r="A70" s="1441" t="s">
        <v>1897</v>
      </c>
      <c r="B70" s="1442"/>
      <c r="C70" s="1466"/>
      <c r="D70" s="1316" t="s">
        <v>1898</v>
      </c>
      <c r="E70" s="1285">
        <f>SUM(E71,E77,E91)</f>
        <v>1714515</v>
      </c>
      <c r="F70" s="1285">
        <f t="shared" ref="F70:AH70" si="72">SUM(F71,F77,F91)</f>
        <v>1798628</v>
      </c>
      <c r="G70" s="1285">
        <f t="shared" si="72"/>
        <v>84113</v>
      </c>
      <c r="H70" s="1285">
        <f t="shared" si="72"/>
        <v>2776</v>
      </c>
      <c r="I70" s="1285">
        <f t="shared" si="72"/>
        <v>2585</v>
      </c>
      <c r="J70" s="1285">
        <f t="shared" si="72"/>
        <v>43793</v>
      </c>
      <c r="K70" s="1286">
        <f t="shared" si="72"/>
        <v>0</v>
      </c>
      <c r="L70" s="1286">
        <f t="shared" si="72"/>
        <v>20367</v>
      </c>
      <c r="M70" s="1286">
        <f t="shared" si="72"/>
        <v>738</v>
      </c>
      <c r="N70" s="1286">
        <f t="shared" si="72"/>
        <v>500</v>
      </c>
      <c r="O70" s="1286">
        <f t="shared" si="72"/>
        <v>0</v>
      </c>
      <c r="P70" s="1286">
        <f t="shared" si="72"/>
        <v>0</v>
      </c>
      <c r="Q70" s="1286">
        <f t="shared" si="72"/>
        <v>3605</v>
      </c>
      <c r="R70" s="1287">
        <f t="shared" si="72"/>
        <v>9749</v>
      </c>
      <c r="S70" s="1286">
        <f t="shared" si="72"/>
        <v>0</v>
      </c>
      <c r="T70" s="1286">
        <f t="shared" si="72"/>
        <v>-30538</v>
      </c>
      <c r="U70" s="1288">
        <f t="shared" si="72"/>
        <v>-58577</v>
      </c>
      <c r="V70" s="1288">
        <f t="shared" si="72"/>
        <v>-28039</v>
      </c>
      <c r="W70" s="1288">
        <f t="shared" si="72"/>
        <v>0</v>
      </c>
      <c r="X70" s="1288">
        <f t="shared" si="72"/>
        <v>-835</v>
      </c>
      <c r="Y70" s="1288">
        <f t="shared" si="72"/>
        <v>-24765</v>
      </c>
      <c r="Z70" s="1288">
        <f t="shared" si="72"/>
        <v>-1664</v>
      </c>
      <c r="AA70" s="1288">
        <f t="shared" si="72"/>
        <v>0</v>
      </c>
      <c r="AB70" s="1288">
        <f t="shared" si="72"/>
        <v>-738</v>
      </c>
      <c r="AC70" s="1288">
        <f t="shared" si="72"/>
        <v>0</v>
      </c>
      <c r="AD70" s="1288">
        <f t="shared" si="72"/>
        <v>-37</v>
      </c>
      <c r="AE70" s="1288">
        <f t="shared" si="72"/>
        <v>0</v>
      </c>
      <c r="AF70" s="1289">
        <f t="shared" si="72"/>
        <v>0</v>
      </c>
      <c r="AG70" s="1290">
        <f t="shared" si="72"/>
        <v>1683977</v>
      </c>
      <c r="AH70" s="1290">
        <f t="shared" si="72"/>
        <v>1740051</v>
      </c>
    </row>
    <row r="71" spans="1:34" s="1260" customFormat="1" x14ac:dyDescent="0.2">
      <c r="A71" s="1342"/>
      <c r="B71" s="1343" t="s">
        <v>1899</v>
      </c>
      <c r="C71" s="1344"/>
      <c r="D71" s="1345" t="s">
        <v>1900</v>
      </c>
      <c r="E71" s="1291">
        <f>SUM(E72)</f>
        <v>0</v>
      </c>
      <c r="F71" s="1291">
        <f t="shared" ref="F71:AH71" si="73">SUM(F72)</f>
        <v>18716</v>
      </c>
      <c r="G71" s="1291">
        <f t="shared" si="73"/>
        <v>18716</v>
      </c>
      <c r="H71" s="1291">
        <f t="shared" si="73"/>
        <v>0</v>
      </c>
      <c r="I71" s="1291">
        <f t="shared" si="73"/>
        <v>0</v>
      </c>
      <c r="J71" s="1291">
        <f t="shared" si="73"/>
        <v>12716</v>
      </c>
      <c r="K71" s="1291">
        <f t="shared" si="73"/>
        <v>0</v>
      </c>
      <c r="L71" s="1291">
        <f t="shared" si="73"/>
        <v>6000</v>
      </c>
      <c r="M71" s="1291">
        <f t="shared" si="73"/>
        <v>0</v>
      </c>
      <c r="N71" s="1291">
        <f t="shared" si="73"/>
        <v>0</v>
      </c>
      <c r="O71" s="1291">
        <f t="shared" si="73"/>
        <v>0</v>
      </c>
      <c r="P71" s="1291">
        <f t="shared" si="73"/>
        <v>0</v>
      </c>
      <c r="Q71" s="1291">
        <f t="shared" si="73"/>
        <v>0</v>
      </c>
      <c r="R71" s="1292">
        <f t="shared" si="73"/>
        <v>0</v>
      </c>
      <c r="S71" s="1291">
        <f t="shared" si="73"/>
        <v>0</v>
      </c>
      <c r="T71" s="1291">
        <f t="shared" si="73"/>
        <v>0</v>
      </c>
      <c r="U71" s="1293">
        <f t="shared" si="73"/>
        <v>0</v>
      </c>
      <c r="V71" s="1293">
        <f t="shared" si="73"/>
        <v>0</v>
      </c>
      <c r="W71" s="1293">
        <f t="shared" si="73"/>
        <v>0</v>
      </c>
      <c r="X71" s="1293">
        <f t="shared" si="73"/>
        <v>0</v>
      </c>
      <c r="Y71" s="1293">
        <f t="shared" si="73"/>
        <v>0</v>
      </c>
      <c r="Z71" s="1293">
        <f t="shared" si="73"/>
        <v>0</v>
      </c>
      <c r="AA71" s="1293">
        <f t="shared" si="73"/>
        <v>0</v>
      </c>
      <c r="AB71" s="1293">
        <f t="shared" si="73"/>
        <v>0</v>
      </c>
      <c r="AC71" s="1293">
        <f t="shared" si="73"/>
        <v>0</v>
      </c>
      <c r="AD71" s="1293">
        <f t="shared" si="73"/>
        <v>0</v>
      </c>
      <c r="AE71" s="1293">
        <f t="shared" si="73"/>
        <v>0</v>
      </c>
      <c r="AF71" s="1293">
        <f t="shared" si="73"/>
        <v>0</v>
      </c>
      <c r="AG71" s="1294">
        <f>SUM(AG72)</f>
        <v>0</v>
      </c>
      <c r="AH71" s="1294">
        <f t="shared" si="73"/>
        <v>18716</v>
      </c>
    </row>
    <row r="72" spans="1:34" s="1260" customFormat="1" ht="48" x14ac:dyDescent="0.2">
      <c r="A72" s="1346"/>
      <c r="B72" s="1443" t="s">
        <v>1901</v>
      </c>
      <c r="C72" s="1467"/>
      <c r="D72" s="1347" t="s">
        <v>1902</v>
      </c>
      <c r="E72" s="1297">
        <f>SUM(E73:E76)</f>
        <v>0</v>
      </c>
      <c r="F72" s="1297">
        <f t="shared" ref="F72:AH72" si="74">SUM(F73:F76)</f>
        <v>18716</v>
      </c>
      <c r="G72" s="1297">
        <f t="shared" si="74"/>
        <v>18716</v>
      </c>
      <c r="H72" s="1297">
        <f t="shared" si="74"/>
        <v>0</v>
      </c>
      <c r="I72" s="1297">
        <f t="shared" si="74"/>
        <v>0</v>
      </c>
      <c r="J72" s="1297">
        <f t="shared" si="74"/>
        <v>12716</v>
      </c>
      <c r="K72" s="1297">
        <f t="shared" si="74"/>
        <v>0</v>
      </c>
      <c r="L72" s="1297">
        <f t="shared" si="74"/>
        <v>6000</v>
      </c>
      <c r="M72" s="1297">
        <f t="shared" si="74"/>
        <v>0</v>
      </c>
      <c r="N72" s="1297">
        <f t="shared" si="74"/>
        <v>0</v>
      </c>
      <c r="O72" s="1297">
        <f t="shared" si="74"/>
        <v>0</v>
      </c>
      <c r="P72" s="1297">
        <f t="shared" si="74"/>
        <v>0</v>
      </c>
      <c r="Q72" s="1297">
        <f t="shared" si="74"/>
        <v>0</v>
      </c>
      <c r="R72" s="1298">
        <f t="shared" si="74"/>
        <v>0</v>
      </c>
      <c r="S72" s="1297">
        <f t="shared" si="74"/>
        <v>0</v>
      </c>
      <c r="T72" s="1297">
        <f t="shared" si="74"/>
        <v>0</v>
      </c>
      <c r="U72" s="1299">
        <f t="shared" si="74"/>
        <v>0</v>
      </c>
      <c r="V72" s="1299">
        <f t="shared" si="74"/>
        <v>0</v>
      </c>
      <c r="W72" s="1299">
        <f t="shared" si="74"/>
        <v>0</v>
      </c>
      <c r="X72" s="1299">
        <f t="shared" si="74"/>
        <v>0</v>
      </c>
      <c r="Y72" s="1299">
        <f t="shared" si="74"/>
        <v>0</v>
      </c>
      <c r="Z72" s="1299">
        <f t="shared" si="74"/>
        <v>0</v>
      </c>
      <c r="AA72" s="1299">
        <f t="shared" si="74"/>
        <v>0</v>
      </c>
      <c r="AB72" s="1299">
        <f t="shared" si="74"/>
        <v>0</v>
      </c>
      <c r="AC72" s="1299">
        <f t="shared" si="74"/>
        <v>0</v>
      </c>
      <c r="AD72" s="1299">
        <f t="shared" si="74"/>
        <v>0</v>
      </c>
      <c r="AE72" s="1299">
        <f t="shared" si="74"/>
        <v>0</v>
      </c>
      <c r="AF72" s="1299">
        <f t="shared" si="74"/>
        <v>0</v>
      </c>
      <c r="AG72" s="1300">
        <f>SUM(AG73:AG76)</f>
        <v>0</v>
      </c>
      <c r="AH72" s="1300">
        <f t="shared" si="74"/>
        <v>18716</v>
      </c>
    </row>
    <row r="73" spans="1:34" s="1260" customFormat="1" ht="48" x14ac:dyDescent="0.2">
      <c r="A73" s="1348"/>
      <c r="B73" s="1461" t="s">
        <v>1903</v>
      </c>
      <c r="C73" s="1462"/>
      <c r="D73" s="1296" t="s">
        <v>1904</v>
      </c>
      <c r="E73" s="1349"/>
      <c r="F73" s="1297">
        <f t="shared" ref="F73:F76" si="75">G73+E73</f>
        <v>0</v>
      </c>
      <c r="G73" s="1297">
        <f t="shared" ref="G73:G76" si="76">SUM(H73:S73)</f>
        <v>0</v>
      </c>
      <c r="H73" s="1297"/>
      <c r="I73" s="1297"/>
      <c r="J73" s="1297"/>
      <c r="K73" s="1297"/>
      <c r="L73" s="1297"/>
      <c r="M73" s="1297"/>
      <c r="N73" s="1297"/>
      <c r="O73" s="1297"/>
      <c r="P73" s="1349"/>
      <c r="Q73" s="1349"/>
      <c r="R73" s="1350"/>
      <c r="S73" s="1349"/>
      <c r="T73" s="1349"/>
      <c r="U73" s="1299">
        <f t="shared" ref="U73:U76" si="77">V73+T73</f>
        <v>0</v>
      </c>
      <c r="V73" s="1299">
        <f>SUM(W73:AF73)</f>
        <v>0</v>
      </c>
      <c r="W73" s="1299"/>
      <c r="X73" s="1299"/>
      <c r="Y73" s="1299"/>
      <c r="Z73" s="1299"/>
      <c r="AA73" s="1299"/>
      <c r="AB73" s="1299"/>
      <c r="AC73" s="1299"/>
      <c r="AD73" s="1299"/>
      <c r="AE73" s="1299"/>
      <c r="AF73" s="1351"/>
      <c r="AG73" s="1300">
        <f t="shared" ref="AG73:AH76" si="78">E73+T73</f>
        <v>0</v>
      </c>
      <c r="AH73" s="1300">
        <f t="shared" si="78"/>
        <v>0</v>
      </c>
    </row>
    <row r="74" spans="1:34" s="1260" customFormat="1" ht="24" x14ac:dyDescent="0.2">
      <c r="A74" s="1348"/>
      <c r="B74" s="1461" t="s">
        <v>1905</v>
      </c>
      <c r="C74" s="1462"/>
      <c r="D74" s="1296" t="s">
        <v>1906</v>
      </c>
      <c r="E74" s="1349"/>
      <c r="F74" s="1297">
        <f t="shared" si="75"/>
        <v>6000</v>
      </c>
      <c r="G74" s="1297">
        <f t="shared" si="76"/>
        <v>6000</v>
      </c>
      <c r="H74" s="1297"/>
      <c r="I74" s="1297"/>
      <c r="J74" s="1297"/>
      <c r="K74" s="1297"/>
      <c r="L74" s="1297">
        <v>6000</v>
      </c>
      <c r="M74" s="1297"/>
      <c r="N74" s="1297"/>
      <c r="O74" s="1297"/>
      <c r="P74" s="1349"/>
      <c r="Q74" s="1349"/>
      <c r="R74" s="1350"/>
      <c r="S74" s="1349"/>
      <c r="T74" s="1349"/>
      <c r="U74" s="1299">
        <f t="shared" si="77"/>
        <v>0</v>
      </c>
      <c r="V74" s="1299">
        <f>SUM(W74:AF74)</f>
        <v>0</v>
      </c>
      <c r="W74" s="1299"/>
      <c r="X74" s="1299"/>
      <c r="Y74" s="1299"/>
      <c r="Z74" s="1299"/>
      <c r="AA74" s="1299"/>
      <c r="AB74" s="1299"/>
      <c r="AC74" s="1299"/>
      <c r="AD74" s="1299"/>
      <c r="AE74" s="1299"/>
      <c r="AF74" s="1351"/>
      <c r="AG74" s="1300">
        <f t="shared" si="78"/>
        <v>0</v>
      </c>
      <c r="AH74" s="1300">
        <f t="shared" si="78"/>
        <v>6000</v>
      </c>
    </row>
    <row r="75" spans="1:34" s="1260" customFormat="1" ht="53.25" customHeight="1" x14ac:dyDescent="0.2">
      <c r="A75" s="1348"/>
      <c r="B75" s="1461" t="s">
        <v>1907</v>
      </c>
      <c r="C75" s="1462"/>
      <c r="D75" s="1296" t="s">
        <v>1908</v>
      </c>
      <c r="E75" s="1349"/>
      <c r="F75" s="1297">
        <f t="shared" si="75"/>
        <v>0</v>
      </c>
      <c r="G75" s="1297">
        <f t="shared" si="76"/>
        <v>0</v>
      </c>
      <c r="H75" s="1297"/>
      <c r="I75" s="1297"/>
      <c r="J75" s="1297"/>
      <c r="K75" s="1297"/>
      <c r="L75" s="1297"/>
      <c r="M75" s="1297"/>
      <c r="N75" s="1297"/>
      <c r="O75" s="1297"/>
      <c r="P75" s="1349"/>
      <c r="Q75" s="1349"/>
      <c r="R75" s="1350"/>
      <c r="S75" s="1349"/>
      <c r="T75" s="1349"/>
      <c r="U75" s="1299">
        <f t="shared" si="77"/>
        <v>0</v>
      </c>
      <c r="V75" s="1299">
        <f>SUM(W75:AF75)</f>
        <v>0</v>
      </c>
      <c r="W75" s="1299"/>
      <c r="X75" s="1299"/>
      <c r="Y75" s="1299"/>
      <c r="Z75" s="1299"/>
      <c r="AA75" s="1299"/>
      <c r="AB75" s="1299"/>
      <c r="AC75" s="1299"/>
      <c r="AD75" s="1299"/>
      <c r="AE75" s="1299"/>
      <c r="AF75" s="1351"/>
      <c r="AG75" s="1300">
        <f t="shared" si="78"/>
        <v>0</v>
      </c>
      <c r="AH75" s="1300">
        <f t="shared" si="78"/>
        <v>0</v>
      </c>
    </row>
    <row r="76" spans="1:34" s="1260" customFormat="1" ht="24" x14ac:dyDescent="0.2">
      <c r="A76" s="1348"/>
      <c r="B76" s="1461" t="s">
        <v>1909</v>
      </c>
      <c r="C76" s="1462"/>
      <c r="D76" s="1296" t="s">
        <v>1910</v>
      </c>
      <c r="E76" s="1349"/>
      <c r="F76" s="1297">
        <f t="shared" si="75"/>
        <v>12716</v>
      </c>
      <c r="G76" s="1297">
        <f t="shared" si="76"/>
        <v>12716</v>
      </c>
      <c r="H76" s="1297"/>
      <c r="I76" s="1297"/>
      <c r="J76" s="1297">
        <v>12716</v>
      </c>
      <c r="K76" s="1297"/>
      <c r="L76" s="1297"/>
      <c r="M76" s="1297"/>
      <c r="N76" s="1297"/>
      <c r="O76" s="1297"/>
      <c r="P76" s="1349"/>
      <c r="Q76" s="1349"/>
      <c r="R76" s="1350"/>
      <c r="S76" s="1349"/>
      <c r="T76" s="1349"/>
      <c r="U76" s="1299">
        <f t="shared" si="77"/>
        <v>0</v>
      </c>
      <c r="V76" s="1299">
        <f>SUM(W76:AF76)</f>
        <v>0</v>
      </c>
      <c r="W76" s="1299"/>
      <c r="X76" s="1299"/>
      <c r="Y76" s="1299"/>
      <c r="Z76" s="1299"/>
      <c r="AA76" s="1299"/>
      <c r="AB76" s="1299"/>
      <c r="AC76" s="1299"/>
      <c r="AD76" s="1299"/>
      <c r="AE76" s="1299"/>
      <c r="AF76" s="1351"/>
      <c r="AG76" s="1300">
        <f t="shared" si="78"/>
        <v>0</v>
      </c>
      <c r="AH76" s="1300">
        <f t="shared" si="78"/>
        <v>12716</v>
      </c>
    </row>
    <row r="77" spans="1:34" s="1243" customFormat="1" ht="24" x14ac:dyDescent="0.2">
      <c r="A77" s="1261"/>
      <c r="B77" s="1431" t="s">
        <v>1911</v>
      </c>
      <c r="C77" s="1465"/>
      <c r="D77" s="1262" t="s">
        <v>1912</v>
      </c>
      <c r="E77" s="1291">
        <f>SUM(E78,E82,E84,E87)</f>
        <v>1633035</v>
      </c>
      <c r="F77" s="1291">
        <f t="shared" ref="F77:AH77" si="79">SUM(F78,F82,F84,F87)</f>
        <v>1679173</v>
      </c>
      <c r="G77" s="1291">
        <f t="shared" si="79"/>
        <v>46138</v>
      </c>
      <c r="H77" s="1291">
        <f t="shared" si="79"/>
        <v>1176</v>
      </c>
      <c r="I77" s="1291">
        <f t="shared" si="79"/>
        <v>17190</v>
      </c>
      <c r="J77" s="1291">
        <f t="shared" si="79"/>
        <v>7044</v>
      </c>
      <c r="K77" s="1291">
        <f t="shared" si="79"/>
        <v>0</v>
      </c>
      <c r="L77" s="1291">
        <f t="shared" si="79"/>
        <v>12650</v>
      </c>
      <c r="M77" s="1291">
        <f t="shared" si="79"/>
        <v>0</v>
      </c>
      <c r="N77" s="1291">
        <f t="shared" si="79"/>
        <v>500</v>
      </c>
      <c r="O77" s="1291">
        <f t="shared" si="79"/>
        <v>0</v>
      </c>
      <c r="P77" s="1291">
        <f t="shared" si="79"/>
        <v>0</v>
      </c>
      <c r="Q77" s="1291">
        <f t="shared" si="79"/>
        <v>3508</v>
      </c>
      <c r="R77" s="1292">
        <f t="shared" si="79"/>
        <v>4070</v>
      </c>
      <c r="S77" s="1291">
        <f t="shared" si="79"/>
        <v>0</v>
      </c>
      <c r="T77" s="1291">
        <f t="shared" si="79"/>
        <v>-1741</v>
      </c>
      <c r="U77" s="1293">
        <f t="shared" si="79"/>
        <v>-2091</v>
      </c>
      <c r="V77" s="1293">
        <f t="shared" si="79"/>
        <v>-350</v>
      </c>
      <c r="W77" s="1293">
        <f t="shared" si="79"/>
        <v>0</v>
      </c>
      <c r="X77" s="1293">
        <f t="shared" si="79"/>
        <v>0</v>
      </c>
      <c r="Y77" s="1293">
        <f t="shared" si="79"/>
        <v>-350</v>
      </c>
      <c r="Z77" s="1293">
        <f t="shared" si="79"/>
        <v>0</v>
      </c>
      <c r="AA77" s="1293">
        <f t="shared" si="79"/>
        <v>0</v>
      </c>
      <c r="AB77" s="1293">
        <f t="shared" si="79"/>
        <v>0</v>
      </c>
      <c r="AC77" s="1293">
        <f t="shared" si="79"/>
        <v>0</v>
      </c>
      <c r="AD77" s="1293">
        <f t="shared" si="79"/>
        <v>0</v>
      </c>
      <c r="AE77" s="1293">
        <f t="shared" si="79"/>
        <v>0</v>
      </c>
      <c r="AF77" s="1293">
        <f t="shared" si="79"/>
        <v>0</v>
      </c>
      <c r="AG77" s="1294">
        <f t="shared" si="79"/>
        <v>1631294</v>
      </c>
      <c r="AH77" s="1294">
        <f t="shared" si="79"/>
        <v>1677082</v>
      </c>
    </row>
    <row r="78" spans="1:34" x14ac:dyDescent="0.2">
      <c r="A78" s="1266"/>
      <c r="B78" s="1443" t="s">
        <v>1913</v>
      </c>
      <c r="C78" s="1467"/>
      <c r="D78" s="1267" t="s">
        <v>50</v>
      </c>
      <c r="E78" s="1268">
        <f t="shared" ref="E78:AH78" si="80">SUM(E79:E81)</f>
        <v>159821</v>
      </c>
      <c r="F78" s="1268">
        <f t="shared" si="80"/>
        <v>175302</v>
      </c>
      <c r="G78" s="1268">
        <f t="shared" si="80"/>
        <v>15481</v>
      </c>
      <c r="H78" s="1268">
        <f t="shared" si="80"/>
        <v>0</v>
      </c>
      <c r="I78" s="1268">
        <f t="shared" si="80"/>
        <v>0</v>
      </c>
      <c r="J78" s="1268">
        <f t="shared" si="80"/>
        <v>13281</v>
      </c>
      <c r="K78" s="1268">
        <f t="shared" si="80"/>
        <v>0</v>
      </c>
      <c r="L78" s="1268">
        <f t="shared" si="80"/>
        <v>2200</v>
      </c>
      <c r="M78" s="1268">
        <f t="shared" si="80"/>
        <v>0</v>
      </c>
      <c r="N78" s="1268">
        <f t="shared" si="80"/>
        <v>0</v>
      </c>
      <c r="O78" s="1268">
        <f t="shared" si="80"/>
        <v>0</v>
      </c>
      <c r="P78" s="1268">
        <f t="shared" si="80"/>
        <v>0</v>
      </c>
      <c r="Q78" s="1268">
        <f t="shared" si="80"/>
        <v>0</v>
      </c>
      <c r="R78" s="1269">
        <f t="shared" si="80"/>
        <v>0</v>
      </c>
      <c r="S78" s="1268">
        <f t="shared" si="80"/>
        <v>0</v>
      </c>
      <c r="T78" s="1268">
        <f t="shared" si="80"/>
        <v>-1741</v>
      </c>
      <c r="U78" s="1270">
        <f t="shared" si="80"/>
        <v>-1741</v>
      </c>
      <c r="V78" s="1270">
        <f t="shared" si="80"/>
        <v>0</v>
      </c>
      <c r="W78" s="1270">
        <f t="shared" si="80"/>
        <v>0</v>
      </c>
      <c r="X78" s="1270">
        <f t="shared" si="80"/>
        <v>0</v>
      </c>
      <c r="Y78" s="1270">
        <f t="shared" si="80"/>
        <v>0</v>
      </c>
      <c r="Z78" s="1270">
        <f t="shared" si="80"/>
        <v>0</v>
      </c>
      <c r="AA78" s="1270">
        <f t="shared" si="80"/>
        <v>0</v>
      </c>
      <c r="AB78" s="1270">
        <f t="shared" si="80"/>
        <v>0</v>
      </c>
      <c r="AC78" s="1270">
        <f t="shared" si="80"/>
        <v>0</v>
      </c>
      <c r="AD78" s="1270">
        <f t="shared" si="80"/>
        <v>0</v>
      </c>
      <c r="AE78" s="1270">
        <f t="shared" si="80"/>
        <v>0</v>
      </c>
      <c r="AF78" s="1270">
        <f t="shared" si="80"/>
        <v>0</v>
      </c>
      <c r="AG78" s="1271">
        <f t="shared" si="80"/>
        <v>158080</v>
      </c>
      <c r="AH78" s="1271">
        <f t="shared" si="80"/>
        <v>173561</v>
      </c>
    </row>
    <row r="79" spans="1:34" x14ac:dyDescent="0.2">
      <c r="A79" s="1272"/>
      <c r="B79" s="1461" t="s">
        <v>1914</v>
      </c>
      <c r="C79" s="1462"/>
      <c r="D79" s="1279" t="s">
        <v>51</v>
      </c>
      <c r="E79" s="1274">
        <v>95549</v>
      </c>
      <c r="F79" s="1274">
        <f t="shared" ref="F79:F81" si="81">G79+E79</f>
        <v>95549</v>
      </c>
      <c r="G79" s="1274">
        <f t="shared" ref="G79:G81" si="82">SUM(H79:S79)</f>
        <v>0</v>
      </c>
      <c r="H79" s="1274"/>
      <c r="I79" s="1274"/>
      <c r="J79" s="1274"/>
      <c r="K79" s="1274"/>
      <c r="L79" s="1274"/>
      <c r="M79" s="1274"/>
      <c r="N79" s="1274"/>
      <c r="O79" s="1274"/>
      <c r="P79" s="1274"/>
      <c r="Q79" s="1274"/>
      <c r="R79" s="1275"/>
      <c r="S79" s="1274"/>
      <c r="T79" s="1305"/>
      <c r="U79" s="1307">
        <f t="shared" ref="U79:U81" si="83">V79+T79</f>
        <v>0</v>
      </c>
      <c r="V79" s="1307">
        <f>SUM(W79:AF79)</f>
        <v>0</v>
      </c>
      <c r="W79" s="1307"/>
      <c r="X79" s="1307"/>
      <c r="Y79" s="1307"/>
      <c r="Z79" s="1307"/>
      <c r="AA79" s="1307"/>
      <c r="AB79" s="1307"/>
      <c r="AC79" s="1307"/>
      <c r="AD79" s="1307"/>
      <c r="AE79" s="1307"/>
      <c r="AF79" s="1307"/>
      <c r="AG79" s="1308">
        <f t="shared" ref="AG79:AH81" si="84">E79+T79</f>
        <v>95549</v>
      </c>
      <c r="AH79" s="1308">
        <f t="shared" si="84"/>
        <v>95549</v>
      </c>
    </row>
    <row r="80" spans="1:34" x14ac:dyDescent="0.2">
      <c r="A80" s="1322"/>
      <c r="B80" s="1455" t="s">
        <v>1915</v>
      </c>
      <c r="C80" s="1468"/>
      <c r="D80" s="1323" t="s">
        <v>52</v>
      </c>
      <c r="E80" s="1274">
        <v>46342</v>
      </c>
      <c r="F80" s="1274">
        <f t="shared" si="81"/>
        <v>61823</v>
      </c>
      <c r="G80" s="1274">
        <f t="shared" si="82"/>
        <v>15481</v>
      </c>
      <c r="H80" s="1274"/>
      <c r="I80" s="1274"/>
      <c r="J80" s="1274">
        <v>13281</v>
      </c>
      <c r="K80" s="1274"/>
      <c r="L80" s="1274">
        <v>2200</v>
      </c>
      <c r="M80" s="1274"/>
      <c r="N80" s="1274"/>
      <c r="O80" s="1274"/>
      <c r="P80" s="1274"/>
      <c r="Q80" s="1274"/>
      <c r="R80" s="1275"/>
      <c r="S80" s="1274"/>
      <c r="T80" s="1274">
        <v>-1741</v>
      </c>
      <c r="U80" s="1276">
        <f t="shared" si="83"/>
        <v>-1741</v>
      </c>
      <c r="V80" s="1276">
        <f>SUM(W80:AF80)</f>
        <v>0</v>
      </c>
      <c r="W80" s="1276"/>
      <c r="X80" s="1276"/>
      <c r="Y80" s="1276"/>
      <c r="Z80" s="1276"/>
      <c r="AA80" s="1276"/>
      <c r="AB80" s="1276"/>
      <c r="AC80" s="1276"/>
      <c r="AD80" s="1276"/>
      <c r="AE80" s="1276"/>
      <c r="AF80" s="1276"/>
      <c r="AG80" s="1277">
        <f t="shared" si="84"/>
        <v>44601</v>
      </c>
      <c r="AH80" s="1277">
        <f t="shared" si="84"/>
        <v>60082</v>
      </c>
    </row>
    <row r="81" spans="1:34" x14ac:dyDescent="0.2">
      <c r="A81" s="1278"/>
      <c r="B81" s="1463" t="s">
        <v>1916</v>
      </c>
      <c r="C81" s="1464"/>
      <c r="D81" s="1279" t="s">
        <v>53</v>
      </c>
      <c r="E81" s="1274">
        <v>17930</v>
      </c>
      <c r="F81" s="1281">
        <f t="shared" si="81"/>
        <v>17930</v>
      </c>
      <c r="G81" s="1281">
        <f t="shared" si="82"/>
        <v>0</v>
      </c>
      <c r="H81" s="1281"/>
      <c r="I81" s="1281"/>
      <c r="J81" s="1281"/>
      <c r="K81" s="1281"/>
      <c r="L81" s="1281"/>
      <c r="M81" s="1281"/>
      <c r="N81" s="1281"/>
      <c r="O81" s="1281"/>
      <c r="P81" s="1281"/>
      <c r="Q81" s="1281"/>
      <c r="R81" s="1282"/>
      <c r="S81" s="1281"/>
      <c r="T81" s="1281"/>
      <c r="U81" s="1283">
        <f t="shared" si="83"/>
        <v>0</v>
      </c>
      <c r="V81" s="1283">
        <f>SUM(W81:AF81)</f>
        <v>0</v>
      </c>
      <c r="W81" s="1283"/>
      <c r="X81" s="1283"/>
      <c r="Y81" s="1283"/>
      <c r="Z81" s="1283"/>
      <c r="AA81" s="1283"/>
      <c r="AB81" s="1283"/>
      <c r="AC81" s="1283"/>
      <c r="AD81" s="1283"/>
      <c r="AE81" s="1283"/>
      <c r="AF81" s="1283"/>
      <c r="AG81" s="1284">
        <f t="shared" si="84"/>
        <v>17930</v>
      </c>
      <c r="AH81" s="1284">
        <f t="shared" si="84"/>
        <v>17930</v>
      </c>
    </row>
    <row r="82" spans="1:34" ht="24" x14ac:dyDescent="0.2">
      <c r="A82" s="1295"/>
      <c r="B82" s="1443" t="s">
        <v>1917</v>
      </c>
      <c r="C82" s="1467"/>
      <c r="D82" s="1296" t="s">
        <v>54</v>
      </c>
      <c r="E82" s="1297">
        <f t="shared" ref="E82:AH82" si="85">SUM(E83:E83)</f>
        <v>72477</v>
      </c>
      <c r="F82" s="1297">
        <f t="shared" si="85"/>
        <v>72477</v>
      </c>
      <c r="G82" s="1297">
        <f t="shared" si="85"/>
        <v>0</v>
      </c>
      <c r="H82" s="1297">
        <f t="shared" si="85"/>
        <v>0</v>
      </c>
      <c r="I82" s="1297">
        <f t="shared" si="85"/>
        <v>0</v>
      </c>
      <c r="J82" s="1297">
        <f t="shared" si="85"/>
        <v>0</v>
      </c>
      <c r="K82" s="1297">
        <f t="shared" si="85"/>
        <v>0</v>
      </c>
      <c r="L82" s="1297">
        <f t="shared" si="85"/>
        <v>0</v>
      </c>
      <c r="M82" s="1297">
        <f t="shared" si="85"/>
        <v>0</v>
      </c>
      <c r="N82" s="1297">
        <f t="shared" si="85"/>
        <v>0</v>
      </c>
      <c r="O82" s="1297">
        <f t="shared" si="85"/>
        <v>0</v>
      </c>
      <c r="P82" s="1297">
        <f t="shared" si="85"/>
        <v>0</v>
      </c>
      <c r="Q82" s="1297">
        <f t="shared" si="85"/>
        <v>0</v>
      </c>
      <c r="R82" s="1298">
        <f t="shared" si="85"/>
        <v>0</v>
      </c>
      <c r="S82" s="1297">
        <f t="shared" si="85"/>
        <v>0</v>
      </c>
      <c r="T82" s="1297">
        <f t="shared" si="85"/>
        <v>0</v>
      </c>
      <c r="U82" s="1299">
        <f t="shared" si="85"/>
        <v>0</v>
      </c>
      <c r="V82" s="1299">
        <f t="shared" si="85"/>
        <v>0</v>
      </c>
      <c r="W82" s="1299">
        <f t="shared" si="85"/>
        <v>0</v>
      </c>
      <c r="X82" s="1299">
        <f t="shared" si="85"/>
        <v>0</v>
      </c>
      <c r="Y82" s="1299">
        <f t="shared" si="85"/>
        <v>0</v>
      </c>
      <c r="Z82" s="1299">
        <f t="shared" si="85"/>
        <v>0</v>
      </c>
      <c r="AA82" s="1299">
        <f t="shared" si="85"/>
        <v>0</v>
      </c>
      <c r="AB82" s="1299">
        <f t="shared" si="85"/>
        <v>0</v>
      </c>
      <c r="AC82" s="1299">
        <f t="shared" si="85"/>
        <v>0</v>
      </c>
      <c r="AD82" s="1299">
        <f t="shared" si="85"/>
        <v>0</v>
      </c>
      <c r="AE82" s="1299">
        <f t="shared" si="85"/>
        <v>0</v>
      </c>
      <c r="AF82" s="1299">
        <f t="shared" si="85"/>
        <v>0</v>
      </c>
      <c r="AG82" s="1300">
        <f t="shared" si="85"/>
        <v>72477</v>
      </c>
      <c r="AH82" s="1300">
        <f t="shared" si="85"/>
        <v>72477</v>
      </c>
    </row>
    <row r="83" spans="1:34" ht="24" x14ac:dyDescent="0.2">
      <c r="A83" s="1304"/>
      <c r="B83" s="1469" t="s">
        <v>1918</v>
      </c>
      <c r="C83" s="1470"/>
      <c r="D83" s="1323" t="s">
        <v>1919</v>
      </c>
      <c r="E83" s="1274">
        <v>72477</v>
      </c>
      <c r="F83" s="1281">
        <f>G83+E83</f>
        <v>72477</v>
      </c>
      <c r="G83" s="1281">
        <f>SUM(H83:S83)</f>
        <v>0</v>
      </c>
      <c r="H83" s="1281"/>
      <c r="I83" s="1281"/>
      <c r="J83" s="1281"/>
      <c r="K83" s="1281"/>
      <c r="L83" s="1281"/>
      <c r="M83" s="1281"/>
      <c r="N83" s="1281"/>
      <c r="O83" s="1281"/>
      <c r="P83" s="1281"/>
      <c r="Q83" s="1281"/>
      <c r="R83" s="1282"/>
      <c r="S83" s="1281"/>
      <c r="T83" s="1281"/>
      <c r="U83" s="1283">
        <f t="shared" ref="U83" si="86">V83+T83</f>
        <v>0</v>
      </c>
      <c r="V83" s="1283">
        <f>SUM(W83:AF83)</f>
        <v>0</v>
      </c>
      <c r="W83" s="1283"/>
      <c r="X83" s="1283"/>
      <c r="Y83" s="1283"/>
      <c r="Z83" s="1283"/>
      <c r="AA83" s="1283"/>
      <c r="AB83" s="1283"/>
      <c r="AC83" s="1283"/>
      <c r="AD83" s="1283"/>
      <c r="AE83" s="1283"/>
      <c r="AF83" s="1283"/>
      <c r="AG83" s="1284">
        <f>E83+T83</f>
        <v>72477</v>
      </c>
      <c r="AH83" s="1284">
        <f>F83+U83</f>
        <v>72477</v>
      </c>
    </row>
    <row r="84" spans="1:34" x14ac:dyDescent="0.2">
      <c r="A84" s="1295"/>
      <c r="B84" s="1443" t="s">
        <v>1920</v>
      </c>
      <c r="C84" s="1467"/>
      <c r="D84" s="1296" t="s">
        <v>56</v>
      </c>
      <c r="E84" s="1297">
        <f t="shared" ref="E84:AH84" si="87">SUM(E85:E86)</f>
        <v>232274</v>
      </c>
      <c r="F84" s="1297">
        <f t="shared" si="87"/>
        <v>248322</v>
      </c>
      <c r="G84" s="1297">
        <f t="shared" si="87"/>
        <v>16048</v>
      </c>
      <c r="H84" s="1297">
        <f t="shared" si="87"/>
        <v>0</v>
      </c>
      <c r="I84" s="1297">
        <f t="shared" si="87"/>
        <v>0</v>
      </c>
      <c r="J84" s="1297">
        <f t="shared" si="87"/>
        <v>1003</v>
      </c>
      <c r="K84" s="1297">
        <f t="shared" si="87"/>
        <v>0</v>
      </c>
      <c r="L84" s="1297">
        <f t="shared" si="87"/>
        <v>10250</v>
      </c>
      <c r="M84" s="1297">
        <f t="shared" si="87"/>
        <v>0</v>
      </c>
      <c r="N84" s="1297">
        <f t="shared" si="87"/>
        <v>0</v>
      </c>
      <c r="O84" s="1297">
        <f t="shared" si="87"/>
        <v>0</v>
      </c>
      <c r="P84" s="1297">
        <f t="shared" si="87"/>
        <v>0</v>
      </c>
      <c r="Q84" s="1297">
        <f t="shared" si="87"/>
        <v>3000</v>
      </c>
      <c r="R84" s="1298">
        <f t="shared" si="87"/>
        <v>1795</v>
      </c>
      <c r="S84" s="1297">
        <f t="shared" si="87"/>
        <v>0</v>
      </c>
      <c r="T84" s="1297">
        <f t="shared" si="87"/>
        <v>0</v>
      </c>
      <c r="U84" s="1299">
        <f t="shared" si="87"/>
        <v>0</v>
      </c>
      <c r="V84" s="1299">
        <f t="shared" si="87"/>
        <v>0</v>
      </c>
      <c r="W84" s="1299">
        <f t="shared" si="87"/>
        <v>0</v>
      </c>
      <c r="X84" s="1299">
        <f t="shared" si="87"/>
        <v>0</v>
      </c>
      <c r="Y84" s="1299">
        <f t="shared" si="87"/>
        <v>0</v>
      </c>
      <c r="Z84" s="1299">
        <f t="shared" si="87"/>
        <v>0</v>
      </c>
      <c r="AA84" s="1299">
        <f t="shared" si="87"/>
        <v>0</v>
      </c>
      <c r="AB84" s="1299">
        <f t="shared" si="87"/>
        <v>0</v>
      </c>
      <c r="AC84" s="1299">
        <f t="shared" si="87"/>
        <v>0</v>
      </c>
      <c r="AD84" s="1299">
        <f t="shared" si="87"/>
        <v>0</v>
      </c>
      <c r="AE84" s="1299">
        <f t="shared" si="87"/>
        <v>0</v>
      </c>
      <c r="AF84" s="1299">
        <f t="shared" si="87"/>
        <v>0</v>
      </c>
      <c r="AG84" s="1300">
        <f t="shared" si="87"/>
        <v>232274</v>
      </c>
      <c r="AH84" s="1300">
        <f t="shared" si="87"/>
        <v>248322</v>
      </c>
    </row>
    <row r="85" spans="1:34" x14ac:dyDescent="0.2">
      <c r="A85" s="1272"/>
      <c r="B85" s="1461" t="s">
        <v>1921</v>
      </c>
      <c r="C85" s="1462"/>
      <c r="D85" s="1273" t="s">
        <v>1922</v>
      </c>
      <c r="E85" s="1274">
        <v>229518</v>
      </c>
      <c r="F85" s="1274">
        <f t="shared" ref="F85:F86" si="88">G85+E85</f>
        <v>246566</v>
      </c>
      <c r="G85" s="1274">
        <f t="shared" ref="G85:G86" si="89">SUM(H85:S85)</f>
        <v>17048</v>
      </c>
      <c r="H85" s="1274"/>
      <c r="I85" s="1274"/>
      <c r="J85" s="1274">
        <f>462+541</f>
        <v>1003</v>
      </c>
      <c r="K85" s="1274"/>
      <c r="L85" s="1274">
        <f>10000+250</f>
        <v>10250</v>
      </c>
      <c r="M85" s="1274"/>
      <c r="N85" s="1274"/>
      <c r="O85" s="1274"/>
      <c r="P85" s="1274"/>
      <c r="Q85" s="1274">
        <v>4000</v>
      </c>
      <c r="R85" s="1275">
        <f>3530+445-2180</f>
        <v>1795</v>
      </c>
      <c r="S85" s="1274"/>
      <c r="T85" s="1274"/>
      <c r="U85" s="1276">
        <f t="shared" ref="U85:U86" si="90">V85+T85</f>
        <v>0</v>
      </c>
      <c r="V85" s="1276">
        <f>SUM(W85:AF85)</f>
        <v>0</v>
      </c>
      <c r="W85" s="1276"/>
      <c r="X85" s="1276"/>
      <c r="Y85" s="1276"/>
      <c r="Z85" s="1276"/>
      <c r="AA85" s="1276"/>
      <c r="AB85" s="1276"/>
      <c r="AC85" s="1276"/>
      <c r="AD85" s="1276"/>
      <c r="AE85" s="1276"/>
      <c r="AF85" s="1276"/>
      <c r="AG85" s="1277">
        <f>E85+T85</f>
        <v>229518</v>
      </c>
      <c r="AH85" s="1277">
        <f>F85+U85</f>
        <v>246566</v>
      </c>
    </row>
    <row r="86" spans="1:34" x14ac:dyDescent="0.2">
      <c r="A86" s="1322"/>
      <c r="B86" s="1455" t="s">
        <v>1923</v>
      </c>
      <c r="C86" s="1468"/>
      <c r="D86" s="1323" t="s">
        <v>58</v>
      </c>
      <c r="E86" s="1274">
        <v>2756</v>
      </c>
      <c r="F86" s="1274">
        <f t="shared" si="88"/>
        <v>1756</v>
      </c>
      <c r="G86" s="1274">
        <f t="shared" si="89"/>
        <v>-1000</v>
      </c>
      <c r="H86" s="1274"/>
      <c r="I86" s="1274"/>
      <c r="J86" s="1274"/>
      <c r="K86" s="1274"/>
      <c r="L86" s="1274"/>
      <c r="M86" s="1274"/>
      <c r="N86" s="1274"/>
      <c r="O86" s="1274"/>
      <c r="P86" s="1274"/>
      <c r="Q86" s="1274">
        <v>-1000</v>
      </c>
      <c r="R86" s="1275"/>
      <c r="S86" s="1274"/>
      <c r="T86" s="1274"/>
      <c r="U86" s="1276">
        <f t="shared" si="90"/>
        <v>0</v>
      </c>
      <c r="V86" s="1276">
        <f>SUM(W86:AF86)</f>
        <v>0</v>
      </c>
      <c r="W86" s="1276"/>
      <c r="X86" s="1276"/>
      <c r="Y86" s="1276"/>
      <c r="Z86" s="1276"/>
      <c r="AA86" s="1276"/>
      <c r="AB86" s="1276"/>
      <c r="AC86" s="1276"/>
      <c r="AD86" s="1276"/>
      <c r="AE86" s="1276"/>
      <c r="AF86" s="1276"/>
      <c r="AG86" s="1277">
        <f>E86+T86</f>
        <v>2756</v>
      </c>
      <c r="AH86" s="1277">
        <f>F86+U86</f>
        <v>1756</v>
      </c>
    </row>
    <row r="87" spans="1:34" ht="24" x14ac:dyDescent="0.2">
      <c r="A87" s="1295"/>
      <c r="B87" s="1443" t="s">
        <v>1924</v>
      </c>
      <c r="C87" s="1467"/>
      <c r="D87" s="1296" t="s">
        <v>1925</v>
      </c>
      <c r="E87" s="1297">
        <f>SUM(E88:E90)</f>
        <v>1168463</v>
      </c>
      <c r="F87" s="1297">
        <f>SUM(F88:F90)</f>
        <v>1183072</v>
      </c>
      <c r="G87" s="1297">
        <f t="shared" ref="G87:S87" si="91">SUM(G88:G90)</f>
        <v>14609</v>
      </c>
      <c r="H87" s="1297">
        <f t="shared" si="91"/>
        <v>1176</v>
      </c>
      <c r="I87" s="1297">
        <f t="shared" si="91"/>
        <v>17190</v>
      </c>
      <c r="J87" s="1297">
        <f t="shared" si="91"/>
        <v>-7240</v>
      </c>
      <c r="K87" s="1297">
        <f t="shared" si="91"/>
        <v>0</v>
      </c>
      <c r="L87" s="1297">
        <f t="shared" si="91"/>
        <v>200</v>
      </c>
      <c r="M87" s="1297">
        <f t="shared" si="91"/>
        <v>0</v>
      </c>
      <c r="N87" s="1297">
        <f t="shared" si="91"/>
        <v>500</v>
      </c>
      <c r="O87" s="1297">
        <f t="shared" si="91"/>
        <v>0</v>
      </c>
      <c r="P87" s="1297">
        <f t="shared" si="91"/>
        <v>0</v>
      </c>
      <c r="Q87" s="1297">
        <f t="shared" si="91"/>
        <v>508</v>
      </c>
      <c r="R87" s="1298">
        <f t="shared" si="91"/>
        <v>2275</v>
      </c>
      <c r="S87" s="1297">
        <f t="shared" si="91"/>
        <v>0</v>
      </c>
      <c r="T87" s="1297">
        <f>SUM(T88:T90)</f>
        <v>0</v>
      </c>
      <c r="U87" s="1299">
        <f t="shared" ref="U87:AF87" si="92">SUM(U88:U90)</f>
        <v>-350</v>
      </c>
      <c r="V87" s="1299">
        <f t="shared" si="92"/>
        <v>-350</v>
      </c>
      <c r="W87" s="1299">
        <f t="shared" si="92"/>
        <v>0</v>
      </c>
      <c r="X87" s="1299">
        <f t="shared" si="92"/>
        <v>0</v>
      </c>
      <c r="Y87" s="1299">
        <f t="shared" si="92"/>
        <v>-350</v>
      </c>
      <c r="Z87" s="1299">
        <f t="shared" si="92"/>
        <v>0</v>
      </c>
      <c r="AA87" s="1299">
        <f t="shared" si="92"/>
        <v>0</v>
      </c>
      <c r="AB87" s="1299">
        <f t="shared" si="92"/>
        <v>0</v>
      </c>
      <c r="AC87" s="1299">
        <f t="shared" si="92"/>
        <v>0</v>
      </c>
      <c r="AD87" s="1299">
        <f t="shared" si="92"/>
        <v>0</v>
      </c>
      <c r="AE87" s="1299">
        <f t="shared" si="92"/>
        <v>0</v>
      </c>
      <c r="AF87" s="1299">
        <f t="shared" si="92"/>
        <v>0</v>
      </c>
      <c r="AG87" s="1300">
        <f>SUM(AG88:AG90)</f>
        <v>1168463</v>
      </c>
      <c r="AH87" s="1300">
        <f>SUM(AH88:AH90)</f>
        <v>1182722</v>
      </c>
    </row>
    <row r="88" spans="1:34" x14ac:dyDescent="0.2">
      <c r="A88" s="1272"/>
      <c r="B88" s="1461" t="s">
        <v>1926</v>
      </c>
      <c r="C88" s="1462"/>
      <c r="D88" s="1279" t="s">
        <v>60</v>
      </c>
      <c r="E88" s="1274">
        <v>536496</v>
      </c>
      <c r="F88" s="1274">
        <f t="shared" ref="F88:F90" si="93">G88+E88</f>
        <v>536496</v>
      </c>
      <c r="G88" s="1274">
        <f t="shared" ref="G88:G90" si="94">SUM(H88:S88)</f>
        <v>0</v>
      </c>
      <c r="H88" s="1274"/>
      <c r="I88" s="1274"/>
      <c r="J88" s="1274"/>
      <c r="K88" s="1274"/>
      <c r="L88" s="1274"/>
      <c r="M88" s="1274"/>
      <c r="N88" s="1274"/>
      <c r="O88" s="1274"/>
      <c r="P88" s="1274"/>
      <c r="Q88" s="1274"/>
      <c r="R88" s="1275"/>
      <c r="S88" s="1274"/>
      <c r="T88" s="1274"/>
      <c r="U88" s="1276">
        <f t="shared" ref="U88:U90" si="95">V88+T88</f>
        <v>0</v>
      </c>
      <c r="V88" s="1276">
        <f>SUM(W88:AF88)</f>
        <v>0</v>
      </c>
      <c r="W88" s="1276"/>
      <c r="X88" s="1276"/>
      <c r="Y88" s="1276"/>
      <c r="Z88" s="1276"/>
      <c r="AA88" s="1276"/>
      <c r="AB88" s="1276"/>
      <c r="AC88" s="1276"/>
      <c r="AD88" s="1276"/>
      <c r="AE88" s="1276"/>
      <c r="AF88" s="1276"/>
      <c r="AG88" s="1277">
        <f t="shared" ref="AG88:AH91" si="96">E88+T88</f>
        <v>536496</v>
      </c>
      <c r="AH88" s="1277">
        <f t="shared" si="96"/>
        <v>536496</v>
      </c>
    </row>
    <row r="89" spans="1:34" x14ac:dyDescent="0.2">
      <c r="A89" s="1322"/>
      <c r="B89" s="1455" t="s">
        <v>1927</v>
      </c>
      <c r="C89" s="1468"/>
      <c r="D89" s="1279" t="s">
        <v>61</v>
      </c>
      <c r="E89" s="1274">
        <v>11920</v>
      </c>
      <c r="F89" s="1274">
        <f t="shared" si="93"/>
        <v>13215</v>
      </c>
      <c r="G89" s="1274">
        <f t="shared" si="94"/>
        <v>1295</v>
      </c>
      <c r="H89" s="1274"/>
      <c r="I89" s="1274">
        <v>2170</v>
      </c>
      <c r="J89" s="1274"/>
      <c r="K89" s="1274"/>
      <c r="L89" s="1274"/>
      <c r="M89" s="1274"/>
      <c r="N89" s="1274"/>
      <c r="O89" s="1274"/>
      <c r="P89" s="1274"/>
      <c r="Q89" s="1274">
        <f>-1570+695</f>
        <v>-875</v>
      </c>
      <c r="R89" s="1275"/>
      <c r="S89" s="1274"/>
      <c r="T89" s="1274"/>
      <c r="U89" s="1276">
        <f t="shared" si="95"/>
        <v>0</v>
      </c>
      <c r="V89" s="1276">
        <f>SUM(W89:AF89)</f>
        <v>0</v>
      </c>
      <c r="W89" s="1276"/>
      <c r="X89" s="1276"/>
      <c r="Y89" s="1276"/>
      <c r="Z89" s="1276"/>
      <c r="AA89" s="1276"/>
      <c r="AB89" s="1276"/>
      <c r="AC89" s="1276"/>
      <c r="AD89" s="1276"/>
      <c r="AE89" s="1276"/>
      <c r="AF89" s="1276"/>
      <c r="AG89" s="1277">
        <f t="shared" si="96"/>
        <v>11920</v>
      </c>
      <c r="AH89" s="1277">
        <f t="shared" si="96"/>
        <v>13215</v>
      </c>
    </row>
    <row r="90" spans="1:34" x14ac:dyDescent="0.2">
      <c r="A90" s="1278"/>
      <c r="B90" s="1463" t="s">
        <v>1928</v>
      </c>
      <c r="C90" s="1464"/>
      <c r="D90" s="1279" t="s">
        <v>63</v>
      </c>
      <c r="E90" s="1274">
        <v>620047</v>
      </c>
      <c r="F90" s="1302">
        <f t="shared" si="93"/>
        <v>633361</v>
      </c>
      <c r="G90" s="1302">
        <f t="shared" si="94"/>
        <v>13314</v>
      </c>
      <c r="H90" s="1302">
        <v>1176</v>
      </c>
      <c r="I90" s="1302">
        <f>15000+20</f>
        <v>15020</v>
      </c>
      <c r="J90" s="1302">
        <f>25+4500+1056-13281+460</f>
        <v>-7240</v>
      </c>
      <c r="K90" s="1302"/>
      <c r="L90" s="1302">
        <f>200</f>
        <v>200</v>
      </c>
      <c r="M90" s="1302"/>
      <c r="N90" s="1302">
        <v>500</v>
      </c>
      <c r="O90" s="1302"/>
      <c r="P90" s="1302"/>
      <c r="Q90" s="1302">
        <f>383+1000</f>
        <v>1383</v>
      </c>
      <c r="R90" s="1335">
        <f>1200+52+2789+56+739-2751+190</f>
        <v>2275</v>
      </c>
      <c r="S90" s="1302"/>
      <c r="T90" s="1302"/>
      <c r="U90" s="1301">
        <f t="shared" si="95"/>
        <v>-350</v>
      </c>
      <c r="V90" s="1301">
        <f>SUM(W90:AF90)</f>
        <v>-350</v>
      </c>
      <c r="W90" s="1301"/>
      <c r="X90" s="1301"/>
      <c r="Y90" s="1301">
        <v>-350</v>
      </c>
      <c r="Z90" s="1301"/>
      <c r="AA90" s="1301"/>
      <c r="AB90" s="1301"/>
      <c r="AC90" s="1301"/>
      <c r="AD90" s="1301"/>
      <c r="AE90" s="1301"/>
      <c r="AF90" s="1301"/>
      <c r="AG90" s="1303">
        <f t="shared" si="96"/>
        <v>620047</v>
      </c>
      <c r="AH90" s="1303">
        <f t="shared" si="96"/>
        <v>633011</v>
      </c>
    </row>
    <row r="91" spans="1:34" ht="36" x14ac:dyDescent="0.2">
      <c r="A91" s="1295"/>
      <c r="B91" s="1431" t="s">
        <v>1929</v>
      </c>
      <c r="C91" s="1465"/>
      <c r="D91" s="1352" t="s">
        <v>1930</v>
      </c>
      <c r="E91" s="1297">
        <f t="shared" ref="E91:AF91" si="97">SUM(E92,E94)</f>
        <v>81480</v>
      </c>
      <c r="F91" s="1281">
        <f t="shared" si="97"/>
        <v>100739</v>
      </c>
      <c r="G91" s="1281">
        <f t="shared" si="97"/>
        <v>19259</v>
      </c>
      <c r="H91" s="1281">
        <f t="shared" si="97"/>
        <v>1600</v>
      </c>
      <c r="I91" s="1281">
        <f t="shared" si="97"/>
        <v>-14605</v>
      </c>
      <c r="J91" s="1281">
        <f t="shared" si="97"/>
        <v>24033</v>
      </c>
      <c r="K91" s="1281">
        <f t="shared" si="97"/>
        <v>0</v>
      </c>
      <c r="L91" s="1281">
        <f t="shared" si="97"/>
        <v>1717</v>
      </c>
      <c r="M91" s="1281">
        <f t="shared" si="97"/>
        <v>738</v>
      </c>
      <c r="N91" s="1281">
        <f t="shared" si="97"/>
        <v>0</v>
      </c>
      <c r="O91" s="1281">
        <f t="shared" si="97"/>
        <v>0</v>
      </c>
      <c r="P91" s="1281">
        <f t="shared" si="97"/>
        <v>0</v>
      </c>
      <c r="Q91" s="1281">
        <f t="shared" si="97"/>
        <v>97</v>
      </c>
      <c r="R91" s="1282">
        <f t="shared" si="97"/>
        <v>5679</v>
      </c>
      <c r="S91" s="1281">
        <f t="shared" si="97"/>
        <v>0</v>
      </c>
      <c r="T91" s="1281">
        <f t="shared" si="97"/>
        <v>-28797</v>
      </c>
      <c r="U91" s="1283">
        <f t="shared" si="97"/>
        <v>-56486</v>
      </c>
      <c r="V91" s="1283">
        <f t="shared" si="97"/>
        <v>-27689</v>
      </c>
      <c r="W91" s="1283">
        <f t="shared" si="97"/>
        <v>0</v>
      </c>
      <c r="X91" s="1283">
        <f t="shared" si="97"/>
        <v>-835</v>
      </c>
      <c r="Y91" s="1283">
        <f t="shared" si="97"/>
        <v>-24415</v>
      </c>
      <c r="Z91" s="1283">
        <f t="shared" si="97"/>
        <v>-1664</v>
      </c>
      <c r="AA91" s="1283">
        <f t="shared" si="97"/>
        <v>0</v>
      </c>
      <c r="AB91" s="1283">
        <f t="shared" si="97"/>
        <v>-738</v>
      </c>
      <c r="AC91" s="1283">
        <f t="shared" si="97"/>
        <v>0</v>
      </c>
      <c r="AD91" s="1283">
        <f t="shared" si="97"/>
        <v>-37</v>
      </c>
      <c r="AE91" s="1283">
        <f t="shared" si="97"/>
        <v>0</v>
      </c>
      <c r="AF91" s="1283">
        <f t="shared" si="97"/>
        <v>0</v>
      </c>
      <c r="AG91" s="1284">
        <f t="shared" si="96"/>
        <v>52683</v>
      </c>
      <c r="AH91" s="1284">
        <f t="shared" si="96"/>
        <v>44253</v>
      </c>
    </row>
    <row r="92" spans="1:34" s="1243" customFormat="1" x14ac:dyDescent="0.2">
      <c r="A92" s="1261"/>
      <c r="B92" s="1443" t="s">
        <v>1931</v>
      </c>
      <c r="C92" s="1467"/>
      <c r="D92" s="1296" t="s">
        <v>65</v>
      </c>
      <c r="E92" s="1353">
        <f t="shared" ref="E92:AH92" si="98">SUM(E93:E93)</f>
        <v>432</v>
      </c>
      <c r="F92" s="1353">
        <f t="shared" si="98"/>
        <v>832</v>
      </c>
      <c r="G92" s="1353">
        <f t="shared" si="98"/>
        <v>400</v>
      </c>
      <c r="H92" s="1353">
        <f t="shared" si="98"/>
        <v>0</v>
      </c>
      <c r="I92" s="1353">
        <f t="shared" si="98"/>
        <v>0</v>
      </c>
      <c r="J92" s="1353">
        <f t="shared" si="98"/>
        <v>400</v>
      </c>
      <c r="K92" s="1353">
        <f t="shared" si="98"/>
        <v>0</v>
      </c>
      <c r="L92" s="1353">
        <f t="shared" si="98"/>
        <v>0</v>
      </c>
      <c r="M92" s="1353">
        <f t="shared" si="98"/>
        <v>0</v>
      </c>
      <c r="N92" s="1353">
        <f t="shared" si="98"/>
        <v>0</v>
      </c>
      <c r="O92" s="1353">
        <f t="shared" si="98"/>
        <v>0</v>
      </c>
      <c r="P92" s="1353">
        <f t="shared" si="98"/>
        <v>0</v>
      </c>
      <c r="Q92" s="1353">
        <f t="shared" si="98"/>
        <v>0</v>
      </c>
      <c r="R92" s="1354">
        <f t="shared" si="98"/>
        <v>0</v>
      </c>
      <c r="S92" s="1353">
        <f t="shared" si="98"/>
        <v>0</v>
      </c>
      <c r="T92" s="1353">
        <f t="shared" si="98"/>
        <v>0</v>
      </c>
      <c r="U92" s="1355">
        <f t="shared" si="98"/>
        <v>0</v>
      </c>
      <c r="V92" s="1355">
        <f t="shared" si="98"/>
        <v>0</v>
      </c>
      <c r="W92" s="1355">
        <f t="shared" si="98"/>
        <v>0</v>
      </c>
      <c r="X92" s="1355">
        <f t="shared" si="98"/>
        <v>0</v>
      </c>
      <c r="Y92" s="1355">
        <f t="shared" si="98"/>
        <v>0</v>
      </c>
      <c r="Z92" s="1355">
        <f t="shared" si="98"/>
        <v>0</v>
      </c>
      <c r="AA92" s="1355">
        <f t="shared" si="98"/>
        <v>0</v>
      </c>
      <c r="AB92" s="1355">
        <f t="shared" si="98"/>
        <v>0</v>
      </c>
      <c r="AC92" s="1355">
        <f t="shared" si="98"/>
        <v>0</v>
      </c>
      <c r="AD92" s="1355">
        <f t="shared" si="98"/>
        <v>0</v>
      </c>
      <c r="AE92" s="1355">
        <f t="shared" si="98"/>
        <v>0</v>
      </c>
      <c r="AF92" s="1355">
        <f t="shared" si="98"/>
        <v>0</v>
      </c>
      <c r="AG92" s="1356">
        <f t="shared" si="98"/>
        <v>432</v>
      </c>
      <c r="AH92" s="1356">
        <f t="shared" si="98"/>
        <v>832</v>
      </c>
    </row>
    <row r="93" spans="1:34" ht="24" x14ac:dyDescent="0.2">
      <c r="A93" s="1278"/>
      <c r="B93" s="1447" t="s">
        <v>1932</v>
      </c>
      <c r="C93" s="1471"/>
      <c r="D93" s="1279" t="s">
        <v>1933</v>
      </c>
      <c r="E93" s="1280">
        <v>432</v>
      </c>
      <c r="F93" s="1281">
        <f t="shared" ref="F93:F94" si="99">G93+E93</f>
        <v>832</v>
      </c>
      <c r="G93" s="1281">
        <f t="shared" ref="G93:G94" si="100">SUM(H93:S93)</f>
        <v>400</v>
      </c>
      <c r="H93" s="1281"/>
      <c r="I93" s="1281"/>
      <c r="J93" s="1281">
        <v>400</v>
      </c>
      <c r="K93" s="1281"/>
      <c r="L93" s="1281"/>
      <c r="M93" s="1281"/>
      <c r="N93" s="1281"/>
      <c r="O93" s="1281"/>
      <c r="P93" s="1281"/>
      <c r="Q93" s="1281"/>
      <c r="R93" s="1282"/>
      <c r="S93" s="1281"/>
      <c r="T93" s="1281"/>
      <c r="U93" s="1283">
        <f t="shared" ref="U93" si="101">V93+T93</f>
        <v>0</v>
      </c>
      <c r="V93" s="1283">
        <f>SUM(W93:AF93)</f>
        <v>0</v>
      </c>
      <c r="W93" s="1283"/>
      <c r="X93" s="1283"/>
      <c r="Y93" s="1283"/>
      <c r="Z93" s="1283"/>
      <c r="AA93" s="1283"/>
      <c r="AB93" s="1283"/>
      <c r="AC93" s="1283"/>
      <c r="AD93" s="1283"/>
      <c r="AE93" s="1283"/>
      <c r="AF93" s="1283"/>
      <c r="AG93" s="1284">
        <f>E93+T93</f>
        <v>432</v>
      </c>
      <c r="AH93" s="1284">
        <f>F93+U93</f>
        <v>832</v>
      </c>
    </row>
    <row r="94" spans="1:34" s="1243" customFormat="1" x14ac:dyDescent="0.2">
      <c r="A94" s="1357"/>
      <c r="B94" s="1452" t="s">
        <v>1934</v>
      </c>
      <c r="C94" s="1453"/>
      <c r="D94" s="1296" t="s">
        <v>66</v>
      </c>
      <c r="E94" s="1353">
        <f>44538+36510</f>
        <v>81048</v>
      </c>
      <c r="F94" s="1353">
        <f t="shared" si="99"/>
        <v>99907</v>
      </c>
      <c r="G94" s="1353">
        <f t="shared" si="100"/>
        <v>18859</v>
      </c>
      <c r="H94" s="1353">
        <v>1600</v>
      </c>
      <c r="I94" s="1353">
        <f>835-17910+1000+1470</f>
        <v>-14605</v>
      </c>
      <c r="J94" s="1353">
        <f>-850+23712+11+68+692</f>
        <v>23633</v>
      </c>
      <c r="K94" s="1353"/>
      <c r="L94" s="1353">
        <f>952+712+53</f>
        <v>1717</v>
      </c>
      <c r="M94" s="1353">
        <f>80+625+33</f>
        <v>738</v>
      </c>
      <c r="N94" s="1353"/>
      <c r="O94" s="1353"/>
      <c r="P94" s="1353"/>
      <c r="Q94" s="1353">
        <f>37+60</f>
        <v>97</v>
      </c>
      <c r="R94" s="1354">
        <f>65+5600+5+5+4</f>
        <v>5679</v>
      </c>
      <c r="S94" s="1353"/>
      <c r="T94" s="1353">
        <v>-28797</v>
      </c>
      <c r="U94" s="1355">
        <f>V94+T94</f>
        <v>-56486</v>
      </c>
      <c r="V94" s="1355">
        <f>SUM(W94:AF94)</f>
        <v>-27689</v>
      </c>
      <c r="W94" s="1355"/>
      <c r="X94" s="1355">
        <f>-835</f>
        <v>-835</v>
      </c>
      <c r="Y94" s="1355">
        <f>-23712-11-692</f>
        <v>-24415</v>
      </c>
      <c r="Z94" s="1355">
        <f>-952-712</f>
        <v>-1664</v>
      </c>
      <c r="AA94" s="1355"/>
      <c r="AB94" s="1355">
        <f>-80-625-33</f>
        <v>-738</v>
      </c>
      <c r="AC94" s="1355"/>
      <c r="AD94" s="1355">
        <v>-37</v>
      </c>
      <c r="AE94" s="1355"/>
      <c r="AF94" s="1355"/>
      <c r="AG94" s="1356">
        <f>E94+T94</f>
        <v>52251</v>
      </c>
      <c r="AH94" s="1356">
        <f>F94+U94</f>
        <v>43421</v>
      </c>
    </row>
    <row r="95" spans="1:34" s="1243" customFormat="1" ht="9" customHeight="1" x14ac:dyDescent="0.2">
      <c r="A95" s="1358"/>
      <c r="B95" s="1359"/>
      <c r="C95" s="1360"/>
      <c r="D95" s="1310"/>
      <c r="E95" s="1361"/>
      <c r="F95" s="1353"/>
      <c r="G95" s="1353"/>
      <c r="H95" s="1353"/>
      <c r="I95" s="1353"/>
      <c r="J95" s="1353"/>
      <c r="K95" s="1353"/>
      <c r="L95" s="1353"/>
      <c r="M95" s="1353"/>
      <c r="N95" s="1353"/>
      <c r="O95" s="1353"/>
      <c r="P95" s="1353"/>
      <c r="Q95" s="1353"/>
      <c r="R95" s="1354"/>
      <c r="S95" s="1353"/>
      <c r="T95" s="1353"/>
      <c r="U95" s="1362"/>
      <c r="V95" s="1362"/>
      <c r="W95" s="1362"/>
      <c r="X95" s="1362"/>
      <c r="Y95" s="1362"/>
      <c r="Z95" s="1362"/>
      <c r="AA95" s="1362"/>
      <c r="AB95" s="1362"/>
      <c r="AC95" s="1362"/>
      <c r="AD95" s="1362"/>
      <c r="AE95" s="1362"/>
      <c r="AF95" s="1362"/>
      <c r="AG95" s="1363"/>
      <c r="AH95" s="1363"/>
    </row>
    <row r="96" spans="1:34" s="1243" customFormat="1" ht="24" x14ac:dyDescent="0.2">
      <c r="A96" s="1364"/>
      <c r="B96" s="1365" t="s">
        <v>1935</v>
      </c>
      <c r="C96" s="1366"/>
      <c r="D96" s="1367" t="s">
        <v>1936</v>
      </c>
      <c r="E96" s="1368"/>
      <c r="F96" s="1369"/>
      <c r="G96" s="1369"/>
      <c r="H96" s="1369"/>
      <c r="I96" s="1369"/>
      <c r="J96" s="1369"/>
      <c r="K96" s="1369"/>
      <c r="L96" s="1369"/>
      <c r="M96" s="1369"/>
      <c r="N96" s="1369"/>
      <c r="O96" s="1369"/>
      <c r="P96" s="1369"/>
      <c r="Q96" s="1369"/>
      <c r="R96" s="1370"/>
      <c r="S96" s="1369"/>
      <c r="T96" s="1369"/>
      <c r="U96" s="1371"/>
      <c r="V96" s="1371"/>
      <c r="W96" s="1371"/>
      <c r="X96" s="1371"/>
      <c r="Y96" s="1371"/>
      <c r="Z96" s="1371"/>
      <c r="AA96" s="1371"/>
      <c r="AB96" s="1372"/>
      <c r="AC96" s="1373"/>
      <c r="AD96" s="1373"/>
      <c r="AE96" s="1371"/>
      <c r="AF96" s="1371"/>
      <c r="AG96" s="1374"/>
      <c r="AH96" s="1374"/>
    </row>
    <row r="97" spans="1:34" ht="9" customHeight="1" x14ac:dyDescent="0.2">
      <c r="A97" s="1266"/>
      <c r="B97" s="1375"/>
      <c r="C97" s="1376"/>
      <c r="D97" s="1310"/>
      <c r="E97" s="1268"/>
      <c r="F97" s="1268"/>
      <c r="G97" s="1268"/>
      <c r="H97" s="1268"/>
      <c r="I97" s="1268"/>
      <c r="J97" s="1268"/>
      <c r="K97" s="1268"/>
      <c r="L97" s="1268"/>
      <c r="M97" s="1268"/>
      <c r="N97" s="1268"/>
      <c r="O97" s="1268"/>
      <c r="P97" s="1268"/>
      <c r="Q97" s="1268"/>
      <c r="R97" s="1269"/>
      <c r="S97" s="1268"/>
      <c r="T97" s="1268"/>
      <c r="U97" s="1270"/>
      <c r="V97" s="1270"/>
      <c r="W97" s="1270"/>
      <c r="X97" s="1270"/>
      <c r="Y97" s="1270"/>
      <c r="Z97" s="1270"/>
      <c r="AA97" s="1270"/>
      <c r="AB97" s="1270"/>
      <c r="AC97" s="1270"/>
      <c r="AD97" s="1270"/>
      <c r="AE97" s="1270"/>
      <c r="AF97" s="1270"/>
      <c r="AG97" s="1271"/>
      <c r="AH97" s="1271"/>
    </row>
    <row r="98" spans="1:34" s="1381" customFormat="1" ht="12.75" x14ac:dyDescent="0.2">
      <c r="A98" s="1472" t="s">
        <v>1937</v>
      </c>
      <c r="B98" s="1473"/>
      <c r="C98" s="1473"/>
      <c r="D98" s="1474"/>
      <c r="E98" s="1377">
        <f>SUM(E13,E18,E29,E35,E44,E54,E47,E61,E66,E70,E96)</f>
        <v>75247419</v>
      </c>
      <c r="F98" s="1377">
        <f t="shared" ref="F98:AH98" si="102">SUM(F13,F18,F29,F35,F44,F54,F47,F61,F66,F70,F96)</f>
        <v>75959726</v>
      </c>
      <c r="G98" s="1377">
        <f t="shared" si="102"/>
        <v>712307</v>
      </c>
      <c r="H98" s="1377">
        <f t="shared" si="102"/>
        <v>93935</v>
      </c>
      <c r="I98" s="1377">
        <f>SUM(I13,I18,I29,I35,I44,I54,I47,I61,I66,I70,I96)</f>
        <v>102333</v>
      </c>
      <c r="J98" s="1377">
        <f t="shared" si="102"/>
        <v>69285</v>
      </c>
      <c r="K98" s="1377">
        <f t="shared" si="102"/>
        <v>-7294</v>
      </c>
      <c r="L98" s="1377">
        <f t="shared" si="102"/>
        <v>83988</v>
      </c>
      <c r="M98" s="1377">
        <f t="shared" si="102"/>
        <v>738</v>
      </c>
      <c r="N98" s="1377">
        <f t="shared" si="102"/>
        <v>3334</v>
      </c>
      <c r="O98" s="1377">
        <f t="shared" si="102"/>
        <v>29303</v>
      </c>
      <c r="P98" s="1377">
        <f t="shared" si="102"/>
        <v>9544</v>
      </c>
      <c r="Q98" s="1377">
        <f t="shared" si="102"/>
        <v>19973</v>
      </c>
      <c r="R98" s="1378">
        <f t="shared" si="102"/>
        <v>307168</v>
      </c>
      <c r="S98" s="1377">
        <f t="shared" si="102"/>
        <v>0</v>
      </c>
      <c r="T98" s="1377">
        <f t="shared" si="102"/>
        <v>-1806440</v>
      </c>
      <c r="U98" s="1379">
        <f t="shared" si="102"/>
        <v>-1711252</v>
      </c>
      <c r="V98" s="1379">
        <f t="shared" si="102"/>
        <v>95188</v>
      </c>
      <c r="W98" s="1379">
        <f t="shared" si="102"/>
        <v>151722</v>
      </c>
      <c r="X98" s="1379">
        <f t="shared" si="102"/>
        <v>-936</v>
      </c>
      <c r="Y98" s="1379">
        <f t="shared" si="102"/>
        <v>-28181</v>
      </c>
      <c r="Z98" s="1379">
        <f t="shared" si="102"/>
        <v>1945</v>
      </c>
      <c r="AA98" s="1379">
        <f t="shared" si="102"/>
        <v>-28047</v>
      </c>
      <c r="AB98" s="1379">
        <f t="shared" si="102"/>
        <v>-738</v>
      </c>
      <c r="AC98" s="1379">
        <f t="shared" si="102"/>
        <v>-1</v>
      </c>
      <c r="AD98" s="1379">
        <f t="shared" si="102"/>
        <v>-576</v>
      </c>
      <c r="AE98" s="1379">
        <f t="shared" si="102"/>
        <v>0</v>
      </c>
      <c r="AF98" s="1379">
        <f t="shared" si="102"/>
        <v>0</v>
      </c>
      <c r="AG98" s="1380">
        <f t="shared" si="102"/>
        <v>73440979</v>
      </c>
      <c r="AH98" s="1380">
        <f t="shared" si="102"/>
        <v>74248474</v>
      </c>
    </row>
    <row r="99" spans="1:34" x14ac:dyDescent="0.2">
      <c r="A99" s="1295"/>
      <c r="B99" s="1382"/>
      <c r="C99" s="1383"/>
      <c r="D99" s="1279"/>
      <c r="E99" s="1297"/>
      <c r="F99" s="1297"/>
      <c r="G99" s="1297"/>
      <c r="H99" s="1297"/>
      <c r="I99" s="1297"/>
      <c r="J99" s="1297"/>
      <c r="K99" s="1297"/>
      <c r="L99" s="1297"/>
      <c r="M99" s="1297"/>
      <c r="N99" s="1297"/>
      <c r="O99" s="1297"/>
      <c r="P99" s="1297"/>
      <c r="Q99" s="1297"/>
      <c r="R99" s="1298"/>
      <c r="S99" s="1297"/>
      <c r="T99" s="1297"/>
      <c r="U99" s="1299"/>
      <c r="V99" s="1299"/>
      <c r="W99" s="1299"/>
      <c r="X99" s="1299"/>
      <c r="Y99" s="1299"/>
      <c r="Z99" s="1299"/>
      <c r="AA99" s="1299"/>
      <c r="AB99" s="1299"/>
      <c r="AC99" s="1299"/>
      <c r="AD99" s="1299"/>
      <c r="AE99" s="1299"/>
      <c r="AF99" s="1299"/>
      <c r="AG99" s="1300"/>
      <c r="AH99" s="1300"/>
    </row>
    <row r="100" spans="1:34" s="1243" customFormat="1" x14ac:dyDescent="0.2">
      <c r="A100" s="1261"/>
      <c r="B100" s="1475" t="s">
        <v>1938</v>
      </c>
      <c r="C100" s="1476"/>
      <c r="D100" s="1262" t="s">
        <v>311</v>
      </c>
      <c r="E100" s="1291">
        <f t="shared" ref="E100:AH100" si="103">SUM(,E101)</f>
        <v>14413159</v>
      </c>
      <c r="F100" s="1291">
        <f t="shared" si="103"/>
        <v>6874493</v>
      </c>
      <c r="G100" s="1291">
        <f t="shared" si="103"/>
        <v>-7538666</v>
      </c>
      <c r="H100" s="1291">
        <f t="shared" si="103"/>
        <v>0</v>
      </c>
      <c r="I100" s="1291">
        <f t="shared" si="103"/>
        <v>0</v>
      </c>
      <c r="J100" s="1291">
        <f t="shared" si="103"/>
        <v>0</v>
      </c>
      <c r="K100" s="1291">
        <f t="shared" si="103"/>
        <v>0</v>
      </c>
      <c r="L100" s="1291">
        <f t="shared" si="103"/>
        <v>0</v>
      </c>
      <c r="M100" s="1291">
        <f t="shared" si="103"/>
        <v>0</v>
      </c>
      <c r="N100" s="1291">
        <f t="shared" si="103"/>
        <v>0</v>
      </c>
      <c r="O100" s="1291">
        <f t="shared" si="103"/>
        <v>0</v>
      </c>
      <c r="P100" s="1291">
        <f t="shared" si="103"/>
        <v>0</v>
      </c>
      <c r="Q100" s="1291">
        <f t="shared" si="103"/>
        <v>0</v>
      </c>
      <c r="R100" s="1292">
        <f t="shared" si="103"/>
        <v>-7538666</v>
      </c>
      <c r="S100" s="1291">
        <f t="shared" si="103"/>
        <v>0</v>
      </c>
      <c r="T100" s="1291">
        <f t="shared" si="103"/>
        <v>0</v>
      </c>
      <c r="U100" s="1293">
        <f t="shared" si="103"/>
        <v>0</v>
      </c>
      <c r="V100" s="1293">
        <f t="shared" si="103"/>
        <v>0</v>
      </c>
      <c r="W100" s="1293">
        <f t="shared" si="103"/>
        <v>0</v>
      </c>
      <c r="X100" s="1293">
        <f t="shared" si="103"/>
        <v>0</v>
      </c>
      <c r="Y100" s="1293">
        <f t="shared" si="103"/>
        <v>0</v>
      </c>
      <c r="Z100" s="1293">
        <f t="shared" si="103"/>
        <v>0</v>
      </c>
      <c r="AA100" s="1293">
        <f t="shared" si="103"/>
        <v>0</v>
      </c>
      <c r="AB100" s="1293">
        <f t="shared" si="103"/>
        <v>0</v>
      </c>
      <c r="AC100" s="1293">
        <f t="shared" si="103"/>
        <v>0</v>
      </c>
      <c r="AD100" s="1293">
        <f t="shared" si="103"/>
        <v>0</v>
      </c>
      <c r="AE100" s="1293">
        <f t="shared" si="103"/>
        <v>0</v>
      </c>
      <c r="AF100" s="1293">
        <f t="shared" si="103"/>
        <v>0</v>
      </c>
      <c r="AG100" s="1294">
        <f t="shared" si="103"/>
        <v>14413159</v>
      </c>
      <c r="AH100" s="1294">
        <f t="shared" si="103"/>
        <v>6874493</v>
      </c>
    </row>
    <row r="101" spans="1:34" s="1243" customFormat="1" x14ac:dyDescent="0.2">
      <c r="A101" s="1261"/>
      <c r="B101" s="1384"/>
      <c r="C101" s="1384"/>
      <c r="D101" s="1385" t="s">
        <v>1939</v>
      </c>
      <c r="E101" s="1291">
        <f>SUM(E104,E102)</f>
        <v>14413159</v>
      </c>
      <c r="F101" s="1291">
        <f>SUM(F104,F102)</f>
        <v>6874493</v>
      </c>
      <c r="G101" s="1291">
        <f t="shared" ref="G101:S101" si="104">SUM(G104,G102)</f>
        <v>-7538666</v>
      </c>
      <c r="H101" s="1291">
        <f t="shared" si="104"/>
        <v>0</v>
      </c>
      <c r="I101" s="1291">
        <f t="shared" si="104"/>
        <v>0</v>
      </c>
      <c r="J101" s="1291">
        <f t="shared" si="104"/>
        <v>0</v>
      </c>
      <c r="K101" s="1291">
        <f t="shared" si="104"/>
        <v>0</v>
      </c>
      <c r="L101" s="1291">
        <f t="shared" si="104"/>
        <v>0</v>
      </c>
      <c r="M101" s="1291">
        <f t="shared" si="104"/>
        <v>0</v>
      </c>
      <c r="N101" s="1291">
        <f t="shared" si="104"/>
        <v>0</v>
      </c>
      <c r="O101" s="1291">
        <f t="shared" si="104"/>
        <v>0</v>
      </c>
      <c r="P101" s="1291">
        <f t="shared" si="104"/>
        <v>0</v>
      </c>
      <c r="Q101" s="1291">
        <f t="shared" si="104"/>
        <v>0</v>
      </c>
      <c r="R101" s="1292">
        <f t="shared" si="104"/>
        <v>-7538666</v>
      </c>
      <c r="S101" s="1291">
        <f t="shared" si="104"/>
        <v>0</v>
      </c>
      <c r="T101" s="1291">
        <f>SUM(T104,T102)</f>
        <v>0</v>
      </c>
      <c r="U101" s="1293">
        <f t="shared" ref="U101:AF101" si="105">SUM(U104,U102)</f>
        <v>0</v>
      </c>
      <c r="V101" s="1293">
        <f t="shared" si="105"/>
        <v>0</v>
      </c>
      <c r="W101" s="1293">
        <f t="shared" si="105"/>
        <v>0</v>
      </c>
      <c r="X101" s="1293">
        <f t="shared" si="105"/>
        <v>0</v>
      </c>
      <c r="Y101" s="1293">
        <f t="shared" si="105"/>
        <v>0</v>
      </c>
      <c r="Z101" s="1293">
        <f t="shared" si="105"/>
        <v>0</v>
      </c>
      <c r="AA101" s="1293">
        <f t="shared" si="105"/>
        <v>0</v>
      </c>
      <c r="AB101" s="1293">
        <f t="shared" si="105"/>
        <v>0</v>
      </c>
      <c r="AC101" s="1293">
        <f t="shared" si="105"/>
        <v>0</v>
      </c>
      <c r="AD101" s="1293">
        <f t="shared" si="105"/>
        <v>0</v>
      </c>
      <c r="AE101" s="1293">
        <f t="shared" si="105"/>
        <v>0</v>
      </c>
      <c r="AF101" s="1293">
        <f t="shared" si="105"/>
        <v>0</v>
      </c>
      <c r="AG101" s="1294">
        <f>SUM(AG104,AG102)</f>
        <v>14413159</v>
      </c>
      <c r="AH101" s="1294">
        <f>SUM(AH104,AH102)</f>
        <v>6874493</v>
      </c>
    </row>
    <row r="102" spans="1:34" s="1243" customFormat="1" x14ac:dyDescent="0.2">
      <c r="A102" s="1357"/>
      <c r="B102" s="1386"/>
      <c r="C102" s="1384" t="s">
        <v>1940</v>
      </c>
      <c r="D102" s="1387" t="s">
        <v>1941</v>
      </c>
      <c r="E102" s="1291">
        <f>SUM(E103:E103)</f>
        <v>0</v>
      </c>
      <c r="F102" s="1291">
        <f>SUM(F103:F103)</f>
        <v>0</v>
      </c>
      <c r="G102" s="1291">
        <f t="shared" ref="G102:S102" si="106">SUM(G103:G103)</f>
        <v>0</v>
      </c>
      <c r="H102" s="1291">
        <f t="shared" si="106"/>
        <v>0</v>
      </c>
      <c r="I102" s="1291">
        <f t="shared" si="106"/>
        <v>0</v>
      </c>
      <c r="J102" s="1291">
        <f t="shared" si="106"/>
        <v>0</v>
      </c>
      <c r="K102" s="1291">
        <f t="shared" si="106"/>
        <v>0</v>
      </c>
      <c r="L102" s="1291">
        <f t="shared" si="106"/>
        <v>0</v>
      </c>
      <c r="M102" s="1291">
        <f t="shared" si="106"/>
        <v>0</v>
      </c>
      <c r="N102" s="1291">
        <f t="shared" si="106"/>
        <v>0</v>
      </c>
      <c r="O102" s="1291">
        <f t="shared" si="106"/>
        <v>0</v>
      </c>
      <c r="P102" s="1291">
        <f t="shared" si="106"/>
        <v>0</v>
      </c>
      <c r="Q102" s="1291">
        <f t="shared" si="106"/>
        <v>0</v>
      </c>
      <c r="R102" s="1292">
        <f t="shared" si="106"/>
        <v>0</v>
      </c>
      <c r="S102" s="1291">
        <f t="shared" si="106"/>
        <v>0</v>
      </c>
      <c r="T102" s="1291">
        <f>SUM(T103:T103)</f>
        <v>0</v>
      </c>
      <c r="U102" s="1293">
        <f t="shared" ref="U102:AF102" si="107">SUM(U103:U103)</f>
        <v>0</v>
      </c>
      <c r="V102" s="1293">
        <f t="shared" si="107"/>
        <v>0</v>
      </c>
      <c r="W102" s="1293">
        <f t="shared" si="107"/>
        <v>0</v>
      </c>
      <c r="X102" s="1293">
        <f t="shared" si="107"/>
        <v>0</v>
      </c>
      <c r="Y102" s="1293">
        <f t="shared" si="107"/>
        <v>0</v>
      </c>
      <c r="Z102" s="1293">
        <f t="shared" si="107"/>
        <v>0</v>
      </c>
      <c r="AA102" s="1293">
        <f t="shared" si="107"/>
        <v>0</v>
      </c>
      <c r="AB102" s="1293">
        <f t="shared" si="107"/>
        <v>0</v>
      </c>
      <c r="AC102" s="1293">
        <f t="shared" si="107"/>
        <v>0</v>
      </c>
      <c r="AD102" s="1293">
        <f t="shared" si="107"/>
        <v>0</v>
      </c>
      <c r="AE102" s="1293">
        <f t="shared" si="107"/>
        <v>0</v>
      </c>
      <c r="AF102" s="1293">
        <f t="shared" si="107"/>
        <v>0</v>
      </c>
      <c r="AG102" s="1294">
        <f>SUM(AG103:AG103)</f>
        <v>0</v>
      </c>
      <c r="AH102" s="1294">
        <f>SUM(AH103:AH103)</f>
        <v>0</v>
      </c>
    </row>
    <row r="103" spans="1:34" x14ac:dyDescent="0.2">
      <c r="A103" s="1388"/>
      <c r="B103" s="1389"/>
      <c r="C103" s="1390"/>
      <c r="D103" s="1315"/>
      <c r="E103" s="1268"/>
      <c r="F103" s="1268"/>
      <c r="G103" s="1268"/>
      <c r="H103" s="1268"/>
      <c r="I103" s="1268"/>
      <c r="J103" s="1268"/>
      <c r="K103" s="1268"/>
      <c r="L103" s="1268"/>
      <c r="M103" s="1268"/>
      <c r="N103" s="1268"/>
      <c r="O103" s="1268"/>
      <c r="P103" s="1268"/>
      <c r="Q103" s="1268"/>
      <c r="R103" s="1269"/>
      <c r="S103" s="1268"/>
      <c r="T103" s="1268"/>
      <c r="U103" s="1270"/>
      <c r="V103" s="1270"/>
      <c r="W103" s="1270"/>
      <c r="X103" s="1270"/>
      <c r="Y103" s="1270"/>
      <c r="Z103" s="1270"/>
      <c r="AA103" s="1270"/>
      <c r="AB103" s="1270"/>
      <c r="AC103" s="1270"/>
      <c r="AD103" s="1270"/>
      <c r="AE103" s="1270"/>
      <c r="AF103" s="1270"/>
      <c r="AG103" s="1271"/>
      <c r="AH103" s="1271"/>
    </row>
    <row r="104" spans="1:34" s="1243" customFormat="1" x14ac:dyDescent="0.2">
      <c r="A104" s="1357"/>
      <c r="B104" s="1386"/>
      <c r="C104" s="1384" t="s">
        <v>1942</v>
      </c>
      <c r="D104" s="1387" t="s">
        <v>1943</v>
      </c>
      <c r="E104" s="1291">
        <f>SUM(E105:E114)</f>
        <v>14413159</v>
      </c>
      <c r="F104" s="1291">
        <f>SUM(F105:F114)</f>
        <v>6874493</v>
      </c>
      <c r="G104" s="1291">
        <f t="shared" ref="G104:S104" si="108">SUM(G105:G114)</f>
        <v>-7538666</v>
      </c>
      <c r="H104" s="1291">
        <f t="shared" si="108"/>
        <v>0</v>
      </c>
      <c r="I104" s="1291">
        <f t="shared" si="108"/>
        <v>0</v>
      </c>
      <c r="J104" s="1291">
        <f>SUM(J105:J114)</f>
        <v>0</v>
      </c>
      <c r="K104" s="1291">
        <f t="shared" si="108"/>
        <v>0</v>
      </c>
      <c r="L104" s="1291">
        <f t="shared" si="108"/>
        <v>0</v>
      </c>
      <c r="M104" s="1291">
        <f t="shared" si="108"/>
        <v>0</v>
      </c>
      <c r="N104" s="1291">
        <f t="shared" si="108"/>
        <v>0</v>
      </c>
      <c r="O104" s="1291">
        <f t="shared" si="108"/>
        <v>0</v>
      </c>
      <c r="P104" s="1291">
        <f t="shared" si="108"/>
        <v>0</v>
      </c>
      <c r="Q104" s="1291">
        <f t="shared" si="108"/>
        <v>0</v>
      </c>
      <c r="R104" s="1292">
        <f t="shared" si="108"/>
        <v>-7538666</v>
      </c>
      <c r="S104" s="1291">
        <f t="shared" si="108"/>
        <v>0</v>
      </c>
      <c r="T104" s="1291">
        <f>SUM(T105:T114)</f>
        <v>0</v>
      </c>
      <c r="U104" s="1293">
        <f t="shared" ref="U104:AF104" si="109">SUM(U105:U114)</f>
        <v>0</v>
      </c>
      <c r="V104" s="1293">
        <f t="shared" si="109"/>
        <v>0</v>
      </c>
      <c r="W104" s="1293">
        <f t="shared" si="109"/>
        <v>0</v>
      </c>
      <c r="X104" s="1293">
        <f t="shared" si="109"/>
        <v>0</v>
      </c>
      <c r="Y104" s="1293">
        <f t="shared" si="109"/>
        <v>0</v>
      </c>
      <c r="Z104" s="1293">
        <f t="shared" si="109"/>
        <v>0</v>
      </c>
      <c r="AA104" s="1293">
        <f t="shared" si="109"/>
        <v>0</v>
      </c>
      <c r="AB104" s="1293">
        <f t="shared" si="109"/>
        <v>0</v>
      </c>
      <c r="AC104" s="1293">
        <f t="shared" si="109"/>
        <v>0</v>
      </c>
      <c r="AD104" s="1293">
        <f t="shared" si="109"/>
        <v>0</v>
      </c>
      <c r="AE104" s="1293">
        <f t="shared" si="109"/>
        <v>0</v>
      </c>
      <c r="AF104" s="1293">
        <f t="shared" si="109"/>
        <v>0</v>
      </c>
      <c r="AG104" s="1294">
        <f>SUM(AG105:AG114)</f>
        <v>14413159</v>
      </c>
      <c r="AH104" s="1294">
        <f>SUM(AH105:AH114)</f>
        <v>6874493</v>
      </c>
    </row>
    <row r="105" spans="1:34" x14ac:dyDescent="0.2">
      <c r="A105" s="1322"/>
      <c r="B105" s="1391"/>
      <c r="C105" s="1392"/>
      <c r="D105" s="1279" t="s">
        <v>1944</v>
      </c>
      <c r="E105" s="1324">
        <v>3210000</v>
      </c>
      <c r="F105" s="1324">
        <f t="shared" ref="F105:F113" si="110">G105+E105</f>
        <v>0</v>
      </c>
      <c r="G105" s="1324">
        <f t="shared" ref="G105:G113" si="111">SUM(H105:S105)</f>
        <v>-3210000</v>
      </c>
      <c r="H105" s="1324"/>
      <c r="I105" s="1324"/>
      <c r="J105" s="1324">
        <v>-3210000</v>
      </c>
      <c r="K105" s="1324"/>
      <c r="L105" s="1324"/>
      <c r="M105" s="1324"/>
      <c r="N105" s="1324"/>
      <c r="O105" s="1324"/>
      <c r="P105" s="1324"/>
      <c r="Q105" s="1324"/>
      <c r="R105" s="1325"/>
      <c r="S105" s="1324"/>
      <c r="T105" s="1324"/>
      <c r="U105" s="1326">
        <f t="shared" ref="U105:U113" si="112">V105+T105</f>
        <v>0</v>
      </c>
      <c r="V105" s="1326">
        <f t="shared" ref="V105:V111" si="113">SUM(W105:AF105)</f>
        <v>0</v>
      </c>
      <c r="W105" s="1326"/>
      <c r="X105" s="1326"/>
      <c r="Y105" s="1326"/>
      <c r="Z105" s="1326"/>
      <c r="AA105" s="1326"/>
      <c r="AB105" s="1326"/>
      <c r="AC105" s="1326"/>
      <c r="AD105" s="1326"/>
      <c r="AE105" s="1326"/>
      <c r="AF105" s="1326"/>
      <c r="AG105" s="1327">
        <f t="shared" ref="AG105:AH111" si="114">E105+T105</f>
        <v>3210000</v>
      </c>
      <c r="AH105" s="1327">
        <f t="shared" si="114"/>
        <v>0</v>
      </c>
    </row>
    <row r="106" spans="1:34" x14ac:dyDescent="0.2">
      <c r="A106" s="1322"/>
      <c r="B106" s="1391"/>
      <c r="C106" s="1392"/>
      <c r="D106" s="1279" t="s">
        <v>1945</v>
      </c>
      <c r="E106" s="1324">
        <v>3413000</v>
      </c>
      <c r="F106" s="1324">
        <f t="shared" si="110"/>
        <v>0</v>
      </c>
      <c r="G106" s="1324">
        <f t="shared" si="111"/>
        <v>-3413000</v>
      </c>
      <c r="H106" s="1324"/>
      <c r="I106" s="1324"/>
      <c r="J106" s="1324">
        <v>-3413000</v>
      </c>
      <c r="K106" s="1324"/>
      <c r="L106" s="1324"/>
      <c r="M106" s="1324"/>
      <c r="N106" s="1324"/>
      <c r="O106" s="1324"/>
      <c r="P106" s="1324"/>
      <c r="Q106" s="1324"/>
      <c r="R106" s="1325"/>
      <c r="S106" s="1324"/>
      <c r="T106" s="1324"/>
      <c r="U106" s="1326">
        <f t="shared" si="112"/>
        <v>0</v>
      </c>
      <c r="V106" s="1326">
        <f t="shared" si="113"/>
        <v>0</v>
      </c>
      <c r="W106" s="1326"/>
      <c r="X106" s="1326"/>
      <c r="Y106" s="1326"/>
      <c r="Z106" s="1326"/>
      <c r="AA106" s="1326"/>
      <c r="AB106" s="1326"/>
      <c r="AC106" s="1326"/>
      <c r="AD106" s="1326"/>
      <c r="AE106" s="1326"/>
      <c r="AF106" s="1326"/>
      <c r="AG106" s="1327">
        <f t="shared" si="114"/>
        <v>3413000</v>
      </c>
      <c r="AH106" s="1327">
        <f t="shared" si="114"/>
        <v>0</v>
      </c>
    </row>
    <row r="107" spans="1:34" ht="36" x14ac:dyDescent="0.2">
      <c r="A107" s="1322"/>
      <c r="B107" s="1391"/>
      <c r="C107" s="1392"/>
      <c r="D107" s="1279" t="s">
        <v>1946</v>
      </c>
      <c r="E107" s="1324">
        <v>1000000</v>
      </c>
      <c r="F107" s="1324">
        <f t="shared" si="110"/>
        <v>0</v>
      </c>
      <c r="G107" s="1324">
        <f t="shared" si="111"/>
        <v>-1000000</v>
      </c>
      <c r="H107" s="1324"/>
      <c r="I107" s="1324"/>
      <c r="J107" s="1324"/>
      <c r="K107" s="1324"/>
      <c r="L107" s="1324"/>
      <c r="M107" s="1324"/>
      <c r="N107" s="1324"/>
      <c r="O107" s="1324"/>
      <c r="P107" s="1324"/>
      <c r="Q107" s="1324"/>
      <c r="R107" s="1325">
        <v>-1000000</v>
      </c>
      <c r="S107" s="1324"/>
      <c r="T107" s="1324"/>
      <c r="U107" s="1326">
        <f t="shared" si="112"/>
        <v>0</v>
      </c>
      <c r="V107" s="1326">
        <f t="shared" si="113"/>
        <v>0</v>
      </c>
      <c r="W107" s="1326"/>
      <c r="X107" s="1326"/>
      <c r="Y107" s="1326"/>
      <c r="Z107" s="1326"/>
      <c r="AA107" s="1326"/>
      <c r="AB107" s="1326"/>
      <c r="AC107" s="1326"/>
      <c r="AD107" s="1326"/>
      <c r="AE107" s="1326"/>
      <c r="AF107" s="1326"/>
      <c r="AG107" s="1327">
        <f t="shared" si="114"/>
        <v>1000000</v>
      </c>
      <c r="AH107" s="1327">
        <f t="shared" si="114"/>
        <v>0</v>
      </c>
    </row>
    <row r="108" spans="1:34" ht="24" x14ac:dyDescent="0.2">
      <c r="A108" s="1322"/>
      <c r="B108" s="1455"/>
      <c r="C108" s="1468"/>
      <c r="D108" s="1279" t="s">
        <v>1947</v>
      </c>
      <c r="E108" s="1324">
        <v>574399</v>
      </c>
      <c r="F108" s="1324">
        <f t="shared" si="110"/>
        <v>574399</v>
      </c>
      <c r="G108" s="1324">
        <f t="shared" si="111"/>
        <v>0</v>
      </c>
      <c r="H108" s="1324"/>
      <c r="I108" s="1324"/>
      <c r="J108" s="1324"/>
      <c r="K108" s="1324"/>
      <c r="L108" s="1324"/>
      <c r="M108" s="1324"/>
      <c r="N108" s="1324"/>
      <c r="O108" s="1324"/>
      <c r="P108" s="1324"/>
      <c r="Q108" s="1324"/>
      <c r="R108" s="1325"/>
      <c r="S108" s="1324"/>
      <c r="T108" s="1324"/>
      <c r="U108" s="1326">
        <f t="shared" si="112"/>
        <v>0</v>
      </c>
      <c r="V108" s="1326">
        <f t="shared" si="113"/>
        <v>0</v>
      </c>
      <c r="W108" s="1326"/>
      <c r="X108" s="1326"/>
      <c r="Y108" s="1326"/>
      <c r="Z108" s="1326"/>
      <c r="AA108" s="1326"/>
      <c r="AB108" s="1326"/>
      <c r="AC108" s="1326"/>
      <c r="AD108" s="1326"/>
      <c r="AE108" s="1326"/>
      <c r="AF108" s="1326"/>
      <c r="AG108" s="1327">
        <f t="shared" si="114"/>
        <v>574399</v>
      </c>
      <c r="AH108" s="1327">
        <f t="shared" si="114"/>
        <v>574399</v>
      </c>
    </row>
    <row r="109" spans="1:34" ht="36" x14ac:dyDescent="0.2">
      <c r="A109" s="1322"/>
      <c r="B109" s="1455"/>
      <c r="C109" s="1468"/>
      <c r="D109" s="1279" t="s">
        <v>471</v>
      </c>
      <c r="E109" s="1324">
        <v>2140970</v>
      </c>
      <c r="F109" s="1324">
        <f t="shared" si="110"/>
        <v>2113259</v>
      </c>
      <c r="G109" s="1324">
        <f t="shared" si="111"/>
        <v>-27711</v>
      </c>
      <c r="H109" s="1324"/>
      <c r="I109" s="1324"/>
      <c r="J109" s="1324"/>
      <c r="K109" s="1324"/>
      <c r="L109" s="1324"/>
      <c r="M109" s="1324"/>
      <c r="N109" s="1324"/>
      <c r="O109" s="1324"/>
      <c r="P109" s="1324"/>
      <c r="Q109" s="1324"/>
      <c r="R109" s="1325">
        <v>-27711</v>
      </c>
      <c r="S109" s="1324"/>
      <c r="T109" s="1324"/>
      <c r="U109" s="1326">
        <f t="shared" si="112"/>
        <v>0</v>
      </c>
      <c r="V109" s="1326">
        <f t="shared" si="113"/>
        <v>0</v>
      </c>
      <c r="W109" s="1326"/>
      <c r="X109" s="1326"/>
      <c r="Y109" s="1326"/>
      <c r="Z109" s="1326"/>
      <c r="AA109" s="1326"/>
      <c r="AB109" s="1326"/>
      <c r="AC109" s="1326"/>
      <c r="AD109" s="1326"/>
      <c r="AE109" s="1326"/>
      <c r="AF109" s="1326"/>
      <c r="AG109" s="1327">
        <f t="shared" si="114"/>
        <v>2140970</v>
      </c>
      <c r="AH109" s="1327">
        <f t="shared" si="114"/>
        <v>2113259</v>
      </c>
    </row>
    <row r="110" spans="1:34" x14ac:dyDescent="0.2">
      <c r="A110" s="1322"/>
      <c r="B110" s="1391"/>
      <c r="C110" s="1392"/>
      <c r="D110" s="1279" t="s">
        <v>1948</v>
      </c>
      <c r="E110" s="1324">
        <v>2312000</v>
      </c>
      <c r="F110" s="1324">
        <f t="shared" si="110"/>
        <v>0</v>
      </c>
      <c r="G110" s="1324">
        <f t="shared" si="111"/>
        <v>-2312000</v>
      </c>
      <c r="H110" s="1324"/>
      <c r="I110" s="1324"/>
      <c r="J110" s="1324"/>
      <c r="K110" s="1324"/>
      <c r="L110" s="1324"/>
      <c r="M110" s="1324"/>
      <c r="N110" s="1324"/>
      <c r="O110" s="1324"/>
      <c r="P110" s="1324"/>
      <c r="Q110" s="1324"/>
      <c r="R110" s="1325">
        <v>-2312000</v>
      </c>
      <c r="S110" s="1324"/>
      <c r="T110" s="1324"/>
      <c r="U110" s="1326">
        <f t="shared" si="112"/>
        <v>0</v>
      </c>
      <c r="V110" s="1326">
        <f t="shared" si="113"/>
        <v>0</v>
      </c>
      <c r="W110" s="1326"/>
      <c r="X110" s="1326"/>
      <c r="Y110" s="1326"/>
      <c r="Z110" s="1326"/>
      <c r="AA110" s="1326"/>
      <c r="AB110" s="1326"/>
      <c r="AC110" s="1326"/>
      <c r="AD110" s="1326"/>
      <c r="AE110" s="1326"/>
      <c r="AF110" s="1326"/>
      <c r="AG110" s="1327">
        <f t="shared" si="114"/>
        <v>2312000</v>
      </c>
      <c r="AH110" s="1327">
        <f t="shared" si="114"/>
        <v>0</v>
      </c>
    </row>
    <row r="111" spans="1:34" x14ac:dyDescent="0.2">
      <c r="A111" s="1322"/>
      <c r="B111" s="1455"/>
      <c r="C111" s="1468"/>
      <c r="D111" s="1279" t="s">
        <v>1949</v>
      </c>
      <c r="E111" s="1324">
        <v>1762790</v>
      </c>
      <c r="F111" s="1324">
        <f t="shared" si="110"/>
        <v>1762790</v>
      </c>
      <c r="G111" s="1324">
        <f t="shared" si="111"/>
        <v>0</v>
      </c>
      <c r="H111" s="1324"/>
      <c r="I111" s="1324"/>
      <c r="J111" s="1324"/>
      <c r="K111" s="1324"/>
      <c r="L111" s="1324"/>
      <c r="M111" s="1324"/>
      <c r="N111" s="1324"/>
      <c r="O111" s="1324"/>
      <c r="P111" s="1324"/>
      <c r="Q111" s="1324"/>
      <c r="R111" s="1325"/>
      <c r="S111" s="1324"/>
      <c r="T111" s="1324"/>
      <c r="U111" s="1326">
        <f t="shared" si="112"/>
        <v>0</v>
      </c>
      <c r="V111" s="1326">
        <f t="shared" si="113"/>
        <v>0</v>
      </c>
      <c r="W111" s="1326"/>
      <c r="X111" s="1326"/>
      <c r="Y111" s="1326"/>
      <c r="Z111" s="1326"/>
      <c r="AA111" s="1326"/>
      <c r="AB111" s="1326"/>
      <c r="AC111" s="1326"/>
      <c r="AD111" s="1326"/>
      <c r="AE111" s="1326"/>
      <c r="AF111" s="1326"/>
      <c r="AG111" s="1327">
        <f t="shared" si="114"/>
        <v>1762790</v>
      </c>
      <c r="AH111" s="1327">
        <f t="shared" si="114"/>
        <v>1762790</v>
      </c>
    </row>
    <row r="112" spans="1:34" x14ac:dyDescent="0.2">
      <c r="A112" s="1322"/>
      <c r="B112" s="1455"/>
      <c r="C112" s="1468"/>
      <c r="D112" s="1279" t="s">
        <v>1950</v>
      </c>
      <c r="E112" s="1324"/>
      <c r="F112" s="1324">
        <f t="shared" si="110"/>
        <v>1212160</v>
      </c>
      <c r="G112" s="1324">
        <f t="shared" si="111"/>
        <v>1212160</v>
      </c>
      <c r="H112" s="1324"/>
      <c r="I112" s="1324"/>
      <c r="J112" s="1324">
        <v>3210000</v>
      </c>
      <c r="K112" s="1324"/>
      <c r="L112" s="1324"/>
      <c r="M112" s="1324"/>
      <c r="N112" s="1324"/>
      <c r="O112" s="1324"/>
      <c r="P112" s="1324"/>
      <c r="Q112" s="1324"/>
      <c r="R112" s="1325">
        <v>-1997840</v>
      </c>
      <c r="S112" s="1324"/>
      <c r="T112" s="1324"/>
      <c r="U112" s="1326">
        <f t="shared" si="112"/>
        <v>0</v>
      </c>
      <c r="V112" s="1326"/>
      <c r="W112" s="1326"/>
      <c r="X112" s="1326"/>
      <c r="Y112" s="1326"/>
      <c r="Z112" s="1326"/>
      <c r="AA112" s="1326"/>
      <c r="AB112" s="1326"/>
      <c r="AC112" s="1326"/>
      <c r="AD112" s="1326"/>
      <c r="AE112" s="1326"/>
      <c r="AF112" s="1326"/>
      <c r="AG112" s="1327"/>
      <c r="AH112" s="1327">
        <f>F112+U112</f>
        <v>1212160</v>
      </c>
    </row>
    <row r="113" spans="1:36" ht="24" x14ac:dyDescent="0.2">
      <c r="A113" s="1322"/>
      <c r="B113" s="1455"/>
      <c r="C113" s="1468"/>
      <c r="D113" s="1279" t="s">
        <v>1951</v>
      </c>
      <c r="E113" s="1324"/>
      <c r="F113" s="1324">
        <f t="shared" si="110"/>
        <v>1211885</v>
      </c>
      <c r="G113" s="1324">
        <f t="shared" si="111"/>
        <v>1211885</v>
      </c>
      <c r="H113" s="1324"/>
      <c r="I113" s="1324"/>
      <c r="J113" s="1324">
        <v>3413000</v>
      </c>
      <c r="K113" s="1324"/>
      <c r="L113" s="1324"/>
      <c r="M113" s="1324"/>
      <c r="N113" s="1324"/>
      <c r="O113" s="1324"/>
      <c r="P113" s="1324"/>
      <c r="Q113" s="1324"/>
      <c r="R113" s="1325">
        <v>-2201115</v>
      </c>
      <c r="S113" s="1324"/>
      <c r="T113" s="1324"/>
      <c r="U113" s="1326">
        <f t="shared" si="112"/>
        <v>0</v>
      </c>
      <c r="V113" s="1326"/>
      <c r="W113" s="1326"/>
      <c r="X113" s="1326"/>
      <c r="Y113" s="1326"/>
      <c r="Z113" s="1326"/>
      <c r="AA113" s="1326"/>
      <c r="AB113" s="1326"/>
      <c r="AC113" s="1326"/>
      <c r="AD113" s="1326"/>
      <c r="AE113" s="1326"/>
      <c r="AF113" s="1326"/>
      <c r="AG113" s="1327"/>
      <c r="AH113" s="1327">
        <f>F113+U113</f>
        <v>1211885</v>
      </c>
    </row>
    <row r="114" spans="1:36" ht="7.5" customHeight="1" x14ac:dyDescent="0.2">
      <c r="A114" s="1322"/>
      <c r="B114" s="1455"/>
      <c r="C114" s="1468"/>
      <c r="D114" s="1279"/>
      <c r="E114" s="1324"/>
      <c r="F114" s="1280"/>
      <c r="G114" s="1280"/>
      <c r="H114" s="1280"/>
      <c r="I114" s="1280"/>
      <c r="J114" s="1280"/>
      <c r="K114" s="1280"/>
      <c r="L114" s="1280"/>
      <c r="M114" s="1280"/>
      <c r="N114" s="1280"/>
      <c r="O114" s="1280"/>
      <c r="P114" s="1280"/>
      <c r="Q114" s="1280"/>
      <c r="R114" s="1393"/>
      <c r="S114" s="1280"/>
      <c r="T114" s="1280"/>
      <c r="U114" s="1394"/>
      <c r="V114" s="1394"/>
      <c r="W114" s="1394"/>
      <c r="X114" s="1394"/>
      <c r="Y114" s="1394"/>
      <c r="Z114" s="1394"/>
      <c r="AA114" s="1394"/>
      <c r="AB114" s="1394"/>
      <c r="AC114" s="1394"/>
      <c r="AD114" s="1394"/>
      <c r="AE114" s="1394"/>
      <c r="AF114" s="1394"/>
      <c r="AG114" s="1395"/>
      <c r="AH114" s="1395"/>
    </row>
    <row r="115" spans="1:36" s="1243" customFormat="1" x14ac:dyDescent="0.2">
      <c r="A115" s="1357"/>
      <c r="B115" s="1386"/>
      <c r="C115" s="1396"/>
      <c r="D115" s="1262" t="s">
        <v>1952</v>
      </c>
      <c r="E115" s="1291">
        <f t="shared" ref="E115:AF115" si="115">SUM(E116:E137)</f>
        <v>12861542</v>
      </c>
      <c r="F115" s="1291">
        <f>SUM(F116:F137)</f>
        <v>12266281</v>
      </c>
      <c r="G115" s="1291">
        <f t="shared" ref="G115:S115" si="116">SUM(G116:G137)</f>
        <v>-595261</v>
      </c>
      <c r="H115" s="1291">
        <f t="shared" si="116"/>
        <v>-596061</v>
      </c>
      <c r="I115" s="1291">
        <f t="shared" si="116"/>
        <v>0</v>
      </c>
      <c r="J115" s="1291">
        <f t="shared" si="116"/>
        <v>0</v>
      </c>
      <c r="K115" s="1291">
        <f>SUM(K116:K137)</f>
        <v>800</v>
      </c>
      <c r="L115" s="1291">
        <f t="shared" si="116"/>
        <v>0</v>
      </c>
      <c r="M115" s="1291">
        <f t="shared" si="116"/>
        <v>0</v>
      </c>
      <c r="N115" s="1291">
        <f t="shared" si="116"/>
        <v>0</v>
      </c>
      <c r="O115" s="1291">
        <f t="shared" si="116"/>
        <v>0</v>
      </c>
      <c r="P115" s="1291">
        <f t="shared" si="116"/>
        <v>0</v>
      </c>
      <c r="Q115" s="1291">
        <f t="shared" si="116"/>
        <v>0</v>
      </c>
      <c r="R115" s="1292">
        <f t="shared" si="116"/>
        <v>0</v>
      </c>
      <c r="S115" s="1291">
        <f t="shared" si="116"/>
        <v>0</v>
      </c>
      <c r="T115" s="1291">
        <f t="shared" si="115"/>
        <v>0</v>
      </c>
      <c r="U115" s="1293">
        <f t="shared" si="115"/>
        <v>-800</v>
      </c>
      <c r="V115" s="1293">
        <f t="shared" si="115"/>
        <v>-800</v>
      </c>
      <c r="W115" s="1293">
        <f t="shared" si="115"/>
        <v>0</v>
      </c>
      <c r="X115" s="1293">
        <f t="shared" si="115"/>
        <v>0</v>
      </c>
      <c r="Y115" s="1293">
        <f t="shared" si="115"/>
        <v>0</v>
      </c>
      <c r="Z115" s="1293">
        <f t="shared" si="115"/>
        <v>-800</v>
      </c>
      <c r="AA115" s="1293">
        <f t="shared" si="115"/>
        <v>0</v>
      </c>
      <c r="AB115" s="1293">
        <f t="shared" si="115"/>
        <v>0</v>
      </c>
      <c r="AC115" s="1293">
        <f t="shared" si="115"/>
        <v>0</v>
      </c>
      <c r="AD115" s="1293">
        <f t="shared" si="115"/>
        <v>0</v>
      </c>
      <c r="AE115" s="1293">
        <f t="shared" si="115"/>
        <v>0</v>
      </c>
      <c r="AF115" s="1293">
        <f t="shared" si="115"/>
        <v>0</v>
      </c>
      <c r="AG115" s="1294">
        <f>SUM(AG116:AG137)</f>
        <v>12861542</v>
      </c>
      <c r="AH115" s="1294">
        <f>SUM(AH116:AH137)</f>
        <v>12265481</v>
      </c>
      <c r="AJ115" s="1397"/>
    </row>
    <row r="116" spans="1:36" hidden="1" outlineLevel="1" x14ac:dyDescent="0.2">
      <c r="A116" s="1398"/>
      <c r="B116" s="1399"/>
      <c r="C116" s="1400"/>
      <c r="D116" s="1401" t="s">
        <v>1953</v>
      </c>
      <c r="E116" s="1297">
        <f>10000000-564728+1000000+13552</f>
        <v>10448824</v>
      </c>
      <c r="F116" s="1297">
        <f t="shared" ref="F116:F137" si="117">G116+E116</f>
        <v>9310448</v>
      </c>
      <c r="G116" s="1297">
        <f t="shared" ref="G116:G136" si="118">SUM(H116:S116)</f>
        <v>-1138376</v>
      </c>
      <c r="H116" s="1297">
        <f>-1172472+34100+3</f>
        <v>-1138369</v>
      </c>
      <c r="I116" s="1297">
        <f>-1-1</f>
        <v>-2</v>
      </c>
      <c r="J116" s="1297">
        <v>-5</v>
      </c>
      <c r="K116" s="1297"/>
      <c r="L116" s="1297"/>
      <c r="M116" s="1297"/>
      <c r="N116" s="1297"/>
      <c r="O116" s="1297"/>
      <c r="P116" s="1297"/>
      <c r="Q116" s="1297"/>
      <c r="R116" s="1298"/>
      <c r="S116" s="1297"/>
      <c r="T116" s="1297"/>
      <c r="U116" s="1299">
        <f t="shared" ref="U116:U137" si="119">V116+T116</f>
        <v>0</v>
      </c>
      <c r="V116" s="1299">
        <f t="shared" ref="V116:V137" si="120">SUM(W116:AF116)</f>
        <v>0</v>
      </c>
      <c r="W116" s="1299"/>
      <c r="X116" s="1299"/>
      <c r="Y116" s="1299"/>
      <c r="Z116" s="1299"/>
      <c r="AA116" s="1299"/>
      <c r="AB116" s="1299"/>
      <c r="AC116" s="1299"/>
      <c r="AD116" s="1299"/>
      <c r="AE116" s="1299"/>
      <c r="AF116" s="1299"/>
      <c r="AG116" s="1300">
        <f t="shared" ref="AG116:AH137" si="121">E116+T116</f>
        <v>10448824</v>
      </c>
      <c r="AH116" s="1300">
        <f t="shared" si="121"/>
        <v>9310448</v>
      </c>
    </row>
    <row r="117" spans="1:36" hidden="1" outlineLevel="1" x14ac:dyDescent="0.2">
      <c r="A117" s="1398"/>
      <c r="B117" s="1399"/>
      <c r="C117" s="1400"/>
      <c r="D117" s="1279" t="s">
        <v>1954</v>
      </c>
      <c r="E117" s="1297">
        <f>90943+116104</f>
        <v>207047</v>
      </c>
      <c r="F117" s="1297">
        <f t="shared" si="117"/>
        <v>283927</v>
      </c>
      <c r="G117" s="1297">
        <f t="shared" si="118"/>
        <v>76880</v>
      </c>
      <c r="H117" s="1297">
        <v>76880</v>
      </c>
      <c r="I117" s="1297"/>
      <c r="J117" s="1297"/>
      <c r="K117" s="1297"/>
      <c r="L117" s="1297"/>
      <c r="M117" s="1297"/>
      <c r="N117" s="1297"/>
      <c r="O117" s="1297"/>
      <c r="P117" s="1297"/>
      <c r="Q117" s="1297"/>
      <c r="R117" s="1298"/>
      <c r="S117" s="1297"/>
      <c r="T117" s="1297"/>
      <c r="U117" s="1299">
        <f t="shared" si="119"/>
        <v>0</v>
      </c>
      <c r="V117" s="1299">
        <f t="shared" si="120"/>
        <v>0</v>
      </c>
      <c r="W117" s="1299"/>
      <c r="X117" s="1299"/>
      <c r="Y117" s="1299"/>
      <c r="Z117" s="1299"/>
      <c r="AA117" s="1299"/>
      <c r="AB117" s="1299"/>
      <c r="AC117" s="1299"/>
      <c r="AD117" s="1299"/>
      <c r="AE117" s="1299"/>
      <c r="AF117" s="1299"/>
      <c r="AG117" s="1300">
        <f t="shared" si="121"/>
        <v>207047</v>
      </c>
      <c r="AH117" s="1300">
        <f t="shared" si="121"/>
        <v>283927</v>
      </c>
    </row>
    <row r="118" spans="1:36" hidden="1" outlineLevel="1" x14ac:dyDescent="0.2">
      <c r="A118" s="1398"/>
      <c r="B118" s="1399"/>
      <c r="C118" s="1400"/>
      <c r="D118" s="1401" t="s">
        <v>1955</v>
      </c>
      <c r="E118" s="1297">
        <f>37631+1401153</f>
        <v>1438784</v>
      </c>
      <c r="F118" s="1297">
        <f t="shared" si="117"/>
        <v>1642613</v>
      </c>
      <c r="G118" s="1297">
        <f t="shared" si="118"/>
        <v>203829</v>
      </c>
      <c r="H118" s="1297">
        <v>203829</v>
      </c>
      <c r="I118" s="1297"/>
      <c r="J118" s="1297"/>
      <c r="K118" s="1297"/>
      <c r="L118" s="1297"/>
      <c r="M118" s="1297"/>
      <c r="N118" s="1297"/>
      <c r="O118" s="1297"/>
      <c r="P118" s="1297"/>
      <c r="Q118" s="1297"/>
      <c r="R118" s="1298"/>
      <c r="S118" s="1297"/>
      <c r="T118" s="1297"/>
      <c r="U118" s="1299">
        <f t="shared" si="119"/>
        <v>0</v>
      </c>
      <c r="V118" s="1299">
        <f t="shared" si="120"/>
        <v>0</v>
      </c>
      <c r="W118" s="1299"/>
      <c r="X118" s="1299"/>
      <c r="Y118" s="1299"/>
      <c r="Z118" s="1299"/>
      <c r="AA118" s="1299"/>
      <c r="AB118" s="1299"/>
      <c r="AC118" s="1299"/>
      <c r="AD118" s="1299"/>
      <c r="AE118" s="1299"/>
      <c r="AF118" s="1299"/>
      <c r="AG118" s="1300">
        <f t="shared" si="121"/>
        <v>1438784</v>
      </c>
      <c r="AH118" s="1300">
        <f t="shared" si="121"/>
        <v>1642613</v>
      </c>
    </row>
    <row r="119" spans="1:36" hidden="1" outlineLevel="1" x14ac:dyDescent="0.2">
      <c r="A119" s="1398"/>
      <c r="B119" s="1399"/>
      <c r="C119" s="1400"/>
      <c r="D119" s="1279" t="s">
        <v>1862</v>
      </c>
      <c r="E119" s="1297">
        <v>5166</v>
      </c>
      <c r="F119" s="1297">
        <f t="shared" si="117"/>
        <v>5167</v>
      </c>
      <c r="G119" s="1297">
        <f t="shared" si="118"/>
        <v>1</v>
      </c>
      <c r="H119" s="1297"/>
      <c r="I119" s="1297"/>
      <c r="J119" s="1297">
        <v>1</v>
      </c>
      <c r="K119" s="1297"/>
      <c r="L119" s="1297"/>
      <c r="M119" s="1297"/>
      <c r="N119" s="1297"/>
      <c r="O119" s="1297"/>
      <c r="P119" s="1297"/>
      <c r="Q119" s="1297"/>
      <c r="R119" s="1298"/>
      <c r="S119" s="1297"/>
      <c r="T119" s="1297"/>
      <c r="U119" s="1299">
        <f t="shared" si="119"/>
        <v>0</v>
      </c>
      <c r="V119" s="1299">
        <f t="shared" si="120"/>
        <v>0</v>
      </c>
      <c r="W119" s="1299"/>
      <c r="X119" s="1299"/>
      <c r="Y119" s="1299"/>
      <c r="Z119" s="1299"/>
      <c r="AA119" s="1299"/>
      <c r="AB119" s="1299"/>
      <c r="AC119" s="1299"/>
      <c r="AD119" s="1299"/>
      <c r="AE119" s="1299"/>
      <c r="AF119" s="1299"/>
      <c r="AG119" s="1300">
        <f t="shared" si="121"/>
        <v>5166</v>
      </c>
      <c r="AH119" s="1300">
        <f t="shared" si="121"/>
        <v>5167</v>
      </c>
    </row>
    <row r="120" spans="1:36" hidden="1" outlineLevel="1" x14ac:dyDescent="0.2">
      <c r="A120" s="1398"/>
      <c r="B120" s="1399"/>
      <c r="C120" s="1400"/>
      <c r="D120" s="1401" t="s">
        <v>1956</v>
      </c>
      <c r="E120" s="1297"/>
      <c r="F120" s="1297">
        <f t="shared" si="117"/>
        <v>65242</v>
      </c>
      <c r="G120" s="1297">
        <f t="shared" si="118"/>
        <v>65242</v>
      </c>
      <c r="H120" s="1297">
        <f>65958-781</f>
        <v>65177</v>
      </c>
      <c r="I120" s="1297">
        <f>64+1</f>
        <v>65</v>
      </c>
      <c r="J120" s="1297"/>
      <c r="K120" s="1297"/>
      <c r="L120" s="1297"/>
      <c r="M120" s="1297"/>
      <c r="N120" s="1297"/>
      <c r="O120" s="1297"/>
      <c r="P120" s="1297"/>
      <c r="Q120" s="1297"/>
      <c r="R120" s="1298"/>
      <c r="S120" s="1297"/>
      <c r="T120" s="1297"/>
      <c r="U120" s="1299">
        <f t="shared" si="119"/>
        <v>0</v>
      </c>
      <c r="V120" s="1299">
        <f t="shared" si="120"/>
        <v>0</v>
      </c>
      <c r="W120" s="1299"/>
      <c r="X120" s="1299"/>
      <c r="Y120" s="1299"/>
      <c r="Z120" s="1299"/>
      <c r="AA120" s="1299"/>
      <c r="AB120" s="1299"/>
      <c r="AC120" s="1299"/>
      <c r="AD120" s="1299"/>
      <c r="AE120" s="1299"/>
      <c r="AF120" s="1299"/>
      <c r="AG120" s="1300">
        <f t="shared" si="121"/>
        <v>0</v>
      </c>
      <c r="AH120" s="1300">
        <f t="shared" si="121"/>
        <v>65242</v>
      </c>
    </row>
    <row r="121" spans="1:36" ht="24" hidden="1" outlineLevel="1" x14ac:dyDescent="0.2">
      <c r="A121" s="1398"/>
      <c r="B121" s="1399"/>
      <c r="C121" s="1400"/>
      <c r="D121" s="1401" t="s">
        <v>1957</v>
      </c>
      <c r="E121" s="1297"/>
      <c r="F121" s="1297">
        <f t="shared" si="117"/>
        <v>0</v>
      </c>
      <c r="G121" s="1297">
        <f t="shared" si="118"/>
        <v>0</v>
      </c>
      <c r="H121" s="1297"/>
      <c r="I121" s="1297"/>
      <c r="J121" s="1297"/>
      <c r="K121" s="1297"/>
      <c r="L121" s="1297"/>
      <c r="M121" s="1297"/>
      <c r="N121" s="1297"/>
      <c r="O121" s="1297"/>
      <c r="P121" s="1297"/>
      <c r="Q121" s="1297"/>
      <c r="R121" s="1298"/>
      <c r="S121" s="1297"/>
      <c r="T121" s="1297"/>
      <c r="U121" s="1299">
        <f t="shared" si="119"/>
        <v>0</v>
      </c>
      <c r="V121" s="1299">
        <f t="shared" si="120"/>
        <v>0</v>
      </c>
      <c r="W121" s="1299"/>
      <c r="X121" s="1299"/>
      <c r="Y121" s="1299"/>
      <c r="Z121" s="1299"/>
      <c r="AA121" s="1299"/>
      <c r="AB121" s="1299"/>
      <c r="AC121" s="1299"/>
      <c r="AD121" s="1299"/>
      <c r="AE121" s="1299"/>
      <c r="AF121" s="1299"/>
      <c r="AG121" s="1300">
        <f t="shared" si="121"/>
        <v>0</v>
      </c>
      <c r="AH121" s="1300">
        <f t="shared" si="121"/>
        <v>0</v>
      </c>
    </row>
    <row r="122" spans="1:36" ht="24" hidden="1" outlineLevel="1" x14ac:dyDescent="0.2">
      <c r="A122" s="1398"/>
      <c r="B122" s="1399"/>
      <c r="C122" s="1400"/>
      <c r="D122" s="1401" t="s">
        <v>1958</v>
      </c>
      <c r="E122" s="1297"/>
      <c r="F122" s="1297">
        <f t="shared" si="117"/>
        <v>13916</v>
      </c>
      <c r="G122" s="1297">
        <f t="shared" si="118"/>
        <v>13916</v>
      </c>
      <c r="H122" s="1297">
        <v>13916</v>
      </c>
      <c r="I122" s="1297"/>
      <c r="J122" s="1297"/>
      <c r="K122" s="1297"/>
      <c r="L122" s="1297"/>
      <c r="M122" s="1297"/>
      <c r="N122" s="1297"/>
      <c r="O122" s="1297"/>
      <c r="P122" s="1297"/>
      <c r="Q122" s="1297"/>
      <c r="R122" s="1298"/>
      <c r="S122" s="1297"/>
      <c r="T122" s="1297"/>
      <c r="U122" s="1299">
        <f t="shared" si="119"/>
        <v>0</v>
      </c>
      <c r="V122" s="1299">
        <f t="shared" si="120"/>
        <v>0</v>
      </c>
      <c r="W122" s="1299"/>
      <c r="X122" s="1299"/>
      <c r="Y122" s="1299"/>
      <c r="Z122" s="1299"/>
      <c r="AA122" s="1299"/>
      <c r="AB122" s="1299"/>
      <c r="AC122" s="1299"/>
      <c r="AD122" s="1299"/>
      <c r="AE122" s="1299"/>
      <c r="AF122" s="1299"/>
      <c r="AG122" s="1300">
        <f t="shared" si="121"/>
        <v>0</v>
      </c>
      <c r="AH122" s="1300">
        <f t="shared" si="121"/>
        <v>13916</v>
      </c>
    </row>
    <row r="123" spans="1:36" hidden="1" outlineLevel="1" x14ac:dyDescent="0.2">
      <c r="A123" s="1398"/>
      <c r="B123" s="1399"/>
      <c r="C123" s="1400"/>
      <c r="D123" s="1401" t="s">
        <v>1959</v>
      </c>
      <c r="E123" s="1297"/>
      <c r="F123" s="1297">
        <f t="shared" si="117"/>
        <v>5</v>
      </c>
      <c r="G123" s="1297">
        <f t="shared" si="118"/>
        <v>5</v>
      </c>
      <c r="H123" s="1297">
        <v>5</v>
      </c>
      <c r="I123" s="1297"/>
      <c r="J123" s="1297"/>
      <c r="K123" s="1297"/>
      <c r="L123" s="1297"/>
      <c r="M123" s="1297"/>
      <c r="N123" s="1297"/>
      <c r="O123" s="1297"/>
      <c r="P123" s="1297"/>
      <c r="Q123" s="1297"/>
      <c r="R123" s="1298"/>
      <c r="S123" s="1297"/>
      <c r="T123" s="1297"/>
      <c r="U123" s="1299">
        <f t="shared" si="119"/>
        <v>0</v>
      </c>
      <c r="V123" s="1299">
        <f t="shared" si="120"/>
        <v>0</v>
      </c>
      <c r="W123" s="1299"/>
      <c r="X123" s="1299"/>
      <c r="Y123" s="1299"/>
      <c r="Z123" s="1299"/>
      <c r="AA123" s="1299"/>
      <c r="AB123" s="1299"/>
      <c r="AC123" s="1299"/>
      <c r="AD123" s="1299"/>
      <c r="AE123" s="1299"/>
      <c r="AF123" s="1299"/>
      <c r="AG123" s="1300">
        <f t="shared" si="121"/>
        <v>0</v>
      </c>
      <c r="AH123" s="1300">
        <f t="shared" si="121"/>
        <v>5</v>
      </c>
    </row>
    <row r="124" spans="1:36" hidden="1" outlineLevel="1" x14ac:dyDescent="0.2">
      <c r="A124" s="1398"/>
      <c r="B124" s="1399"/>
      <c r="C124" s="1400"/>
      <c r="D124" s="1401" t="s">
        <v>1960</v>
      </c>
      <c r="E124" s="1297">
        <f>55+54386</f>
        <v>54441</v>
      </c>
      <c r="F124" s="1297">
        <f t="shared" si="117"/>
        <v>146196</v>
      </c>
      <c r="G124" s="1297">
        <f t="shared" si="118"/>
        <v>91755</v>
      </c>
      <c r="H124" s="1297">
        <v>91754</v>
      </c>
      <c r="I124" s="1297">
        <v>1</v>
      </c>
      <c r="J124" s="1297"/>
      <c r="K124" s="1297"/>
      <c r="L124" s="1297"/>
      <c r="M124" s="1297"/>
      <c r="N124" s="1297"/>
      <c r="O124" s="1297"/>
      <c r="P124" s="1297"/>
      <c r="Q124" s="1297"/>
      <c r="R124" s="1298"/>
      <c r="S124" s="1297"/>
      <c r="T124" s="1297"/>
      <c r="U124" s="1299">
        <f t="shared" si="119"/>
        <v>0</v>
      </c>
      <c r="V124" s="1299">
        <f t="shared" si="120"/>
        <v>0</v>
      </c>
      <c r="W124" s="1299"/>
      <c r="X124" s="1299"/>
      <c r="Y124" s="1299"/>
      <c r="Z124" s="1299"/>
      <c r="AA124" s="1299"/>
      <c r="AB124" s="1299"/>
      <c r="AC124" s="1299"/>
      <c r="AD124" s="1299"/>
      <c r="AE124" s="1299"/>
      <c r="AF124" s="1299"/>
      <c r="AG124" s="1300">
        <f t="shared" si="121"/>
        <v>54441</v>
      </c>
      <c r="AH124" s="1300">
        <f t="shared" si="121"/>
        <v>146196</v>
      </c>
    </row>
    <row r="125" spans="1:36" ht="24" hidden="1" outlineLevel="1" x14ac:dyDescent="0.2">
      <c r="A125" s="1398"/>
      <c r="B125" s="1399"/>
      <c r="C125" s="1400"/>
      <c r="D125" s="1401" t="s">
        <v>1961</v>
      </c>
      <c r="E125" s="1297"/>
      <c r="F125" s="1297">
        <f t="shared" si="117"/>
        <v>609</v>
      </c>
      <c r="G125" s="1297">
        <f t="shared" si="118"/>
        <v>609</v>
      </c>
      <c r="H125" s="1297">
        <v>609</v>
      </c>
      <c r="I125" s="1297"/>
      <c r="J125" s="1297"/>
      <c r="K125" s="1297"/>
      <c r="L125" s="1297"/>
      <c r="M125" s="1297"/>
      <c r="N125" s="1297"/>
      <c r="O125" s="1297"/>
      <c r="P125" s="1297"/>
      <c r="Q125" s="1297"/>
      <c r="R125" s="1298"/>
      <c r="S125" s="1297"/>
      <c r="T125" s="1297"/>
      <c r="U125" s="1299">
        <f t="shared" si="119"/>
        <v>0</v>
      </c>
      <c r="V125" s="1299">
        <f t="shared" si="120"/>
        <v>0</v>
      </c>
      <c r="W125" s="1299"/>
      <c r="X125" s="1299"/>
      <c r="Y125" s="1299"/>
      <c r="Z125" s="1299"/>
      <c r="AA125" s="1299"/>
      <c r="AB125" s="1299"/>
      <c r="AC125" s="1299"/>
      <c r="AD125" s="1299"/>
      <c r="AE125" s="1299"/>
      <c r="AF125" s="1299"/>
      <c r="AG125" s="1300">
        <f t="shared" si="121"/>
        <v>0</v>
      </c>
      <c r="AH125" s="1300">
        <f t="shared" si="121"/>
        <v>609</v>
      </c>
    </row>
    <row r="126" spans="1:36" ht="24" hidden="1" outlineLevel="1" x14ac:dyDescent="0.2">
      <c r="A126" s="1398"/>
      <c r="B126" s="1399"/>
      <c r="C126" s="1400"/>
      <c r="D126" s="1401" t="s">
        <v>1962</v>
      </c>
      <c r="E126" s="1297"/>
      <c r="F126" s="1297">
        <f t="shared" si="117"/>
        <v>5233</v>
      </c>
      <c r="G126" s="1297">
        <f t="shared" si="118"/>
        <v>5233</v>
      </c>
      <c r="H126" s="1297">
        <v>5297</v>
      </c>
      <c r="I126" s="1297">
        <v>-64</v>
      </c>
      <c r="J126" s="1297"/>
      <c r="K126" s="1297"/>
      <c r="L126" s="1297"/>
      <c r="M126" s="1297"/>
      <c r="N126" s="1297"/>
      <c r="O126" s="1297"/>
      <c r="P126" s="1297"/>
      <c r="Q126" s="1297"/>
      <c r="R126" s="1298"/>
      <c r="S126" s="1297"/>
      <c r="T126" s="1297"/>
      <c r="U126" s="1299">
        <f t="shared" si="119"/>
        <v>0</v>
      </c>
      <c r="V126" s="1299">
        <f t="shared" si="120"/>
        <v>0</v>
      </c>
      <c r="W126" s="1299"/>
      <c r="X126" s="1299"/>
      <c r="Y126" s="1299"/>
      <c r="Z126" s="1299"/>
      <c r="AA126" s="1299"/>
      <c r="AB126" s="1299"/>
      <c r="AC126" s="1299"/>
      <c r="AD126" s="1299"/>
      <c r="AE126" s="1299"/>
      <c r="AF126" s="1299"/>
      <c r="AG126" s="1300">
        <f t="shared" si="121"/>
        <v>0</v>
      </c>
      <c r="AH126" s="1300">
        <f t="shared" si="121"/>
        <v>5233</v>
      </c>
    </row>
    <row r="127" spans="1:36" hidden="1" outlineLevel="1" x14ac:dyDescent="0.2">
      <c r="A127" s="1398"/>
      <c r="B127" s="1399"/>
      <c r="C127" s="1400"/>
      <c r="D127" s="1401" t="s">
        <v>1963</v>
      </c>
      <c r="E127" s="1297"/>
      <c r="F127" s="1297">
        <f t="shared" si="117"/>
        <v>16428</v>
      </c>
      <c r="G127" s="1297">
        <f t="shared" si="118"/>
        <v>16428</v>
      </c>
      <c r="H127" s="1297">
        <f>15649+778</f>
        <v>16427</v>
      </c>
      <c r="I127" s="1297"/>
      <c r="J127" s="1297">
        <v>1</v>
      </c>
      <c r="K127" s="1297"/>
      <c r="L127" s="1297"/>
      <c r="M127" s="1297"/>
      <c r="N127" s="1297"/>
      <c r="O127" s="1297"/>
      <c r="P127" s="1297"/>
      <c r="Q127" s="1297"/>
      <c r="R127" s="1298"/>
      <c r="S127" s="1297"/>
      <c r="T127" s="1297"/>
      <c r="U127" s="1299">
        <f t="shared" si="119"/>
        <v>0</v>
      </c>
      <c r="V127" s="1299">
        <f t="shared" si="120"/>
        <v>0</v>
      </c>
      <c r="W127" s="1299"/>
      <c r="X127" s="1299"/>
      <c r="Y127" s="1299"/>
      <c r="Z127" s="1299"/>
      <c r="AA127" s="1299"/>
      <c r="AB127" s="1299"/>
      <c r="AC127" s="1299"/>
      <c r="AD127" s="1299"/>
      <c r="AE127" s="1299"/>
      <c r="AF127" s="1299"/>
      <c r="AG127" s="1300">
        <f t="shared" si="121"/>
        <v>0</v>
      </c>
      <c r="AH127" s="1300">
        <f t="shared" si="121"/>
        <v>16428</v>
      </c>
    </row>
    <row r="128" spans="1:36" hidden="1" outlineLevel="1" x14ac:dyDescent="0.2">
      <c r="A128" s="1398"/>
      <c r="B128" s="1399"/>
      <c r="C128" s="1400"/>
      <c r="D128" s="1401" t="s">
        <v>1964</v>
      </c>
      <c r="E128" s="1297"/>
      <c r="F128" s="1297">
        <f t="shared" si="117"/>
        <v>357</v>
      </c>
      <c r="G128" s="1297">
        <f t="shared" si="118"/>
        <v>357</v>
      </c>
      <c r="H128" s="1297">
        <v>357</v>
      </c>
      <c r="I128" s="1297"/>
      <c r="J128" s="1297"/>
      <c r="K128" s="1297"/>
      <c r="L128" s="1297"/>
      <c r="M128" s="1297"/>
      <c r="N128" s="1297"/>
      <c r="O128" s="1297"/>
      <c r="P128" s="1297"/>
      <c r="Q128" s="1297"/>
      <c r="R128" s="1298"/>
      <c r="S128" s="1297"/>
      <c r="T128" s="1297"/>
      <c r="U128" s="1299">
        <f t="shared" si="119"/>
        <v>0</v>
      </c>
      <c r="V128" s="1299">
        <f t="shared" si="120"/>
        <v>0</v>
      </c>
      <c r="W128" s="1299"/>
      <c r="X128" s="1299"/>
      <c r="Y128" s="1299"/>
      <c r="Z128" s="1299"/>
      <c r="AA128" s="1299"/>
      <c r="AB128" s="1299"/>
      <c r="AC128" s="1299"/>
      <c r="AD128" s="1299"/>
      <c r="AE128" s="1299"/>
      <c r="AF128" s="1299"/>
      <c r="AG128" s="1300">
        <f t="shared" si="121"/>
        <v>0</v>
      </c>
      <c r="AH128" s="1300">
        <f t="shared" si="121"/>
        <v>357</v>
      </c>
    </row>
    <row r="129" spans="1:34" hidden="1" outlineLevel="1" x14ac:dyDescent="0.2">
      <c r="A129" s="1398"/>
      <c r="B129" s="1399"/>
      <c r="C129" s="1400"/>
      <c r="D129" s="1401"/>
      <c r="E129" s="1297"/>
      <c r="F129" s="1297">
        <f t="shared" si="117"/>
        <v>0</v>
      </c>
      <c r="G129" s="1297">
        <f t="shared" si="118"/>
        <v>0</v>
      </c>
      <c r="H129" s="1297"/>
      <c r="I129" s="1297"/>
      <c r="J129" s="1297"/>
      <c r="K129" s="1297"/>
      <c r="L129" s="1297"/>
      <c r="M129" s="1297"/>
      <c r="N129" s="1297"/>
      <c r="O129" s="1297"/>
      <c r="P129" s="1297"/>
      <c r="Q129" s="1297"/>
      <c r="R129" s="1298"/>
      <c r="S129" s="1297"/>
      <c r="T129" s="1297"/>
      <c r="U129" s="1299">
        <f t="shared" si="119"/>
        <v>0</v>
      </c>
      <c r="V129" s="1299">
        <f t="shared" si="120"/>
        <v>0</v>
      </c>
      <c r="W129" s="1299"/>
      <c r="X129" s="1299"/>
      <c r="Y129" s="1299"/>
      <c r="Z129" s="1299"/>
      <c r="AA129" s="1299"/>
      <c r="AB129" s="1299"/>
      <c r="AC129" s="1299"/>
      <c r="AD129" s="1299"/>
      <c r="AE129" s="1299"/>
      <c r="AF129" s="1299"/>
      <c r="AG129" s="1300">
        <f t="shared" si="121"/>
        <v>0</v>
      </c>
      <c r="AH129" s="1300">
        <f t="shared" si="121"/>
        <v>0</v>
      </c>
    </row>
    <row r="130" spans="1:34" hidden="1" outlineLevel="1" x14ac:dyDescent="0.2">
      <c r="A130" s="1398"/>
      <c r="B130" s="1399"/>
      <c r="C130" s="1400"/>
      <c r="D130" s="1401"/>
      <c r="E130" s="1297"/>
      <c r="F130" s="1297">
        <f t="shared" si="117"/>
        <v>0</v>
      </c>
      <c r="G130" s="1297">
        <f t="shared" si="118"/>
        <v>0</v>
      </c>
      <c r="H130" s="1297"/>
      <c r="I130" s="1297"/>
      <c r="J130" s="1297"/>
      <c r="K130" s="1297"/>
      <c r="L130" s="1297"/>
      <c r="M130" s="1297"/>
      <c r="N130" s="1297"/>
      <c r="O130" s="1297"/>
      <c r="P130" s="1297"/>
      <c r="Q130" s="1297"/>
      <c r="R130" s="1298"/>
      <c r="S130" s="1297"/>
      <c r="T130" s="1297"/>
      <c r="U130" s="1299">
        <f t="shared" si="119"/>
        <v>0</v>
      </c>
      <c r="V130" s="1299">
        <f t="shared" si="120"/>
        <v>0</v>
      </c>
      <c r="W130" s="1299"/>
      <c r="X130" s="1299"/>
      <c r="Y130" s="1299"/>
      <c r="Z130" s="1299"/>
      <c r="AA130" s="1299"/>
      <c r="AB130" s="1299"/>
      <c r="AC130" s="1299"/>
      <c r="AD130" s="1299"/>
      <c r="AE130" s="1299"/>
      <c r="AF130" s="1299"/>
      <c r="AG130" s="1300">
        <f t="shared" si="121"/>
        <v>0</v>
      </c>
      <c r="AH130" s="1300">
        <f t="shared" si="121"/>
        <v>0</v>
      </c>
    </row>
    <row r="131" spans="1:34" hidden="1" outlineLevel="1" x14ac:dyDescent="0.2">
      <c r="A131" s="1398"/>
      <c r="B131" s="1399"/>
      <c r="C131" s="1400"/>
      <c r="D131" s="1401" t="s">
        <v>1965</v>
      </c>
      <c r="E131" s="1297">
        <f>49663+8569+4846</f>
        <v>63078</v>
      </c>
      <c r="F131" s="1297">
        <f t="shared" si="117"/>
        <v>59674</v>
      </c>
      <c r="G131" s="1297">
        <f t="shared" si="118"/>
        <v>-3404</v>
      </c>
      <c r="H131" s="1297">
        <v>-3404</v>
      </c>
      <c r="I131" s="1297"/>
      <c r="J131" s="1297"/>
      <c r="K131" s="1297"/>
      <c r="L131" s="1297"/>
      <c r="M131" s="1297"/>
      <c r="N131" s="1297"/>
      <c r="O131" s="1297"/>
      <c r="P131" s="1297"/>
      <c r="Q131" s="1297"/>
      <c r="R131" s="1298"/>
      <c r="S131" s="1297"/>
      <c r="T131" s="1297"/>
      <c r="U131" s="1299">
        <f t="shared" si="119"/>
        <v>0</v>
      </c>
      <c r="V131" s="1299">
        <f t="shared" si="120"/>
        <v>0</v>
      </c>
      <c r="W131" s="1299"/>
      <c r="X131" s="1299"/>
      <c r="Y131" s="1299"/>
      <c r="Z131" s="1299"/>
      <c r="AA131" s="1299"/>
      <c r="AB131" s="1299"/>
      <c r="AC131" s="1299"/>
      <c r="AD131" s="1299"/>
      <c r="AE131" s="1299"/>
      <c r="AF131" s="1299"/>
      <c r="AG131" s="1300">
        <f t="shared" si="121"/>
        <v>63078</v>
      </c>
      <c r="AH131" s="1300">
        <f t="shared" si="121"/>
        <v>59674</v>
      </c>
    </row>
    <row r="132" spans="1:34" hidden="1" outlineLevel="1" x14ac:dyDescent="0.2">
      <c r="A132" s="1398"/>
      <c r="B132" s="1399"/>
      <c r="C132" s="1400"/>
      <c r="D132" s="1312" t="s">
        <v>1826</v>
      </c>
      <c r="E132" s="1297">
        <v>30265</v>
      </c>
      <c r="F132" s="1297">
        <f t="shared" si="117"/>
        <v>30289</v>
      </c>
      <c r="G132" s="1297">
        <f t="shared" si="118"/>
        <v>24</v>
      </c>
      <c r="H132" s="1297">
        <v>23</v>
      </c>
      <c r="I132" s="1297"/>
      <c r="J132" s="1297">
        <v>1</v>
      </c>
      <c r="K132" s="1297"/>
      <c r="L132" s="1297"/>
      <c r="M132" s="1297"/>
      <c r="N132" s="1297"/>
      <c r="O132" s="1297"/>
      <c r="P132" s="1297"/>
      <c r="Q132" s="1297"/>
      <c r="R132" s="1298"/>
      <c r="S132" s="1297"/>
      <c r="T132" s="1297"/>
      <c r="U132" s="1299">
        <f t="shared" si="119"/>
        <v>0</v>
      </c>
      <c r="V132" s="1299">
        <f t="shared" si="120"/>
        <v>0</v>
      </c>
      <c r="W132" s="1299"/>
      <c r="X132" s="1299"/>
      <c r="Y132" s="1299"/>
      <c r="Z132" s="1299"/>
      <c r="AA132" s="1299"/>
      <c r="AB132" s="1299"/>
      <c r="AC132" s="1299"/>
      <c r="AD132" s="1299"/>
      <c r="AE132" s="1299"/>
      <c r="AF132" s="1299"/>
      <c r="AG132" s="1300">
        <f t="shared" si="121"/>
        <v>30265</v>
      </c>
      <c r="AH132" s="1300">
        <f t="shared" si="121"/>
        <v>30289</v>
      </c>
    </row>
    <row r="133" spans="1:34" ht="24" hidden="1" outlineLevel="1" x14ac:dyDescent="0.2">
      <c r="A133" s="1398"/>
      <c r="B133" s="1399"/>
      <c r="C133" s="1400"/>
      <c r="D133" s="1312" t="s">
        <v>1858</v>
      </c>
      <c r="E133" s="1297">
        <f>9987+36206</f>
        <v>46193</v>
      </c>
      <c r="F133" s="1297">
        <f t="shared" si="117"/>
        <v>51905</v>
      </c>
      <c r="G133" s="1297">
        <f t="shared" si="118"/>
        <v>5712</v>
      </c>
      <c r="H133" s="1297">
        <v>5711</v>
      </c>
      <c r="I133" s="1297"/>
      <c r="J133" s="1297">
        <v>1</v>
      </c>
      <c r="K133" s="1297"/>
      <c r="L133" s="1297"/>
      <c r="M133" s="1297"/>
      <c r="N133" s="1297"/>
      <c r="O133" s="1297"/>
      <c r="P133" s="1297"/>
      <c r="Q133" s="1297"/>
      <c r="R133" s="1298"/>
      <c r="S133" s="1297"/>
      <c r="T133" s="1297"/>
      <c r="U133" s="1299">
        <f t="shared" si="119"/>
        <v>0</v>
      </c>
      <c r="V133" s="1299">
        <f t="shared" si="120"/>
        <v>0</v>
      </c>
      <c r="W133" s="1299"/>
      <c r="X133" s="1299"/>
      <c r="Y133" s="1299"/>
      <c r="Z133" s="1299"/>
      <c r="AA133" s="1299"/>
      <c r="AB133" s="1299"/>
      <c r="AC133" s="1299"/>
      <c r="AD133" s="1299"/>
      <c r="AE133" s="1299"/>
      <c r="AF133" s="1299"/>
      <c r="AG133" s="1300">
        <f t="shared" si="121"/>
        <v>46193</v>
      </c>
      <c r="AH133" s="1300">
        <f t="shared" si="121"/>
        <v>51905</v>
      </c>
    </row>
    <row r="134" spans="1:34" hidden="1" outlineLevel="1" x14ac:dyDescent="0.2">
      <c r="A134" s="1398"/>
      <c r="B134" s="1399"/>
      <c r="C134" s="1400"/>
      <c r="D134" s="1312" t="s">
        <v>1966</v>
      </c>
      <c r="E134" s="1297">
        <v>3016</v>
      </c>
      <c r="F134" s="1297">
        <f t="shared" si="117"/>
        <v>2498</v>
      </c>
      <c r="G134" s="1297">
        <f t="shared" si="118"/>
        <v>-518</v>
      </c>
      <c r="H134" s="1297">
        <v>-518</v>
      </c>
      <c r="I134" s="1297"/>
      <c r="J134" s="1297"/>
      <c r="K134" s="1297"/>
      <c r="L134" s="1297"/>
      <c r="M134" s="1297"/>
      <c r="N134" s="1297"/>
      <c r="O134" s="1297"/>
      <c r="P134" s="1297"/>
      <c r="Q134" s="1297"/>
      <c r="R134" s="1298"/>
      <c r="S134" s="1297"/>
      <c r="T134" s="1297"/>
      <c r="U134" s="1299">
        <f t="shared" si="119"/>
        <v>0</v>
      </c>
      <c r="V134" s="1299">
        <f t="shared" si="120"/>
        <v>0</v>
      </c>
      <c r="W134" s="1299"/>
      <c r="X134" s="1299"/>
      <c r="Y134" s="1299"/>
      <c r="Z134" s="1299"/>
      <c r="AA134" s="1299"/>
      <c r="AB134" s="1299"/>
      <c r="AC134" s="1299"/>
      <c r="AD134" s="1299"/>
      <c r="AE134" s="1299"/>
      <c r="AF134" s="1299"/>
      <c r="AG134" s="1300">
        <f t="shared" si="121"/>
        <v>3016</v>
      </c>
      <c r="AH134" s="1300">
        <f t="shared" si="121"/>
        <v>2498</v>
      </c>
    </row>
    <row r="135" spans="1:34" hidden="1" outlineLevel="1" x14ac:dyDescent="0.2">
      <c r="A135" s="1398"/>
      <c r="B135" s="1399"/>
      <c r="C135" s="1400"/>
      <c r="D135" s="1312" t="s">
        <v>1967</v>
      </c>
      <c r="E135" s="1297">
        <f>564728</f>
        <v>564728</v>
      </c>
      <c r="F135" s="1297">
        <f t="shared" si="117"/>
        <v>625503</v>
      </c>
      <c r="G135" s="1297">
        <f t="shared" si="118"/>
        <v>60775</v>
      </c>
      <c r="H135" s="1297">
        <f>94875-34100</f>
        <v>60775</v>
      </c>
      <c r="I135" s="1297"/>
      <c r="J135" s="1297"/>
      <c r="K135" s="1297"/>
      <c r="L135" s="1297"/>
      <c r="M135" s="1297"/>
      <c r="N135" s="1297"/>
      <c r="O135" s="1297"/>
      <c r="P135" s="1297"/>
      <c r="Q135" s="1297"/>
      <c r="R135" s="1298"/>
      <c r="S135" s="1297"/>
      <c r="T135" s="1297"/>
      <c r="U135" s="1299">
        <f t="shared" si="119"/>
        <v>0</v>
      </c>
      <c r="V135" s="1299">
        <f t="shared" si="120"/>
        <v>0</v>
      </c>
      <c r="W135" s="1299"/>
      <c r="X135" s="1299"/>
      <c r="Y135" s="1299"/>
      <c r="Z135" s="1299"/>
      <c r="AA135" s="1299"/>
      <c r="AB135" s="1299"/>
      <c r="AC135" s="1299"/>
      <c r="AD135" s="1299"/>
      <c r="AE135" s="1299"/>
      <c r="AF135" s="1299"/>
      <c r="AG135" s="1300">
        <f t="shared" si="121"/>
        <v>564728</v>
      </c>
      <c r="AH135" s="1300">
        <f t="shared" si="121"/>
        <v>625503</v>
      </c>
    </row>
    <row r="136" spans="1:34" ht="24" hidden="1" outlineLevel="1" x14ac:dyDescent="0.2">
      <c r="A136" s="1398"/>
      <c r="B136" s="1399"/>
      <c r="C136" s="1400"/>
      <c r="D136" s="1312" t="s">
        <v>1968</v>
      </c>
      <c r="E136" s="1297">
        <v>0</v>
      </c>
      <c r="F136" s="1297">
        <f t="shared" si="117"/>
        <v>5471</v>
      </c>
      <c r="G136" s="1297">
        <f t="shared" si="118"/>
        <v>5471</v>
      </c>
      <c r="H136" s="1297">
        <v>5470</v>
      </c>
      <c r="I136" s="1297"/>
      <c r="J136" s="1297">
        <v>1</v>
      </c>
      <c r="K136" s="1297"/>
      <c r="L136" s="1297"/>
      <c r="M136" s="1297"/>
      <c r="N136" s="1297"/>
      <c r="O136" s="1297"/>
      <c r="P136" s="1297"/>
      <c r="Q136" s="1297"/>
      <c r="R136" s="1298"/>
      <c r="S136" s="1297"/>
      <c r="T136" s="1297"/>
      <c r="U136" s="1299">
        <f t="shared" si="119"/>
        <v>0</v>
      </c>
      <c r="V136" s="1299">
        <f t="shared" si="120"/>
        <v>0</v>
      </c>
      <c r="W136" s="1299"/>
      <c r="X136" s="1299"/>
      <c r="Y136" s="1299"/>
      <c r="Z136" s="1299"/>
      <c r="AA136" s="1299"/>
      <c r="AB136" s="1299"/>
      <c r="AC136" s="1299"/>
      <c r="AD136" s="1299"/>
      <c r="AE136" s="1299"/>
      <c r="AF136" s="1299"/>
      <c r="AG136" s="1300">
        <f t="shared" si="121"/>
        <v>0</v>
      </c>
      <c r="AH136" s="1300">
        <f t="shared" si="121"/>
        <v>5471</v>
      </c>
    </row>
    <row r="137" spans="1:34" hidden="1" outlineLevel="1" x14ac:dyDescent="0.2">
      <c r="A137" s="1398"/>
      <c r="B137" s="1399"/>
      <c r="C137" s="1400"/>
      <c r="D137" s="1312" t="s">
        <v>1969</v>
      </c>
      <c r="E137" s="1297"/>
      <c r="F137" s="1297">
        <f t="shared" si="117"/>
        <v>800</v>
      </c>
      <c r="G137" s="1297">
        <f t="shared" ref="G137" si="122">SUM(H137:S137)</f>
        <v>800</v>
      </c>
      <c r="H137" s="1297"/>
      <c r="I137" s="1297"/>
      <c r="J137" s="1297"/>
      <c r="K137" s="1297">
        <v>800</v>
      </c>
      <c r="L137" s="1297"/>
      <c r="M137" s="1297"/>
      <c r="N137" s="1297"/>
      <c r="O137" s="1297"/>
      <c r="P137" s="1297"/>
      <c r="Q137" s="1297"/>
      <c r="R137" s="1298"/>
      <c r="S137" s="1297"/>
      <c r="T137" s="1297"/>
      <c r="U137" s="1299">
        <f t="shared" si="119"/>
        <v>-800</v>
      </c>
      <c r="V137" s="1299">
        <f t="shared" si="120"/>
        <v>-800</v>
      </c>
      <c r="W137" s="1299"/>
      <c r="X137" s="1299"/>
      <c r="Y137" s="1299"/>
      <c r="Z137" s="1299">
        <v>-800</v>
      </c>
      <c r="AA137" s="1299"/>
      <c r="AB137" s="1299"/>
      <c r="AC137" s="1299"/>
      <c r="AD137" s="1299"/>
      <c r="AE137" s="1299"/>
      <c r="AF137" s="1299"/>
      <c r="AG137" s="1300">
        <f t="shared" si="121"/>
        <v>0</v>
      </c>
      <c r="AH137" s="1300">
        <f t="shared" si="121"/>
        <v>0</v>
      </c>
    </row>
    <row r="138" spans="1:34" hidden="1" outlineLevel="1" x14ac:dyDescent="0.2">
      <c r="A138" s="1398"/>
      <c r="B138" s="1399"/>
      <c r="C138" s="1400"/>
      <c r="D138" s="1312"/>
      <c r="E138" s="1297"/>
      <c r="F138" s="1297"/>
      <c r="G138" s="1297"/>
      <c r="H138" s="1297"/>
      <c r="I138" s="1297"/>
      <c r="J138" s="1297"/>
      <c r="K138" s="1297"/>
      <c r="L138" s="1297"/>
      <c r="M138" s="1297"/>
      <c r="N138" s="1297"/>
      <c r="O138" s="1297"/>
      <c r="P138" s="1297"/>
      <c r="Q138" s="1297"/>
      <c r="R138" s="1298"/>
      <c r="S138" s="1297"/>
      <c r="T138" s="1297"/>
      <c r="U138" s="1299"/>
      <c r="V138" s="1299"/>
      <c r="W138" s="1299"/>
      <c r="X138" s="1299"/>
      <c r="Y138" s="1299"/>
      <c r="Z138" s="1299"/>
      <c r="AA138" s="1299"/>
      <c r="AB138" s="1299"/>
      <c r="AC138" s="1299"/>
      <c r="AD138" s="1299"/>
      <c r="AE138" s="1299"/>
      <c r="AF138" s="1299"/>
      <c r="AG138" s="1300"/>
      <c r="AH138" s="1300"/>
    </row>
    <row r="139" spans="1:34" ht="6" customHeight="1" collapsed="1" x14ac:dyDescent="0.2">
      <c r="A139" s="1402"/>
      <c r="B139" s="1403"/>
      <c r="C139" s="1404"/>
      <c r="D139" s="1312"/>
      <c r="E139" s="1319"/>
      <c r="F139" s="1319"/>
      <c r="G139" s="1319"/>
      <c r="H139" s="1319"/>
      <c r="I139" s="1319"/>
      <c r="J139" s="1319"/>
      <c r="K139" s="1319"/>
      <c r="L139" s="1319"/>
      <c r="M139" s="1319"/>
      <c r="N139" s="1319"/>
      <c r="O139" s="1319"/>
      <c r="P139" s="1319"/>
      <c r="Q139" s="1319"/>
      <c r="R139" s="1330"/>
      <c r="S139" s="1319"/>
      <c r="T139" s="1319"/>
      <c r="U139" s="1336"/>
      <c r="V139" s="1336"/>
      <c r="W139" s="1336"/>
      <c r="X139" s="1336"/>
      <c r="Y139" s="1336"/>
      <c r="Z139" s="1336"/>
      <c r="AA139" s="1336"/>
      <c r="AB139" s="1336"/>
      <c r="AC139" s="1336"/>
      <c r="AD139" s="1336"/>
      <c r="AE139" s="1336"/>
      <c r="AF139" s="1336"/>
      <c r="AG139" s="1337"/>
      <c r="AH139" s="1337"/>
    </row>
    <row r="140" spans="1:34" x14ac:dyDescent="0.2">
      <c r="A140" s="1481" t="s">
        <v>1970</v>
      </c>
      <c r="B140" s="1482"/>
      <c r="C140" s="1482"/>
      <c r="D140" s="1483"/>
      <c r="E140" s="1405">
        <f t="shared" ref="E140:AH140" si="123">SUM(E142,E147)</f>
        <v>12883</v>
      </c>
      <c r="F140" s="1405">
        <f t="shared" si="123"/>
        <v>16132</v>
      </c>
      <c r="G140" s="1405">
        <f t="shared" si="123"/>
        <v>3249</v>
      </c>
      <c r="H140" s="1405">
        <f t="shared" si="123"/>
        <v>0</v>
      </c>
      <c r="I140" s="1405">
        <f t="shared" si="123"/>
        <v>2405</v>
      </c>
      <c r="J140" s="1405">
        <f t="shared" si="123"/>
        <v>0</v>
      </c>
      <c r="K140" s="1405">
        <f t="shared" si="123"/>
        <v>0</v>
      </c>
      <c r="L140" s="1405">
        <f t="shared" si="123"/>
        <v>0</v>
      </c>
      <c r="M140" s="1405">
        <f t="shared" si="123"/>
        <v>0</v>
      </c>
      <c r="N140" s="1405">
        <f t="shared" si="123"/>
        <v>0</v>
      </c>
      <c r="O140" s="1405">
        <f t="shared" si="123"/>
        <v>0</v>
      </c>
      <c r="P140" s="1405">
        <f t="shared" si="123"/>
        <v>0</v>
      </c>
      <c r="Q140" s="1405">
        <f t="shared" si="123"/>
        <v>844</v>
      </c>
      <c r="R140" s="1406">
        <f t="shared" si="123"/>
        <v>0</v>
      </c>
      <c r="S140" s="1405">
        <f t="shared" si="123"/>
        <v>0</v>
      </c>
      <c r="T140" s="1405">
        <f t="shared" si="123"/>
        <v>0</v>
      </c>
      <c r="U140" s="1407">
        <f t="shared" si="123"/>
        <v>-844</v>
      </c>
      <c r="V140" s="1407">
        <f t="shared" si="123"/>
        <v>-844</v>
      </c>
      <c r="W140" s="1407">
        <f t="shared" si="123"/>
        <v>0</v>
      </c>
      <c r="X140" s="1407">
        <f t="shared" si="123"/>
        <v>0</v>
      </c>
      <c r="Y140" s="1407">
        <f t="shared" si="123"/>
        <v>0</v>
      </c>
      <c r="Z140" s="1407">
        <f t="shared" si="123"/>
        <v>0</v>
      </c>
      <c r="AA140" s="1407">
        <f t="shared" si="123"/>
        <v>0</v>
      </c>
      <c r="AB140" s="1407">
        <f t="shared" si="123"/>
        <v>0</v>
      </c>
      <c r="AC140" s="1407">
        <f t="shared" si="123"/>
        <v>0</v>
      </c>
      <c r="AD140" s="1407">
        <f t="shared" si="123"/>
        <v>-844</v>
      </c>
      <c r="AE140" s="1407">
        <f t="shared" si="123"/>
        <v>0</v>
      </c>
      <c r="AF140" s="1407">
        <f t="shared" si="123"/>
        <v>0</v>
      </c>
      <c r="AG140" s="1408">
        <f t="shared" si="123"/>
        <v>12883</v>
      </c>
      <c r="AH140" s="1408">
        <f t="shared" si="123"/>
        <v>15288</v>
      </c>
    </row>
    <row r="141" spans="1:34" ht="6" customHeight="1" x14ac:dyDescent="0.2">
      <c r="A141" s="1402"/>
      <c r="B141" s="1403"/>
      <c r="C141" s="1404"/>
      <c r="D141" s="1312"/>
      <c r="E141" s="1409"/>
      <c r="F141" s="1409"/>
      <c r="G141" s="1409"/>
      <c r="H141" s="1409"/>
      <c r="I141" s="1409"/>
      <c r="J141" s="1409"/>
      <c r="K141" s="1409"/>
      <c r="L141" s="1409"/>
      <c r="M141" s="1409"/>
      <c r="N141" s="1409"/>
      <c r="O141" s="1409"/>
      <c r="P141" s="1409"/>
      <c r="Q141" s="1409"/>
      <c r="R141" s="1410"/>
      <c r="S141" s="1409"/>
      <c r="T141" s="1409"/>
      <c r="U141" s="1411"/>
      <c r="V141" s="1411"/>
      <c r="W141" s="1411"/>
      <c r="X141" s="1411"/>
      <c r="Y141" s="1411"/>
      <c r="Z141" s="1411"/>
      <c r="AA141" s="1411"/>
      <c r="AB141" s="1411"/>
      <c r="AC141" s="1411"/>
      <c r="AD141" s="1411"/>
      <c r="AE141" s="1411"/>
      <c r="AF141" s="1411"/>
      <c r="AG141" s="1412"/>
      <c r="AH141" s="1412"/>
    </row>
    <row r="142" spans="1:34" x14ac:dyDescent="0.2">
      <c r="A142" s="1484" t="s">
        <v>1971</v>
      </c>
      <c r="B142" s="1485"/>
      <c r="C142" s="1486"/>
      <c r="D142" s="1413" t="s">
        <v>1972</v>
      </c>
      <c r="E142" s="1414">
        <f t="shared" ref="E142" si="124">SUM(E143:E144)</f>
        <v>1530</v>
      </c>
      <c r="F142" s="1414">
        <f>SUM(F143:F144)</f>
        <v>2374</v>
      </c>
      <c r="G142" s="1414">
        <f t="shared" ref="G142:AH142" si="125">SUM(G143:G144)</f>
        <v>844</v>
      </c>
      <c r="H142" s="1414">
        <f t="shared" si="125"/>
        <v>0</v>
      </c>
      <c r="I142" s="1414">
        <f t="shared" si="125"/>
        <v>0</v>
      </c>
      <c r="J142" s="1414">
        <f t="shared" si="125"/>
        <v>0</v>
      </c>
      <c r="K142" s="1414">
        <f t="shared" si="125"/>
        <v>0</v>
      </c>
      <c r="L142" s="1414">
        <f t="shared" si="125"/>
        <v>0</v>
      </c>
      <c r="M142" s="1414">
        <f t="shared" si="125"/>
        <v>0</v>
      </c>
      <c r="N142" s="1414">
        <f t="shared" si="125"/>
        <v>0</v>
      </c>
      <c r="O142" s="1414">
        <f t="shared" si="125"/>
        <v>0</v>
      </c>
      <c r="P142" s="1414">
        <f t="shared" si="125"/>
        <v>0</v>
      </c>
      <c r="Q142" s="1414">
        <f t="shared" si="125"/>
        <v>844</v>
      </c>
      <c r="R142" s="1415">
        <f t="shared" si="125"/>
        <v>0</v>
      </c>
      <c r="S142" s="1414">
        <f t="shared" si="125"/>
        <v>0</v>
      </c>
      <c r="T142" s="1414">
        <f t="shared" si="125"/>
        <v>0</v>
      </c>
      <c r="U142" s="1416">
        <f t="shared" si="125"/>
        <v>-844</v>
      </c>
      <c r="V142" s="1416">
        <f t="shared" si="125"/>
        <v>-844</v>
      </c>
      <c r="W142" s="1416">
        <f t="shared" si="125"/>
        <v>0</v>
      </c>
      <c r="X142" s="1416">
        <f t="shared" si="125"/>
        <v>0</v>
      </c>
      <c r="Y142" s="1416">
        <f t="shared" si="125"/>
        <v>0</v>
      </c>
      <c r="Z142" s="1416">
        <f t="shared" si="125"/>
        <v>0</v>
      </c>
      <c r="AA142" s="1416">
        <f t="shared" si="125"/>
        <v>0</v>
      </c>
      <c r="AB142" s="1416">
        <f t="shared" si="125"/>
        <v>0</v>
      </c>
      <c r="AC142" s="1416">
        <f t="shared" si="125"/>
        <v>0</v>
      </c>
      <c r="AD142" s="1416">
        <f t="shared" si="125"/>
        <v>-844</v>
      </c>
      <c r="AE142" s="1416">
        <f t="shared" si="125"/>
        <v>0</v>
      </c>
      <c r="AF142" s="1416">
        <f t="shared" si="125"/>
        <v>0</v>
      </c>
      <c r="AG142" s="1417">
        <f t="shared" si="125"/>
        <v>1530</v>
      </c>
      <c r="AH142" s="1417">
        <f t="shared" si="125"/>
        <v>1530</v>
      </c>
    </row>
    <row r="143" spans="1:34" s="1243" customFormat="1" x14ac:dyDescent="0.2">
      <c r="A143" s="1357"/>
      <c r="B143" s="1452" t="s">
        <v>1973</v>
      </c>
      <c r="C143" s="1453"/>
      <c r="D143" s="1312" t="s">
        <v>68</v>
      </c>
      <c r="E143" s="1297">
        <v>0</v>
      </c>
      <c r="F143" s="1297">
        <f t="shared" ref="F143:F144" si="126">G143+E143</f>
        <v>0</v>
      </c>
      <c r="G143" s="1297">
        <f t="shared" ref="G143:G144" si="127">SUM(H143:S143)</f>
        <v>0</v>
      </c>
      <c r="H143" s="1297"/>
      <c r="I143" s="1297"/>
      <c r="J143" s="1297"/>
      <c r="K143" s="1297"/>
      <c r="L143" s="1297"/>
      <c r="M143" s="1297"/>
      <c r="N143" s="1297"/>
      <c r="O143" s="1297"/>
      <c r="P143" s="1297"/>
      <c r="Q143" s="1297"/>
      <c r="R143" s="1298"/>
      <c r="S143" s="1297"/>
      <c r="T143" s="1297"/>
      <c r="U143" s="1299">
        <f t="shared" ref="U143:U144" si="128">V143+T143</f>
        <v>0</v>
      </c>
      <c r="V143" s="1299">
        <f>SUM(W143:AF143)</f>
        <v>0</v>
      </c>
      <c r="W143" s="1299"/>
      <c r="X143" s="1299"/>
      <c r="Y143" s="1299"/>
      <c r="Z143" s="1299"/>
      <c r="AA143" s="1299"/>
      <c r="AB143" s="1299"/>
      <c r="AC143" s="1299"/>
      <c r="AD143" s="1299"/>
      <c r="AE143" s="1299"/>
      <c r="AF143" s="1299"/>
      <c r="AG143" s="1300">
        <f>E143+T143</f>
        <v>0</v>
      </c>
      <c r="AH143" s="1300">
        <f>F143+U143</f>
        <v>0</v>
      </c>
    </row>
    <row r="144" spans="1:34" s="1243" customFormat="1" ht="24" x14ac:dyDescent="0.2">
      <c r="A144" s="1357"/>
      <c r="B144" s="1452" t="s">
        <v>1974</v>
      </c>
      <c r="C144" s="1453"/>
      <c r="D144" s="1312" t="s">
        <v>1975</v>
      </c>
      <c r="E144" s="1297">
        <v>1530</v>
      </c>
      <c r="F144" s="1297">
        <f t="shared" si="126"/>
        <v>2374</v>
      </c>
      <c r="G144" s="1297">
        <f t="shared" si="127"/>
        <v>844</v>
      </c>
      <c r="H144" s="1297"/>
      <c r="I144" s="1297"/>
      <c r="J144" s="1297"/>
      <c r="K144" s="1297"/>
      <c r="L144" s="1297"/>
      <c r="M144" s="1297"/>
      <c r="N144" s="1297"/>
      <c r="O144" s="1297"/>
      <c r="P144" s="1297"/>
      <c r="Q144" s="1297">
        <v>844</v>
      </c>
      <c r="R144" s="1298"/>
      <c r="S144" s="1297"/>
      <c r="T144" s="1297"/>
      <c r="U144" s="1299">
        <f t="shared" si="128"/>
        <v>-844</v>
      </c>
      <c r="V144" s="1299">
        <f>SUM(W144:AF144)</f>
        <v>-844</v>
      </c>
      <c r="W144" s="1299"/>
      <c r="X144" s="1299"/>
      <c r="Y144" s="1299"/>
      <c r="Z144" s="1299"/>
      <c r="AA144" s="1299"/>
      <c r="AB144" s="1299"/>
      <c r="AC144" s="1299"/>
      <c r="AD144" s="1299">
        <v>-844</v>
      </c>
      <c r="AE144" s="1299"/>
      <c r="AF144" s="1299"/>
      <c r="AG144" s="1300">
        <f>E144+T144</f>
        <v>1530</v>
      </c>
      <c r="AH144" s="1300">
        <f>F144+U144</f>
        <v>1530</v>
      </c>
    </row>
    <row r="145" spans="1:34" ht="6.75" customHeight="1" x14ac:dyDescent="0.2">
      <c r="A145" s="1402"/>
      <c r="B145" s="1403"/>
      <c r="C145" s="1404"/>
      <c r="D145" s="1312"/>
      <c r="E145" s="1409"/>
      <c r="F145" s="1409"/>
      <c r="G145" s="1409"/>
      <c r="H145" s="1409"/>
      <c r="I145" s="1409"/>
      <c r="J145" s="1409"/>
      <c r="K145" s="1409"/>
      <c r="L145" s="1409"/>
      <c r="M145" s="1409"/>
      <c r="N145" s="1409"/>
      <c r="O145" s="1409"/>
      <c r="P145" s="1409"/>
      <c r="Q145" s="1409"/>
      <c r="R145" s="1410"/>
      <c r="S145" s="1409"/>
      <c r="T145" s="1409"/>
      <c r="U145" s="1411"/>
      <c r="V145" s="1411"/>
      <c r="W145" s="1411"/>
      <c r="X145" s="1411"/>
      <c r="Y145" s="1411"/>
      <c r="Z145" s="1411"/>
      <c r="AA145" s="1411"/>
      <c r="AB145" s="1411"/>
      <c r="AC145" s="1411"/>
      <c r="AD145" s="1411"/>
      <c r="AE145" s="1411"/>
      <c r="AF145" s="1411"/>
      <c r="AG145" s="1412"/>
      <c r="AH145" s="1412"/>
    </row>
    <row r="146" spans="1:34" ht="6.75" customHeight="1" x14ac:dyDescent="0.2">
      <c r="A146" s="1402"/>
      <c r="B146" s="1403"/>
      <c r="C146" s="1404"/>
      <c r="D146" s="1312"/>
      <c r="E146" s="1409"/>
      <c r="F146" s="1409"/>
      <c r="G146" s="1409"/>
      <c r="H146" s="1409"/>
      <c r="I146" s="1409"/>
      <c r="J146" s="1409"/>
      <c r="K146" s="1409"/>
      <c r="L146" s="1409"/>
      <c r="M146" s="1409"/>
      <c r="N146" s="1409"/>
      <c r="O146" s="1409"/>
      <c r="P146" s="1409"/>
      <c r="Q146" s="1409"/>
      <c r="R146" s="1410"/>
      <c r="S146" s="1409"/>
      <c r="T146" s="1409"/>
      <c r="U146" s="1411"/>
      <c r="V146" s="1411"/>
      <c r="W146" s="1411"/>
      <c r="X146" s="1411"/>
      <c r="Y146" s="1411"/>
      <c r="Z146" s="1411"/>
      <c r="AA146" s="1411"/>
      <c r="AB146" s="1411"/>
      <c r="AC146" s="1411"/>
      <c r="AD146" s="1411"/>
      <c r="AE146" s="1411"/>
      <c r="AF146" s="1411"/>
      <c r="AG146" s="1412"/>
      <c r="AH146" s="1412"/>
    </row>
    <row r="147" spans="1:34" x14ac:dyDescent="0.2">
      <c r="A147" s="1402"/>
      <c r="B147" s="1403"/>
      <c r="C147" s="1404"/>
      <c r="D147" s="1387" t="s">
        <v>1976</v>
      </c>
      <c r="E147" s="1418">
        <f t="shared" ref="E147:AH147" si="129">SUM(E148)</f>
        <v>11353</v>
      </c>
      <c r="F147" s="1418">
        <f t="shared" si="129"/>
        <v>13758</v>
      </c>
      <c r="G147" s="1418">
        <f t="shared" si="129"/>
        <v>2405</v>
      </c>
      <c r="H147" s="1418">
        <f t="shared" si="129"/>
        <v>0</v>
      </c>
      <c r="I147" s="1418">
        <f t="shared" si="129"/>
        <v>2405</v>
      </c>
      <c r="J147" s="1418">
        <f t="shared" si="129"/>
        <v>0</v>
      </c>
      <c r="K147" s="1418">
        <f t="shared" si="129"/>
        <v>0</v>
      </c>
      <c r="L147" s="1418">
        <f t="shared" si="129"/>
        <v>0</v>
      </c>
      <c r="M147" s="1418">
        <f t="shared" si="129"/>
        <v>0</v>
      </c>
      <c r="N147" s="1418">
        <f t="shared" si="129"/>
        <v>0</v>
      </c>
      <c r="O147" s="1418">
        <f t="shared" si="129"/>
        <v>0</v>
      </c>
      <c r="P147" s="1418">
        <f t="shared" si="129"/>
        <v>0</v>
      </c>
      <c r="Q147" s="1418">
        <f t="shared" si="129"/>
        <v>0</v>
      </c>
      <c r="R147" s="1419">
        <f t="shared" si="129"/>
        <v>0</v>
      </c>
      <c r="S147" s="1418">
        <f t="shared" si="129"/>
        <v>0</v>
      </c>
      <c r="T147" s="1418">
        <f t="shared" si="129"/>
        <v>0</v>
      </c>
      <c r="U147" s="1420">
        <f t="shared" si="129"/>
        <v>0</v>
      </c>
      <c r="V147" s="1420">
        <f t="shared" si="129"/>
        <v>0</v>
      </c>
      <c r="W147" s="1420">
        <f t="shared" si="129"/>
        <v>0</v>
      </c>
      <c r="X147" s="1420">
        <f t="shared" si="129"/>
        <v>0</v>
      </c>
      <c r="Y147" s="1420">
        <f t="shared" si="129"/>
        <v>0</v>
      </c>
      <c r="Z147" s="1420">
        <f t="shared" si="129"/>
        <v>0</v>
      </c>
      <c r="AA147" s="1420">
        <f t="shared" si="129"/>
        <v>0</v>
      </c>
      <c r="AB147" s="1420">
        <f t="shared" si="129"/>
        <v>0</v>
      </c>
      <c r="AC147" s="1420">
        <f t="shared" si="129"/>
        <v>0</v>
      </c>
      <c r="AD147" s="1420">
        <f t="shared" si="129"/>
        <v>0</v>
      </c>
      <c r="AE147" s="1420">
        <f t="shared" si="129"/>
        <v>0</v>
      </c>
      <c r="AF147" s="1420">
        <f t="shared" si="129"/>
        <v>0</v>
      </c>
      <c r="AG147" s="1421">
        <f t="shared" si="129"/>
        <v>11353</v>
      </c>
      <c r="AH147" s="1421">
        <f t="shared" si="129"/>
        <v>13758</v>
      </c>
    </row>
    <row r="148" spans="1:34" x14ac:dyDescent="0.2">
      <c r="A148" s="1402"/>
      <c r="B148" s="1403"/>
      <c r="C148" s="1404"/>
      <c r="D148" s="1312" t="s">
        <v>67</v>
      </c>
      <c r="E148" s="1319">
        <f t="shared" ref="E148:AH148" si="130">SUM(E149:E150)</f>
        <v>11353</v>
      </c>
      <c r="F148" s="1319">
        <f t="shared" si="130"/>
        <v>13758</v>
      </c>
      <c r="G148" s="1319">
        <f t="shared" si="130"/>
        <v>2405</v>
      </c>
      <c r="H148" s="1319">
        <f t="shared" si="130"/>
        <v>0</v>
      </c>
      <c r="I148" s="1319">
        <f t="shared" si="130"/>
        <v>2405</v>
      </c>
      <c r="J148" s="1319">
        <f t="shared" si="130"/>
        <v>0</v>
      </c>
      <c r="K148" s="1319">
        <f t="shared" si="130"/>
        <v>0</v>
      </c>
      <c r="L148" s="1319">
        <f t="shared" si="130"/>
        <v>0</v>
      </c>
      <c r="M148" s="1319">
        <f t="shared" si="130"/>
        <v>0</v>
      </c>
      <c r="N148" s="1319">
        <f t="shared" si="130"/>
        <v>0</v>
      </c>
      <c r="O148" s="1319">
        <f t="shared" si="130"/>
        <v>0</v>
      </c>
      <c r="P148" s="1319">
        <f t="shared" si="130"/>
        <v>0</v>
      </c>
      <c r="Q148" s="1319">
        <f t="shared" si="130"/>
        <v>0</v>
      </c>
      <c r="R148" s="1330">
        <f t="shared" si="130"/>
        <v>0</v>
      </c>
      <c r="S148" s="1319">
        <f t="shared" si="130"/>
        <v>0</v>
      </c>
      <c r="T148" s="1319">
        <f t="shared" si="130"/>
        <v>0</v>
      </c>
      <c r="U148" s="1336">
        <f t="shared" si="130"/>
        <v>0</v>
      </c>
      <c r="V148" s="1336">
        <f t="shared" si="130"/>
        <v>0</v>
      </c>
      <c r="W148" s="1336">
        <f t="shared" si="130"/>
        <v>0</v>
      </c>
      <c r="X148" s="1336">
        <f t="shared" si="130"/>
        <v>0</v>
      </c>
      <c r="Y148" s="1336">
        <f t="shared" si="130"/>
        <v>0</v>
      </c>
      <c r="Z148" s="1336">
        <f t="shared" si="130"/>
        <v>0</v>
      </c>
      <c r="AA148" s="1336">
        <f t="shared" si="130"/>
        <v>0</v>
      </c>
      <c r="AB148" s="1336">
        <f t="shared" si="130"/>
        <v>0</v>
      </c>
      <c r="AC148" s="1336">
        <f t="shared" si="130"/>
        <v>0</v>
      </c>
      <c r="AD148" s="1336">
        <f t="shared" si="130"/>
        <v>0</v>
      </c>
      <c r="AE148" s="1336">
        <f t="shared" si="130"/>
        <v>0</v>
      </c>
      <c r="AF148" s="1336">
        <f t="shared" si="130"/>
        <v>0</v>
      </c>
      <c r="AG148" s="1337">
        <f t="shared" si="130"/>
        <v>11353</v>
      </c>
      <c r="AH148" s="1337">
        <f t="shared" si="130"/>
        <v>13758</v>
      </c>
    </row>
    <row r="149" spans="1:34" ht="24" x14ac:dyDescent="0.2">
      <c r="A149" s="1402"/>
      <c r="B149" s="1403"/>
      <c r="C149" s="1404"/>
      <c r="D149" s="1422" t="s">
        <v>1977</v>
      </c>
      <c r="E149" s="1319">
        <v>8724</v>
      </c>
      <c r="F149" s="1319">
        <f t="shared" ref="F149:F150" si="131">G149+E149</f>
        <v>9745</v>
      </c>
      <c r="G149" s="1319">
        <f t="shared" ref="G149:G150" si="132">SUM(H149:S149)</f>
        <v>1021</v>
      </c>
      <c r="H149" s="1319"/>
      <c r="I149" s="1319">
        <f>237+566+218</f>
        <v>1021</v>
      </c>
      <c r="J149" s="1319"/>
      <c r="K149" s="1319"/>
      <c r="L149" s="1319"/>
      <c r="M149" s="1319"/>
      <c r="N149" s="1319"/>
      <c r="O149" s="1319"/>
      <c r="P149" s="1319"/>
      <c r="Q149" s="1319"/>
      <c r="R149" s="1330"/>
      <c r="S149" s="1319"/>
      <c r="T149" s="1319"/>
      <c r="U149" s="1336">
        <f t="shared" ref="U149:U150" si="133">V149+T149</f>
        <v>0</v>
      </c>
      <c r="V149" s="1336">
        <f>SUM(W149:AF149)</f>
        <v>0</v>
      </c>
      <c r="W149" s="1336"/>
      <c r="X149" s="1336"/>
      <c r="Y149" s="1336"/>
      <c r="Z149" s="1336"/>
      <c r="AA149" s="1336"/>
      <c r="AB149" s="1336"/>
      <c r="AC149" s="1336"/>
      <c r="AD149" s="1336"/>
      <c r="AE149" s="1336"/>
      <c r="AF149" s="1336"/>
      <c r="AG149" s="1337">
        <f>E149+T149</f>
        <v>8724</v>
      </c>
      <c r="AH149" s="1337">
        <f>F149+U149</f>
        <v>9745</v>
      </c>
    </row>
    <row r="150" spans="1:34" ht="24" x14ac:dyDescent="0.2">
      <c r="A150" s="1402"/>
      <c r="B150" s="1403"/>
      <c r="C150" s="1404"/>
      <c r="D150" s="1422" t="s">
        <v>1978</v>
      </c>
      <c r="E150" s="1319">
        <v>2629</v>
      </c>
      <c r="F150" s="1319">
        <f t="shared" si="131"/>
        <v>4013</v>
      </c>
      <c r="G150" s="1319">
        <f t="shared" si="132"/>
        <v>1384</v>
      </c>
      <c r="H150" s="1319"/>
      <c r="I150" s="1319">
        <f>106+5+479+165+629</f>
        <v>1384</v>
      </c>
      <c r="J150" s="1319"/>
      <c r="K150" s="1319"/>
      <c r="L150" s="1319"/>
      <c r="M150" s="1319"/>
      <c r="N150" s="1319"/>
      <c r="O150" s="1319"/>
      <c r="P150" s="1319"/>
      <c r="Q150" s="1319"/>
      <c r="R150" s="1330"/>
      <c r="S150" s="1319"/>
      <c r="T150" s="1319"/>
      <c r="U150" s="1336">
        <f t="shared" si="133"/>
        <v>0</v>
      </c>
      <c r="V150" s="1336">
        <f>SUM(W150:AF150)</f>
        <v>0</v>
      </c>
      <c r="W150" s="1336"/>
      <c r="X150" s="1336"/>
      <c r="Y150" s="1336"/>
      <c r="Z150" s="1336"/>
      <c r="AA150" s="1336"/>
      <c r="AB150" s="1336"/>
      <c r="AC150" s="1336"/>
      <c r="AD150" s="1336"/>
      <c r="AE150" s="1336"/>
      <c r="AF150" s="1336"/>
      <c r="AG150" s="1337">
        <f>E150+T150</f>
        <v>2629</v>
      </c>
      <c r="AH150" s="1337">
        <f>F150+U150</f>
        <v>4013</v>
      </c>
    </row>
    <row r="151" spans="1:34" ht="6.75" customHeight="1" x14ac:dyDescent="0.2">
      <c r="A151" s="1402"/>
      <c r="B151" s="1403"/>
      <c r="C151" s="1404"/>
      <c r="D151" s="1312"/>
      <c r="E151" s="1319"/>
      <c r="F151" s="1319"/>
      <c r="G151" s="1319"/>
      <c r="H151" s="1319"/>
      <c r="I151" s="1319"/>
      <c r="J151" s="1319"/>
      <c r="K151" s="1319"/>
      <c r="L151" s="1319"/>
      <c r="M151" s="1319"/>
      <c r="N151" s="1319"/>
      <c r="O151" s="1319"/>
      <c r="P151" s="1319"/>
      <c r="Q151" s="1319"/>
      <c r="R151" s="1330"/>
      <c r="S151" s="1319"/>
      <c r="T151" s="1319"/>
      <c r="U151" s="1336"/>
      <c r="V151" s="1336"/>
      <c r="W151" s="1336"/>
      <c r="X151" s="1336"/>
      <c r="Y151" s="1336"/>
      <c r="Z151" s="1336"/>
      <c r="AA151" s="1336"/>
      <c r="AB151" s="1336"/>
      <c r="AC151" s="1336"/>
      <c r="AD151" s="1336"/>
      <c r="AE151" s="1336"/>
      <c r="AF151" s="1336"/>
      <c r="AG151" s="1337"/>
      <c r="AH151" s="1337"/>
    </row>
    <row r="152" spans="1:34" ht="6.75" customHeight="1" x14ac:dyDescent="0.2">
      <c r="A152" s="1398"/>
      <c r="B152" s="1399"/>
      <c r="C152" s="1400"/>
      <c r="D152" s="1312"/>
      <c r="E152" s="1319"/>
      <c r="F152" s="1319"/>
      <c r="G152" s="1319"/>
      <c r="H152" s="1319"/>
      <c r="I152" s="1319"/>
      <c r="J152" s="1319"/>
      <c r="K152" s="1319"/>
      <c r="L152" s="1319"/>
      <c r="M152" s="1319"/>
      <c r="N152" s="1319"/>
      <c r="O152" s="1319"/>
      <c r="P152" s="1319"/>
      <c r="Q152" s="1319"/>
      <c r="R152" s="1330"/>
      <c r="S152" s="1319"/>
      <c r="T152" s="1319"/>
      <c r="U152" s="1336"/>
      <c r="V152" s="1336"/>
      <c r="W152" s="1336"/>
      <c r="X152" s="1336"/>
      <c r="Y152" s="1336"/>
      <c r="Z152" s="1336"/>
      <c r="AA152" s="1336"/>
      <c r="AB152" s="1336"/>
      <c r="AC152" s="1336"/>
      <c r="AD152" s="1336"/>
      <c r="AE152" s="1336"/>
      <c r="AF152" s="1336"/>
      <c r="AG152" s="1337"/>
      <c r="AH152" s="1337"/>
    </row>
    <row r="153" spans="1:34" s="1243" customFormat="1" ht="24.75" customHeight="1" thickBot="1" x14ac:dyDescent="0.25">
      <c r="A153" s="1487" t="s">
        <v>1979</v>
      </c>
      <c r="B153" s="1488"/>
      <c r="C153" s="1488"/>
      <c r="D153" s="1489"/>
      <c r="E153" s="1423">
        <f>SUM(E142,E98)</f>
        <v>75248949</v>
      </c>
      <c r="F153" s="1423">
        <f>SUM(F142,F98)</f>
        <v>75962100</v>
      </c>
      <c r="G153" s="1423">
        <f t="shared" ref="G153:S153" si="134">SUM(G142,G98)</f>
        <v>713151</v>
      </c>
      <c r="H153" s="1423">
        <f t="shared" si="134"/>
        <v>93935</v>
      </c>
      <c r="I153" s="1423">
        <f t="shared" si="134"/>
        <v>102333</v>
      </c>
      <c r="J153" s="1423">
        <f t="shared" si="134"/>
        <v>69285</v>
      </c>
      <c r="K153" s="1423">
        <f t="shared" si="134"/>
        <v>-7294</v>
      </c>
      <c r="L153" s="1423">
        <f t="shared" si="134"/>
        <v>83988</v>
      </c>
      <c r="M153" s="1423">
        <f t="shared" si="134"/>
        <v>738</v>
      </c>
      <c r="N153" s="1423">
        <f t="shared" si="134"/>
        <v>3334</v>
      </c>
      <c r="O153" s="1423">
        <f t="shared" si="134"/>
        <v>29303</v>
      </c>
      <c r="P153" s="1423">
        <f t="shared" si="134"/>
        <v>9544</v>
      </c>
      <c r="Q153" s="1423">
        <f t="shared" si="134"/>
        <v>20817</v>
      </c>
      <c r="R153" s="1424">
        <f t="shared" si="134"/>
        <v>307168</v>
      </c>
      <c r="S153" s="1423">
        <f t="shared" si="134"/>
        <v>0</v>
      </c>
      <c r="T153" s="1423">
        <f>SUM(T142,T98)</f>
        <v>-1806440</v>
      </c>
      <c r="U153" s="1425">
        <f t="shared" ref="U153:AF153" si="135">SUM(U142,U98)</f>
        <v>-1712096</v>
      </c>
      <c r="V153" s="1425">
        <f t="shared" si="135"/>
        <v>94344</v>
      </c>
      <c r="W153" s="1425">
        <f t="shared" si="135"/>
        <v>151722</v>
      </c>
      <c r="X153" s="1425">
        <f t="shared" si="135"/>
        <v>-936</v>
      </c>
      <c r="Y153" s="1425">
        <f t="shared" si="135"/>
        <v>-28181</v>
      </c>
      <c r="Z153" s="1425">
        <f t="shared" si="135"/>
        <v>1945</v>
      </c>
      <c r="AA153" s="1425">
        <f t="shared" si="135"/>
        <v>-28047</v>
      </c>
      <c r="AB153" s="1425">
        <f t="shared" si="135"/>
        <v>-738</v>
      </c>
      <c r="AC153" s="1425">
        <f t="shared" si="135"/>
        <v>-1</v>
      </c>
      <c r="AD153" s="1425">
        <f t="shared" si="135"/>
        <v>-1420</v>
      </c>
      <c r="AE153" s="1425">
        <f t="shared" si="135"/>
        <v>0</v>
      </c>
      <c r="AF153" s="1425">
        <f t="shared" si="135"/>
        <v>0</v>
      </c>
      <c r="AG153" s="1426">
        <f>SUM(AG142,AG98)</f>
        <v>73442509</v>
      </c>
      <c r="AH153" s="1426">
        <f>SUM(AH142,AH98)</f>
        <v>74250004</v>
      </c>
    </row>
    <row r="154" spans="1:34" s="1243" customFormat="1" ht="12.75" thickBot="1" x14ac:dyDescent="0.25">
      <c r="A154" s="1477" t="s">
        <v>1980</v>
      </c>
      <c r="B154" s="1478"/>
      <c r="C154" s="1478"/>
      <c r="D154" s="1479"/>
      <c r="E154" s="1423">
        <f>SUM(E11,E140)</f>
        <v>102535003</v>
      </c>
      <c r="F154" s="1427">
        <f>SUM(F11,F140)</f>
        <v>95116632</v>
      </c>
      <c r="G154" s="1427">
        <f t="shared" ref="G154:S154" si="136">SUM(G11,G140)</f>
        <v>-7418371</v>
      </c>
      <c r="H154" s="1427">
        <f t="shared" si="136"/>
        <v>-502126</v>
      </c>
      <c r="I154" s="1427">
        <f t="shared" si="136"/>
        <v>104738</v>
      </c>
      <c r="J154" s="1427">
        <f t="shared" si="136"/>
        <v>69285</v>
      </c>
      <c r="K154" s="1427">
        <f t="shared" si="136"/>
        <v>-6494</v>
      </c>
      <c r="L154" s="1427">
        <f t="shared" si="136"/>
        <v>83988</v>
      </c>
      <c r="M154" s="1427">
        <f t="shared" si="136"/>
        <v>738</v>
      </c>
      <c r="N154" s="1427">
        <f t="shared" si="136"/>
        <v>3334</v>
      </c>
      <c r="O154" s="1427">
        <f t="shared" si="136"/>
        <v>29303</v>
      </c>
      <c r="P154" s="1427">
        <f t="shared" si="136"/>
        <v>9544</v>
      </c>
      <c r="Q154" s="1427">
        <f t="shared" si="136"/>
        <v>20817</v>
      </c>
      <c r="R154" s="1428">
        <f t="shared" si="136"/>
        <v>-7231498</v>
      </c>
      <c r="S154" s="1427">
        <f t="shared" si="136"/>
        <v>0</v>
      </c>
      <c r="T154" s="1427">
        <f>SUM(T11,T140)</f>
        <v>-1806440</v>
      </c>
      <c r="U154" s="1429">
        <f t="shared" ref="U154:AF154" si="137">SUM(U11,U140)</f>
        <v>-1712896</v>
      </c>
      <c r="V154" s="1429">
        <f t="shared" si="137"/>
        <v>93544</v>
      </c>
      <c r="W154" s="1429">
        <f t="shared" si="137"/>
        <v>151722</v>
      </c>
      <c r="X154" s="1429">
        <f t="shared" si="137"/>
        <v>-936</v>
      </c>
      <c r="Y154" s="1429">
        <f t="shared" si="137"/>
        <v>-28181</v>
      </c>
      <c r="Z154" s="1429">
        <f t="shared" si="137"/>
        <v>1145</v>
      </c>
      <c r="AA154" s="1429">
        <f t="shared" si="137"/>
        <v>-28047</v>
      </c>
      <c r="AB154" s="1429">
        <f t="shared" si="137"/>
        <v>-738</v>
      </c>
      <c r="AC154" s="1429">
        <f t="shared" si="137"/>
        <v>-1</v>
      </c>
      <c r="AD154" s="1429">
        <f t="shared" si="137"/>
        <v>-1420</v>
      </c>
      <c r="AE154" s="1429">
        <f t="shared" si="137"/>
        <v>0</v>
      </c>
      <c r="AF154" s="1429">
        <f t="shared" si="137"/>
        <v>0</v>
      </c>
      <c r="AG154" s="1430">
        <f>SUM(AG11,AG140)</f>
        <v>100728563</v>
      </c>
      <c r="AH154" s="1430">
        <f>SUM(AH11,AH140)</f>
        <v>93403736</v>
      </c>
    </row>
    <row r="155" spans="1:34" ht="7.5" customHeight="1" x14ac:dyDescent="0.2"/>
    <row r="157" spans="1:34" x14ac:dyDescent="0.2">
      <c r="A157" s="1480"/>
      <c r="B157" s="1480"/>
      <c r="C157" s="1480"/>
      <c r="D157" s="1480"/>
      <c r="E157" s="1480"/>
      <c r="F157" s="1480"/>
      <c r="G157" s="1480"/>
      <c r="H157" s="1480"/>
      <c r="I157" s="1480"/>
      <c r="J157" s="1480"/>
      <c r="K157" s="1480"/>
      <c r="L157" s="1480"/>
      <c r="M157" s="1480"/>
      <c r="N157" s="1480"/>
      <c r="O157" s="1480"/>
      <c r="P157" s="1480"/>
      <c r="Q157" s="1480"/>
      <c r="R157" s="1480"/>
      <c r="S157" s="1480"/>
      <c r="T157" s="1480"/>
      <c r="U157" s="1480"/>
      <c r="V157" s="1480"/>
      <c r="W157" s="1480"/>
      <c r="X157" s="1480"/>
      <c r="Y157" s="1480"/>
      <c r="Z157" s="1480"/>
      <c r="AA157" s="1480"/>
      <c r="AB157" s="1480"/>
      <c r="AC157" s="1480"/>
      <c r="AD157" s="1480"/>
      <c r="AE157" s="1480"/>
      <c r="AF157" s="1480"/>
      <c r="AG157" s="1480"/>
      <c r="AH157" s="1225"/>
    </row>
  </sheetData>
  <sheetProtection algorithmName="SHA-512" hashValue="/w/85BjebiE34UN2SW6chKkjeTEhbw8xK7fuBSv380K/phEkA7l52zlW+4d69m3QZUH4atK3BYUmLHIza+a9Rg==" saltValue="BVNXSPXnrhDNE2v6PSBHyA==" spinCount="100000" sheet="1" objects="1" scenarios="1" formatCells="0" formatColumns="0"/>
  <autoFilter ref="A10:AG154">
    <filterColumn colId="0" showButton="0"/>
    <filterColumn colId="1" showButton="0"/>
  </autoFilter>
  <mergeCells count="98">
    <mergeCell ref="A154:D154"/>
    <mergeCell ref="A157:AG157"/>
    <mergeCell ref="B114:C114"/>
    <mergeCell ref="A140:D140"/>
    <mergeCell ref="A142:C142"/>
    <mergeCell ref="B143:C143"/>
    <mergeCell ref="B144:C144"/>
    <mergeCell ref="A153:D153"/>
    <mergeCell ref="B113:C113"/>
    <mergeCell ref="B90:C90"/>
    <mergeCell ref="B91:C91"/>
    <mergeCell ref="B92:C92"/>
    <mergeCell ref="B93:C93"/>
    <mergeCell ref="B94:C94"/>
    <mergeCell ref="A98:D98"/>
    <mergeCell ref="B100:C100"/>
    <mergeCell ref="B108:C108"/>
    <mergeCell ref="B109:C109"/>
    <mergeCell ref="B111:C111"/>
    <mergeCell ref="B112:C112"/>
    <mergeCell ref="B89:C89"/>
    <mergeCell ref="B78:C78"/>
    <mergeCell ref="B79:C79"/>
    <mergeCell ref="B80:C80"/>
    <mergeCell ref="B81:C81"/>
    <mergeCell ref="B82:C82"/>
    <mergeCell ref="B83:C83"/>
    <mergeCell ref="B84:C84"/>
    <mergeCell ref="B85:C85"/>
    <mergeCell ref="B86:C86"/>
    <mergeCell ref="B87:C87"/>
    <mergeCell ref="B88:C88"/>
    <mergeCell ref="B77:C77"/>
    <mergeCell ref="B64:C64"/>
    <mergeCell ref="B65:C65"/>
    <mergeCell ref="A66:C66"/>
    <mergeCell ref="B67:C67"/>
    <mergeCell ref="B68:C68"/>
    <mergeCell ref="A70:C70"/>
    <mergeCell ref="B72:C72"/>
    <mergeCell ref="B73:C73"/>
    <mergeCell ref="B74:C74"/>
    <mergeCell ref="B75:C75"/>
    <mergeCell ref="B76:C76"/>
    <mergeCell ref="B63:C63"/>
    <mergeCell ref="B52:C52"/>
    <mergeCell ref="B53:C53"/>
    <mergeCell ref="A54:C54"/>
    <mergeCell ref="B55:C55"/>
    <mergeCell ref="B56:C56"/>
    <mergeCell ref="B57:C57"/>
    <mergeCell ref="B58:C58"/>
    <mergeCell ref="B59:C59"/>
    <mergeCell ref="B60:C60"/>
    <mergeCell ref="A61:C61"/>
    <mergeCell ref="B62:C62"/>
    <mergeCell ref="B51:C51"/>
    <mergeCell ref="B40:C40"/>
    <mergeCell ref="B41:C41"/>
    <mergeCell ref="B42:C42"/>
    <mergeCell ref="B43:C43"/>
    <mergeCell ref="A44:C44"/>
    <mergeCell ref="B45:C45"/>
    <mergeCell ref="B46:C46"/>
    <mergeCell ref="A47:C47"/>
    <mergeCell ref="B48:C48"/>
    <mergeCell ref="B49:C49"/>
    <mergeCell ref="B50:C50"/>
    <mergeCell ref="B39:C39"/>
    <mergeCell ref="B27:C27"/>
    <mergeCell ref="B28:C28"/>
    <mergeCell ref="A29:C29"/>
    <mergeCell ref="B30:C30"/>
    <mergeCell ref="B31:C31"/>
    <mergeCell ref="B32:C32"/>
    <mergeCell ref="B33:C33"/>
    <mergeCell ref="A35:C35"/>
    <mergeCell ref="B36:C36"/>
    <mergeCell ref="B37:C37"/>
    <mergeCell ref="B38:C38"/>
    <mergeCell ref="B26:C26"/>
    <mergeCell ref="B15:C15"/>
    <mergeCell ref="B16:C16"/>
    <mergeCell ref="B17:C17"/>
    <mergeCell ref="A18:C18"/>
    <mergeCell ref="B19:C19"/>
    <mergeCell ref="B20:C20"/>
    <mergeCell ref="B21:C21"/>
    <mergeCell ref="B22:C22"/>
    <mergeCell ref="B23:C23"/>
    <mergeCell ref="B24:C24"/>
    <mergeCell ref="B25:C25"/>
    <mergeCell ref="B14:C14"/>
    <mergeCell ref="A7:AH7"/>
    <mergeCell ref="A9:C9"/>
    <mergeCell ref="A10:C10"/>
    <mergeCell ref="A11:D11"/>
    <mergeCell ref="A13:C13"/>
  </mergeCells>
  <printOptions horizontalCentered="1"/>
  <pageMargins left="0.98425196850393704" right="0.39370078740157483" top="0.47244094488188981" bottom="0.19685039370078741" header="0.23622047244094491" footer="0.19685039370078741"/>
  <pageSetup paperSize="9" scale="69" orientation="portrait" r:id="rId1"/>
  <headerFooter differentFirst="1">
    <oddHeader xml:space="preserve">&amp;R&amp;"Times New Roman,Regular"&amp;8 &amp;10 </oddHeader>
    <oddFooter>&amp;L&amp;"Times New Roman,Regular"&amp;8&amp;D; &amp;T&amp;R&amp;"Times New Roman,Regular"&amp;8&amp;P (&amp;N)</oddFooter>
    <firstHeader>&amp;R&amp;"Times New Roman,Regular"&amp;9 63.pielikums Jūrmalas pilsētas domes
2017.gada 30.janvāra saistošajiem noteikumiem Nr.10
(Protokols Nr.4, 1.punkts)</firstHeader>
    <firstFooter>&amp;L&amp;"Times New Roman,Regular"&amp;9&amp;D; &amp;T&amp;R&amp;"Times New Roman,Regular"&amp;9&amp;P (&amp;N)</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21"/>
  <sheetViews>
    <sheetView view="pageLayout" zoomScaleNormal="90" workbookViewId="0">
      <selection activeCell="R7" sqref="R7"/>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866</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7"/>
    </row>
    <row r="4" spans="1:17" ht="15.75"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501</v>
      </c>
      <c r="D6" s="1555"/>
      <c r="E6" s="1555"/>
      <c r="F6" s="1555"/>
      <c r="G6" s="1555"/>
      <c r="H6" s="1555"/>
      <c r="I6" s="1555"/>
      <c r="J6" s="1555"/>
      <c r="K6" s="1555"/>
      <c r="L6" s="1555"/>
      <c r="M6" s="1555"/>
      <c r="N6" s="1555"/>
      <c r="O6" s="1555"/>
      <c r="P6" s="1556"/>
      <c r="Q6" s="7"/>
    </row>
    <row r="7" spans="1:17" ht="12.75" x14ac:dyDescent="0.25">
      <c r="A7" s="13" t="s">
        <v>4</v>
      </c>
      <c r="B7" s="14"/>
      <c r="C7" s="1555" t="s">
        <v>502</v>
      </c>
      <c r="D7" s="1555"/>
      <c r="E7" s="1555"/>
      <c r="F7" s="1555"/>
      <c r="G7" s="1555"/>
      <c r="H7" s="1555"/>
      <c r="I7" s="1555"/>
      <c r="J7" s="1555"/>
      <c r="K7" s="1555"/>
      <c r="L7" s="1555"/>
      <c r="M7" s="1555"/>
      <c r="N7" s="1555"/>
      <c r="O7" s="1555"/>
      <c r="P7" s="1556"/>
      <c r="Q7" s="7"/>
    </row>
    <row r="8" spans="1:17" x14ac:dyDescent="0.25">
      <c r="A8" s="8" t="s">
        <v>6</v>
      </c>
      <c r="B8" s="9"/>
      <c r="C8" s="1553" t="s">
        <v>503</v>
      </c>
      <c r="D8" s="1553"/>
      <c r="E8" s="1553"/>
      <c r="F8" s="1553"/>
      <c r="G8" s="1553"/>
      <c r="H8" s="1553"/>
      <c r="I8" s="1553"/>
      <c r="J8" s="1553"/>
      <c r="K8" s="1553"/>
      <c r="L8" s="1553"/>
      <c r="M8" s="1553"/>
      <c r="N8" s="1553"/>
      <c r="O8" s="1553"/>
      <c r="P8" s="1554"/>
      <c r="Q8" s="7"/>
    </row>
    <row r="9" spans="1:17" x14ac:dyDescent="0.25">
      <c r="A9" s="8" t="s">
        <v>8</v>
      </c>
      <c r="B9" s="9"/>
      <c r="C9" s="1553" t="s">
        <v>384</v>
      </c>
      <c r="D9" s="1553"/>
      <c r="E9" s="1553"/>
      <c r="F9" s="1553"/>
      <c r="G9" s="1553"/>
      <c r="H9" s="1553"/>
      <c r="I9" s="1553"/>
      <c r="J9" s="1553"/>
      <c r="K9" s="1553"/>
      <c r="L9" s="1553"/>
      <c r="M9" s="1553"/>
      <c r="N9" s="1553"/>
      <c r="O9" s="1553"/>
      <c r="P9" s="1554"/>
      <c r="Q9" s="7"/>
    </row>
    <row r="10" spans="1:17" x14ac:dyDescent="0.25">
      <c r="A10" s="8" t="s">
        <v>10</v>
      </c>
      <c r="B10" s="9"/>
      <c r="C10" s="1555" t="s">
        <v>525</v>
      </c>
      <c r="D10" s="1555"/>
      <c r="E10" s="1555"/>
      <c r="F10" s="1555"/>
      <c r="G10" s="1555"/>
      <c r="H10" s="1555"/>
      <c r="I10" s="1555"/>
      <c r="J10" s="1555"/>
      <c r="K10" s="1555"/>
      <c r="L10" s="1555"/>
      <c r="M10" s="1555"/>
      <c r="N10" s="1555"/>
      <c r="O10" s="1555"/>
      <c r="P10" s="1556"/>
      <c r="Q10" s="7"/>
    </row>
    <row r="11" spans="1:17" x14ac:dyDescent="0.25">
      <c r="A11" s="8" t="s">
        <v>12</v>
      </c>
      <c r="B11" s="9"/>
      <c r="C11" s="1555"/>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864</v>
      </c>
      <c r="D13" s="1553"/>
      <c r="E13" s="1553"/>
      <c r="F13" s="1553"/>
      <c r="G13" s="1553"/>
      <c r="H13" s="1553"/>
      <c r="I13" s="1553"/>
      <c r="J13" s="1553"/>
      <c r="K13" s="1553"/>
      <c r="L13" s="1553"/>
      <c r="M13" s="1553"/>
      <c r="N13" s="1553"/>
      <c r="O13" s="1553"/>
      <c r="P13" s="1554"/>
      <c r="Q13" s="7"/>
    </row>
    <row r="14" spans="1:17" x14ac:dyDescent="0.25">
      <c r="A14" s="8"/>
      <c r="B14" s="9" t="s">
        <v>17</v>
      </c>
      <c r="C14" s="1553"/>
      <c r="D14" s="1553"/>
      <c r="E14" s="1553"/>
      <c r="F14" s="1553"/>
      <c r="G14" s="1553"/>
      <c r="H14" s="1553"/>
      <c r="I14" s="1553"/>
      <c r="J14" s="1553"/>
      <c r="K14" s="1553"/>
      <c r="L14" s="1553"/>
      <c r="M14" s="1553"/>
      <c r="N14" s="1553"/>
      <c r="O14" s="1553"/>
      <c r="P14" s="1554"/>
      <c r="Q14" s="7"/>
    </row>
    <row r="15" spans="1:17" x14ac:dyDescent="0.25">
      <c r="A15" s="8"/>
      <c r="B15" s="9" t="s">
        <v>19</v>
      </c>
      <c r="C15" s="1553"/>
      <c r="D15" s="1553"/>
      <c r="E15" s="1553"/>
      <c r="F15" s="1553"/>
      <c r="G15" s="1553"/>
      <c r="H15" s="1553"/>
      <c r="I15" s="1553"/>
      <c r="J15" s="1553"/>
      <c r="K15" s="1553"/>
      <c r="L15" s="1553"/>
      <c r="M15" s="1553"/>
      <c r="N15" s="1553"/>
      <c r="O15" s="1553"/>
      <c r="P15" s="1554"/>
      <c r="Q15" s="7"/>
    </row>
    <row r="16" spans="1:17" x14ac:dyDescent="0.25">
      <c r="A16" s="8"/>
      <c r="B16" s="9" t="s">
        <v>20</v>
      </c>
      <c r="C16" s="1553" t="s">
        <v>865</v>
      </c>
      <c r="D16" s="1553"/>
      <c r="E16" s="1553"/>
      <c r="F16" s="1553"/>
      <c r="G16" s="1553"/>
      <c r="H16" s="1553"/>
      <c r="I16" s="1553"/>
      <c r="J16" s="1553"/>
      <c r="K16" s="1553"/>
      <c r="L16" s="1553"/>
      <c r="M16" s="1553"/>
      <c r="N16" s="1553"/>
      <c r="O16" s="1553"/>
      <c r="P16" s="1554"/>
      <c r="Q16" s="7"/>
    </row>
    <row r="17" spans="1:19" x14ac:dyDescent="0.25">
      <c r="A17" s="8"/>
      <c r="B17" s="9" t="s">
        <v>22</v>
      </c>
      <c r="C17" s="1553"/>
      <c r="D17" s="1553"/>
      <c r="E17" s="1553"/>
      <c r="F17" s="1553"/>
      <c r="G17" s="1553"/>
      <c r="H17" s="1553"/>
      <c r="I17" s="1553"/>
      <c r="J17" s="1553"/>
      <c r="K17" s="1553"/>
      <c r="L17" s="1553"/>
      <c r="M17" s="1553"/>
      <c r="N17" s="1553"/>
      <c r="O17" s="1553"/>
      <c r="P17" s="1554"/>
      <c r="Q17" s="7"/>
    </row>
    <row r="18" spans="1:19" x14ac:dyDescent="0.25">
      <c r="A18" s="18"/>
      <c r="B18" s="19"/>
      <c r="C18" s="1569"/>
      <c r="D18" s="1569"/>
      <c r="E18" s="1569"/>
      <c r="F18" s="1569"/>
      <c r="G18" s="1569"/>
      <c r="H18" s="1569"/>
      <c r="I18" s="1569"/>
      <c r="J18" s="1569"/>
      <c r="K18" s="1569"/>
      <c r="L18" s="1569"/>
      <c r="M18" s="1569"/>
      <c r="N18" s="1569"/>
      <c r="O18" s="1569"/>
      <c r="P18" s="1570"/>
      <c r="Q18" s="7"/>
    </row>
    <row r="19" spans="1:19"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19"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19" s="21" customFormat="1" ht="70.5" customHeight="1" thickBot="1" x14ac:dyDescent="0.3">
      <c r="A21" s="1573"/>
      <c r="B21" s="1576"/>
      <c r="C21" s="1581"/>
      <c r="D21" s="1566"/>
      <c r="E21" s="1568"/>
      <c r="F21" s="1564"/>
      <c r="G21" s="1566"/>
      <c r="H21" s="1568"/>
      <c r="I21" s="1564"/>
      <c r="J21" s="1566"/>
      <c r="K21" s="1568"/>
      <c r="L21" s="1564"/>
      <c r="M21" s="1566"/>
      <c r="N21" s="1568"/>
      <c r="O21" s="1564"/>
      <c r="P21" s="1576"/>
    </row>
    <row r="22" spans="1:19"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19" s="41" customFormat="1" x14ac:dyDescent="0.25">
      <c r="A23" s="30"/>
      <c r="B23" s="31" t="s">
        <v>41</v>
      </c>
      <c r="C23" s="32"/>
      <c r="D23" s="33"/>
      <c r="E23" s="34"/>
      <c r="F23" s="35"/>
      <c r="G23" s="33"/>
      <c r="H23" s="36"/>
      <c r="I23" s="37"/>
      <c r="J23" s="33"/>
      <c r="K23" s="38"/>
      <c r="L23" s="37"/>
      <c r="M23" s="38"/>
      <c r="N23" s="39"/>
      <c r="O23" s="37"/>
      <c r="P23" s="40"/>
    </row>
    <row r="24" spans="1:19" s="41" customFormat="1" ht="12.75" thickBot="1" x14ac:dyDescent="0.3">
      <c r="A24" s="42"/>
      <c r="B24" s="43" t="s">
        <v>42</v>
      </c>
      <c r="C24" s="44">
        <f>F24+I24+L24+O24</f>
        <v>2668412</v>
      </c>
      <c r="D24" s="45">
        <f>SUM(D25,D28,D29,D45,D46)</f>
        <v>2398717</v>
      </c>
      <c r="E24" s="46">
        <f>SUM(E25,E28,E29,E45,E46)</f>
        <v>-3090</v>
      </c>
      <c r="F24" s="47">
        <f t="shared" ref="F24:F29" si="0">D24+E24</f>
        <v>2395627</v>
      </c>
      <c r="G24" s="45">
        <f>SUM(G25,G28,G46)</f>
        <v>0</v>
      </c>
      <c r="H24" s="48">
        <f>SUM(H25,H28,H46)</f>
        <v>0</v>
      </c>
      <c r="I24" s="49">
        <f>G24+H24</f>
        <v>0</v>
      </c>
      <c r="J24" s="45">
        <f>SUM(J25,J30,J46)</f>
        <v>272785</v>
      </c>
      <c r="K24" s="48">
        <f>SUM(K25,K30,K46)</f>
        <v>0</v>
      </c>
      <c r="L24" s="49">
        <f>J24+K24</f>
        <v>272785</v>
      </c>
      <c r="M24" s="50">
        <f>SUM(M25,M48)</f>
        <v>0</v>
      </c>
      <c r="N24" s="51">
        <f>SUM(N25,N48)</f>
        <v>0</v>
      </c>
      <c r="O24" s="49">
        <f>M24+N24</f>
        <v>0</v>
      </c>
      <c r="P24" s="52"/>
      <c r="R24" s="53"/>
      <c r="S24" s="53"/>
    </row>
    <row r="25" spans="1:19" ht="12.75" thickTop="1" x14ac:dyDescent="0.25">
      <c r="A25" s="54"/>
      <c r="B25" s="55" t="s">
        <v>43</v>
      </c>
      <c r="C25" s="56">
        <f>F25+I25+L25+O25</f>
        <v>57370</v>
      </c>
      <c r="D25" s="57">
        <f>SUM(D26:D27)</f>
        <v>0</v>
      </c>
      <c r="E25" s="58">
        <f>SUM(E26:E27)</f>
        <v>0</v>
      </c>
      <c r="F25" s="59">
        <f t="shared" si="0"/>
        <v>0</v>
      </c>
      <c r="G25" s="57">
        <f>SUM(G26:G27)</f>
        <v>0</v>
      </c>
      <c r="H25" s="60">
        <f>SUM(H26:H27)</f>
        <v>0</v>
      </c>
      <c r="I25" s="61">
        <f>G25+H25</f>
        <v>0</v>
      </c>
      <c r="J25" s="57">
        <f>SUM(J26:J27)</f>
        <v>57370</v>
      </c>
      <c r="K25" s="60">
        <f>SUM(K26:K27)</f>
        <v>0</v>
      </c>
      <c r="L25" s="61">
        <f>J25+K25</f>
        <v>57370</v>
      </c>
      <c r="M25" s="62">
        <f>SUM(M26:M27)</f>
        <v>0</v>
      </c>
      <c r="N25" s="63">
        <f>SUM(N26:N27)</f>
        <v>0</v>
      </c>
      <c r="O25" s="61">
        <f>M25+N25</f>
        <v>0</v>
      </c>
      <c r="P25" s="64"/>
      <c r="R25" s="53"/>
      <c r="S25" s="53"/>
    </row>
    <row r="26" spans="1:19" hidden="1" x14ac:dyDescent="0.25">
      <c r="A26" s="65"/>
      <c r="B26" s="66" t="s">
        <v>44</v>
      </c>
      <c r="C26" s="67">
        <f>F26+I26+L26+O26</f>
        <v>0</v>
      </c>
      <c r="D26" s="68"/>
      <c r="E26" s="673"/>
      <c r="F26" s="70">
        <f t="shared" si="0"/>
        <v>0</v>
      </c>
      <c r="G26" s="68"/>
      <c r="H26" s="71"/>
      <c r="I26" s="72">
        <f>G26+H26</f>
        <v>0</v>
      </c>
      <c r="J26" s="68"/>
      <c r="K26" s="71"/>
      <c r="L26" s="72">
        <f>J26+K26</f>
        <v>0</v>
      </c>
      <c r="M26" s="73"/>
      <c r="N26" s="69"/>
      <c r="O26" s="72">
        <f>M26+N26</f>
        <v>0</v>
      </c>
      <c r="P26" s="74"/>
      <c r="R26" s="53"/>
      <c r="S26" s="53"/>
    </row>
    <row r="27" spans="1:19" x14ac:dyDescent="0.25">
      <c r="A27" s="75"/>
      <c r="B27" s="76" t="s">
        <v>45</v>
      </c>
      <c r="C27" s="77">
        <f>F27+I27+L27+O27</f>
        <v>57370</v>
      </c>
      <c r="D27" s="78"/>
      <c r="E27" s="79"/>
      <c r="F27" s="80">
        <f t="shared" si="0"/>
        <v>0</v>
      </c>
      <c r="G27" s="78"/>
      <c r="H27" s="81"/>
      <c r="I27" s="82">
        <f>G27+H27</f>
        <v>0</v>
      </c>
      <c r="J27" s="78">
        <f>56141+1229</f>
        <v>57370</v>
      </c>
      <c r="K27" s="81"/>
      <c r="L27" s="82">
        <f>J27+K27</f>
        <v>57370</v>
      </c>
      <c r="M27" s="83"/>
      <c r="N27" s="84"/>
      <c r="O27" s="82">
        <f>M27+N27</f>
        <v>0</v>
      </c>
      <c r="P27" s="85"/>
      <c r="R27" s="53"/>
      <c r="S27" s="53"/>
    </row>
    <row r="28" spans="1:19" s="41" customFormat="1" ht="24.75" thickBot="1" x14ac:dyDescent="0.3">
      <c r="A28" s="86">
        <v>19300</v>
      </c>
      <c r="B28" s="86" t="s">
        <v>46</v>
      </c>
      <c r="C28" s="87">
        <f>SUM(F28,I28)</f>
        <v>2395627</v>
      </c>
      <c r="D28" s="88">
        <f>D54</f>
        <v>2398717</v>
      </c>
      <c r="E28" s="89">
        <v>-3090</v>
      </c>
      <c r="F28" s="90">
        <f t="shared" si="0"/>
        <v>2395627</v>
      </c>
      <c r="G28" s="88"/>
      <c r="H28" s="91"/>
      <c r="I28" s="92">
        <f>G28+H28</f>
        <v>0</v>
      </c>
      <c r="J28" s="93" t="s">
        <v>47</v>
      </c>
      <c r="K28" s="94" t="s">
        <v>47</v>
      </c>
      <c r="L28" s="95" t="s">
        <v>47</v>
      </c>
      <c r="M28" s="96" t="s">
        <v>47</v>
      </c>
      <c r="N28" s="97" t="s">
        <v>47</v>
      </c>
      <c r="O28" s="95" t="s">
        <v>47</v>
      </c>
      <c r="P28" s="98"/>
      <c r="R28" s="53"/>
      <c r="S28" s="53"/>
    </row>
    <row r="29" spans="1:19" s="41" customFormat="1" ht="32.25" hidden="1" customHeight="1" thickTop="1" x14ac:dyDescent="0.25">
      <c r="A29" s="99"/>
      <c r="B29" s="99" t="s">
        <v>48</v>
      </c>
      <c r="C29" s="100">
        <f>F29</f>
        <v>0</v>
      </c>
      <c r="D29" s="101"/>
      <c r="E29" s="665"/>
      <c r="F29" s="103">
        <f t="shared" si="0"/>
        <v>0</v>
      </c>
      <c r="G29" s="104" t="s">
        <v>47</v>
      </c>
      <c r="H29" s="105" t="s">
        <v>47</v>
      </c>
      <c r="I29" s="106" t="s">
        <v>47</v>
      </c>
      <c r="J29" s="104" t="s">
        <v>47</v>
      </c>
      <c r="K29" s="105" t="s">
        <v>47</v>
      </c>
      <c r="L29" s="106" t="s">
        <v>47</v>
      </c>
      <c r="M29" s="107" t="s">
        <v>47</v>
      </c>
      <c r="N29" s="108" t="s">
        <v>47</v>
      </c>
      <c r="O29" s="106" t="s">
        <v>47</v>
      </c>
      <c r="P29" s="109"/>
      <c r="R29" s="53"/>
      <c r="S29" s="53"/>
    </row>
    <row r="30" spans="1:19" s="41" customFormat="1" ht="36.75" thickTop="1" x14ac:dyDescent="0.25">
      <c r="A30" s="99">
        <v>21300</v>
      </c>
      <c r="B30" s="99" t="s">
        <v>49</v>
      </c>
      <c r="C30" s="100">
        <f t="shared" ref="C30:C44" si="1">L30</f>
        <v>214703</v>
      </c>
      <c r="D30" s="104" t="s">
        <v>47</v>
      </c>
      <c r="E30" s="110" t="s">
        <v>47</v>
      </c>
      <c r="F30" s="111" t="s">
        <v>47</v>
      </c>
      <c r="G30" s="104" t="s">
        <v>47</v>
      </c>
      <c r="H30" s="105" t="s">
        <v>47</v>
      </c>
      <c r="I30" s="106" t="s">
        <v>47</v>
      </c>
      <c r="J30" s="112">
        <f>SUM(J31,J35,J37,J40)</f>
        <v>214703</v>
      </c>
      <c r="K30" s="113">
        <f>SUM(K31,K35,K37,K40)</f>
        <v>0</v>
      </c>
      <c r="L30" s="114">
        <f t="shared" ref="L30:L44" si="2">J30+K30</f>
        <v>214703</v>
      </c>
      <c r="M30" s="107" t="s">
        <v>47</v>
      </c>
      <c r="N30" s="108" t="s">
        <v>47</v>
      </c>
      <c r="O30" s="106" t="s">
        <v>47</v>
      </c>
      <c r="P30" s="109"/>
      <c r="R30" s="53"/>
      <c r="S30" s="53"/>
    </row>
    <row r="31" spans="1:19" s="41" customFormat="1" ht="24" hidden="1" x14ac:dyDescent="0.25">
      <c r="A31" s="115">
        <v>21350</v>
      </c>
      <c r="B31" s="99" t="s">
        <v>50</v>
      </c>
      <c r="C31" s="100">
        <f t="shared" si="1"/>
        <v>0</v>
      </c>
      <c r="D31" s="104" t="s">
        <v>47</v>
      </c>
      <c r="E31" s="110" t="s">
        <v>47</v>
      </c>
      <c r="F31" s="140" t="s">
        <v>47</v>
      </c>
      <c r="G31" s="104" t="s">
        <v>47</v>
      </c>
      <c r="H31" s="105" t="s">
        <v>47</v>
      </c>
      <c r="I31" s="106" t="s">
        <v>47</v>
      </c>
      <c r="J31" s="112">
        <f>SUM(J32:J34)</f>
        <v>0</v>
      </c>
      <c r="K31" s="113">
        <f>SUM(K32:K34)</f>
        <v>0</v>
      </c>
      <c r="L31" s="114">
        <f t="shared" si="2"/>
        <v>0</v>
      </c>
      <c r="M31" s="107" t="s">
        <v>47</v>
      </c>
      <c r="N31" s="108" t="s">
        <v>47</v>
      </c>
      <c r="O31" s="106" t="s">
        <v>47</v>
      </c>
      <c r="P31" s="109"/>
      <c r="R31" s="53"/>
      <c r="S31" s="53"/>
    </row>
    <row r="32" spans="1:19" hidden="1" x14ac:dyDescent="0.25">
      <c r="A32" s="65">
        <v>21351</v>
      </c>
      <c r="B32" s="116" t="s">
        <v>51</v>
      </c>
      <c r="C32" s="117">
        <f t="shared" si="1"/>
        <v>0</v>
      </c>
      <c r="D32" s="118" t="s">
        <v>47</v>
      </c>
      <c r="E32" s="154" t="s">
        <v>47</v>
      </c>
      <c r="F32" s="120" t="s">
        <v>47</v>
      </c>
      <c r="G32" s="118" t="s">
        <v>47</v>
      </c>
      <c r="H32" s="121" t="s">
        <v>47</v>
      </c>
      <c r="I32" s="122" t="s">
        <v>47</v>
      </c>
      <c r="J32" s="123"/>
      <c r="K32" s="124"/>
      <c r="L32" s="125">
        <f t="shared" si="2"/>
        <v>0</v>
      </c>
      <c r="M32" s="126" t="s">
        <v>47</v>
      </c>
      <c r="N32" s="119" t="s">
        <v>47</v>
      </c>
      <c r="O32" s="122" t="s">
        <v>47</v>
      </c>
      <c r="P32" s="74"/>
      <c r="R32" s="53"/>
      <c r="S32" s="53"/>
    </row>
    <row r="33" spans="1:19" hidden="1" x14ac:dyDescent="0.25">
      <c r="A33" s="75">
        <v>21352</v>
      </c>
      <c r="B33" s="127" t="s">
        <v>52</v>
      </c>
      <c r="C33" s="128">
        <f t="shared" si="1"/>
        <v>0</v>
      </c>
      <c r="D33" s="129" t="s">
        <v>47</v>
      </c>
      <c r="E33" s="130" t="s">
        <v>47</v>
      </c>
      <c r="F33" s="139" t="s">
        <v>47</v>
      </c>
      <c r="G33" s="129" t="s">
        <v>47</v>
      </c>
      <c r="H33" s="132" t="s">
        <v>47</v>
      </c>
      <c r="I33" s="133" t="s">
        <v>47</v>
      </c>
      <c r="J33" s="134"/>
      <c r="K33" s="135"/>
      <c r="L33" s="136">
        <f t="shared" si="2"/>
        <v>0</v>
      </c>
      <c r="M33" s="137" t="s">
        <v>47</v>
      </c>
      <c r="N33" s="138" t="s">
        <v>47</v>
      </c>
      <c r="O33" s="133" t="s">
        <v>47</v>
      </c>
      <c r="P33" s="85"/>
      <c r="R33" s="53"/>
      <c r="S33" s="53"/>
    </row>
    <row r="34" spans="1:19" ht="24" hidden="1" x14ac:dyDescent="0.25">
      <c r="A34" s="75">
        <v>21359</v>
      </c>
      <c r="B34" s="127" t="s">
        <v>53</v>
      </c>
      <c r="C34" s="128">
        <f t="shared" si="1"/>
        <v>0</v>
      </c>
      <c r="D34" s="129" t="s">
        <v>47</v>
      </c>
      <c r="E34" s="130" t="s">
        <v>47</v>
      </c>
      <c r="F34" s="139" t="s">
        <v>47</v>
      </c>
      <c r="G34" s="129" t="s">
        <v>47</v>
      </c>
      <c r="H34" s="132" t="s">
        <v>47</v>
      </c>
      <c r="I34" s="133" t="s">
        <v>47</v>
      </c>
      <c r="J34" s="134"/>
      <c r="K34" s="135"/>
      <c r="L34" s="136">
        <f t="shared" si="2"/>
        <v>0</v>
      </c>
      <c r="M34" s="137" t="s">
        <v>47</v>
      </c>
      <c r="N34" s="138" t="s">
        <v>47</v>
      </c>
      <c r="O34" s="133" t="s">
        <v>47</v>
      </c>
      <c r="P34" s="85"/>
      <c r="R34" s="53"/>
      <c r="S34" s="53"/>
    </row>
    <row r="35" spans="1:19" s="41" customFormat="1" ht="36" x14ac:dyDescent="0.25">
      <c r="A35" s="115">
        <v>21370</v>
      </c>
      <c r="B35" s="99" t="s">
        <v>54</v>
      </c>
      <c r="C35" s="100">
        <f t="shared" si="1"/>
        <v>65901</v>
      </c>
      <c r="D35" s="104" t="s">
        <v>47</v>
      </c>
      <c r="E35" s="110" t="s">
        <v>47</v>
      </c>
      <c r="F35" s="111" t="s">
        <v>47</v>
      </c>
      <c r="G35" s="104" t="s">
        <v>47</v>
      </c>
      <c r="H35" s="105" t="s">
        <v>47</v>
      </c>
      <c r="I35" s="106" t="s">
        <v>47</v>
      </c>
      <c r="J35" s="112">
        <f>SUM(J36)</f>
        <v>65901</v>
      </c>
      <c r="K35" s="113">
        <f>SUM(K36)</f>
        <v>0</v>
      </c>
      <c r="L35" s="114">
        <f t="shared" si="2"/>
        <v>65901</v>
      </c>
      <c r="M35" s="107" t="s">
        <v>47</v>
      </c>
      <c r="N35" s="108" t="s">
        <v>47</v>
      </c>
      <c r="O35" s="106" t="s">
        <v>47</v>
      </c>
      <c r="P35" s="109"/>
      <c r="R35" s="53"/>
      <c r="S35" s="53"/>
    </row>
    <row r="36" spans="1:19" ht="36" x14ac:dyDescent="0.25">
      <c r="A36" s="141">
        <v>21379</v>
      </c>
      <c r="B36" s="142" t="s">
        <v>55</v>
      </c>
      <c r="C36" s="143">
        <f t="shared" si="1"/>
        <v>65901</v>
      </c>
      <c r="D36" s="144" t="s">
        <v>47</v>
      </c>
      <c r="E36" s="668" t="s">
        <v>47</v>
      </c>
      <c r="F36" s="773" t="s">
        <v>47</v>
      </c>
      <c r="G36" s="144" t="s">
        <v>47</v>
      </c>
      <c r="H36" s="147" t="s">
        <v>47</v>
      </c>
      <c r="I36" s="148" t="s">
        <v>47</v>
      </c>
      <c r="J36" s="149">
        <v>65901</v>
      </c>
      <c r="K36" s="150"/>
      <c r="L36" s="151">
        <f t="shared" si="2"/>
        <v>65901</v>
      </c>
      <c r="M36" s="152" t="s">
        <v>47</v>
      </c>
      <c r="N36" s="145" t="s">
        <v>47</v>
      </c>
      <c r="O36" s="148" t="s">
        <v>47</v>
      </c>
      <c r="P36" s="153"/>
      <c r="R36" s="53"/>
      <c r="S36" s="53"/>
    </row>
    <row r="37" spans="1:19" s="41" customFormat="1" hidden="1" x14ac:dyDescent="0.25">
      <c r="A37" s="115">
        <v>21380</v>
      </c>
      <c r="B37" s="99" t="s">
        <v>56</v>
      </c>
      <c r="C37" s="100">
        <f t="shared" si="1"/>
        <v>0</v>
      </c>
      <c r="D37" s="104" t="s">
        <v>47</v>
      </c>
      <c r="E37" s="110" t="s">
        <v>47</v>
      </c>
      <c r="F37" s="140" t="s">
        <v>47</v>
      </c>
      <c r="G37" s="104" t="s">
        <v>47</v>
      </c>
      <c r="H37" s="105" t="s">
        <v>47</v>
      </c>
      <c r="I37" s="106" t="s">
        <v>47</v>
      </c>
      <c r="J37" s="112">
        <f>SUM(J38:J39)</f>
        <v>0</v>
      </c>
      <c r="K37" s="113">
        <f>SUM(K38:K39)</f>
        <v>0</v>
      </c>
      <c r="L37" s="114">
        <f t="shared" si="2"/>
        <v>0</v>
      </c>
      <c r="M37" s="107" t="s">
        <v>47</v>
      </c>
      <c r="N37" s="108" t="s">
        <v>47</v>
      </c>
      <c r="O37" s="106" t="s">
        <v>47</v>
      </c>
      <c r="P37" s="109"/>
      <c r="R37" s="53"/>
      <c r="S37" s="53"/>
    </row>
    <row r="38" spans="1:19" hidden="1" x14ac:dyDescent="0.25">
      <c r="A38" s="66">
        <v>21381</v>
      </c>
      <c r="B38" s="116" t="s">
        <v>57</v>
      </c>
      <c r="C38" s="117">
        <f t="shared" si="1"/>
        <v>0</v>
      </c>
      <c r="D38" s="118" t="s">
        <v>47</v>
      </c>
      <c r="E38" s="154" t="s">
        <v>47</v>
      </c>
      <c r="F38" s="120" t="s">
        <v>47</v>
      </c>
      <c r="G38" s="118" t="s">
        <v>47</v>
      </c>
      <c r="H38" s="121" t="s">
        <v>47</v>
      </c>
      <c r="I38" s="122" t="s">
        <v>47</v>
      </c>
      <c r="J38" s="123"/>
      <c r="K38" s="124"/>
      <c r="L38" s="125">
        <f t="shared" si="2"/>
        <v>0</v>
      </c>
      <c r="M38" s="126" t="s">
        <v>47</v>
      </c>
      <c r="N38" s="119" t="s">
        <v>47</v>
      </c>
      <c r="O38" s="122" t="s">
        <v>47</v>
      </c>
      <c r="P38" s="74"/>
      <c r="R38" s="53"/>
      <c r="S38" s="53"/>
    </row>
    <row r="39" spans="1:19" ht="24" hidden="1" x14ac:dyDescent="0.25">
      <c r="A39" s="76">
        <v>21383</v>
      </c>
      <c r="B39" s="127" t="s">
        <v>58</v>
      </c>
      <c r="C39" s="128">
        <f t="shared" si="1"/>
        <v>0</v>
      </c>
      <c r="D39" s="129" t="s">
        <v>47</v>
      </c>
      <c r="E39" s="130" t="s">
        <v>47</v>
      </c>
      <c r="F39" s="139" t="s">
        <v>47</v>
      </c>
      <c r="G39" s="129" t="s">
        <v>47</v>
      </c>
      <c r="H39" s="132" t="s">
        <v>47</v>
      </c>
      <c r="I39" s="133" t="s">
        <v>47</v>
      </c>
      <c r="J39" s="134"/>
      <c r="K39" s="135"/>
      <c r="L39" s="136">
        <f t="shared" si="2"/>
        <v>0</v>
      </c>
      <c r="M39" s="137" t="s">
        <v>47</v>
      </c>
      <c r="N39" s="138" t="s">
        <v>47</v>
      </c>
      <c r="O39" s="133" t="s">
        <v>47</v>
      </c>
      <c r="P39" s="85"/>
      <c r="R39" s="53"/>
      <c r="S39" s="53"/>
    </row>
    <row r="40" spans="1:19" s="41" customFormat="1" ht="24" x14ac:dyDescent="0.25">
      <c r="A40" s="115">
        <v>21390</v>
      </c>
      <c r="B40" s="99" t="s">
        <v>59</v>
      </c>
      <c r="C40" s="100">
        <f t="shared" si="1"/>
        <v>148802</v>
      </c>
      <c r="D40" s="104" t="s">
        <v>47</v>
      </c>
      <c r="E40" s="110" t="s">
        <v>47</v>
      </c>
      <c r="F40" s="111" t="s">
        <v>47</v>
      </c>
      <c r="G40" s="104" t="s">
        <v>47</v>
      </c>
      <c r="H40" s="105" t="s">
        <v>47</v>
      </c>
      <c r="I40" s="106" t="s">
        <v>47</v>
      </c>
      <c r="J40" s="112">
        <f>SUM(J41:J44)</f>
        <v>148802</v>
      </c>
      <c r="K40" s="113">
        <f>SUM(K41:K44)</f>
        <v>0</v>
      </c>
      <c r="L40" s="114">
        <f t="shared" si="2"/>
        <v>148802</v>
      </c>
      <c r="M40" s="107" t="s">
        <v>47</v>
      </c>
      <c r="N40" s="108" t="s">
        <v>47</v>
      </c>
      <c r="O40" s="106" t="s">
        <v>47</v>
      </c>
      <c r="P40" s="109"/>
      <c r="R40" s="53"/>
      <c r="S40" s="53"/>
    </row>
    <row r="41" spans="1:19" ht="24" hidden="1" x14ac:dyDescent="0.25">
      <c r="A41" s="66">
        <v>21391</v>
      </c>
      <c r="B41" s="116" t="s">
        <v>60</v>
      </c>
      <c r="C41" s="117">
        <f t="shared" si="1"/>
        <v>0</v>
      </c>
      <c r="D41" s="118" t="s">
        <v>47</v>
      </c>
      <c r="E41" s="154" t="s">
        <v>47</v>
      </c>
      <c r="F41" s="120" t="s">
        <v>47</v>
      </c>
      <c r="G41" s="118" t="s">
        <v>47</v>
      </c>
      <c r="H41" s="121" t="s">
        <v>47</v>
      </c>
      <c r="I41" s="122" t="s">
        <v>47</v>
      </c>
      <c r="J41" s="123"/>
      <c r="K41" s="124"/>
      <c r="L41" s="125">
        <f t="shared" si="2"/>
        <v>0</v>
      </c>
      <c r="M41" s="126" t="s">
        <v>47</v>
      </c>
      <c r="N41" s="119" t="s">
        <v>47</v>
      </c>
      <c r="O41" s="122" t="s">
        <v>47</v>
      </c>
      <c r="P41" s="74"/>
      <c r="R41" s="53"/>
      <c r="S41" s="53"/>
    </row>
    <row r="42" spans="1:19" hidden="1" x14ac:dyDescent="0.25">
      <c r="A42" s="76">
        <v>21393</v>
      </c>
      <c r="B42" s="127" t="s">
        <v>61</v>
      </c>
      <c r="C42" s="128">
        <f t="shared" si="1"/>
        <v>0</v>
      </c>
      <c r="D42" s="129" t="s">
        <v>47</v>
      </c>
      <c r="E42" s="130" t="s">
        <v>47</v>
      </c>
      <c r="F42" s="139" t="s">
        <v>47</v>
      </c>
      <c r="G42" s="129" t="s">
        <v>47</v>
      </c>
      <c r="H42" s="132" t="s">
        <v>47</v>
      </c>
      <c r="I42" s="133" t="s">
        <v>47</v>
      </c>
      <c r="J42" s="134"/>
      <c r="K42" s="135"/>
      <c r="L42" s="136">
        <f t="shared" si="2"/>
        <v>0</v>
      </c>
      <c r="M42" s="137" t="s">
        <v>47</v>
      </c>
      <c r="N42" s="138" t="s">
        <v>47</v>
      </c>
      <c r="O42" s="133" t="s">
        <v>47</v>
      </c>
      <c r="P42" s="85"/>
      <c r="R42" s="53"/>
      <c r="S42" s="53"/>
    </row>
    <row r="43" spans="1:19" hidden="1" x14ac:dyDescent="0.25">
      <c r="A43" s="76">
        <v>21395</v>
      </c>
      <c r="B43" s="127" t="s">
        <v>62</v>
      </c>
      <c r="C43" s="128">
        <f t="shared" si="1"/>
        <v>0</v>
      </c>
      <c r="D43" s="129" t="s">
        <v>47</v>
      </c>
      <c r="E43" s="130" t="s">
        <v>47</v>
      </c>
      <c r="F43" s="139" t="s">
        <v>47</v>
      </c>
      <c r="G43" s="129" t="s">
        <v>47</v>
      </c>
      <c r="H43" s="132" t="s">
        <v>47</v>
      </c>
      <c r="I43" s="133" t="s">
        <v>47</v>
      </c>
      <c r="J43" s="134"/>
      <c r="K43" s="135"/>
      <c r="L43" s="136">
        <f t="shared" si="2"/>
        <v>0</v>
      </c>
      <c r="M43" s="137" t="s">
        <v>47</v>
      </c>
      <c r="N43" s="138" t="s">
        <v>47</v>
      </c>
      <c r="O43" s="133" t="s">
        <v>47</v>
      </c>
      <c r="P43" s="85"/>
      <c r="R43" s="53"/>
      <c r="S43" s="53"/>
    </row>
    <row r="44" spans="1:19" ht="24" x14ac:dyDescent="0.25">
      <c r="A44" s="76">
        <v>21399</v>
      </c>
      <c r="B44" s="127" t="s">
        <v>63</v>
      </c>
      <c r="C44" s="279">
        <f t="shared" si="1"/>
        <v>148802</v>
      </c>
      <c r="D44" s="129" t="s">
        <v>47</v>
      </c>
      <c r="E44" s="130" t="s">
        <v>47</v>
      </c>
      <c r="F44" s="131" t="s">
        <v>47</v>
      </c>
      <c r="G44" s="129" t="s">
        <v>47</v>
      </c>
      <c r="H44" s="132" t="s">
        <v>47</v>
      </c>
      <c r="I44" s="133" t="s">
        <v>47</v>
      </c>
      <c r="J44" s="134">
        <f>129957+15000+1056+2789</f>
        <v>148802</v>
      </c>
      <c r="K44" s="135"/>
      <c r="L44" s="136">
        <f t="shared" si="2"/>
        <v>148802</v>
      </c>
      <c r="M44" s="137" t="s">
        <v>47</v>
      </c>
      <c r="N44" s="138" t="s">
        <v>47</v>
      </c>
      <c r="O44" s="133" t="s">
        <v>47</v>
      </c>
      <c r="P44" s="85"/>
      <c r="R44" s="53"/>
      <c r="S44" s="53"/>
    </row>
    <row r="45" spans="1:19" s="41" customFormat="1" ht="32.25" hidden="1" customHeight="1" x14ac:dyDescent="0.25">
      <c r="A45" s="115">
        <v>21420</v>
      </c>
      <c r="B45" s="99" t="s">
        <v>64</v>
      </c>
      <c r="C45" s="156">
        <f>F45</f>
        <v>0</v>
      </c>
      <c r="D45" s="157"/>
      <c r="E45" s="702"/>
      <c r="F45" s="103">
        <f>D45+E45</f>
        <v>0</v>
      </c>
      <c r="G45" s="104" t="s">
        <v>47</v>
      </c>
      <c r="H45" s="105" t="s">
        <v>47</v>
      </c>
      <c r="I45" s="106" t="s">
        <v>47</v>
      </c>
      <c r="J45" s="104" t="s">
        <v>47</v>
      </c>
      <c r="K45" s="105" t="s">
        <v>47</v>
      </c>
      <c r="L45" s="106" t="s">
        <v>47</v>
      </c>
      <c r="M45" s="107" t="s">
        <v>47</v>
      </c>
      <c r="N45" s="108" t="s">
        <v>47</v>
      </c>
      <c r="O45" s="106" t="s">
        <v>47</v>
      </c>
      <c r="P45" s="109"/>
      <c r="R45" s="53"/>
      <c r="S45" s="53"/>
    </row>
    <row r="46" spans="1:19" s="41" customFormat="1" ht="24" x14ac:dyDescent="0.25">
      <c r="A46" s="159">
        <v>21490</v>
      </c>
      <c r="B46" s="160" t="s">
        <v>65</v>
      </c>
      <c r="C46" s="156">
        <f>F46+I46+L46</f>
        <v>712</v>
      </c>
      <c r="D46" s="161">
        <f>D47</f>
        <v>0</v>
      </c>
      <c r="E46" s="672">
        <f>E47</f>
        <v>0</v>
      </c>
      <c r="F46" s="774">
        <f>D46+E46</f>
        <v>0</v>
      </c>
      <c r="G46" s="161">
        <f>G47</f>
        <v>0</v>
      </c>
      <c r="H46" s="164">
        <f t="shared" ref="H46:K46" si="3">H47</f>
        <v>0</v>
      </c>
      <c r="I46" s="165">
        <f>G46+H46</f>
        <v>0</v>
      </c>
      <c r="J46" s="161">
        <f>J47</f>
        <v>712</v>
      </c>
      <c r="K46" s="164">
        <f t="shared" si="3"/>
        <v>0</v>
      </c>
      <c r="L46" s="165">
        <f>J46+K46</f>
        <v>712</v>
      </c>
      <c r="M46" s="107" t="s">
        <v>47</v>
      </c>
      <c r="N46" s="108" t="s">
        <v>47</v>
      </c>
      <c r="O46" s="106" t="s">
        <v>47</v>
      </c>
      <c r="P46" s="109"/>
      <c r="R46" s="53"/>
      <c r="S46" s="53"/>
    </row>
    <row r="47" spans="1:19" s="41" customFormat="1" ht="24" x14ac:dyDescent="0.25">
      <c r="A47" s="76">
        <v>21499</v>
      </c>
      <c r="B47" s="127" t="s">
        <v>66</v>
      </c>
      <c r="C47" s="166">
        <f>F47+I47+L47</f>
        <v>712</v>
      </c>
      <c r="D47" s="68"/>
      <c r="E47" s="673"/>
      <c r="F47" s="625">
        <f>D47+E47</f>
        <v>0</v>
      </c>
      <c r="G47" s="167"/>
      <c r="H47" s="71"/>
      <c r="I47" s="72">
        <f>G47+H47</f>
        <v>0</v>
      </c>
      <c r="J47" s="68">
        <v>712</v>
      </c>
      <c r="K47" s="71"/>
      <c r="L47" s="72">
        <f>J47+K47</f>
        <v>712</v>
      </c>
      <c r="M47" s="152" t="s">
        <v>47</v>
      </c>
      <c r="N47" s="145" t="s">
        <v>47</v>
      </c>
      <c r="O47" s="148" t="s">
        <v>47</v>
      </c>
      <c r="P47" s="153"/>
      <c r="R47" s="53"/>
      <c r="S47" s="53"/>
    </row>
    <row r="48" spans="1:19" ht="24" hidden="1" x14ac:dyDescent="0.25">
      <c r="A48" s="168">
        <v>23000</v>
      </c>
      <c r="B48" s="169" t="s">
        <v>67</v>
      </c>
      <c r="C48" s="156">
        <f>O48</f>
        <v>0</v>
      </c>
      <c r="D48" s="170" t="s">
        <v>47</v>
      </c>
      <c r="E48" s="669" t="s">
        <v>47</v>
      </c>
      <c r="F48" s="172" t="s">
        <v>47</v>
      </c>
      <c r="G48" s="170" t="s">
        <v>47</v>
      </c>
      <c r="H48" s="173" t="s">
        <v>47</v>
      </c>
      <c r="I48" s="174" t="s">
        <v>47</v>
      </c>
      <c r="J48" s="170" t="s">
        <v>47</v>
      </c>
      <c r="K48" s="173" t="s">
        <v>47</v>
      </c>
      <c r="L48" s="174" t="s">
        <v>47</v>
      </c>
      <c r="M48" s="175">
        <f>SUM(M49:M50)</f>
        <v>0</v>
      </c>
      <c r="N48" s="176">
        <f>SUM(N49:N50)</f>
        <v>0</v>
      </c>
      <c r="O48" s="177">
        <f>M48+N48</f>
        <v>0</v>
      </c>
      <c r="P48" s="109"/>
      <c r="R48" s="53"/>
      <c r="S48" s="53"/>
    </row>
    <row r="49" spans="1:19" ht="24" hidden="1" x14ac:dyDescent="0.25">
      <c r="A49" s="178">
        <v>23410</v>
      </c>
      <c r="B49" s="179" t="s">
        <v>68</v>
      </c>
      <c r="C49" s="180">
        <f>O49</f>
        <v>0</v>
      </c>
      <c r="D49" s="181" t="s">
        <v>47</v>
      </c>
      <c r="E49" s="674" t="s">
        <v>47</v>
      </c>
      <c r="F49" s="183" t="s">
        <v>47</v>
      </c>
      <c r="G49" s="181" t="s">
        <v>47</v>
      </c>
      <c r="H49" s="184" t="s">
        <v>47</v>
      </c>
      <c r="I49" s="185" t="s">
        <v>47</v>
      </c>
      <c r="J49" s="181" t="s">
        <v>47</v>
      </c>
      <c r="K49" s="184" t="s">
        <v>47</v>
      </c>
      <c r="L49" s="185" t="s">
        <v>47</v>
      </c>
      <c r="M49" s="186"/>
      <c r="N49" s="187"/>
      <c r="O49" s="188">
        <f>M49+N49</f>
        <v>0</v>
      </c>
      <c r="P49" s="189"/>
      <c r="R49" s="53"/>
      <c r="S49" s="53"/>
    </row>
    <row r="50" spans="1:19" ht="24" hidden="1" x14ac:dyDescent="0.25">
      <c r="A50" s="178">
        <v>23510</v>
      </c>
      <c r="B50" s="179" t="s">
        <v>69</v>
      </c>
      <c r="C50" s="180">
        <f>O50</f>
        <v>0</v>
      </c>
      <c r="D50" s="181" t="s">
        <v>47</v>
      </c>
      <c r="E50" s="674" t="s">
        <v>47</v>
      </c>
      <c r="F50" s="183" t="s">
        <v>47</v>
      </c>
      <c r="G50" s="181" t="s">
        <v>47</v>
      </c>
      <c r="H50" s="184" t="s">
        <v>47</v>
      </c>
      <c r="I50" s="185" t="s">
        <v>47</v>
      </c>
      <c r="J50" s="181" t="s">
        <v>47</v>
      </c>
      <c r="K50" s="184" t="s">
        <v>47</v>
      </c>
      <c r="L50" s="185" t="s">
        <v>47</v>
      </c>
      <c r="M50" s="186"/>
      <c r="N50" s="187"/>
      <c r="O50" s="188">
        <f>M50+N50</f>
        <v>0</v>
      </c>
      <c r="P50" s="189"/>
      <c r="R50" s="53"/>
      <c r="S50" s="53"/>
    </row>
    <row r="51" spans="1:19" x14ac:dyDescent="0.25">
      <c r="A51" s="190"/>
      <c r="B51" s="179"/>
      <c r="C51" s="191"/>
      <c r="D51" s="192"/>
      <c r="E51" s="193"/>
      <c r="F51" s="194"/>
      <c r="G51" s="192"/>
      <c r="H51" s="195"/>
      <c r="I51" s="185"/>
      <c r="J51" s="196"/>
      <c r="K51" s="197"/>
      <c r="L51" s="188"/>
      <c r="M51" s="186"/>
      <c r="N51" s="187"/>
      <c r="O51" s="188"/>
      <c r="P51" s="189"/>
      <c r="R51" s="53"/>
      <c r="S51" s="53"/>
    </row>
    <row r="52" spans="1:19" s="41" customFormat="1" x14ac:dyDescent="0.25">
      <c r="A52" s="198"/>
      <c r="B52" s="199" t="s">
        <v>70</v>
      </c>
      <c r="C52" s="200"/>
      <c r="D52" s="201"/>
      <c r="E52" s="202"/>
      <c r="F52" s="203"/>
      <c r="G52" s="201"/>
      <c r="H52" s="204"/>
      <c r="I52" s="205"/>
      <c r="J52" s="201"/>
      <c r="K52" s="204"/>
      <c r="L52" s="205"/>
      <c r="M52" s="206"/>
      <c r="N52" s="207"/>
      <c r="O52" s="205"/>
      <c r="P52" s="208"/>
      <c r="R52" s="53"/>
      <c r="S52" s="53"/>
    </row>
    <row r="53" spans="1:19" s="41" customFormat="1" ht="12.75" thickBot="1" x14ac:dyDescent="0.3">
      <c r="A53" s="209"/>
      <c r="B53" s="42" t="s">
        <v>71</v>
      </c>
      <c r="C53" s="210">
        <f t="shared" ref="C53:C116" si="4">F53+I53+L53+O53</f>
        <v>2668412</v>
      </c>
      <c r="D53" s="211">
        <f>SUM(D54,D284)</f>
        <v>2398717</v>
      </c>
      <c r="E53" s="212">
        <f>SUM(E54,E284)</f>
        <v>-3090</v>
      </c>
      <c r="F53" s="213">
        <f t="shared" ref="F53:F117" si="5">D53+E53</f>
        <v>2395627</v>
      </c>
      <c r="G53" s="211">
        <f>SUM(G54,G284)</f>
        <v>0</v>
      </c>
      <c r="H53" s="214">
        <f>SUM(H54,H284)</f>
        <v>0</v>
      </c>
      <c r="I53" s="215">
        <f t="shared" ref="I53:I117" si="6">G53+H53</f>
        <v>0</v>
      </c>
      <c r="J53" s="211">
        <f>SUM(J54,J284)</f>
        <v>272785</v>
      </c>
      <c r="K53" s="214">
        <f>SUM(K54,K284)</f>
        <v>0</v>
      </c>
      <c r="L53" s="215">
        <f t="shared" ref="L53:L117" si="7">J53+K53</f>
        <v>272785</v>
      </c>
      <c r="M53" s="216">
        <f>SUM(M54,M284)</f>
        <v>0</v>
      </c>
      <c r="N53" s="217">
        <f>SUM(N54,N284)</f>
        <v>0</v>
      </c>
      <c r="O53" s="215">
        <f t="shared" ref="O53:O117" si="8">M53+N53</f>
        <v>0</v>
      </c>
      <c r="P53" s="52"/>
      <c r="R53" s="53"/>
      <c r="S53" s="53"/>
    </row>
    <row r="54" spans="1:19" s="41" customFormat="1" ht="36.75" thickTop="1" x14ac:dyDescent="0.25">
      <c r="A54" s="218"/>
      <c r="B54" s="219" t="s">
        <v>72</v>
      </c>
      <c r="C54" s="220">
        <f t="shared" si="4"/>
        <v>2666332</v>
      </c>
      <c r="D54" s="221">
        <f>SUM(D55,D197)</f>
        <v>2398717</v>
      </c>
      <c r="E54" s="222">
        <f>SUM(E55,E197)</f>
        <v>-3090</v>
      </c>
      <c r="F54" s="223">
        <f t="shared" si="5"/>
        <v>2395627</v>
      </c>
      <c r="G54" s="221">
        <f>SUM(G55,G197)</f>
        <v>0</v>
      </c>
      <c r="H54" s="224">
        <f>SUM(H55,H197)</f>
        <v>0</v>
      </c>
      <c r="I54" s="225">
        <f t="shared" si="6"/>
        <v>0</v>
      </c>
      <c r="J54" s="221">
        <f>SUM(J55,J197)</f>
        <v>270705</v>
      </c>
      <c r="K54" s="224">
        <f>SUM(K55,K197)</f>
        <v>0</v>
      </c>
      <c r="L54" s="225">
        <f t="shared" si="7"/>
        <v>270705</v>
      </c>
      <c r="M54" s="226">
        <f>SUM(M55,M197)</f>
        <v>0</v>
      </c>
      <c r="N54" s="227">
        <f>SUM(N55,N197)</f>
        <v>0</v>
      </c>
      <c r="O54" s="225">
        <f t="shared" si="8"/>
        <v>0</v>
      </c>
      <c r="P54" s="228"/>
      <c r="R54" s="53"/>
      <c r="S54" s="53"/>
    </row>
    <row r="55" spans="1:19" s="41" customFormat="1" ht="24" x14ac:dyDescent="0.25">
      <c r="A55" s="35"/>
      <c r="B55" s="30" t="s">
        <v>73</v>
      </c>
      <c r="C55" s="229">
        <f t="shared" si="4"/>
        <v>2592010</v>
      </c>
      <c r="D55" s="230">
        <f>SUM(D56,D78,D176,D190)</f>
        <v>2355107</v>
      </c>
      <c r="E55" s="231">
        <f>SUM(E56,E78,E176,E190)</f>
        <v>-18090</v>
      </c>
      <c r="F55" s="232">
        <f t="shared" si="5"/>
        <v>2337017</v>
      </c>
      <c r="G55" s="230">
        <f>SUM(G56,G78,G176,G190)</f>
        <v>0</v>
      </c>
      <c r="H55" s="233">
        <f>SUM(H56,H78,H176,H190)</f>
        <v>0</v>
      </c>
      <c r="I55" s="234">
        <f t="shared" si="6"/>
        <v>0</v>
      </c>
      <c r="J55" s="230">
        <f>SUM(J56,J78,J176,J190)</f>
        <v>254993</v>
      </c>
      <c r="K55" s="233">
        <f>SUM(K56,K78,K176,K190)</f>
        <v>0</v>
      </c>
      <c r="L55" s="234">
        <f t="shared" si="7"/>
        <v>254993</v>
      </c>
      <c r="M55" s="53">
        <f>SUM(M56,M78,M176,M190)</f>
        <v>0</v>
      </c>
      <c r="N55" s="235">
        <f>SUM(N56,N78,N176,N190)</f>
        <v>0</v>
      </c>
      <c r="O55" s="234">
        <f t="shared" si="8"/>
        <v>0</v>
      </c>
      <c r="P55" s="236"/>
      <c r="R55" s="53"/>
      <c r="S55" s="53"/>
    </row>
    <row r="56" spans="1:19" s="41" customFormat="1" x14ac:dyDescent="0.25">
      <c r="A56" s="237">
        <v>1000</v>
      </c>
      <c r="B56" s="237" t="s">
        <v>74</v>
      </c>
      <c r="C56" s="238">
        <f t="shared" si="4"/>
        <v>2200024</v>
      </c>
      <c r="D56" s="239">
        <f>SUM(D57,D70)</f>
        <v>2203114</v>
      </c>
      <c r="E56" s="240">
        <f>SUM(E57,E70)</f>
        <v>-3090</v>
      </c>
      <c r="F56" s="241">
        <f t="shared" si="5"/>
        <v>2200024</v>
      </c>
      <c r="G56" s="239">
        <f>SUM(G57,G70)</f>
        <v>0</v>
      </c>
      <c r="H56" s="242">
        <f>SUM(H57,H70)</f>
        <v>0</v>
      </c>
      <c r="I56" s="243">
        <f t="shared" si="6"/>
        <v>0</v>
      </c>
      <c r="J56" s="239">
        <f>SUM(J57,J70)</f>
        <v>0</v>
      </c>
      <c r="K56" s="242">
        <f>SUM(K57,K70)</f>
        <v>0</v>
      </c>
      <c r="L56" s="243">
        <f t="shared" si="7"/>
        <v>0</v>
      </c>
      <c r="M56" s="244">
        <f>SUM(M57,M70)</f>
        <v>0</v>
      </c>
      <c r="N56" s="245">
        <f>SUM(N57,N70)</f>
        <v>0</v>
      </c>
      <c r="O56" s="243">
        <f t="shared" si="8"/>
        <v>0</v>
      </c>
      <c r="P56" s="246"/>
      <c r="R56" s="53"/>
      <c r="S56" s="53"/>
    </row>
    <row r="57" spans="1:19" x14ac:dyDescent="0.25">
      <c r="A57" s="99">
        <v>1100</v>
      </c>
      <c r="B57" s="247" t="s">
        <v>75</v>
      </c>
      <c r="C57" s="100">
        <f t="shared" si="4"/>
        <v>1698949</v>
      </c>
      <c r="D57" s="112">
        <f>SUM(D58,D61,D69)</f>
        <v>1702039</v>
      </c>
      <c r="E57" s="248">
        <f>SUM(E58,E61,E69)</f>
        <v>-3090</v>
      </c>
      <c r="F57" s="249">
        <f t="shared" si="5"/>
        <v>1698949</v>
      </c>
      <c r="G57" s="112">
        <f>SUM(G58,G61,G69)</f>
        <v>0</v>
      </c>
      <c r="H57" s="113">
        <f>SUM(H58,H61,H69)</f>
        <v>0</v>
      </c>
      <c r="I57" s="114">
        <f t="shared" si="6"/>
        <v>0</v>
      </c>
      <c r="J57" s="112">
        <f>SUM(J58,J61,J69)</f>
        <v>0</v>
      </c>
      <c r="K57" s="113">
        <f>SUM(K58,K61,K69)</f>
        <v>0</v>
      </c>
      <c r="L57" s="114">
        <f t="shared" si="7"/>
        <v>0</v>
      </c>
      <c r="M57" s="250">
        <f>SUM(M58,M61,M69)</f>
        <v>0</v>
      </c>
      <c r="N57" s="251">
        <f>SUM(N58,N61,N69)</f>
        <v>0</v>
      </c>
      <c r="O57" s="252">
        <f t="shared" si="8"/>
        <v>0</v>
      </c>
      <c r="P57" s="253"/>
      <c r="R57" s="53"/>
      <c r="S57" s="53"/>
    </row>
    <row r="58" spans="1:19" x14ac:dyDescent="0.25">
      <c r="A58" s="254">
        <v>1110</v>
      </c>
      <c r="B58" s="179" t="s">
        <v>76</v>
      </c>
      <c r="C58" s="191">
        <f t="shared" si="4"/>
        <v>1220032</v>
      </c>
      <c r="D58" s="255">
        <f>SUM(D59:D60)</f>
        <v>1220032</v>
      </c>
      <c r="E58" s="256">
        <f>SUM(E59:E60)</f>
        <v>0</v>
      </c>
      <c r="F58" s="257">
        <f t="shared" si="5"/>
        <v>1220032</v>
      </c>
      <c r="G58" s="255">
        <f>SUM(G59:G60)</f>
        <v>0</v>
      </c>
      <c r="H58" s="258">
        <f>SUM(H59:H60)</f>
        <v>0</v>
      </c>
      <c r="I58" s="259">
        <f t="shared" si="6"/>
        <v>0</v>
      </c>
      <c r="J58" s="255">
        <f>SUM(J59:J60)</f>
        <v>0</v>
      </c>
      <c r="K58" s="258">
        <f>SUM(K59:K60)</f>
        <v>0</v>
      </c>
      <c r="L58" s="259">
        <f t="shared" si="7"/>
        <v>0</v>
      </c>
      <c r="M58" s="260">
        <f>SUM(M59:M60)</f>
        <v>0</v>
      </c>
      <c r="N58" s="261">
        <f>SUM(N59:N60)</f>
        <v>0</v>
      </c>
      <c r="O58" s="259">
        <f t="shared" si="8"/>
        <v>0</v>
      </c>
      <c r="P58" s="189"/>
      <c r="R58" s="53"/>
      <c r="S58" s="53"/>
    </row>
    <row r="59" spans="1:19" hidden="1" x14ac:dyDescent="0.25">
      <c r="A59" s="66">
        <v>1111</v>
      </c>
      <c r="B59" s="116" t="s">
        <v>77</v>
      </c>
      <c r="C59" s="117">
        <f t="shared" si="4"/>
        <v>0</v>
      </c>
      <c r="D59" s="123">
        <v>0</v>
      </c>
      <c r="E59" s="295"/>
      <c r="F59" s="263">
        <f t="shared" si="5"/>
        <v>0</v>
      </c>
      <c r="G59" s="123"/>
      <c r="H59" s="124"/>
      <c r="I59" s="125">
        <f t="shared" si="6"/>
        <v>0</v>
      </c>
      <c r="J59" s="123">
        <v>0</v>
      </c>
      <c r="K59" s="124"/>
      <c r="L59" s="125">
        <f t="shared" si="7"/>
        <v>0</v>
      </c>
      <c r="M59" s="264"/>
      <c r="N59" s="262"/>
      <c r="O59" s="125">
        <f t="shared" si="8"/>
        <v>0</v>
      </c>
      <c r="P59" s="74"/>
      <c r="R59" s="53"/>
      <c r="S59" s="53"/>
    </row>
    <row r="60" spans="1:19" ht="24" x14ac:dyDescent="0.25">
      <c r="A60" s="76">
        <v>1119</v>
      </c>
      <c r="B60" s="127" t="s">
        <v>78</v>
      </c>
      <c r="C60" s="128">
        <f t="shared" si="4"/>
        <v>1220032</v>
      </c>
      <c r="D60" s="134">
        <f>1168032+52000</f>
        <v>1220032</v>
      </c>
      <c r="E60" s="283"/>
      <c r="F60" s="279">
        <f t="shared" si="5"/>
        <v>1220032</v>
      </c>
      <c r="G60" s="134"/>
      <c r="H60" s="135"/>
      <c r="I60" s="136">
        <f t="shared" si="6"/>
        <v>0</v>
      </c>
      <c r="J60" s="134">
        <v>0</v>
      </c>
      <c r="K60" s="135"/>
      <c r="L60" s="136">
        <f t="shared" si="7"/>
        <v>0</v>
      </c>
      <c r="M60" s="284"/>
      <c r="N60" s="285"/>
      <c r="O60" s="136">
        <f t="shared" si="8"/>
        <v>0</v>
      </c>
      <c r="P60" s="85"/>
      <c r="R60" s="53"/>
      <c r="S60" s="53"/>
    </row>
    <row r="61" spans="1:19" ht="24" x14ac:dyDescent="0.25">
      <c r="A61" s="276">
        <v>1140</v>
      </c>
      <c r="B61" s="127" t="s">
        <v>79</v>
      </c>
      <c r="C61" s="128">
        <f t="shared" si="4"/>
        <v>370079</v>
      </c>
      <c r="D61" s="277">
        <f>SUM(D62:D68)</f>
        <v>370079</v>
      </c>
      <c r="E61" s="278">
        <f>SUM(E62:E68)</f>
        <v>0</v>
      </c>
      <c r="F61" s="279">
        <f>D61+E61</f>
        <v>370079</v>
      </c>
      <c r="G61" s="277">
        <f>SUM(G62:G68)</f>
        <v>0</v>
      </c>
      <c r="H61" s="280">
        <f>SUM(H62:H68)</f>
        <v>0</v>
      </c>
      <c r="I61" s="136">
        <f t="shared" si="6"/>
        <v>0</v>
      </c>
      <c r="J61" s="277">
        <f>SUM(J62:J68)</f>
        <v>0</v>
      </c>
      <c r="K61" s="280">
        <f>SUM(K62:K68)</f>
        <v>0</v>
      </c>
      <c r="L61" s="136">
        <f t="shared" si="7"/>
        <v>0</v>
      </c>
      <c r="M61" s="281">
        <f>SUM(M62:M68)</f>
        <v>0</v>
      </c>
      <c r="N61" s="282">
        <f>SUM(N62:N68)</f>
        <v>0</v>
      </c>
      <c r="O61" s="136">
        <f t="shared" si="8"/>
        <v>0</v>
      </c>
      <c r="P61" s="85"/>
      <c r="R61" s="53"/>
      <c r="S61" s="53"/>
    </row>
    <row r="62" spans="1:19" x14ac:dyDescent="0.25">
      <c r="A62" s="76">
        <v>1141</v>
      </c>
      <c r="B62" s="127" t="s">
        <v>80</v>
      </c>
      <c r="C62" s="128">
        <f t="shared" si="4"/>
        <v>4827</v>
      </c>
      <c r="D62" s="134">
        <v>4827</v>
      </c>
      <c r="E62" s="283"/>
      <c r="F62" s="279">
        <f t="shared" si="5"/>
        <v>4827</v>
      </c>
      <c r="G62" s="134"/>
      <c r="H62" s="135"/>
      <c r="I62" s="136">
        <f t="shared" si="6"/>
        <v>0</v>
      </c>
      <c r="J62" s="134">
        <v>0</v>
      </c>
      <c r="K62" s="135"/>
      <c r="L62" s="136">
        <f t="shared" si="7"/>
        <v>0</v>
      </c>
      <c r="M62" s="284"/>
      <c r="N62" s="285"/>
      <c r="O62" s="136">
        <f t="shared" si="8"/>
        <v>0</v>
      </c>
      <c r="P62" s="85"/>
      <c r="R62" s="53"/>
      <c r="S62" s="53"/>
    </row>
    <row r="63" spans="1:19" ht="24" x14ac:dyDescent="0.25">
      <c r="A63" s="76">
        <v>1142</v>
      </c>
      <c r="B63" s="127" t="s">
        <v>81</v>
      </c>
      <c r="C63" s="128">
        <f t="shared" si="4"/>
        <v>26007</v>
      </c>
      <c r="D63" s="134">
        <f>22007+4000</f>
        <v>26007</v>
      </c>
      <c r="E63" s="283"/>
      <c r="F63" s="279">
        <f t="shared" si="5"/>
        <v>26007</v>
      </c>
      <c r="G63" s="134"/>
      <c r="H63" s="135"/>
      <c r="I63" s="136">
        <f t="shared" si="6"/>
        <v>0</v>
      </c>
      <c r="J63" s="134">
        <v>0</v>
      </c>
      <c r="K63" s="135"/>
      <c r="L63" s="136">
        <f t="shared" si="7"/>
        <v>0</v>
      </c>
      <c r="M63" s="284"/>
      <c r="N63" s="285"/>
      <c r="O63" s="136">
        <f t="shared" si="8"/>
        <v>0</v>
      </c>
      <c r="P63" s="85"/>
      <c r="R63" s="53"/>
      <c r="S63" s="53"/>
    </row>
    <row r="64" spans="1:19" ht="24" hidden="1" x14ac:dyDescent="0.25">
      <c r="A64" s="76">
        <v>1145</v>
      </c>
      <c r="B64" s="127" t="s">
        <v>82</v>
      </c>
      <c r="C64" s="128">
        <f t="shared" si="4"/>
        <v>0</v>
      </c>
      <c r="D64" s="134">
        <v>0</v>
      </c>
      <c r="E64" s="283"/>
      <c r="F64" s="286">
        <f t="shared" si="5"/>
        <v>0</v>
      </c>
      <c r="G64" s="134"/>
      <c r="H64" s="135"/>
      <c r="I64" s="136">
        <f t="shared" si="6"/>
        <v>0</v>
      </c>
      <c r="J64" s="134">
        <v>0</v>
      </c>
      <c r="K64" s="135"/>
      <c r="L64" s="136">
        <f t="shared" si="7"/>
        <v>0</v>
      </c>
      <c r="M64" s="284"/>
      <c r="N64" s="285"/>
      <c r="O64" s="136">
        <f t="shared" si="8"/>
        <v>0</v>
      </c>
      <c r="P64" s="85"/>
      <c r="R64" s="53"/>
      <c r="S64" s="53"/>
    </row>
    <row r="65" spans="1:19" ht="24" x14ac:dyDescent="0.25">
      <c r="A65" s="76">
        <v>1146</v>
      </c>
      <c r="B65" s="127" t="s">
        <v>83</v>
      </c>
      <c r="C65" s="128">
        <f t="shared" si="4"/>
        <v>204866</v>
      </c>
      <c r="D65" s="134">
        <v>204866</v>
      </c>
      <c r="E65" s="283"/>
      <c r="F65" s="279">
        <f t="shared" si="5"/>
        <v>204866</v>
      </c>
      <c r="G65" s="134"/>
      <c r="H65" s="135"/>
      <c r="I65" s="136">
        <f t="shared" si="6"/>
        <v>0</v>
      </c>
      <c r="J65" s="134">
        <v>0</v>
      </c>
      <c r="K65" s="135"/>
      <c r="L65" s="136">
        <f t="shared" si="7"/>
        <v>0</v>
      </c>
      <c r="M65" s="284"/>
      <c r="N65" s="285"/>
      <c r="O65" s="136">
        <f t="shared" si="8"/>
        <v>0</v>
      </c>
      <c r="P65" s="85"/>
      <c r="R65" s="53"/>
      <c r="S65" s="53"/>
    </row>
    <row r="66" spans="1:19" x14ac:dyDescent="0.25">
      <c r="A66" s="76">
        <v>1147</v>
      </c>
      <c r="B66" s="127" t="s">
        <v>84</v>
      </c>
      <c r="C66" s="128">
        <f t="shared" si="4"/>
        <v>50763</v>
      </c>
      <c r="D66" s="134">
        <f>54763-4000</f>
        <v>50763</v>
      </c>
      <c r="E66" s="283"/>
      <c r="F66" s="279">
        <f t="shared" si="5"/>
        <v>50763</v>
      </c>
      <c r="G66" s="134"/>
      <c r="H66" s="135"/>
      <c r="I66" s="136">
        <f t="shared" si="6"/>
        <v>0</v>
      </c>
      <c r="J66" s="134">
        <v>0</v>
      </c>
      <c r="K66" s="135"/>
      <c r="L66" s="136">
        <f t="shared" si="7"/>
        <v>0</v>
      </c>
      <c r="M66" s="284"/>
      <c r="N66" s="285"/>
      <c r="O66" s="136">
        <f t="shared" si="8"/>
        <v>0</v>
      </c>
      <c r="P66" s="85"/>
      <c r="R66" s="53"/>
      <c r="S66" s="53"/>
    </row>
    <row r="67" spans="1:19" x14ac:dyDescent="0.25">
      <c r="A67" s="76">
        <v>1148</v>
      </c>
      <c r="B67" s="127" t="s">
        <v>85</v>
      </c>
      <c r="C67" s="128">
        <f t="shared" si="4"/>
        <v>83616</v>
      </c>
      <c r="D67" s="134">
        <v>83616</v>
      </c>
      <c r="E67" s="283"/>
      <c r="F67" s="279">
        <f t="shared" si="5"/>
        <v>83616</v>
      </c>
      <c r="G67" s="134"/>
      <c r="H67" s="135"/>
      <c r="I67" s="136">
        <f t="shared" si="6"/>
        <v>0</v>
      </c>
      <c r="J67" s="134">
        <v>0</v>
      </c>
      <c r="K67" s="135"/>
      <c r="L67" s="136">
        <f t="shared" si="7"/>
        <v>0</v>
      </c>
      <c r="M67" s="284"/>
      <c r="N67" s="285"/>
      <c r="O67" s="136">
        <f t="shared" si="8"/>
        <v>0</v>
      </c>
      <c r="P67" s="85"/>
      <c r="R67" s="53"/>
      <c r="S67" s="53"/>
    </row>
    <row r="68" spans="1:19" ht="36" hidden="1" x14ac:dyDescent="0.25">
      <c r="A68" s="76">
        <v>1149</v>
      </c>
      <c r="B68" s="127" t="s">
        <v>86</v>
      </c>
      <c r="C68" s="128">
        <f t="shared" si="4"/>
        <v>0</v>
      </c>
      <c r="D68" s="134">
        <v>0</v>
      </c>
      <c r="E68" s="283"/>
      <c r="F68" s="286">
        <f t="shared" si="5"/>
        <v>0</v>
      </c>
      <c r="G68" s="134"/>
      <c r="H68" s="135"/>
      <c r="I68" s="136">
        <f t="shared" si="6"/>
        <v>0</v>
      </c>
      <c r="J68" s="134">
        <v>0</v>
      </c>
      <c r="K68" s="135"/>
      <c r="L68" s="136">
        <f t="shared" si="7"/>
        <v>0</v>
      </c>
      <c r="M68" s="284"/>
      <c r="N68" s="285"/>
      <c r="O68" s="136">
        <f t="shared" si="8"/>
        <v>0</v>
      </c>
      <c r="P68" s="85"/>
      <c r="R68" s="53"/>
      <c r="S68" s="53"/>
    </row>
    <row r="69" spans="1:19" ht="36" x14ac:dyDescent="0.25">
      <c r="A69" s="254">
        <v>1150</v>
      </c>
      <c r="B69" s="179" t="s">
        <v>87</v>
      </c>
      <c r="C69" s="128">
        <f t="shared" si="4"/>
        <v>108838</v>
      </c>
      <c r="D69" s="287">
        <f>122928-3000-8000</f>
        <v>111928</v>
      </c>
      <c r="E69" s="288">
        <v>-3090</v>
      </c>
      <c r="F69" s="257">
        <f t="shared" si="5"/>
        <v>108838</v>
      </c>
      <c r="G69" s="287"/>
      <c r="H69" s="289"/>
      <c r="I69" s="259">
        <f t="shared" si="6"/>
        <v>0</v>
      </c>
      <c r="J69" s="287">
        <v>0</v>
      </c>
      <c r="K69" s="289"/>
      <c r="L69" s="259">
        <f t="shared" si="7"/>
        <v>0</v>
      </c>
      <c r="M69" s="290"/>
      <c r="N69" s="291"/>
      <c r="O69" s="259">
        <f t="shared" si="8"/>
        <v>0</v>
      </c>
      <c r="P69" s="85"/>
      <c r="R69" s="53"/>
      <c r="S69" s="53"/>
    </row>
    <row r="70" spans="1:19" ht="36" x14ac:dyDescent="0.25">
      <c r="A70" s="99">
        <v>1200</v>
      </c>
      <c r="B70" s="247" t="s">
        <v>88</v>
      </c>
      <c r="C70" s="100">
        <f t="shared" si="4"/>
        <v>501075</v>
      </c>
      <c r="D70" s="112">
        <f>SUM(D71:D72)</f>
        <v>501075</v>
      </c>
      <c r="E70" s="248">
        <f>SUM(E71:E72)</f>
        <v>0</v>
      </c>
      <c r="F70" s="249">
        <f>D70+E70</f>
        <v>501075</v>
      </c>
      <c r="G70" s="112">
        <f>SUM(G71:G72)</f>
        <v>0</v>
      </c>
      <c r="H70" s="113">
        <f>SUM(H71:H72)</f>
        <v>0</v>
      </c>
      <c r="I70" s="114">
        <f t="shared" si="6"/>
        <v>0</v>
      </c>
      <c r="J70" s="112">
        <f>SUM(J71:J72)</f>
        <v>0</v>
      </c>
      <c r="K70" s="113">
        <f>SUM(K71:K72)</f>
        <v>0</v>
      </c>
      <c r="L70" s="114">
        <f t="shared" si="7"/>
        <v>0</v>
      </c>
      <c r="M70" s="292">
        <f>SUM(M71:M72)</f>
        <v>0</v>
      </c>
      <c r="N70" s="293">
        <f>SUM(N71:N72)</f>
        <v>0</v>
      </c>
      <c r="O70" s="114">
        <f t="shared" si="8"/>
        <v>0</v>
      </c>
      <c r="P70" s="109"/>
      <c r="R70" s="53"/>
      <c r="S70" s="53"/>
    </row>
    <row r="71" spans="1:19" ht="24" x14ac:dyDescent="0.25">
      <c r="A71" s="656">
        <v>1210</v>
      </c>
      <c r="B71" s="116" t="s">
        <v>89</v>
      </c>
      <c r="C71" s="117">
        <f t="shared" si="4"/>
        <v>400148</v>
      </c>
      <c r="D71" s="123">
        <f>407048-6900</f>
        <v>400148</v>
      </c>
      <c r="E71" s="295"/>
      <c r="F71" s="296">
        <f t="shared" si="5"/>
        <v>400148</v>
      </c>
      <c r="G71" s="123"/>
      <c r="H71" s="124"/>
      <c r="I71" s="125">
        <f t="shared" si="6"/>
        <v>0</v>
      </c>
      <c r="J71" s="123">
        <v>0</v>
      </c>
      <c r="K71" s="124"/>
      <c r="L71" s="125">
        <f t="shared" si="7"/>
        <v>0</v>
      </c>
      <c r="M71" s="264"/>
      <c r="N71" s="262"/>
      <c r="O71" s="125">
        <f t="shared" si="8"/>
        <v>0</v>
      </c>
      <c r="P71" s="74"/>
      <c r="R71" s="53"/>
      <c r="S71" s="53"/>
    </row>
    <row r="72" spans="1:19" ht="24" x14ac:dyDescent="0.25">
      <c r="A72" s="276">
        <v>1220</v>
      </c>
      <c r="B72" s="127" t="s">
        <v>90</v>
      </c>
      <c r="C72" s="128">
        <f t="shared" si="4"/>
        <v>100927</v>
      </c>
      <c r="D72" s="277">
        <f>SUM(D73:D77)</f>
        <v>100927</v>
      </c>
      <c r="E72" s="278">
        <f>SUM(E73:E77)</f>
        <v>0</v>
      </c>
      <c r="F72" s="279">
        <f t="shared" si="5"/>
        <v>100927</v>
      </c>
      <c r="G72" s="277">
        <f>SUM(G73:G77)</f>
        <v>0</v>
      </c>
      <c r="H72" s="280">
        <f>SUM(H73:H77)</f>
        <v>0</v>
      </c>
      <c r="I72" s="136">
        <f t="shared" si="6"/>
        <v>0</v>
      </c>
      <c r="J72" s="277">
        <f>SUM(J73:J77)</f>
        <v>0</v>
      </c>
      <c r="K72" s="280">
        <f>SUM(K73:K77)</f>
        <v>0</v>
      </c>
      <c r="L72" s="136">
        <f t="shared" si="7"/>
        <v>0</v>
      </c>
      <c r="M72" s="281">
        <f>SUM(M73:M77)</f>
        <v>0</v>
      </c>
      <c r="N72" s="282">
        <f>SUM(N73:N77)</f>
        <v>0</v>
      </c>
      <c r="O72" s="136">
        <f t="shared" si="8"/>
        <v>0</v>
      </c>
      <c r="P72" s="85"/>
      <c r="R72" s="53"/>
      <c r="S72" s="53"/>
    </row>
    <row r="73" spans="1:19" ht="60" x14ac:dyDescent="0.25">
      <c r="A73" s="76">
        <v>1221</v>
      </c>
      <c r="B73" s="127" t="s">
        <v>91</v>
      </c>
      <c r="C73" s="128">
        <f t="shared" si="4"/>
        <v>74970</v>
      </c>
      <c r="D73" s="134">
        <f>62970+12000</f>
        <v>74970</v>
      </c>
      <c r="E73" s="283"/>
      <c r="F73" s="279">
        <f t="shared" si="5"/>
        <v>74970</v>
      </c>
      <c r="G73" s="134"/>
      <c r="H73" s="135"/>
      <c r="I73" s="136">
        <f t="shared" si="6"/>
        <v>0</v>
      </c>
      <c r="J73" s="134">
        <v>0</v>
      </c>
      <c r="K73" s="135"/>
      <c r="L73" s="136">
        <f t="shared" si="7"/>
        <v>0</v>
      </c>
      <c r="M73" s="284"/>
      <c r="N73" s="285"/>
      <c r="O73" s="136">
        <f t="shared" si="8"/>
        <v>0</v>
      </c>
      <c r="P73" s="85"/>
      <c r="R73" s="53"/>
      <c r="S73" s="53"/>
    </row>
    <row r="74" spans="1:19" x14ac:dyDescent="0.25">
      <c r="A74" s="76">
        <v>1223</v>
      </c>
      <c r="B74" s="127" t="s">
        <v>92</v>
      </c>
      <c r="C74" s="128">
        <f t="shared" si="4"/>
        <v>800</v>
      </c>
      <c r="D74" s="134">
        <f>1500-700</f>
        <v>800</v>
      </c>
      <c r="E74" s="283"/>
      <c r="F74" s="279">
        <f t="shared" si="5"/>
        <v>800</v>
      </c>
      <c r="G74" s="134"/>
      <c r="H74" s="135"/>
      <c r="I74" s="136">
        <f t="shared" si="6"/>
        <v>0</v>
      </c>
      <c r="J74" s="134">
        <v>0</v>
      </c>
      <c r="K74" s="135"/>
      <c r="L74" s="136">
        <f t="shared" si="7"/>
        <v>0</v>
      </c>
      <c r="M74" s="284"/>
      <c r="N74" s="285"/>
      <c r="O74" s="136">
        <f t="shared" si="8"/>
        <v>0</v>
      </c>
      <c r="P74" s="85"/>
      <c r="R74" s="53"/>
      <c r="S74" s="53"/>
    </row>
    <row r="75" spans="1:19" hidden="1" x14ac:dyDescent="0.25">
      <c r="A75" s="76">
        <v>1225</v>
      </c>
      <c r="B75" s="127" t="s">
        <v>93</v>
      </c>
      <c r="C75" s="128">
        <f t="shared" si="4"/>
        <v>0</v>
      </c>
      <c r="D75" s="134">
        <v>0</v>
      </c>
      <c r="E75" s="283"/>
      <c r="F75" s="286">
        <f t="shared" si="5"/>
        <v>0</v>
      </c>
      <c r="G75" s="134"/>
      <c r="H75" s="135"/>
      <c r="I75" s="136">
        <f t="shared" si="6"/>
        <v>0</v>
      </c>
      <c r="J75" s="134">
        <v>0</v>
      </c>
      <c r="K75" s="135"/>
      <c r="L75" s="136">
        <f t="shared" si="7"/>
        <v>0</v>
      </c>
      <c r="M75" s="284"/>
      <c r="N75" s="285"/>
      <c r="O75" s="136">
        <f t="shared" si="8"/>
        <v>0</v>
      </c>
      <c r="P75" s="85"/>
      <c r="R75" s="53"/>
      <c r="S75" s="53"/>
    </row>
    <row r="76" spans="1:19" ht="36" x14ac:dyDescent="0.25">
      <c r="A76" s="76">
        <v>1227</v>
      </c>
      <c r="B76" s="127" t="s">
        <v>94</v>
      </c>
      <c r="C76" s="128">
        <f t="shared" si="4"/>
        <v>18369</v>
      </c>
      <c r="D76" s="134">
        <f>18569-200</f>
        <v>18369</v>
      </c>
      <c r="E76" s="283"/>
      <c r="F76" s="279">
        <f t="shared" si="5"/>
        <v>18369</v>
      </c>
      <c r="G76" s="134"/>
      <c r="H76" s="135"/>
      <c r="I76" s="136">
        <f t="shared" si="6"/>
        <v>0</v>
      </c>
      <c r="J76" s="134">
        <v>0</v>
      </c>
      <c r="K76" s="135"/>
      <c r="L76" s="136">
        <f t="shared" si="7"/>
        <v>0</v>
      </c>
      <c r="M76" s="284"/>
      <c r="N76" s="285"/>
      <c r="O76" s="136">
        <f t="shared" si="8"/>
        <v>0</v>
      </c>
      <c r="P76" s="85"/>
      <c r="R76" s="53"/>
      <c r="S76" s="53"/>
    </row>
    <row r="77" spans="1:19" ht="60" x14ac:dyDescent="0.25">
      <c r="A77" s="76">
        <v>1228</v>
      </c>
      <c r="B77" s="127" t="s">
        <v>95</v>
      </c>
      <c r="C77" s="128">
        <f t="shared" si="4"/>
        <v>6788</v>
      </c>
      <c r="D77" s="134">
        <f>6900-112</f>
        <v>6788</v>
      </c>
      <c r="E77" s="283"/>
      <c r="F77" s="279">
        <f t="shared" si="5"/>
        <v>6788</v>
      </c>
      <c r="G77" s="134"/>
      <c r="H77" s="135"/>
      <c r="I77" s="136">
        <f t="shared" si="6"/>
        <v>0</v>
      </c>
      <c r="J77" s="134">
        <v>0</v>
      </c>
      <c r="K77" s="135"/>
      <c r="L77" s="136">
        <f t="shared" si="7"/>
        <v>0</v>
      </c>
      <c r="M77" s="284"/>
      <c r="N77" s="285"/>
      <c r="O77" s="136">
        <f t="shared" si="8"/>
        <v>0</v>
      </c>
      <c r="P77" s="771"/>
      <c r="R77" s="53"/>
      <c r="S77" s="53"/>
    </row>
    <row r="78" spans="1:19" x14ac:dyDescent="0.25">
      <c r="A78" s="237">
        <v>2000</v>
      </c>
      <c r="B78" s="237" t="s">
        <v>96</v>
      </c>
      <c r="C78" s="238">
        <f t="shared" si="4"/>
        <v>391986</v>
      </c>
      <c r="D78" s="239">
        <f>SUM(D79,D86,D133,D167,D168,D175)</f>
        <v>151993</v>
      </c>
      <c r="E78" s="240">
        <f>SUM(E79,E86,E133,E167,E168,E175)</f>
        <v>-15000</v>
      </c>
      <c r="F78" s="241">
        <f t="shared" si="5"/>
        <v>136993</v>
      </c>
      <c r="G78" s="239">
        <f>SUM(G79,G86,G133,G167,G168,G175)</f>
        <v>0</v>
      </c>
      <c r="H78" s="242">
        <f>SUM(H79,H86,H133,H167,H168,H175)</f>
        <v>0</v>
      </c>
      <c r="I78" s="243">
        <f t="shared" si="6"/>
        <v>0</v>
      </c>
      <c r="J78" s="239">
        <f>SUM(J79,J86,J133,J167,J168,J175)</f>
        <v>254993</v>
      </c>
      <c r="K78" s="242">
        <f>SUM(K79,K86,K133,K167,K168,K175)</f>
        <v>0</v>
      </c>
      <c r="L78" s="243">
        <f t="shared" si="7"/>
        <v>254993</v>
      </c>
      <c r="M78" s="244">
        <f>SUM(M79,M86,M133,M167,M168,M175)</f>
        <v>0</v>
      </c>
      <c r="N78" s="245">
        <f>SUM(N79,N86,N133,N167,N168,N175)</f>
        <v>0</v>
      </c>
      <c r="O78" s="243">
        <f t="shared" si="8"/>
        <v>0</v>
      </c>
      <c r="P78" s="246"/>
      <c r="R78" s="53"/>
      <c r="S78" s="53"/>
    </row>
    <row r="79" spans="1:19" ht="24" hidden="1" x14ac:dyDescent="0.25">
      <c r="A79" s="99">
        <v>2100</v>
      </c>
      <c r="B79" s="247" t="s">
        <v>97</v>
      </c>
      <c r="C79" s="100">
        <f t="shared" si="4"/>
        <v>0</v>
      </c>
      <c r="D79" s="112">
        <f>SUM(D80,D83)</f>
        <v>0</v>
      </c>
      <c r="E79" s="248">
        <f>SUM(E80,E83)</f>
        <v>0</v>
      </c>
      <c r="F79" s="313">
        <f t="shared" si="5"/>
        <v>0</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c r="R79" s="53"/>
      <c r="S79" s="53"/>
    </row>
    <row r="80" spans="1:19" ht="24" hidden="1" x14ac:dyDescent="0.25">
      <c r="A80" s="656">
        <v>2110</v>
      </c>
      <c r="B80" s="116" t="s">
        <v>98</v>
      </c>
      <c r="C80" s="117">
        <f t="shared" si="4"/>
        <v>0</v>
      </c>
      <c r="D80" s="297">
        <f>SUM(D81:D82)</f>
        <v>0</v>
      </c>
      <c r="E80" s="298">
        <f>SUM(E81:E82)</f>
        <v>0</v>
      </c>
      <c r="F80" s="263">
        <f t="shared" si="5"/>
        <v>0</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c r="R80" s="53"/>
      <c r="S80" s="53"/>
    </row>
    <row r="81" spans="1:19" hidden="1" x14ac:dyDescent="0.25">
      <c r="A81" s="76">
        <v>2111</v>
      </c>
      <c r="B81" s="127" t="s">
        <v>99</v>
      </c>
      <c r="C81" s="128">
        <f t="shared" si="4"/>
        <v>0</v>
      </c>
      <c r="D81" s="134">
        <v>0</v>
      </c>
      <c r="E81" s="283"/>
      <c r="F81" s="286">
        <f t="shared" si="5"/>
        <v>0</v>
      </c>
      <c r="G81" s="134"/>
      <c r="H81" s="135"/>
      <c r="I81" s="136">
        <f t="shared" si="6"/>
        <v>0</v>
      </c>
      <c r="J81" s="134">
        <v>0</v>
      </c>
      <c r="K81" s="135"/>
      <c r="L81" s="136">
        <f t="shared" si="7"/>
        <v>0</v>
      </c>
      <c r="M81" s="284"/>
      <c r="N81" s="285"/>
      <c r="O81" s="136">
        <f t="shared" si="8"/>
        <v>0</v>
      </c>
      <c r="P81" s="85"/>
      <c r="R81" s="53"/>
      <c r="S81" s="53"/>
    </row>
    <row r="82" spans="1:19" ht="24" hidden="1" x14ac:dyDescent="0.25">
      <c r="A82" s="76">
        <v>2112</v>
      </c>
      <c r="B82" s="127" t="s">
        <v>100</v>
      </c>
      <c r="C82" s="128">
        <f t="shared" si="4"/>
        <v>0</v>
      </c>
      <c r="D82" s="134">
        <v>0</v>
      </c>
      <c r="E82" s="283"/>
      <c r="F82" s="286">
        <f t="shared" si="5"/>
        <v>0</v>
      </c>
      <c r="G82" s="134"/>
      <c r="H82" s="135"/>
      <c r="I82" s="136">
        <f t="shared" si="6"/>
        <v>0</v>
      </c>
      <c r="J82" s="134">
        <v>0</v>
      </c>
      <c r="K82" s="135"/>
      <c r="L82" s="136">
        <f t="shared" si="7"/>
        <v>0</v>
      </c>
      <c r="M82" s="284"/>
      <c r="N82" s="285"/>
      <c r="O82" s="136">
        <f t="shared" si="8"/>
        <v>0</v>
      </c>
      <c r="P82" s="85"/>
      <c r="R82" s="53"/>
      <c r="S82" s="53"/>
    </row>
    <row r="83" spans="1:19" ht="24" hidden="1" x14ac:dyDescent="0.25">
      <c r="A83" s="276">
        <v>2120</v>
      </c>
      <c r="B83" s="127" t="s">
        <v>101</v>
      </c>
      <c r="C83" s="128">
        <f t="shared" si="4"/>
        <v>0</v>
      </c>
      <c r="D83" s="277">
        <f>SUM(D84:D85)</f>
        <v>0</v>
      </c>
      <c r="E83" s="278">
        <f>SUM(E84:E85)</f>
        <v>0</v>
      </c>
      <c r="F83" s="28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c r="R83" s="53"/>
      <c r="S83" s="53"/>
    </row>
    <row r="84" spans="1:19" hidden="1" x14ac:dyDescent="0.25">
      <c r="A84" s="76">
        <v>2121</v>
      </c>
      <c r="B84" s="127" t="s">
        <v>99</v>
      </c>
      <c r="C84" s="128">
        <f t="shared" si="4"/>
        <v>0</v>
      </c>
      <c r="D84" s="134">
        <v>0</v>
      </c>
      <c r="E84" s="283"/>
      <c r="F84" s="286">
        <f t="shared" si="5"/>
        <v>0</v>
      </c>
      <c r="G84" s="134"/>
      <c r="H84" s="135"/>
      <c r="I84" s="136">
        <f t="shared" si="6"/>
        <v>0</v>
      </c>
      <c r="J84" s="134">
        <v>0</v>
      </c>
      <c r="K84" s="135"/>
      <c r="L84" s="136">
        <f t="shared" si="7"/>
        <v>0</v>
      </c>
      <c r="M84" s="284"/>
      <c r="N84" s="285"/>
      <c r="O84" s="136">
        <f t="shared" si="8"/>
        <v>0</v>
      </c>
      <c r="P84" s="85"/>
      <c r="R84" s="53"/>
      <c r="S84" s="53"/>
    </row>
    <row r="85" spans="1:19" ht="24" hidden="1" x14ac:dyDescent="0.25">
      <c r="A85" s="76">
        <v>2122</v>
      </c>
      <c r="B85" s="127" t="s">
        <v>100</v>
      </c>
      <c r="C85" s="128">
        <f t="shared" si="4"/>
        <v>0</v>
      </c>
      <c r="D85" s="134">
        <v>0</v>
      </c>
      <c r="E85" s="283"/>
      <c r="F85" s="286">
        <f t="shared" si="5"/>
        <v>0</v>
      </c>
      <c r="G85" s="134"/>
      <c r="H85" s="135"/>
      <c r="I85" s="136">
        <f t="shared" si="6"/>
        <v>0</v>
      </c>
      <c r="J85" s="134">
        <v>0</v>
      </c>
      <c r="K85" s="135"/>
      <c r="L85" s="136">
        <f t="shared" si="7"/>
        <v>0</v>
      </c>
      <c r="M85" s="284"/>
      <c r="N85" s="285"/>
      <c r="O85" s="136">
        <f t="shared" si="8"/>
        <v>0</v>
      </c>
      <c r="P85" s="85"/>
      <c r="R85" s="53"/>
      <c r="S85" s="53"/>
    </row>
    <row r="86" spans="1:19" x14ac:dyDescent="0.25">
      <c r="A86" s="99">
        <v>2200</v>
      </c>
      <c r="B86" s="247" t="s">
        <v>102</v>
      </c>
      <c r="C86" s="302">
        <f t="shared" si="4"/>
        <v>244175</v>
      </c>
      <c r="D86" s="112">
        <f>SUM(D87,D92,D98,D106,D115,D119,D125,D131)</f>
        <v>86627</v>
      </c>
      <c r="E86" s="248">
        <f>SUM(E87,E92,E98,E106,E115,E119,E125,E131)</f>
        <v>-3992</v>
      </c>
      <c r="F86" s="249">
        <f t="shared" si="5"/>
        <v>82635</v>
      </c>
      <c r="G86" s="112">
        <f>SUM(G87,G92,G98,G106,G115,G119,G125,G131)</f>
        <v>0</v>
      </c>
      <c r="H86" s="113">
        <f>SUM(H87,H92,H98,H106,H115,H119,H125,H131)</f>
        <v>0</v>
      </c>
      <c r="I86" s="114">
        <f t="shared" si="6"/>
        <v>0</v>
      </c>
      <c r="J86" s="112">
        <f>SUM(J87,J92,J98,J106,J115,J119,J125,J131)</f>
        <v>161540</v>
      </c>
      <c r="K86" s="113">
        <f>SUM(K87,K92,K98,K106,K115,K119,K125,K131)</f>
        <v>0</v>
      </c>
      <c r="L86" s="114">
        <f t="shared" si="7"/>
        <v>161540</v>
      </c>
      <c r="M86" s="303">
        <f>SUM(M87,M92,M98,M106,M115,M119,M125,M131)</f>
        <v>0</v>
      </c>
      <c r="N86" s="304">
        <f>SUM(N87,N92,N98,N106,N115,N119,N125,N131)</f>
        <v>0</v>
      </c>
      <c r="O86" s="305">
        <f t="shared" si="8"/>
        <v>0</v>
      </c>
      <c r="P86" s="306"/>
      <c r="R86" s="53"/>
      <c r="S86" s="53"/>
    </row>
    <row r="87" spans="1:19" ht="24" x14ac:dyDescent="0.25">
      <c r="A87" s="254">
        <v>2210</v>
      </c>
      <c r="B87" s="179" t="s">
        <v>103</v>
      </c>
      <c r="C87" s="191">
        <f t="shared" si="4"/>
        <v>49262</v>
      </c>
      <c r="D87" s="255">
        <f>SUM(D88:D91)</f>
        <v>15740</v>
      </c>
      <c r="E87" s="256">
        <f>SUM(E88:E91)</f>
        <v>0</v>
      </c>
      <c r="F87" s="257">
        <f t="shared" si="5"/>
        <v>15740</v>
      </c>
      <c r="G87" s="255">
        <f>SUM(G88:G91)</f>
        <v>0</v>
      </c>
      <c r="H87" s="258">
        <f>SUM(H88:H91)</f>
        <v>0</v>
      </c>
      <c r="I87" s="259">
        <f t="shared" si="6"/>
        <v>0</v>
      </c>
      <c r="J87" s="255">
        <f>SUM(J88:J91)</f>
        <v>33522</v>
      </c>
      <c r="K87" s="258">
        <f>SUM(K88:K91)</f>
        <v>0</v>
      </c>
      <c r="L87" s="259">
        <f t="shared" si="7"/>
        <v>33522</v>
      </c>
      <c r="M87" s="260">
        <f>SUM(M88:M91)</f>
        <v>0</v>
      </c>
      <c r="N87" s="261">
        <f>SUM(N88:N91)</f>
        <v>0</v>
      </c>
      <c r="O87" s="259">
        <f t="shared" si="8"/>
        <v>0</v>
      </c>
      <c r="P87" s="189"/>
      <c r="R87" s="53"/>
      <c r="S87" s="53"/>
    </row>
    <row r="88" spans="1:19" ht="24" hidden="1" x14ac:dyDescent="0.25">
      <c r="A88" s="66">
        <v>2211</v>
      </c>
      <c r="B88" s="116" t="s">
        <v>104</v>
      </c>
      <c r="C88" s="128">
        <f t="shared" si="4"/>
        <v>0</v>
      </c>
      <c r="D88" s="123">
        <v>0</v>
      </c>
      <c r="E88" s="295"/>
      <c r="F88" s="263">
        <f t="shared" si="5"/>
        <v>0</v>
      </c>
      <c r="G88" s="123"/>
      <c r="H88" s="124"/>
      <c r="I88" s="125">
        <f t="shared" si="6"/>
        <v>0</v>
      </c>
      <c r="J88" s="123">
        <v>0</v>
      </c>
      <c r="K88" s="124"/>
      <c r="L88" s="125">
        <f t="shared" si="7"/>
        <v>0</v>
      </c>
      <c r="M88" s="264"/>
      <c r="N88" s="262"/>
      <c r="O88" s="125">
        <f t="shared" si="8"/>
        <v>0</v>
      </c>
      <c r="P88" s="74"/>
      <c r="R88" s="53"/>
      <c r="S88" s="53"/>
    </row>
    <row r="89" spans="1:19" ht="36" x14ac:dyDescent="0.25">
      <c r="A89" s="76">
        <v>2212</v>
      </c>
      <c r="B89" s="127" t="s">
        <v>105</v>
      </c>
      <c r="C89" s="128">
        <f t="shared" si="4"/>
        <v>15908</v>
      </c>
      <c r="D89" s="134">
        <v>4403</v>
      </c>
      <c r="E89" s="283"/>
      <c r="F89" s="279">
        <f t="shared" si="5"/>
        <v>4403</v>
      </c>
      <c r="G89" s="134"/>
      <c r="H89" s="135"/>
      <c r="I89" s="136">
        <f t="shared" si="6"/>
        <v>0</v>
      </c>
      <c r="J89" s="134">
        <f>11497+5+3</f>
        <v>11505</v>
      </c>
      <c r="K89" s="135"/>
      <c r="L89" s="136">
        <f t="shared" si="7"/>
        <v>11505</v>
      </c>
      <c r="M89" s="284"/>
      <c r="N89" s="285"/>
      <c r="O89" s="136">
        <f t="shared" si="8"/>
        <v>0</v>
      </c>
      <c r="P89" s="85"/>
      <c r="R89" s="53"/>
      <c r="S89" s="53"/>
    </row>
    <row r="90" spans="1:19" ht="24" x14ac:dyDescent="0.25">
      <c r="A90" s="76">
        <v>2214</v>
      </c>
      <c r="B90" s="127" t="s">
        <v>106</v>
      </c>
      <c r="C90" s="128">
        <f t="shared" si="4"/>
        <v>33354</v>
      </c>
      <c r="D90" s="134">
        <f>11597-260</f>
        <v>11337</v>
      </c>
      <c r="E90" s="283"/>
      <c r="F90" s="279">
        <f t="shared" si="5"/>
        <v>11337</v>
      </c>
      <c r="G90" s="134"/>
      <c r="H90" s="135"/>
      <c r="I90" s="136">
        <f t="shared" si="6"/>
        <v>0</v>
      </c>
      <c r="J90" s="134">
        <f>19403+643+1971</f>
        <v>22017</v>
      </c>
      <c r="K90" s="135"/>
      <c r="L90" s="136">
        <f t="shared" si="7"/>
        <v>22017</v>
      </c>
      <c r="M90" s="284"/>
      <c r="N90" s="285"/>
      <c r="O90" s="136">
        <f t="shared" si="8"/>
        <v>0</v>
      </c>
      <c r="P90" s="771"/>
      <c r="R90" s="53"/>
      <c r="S90" s="53"/>
    </row>
    <row r="91" spans="1:19" hidden="1" x14ac:dyDescent="0.25">
      <c r="A91" s="76">
        <v>2219</v>
      </c>
      <c r="B91" s="127" t="s">
        <v>107</v>
      </c>
      <c r="C91" s="128">
        <f t="shared" si="4"/>
        <v>0</v>
      </c>
      <c r="D91" s="134">
        <v>0</v>
      </c>
      <c r="E91" s="283"/>
      <c r="F91" s="286">
        <f t="shared" si="5"/>
        <v>0</v>
      </c>
      <c r="G91" s="134"/>
      <c r="H91" s="135"/>
      <c r="I91" s="136">
        <f t="shared" si="6"/>
        <v>0</v>
      </c>
      <c r="J91" s="134">
        <v>0</v>
      </c>
      <c r="K91" s="135"/>
      <c r="L91" s="136">
        <f t="shared" si="7"/>
        <v>0</v>
      </c>
      <c r="M91" s="284"/>
      <c r="N91" s="285"/>
      <c r="O91" s="136">
        <f t="shared" si="8"/>
        <v>0</v>
      </c>
      <c r="P91" s="85"/>
      <c r="R91" s="53"/>
      <c r="S91" s="53"/>
    </row>
    <row r="92" spans="1:19" ht="24" x14ac:dyDescent="0.25">
      <c r="A92" s="276">
        <v>2220</v>
      </c>
      <c r="B92" s="127" t="s">
        <v>108</v>
      </c>
      <c r="C92" s="128">
        <f t="shared" si="4"/>
        <v>159562</v>
      </c>
      <c r="D92" s="277">
        <f>SUM(D93:D97)</f>
        <v>41371</v>
      </c>
      <c r="E92" s="278">
        <f>SUM(E93:E97)</f>
        <v>-1000</v>
      </c>
      <c r="F92" s="279">
        <f t="shared" si="5"/>
        <v>40371</v>
      </c>
      <c r="G92" s="277">
        <f>SUM(G93:G97)</f>
        <v>0</v>
      </c>
      <c r="H92" s="280">
        <f>SUM(H93:H97)</f>
        <v>0</v>
      </c>
      <c r="I92" s="136">
        <f t="shared" si="6"/>
        <v>0</v>
      </c>
      <c r="J92" s="277">
        <f>SUM(J93:J97)</f>
        <v>119191</v>
      </c>
      <c r="K92" s="280">
        <f>SUM(K93:K97)</f>
        <v>0</v>
      </c>
      <c r="L92" s="136">
        <f t="shared" si="7"/>
        <v>119191</v>
      </c>
      <c r="M92" s="281">
        <f>SUM(M93:M97)</f>
        <v>0</v>
      </c>
      <c r="N92" s="282">
        <f>SUM(N93:N97)</f>
        <v>0</v>
      </c>
      <c r="O92" s="136">
        <f t="shared" si="8"/>
        <v>0</v>
      </c>
      <c r="P92" s="85"/>
      <c r="R92" s="53"/>
      <c r="S92" s="53"/>
    </row>
    <row r="93" spans="1:19" x14ac:dyDescent="0.25">
      <c r="A93" s="76">
        <v>2221</v>
      </c>
      <c r="B93" s="127" t="s">
        <v>109</v>
      </c>
      <c r="C93" s="128">
        <f t="shared" si="4"/>
        <v>71040</v>
      </c>
      <c r="D93" s="134">
        <v>21215</v>
      </c>
      <c r="E93" s="283">
        <v>2000</v>
      </c>
      <c r="F93" s="279">
        <f t="shared" si="5"/>
        <v>23215</v>
      </c>
      <c r="G93" s="134"/>
      <c r="H93" s="135"/>
      <c r="I93" s="136">
        <f t="shared" si="6"/>
        <v>0</v>
      </c>
      <c r="J93" s="134">
        <v>47825</v>
      </c>
      <c r="K93" s="135"/>
      <c r="L93" s="136">
        <f t="shared" si="7"/>
        <v>47825</v>
      </c>
      <c r="M93" s="284"/>
      <c r="N93" s="285"/>
      <c r="O93" s="136">
        <f t="shared" si="8"/>
        <v>0</v>
      </c>
      <c r="P93" s="85"/>
      <c r="R93" s="53"/>
      <c r="S93" s="53"/>
    </row>
    <row r="94" spans="1:19" x14ac:dyDescent="0.25">
      <c r="A94" s="76">
        <v>2222</v>
      </c>
      <c r="B94" s="127" t="s">
        <v>110</v>
      </c>
      <c r="C94" s="128">
        <f t="shared" si="4"/>
        <v>7000</v>
      </c>
      <c r="D94" s="134">
        <v>1593</v>
      </c>
      <c r="E94" s="283"/>
      <c r="F94" s="279">
        <f t="shared" si="5"/>
        <v>1593</v>
      </c>
      <c r="G94" s="134"/>
      <c r="H94" s="135"/>
      <c r="I94" s="136">
        <f t="shared" si="6"/>
        <v>0</v>
      </c>
      <c r="J94" s="134">
        <v>5407</v>
      </c>
      <c r="K94" s="135"/>
      <c r="L94" s="136">
        <f t="shared" si="7"/>
        <v>5407</v>
      </c>
      <c r="M94" s="284"/>
      <c r="N94" s="285"/>
      <c r="O94" s="136">
        <f t="shared" si="8"/>
        <v>0</v>
      </c>
      <c r="P94" s="85"/>
      <c r="R94" s="53"/>
      <c r="S94" s="53"/>
    </row>
    <row r="95" spans="1:19" x14ac:dyDescent="0.25">
      <c r="A95" s="76">
        <v>2223</v>
      </c>
      <c r="B95" s="127" t="s">
        <v>111</v>
      </c>
      <c r="C95" s="128">
        <f t="shared" si="4"/>
        <v>76890</v>
      </c>
      <c r="D95" s="134">
        <v>17065</v>
      </c>
      <c r="E95" s="283">
        <v>-3000</v>
      </c>
      <c r="F95" s="279">
        <f t="shared" si="5"/>
        <v>14065</v>
      </c>
      <c r="G95" s="134"/>
      <c r="H95" s="135"/>
      <c r="I95" s="136">
        <f t="shared" si="6"/>
        <v>0</v>
      </c>
      <c r="J95" s="134">
        <f>47825+15000</f>
        <v>62825</v>
      </c>
      <c r="K95" s="135"/>
      <c r="L95" s="136">
        <f t="shared" si="7"/>
        <v>62825</v>
      </c>
      <c r="M95" s="284"/>
      <c r="N95" s="285"/>
      <c r="O95" s="136">
        <f t="shared" si="8"/>
        <v>0</v>
      </c>
      <c r="P95" s="771"/>
      <c r="R95" s="53"/>
      <c r="S95" s="53"/>
    </row>
    <row r="96" spans="1:19" ht="48" x14ac:dyDescent="0.25">
      <c r="A96" s="76">
        <v>2224</v>
      </c>
      <c r="B96" s="127" t="s">
        <v>112</v>
      </c>
      <c r="C96" s="128">
        <f t="shared" si="4"/>
        <v>4632</v>
      </c>
      <c r="D96" s="134">
        <v>1498</v>
      </c>
      <c r="E96" s="283"/>
      <c r="F96" s="279">
        <f t="shared" si="5"/>
        <v>1498</v>
      </c>
      <c r="G96" s="134"/>
      <c r="H96" s="135"/>
      <c r="I96" s="136">
        <f t="shared" si="6"/>
        <v>0</v>
      </c>
      <c r="J96" s="134">
        <v>3134</v>
      </c>
      <c r="K96" s="135"/>
      <c r="L96" s="136">
        <f t="shared" si="7"/>
        <v>3134</v>
      </c>
      <c r="M96" s="284"/>
      <c r="N96" s="285"/>
      <c r="O96" s="136">
        <f t="shared" si="8"/>
        <v>0</v>
      </c>
      <c r="P96" s="85"/>
      <c r="R96" s="53"/>
      <c r="S96" s="53"/>
    </row>
    <row r="97" spans="1:19" ht="24" hidden="1" x14ac:dyDescent="0.25">
      <c r="A97" s="76">
        <v>2229</v>
      </c>
      <c r="B97" s="127" t="s">
        <v>113</v>
      </c>
      <c r="C97" s="128">
        <f t="shared" si="4"/>
        <v>0</v>
      </c>
      <c r="D97" s="134">
        <v>0</v>
      </c>
      <c r="E97" s="283"/>
      <c r="F97" s="286">
        <f t="shared" si="5"/>
        <v>0</v>
      </c>
      <c r="G97" s="134"/>
      <c r="H97" s="135"/>
      <c r="I97" s="136">
        <f t="shared" si="6"/>
        <v>0</v>
      </c>
      <c r="J97" s="134">
        <v>0</v>
      </c>
      <c r="K97" s="135"/>
      <c r="L97" s="136">
        <f t="shared" si="7"/>
        <v>0</v>
      </c>
      <c r="M97" s="284"/>
      <c r="N97" s="285"/>
      <c r="O97" s="136">
        <f t="shared" si="8"/>
        <v>0</v>
      </c>
      <c r="P97" s="85"/>
      <c r="R97" s="53"/>
      <c r="S97" s="53"/>
    </row>
    <row r="98" spans="1:19" ht="36" x14ac:dyDescent="0.25">
      <c r="A98" s="276">
        <v>2230</v>
      </c>
      <c r="B98" s="127" t="s">
        <v>114</v>
      </c>
      <c r="C98" s="128">
        <f t="shared" si="4"/>
        <v>420</v>
      </c>
      <c r="D98" s="277">
        <f>SUM(D99:D105)</f>
        <v>420</v>
      </c>
      <c r="E98" s="278">
        <f>SUM(E99:E105)</f>
        <v>0</v>
      </c>
      <c r="F98" s="279">
        <f t="shared" si="5"/>
        <v>420</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c r="R98" s="53"/>
      <c r="S98" s="53"/>
    </row>
    <row r="99" spans="1:19" ht="24" hidden="1" x14ac:dyDescent="0.25">
      <c r="A99" s="76">
        <v>2231</v>
      </c>
      <c r="B99" s="127" t="s">
        <v>115</v>
      </c>
      <c r="C99" s="128">
        <f t="shared" si="4"/>
        <v>0</v>
      </c>
      <c r="D99" s="134">
        <v>0</v>
      </c>
      <c r="E99" s="283"/>
      <c r="F99" s="286">
        <f t="shared" si="5"/>
        <v>0</v>
      </c>
      <c r="G99" s="134"/>
      <c r="H99" s="135"/>
      <c r="I99" s="136">
        <f t="shared" si="6"/>
        <v>0</v>
      </c>
      <c r="J99" s="134">
        <v>0</v>
      </c>
      <c r="K99" s="135"/>
      <c r="L99" s="136">
        <f t="shared" si="7"/>
        <v>0</v>
      </c>
      <c r="M99" s="284"/>
      <c r="N99" s="285"/>
      <c r="O99" s="136">
        <f t="shared" si="8"/>
        <v>0</v>
      </c>
      <c r="P99" s="85"/>
      <c r="R99" s="53"/>
      <c r="S99" s="53"/>
    </row>
    <row r="100" spans="1:19" ht="36" hidden="1" x14ac:dyDescent="0.25">
      <c r="A100" s="76">
        <v>2232</v>
      </c>
      <c r="B100" s="127" t="s">
        <v>116</v>
      </c>
      <c r="C100" s="128">
        <f t="shared" si="4"/>
        <v>0</v>
      </c>
      <c r="D100" s="134">
        <v>0</v>
      </c>
      <c r="E100" s="283"/>
      <c r="F100" s="286">
        <f t="shared" si="5"/>
        <v>0</v>
      </c>
      <c r="G100" s="134"/>
      <c r="H100" s="135"/>
      <c r="I100" s="136">
        <f t="shared" si="6"/>
        <v>0</v>
      </c>
      <c r="J100" s="134">
        <v>0</v>
      </c>
      <c r="K100" s="135"/>
      <c r="L100" s="136">
        <f t="shared" si="7"/>
        <v>0</v>
      </c>
      <c r="M100" s="284"/>
      <c r="N100" s="285"/>
      <c r="O100" s="136">
        <f t="shared" si="8"/>
        <v>0</v>
      </c>
      <c r="P100" s="85"/>
      <c r="R100" s="53"/>
      <c r="S100" s="53"/>
    </row>
    <row r="101" spans="1:19" ht="24" hidden="1" x14ac:dyDescent="0.25">
      <c r="A101" s="66">
        <v>2233</v>
      </c>
      <c r="B101" s="116" t="s">
        <v>117</v>
      </c>
      <c r="C101" s="128">
        <f t="shared" si="4"/>
        <v>0</v>
      </c>
      <c r="D101" s="123">
        <v>0</v>
      </c>
      <c r="E101" s="295"/>
      <c r="F101" s="263">
        <f t="shared" si="5"/>
        <v>0</v>
      </c>
      <c r="G101" s="123"/>
      <c r="H101" s="124"/>
      <c r="I101" s="125">
        <f t="shared" si="6"/>
        <v>0</v>
      </c>
      <c r="J101" s="123">
        <v>0</v>
      </c>
      <c r="K101" s="124"/>
      <c r="L101" s="125">
        <f t="shared" si="7"/>
        <v>0</v>
      </c>
      <c r="M101" s="264"/>
      <c r="N101" s="262"/>
      <c r="O101" s="125">
        <f t="shared" si="8"/>
        <v>0</v>
      </c>
      <c r="P101" s="74"/>
      <c r="R101" s="53"/>
      <c r="S101" s="53"/>
    </row>
    <row r="102" spans="1:19" ht="36" x14ac:dyDescent="0.25">
      <c r="A102" s="76">
        <v>2234</v>
      </c>
      <c r="B102" s="127" t="s">
        <v>118</v>
      </c>
      <c r="C102" s="128">
        <f t="shared" si="4"/>
        <v>50</v>
      </c>
      <c r="D102" s="134">
        <v>50</v>
      </c>
      <c r="E102" s="283"/>
      <c r="F102" s="279">
        <f t="shared" si="5"/>
        <v>50</v>
      </c>
      <c r="G102" s="134"/>
      <c r="H102" s="135"/>
      <c r="I102" s="136">
        <f t="shared" si="6"/>
        <v>0</v>
      </c>
      <c r="J102" s="134">
        <v>0</v>
      </c>
      <c r="K102" s="135"/>
      <c r="L102" s="136">
        <f t="shared" si="7"/>
        <v>0</v>
      </c>
      <c r="M102" s="284"/>
      <c r="N102" s="285"/>
      <c r="O102" s="136">
        <f t="shared" si="8"/>
        <v>0</v>
      </c>
      <c r="P102" s="85"/>
      <c r="R102" s="53"/>
      <c r="S102" s="53"/>
    </row>
    <row r="103" spans="1:19" ht="24" x14ac:dyDescent="0.25">
      <c r="A103" s="76">
        <v>2235</v>
      </c>
      <c r="B103" s="127" t="s">
        <v>119</v>
      </c>
      <c r="C103" s="128">
        <f t="shared" si="4"/>
        <v>70</v>
      </c>
      <c r="D103" s="134">
        <v>70</v>
      </c>
      <c r="E103" s="283"/>
      <c r="F103" s="279">
        <f t="shared" si="5"/>
        <v>70</v>
      </c>
      <c r="G103" s="134"/>
      <c r="H103" s="135"/>
      <c r="I103" s="136">
        <f t="shared" si="6"/>
        <v>0</v>
      </c>
      <c r="J103" s="134">
        <v>0</v>
      </c>
      <c r="K103" s="135"/>
      <c r="L103" s="136">
        <f t="shared" si="7"/>
        <v>0</v>
      </c>
      <c r="M103" s="284"/>
      <c r="N103" s="285"/>
      <c r="O103" s="136">
        <f t="shared" si="8"/>
        <v>0</v>
      </c>
      <c r="P103" s="85"/>
      <c r="R103" s="53"/>
      <c r="S103" s="53"/>
    </row>
    <row r="104" spans="1:19" hidden="1" x14ac:dyDescent="0.25">
      <c r="A104" s="76">
        <v>2236</v>
      </c>
      <c r="B104" s="127" t="s">
        <v>120</v>
      </c>
      <c r="C104" s="128">
        <f t="shared" si="4"/>
        <v>0</v>
      </c>
      <c r="D104" s="134">
        <v>0</v>
      </c>
      <c r="E104" s="283"/>
      <c r="F104" s="286">
        <f t="shared" si="5"/>
        <v>0</v>
      </c>
      <c r="G104" s="134"/>
      <c r="H104" s="135"/>
      <c r="I104" s="136">
        <f t="shared" si="6"/>
        <v>0</v>
      </c>
      <c r="J104" s="134">
        <v>0</v>
      </c>
      <c r="K104" s="135"/>
      <c r="L104" s="136">
        <f t="shared" si="7"/>
        <v>0</v>
      </c>
      <c r="M104" s="284"/>
      <c r="N104" s="285"/>
      <c r="O104" s="136">
        <f t="shared" si="8"/>
        <v>0</v>
      </c>
      <c r="P104" s="85"/>
      <c r="R104" s="53"/>
      <c r="S104" s="53"/>
    </row>
    <row r="105" spans="1:19" ht="24" x14ac:dyDescent="0.25">
      <c r="A105" s="76">
        <v>2239</v>
      </c>
      <c r="B105" s="127" t="s">
        <v>121</v>
      </c>
      <c r="C105" s="128">
        <f t="shared" si="4"/>
        <v>300</v>
      </c>
      <c r="D105" s="134">
        <v>300</v>
      </c>
      <c r="E105" s="283"/>
      <c r="F105" s="279">
        <f t="shared" si="5"/>
        <v>300</v>
      </c>
      <c r="G105" s="134"/>
      <c r="H105" s="135"/>
      <c r="I105" s="136">
        <f t="shared" si="6"/>
        <v>0</v>
      </c>
      <c r="J105" s="134">
        <v>0</v>
      </c>
      <c r="K105" s="135"/>
      <c r="L105" s="136">
        <f t="shared" si="7"/>
        <v>0</v>
      </c>
      <c r="M105" s="284"/>
      <c r="N105" s="285"/>
      <c r="O105" s="136">
        <f t="shared" si="8"/>
        <v>0</v>
      </c>
      <c r="P105" s="85"/>
      <c r="R105" s="53"/>
      <c r="S105" s="53"/>
    </row>
    <row r="106" spans="1:19" ht="36" x14ac:dyDescent="0.25">
      <c r="A106" s="276">
        <v>2240</v>
      </c>
      <c r="B106" s="127" t="s">
        <v>122</v>
      </c>
      <c r="C106" s="128">
        <f t="shared" si="4"/>
        <v>34323</v>
      </c>
      <c r="D106" s="277">
        <f>SUM(D107:D114)</f>
        <v>25596</v>
      </c>
      <c r="E106" s="278">
        <f>SUM(E107:E114)</f>
        <v>0</v>
      </c>
      <c r="F106" s="279">
        <f t="shared" si="5"/>
        <v>25596</v>
      </c>
      <c r="G106" s="277">
        <f>SUM(G107:G114)</f>
        <v>0</v>
      </c>
      <c r="H106" s="280">
        <f>SUM(H107:H114)</f>
        <v>0</v>
      </c>
      <c r="I106" s="136">
        <f t="shared" si="6"/>
        <v>0</v>
      </c>
      <c r="J106" s="277">
        <f>SUM(J107:J114)</f>
        <v>8727</v>
      </c>
      <c r="K106" s="280">
        <f>SUM(K107:K114)</f>
        <v>0</v>
      </c>
      <c r="L106" s="136">
        <f t="shared" si="7"/>
        <v>8727</v>
      </c>
      <c r="M106" s="281">
        <f>SUM(M107:M114)</f>
        <v>0</v>
      </c>
      <c r="N106" s="282">
        <f>SUM(N107:N114)</f>
        <v>0</v>
      </c>
      <c r="O106" s="136">
        <f t="shared" si="8"/>
        <v>0</v>
      </c>
      <c r="P106" s="85"/>
      <c r="R106" s="53"/>
      <c r="S106" s="53"/>
    </row>
    <row r="107" spans="1:19" hidden="1" x14ac:dyDescent="0.25">
      <c r="A107" s="76">
        <v>2241</v>
      </c>
      <c r="B107" s="127" t="s">
        <v>123</v>
      </c>
      <c r="C107" s="128">
        <f t="shared" si="4"/>
        <v>0</v>
      </c>
      <c r="D107" s="134">
        <v>0</v>
      </c>
      <c r="E107" s="283"/>
      <c r="F107" s="286">
        <f t="shared" si="5"/>
        <v>0</v>
      </c>
      <c r="G107" s="134"/>
      <c r="H107" s="135"/>
      <c r="I107" s="136">
        <f t="shared" si="6"/>
        <v>0</v>
      </c>
      <c r="J107" s="134">
        <v>0</v>
      </c>
      <c r="K107" s="135"/>
      <c r="L107" s="136">
        <f t="shared" si="7"/>
        <v>0</v>
      </c>
      <c r="M107" s="284"/>
      <c r="N107" s="285"/>
      <c r="O107" s="136">
        <f t="shared" si="8"/>
        <v>0</v>
      </c>
      <c r="P107" s="85"/>
      <c r="R107" s="53"/>
      <c r="S107" s="53"/>
    </row>
    <row r="108" spans="1:19" ht="24" x14ac:dyDescent="0.25">
      <c r="A108" s="76">
        <v>2242</v>
      </c>
      <c r="B108" s="127" t="s">
        <v>124</v>
      </c>
      <c r="C108" s="128">
        <f t="shared" si="4"/>
        <v>10345</v>
      </c>
      <c r="D108" s="134">
        <f>7940+2405</f>
        <v>10345</v>
      </c>
      <c r="E108" s="283"/>
      <c r="F108" s="279">
        <f t="shared" si="5"/>
        <v>10345</v>
      </c>
      <c r="G108" s="134"/>
      <c r="H108" s="135"/>
      <c r="I108" s="136">
        <f t="shared" si="6"/>
        <v>0</v>
      </c>
      <c r="J108" s="134">
        <v>0</v>
      </c>
      <c r="K108" s="135"/>
      <c r="L108" s="136">
        <f t="shared" si="7"/>
        <v>0</v>
      </c>
      <c r="M108" s="284"/>
      <c r="N108" s="285"/>
      <c r="O108" s="136">
        <f t="shared" si="8"/>
        <v>0</v>
      </c>
      <c r="P108" s="85"/>
      <c r="R108" s="53"/>
      <c r="S108" s="53"/>
    </row>
    <row r="109" spans="1:19" ht="24" x14ac:dyDescent="0.25">
      <c r="A109" s="76">
        <v>2243</v>
      </c>
      <c r="B109" s="127" t="s">
        <v>125</v>
      </c>
      <c r="C109" s="128">
        <f t="shared" si="4"/>
        <v>6265</v>
      </c>
      <c r="D109" s="134">
        <f>6000-735</f>
        <v>5265</v>
      </c>
      <c r="E109" s="283"/>
      <c r="F109" s="279">
        <f t="shared" si="5"/>
        <v>5265</v>
      </c>
      <c r="G109" s="134"/>
      <c r="H109" s="135"/>
      <c r="I109" s="136">
        <f t="shared" si="6"/>
        <v>0</v>
      </c>
      <c r="J109" s="134">
        <v>1000</v>
      </c>
      <c r="K109" s="135"/>
      <c r="L109" s="136">
        <f t="shared" si="7"/>
        <v>1000</v>
      </c>
      <c r="M109" s="284"/>
      <c r="N109" s="285"/>
      <c r="O109" s="136">
        <f t="shared" si="8"/>
        <v>0</v>
      </c>
      <c r="P109" s="85"/>
      <c r="R109" s="53"/>
      <c r="S109" s="53"/>
    </row>
    <row r="110" spans="1:19" x14ac:dyDescent="0.25">
      <c r="A110" s="76">
        <v>2244</v>
      </c>
      <c r="B110" s="127" t="s">
        <v>126</v>
      </c>
      <c r="C110" s="128">
        <f t="shared" si="4"/>
        <v>13363</v>
      </c>
      <c r="D110" s="134">
        <f>5936-300</f>
        <v>5636</v>
      </c>
      <c r="E110" s="283"/>
      <c r="F110" s="279">
        <f t="shared" si="5"/>
        <v>5636</v>
      </c>
      <c r="G110" s="134"/>
      <c r="H110" s="135"/>
      <c r="I110" s="136">
        <f t="shared" si="6"/>
        <v>0</v>
      </c>
      <c r="J110" s="134">
        <v>7727</v>
      </c>
      <c r="K110" s="135"/>
      <c r="L110" s="136">
        <f t="shared" si="7"/>
        <v>7727</v>
      </c>
      <c r="M110" s="284"/>
      <c r="N110" s="285"/>
      <c r="O110" s="136">
        <f t="shared" si="8"/>
        <v>0</v>
      </c>
      <c r="P110" s="85"/>
      <c r="R110" s="53"/>
      <c r="S110" s="53"/>
    </row>
    <row r="111" spans="1:19" ht="24" hidden="1" x14ac:dyDescent="0.25">
      <c r="A111" s="76">
        <v>2246</v>
      </c>
      <c r="B111" s="127" t="s">
        <v>127</v>
      </c>
      <c r="C111" s="128">
        <f t="shared" si="4"/>
        <v>0</v>
      </c>
      <c r="D111" s="134">
        <v>0</v>
      </c>
      <c r="E111" s="283"/>
      <c r="F111" s="286">
        <f t="shared" si="5"/>
        <v>0</v>
      </c>
      <c r="G111" s="134"/>
      <c r="H111" s="135"/>
      <c r="I111" s="136">
        <f t="shared" si="6"/>
        <v>0</v>
      </c>
      <c r="J111" s="134">
        <v>0</v>
      </c>
      <c r="K111" s="135"/>
      <c r="L111" s="136">
        <f t="shared" si="7"/>
        <v>0</v>
      </c>
      <c r="M111" s="284"/>
      <c r="N111" s="285"/>
      <c r="O111" s="136">
        <f t="shared" si="8"/>
        <v>0</v>
      </c>
      <c r="P111" s="85"/>
      <c r="R111" s="53"/>
      <c r="S111" s="53"/>
    </row>
    <row r="112" spans="1:19" ht="12" customHeight="1" x14ac:dyDescent="0.25">
      <c r="A112" s="76">
        <v>2247</v>
      </c>
      <c r="B112" s="127" t="s">
        <v>128</v>
      </c>
      <c r="C112" s="128">
        <f t="shared" si="4"/>
        <v>4300</v>
      </c>
      <c r="D112" s="134">
        <f>4000+300</f>
        <v>4300</v>
      </c>
      <c r="E112" s="283"/>
      <c r="F112" s="279">
        <f t="shared" si="5"/>
        <v>4300</v>
      </c>
      <c r="G112" s="134"/>
      <c r="H112" s="135"/>
      <c r="I112" s="136">
        <f t="shared" si="6"/>
        <v>0</v>
      </c>
      <c r="J112" s="134">
        <v>0</v>
      </c>
      <c r="K112" s="135"/>
      <c r="L112" s="136">
        <f t="shared" si="7"/>
        <v>0</v>
      </c>
      <c r="M112" s="284"/>
      <c r="N112" s="285"/>
      <c r="O112" s="136">
        <f t="shared" si="8"/>
        <v>0</v>
      </c>
      <c r="P112" s="775"/>
      <c r="R112" s="53"/>
      <c r="S112" s="53"/>
    </row>
    <row r="113" spans="1:19" ht="24" hidden="1" x14ac:dyDescent="0.25">
      <c r="A113" s="76">
        <v>2248</v>
      </c>
      <c r="B113" s="127" t="s">
        <v>129</v>
      </c>
      <c r="C113" s="128">
        <f t="shared" si="4"/>
        <v>0</v>
      </c>
      <c r="D113" s="134">
        <v>0</v>
      </c>
      <c r="E113" s="283"/>
      <c r="F113" s="286">
        <f t="shared" si="5"/>
        <v>0</v>
      </c>
      <c r="G113" s="134"/>
      <c r="H113" s="135"/>
      <c r="I113" s="136">
        <f t="shared" si="6"/>
        <v>0</v>
      </c>
      <c r="J113" s="134">
        <v>0</v>
      </c>
      <c r="K113" s="135"/>
      <c r="L113" s="136">
        <f t="shared" si="7"/>
        <v>0</v>
      </c>
      <c r="M113" s="284"/>
      <c r="N113" s="285"/>
      <c r="O113" s="136">
        <f t="shared" si="8"/>
        <v>0</v>
      </c>
      <c r="P113" s="85"/>
      <c r="R113" s="53"/>
      <c r="S113" s="53"/>
    </row>
    <row r="114" spans="1:19" ht="24" x14ac:dyDescent="0.25">
      <c r="A114" s="76">
        <v>2249</v>
      </c>
      <c r="B114" s="127" t="s">
        <v>130</v>
      </c>
      <c r="C114" s="128">
        <f t="shared" si="4"/>
        <v>50</v>
      </c>
      <c r="D114" s="134">
        <v>50</v>
      </c>
      <c r="E114" s="283"/>
      <c r="F114" s="279">
        <f t="shared" si="5"/>
        <v>50</v>
      </c>
      <c r="G114" s="134"/>
      <c r="H114" s="135"/>
      <c r="I114" s="136">
        <f t="shared" si="6"/>
        <v>0</v>
      </c>
      <c r="J114" s="134">
        <v>0</v>
      </c>
      <c r="K114" s="135"/>
      <c r="L114" s="136">
        <f t="shared" si="7"/>
        <v>0</v>
      </c>
      <c r="M114" s="284"/>
      <c r="N114" s="285"/>
      <c r="O114" s="136">
        <f t="shared" si="8"/>
        <v>0</v>
      </c>
      <c r="P114" s="85"/>
      <c r="R114" s="53"/>
      <c r="S114" s="53"/>
    </row>
    <row r="115" spans="1:19" hidden="1" x14ac:dyDescent="0.25">
      <c r="A115" s="276">
        <v>2250</v>
      </c>
      <c r="B115" s="127" t="s">
        <v>131</v>
      </c>
      <c r="C115" s="128">
        <f t="shared" si="4"/>
        <v>0</v>
      </c>
      <c r="D115" s="277">
        <f>SUM(D116:D118)</f>
        <v>0</v>
      </c>
      <c r="E115" s="278">
        <f>SUM(E116:E118)</f>
        <v>0</v>
      </c>
      <c r="F115" s="286">
        <f t="shared" si="5"/>
        <v>0</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c r="R115" s="53"/>
      <c r="S115" s="53"/>
    </row>
    <row r="116" spans="1:19" hidden="1" x14ac:dyDescent="0.25">
      <c r="A116" s="76">
        <v>2251</v>
      </c>
      <c r="B116" s="127" t="s">
        <v>132</v>
      </c>
      <c r="C116" s="128">
        <f t="shared" si="4"/>
        <v>0</v>
      </c>
      <c r="D116" s="134">
        <v>0</v>
      </c>
      <c r="E116" s="283"/>
      <c r="F116" s="286">
        <f t="shared" si="5"/>
        <v>0</v>
      </c>
      <c r="G116" s="134"/>
      <c r="H116" s="135"/>
      <c r="I116" s="136">
        <f t="shared" si="6"/>
        <v>0</v>
      </c>
      <c r="J116" s="134">
        <v>0</v>
      </c>
      <c r="K116" s="135"/>
      <c r="L116" s="136">
        <f t="shared" si="7"/>
        <v>0</v>
      </c>
      <c r="M116" s="284"/>
      <c r="N116" s="285"/>
      <c r="O116" s="136">
        <f t="shared" si="8"/>
        <v>0</v>
      </c>
      <c r="P116" s="85"/>
      <c r="R116" s="53"/>
      <c r="S116" s="53"/>
    </row>
    <row r="117" spans="1:19" ht="24" hidden="1" x14ac:dyDescent="0.25">
      <c r="A117" s="76">
        <v>2252</v>
      </c>
      <c r="B117" s="127" t="s">
        <v>133</v>
      </c>
      <c r="C117" s="128">
        <f t="shared" ref="C117:C181" si="9">F117+I117+L117+O117</f>
        <v>0</v>
      </c>
      <c r="D117" s="134">
        <v>0</v>
      </c>
      <c r="E117" s="283"/>
      <c r="F117" s="286">
        <f t="shared" si="5"/>
        <v>0</v>
      </c>
      <c r="G117" s="134"/>
      <c r="H117" s="135"/>
      <c r="I117" s="136">
        <f t="shared" si="6"/>
        <v>0</v>
      </c>
      <c r="J117" s="134">
        <v>0</v>
      </c>
      <c r="K117" s="135"/>
      <c r="L117" s="136">
        <f t="shared" si="7"/>
        <v>0</v>
      </c>
      <c r="M117" s="284"/>
      <c r="N117" s="285"/>
      <c r="O117" s="136">
        <f t="shared" si="8"/>
        <v>0</v>
      </c>
      <c r="P117" s="85"/>
      <c r="R117" s="53"/>
      <c r="S117" s="53"/>
    </row>
    <row r="118" spans="1:19" ht="24" hidden="1" x14ac:dyDescent="0.25">
      <c r="A118" s="76">
        <v>2259</v>
      </c>
      <c r="B118" s="127" t="s">
        <v>134</v>
      </c>
      <c r="C118" s="128">
        <f t="shared" si="9"/>
        <v>0</v>
      </c>
      <c r="D118" s="134">
        <v>0</v>
      </c>
      <c r="E118" s="283"/>
      <c r="F118" s="286">
        <f t="shared" ref="F118:F182" si="10">D118+E118</f>
        <v>0</v>
      </c>
      <c r="G118" s="134"/>
      <c r="H118" s="135"/>
      <c r="I118" s="136">
        <f t="shared" ref="I118:I182" si="11">G118+H118</f>
        <v>0</v>
      </c>
      <c r="J118" s="134">
        <v>0</v>
      </c>
      <c r="K118" s="135"/>
      <c r="L118" s="136">
        <f t="shared" ref="L118:L182" si="12">J118+K118</f>
        <v>0</v>
      </c>
      <c r="M118" s="284"/>
      <c r="N118" s="285"/>
      <c r="O118" s="136">
        <f t="shared" ref="O118:O182" si="13">M118+N118</f>
        <v>0</v>
      </c>
      <c r="P118" s="85"/>
      <c r="R118" s="53"/>
      <c r="S118" s="53"/>
    </row>
    <row r="119" spans="1:19" x14ac:dyDescent="0.25">
      <c r="A119" s="276">
        <v>2260</v>
      </c>
      <c r="B119" s="127" t="s">
        <v>135</v>
      </c>
      <c r="C119" s="128">
        <f t="shared" si="9"/>
        <v>108</v>
      </c>
      <c r="D119" s="277">
        <f>SUM(D120:D124)</f>
        <v>0</v>
      </c>
      <c r="E119" s="278">
        <f>SUM(E120:E124)</f>
        <v>8</v>
      </c>
      <c r="F119" s="279">
        <f t="shared" si="10"/>
        <v>8</v>
      </c>
      <c r="G119" s="277">
        <f>SUM(G120:G124)</f>
        <v>0</v>
      </c>
      <c r="H119" s="280">
        <f>SUM(H120:H124)</f>
        <v>0</v>
      </c>
      <c r="I119" s="136">
        <f t="shared" si="11"/>
        <v>0</v>
      </c>
      <c r="J119" s="277">
        <f>SUM(J120:J124)</f>
        <v>100</v>
      </c>
      <c r="K119" s="280">
        <f>SUM(K120:K124)</f>
        <v>0</v>
      </c>
      <c r="L119" s="136">
        <f t="shared" si="12"/>
        <v>100</v>
      </c>
      <c r="M119" s="281">
        <f>SUM(M120:M124)</f>
        <v>0</v>
      </c>
      <c r="N119" s="282">
        <f>SUM(N120:N124)</f>
        <v>0</v>
      </c>
      <c r="O119" s="136">
        <f t="shared" si="13"/>
        <v>0</v>
      </c>
      <c r="P119" s="85"/>
      <c r="R119" s="53"/>
      <c r="S119" s="53"/>
    </row>
    <row r="120" spans="1:19" hidden="1" x14ac:dyDescent="0.25">
      <c r="A120" s="76">
        <v>2261</v>
      </c>
      <c r="B120" s="127" t="s">
        <v>136</v>
      </c>
      <c r="C120" s="128">
        <f t="shared" si="9"/>
        <v>0</v>
      </c>
      <c r="D120" s="134">
        <v>0</v>
      </c>
      <c r="E120" s="283"/>
      <c r="F120" s="286">
        <f t="shared" si="10"/>
        <v>0</v>
      </c>
      <c r="G120" s="134"/>
      <c r="H120" s="135"/>
      <c r="I120" s="136">
        <f t="shared" si="11"/>
        <v>0</v>
      </c>
      <c r="J120" s="134">
        <v>0</v>
      </c>
      <c r="K120" s="135"/>
      <c r="L120" s="136">
        <f t="shared" si="12"/>
        <v>0</v>
      </c>
      <c r="M120" s="284"/>
      <c r="N120" s="285"/>
      <c r="O120" s="136">
        <f t="shared" si="13"/>
        <v>0</v>
      </c>
      <c r="P120" s="85"/>
      <c r="R120" s="53"/>
      <c r="S120" s="53"/>
    </row>
    <row r="121" spans="1:19" hidden="1" x14ac:dyDescent="0.25">
      <c r="A121" s="76">
        <v>2262</v>
      </c>
      <c r="B121" s="127" t="s">
        <v>137</v>
      </c>
      <c r="C121" s="128">
        <f t="shared" si="9"/>
        <v>0</v>
      </c>
      <c r="D121" s="134">
        <v>0</v>
      </c>
      <c r="E121" s="283"/>
      <c r="F121" s="286">
        <f t="shared" si="10"/>
        <v>0</v>
      </c>
      <c r="G121" s="134"/>
      <c r="H121" s="135"/>
      <c r="I121" s="136">
        <f t="shared" si="11"/>
        <v>0</v>
      </c>
      <c r="J121" s="134">
        <v>0</v>
      </c>
      <c r="K121" s="135"/>
      <c r="L121" s="136">
        <f t="shared" si="12"/>
        <v>0</v>
      </c>
      <c r="M121" s="284"/>
      <c r="N121" s="285"/>
      <c r="O121" s="136">
        <f t="shared" si="13"/>
        <v>0</v>
      </c>
      <c r="P121" s="85"/>
      <c r="R121" s="53"/>
      <c r="S121" s="53"/>
    </row>
    <row r="122" spans="1:19" hidden="1" x14ac:dyDescent="0.25">
      <c r="A122" s="76">
        <v>2263</v>
      </c>
      <c r="B122" s="127" t="s">
        <v>138</v>
      </c>
      <c r="C122" s="128">
        <f t="shared" si="9"/>
        <v>0</v>
      </c>
      <c r="D122" s="134">
        <v>0</v>
      </c>
      <c r="E122" s="283"/>
      <c r="F122" s="286">
        <f t="shared" si="10"/>
        <v>0</v>
      </c>
      <c r="G122" s="134"/>
      <c r="H122" s="135"/>
      <c r="I122" s="136">
        <f t="shared" si="11"/>
        <v>0</v>
      </c>
      <c r="J122" s="134">
        <v>0</v>
      </c>
      <c r="K122" s="135"/>
      <c r="L122" s="136">
        <f t="shared" si="12"/>
        <v>0</v>
      </c>
      <c r="M122" s="284"/>
      <c r="N122" s="285"/>
      <c r="O122" s="136">
        <f t="shared" si="13"/>
        <v>0</v>
      </c>
      <c r="P122" s="85"/>
      <c r="R122" s="53"/>
      <c r="S122" s="53"/>
    </row>
    <row r="123" spans="1:19" ht="24" hidden="1" x14ac:dyDescent="0.25">
      <c r="A123" s="76">
        <v>2264</v>
      </c>
      <c r="B123" s="127" t="s">
        <v>139</v>
      </c>
      <c r="C123" s="128">
        <f t="shared" si="9"/>
        <v>0</v>
      </c>
      <c r="D123" s="134">
        <v>0</v>
      </c>
      <c r="E123" s="283"/>
      <c r="F123" s="286">
        <f t="shared" si="10"/>
        <v>0</v>
      </c>
      <c r="G123" s="134"/>
      <c r="H123" s="135"/>
      <c r="I123" s="136">
        <f t="shared" si="11"/>
        <v>0</v>
      </c>
      <c r="J123" s="134">
        <v>0</v>
      </c>
      <c r="K123" s="135"/>
      <c r="L123" s="136">
        <f t="shared" si="12"/>
        <v>0</v>
      </c>
      <c r="M123" s="284"/>
      <c r="N123" s="285"/>
      <c r="O123" s="136">
        <f t="shared" si="13"/>
        <v>0</v>
      </c>
      <c r="P123" s="85"/>
      <c r="R123" s="53"/>
      <c r="S123" s="53"/>
    </row>
    <row r="124" spans="1:19" x14ac:dyDescent="0.25">
      <c r="A124" s="76">
        <v>2269</v>
      </c>
      <c r="B124" s="127" t="s">
        <v>140</v>
      </c>
      <c r="C124" s="128">
        <f t="shared" si="9"/>
        <v>108</v>
      </c>
      <c r="D124" s="134">
        <v>0</v>
      </c>
      <c r="E124" s="283">
        <v>8</v>
      </c>
      <c r="F124" s="279">
        <f t="shared" si="10"/>
        <v>8</v>
      </c>
      <c r="G124" s="134"/>
      <c r="H124" s="135"/>
      <c r="I124" s="136">
        <f t="shared" si="11"/>
        <v>0</v>
      </c>
      <c r="J124" s="134">
        <v>100</v>
      </c>
      <c r="K124" s="135"/>
      <c r="L124" s="136">
        <f t="shared" si="12"/>
        <v>100</v>
      </c>
      <c r="M124" s="284"/>
      <c r="N124" s="285"/>
      <c r="O124" s="136">
        <f t="shared" si="13"/>
        <v>0</v>
      </c>
      <c r="P124" s="85"/>
      <c r="R124" s="53"/>
      <c r="S124" s="53"/>
    </row>
    <row r="125" spans="1:19" x14ac:dyDescent="0.25">
      <c r="A125" s="276">
        <v>2270</v>
      </c>
      <c r="B125" s="127" t="s">
        <v>141</v>
      </c>
      <c r="C125" s="128">
        <f t="shared" si="9"/>
        <v>500</v>
      </c>
      <c r="D125" s="277">
        <f>SUM(D126:D130)</f>
        <v>3500</v>
      </c>
      <c r="E125" s="278">
        <f>SUM(E126:E130)</f>
        <v>-3000</v>
      </c>
      <c r="F125" s="279">
        <f t="shared" si="10"/>
        <v>500</v>
      </c>
      <c r="G125" s="277">
        <f>SUM(G126:G130)</f>
        <v>0</v>
      </c>
      <c r="H125" s="280">
        <f>SUM(H126:H130)</f>
        <v>0</v>
      </c>
      <c r="I125" s="136">
        <f t="shared" si="11"/>
        <v>0</v>
      </c>
      <c r="J125" s="277">
        <f>SUM(J126:J130)</f>
        <v>0</v>
      </c>
      <c r="K125" s="280">
        <f>SUM(K126:K130)</f>
        <v>0</v>
      </c>
      <c r="L125" s="136">
        <f t="shared" si="12"/>
        <v>0</v>
      </c>
      <c r="M125" s="281">
        <f>SUM(M126:M130)</f>
        <v>0</v>
      </c>
      <c r="N125" s="282">
        <f>SUM(N126:N130)</f>
        <v>0</v>
      </c>
      <c r="O125" s="136">
        <f t="shared" si="13"/>
        <v>0</v>
      </c>
      <c r="P125" s="85"/>
      <c r="R125" s="53"/>
      <c r="S125" s="53"/>
    </row>
    <row r="126" spans="1:19" hidden="1" x14ac:dyDescent="0.25">
      <c r="A126" s="76">
        <v>2272</v>
      </c>
      <c r="B126" s="5" t="s">
        <v>142</v>
      </c>
      <c r="C126" s="128">
        <f t="shared" si="9"/>
        <v>0</v>
      </c>
      <c r="D126" s="134">
        <v>0</v>
      </c>
      <c r="E126" s="283"/>
      <c r="F126" s="286">
        <f t="shared" si="10"/>
        <v>0</v>
      </c>
      <c r="G126" s="134"/>
      <c r="H126" s="135"/>
      <c r="I126" s="136">
        <f t="shared" si="11"/>
        <v>0</v>
      </c>
      <c r="J126" s="134">
        <v>0</v>
      </c>
      <c r="K126" s="135"/>
      <c r="L126" s="136">
        <f t="shared" si="12"/>
        <v>0</v>
      </c>
      <c r="M126" s="284"/>
      <c r="N126" s="285"/>
      <c r="O126" s="136">
        <f t="shared" si="13"/>
        <v>0</v>
      </c>
      <c r="P126" s="85"/>
      <c r="R126" s="53"/>
      <c r="S126" s="53"/>
    </row>
    <row r="127" spans="1:19" ht="24" hidden="1" x14ac:dyDescent="0.25">
      <c r="A127" s="76">
        <v>2275</v>
      </c>
      <c r="B127" s="127" t="s">
        <v>143</v>
      </c>
      <c r="C127" s="128">
        <f t="shared" si="9"/>
        <v>0</v>
      </c>
      <c r="D127" s="134">
        <v>0</v>
      </c>
      <c r="E127" s="283"/>
      <c r="F127" s="286">
        <f t="shared" si="10"/>
        <v>0</v>
      </c>
      <c r="G127" s="134"/>
      <c r="H127" s="135"/>
      <c r="I127" s="136">
        <f t="shared" si="11"/>
        <v>0</v>
      </c>
      <c r="J127" s="134">
        <v>0</v>
      </c>
      <c r="K127" s="135"/>
      <c r="L127" s="136">
        <f t="shared" si="12"/>
        <v>0</v>
      </c>
      <c r="M127" s="284"/>
      <c r="N127" s="285"/>
      <c r="O127" s="136">
        <f t="shared" si="13"/>
        <v>0</v>
      </c>
      <c r="P127" s="85"/>
      <c r="R127" s="53"/>
      <c r="S127" s="53"/>
    </row>
    <row r="128" spans="1:19" ht="36" hidden="1" x14ac:dyDescent="0.25">
      <c r="A128" s="76">
        <v>2276</v>
      </c>
      <c r="B128" s="127" t="s">
        <v>144</v>
      </c>
      <c r="C128" s="128">
        <f t="shared" si="9"/>
        <v>0</v>
      </c>
      <c r="D128" s="134">
        <v>0</v>
      </c>
      <c r="E128" s="283"/>
      <c r="F128" s="286">
        <f t="shared" si="10"/>
        <v>0</v>
      </c>
      <c r="G128" s="134"/>
      <c r="H128" s="135"/>
      <c r="I128" s="136">
        <f t="shared" si="11"/>
        <v>0</v>
      </c>
      <c r="J128" s="134">
        <v>0</v>
      </c>
      <c r="K128" s="135"/>
      <c r="L128" s="136">
        <f t="shared" si="12"/>
        <v>0</v>
      </c>
      <c r="M128" s="284"/>
      <c r="N128" s="285"/>
      <c r="O128" s="136">
        <f t="shared" si="13"/>
        <v>0</v>
      </c>
      <c r="P128" s="85"/>
      <c r="R128" s="53"/>
      <c r="S128" s="53"/>
    </row>
    <row r="129" spans="1:19" ht="24" hidden="1" x14ac:dyDescent="0.25">
      <c r="A129" s="76">
        <v>2278</v>
      </c>
      <c r="B129" s="127" t="s">
        <v>145</v>
      </c>
      <c r="C129" s="128">
        <f t="shared" si="9"/>
        <v>0</v>
      </c>
      <c r="D129" s="134">
        <v>0</v>
      </c>
      <c r="E129" s="283"/>
      <c r="F129" s="286">
        <f t="shared" si="10"/>
        <v>0</v>
      </c>
      <c r="G129" s="134"/>
      <c r="H129" s="135"/>
      <c r="I129" s="136">
        <f t="shared" si="11"/>
        <v>0</v>
      </c>
      <c r="J129" s="134">
        <v>0</v>
      </c>
      <c r="K129" s="135"/>
      <c r="L129" s="136">
        <f t="shared" si="12"/>
        <v>0</v>
      </c>
      <c r="M129" s="284"/>
      <c r="N129" s="285"/>
      <c r="O129" s="136">
        <f t="shared" si="13"/>
        <v>0</v>
      </c>
      <c r="P129" s="85"/>
      <c r="R129" s="53"/>
      <c r="S129" s="53"/>
    </row>
    <row r="130" spans="1:19" ht="24" x14ac:dyDescent="0.25">
      <c r="A130" s="76">
        <v>2279</v>
      </c>
      <c r="B130" s="127" t="s">
        <v>146</v>
      </c>
      <c r="C130" s="128">
        <f t="shared" si="9"/>
        <v>500</v>
      </c>
      <c r="D130" s="134">
        <v>3500</v>
      </c>
      <c r="E130" s="283">
        <v>-3000</v>
      </c>
      <c r="F130" s="279">
        <f t="shared" si="10"/>
        <v>500</v>
      </c>
      <c r="G130" s="134"/>
      <c r="H130" s="135"/>
      <c r="I130" s="136">
        <f t="shared" si="11"/>
        <v>0</v>
      </c>
      <c r="J130" s="134">
        <v>0</v>
      </c>
      <c r="K130" s="135"/>
      <c r="L130" s="136">
        <f t="shared" si="12"/>
        <v>0</v>
      </c>
      <c r="M130" s="284"/>
      <c r="N130" s="285"/>
      <c r="O130" s="136">
        <f t="shared" si="13"/>
        <v>0</v>
      </c>
      <c r="P130" s="85"/>
      <c r="R130" s="53"/>
      <c r="S130" s="53"/>
    </row>
    <row r="131" spans="1:19" ht="24" hidden="1" x14ac:dyDescent="0.25">
      <c r="A131" s="656">
        <v>2280</v>
      </c>
      <c r="B131" s="116" t="s">
        <v>147</v>
      </c>
      <c r="C131" s="128">
        <f t="shared" si="9"/>
        <v>0</v>
      </c>
      <c r="D131" s="297">
        <f>SUM(D132)</f>
        <v>0</v>
      </c>
      <c r="E131" s="298">
        <f t="shared" ref="E131:N131" si="14">SUM(E132)</f>
        <v>0</v>
      </c>
      <c r="F131" s="263">
        <f t="shared" si="10"/>
        <v>0</v>
      </c>
      <c r="G131" s="297">
        <f t="shared" ref="G131" si="15">SUM(G132)</f>
        <v>0</v>
      </c>
      <c r="H131" s="299">
        <f t="shared" si="14"/>
        <v>0</v>
      </c>
      <c r="I131" s="125">
        <f t="shared" si="11"/>
        <v>0</v>
      </c>
      <c r="J131" s="297">
        <f>SUM(J132)</f>
        <v>0</v>
      </c>
      <c r="K131" s="299">
        <f t="shared" si="14"/>
        <v>0</v>
      </c>
      <c r="L131" s="125">
        <f t="shared" si="12"/>
        <v>0</v>
      </c>
      <c r="M131" s="281">
        <f t="shared" si="14"/>
        <v>0</v>
      </c>
      <c r="N131" s="282">
        <f t="shared" si="14"/>
        <v>0</v>
      </c>
      <c r="O131" s="136">
        <f t="shared" si="13"/>
        <v>0</v>
      </c>
      <c r="P131" s="85"/>
      <c r="R131" s="53"/>
      <c r="S131" s="53"/>
    </row>
    <row r="132" spans="1:19" ht="24" hidden="1" x14ac:dyDescent="0.25">
      <c r="A132" s="76">
        <v>2283</v>
      </c>
      <c r="B132" s="127" t="s">
        <v>148</v>
      </c>
      <c r="C132" s="128">
        <f t="shared" si="9"/>
        <v>0</v>
      </c>
      <c r="D132" s="134">
        <v>0</v>
      </c>
      <c r="E132" s="283"/>
      <c r="F132" s="286">
        <f t="shared" si="10"/>
        <v>0</v>
      </c>
      <c r="G132" s="134"/>
      <c r="H132" s="135"/>
      <c r="I132" s="136">
        <f t="shared" si="11"/>
        <v>0</v>
      </c>
      <c r="J132" s="134">
        <v>0</v>
      </c>
      <c r="K132" s="135"/>
      <c r="L132" s="136">
        <f t="shared" si="12"/>
        <v>0</v>
      </c>
      <c r="M132" s="284"/>
      <c r="N132" s="285"/>
      <c r="O132" s="136">
        <f t="shared" si="13"/>
        <v>0</v>
      </c>
      <c r="P132" s="85"/>
      <c r="R132" s="53"/>
      <c r="S132" s="53"/>
    </row>
    <row r="133" spans="1:19" ht="36" x14ac:dyDescent="0.25">
      <c r="A133" s="99">
        <v>2300</v>
      </c>
      <c r="B133" s="247" t="s">
        <v>149</v>
      </c>
      <c r="C133" s="100">
        <f t="shared" si="9"/>
        <v>109881</v>
      </c>
      <c r="D133" s="112">
        <f>SUM(D134,D139,D143,D144,D147,D154,D162,D163,D166)</f>
        <v>62586</v>
      </c>
      <c r="E133" s="248">
        <f>SUM(E134,E139,E143,E144,E147,E154,E162,E163,E166)</f>
        <v>-11008</v>
      </c>
      <c r="F133" s="249">
        <f t="shared" si="10"/>
        <v>51578</v>
      </c>
      <c r="G133" s="112">
        <f>SUM(G134,G139,G143,G144,G147,G154,G162,G163,G166)</f>
        <v>0</v>
      </c>
      <c r="H133" s="113">
        <f>SUM(H134,H139,H143,H144,H147,H154,H162,H163,H166)</f>
        <v>0</v>
      </c>
      <c r="I133" s="114">
        <f t="shared" si="11"/>
        <v>0</v>
      </c>
      <c r="J133" s="112">
        <f>SUM(J134,J139,J143,J144,J147,J154,J162,J163,J166)</f>
        <v>58303</v>
      </c>
      <c r="K133" s="113">
        <f>SUM(K134,K139,K143,K144,K147,K154,K162,K163,K166)</f>
        <v>0</v>
      </c>
      <c r="L133" s="114">
        <f t="shared" si="12"/>
        <v>58303</v>
      </c>
      <c r="M133" s="292">
        <f>SUM(M134,M139,M143,M144,M147,M154,M162,M163,M166)</f>
        <v>0</v>
      </c>
      <c r="N133" s="293">
        <f>SUM(N134,N139,N143,N144,N147,N154,N162,N163,N166)</f>
        <v>0</v>
      </c>
      <c r="O133" s="114">
        <f t="shared" si="13"/>
        <v>0</v>
      </c>
      <c r="P133" s="109"/>
      <c r="R133" s="53"/>
      <c r="S133" s="53"/>
    </row>
    <row r="134" spans="1:19" ht="24" x14ac:dyDescent="0.25">
      <c r="A134" s="656">
        <v>2310</v>
      </c>
      <c r="B134" s="116" t="s">
        <v>150</v>
      </c>
      <c r="C134" s="117">
        <f t="shared" si="9"/>
        <v>32983</v>
      </c>
      <c r="D134" s="308">
        <f>SUM(D135:D138)</f>
        <v>13481</v>
      </c>
      <c r="E134" s="300">
        <f>SUM(E135:E138)</f>
        <v>-2592</v>
      </c>
      <c r="F134" s="296">
        <f t="shared" si="10"/>
        <v>10889</v>
      </c>
      <c r="G134" s="297">
        <f>SUM(G135:G138)</f>
        <v>0</v>
      </c>
      <c r="H134" s="299">
        <f>SUM(H135:H138)</f>
        <v>0</v>
      </c>
      <c r="I134" s="125">
        <f t="shared" si="11"/>
        <v>0</v>
      </c>
      <c r="J134" s="297">
        <f>SUM(J135:J138)</f>
        <v>22094</v>
      </c>
      <c r="K134" s="299">
        <f>SUM(K135:K138)</f>
        <v>0</v>
      </c>
      <c r="L134" s="125">
        <f t="shared" si="12"/>
        <v>22094</v>
      </c>
      <c r="M134" s="300">
        <f>SUM(M135:M138)</f>
        <v>0</v>
      </c>
      <c r="N134" s="301">
        <f>SUM(N135:N138)</f>
        <v>0</v>
      </c>
      <c r="O134" s="125">
        <f t="shared" si="13"/>
        <v>0</v>
      </c>
      <c r="P134" s="74"/>
      <c r="R134" s="53"/>
      <c r="S134" s="53"/>
    </row>
    <row r="135" spans="1:19" x14ac:dyDescent="0.25">
      <c r="A135" s="76">
        <v>2311</v>
      </c>
      <c r="B135" s="127" t="s">
        <v>151</v>
      </c>
      <c r="C135" s="128">
        <f t="shared" si="9"/>
        <v>22817</v>
      </c>
      <c r="D135" s="134">
        <f>7110-200</f>
        <v>6910</v>
      </c>
      <c r="E135" s="283"/>
      <c r="F135" s="279">
        <f t="shared" si="10"/>
        <v>6910</v>
      </c>
      <c r="G135" s="134"/>
      <c r="H135" s="135"/>
      <c r="I135" s="136">
        <f t="shared" si="11"/>
        <v>0</v>
      </c>
      <c r="J135" s="134">
        <v>15907</v>
      </c>
      <c r="K135" s="135"/>
      <c r="L135" s="136">
        <f t="shared" si="12"/>
        <v>15907</v>
      </c>
      <c r="M135" s="284"/>
      <c r="N135" s="285"/>
      <c r="O135" s="136">
        <f t="shared" si="13"/>
        <v>0</v>
      </c>
      <c r="P135" s="85"/>
      <c r="R135" s="53"/>
      <c r="S135" s="53"/>
    </row>
    <row r="136" spans="1:19" x14ac:dyDescent="0.25">
      <c r="A136" s="76">
        <v>2312</v>
      </c>
      <c r="B136" s="127" t="s">
        <v>152</v>
      </c>
      <c r="C136" s="128">
        <f t="shared" si="9"/>
        <v>10066</v>
      </c>
      <c r="D136" s="134">
        <f>2171-100+4400</f>
        <v>6471</v>
      </c>
      <c r="E136" s="283">
        <v>-2592</v>
      </c>
      <c r="F136" s="279">
        <f t="shared" si="10"/>
        <v>3879</v>
      </c>
      <c r="G136" s="134"/>
      <c r="H136" s="135"/>
      <c r="I136" s="136">
        <f t="shared" si="11"/>
        <v>0</v>
      </c>
      <c r="J136" s="134">
        <v>6187</v>
      </c>
      <c r="K136" s="135"/>
      <c r="L136" s="136">
        <f t="shared" si="12"/>
        <v>6187</v>
      </c>
      <c r="M136" s="284"/>
      <c r="N136" s="285"/>
      <c r="O136" s="136">
        <f t="shared" si="13"/>
        <v>0</v>
      </c>
      <c r="P136" s="771"/>
      <c r="R136" s="53"/>
      <c r="S136" s="53"/>
    </row>
    <row r="137" spans="1:19" x14ac:dyDescent="0.2">
      <c r="A137" s="76">
        <v>2313</v>
      </c>
      <c r="B137" s="127" t="s">
        <v>153</v>
      </c>
      <c r="C137" s="128">
        <f t="shared" si="9"/>
        <v>100</v>
      </c>
      <c r="D137" s="134">
        <v>100</v>
      </c>
      <c r="E137" s="283"/>
      <c r="F137" s="279">
        <f t="shared" si="10"/>
        <v>100</v>
      </c>
      <c r="G137" s="134"/>
      <c r="H137" s="135"/>
      <c r="I137" s="136">
        <f t="shared" si="11"/>
        <v>0</v>
      </c>
      <c r="J137" s="134">
        <v>0</v>
      </c>
      <c r="K137" s="135"/>
      <c r="L137" s="136">
        <f t="shared" si="12"/>
        <v>0</v>
      </c>
      <c r="M137" s="284"/>
      <c r="N137" s="285"/>
      <c r="O137" s="136">
        <f t="shared" si="13"/>
        <v>0</v>
      </c>
      <c r="P137" s="776"/>
      <c r="R137" s="53"/>
      <c r="S137" s="53"/>
    </row>
    <row r="138" spans="1:19" ht="36" hidden="1" x14ac:dyDescent="0.25">
      <c r="A138" s="76">
        <v>2314</v>
      </c>
      <c r="B138" s="127" t="s">
        <v>154</v>
      </c>
      <c r="C138" s="128">
        <f t="shared" si="9"/>
        <v>0</v>
      </c>
      <c r="D138" s="134">
        <v>0</v>
      </c>
      <c r="E138" s="283"/>
      <c r="F138" s="286">
        <f t="shared" si="10"/>
        <v>0</v>
      </c>
      <c r="G138" s="134"/>
      <c r="H138" s="135"/>
      <c r="I138" s="136">
        <f t="shared" si="11"/>
        <v>0</v>
      </c>
      <c r="J138" s="134">
        <v>0</v>
      </c>
      <c r="K138" s="135"/>
      <c r="L138" s="136">
        <f t="shared" si="12"/>
        <v>0</v>
      </c>
      <c r="M138" s="284"/>
      <c r="N138" s="285"/>
      <c r="O138" s="136">
        <f t="shared" si="13"/>
        <v>0</v>
      </c>
      <c r="P138" s="85"/>
      <c r="R138" s="53"/>
      <c r="S138" s="53"/>
    </row>
    <row r="139" spans="1:19" x14ac:dyDescent="0.25">
      <c r="A139" s="276">
        <v>2320</v>
      </c>
      <c r="B139" s="127" t="s">
        <v>155</v>
      </c>
      <c r="C139" s="128">
        <f t="shared" si="9"/>
        <v>59464</v>
      </c>
      <c r="D139" s="277">
        <f>SUM(D140:D142)</f>
        <v>41101</v>
      </c>
      <c r="E139" s="278">
        <f>SUM(E140:E142)</f>
        <v>-9300</v>
      </c>
      <c r="F139" s="279">
        <f t="shared" si="10"/>
        <v>31801</v>
      </c>
      <c r="G139" s="277">
        <f>SUM(G140:G142)</f>
        <v>0</v>
      </c>
      <c r="H139" s="280">
        <f>SUM(H140:H142)</f>
        <v>0</v>
      </c>
      <c r="I139" s="136">
        <f t="shared" si="11"/>
        <v>0</v>
      </c>
      <c r="J139" s="277">
        <f>SUM(J140:J142)</f>
        <v>27663</v>
      </c>
      <c r="K139" s="280">
        <f>SUM(K140:K142)</f>
        <v>0</v>
      </c>
      <c r="L139" s="136">
        <f t="shared" si="12"/>
        <v>27663</v>
      </c>
      <c r="M139" s="281">
        <f>SUM(M140:M142)</f>
        <v>0</v>
      </c>
      <c r="N139" s="282">
        <f>SUM(N140:N142)</f>
        <v>0</v>
      </c>
      <c r="O139" s="136">
        <f t="shared" si="13"/>
        <v>0</v>
      </c>
      <c r="P139" s="85"/>
      <c r="R139" s="53"/>
      <c r="S139" s="53"/>
    </row>
    <row r="140" spans="1:19" hidden="1" x14ac:dyDescent="0.25">
      <c r="A140" s="76">
        <v>2321</v>
      </c>
      <c r="B140" s="127" t="s">
        <v>156</v>
      </c>
      <c r="C140" s="128">
        <f t="shared" si="9"/>
        <v>0</v>
      </c>
      <c r="D140" s="134">
        <v>0</v>
      </c>
      <c r="E140" s="283"/>
      <c r="F140" s="286">
        <f t="shared" si="10"/>
        <v>0</v>
      </c>
      <c r="G140" s="134"/>
      <c r="H140" s="135"/>
      <c r="I140" s="136">
        <f t="shared" si="11"/>
        <v>0</v>
      </c>
      <c r="J140" s="134">
        <v>0</v>
      </c>
      <c r="K140" s="135"/>
      <c r="L140" s="136">
        <f t="shared" si="12"/>
        <v>0</v>
      </c>
      <c r="M140" s="284"/>
      <c r="N140" s="285"/>
      <c r="O140" s="136">
        <f t="shared" si="13"/>
        <v>0</v>
      </c>
      <c r="P140" s="85"/>
      <c r="R140" s="53"/>
      <c r="S140" s="53"/>
    </row>
    <row r="141" spans="1:19" x14ac:dyDescent="0.25">
      <c r="A141" s="76">
        <v>2322</v>
      </c>
      <c r="B141" s="127" t="s">
        <v>157</v>
      </c>
      <c r="C141" s="128">
        <f t="shared" si="9"/>
        <v>59464</v>
      </c>
      <c r="D141" s="134">
        <f>42940-1229-610</f>
        <v>41101</v>
      </c>
      <c r="E141" s="283">
        <v>-9300</v>
      </c>
      <c r="F141" s="279">
        <f t="shared" si="10"/>
        <v>31801</v>
      </c>
      <c r="G141" s="134"/>
      <c r="H141" s="135"/>
      <c r="I141" s="136">
        <f t="shared" si="11"/>
        <v>0</v>
      </c>
      <c r="J141" s="134">
        <f>25211+1229+408+815</f>
        <v>27663</v>
      </c>
      <c r="K141" s="135"/>
      <c r="L141" s="136">
        <f t="shared" si="12"/>
        <v>27663</v>
      </c>
      <c r="M141" s="284"/>
      <c r="N141" s="285"/>
      <c r="O141" s="136">
        <f t="shared" si="13"/>
        <v>0</v>
      </c>
      <c r="P141" s="85"/>
      <c r="R141" s="53"/>
      <c r="S141" s="53"/>
    </row>
    <row r="142" spans="1:19" hidden="1" x14ac:dyDescent="0.25">
      <c r="A142" s="76">
        <v>2329</v>
      </c>
      <c r="B142" s="127" t="s">
        <v>158</v>
      </c>
      <c r="C142" s="128">
        <f t="shared" si="9"/>
        <v>0</v>
      </c>
      <c r="D142" s="134">
        <v>0</v>
      </c>
      <c r="E142" s="283"/>
      <c r="F142" s="286">
        <f t="shared" si="10"/>
        <v>0</v>
      </c>
      <c r="G142" s="134"/>
      <c r="H142" s="135"/>
      <c r="I142" s="136">
        <f t="shared" si="11"/>
        <v>0</v>
      </c>
      <c r="J142" s="134">
        <v>0</v>
      </c>
      <c r="K142" s="135"/>
      <c r="L142" s="136">
        <f t="shared" si="12"/>
        <v>0</v>
      </c>
      <c r="M142" s="284"/>
      <c r="N142" s="285"/>
      <c r="O142" s="136">
        <f t="shared" si="13"/>
        <v>0</v>
      </c>
      <c r="P142" s="85"/>
      <c r="R142" s="53"/>
      <c r="S142" s="53"/>
    </row>
    <row r="143" spans="1:19" hidden="1" x14ac:dyDescent="0.25">
      <c r="A143" s="276">
        <v>2330</v>
      </c>
      <c r="B143" s="127" t="s">
        <v>159</v>
      </c>
      <c r="C143" s="128">
        <f t="shared" si="9"/>
        <v>0</v>
      </c>
      <c r="D143" s="134">
        <v>0</v>
      </c>
      <c r="E143" s="283"/>
      <c r="F143" s="286">
        <f t="shared" si="10"/>
        <v>0</v>
      </c>
      <c r="G143" s="134"/>
      <c r="H143" s="135"/>
      <c r="I143" s="136">
        <f t="shared" si="11"/>
        <v>0</v>
      </c>
      <c r="J143" s="134">
        <v>0</v>
      </c>
      <c r="K143" s="135"/>
      <c r="L143" s="136">
        <f t="shared" si="12"/>
        <v>0</v>
      </c>
      <c r="M143" s="284"/>
      <c r="N143" s="285"/>
      <c r="O143" s="136">
        <f t="shared" si="13"/>
        <v>0</v>
      </c>
      <c r="P143" s="85"/>
      <c r="R143" s="53"/>
      <c r="S143" s="53"/>
    </row>
    <row r="144" spans="1:19" ht="48" x14ac:dyDescent="0.25">
      <c r="A144" s="276">
        <v>2340</v>
      </c>
      <c r="B144" s="127" t="s">
        <v>160</v>
      </c>
      <c r="C144" s="128">
        <f t="shared" si="9"/>
        <v>50</v>
      </c>
      <c r="D144" s="277">
        <f>SUM(D145:D146)</f>
        <v>0</v>
      </c>
      <c r="E144" s="278">
        <f>SUM(E145:E146)</f>
        <v>0</v>
      </c>
      <c r="F144" s="279">
        <f t="shared" si="10"/>
        <v>0</v>
      </c>
      <c r="G144" s="277">
        <f>SUM(G145:G146)</f>
        <v>0</v>
      </c>
      <c r="H144" s="280">
        <f>SUM(H145:H146)</f>
        <v>0</v>
      </c>
      <c r="I144" s="136">
        <f t="shared" si="11"/>
        <v>0</v>
      </c>
      <c r="J144" s="277">
        <f>SUM(J145:J146)</f>
        <v>50</v>
      </c>
      <c r="K144" s="280">
        <f>SUM(K145:K146)</f>
        <v>0</v>
      </c>
      <c r="L144" s="136">
        <f t="shared" si="12"/>
        <v>50</v>
      </c>
      <c r="M144" s="281">
        <f>SUM(M145:M146)</f>
        <v>0</v>
      </c>
      <c r="N144" s="282">
        <f>SUM(N145:N146)</f>
        <v>0</v>
      </c>
      <c r="O144" s="136">
        <f t="shared" si="13"/>
        <v>0</v>
      </c>
      <c r="P144" s="85"/>
      <c r="R144" s="53"/>
      <c r="S144" s="53"/>
    </row>
    <row r="145" spans="1:19" x14ac:dyDescent="0.25">
      <c r="A145" s="76">
        <v>2341</v>
      </c>
      <c r="B145" s="127" t="s">
        <v>161</v>
      </c>
      <c r="C145" s="128">
        <f t="shared" si="9"/>
        <v>50</v>
      </c>
      <c r="D145" s="134">
        <v>0</v>
      </c>
      <c r="E145" s="283"/>
      <c r="F145" s="279">
        <f t="shared" si="10"/>
        <v>0</v>
      </c>
      <c r="G145" s="134"/>
      <c r="H145" s="135"/>
      <c r="I145" s="136">
        <f t="shared" si="11"/>
        <v>0</v>
      </c>
      <c r="J145" s="134">
        <v>50</v>
      </c>
      <c r="K145" s="135"/>
      <c r="L145" s="136">
        <f t="shared" si="12"/>
        <v>50</v>
      </c>
      <c r="M145" s="284"/>
      <c r="N145" s="285"/>
      <c r="O145" s="136">
        <f t="shared" si="13"/>
        <v>0</v>
      </c>
      <c r="P145" s="85"/>
      <c r="R145" s="53"/>
      <c r="S145" s="53"/>
    </row>
    <row r="146" spans="1:19" ht="24" hidden="1" x14ac:dyDescent="0.25">
      <c r="A146" s="76">
        <v>2344</v>
      </c>
      <c r="B146" s="127" t="s">
        <v>162</v>
      </c>
      <c r="C146" s="128">
        <f t="shared" si="9"/>
        <v>0</v>
      </c>
      <c r="D146" s="134">
        <v>0</v>
      </c>
      <c r="E146" s="283"/>
      <c r="F146" s="286">
        <f t="shared" si="10"/>
        <v>0</v>
      </c>
      <c r="G146" s="134"/>
      <c r="H146" s="135"/>
      <c r="I146" s="136">
        <f t="shared" si="11"/>
        <v>0</v>
      </c>
      <c r="J146" s="134">
        <v>0</v>
      </c>
      <c r="K146" s="135"/>
      <c r="L146" s="136">
        <f t="shared" si="12"/>
        <v>0</v>
      </c>
      <c r="M146" s="284"/>
      <c r="N146" s="285"/>
      <c r="O146" s="136">
        <f t="shared" si="13"/>
        <v>0</v>
      </c>
      <c r="P146" s="85"/>
      <c r="R146" s="53"/>
      <c r="S146" s="53"/>
    </row>
    <row r="147" spans="1:19" ht="24" x14ac:dyDescent="0.25">
      <c r="A147" s="254">
        <v>2350</v>
      </c>
      <c r="B147" s="179" t="s">
        <v>163</v>
      </c>
      <c r="C147" s="128">
        <f t="shared" si="9"/>
        <v>16334</v>
      </c>
      <c r="D147" s="255">
        <f>SUM(D148:D153)</f>
        <v>7097</v>
      </c>
      <c r="E147" s="256">
        <f>SUM(E148:E153)</f>
        <v>884</v>
      </c>
      <c r="F147" s="257">
        <f t="shared" si="10"/>
        <v>7981</v>
      </c>
      <c r="G147" s="255">
        <f>SUM(G148:G153)</f>
        <v>0</v>
      </c>
      <c r="H147" s="258">
        <f>SUM(H148:H153)</f>
        <v>0</v>
      </c>
      <c r="I147" s="259">
        <f t="shared" si="11"/>
        <v>0</v>
      </c>
      <c r="J147" s="255">
        <f>SUM(J148:J153)</f>
        <v>8353</v>
      </c>
      <c r="K147" s="258">
        <f>SUM(K148:K153)</f>
        <v>0</v>
      </c>
      <c r="L147" s="259">
        <f t="shared" si="12"/>
        <v>8353</v>
      </c>
      <c r="M147" s="260">
        <f>SUM(M148:M153)</f>
        <v>0</v>
      </c>
      <c r="N147" s="261">
        <f>SUM(N148:N153)</f>
        <v>0</v>
      </c>
      <c r="O147" s="259">
        <f t="shared" si="13"/>
        <v>0</v>
      </c>
      <c r="P147" s="189"/>
      <c r="R147" s="53"/>
      <c r="S147" s="53"/>
    </row>
    <row r="148" spans="1:19" x14ac:dyDescent="0.25">
      <c r="A148" s="66">
        <v>2351</v>
      </c>
      <c r="B148" s="116" t="s">
        <v>164</v>
      </c>
      <c r="C148" s="128">
        <f t="shared" si="9"/>
        <v>2000</v>
      </c>
      <c r="D148" s="123">
        <v>1471</v>
      </c>
      <c r="E148" s="295"/>
      <c r="F148" s="296">
        <f t="shared" si="10"/>
        <v>1471</v>
      </c>
      <c r="G148" s="123"/>
      <c r="H148" s="124"/>
      <c r="I148" s="125">
        <f t="shared" si="11"/>
        <v>0</v>
      </c>
      <c r="J148" s="123">
        <f>1529-1000</f>
        <v>529</v>
      </c>
      <c r="K148" s="124"/>
      <c r="L148" s="125">
        <f t="shared" si="12"/>
        <v>529</v>
      </c>
      <c r="M148" s="264"/>
      <c r="N148" s="262"/>
      <c r="O148" s="125">
        <f t="shared" si="13"/>
        <v>0</v>
      </c>
      <c r="P148" s="74"/>
      <c r="R148" s="53"/>
      <c r="S148" s="53"/>
    </row>
    <row r="149" spans="1:19" x14ac:dyDescent="0.25">
      <c r="A149" s="76">
        <v>2352</v>
      </c>
      <c r="B149" s="127" t="s">
        <v>165</v>
      </c>
      <c r="C149" s="128">
        <f t="shared" si="9"/>
        <v>10482</v>
      </c>
      <c r="D149" s="134">
        <v>4600</v>
      </c>
      <c r="E149" s="283">
        <v>382</v>
      </c>
      <c r="F149" s="279">
        <f t="shared" si="10"/>
        <v>4982</v>
      </c>
      <c r="G149" s="134"/>
      <c r="H149" s="135"/>
      <c r="I149" s="136">
        <f t="shared" si="11"/>
        <v>0</v>
      </c>
      <c r="J149" s="134">
        <f>4500+1000</f>
        <v>5500</v>
      </c>
      <c r="K149" s="135"/>
      <c r="L149" s="136">
        <f t="shared" si="12"/>
        <v>5500</v>
      </c>
      <c r="M149" s="284"/>
      <c r="N149" s="285"/>
      <c r="O149" s="136">
        <f t="shared" si="13"/>
        <v>0</v>
      </c>
      <c r="P149" s="777"/>
      <c r="R149" s="53"/>
      <c r="S149" s="53"/>
    </row>
    <row r="150" spans="1:19" ht="24" x14ac:dyDescent="0.25">
      <c r="A150" s="76">
        <v>2353</v>
      </c>
      <c r="B150" s="127" t="s">
        <v>166</v>
      </c>
      <c r="C150" s="128">
        <f t="shared" si="9"/>
        <v>150</v>
      </c>
      <c r="D150" s="134">
        <v>150</v>
      </c>
      <c r="E150" s="283"/>
      <c r="F150" s="279">
        <f t="shared" si="10"/>
        <v>150</v>
      </c>
      <c r="G150" s="134"/>
      <c r="H150" s="135"/>
      <c r="I150" s="136">
        <f t="shared" si="11"/>
        <v>0</v>
      </c>
      <c r="J150" s="134">
        <v>0</v>
      </c>
      <c r="K150" s="135"/>
      <c r="L150" s="136">
        <f t="shared" si="12"/>
        <v>0</v>
      </c>
      <c r="M150" s="284"/>
      <c r="N150" s="285"/>
      <c r="O150" s="136">
        <f t="shared" si="13"/>
        <v>0</v>
      </c>
      <c r="P150" s="85"/>
      <c r="R150" s="53"/>
      <c r="S150" s="53"/>
    </row>
    <row r="151" spans="1:19" ht="24" x14ac:dyDescent="0.25">
      <c r="A151" s="76">
        <v>2354</v>
      </c>
      <c r="B151" s="127" t="s">
        <v>167</v>
      </c>
      <c r="C151" s="128">
        <f t="shared" si="9"/>
        <v>3702</v>
      </c>
      <c r="D151" s="134">
        <v>876</v>
      </c>
      <c r="E151" s="283">
        <v>502</v>
      </c>
      <c r="F151" s="279">
        <f t="shared" si="10"/>
        <v>1378</v>
      </c>
      <c r="G151" s="134"/>
      <c r="H151" s="135"/>
      <c r="I151" s="136">
        <f t="shared" si="11"/>
        <v>0</v>
      </c>
      <c r="J151" s="134">
        <v>2324</v>
      </c>
      <c r="K151" s="135"/>
      <c r="L151" s="136">
        <f t="shared" si="12"/>
        <v>2324</v>
      </c>
      <c r="M151" s="284"/>
      <c r="N151" s="285"/>
      <c r="O151" s="136">
        <f t="shared" si="13"/>
        <v>0</v>
      </c>
      <c r="P151" s="85"/>
      <c r="R151" s="53"/>
      <c r="S151" s="53"/>
    </row>
    <row r="152" spans="1:19" ht="24" hidden="1" x14ac:dyDescent="0.25">
      <c r="A152" s="76">
        <v>2355</v>
      </c>
      <c r="B152" s="127" t="s">
        <v>168</v>
      </c>
      <c r="C152" s="128">
        <f t="shared" si="9"/>
        <v>0</v>
      </c>
      <c r="D152" s="134">
        <v>0</v>
      </c>
      <c r="E152" s="283"/>
      <c r="F152" s="286">
        <f t="shared" si="10"/>
        <v>0</v>
      </c>
      <c r="G152" s="134"/>
      <c r="H152" s="135"/>
      <c r="I152" s="136">
        <f t="shared" si="11"/>
        <v>0</v>
      </c>
      <c r="J152" s="134">
        <v>0</v>
      </c>
      <c r="K152" s="135"/>
      <c r="L152" s="136">
        <f t="shared" si="12"/>
        <v>0</v>
      </c>
      <c r="M152" s="284"/>
      <c r="N152" s="285"/>
      <c r="O152" s="136">
        <f t="shared" si="13"/>
        <v>0</v>
      </c>
      <c r="P152" s="85"/>
      <c r="R152" s="53"/>
      <c r="S152" s="53"/>
    </row>
    <row r="153" spans="1:19" ht="24" hidden="1" x14ac:dyDescent="0.25">
      <c r="A153" s="76">
        <v>2359</v>
      </c>
      <c r="B153" s="127" t="s">
        <v>169</v>
      </c>
      <c r="C153" s="128">
        <f t="shared" si="9"/>
        <v>0</v>
      </c>
      <c r="D153" s="134">
        <v>0</v>
      </c>
      <c r="E153" s="283"/>
      <c r="F153" s="286">
        <f t="shared" si="10"/>
        <v>0</v>
      </c>
      <c r="G153" s="134"/>
      <c r="H153" s="135"/>
      <c r="I153" s="136">
        <f t="shared" si="11"/>
        <v>0</v>
      </c>
      <c r="J153" s="134">
        <v>0</v>
      </c>
      <c r="K153" s="135"/>
      <c r="L153" s="136">
        <f t="shared" si="12"/>
        <v>0</v>
      </c>
      <c r="M153" s="284"/>
      <c r="N153" s="285"/>
      <c r="O153" s="136">
        <f t="shared" si="13"/>
        <v>0</v>
      </c>
      <c r="P153" s="85"/>
      <c r="R153" s="53"/>
      <c r="S153" s="53"/>
    </row>
    <row r="154" spans="1:19" ht="24" x14ac:dyDescent="0.25">
      <c r="A154" s="276">
        <v>2360</v>
      </c>
      <c r="B154" s="127" t="s">
        <v>170</v>
      </c>
      <c r="C154" s="128">
        <f t="shared" si="9"/>
        <v>750</v>
      </c>
      <c r="D154" s="277">
        <f>SUM(D155:D161)</f>
        <v>750</v>
      </c>
      <c r="E154" s="278">
        <f>SUM(E155:E161)</f>
        <v>0</v>
      </c>
      <c r="F154" s="279">
        <f t="shared" si="10"/>
        <v>750</v>
      </c>
      <c r="G154" s="277">
        <f>SUM(G155:G161)</f>
        <v>0</v>
      </c>
      <c r="H154" s="280">
        <f>SUM(H155:H161)</f>
        <v>0</v>
      </c>
      <c r="I154" s="136">
        <f t="shared" si="11"/>
        <v>0</v>
      </c>
      <c r="J154" s="277">
        <f>SUM(J155:J161)</f>
        <v>0</v>
      </c>
      <c r="K154" s="280">
        <f>SUM(K155:K161)</f>
        <v>0</v>
      </c>
      <c r="L154" s="136">
        <f t="shared" si="12"/>
        <v>0</v>
      </c>
      <c r="M154" s="281">
        <f>SUM(M155:M161)</f>
        <v>0</v>
      </c>
      <c r="N154" s="282">
        <f>SUM(N155:N161)</f>
        <v>0</v>
      </c>
      <c r="O154" s="136">
        <f t="shared" si="13"/>
        <v>0</v>
      </c>
      <c r="P154" s="85"/>
      <c r="R154" s="53"/>
      <c r="S154" s="53"/>
    </row>
    <row r="155" spans="1:19" hidden="1" x14ac:dyDescent="0.25">
      <c r="A155" s="75">
        <v>2361</v>
      </c>
      <c r="B155" s="127" t="s">
        <v>171</v>
      </c>
      <c r="C155" s="128">
        <f t="shared" si="9"/>
        <v>0</v>
      </c>
      <c r="D155" s="134">
        <v>0</v>
      </c>
      <c r="E155" s="283"/>
      <c r="F155" s="286">
        <f t="shared" si="10"/>
        <v>0</v>
      </c>
      <c r="G155" s="134"/>
      <c r="H155" s="135"/>
      <c r="I155" s="136">
        <f t="shared" si="11"/>
        <v>0</v>
      </c>
      <c r="J155" s="134">
        <v>0</v>
      </c>
      <c r="K155" s="135"/>
      <c r="L155" s="136">
        <f t="shared" si="12"/>
        <v>0</v>
      </c>
      <c r="M155" s="284"/>
      <c r="N155" s="285"/>
      <c r="O155" s="136">
        <f t="shared" si="13"/>
        <v>0</v>
      </c>
      <c r="P155" s="85"/>
      <c r="R155" s="53"/>
      <c r="S155" s="53"/>
    </row>
    <row r="156" spans="1:19" ht="24" hidden="1" x14ac:dyDescent="0.25">
      <c r="A156" s="75">
        <v>2362</v>
      </c>
      <c r="B156" s="127" t="s">
        <v>172</v>
      </c>
      <c r="C156" s="128">
        <f t="shared" si="9"/>
        <v>0</v>
      </c>
      <c r="D156" s="134">
        <v>0</v>
      </c>
      <c r="E156" s="283"/>
      <c r="F156" s="286">
        <f t="shared" si="10"/>
        <v>0</v>
      </c>
      <c r="G156" s="134"/>
      <c r="H156" s="135"/>
      <c r="I156" s="136">
        <f t="shared" si="11"/>
        <v>0</v>
      </c>
      <c r="J156" s="134">
        <v>0</v>
      </c>
      <c r="K156" s="135"/>
      <c r="L156" s="136">
        <f t="shared" si="12"/>
        <v>0</v>
      </c>
      <c r="M156" s="284"/>
      <c r="N156" s="285"/>
      <c r="O156" s="136">
        <f t="shared" si="13"/>
        <v>0</v>
      </c>
      <c r="P156" s="85"/>
      <c r="R156" s="53"/>
      <c r="S156" s="53"/>
    </row>
    <row r="157" spans="1:19" hidden="1" x14ac:dyDescent="0.25">
      <c r="A157" s="75">
        <v>2363</v>
      </c>
      <c r="B157" s="127" t="s">
        <v>173</v>
      </c>
      <c r="C157" s="128">
        <f t="shared" si="9"/>
        <v>0</v>
      </c>
      <c r="D157" s="134">
        <v>0</v>
      </c>
      <c r="E157" s="283"/>
      <c r="F157" s="286">
        <f t="shared" si="10"/>
        <v>0</v>
      </c>
      <c r="G157" s="134"/>
      <c r="H157" s="135"/>
      <c r="I157" s="136">
        <f t="shared" si="11"/>
        <v>0</v>
      </c>
      <c r="J157" s="134">
        <v>0</v>
      </c>
      <c r="K157" s="135"/>
      <c r="L157" s="136">
        <f t="shared" si="12"/>
        <v>0</v>
      </c>
      <c r="M157" s="284"/>
      <c r="N157" s="285"/>
      <c r="O157" s="136">
        <f t="shared" si="13"/>
        <v>0</v>
      </c>
      <c r="P157" s="85"/>
      <c r="R157" s="53"/>
      <c r="S157" s="53"/>
    </row>
    <row r="158" spans="1:19" x14ac:dyDescent="0.25">
      <c r="A158" s="75">
        <v>2364</v>
      </c>
      <c r="B158" s="127" t="s">
        <v>174</v>
      </c>
      <c r="C158" s="128">
        <f t="shared" si="9"/>
        <v>750</v>
      </c>
      <c r="D158" s="134">
        <f>4362-3612</f>
        <v>750</v>
      </c>
      <c r="E158" s="283"/>
      <c r="F158" s="279">
        <f t="shared" si="10"/>
        <v>750</v>
      </c>
      <c r="G158" s="134"/>
      <c r="H158" s="135"/>
      <c r="I158" s="136">
        <f t="shared" si="11"/>
        <v>0</v>
      </c>
      <c r="J158" s="134">
        <v>0</v>
      </c>
      <c r="K158" s="135"/>
      <c r="L158" s="136">
        <f t="shared" si="12"/>
        <v>0</v>
      </c>
      <c r="M158" s="284"/>
      <c r="N158" s="285"/>
      <c r="O158" s="136">
        <f t="shared" si="13"/>
        <v>0</v>
      </c>
      <c r="P158" s="85"/>
      <c r="R158" s="53"/>
      <c r="S158" s="53"/>
    </row>
    <row r="159" spans="1:19" hidden="1" x14ac:dyDescent="0.25">
      <c r="A159" s="75">
        <v>2365</v>
      </c>
      <c r="B159" s="127" t="s">
        <v>175</v>
      </c>
      <c r="C159" s="128">
        <f t="shared" si="9"/>
        <v>0</v>
      </c>
      <c r="D159" s="134">
        <v>0</v>
      </c>
      <c r="E159" s="283"/>
      <c r="F159" s="286">
        <f t="shared" si="10"/>
        <v>0</v>
      </c>
      <c r="G159" s="134"/>
      <c r="H159" s="135"/>
      <c r="I159" s="136">
        <f t="shared" si="11"/>
        <v>0</v>
      </c>
      <c r="J159" s="134">
        <v>0</v>
      </c>
      <c r="K159" s="135"/>
      <c r="L159" s="136">
        <f t="shared" si="12"/>
        <v>0</v>
      </c>
      <c r="M159" s="284"/>
      <c r="N159" s="285"/>
      <c r="O159" s="136">
        <f t="shared" si="13"/>
        <v>0</v>
      </c>
      <c r="P159" s="85"/>
      <c r="R159" s="53"/>
      <c r="S159" s="53"/>
    </row>
    <row r="160" spans="1:19" ht="36" hidden="1" x14ac:dyDescent="0.25">
      <c r="A160" s="75">
        <v>2366</v>
      </c>
      <c r="B160" s="127" t="s">
        <v>176</v>
      </c>
      <c r="C160" s="128">
        <f t="shared" si="9"/>
        <v>0</v>
      </c>
      <c r="D160" s="134">
        <v>0</v>
      </c>
      <c r="E160" s="283"/>
      <c r="F160" s="286">
        <f t="shared" si="10"/>
        <v>0</v>
      </c>
      <c r="G160" s="134"/>
      <c r="H160" s="135"/>
      <c r="I160" s="136">
        <f t="shared" si="11"/>
        <v>0</v>
      </c>
      <c r="J160" s="134">
        <v>0</v>
      </c>
      <c r="K160" s="135"/>
      <c r="L160" s="136">
        <f t="shared" si="12"/>
        <v>0</v>
      </c>
      <c r="M160" s="284"/>
      <c r="N160" s="285"/>
      <c r="O160" s="136">
        <f t="shared" si="13"/>
        <v>0</v>
      </c>
      <c r="P160" s="85"/>
      <c r="R160" s="53"/>
      <c r="S160" s="53"/>
    </row>
    <row r="161" spans="1:19" ht="48" hidden="1" x14ac:dyDescent="0.25">
      <c r="A161" s="75">
        <v>2369</v>
      </c>
      <c r="B161" s="127" t="s">
        <v>177</v>
      </c>
      <c r="C161" s="128">
        <f t="shared" si="9"/>
        <v>0</v>
      </c>
      <c r="D161" s="134">
        <v>0</v>
      </c>
      <c r="E161" s="283"/>
      <c r="F161" s="286">
        <f t="shared" si="10"/>
        <v>0</v>
      </c>
      <c r="G161" s="134"/>
      <c r="H161" s="135"/>
      <c r="I161" s="136">
        <f t="shared" si="11"/>
        <v>0</v>
      </c>
      <c r="J161" s="134">
        <v>0</v>
      </c>
      <c r="K161" s="135"/>
      <c r="L161" s="136">
        <f t="shared" si="12"/>
        <v>0</v>
      </c>
      <c r="M161" s="284"/>
      <c r="N161" s="285"/>
      <c r="O161" s="136">
        <f t="shared" si="13"/>
        <v>0</v>
      </c>
      <c r="P161" s="85"/>
      <c r="R161" s="53"/>
      <c r="S161" s="53"/>
    </row>
    <row r="162" spans="1:19" hidden="1" x14ac:dyDescent="0.25">
      <c r="A162" s="254">
        <v>2370</v>
      </c>
      <c r="B162" s="179" t="s">
        <v>178</v>
      </c>
      <c r="C162" s="128">
        <f t="shared" si="9"/>
        <v>0</v>
      </c>
      <c r="D162" s="287">
        <v>0</v>
      </c>
      <c r="E162" s="288"/>
      <c r="F162" s="310">
        <f t="shared" si="10"/>
        <v>0</v>
      </c>
      <c r="G162" s="287"/>
      <c r="H162" s="289"/>
      <c r="I162" s="259">
        <f t="shared" si="11"/>
        <v>0</v>
      </c>
      <c r="J162" s="287">
        <v>0</v>
      </c>
      <c r="K162" s="289"/>
      <c r="L162" s="259">
        <f t="shared" si="12"/>
        <v>0</v>
      </c>
      <c r="M162" s="290"/>
      <c r="N162" s="291"/>
      <c r="O162" s="259">
        <f t="shared" si="13"/>
        <v>0</v>
      </c>
      <c r="P162" s="189"/>
      <c r="R162" s="53"/>
      <c r="S162" s="53"/>
    </row>
    <row r="163" spans="1:19" hidden="1" x14ac:dyDescent="0.25">
      <c r="A163" s="254">
        <v>2380</v>
      </c>
      <c r="B163" s="179" t="s">
        <v>179</v>
      </c>
      <c r="C163" s="128">
        <f t="shared" si="9"/>
        <v>0</v>
      </c>
      <c r="D163" s="255">
        <f>SUM(D164:D165)</f>
        <v>0</v>
      </c>
      <c r="E163" s="256">
        <f>SUM(E164:E165)</f>
        <v>0</v>
      </c>
      <c r="F163" s="310">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c r="S163" s="53"/>
    </row>
    <row r="164" spans="1:19" hidden="1" x14ac:dyDescent="0.25">
      <c r="A164" s="65">
        <v>2381</v>
      </c>
      <c r="B164" s="116" t="s">
        <v>180</v>
      </c>
      <c r="C164" s="128">
        <f t="shared" si="9"/>
        <v>0</v>
      </c>
      <c r="D164" s="123">
        <v>0</v>
      </c>
      <c r="E164" s="295"/>
      <c r="F164" s="263">
        <f t="shared" si="10"/>
        <v>0</v>
      </c>
      <c r="G164" s="123"/>
      <c r="H164" s="124"/>
      <c r="I164" s="125">
        <f t="shared" si="11"/>
        <v>0</v>
      </c>
      <c r="J164" s="123">
        <v>0</v>
      </c>
      <c r="K164" s="124"/>
      <c r="L164" s="125">
        <f t="shared" si="12"/>
        <v>0</v>
      </c>
      <c r="M164" s="264"/>
      <c r="N164" s="262"/>
      <c r="O164" s="125">
        <f t="shared" si="13"/>
        <v>0</v>
      </c>
      <c r="P164" s="74"/>
      <c r="R164" s="53"/>
      <c r="S164" s="53"/>
    </row>
    <row r="165" spans="1:19" ht="24" hidden="1" x14ac:dyDescent="0.25">
      <c r="A165" s="75">
        <v>2389</v>
      </c>
      <c r="B165" s="127" t="s">
        <v>181</v>
      </c>
      <c r="C165" s="128">
        <f t="shared" si="9"/>
        <v>0</v>
      </c>
      <c r="D165" s="134">
        <v>0</v>
      </c>
      <c r="E165" s="283"/>
      <c r="F165" s="286">
        <f t="shared" si="10"/>
        <v>0</v>
      </c>
      <c r="G165" s="134"/>
      <c r="H165" s="135"/>
      <c r="I165" s="136">
        <f t="shared" si="11"/>
        <v>0</v>
      </c>
      <c r="J165" s="134">
        <v>0</v>
      </c>
      <c r="K165" s="135"/>
      <c r="L165" s="136">
        <f t="shared" si="12"/>
        <v>0</v>
      </c>
      <c r="M165" s="284"/>
      <c r="N165" s="285"/>
      <c r="O165" s="136">
        <f t="shared" si="13"/>
        <v>0</v>
      </c>
      <c r="P165" s="85"/>
      <c r="R165" s="53"/>
      <c r="S165" s="53"/>
    </row>
    <row r="166" spans="1:19" x14ac:dyDescent="0.25">
      <c r="A166" s="254">
        <v>2390</v>
      </c>
      <c r="B166" s="179" t="s">
        <v>182</v>
      </c>
      <c r="C166" s="128">
        <f t="shared" si="9"/>
        <v>300</v>
      </c>
      <c r="D166" s="287">
        <v>157</v>
      </c>
      <c r="E166" s="288"/>
      <c r="F166" s="257">
        <f t="shared" si="10"/>
        <v>157</v>
      </c>
      <c r="G166" s="287"/>
      <c r="H166" s="289"/>
      <c r="I166" s="259">
        <f t="shared" si="11"/>
        <v>0</v>
      </c>
      <c r="J166" s="287">
        <v>143</v>
      </c>
      <c r="K166" s="289"/>
      <c r="L166" s="259">
        <f t="shared" si="12"/>
        <v>143</v>
      </c>
      <c r="M166" s="290"/>
      <c r="N166" s="291"/>
      <c r="O166" s="259">
        <f t="shared" si="13"/>
        <v>0</v>
      </c>
      <c r="P166" s="189"/>
      <c r="R166" s="53"/>
      <c r="S166" s="53"/>
    </row>
    <row r="167" spans="1:19" hidden="1" x14ac:dyDescent="0.25">
      <c r="A167" s="99">
        <v>2400</v>
      </c>
      <c r="B167" s="247" t="s">
        <v>183</v>
      </c>
      <c r="C167" s="100">
        <f t="shared" si="9"/>
        <v>0</v>
      </c>
      <c r="D167" s="311">
        <v>0</v>
      </c>
      <c r="E167" s="712"/>
      <c r="F167" s="313">
        <f t="shared" si="10"/>
        <v>0</v>
      </c>
      <c r="G167" s="311"/>
      <c r="H167" s="314"/>
      <c r="I167" s="114">
        <f t="shared" si="11"/>
        <v>0</v>
      </c>
      <c r="J167" s="311">
        <v>0</v>
      </c>
      <c r="K167" s="314"/>
      <c r="L167" s="114">
        <f t="shared" si="12"/>
        <v>0</v>
      </c>
      <c r="M167" s="315"/>
      <c r="N167" s="312"/>
      <c r="O167" s="125">
        <f t="shared" si="13"/>
        <v>0</v>
      </c>
      <c r="P167" s="109"/>
      <c r="R167" s="53"/>
      <c r="S167" s="53"/>
    </row>
    <row r="168" spans="1:19" ht="24" x14ac:dyDescent="0.25">
      <c r="A168" s="99">
        <v>2500</v>
      </c>
      <c r="B168" s="247" t="s">
        <v>184</v>
      </c>
      <c r="C168" s="100">
        <f t="shared" si="9"/>
        <v>37930</v>
      </c>
      <c r="D168" s="112">
        <f>SUM(D169,D174)</f>
        <v>2780</v>
      </c>
      <c r="E168" s="248">
        <f>SUM(E169,E174)</f>
        <v>0</v>
      </c>
      <c r="F168" s="249">
        <f t="shared" si="10"/>
        <v>2780</v>
      </c>
      <c r="G168" s="112">
        <f>SUM(G169,G174)</f>
        <v>0</v>
      </c>
      <c r="H168" s="113">
        <f t="shared" ref="H168" si="16">SUM(H169,H174)</f>
        <v>0</v>
      </c>
      <c r="I168" s="114">
        <f t="shared" si="11"/>
        <v>0</v>
      </c>
      <c r="J168" s="112">
        <f>SUM(J169,J174)</f>
        <v>35150</v>
      </c>
      <c r="K168" s="113">
        <f t="shared" ref="K168" si="17">SUM(K169,K174)</f>
        <v>0</v>
      </c>
      <c r="L168" s="114">
        <f t="shared" si="12"/>
        <v>35150</v>
      </c>
      <c r="M168" s="250">
        <f t="shared" ref="M168:N168" si="18">SUM(M169,M174)</f>
        <v>0</v>
      </c>
      <c r="N168" s="251">
        <f t="shared" si="18"/>
        <v>0</v>
      </c>
      <c r="O168" s="316">
        <f t="shared" si="13"/>
        <v>0</v>
      </c>
      <c r="P168" s="253"/>
      <c r="R168" s="53"/>
      <c r="S168" s="53"/>
    </row>
    <row r="169" spans="1:19" x14ac:dyDescent="0.25">
      <c r="A169" s="656">
        <v>2510</v>
      </c>
      <c r="B169" s="116" t="s">
        <v>185</v>
      </c>
      <c r="C169" s="117">
        <f t="shared" si="9"/>
        <v>37830</v>
      </c>
      <c r="D169" s="297">
        <f>SUM(D170:D173)</f>
        <v>2680</v>
      </c>
      <c r="E169" s="298">
        <f>SUM(E170:E173)</f>
        <v>0</v>
      </c>
      <c r="F169" s="296">
        <f t="shared" si="10"/>
        <v>2680</v>
      </c>
      <c r="G169" s="297">
        <f>SUM(G170:G173)</f>
        <v>0</v>
      </c>
      <c r="H169" s="299">
        <f t="shared" ref="H169" si="19">SUM(H170:H173)</f>
        <v>0</v>
      </c>
      <c r="I169" s="125">
        <f t="shared" si="11"/>
        <v>0</v>
      </c>
      <c r="J169" s="297">
        <f>SUM(J170:J173)</f>
        <v>35150</v>
      </c>
      <c r="K169" s="299">
        <f t="shared" ref="K169" si="20">SUM(K170:K173)</f>
        <v>0</v>
      </c>
      <c r="L169" s="125">
        <f t="shared" si="12"/>
        <v>35150</v>
      </c>
      <c r="M169" s="317">
        <f t="shared" ref="M169:N169" si="21">SUM(M170:M173)</f>
        <v>0</v>
      </c>
      <c r="N169" s="318">
        <f t="shared" si="21"/>
        <v>0</v>
      </c>
      <c r="O169" s="151">
        <f t="shared" si="13"/>
        <v>0</v>
      </c>
      <c r="P169" s="153"/>
      <c r="R169" s="53"/>
      <c r="S169" s="53"/>
    </row>
    <row r="170" spans="1:19" ht="24" x14ac:dyDescent="0.25">
      <c r="A170" s="76">
        <v>2512</v>
      </c>
      <c r="B170" s="127" t="s">
        <v>186</v>
      </c>
      <c r="C170" s="128">
        <f t="shared" si="9"/>
        <v>35150</v>
      </c>
      <c r="D170" s="134">
        <v>0</v>
      </c>
      <c r="E170" s="283"/>
      <c r="F170" s="279">
        <f t="shared" si="10"/>
        <v>0</v>
      </c>
      <c r="G170" s="134"/>
      <c r="H170" s="135"/>
      <c r="I170" s="136">
        <f t="shared" si="11"/>
        <v>0</v>
      </c>
      <c r="J170" s="134">
        <v>35150</v>
      </c>
      <c r="K170" s="135"/>
      <c r="L170" s="136">
        <f t="shared" si="12"/>
        <v>35150</v>
      </c>
      <c r="M170" s="284"/>
      <c r="N170" s="285"/>
      <c r="O170" s="136">
        <f t="shared" si="13"/>
        <v>0</v>
      </c>
      <c r="P170" s="85"/>
      <c r="R170" s="53"/>
      <c r="S170" s="53"/>
    </row>
    <row r="171" spans="1:19" ht="36" hidden="1" x14ac:dyDescent="0.25">
      <c r="A171" s="76">
        <v>2513</v>
      </c>
      <c r="B171" s="127" t="s">
        <v>187</v>
      </c>
      <c r="C171" s="128">
        <f t="shared" si="9"/>
        <v>0</v>
      </c>
      <c r="D171" s="134">
        <v>0</v>
      </c>
      <c r="E171" s="283"/>
      <c r="F171" s="286">
        <f t="shared" si="10"/>
        <v>0</v>
      </c>
      <c r="G171" s="134"/>
      <c r="H171" s="135"/>
      <c r="I171" s="136">
        <f t="shared" si="11"/>
        <v>0</v>
      </c>
      <c r="J171" s="134">
        <v>0</v>
      </c>
      <c r="K171" s="135"/>
      <c r="L171" s="136">
        <f t="shared" si="12"/>
        <v>0</v>
      </c>
      <c r="M171" s="284"/>
      <c r="N171" s="285"/>
      <c r="O171" s="136">
        <f t="shared" si="13"/>
        <v>0</v>
      </c>
      <c r="P171" s="85"/>
      <c r="R171" s="53"/>
      <c r="S171" s="53"/>
    </row>
    <row r="172" spans="1:19" ht="24" hidden="1" x14ac:dyDescent="0.25">
      <c r="A172" s="76">
        <v>2515</v>
      </c>
      <c r="B172" s="127" t="s">
        <v>188</v>
      </c>
      <c r="C172" s="128">
        <f t="shared" si="9"/>
        <v>0</v>
      </c>
      <c r="D172" s="134">
        <v>0</v>
      </c>
      <c r="E172" s="283"/>
      <c r="F172" s="286">
        <f t="shared" si="10"/>
        <v>0</v>
      </c>
      <c r="G172" s="134"/>
      <c r="H172" s="135"/>
      <c r="I172" s="136">
        <f t="shared" si="11"/>
        <v>0</v>
      </c>
      <c r="J172" s="134">
        <v>0</v>
      </c>
      <c r="K172" s="135"/>
      <c r="L172" s="136">
        <f t="shared" si="12"/>
        <v>0</v>
      </c>
      <c r="M172" s="284"/>
      <c r="N172" s="285"/>
      <c r="O172" s="136">
        <f t="shared" si="13"/>
        <v>0</v>
      </c>
      <c r="P172" s="85"/>
      <c r="R172" s="53"/>
      <c r="S172" s="53"/>
    </row>
    <row r="173" spans="1:19" ht="24" x14ac:dyDescent="0.25">
      <c r="A173" s="76">
        <v>2519</v>
      </c>
      <c r="B173" s="127" t="s">
        <v>189</v>
      </c>
      <c r="C173" s="128">
        <f t="shared" si="9"/>
        <v>2680</v>
      </c>
      <c r="D173" s="134">
        <v>2680</v>
      </c>
      <c r="E173" s="283"/>
      <c r="F173" s="279">
        <f t="shared" si="10"/>
        <v>2680</v>
      </c>
      <c r="G173" s="134"/>
      <c r="H173" s="135"/>
      <c r="I173" s="136">
        <f t="shared" si="11"/>
        <v>0</v>
      </c>
      <c r="J173" s="134">
        <v>0</v>
      </c>
      <c r="K173" s="135"/>
      <c r="L173" s="136">
        <f t="shared" si="12"/>
        <v>0</v>
      </c>
      <c r="M173" s="284"/>
      <c r="N173" s="285"/>
      <c r="O173" s="136">
        <f t="shared" si="13"/>
        <v>0</v>
      </c>
      <c r="P173" s="85"/>
      <c r="R173" s="53"/>
      <c r="S173" s="53"/>
    </row>
    <row r="174" spans="1:19" ht="24" x14ac:dyDescent="0.25">
      <c r="A174" s="276">
        <v>2520</v>
      </c>
      <c r="B174" s="127" t="s">
        <v>190</v>
      </c>
      <c r="C174" s="128">
        <f t="shared" si="9"/>
        <v>100</v>
      </c>
      <c r="D174" s="134">
        <v>100</v>
      </c>
      <c r="E174" s="283"/>
      <c r="F174" s="279">
        <f t="shared" si="10"/>
        <v>100</v>
      </c>
      <c r="G174" s="134"/>
      <c r="H174" s="135"/>
      <c r="I174" s="136">
        <f t="shared" si="11"/>
        <v>0</v>
      </c>
      <c r="J174" s="134">
        <v>0</v>
      </c>
      <c r="K174" s="135"/>
      <c r="L174" s="136">
        <f t="shared" si="12"/>
        <v>0</v>
      </c>
      <c r="M174" s="284"/>
      <c r="N174" s="285"/>
      <c r="O174" s="136">
        <f t="shared" si="13"/>
        <v>0</v>
      </c>
      <c r="P174" s="85"/>
      <c r="R174" s="53"/>
      <c r="S174" s="53"/>
    </row>
    <row r="175" spans="1:19" s="319" customFormat="1" ht="48" hidden="1" x14ac:dyDescent="0.25">
      <c r="A175" s="31">
        <v>2800</v>
      </c>
      <c r="B175" s="116" t="s">
        <v>191</v>
      </c>
      <c r="C175" s="117">
        <f t="shared" si="9"/>
        <v>0</v>
      </c>
      <c r="D175" s="68">
        <v>0</v>
      </c>
      <c r="E175" s="673"/>
      <c r="F175" s="70">
        <f t="shared" si="10"/>
        <v>0</v>
      </c>
      <c r="G175" s="68"/>
      <c r="H175" s="71"/>
      <c r="I175" s="72">
        <f t="shared" si="11"/>
        <v>0</v>
      </c>
      <c r="J175" s="68">
        <v>0</v>
      </c>
      <c r="K175" s="71"/>
      <c r="L175" s="72">
        <f t="shared" si="12"/>
        <v>0</v>
      </c>
      <c r="M175" s="73"/>
      <c r="N175" s="69"/>
      <c r="O175" s="72">
        <f t="shared" si="13"/>
        <v>0</v>
      </c>
      <c r="P175" s="74"/>
      <c r="R175" s="53"/>
      <c r="S175" s="53"/>
    </row>
    <row r="176" spans="1:19" hidden="1" x14ac:dyDescent="0.25">
      <c r="A176" s="237">
        <v>3000</v>
      </c>
      <c r="B176" s="237" t="s">
        <v>192</v>
      </c>
      <c r="C176" s="238">
        <f t="shared" si="9"/>
        <v>0</v>
      </c>
      <c r="D176" s="239">
        <f>SUM(D177,D187)</f>
        <v>0</v>
      </c>
      <c r="E176" s="240">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c r="S176" s="53"/>
    </row>
    <row r="177" spans="1:19" ht="24" hidden="1" x14ac:dyDescent="0.25">
      <c r="A177" s="99">
        <v>3200</v>
      </c>
      <c r="B177" s="321" t="s">
        <v>193</v>
      </c>
      <c r="C177" s="100">
        <f t="shared" si="9"/>
        <v>0</v>
      </c>
      <c r="D177" s="112">
        <f>SUM(D178,D182)</f>
        <v>0</v>
      </c>
      <c r="E177" s="248">
        <f>SUM(E178,E182)</f>
        <v>0</v>
      </c>
      <c r="F177" s="313">
        <f t="shared" si="10"/>
        <v>0</v>
      </c>
      <c r="G177" s="112">
        <f>SUM(G178,G182)</f>
        <v>0</v>
      </c>
      <c r="H177" s="113">
        <f t="shared" ref="H177" si="22">SUM(H178,H182)</f>
        <v>0</v>
      </c>
      <c r="I177" s="114">
        <f t="shared" si="11"/>
        <v>0</v>
      </c>
      <c r="J177" s="112">
        <f>SUM(J178,J182)</f>
        <v>0</v>
      </c>
      <c r="K177" s="113">
        <f t="shared" ref="K177" si="23">SUM(K178,K182)</f>
        <v>0</v>
      </c>
      <c r="L177" s="114">
        <f t="shared" si="12"/>
        <v>0</v>
      </c>
      <c r="M177" s="250">
        <f t="shared" ref="M177:N177" si="24">SUM(M178,M182)</f>
        <v>0</v>
      </c>
      <c r="N177" s="251">
        <f t="shared" si="24"/>
        <v>0</v>
      </c>
      <c r="O177" s="252">
        <f t="shared" si="13"/>
        <v>0</v>
      </c>
      <c r="P177" s="253"/>
      <c r="R177" s="53"/>
      <c r="S177" s="53"/>
    </row>
    <row r="178" spans="1:19" ht="36" hidden="1" x14ac:dyDescent="0.25">
      <c r="A178" s="656">
        <v>3260</v>
      </c>
      <c r="B178" s="116" t="s">
        <v>194</v>
      </c>
      <c r="C178" s="117">
        <f t="shared" si="9"/>
        <v>0</v>
      </c>
      <c r="D178" s="297">
        <f>SUM(D179:D181)</f>
        <v>0</v>
      </c>
      <c r="E178" s="298">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c r="S178" s="53"/>
    </row>
    <row r="179" spans="1:19" ht="24" hidden="1" x14ac:dyDescent="0.25">
      <c r="A179" s="76">
        <v>3261</v>
      </c>
      <c r="B179" s="127" t="s">
        <v>195</v>
      </c>
      <c r="C179" s="128">
        <f t="shared" si="9"/>
        <v>0</v>
      </c>
      <c r="D179" s="134">
        <v>0</v>
      </c>
      <c r="E179" s="283"/>
      <c r="F179" s="286">
        <f t="shared" si="10"/>
        <v>0</v>
      </c>
      <c r="G179" s="134"/>
      <c r="H179" s="135"/>
      <c r="I179" s="136">
        <f t="shared" si="11"/>
        <v>0</v>
      </c>
      <c r="J179" s="134">
        <v>0</v>
      </c>
      <c r="K179" s="135"/>
      <c r="L179" s="136">
        <f t="shared" si="12"/>
        <v>0</v>
      </c>
      <c r="M179" s="284"/>
      <c r="N179" s="285"/>
      <c r="O179" s="136">
        <f t="shared" si="13"/>
        <v>0</v>
      </c>
      <c r="P179" s="85"/>
      <c r="R179" s="53"/>
      <c r="S179" s="53"/>
    </row>
    <row r="180" spans="1:19" ht="36" hidden="1" x14ac:dyDescent="0.25">
      <c r="A180" s="76">
        <v>3262</v>
      </c>
      <c r="B180" s="127" t="s">
        <v>196</v>
      </c>
      <c r="C180" s="128">
        <f t="shared" si="9"/>
        <v>0</v>
      </c>
      <c r="D180" s="134">
        <v>0</v>
      </c>
      <c r="E180" s="283"/>
      <c r="F180" s="286">
        <f t="shared" si="10"/>
        <v>0</v>
      </c>
      <c r="G180" s="134"/>
      <c r="H180" s="135"/>
      <c r="I180" s="136">
        <f t="shared" si="11"/>
        <v>0</v>
      </c>
      <c r="J180" s="134">
        <v>0</v>
      </c>
      <c r="K180" s="135"/>
      <c r="L180" s="136">
        <f t="shared" si="12"/>
        <v>0</v>
      </c>
      <c r="M180" s="284"/>
      <c r="N180" s="285"/>
      <c r="O180" s="136">
        <f t="shared" si="13"/>
        <v>0</v>
      </c>
      <c r="P180" s="85"/>
      <c r="R180" s="53"/>
      <c r="S180" s="53"/>
    </row>
    <row r="181" spans="1:19" ht="24" hidden="1" x14ac:dyDescent="0.25">
      <c r="A181" s="76">
        <v>3263</v>
      </c>
      <c r="B181" s="127" t="s">
        <v>197</v>
      </c>
      <c r="C181" s="128">
        <f t="shared" si="9"/>
        <v>0</v>
      </c>
      <c r="D181" s="134">
        <v>0</v>
      </c>
      <c r="E181" s="283"/>
      <c r="F181" s="286">
        <f t="shared" si="10"/>
        <v>0</v>
      </c>
      <c r="G181" s="134"/>
      <c r="H181" s="135"/>
      <c r="I181" s="136">
        <f t="shared" si="11"/>
        <v>0</v>
      </c>
      <c r="J181" s="134">
        <v>0</v>
      </c>
      <c r="K181" s="135"/>
      <c r="L181" s="136">
        <f t="shared" si="12"/>
        <v>0</v>
      </c>
      <c r="M181" s="284"/>
      <c r="N181" s="285"/>
      <c r="O181" s="136">
        <f t="shared" si="13"/>
        <v>0</v>
      </c>
      <c r="P181" s="85"/>
      <c r="R181" s="53"/>
      <c r="S181" s="53"/>
    </row>
    <row r="182" spans="1:19" ht="84" hidden="1" x14ac:dyDescent="0.25">
      <c r="A182" s="656">
        <v>3290</v>
      </c>
      <c r="B182" s="116" t="s">
        <v>198</v>
      </c>
      <c r="C182" s="128">
        <f t="shared" ref="C182:C258" si="25">F182+I182+L182+O182</f>
        <v>0</v>
      </c>
      <c r="D182" s="297">
        <f>SUM(D183:D186)</f>
        <v>0</v>
      </c>
      <c r="E182" s="298">
        <f>SUM(E183:E186)</f>
        <v>0</v>
      </c>
      <c r="F182" s="263">
        <f t="shared" si="10"/>
        <v>0</v>
      </c>
      <c r="G182" s="297">
        <f>SUM(G183:G186)</f>
        <v>0</v>
      </c>
      <c r="H182" s="299">
        <f t="shared" ref="H182" si="26">SUM(H183:H186)</f>
        <v>0</v>
      </c>
      <c r="I182" s="125">
        <f t="shared" si="11"/>
        <v>0</v>
      </c>
      <c r="J182" s="297">
        <f>SUM(J183:J186)</f>
        <v>0</v>
      </c>
      <c r="K182" s="299">
        <f t="shared" ref="K182" si="27">SUM(K183:K186)</f>
        <v>0</v>
      </c>
      <c r="L182" s="125">
        <f t="shared" si="12"/>
        <v>0</v>
      </c>
      <c r="M182" s="322">
        <f t="shared" ref="M182:N182" si="28">SUM(M183:M186)</f>
        <v>0</v>
      </c>
      <c r="N182" s="323">
        <f t="shared" si="28"/>
        <v>0</v>
      </c>
      <c r="O182" s="324">
        <f t="shared" si="13"/>
        <v>0</v>
      </c>
      <c r="P182" s="325"/>
      <c r="R182" s="53"/>
      <c r="S182" s="53"/>
    </row>
    <row r="183" spans="1:19" ht="72" hidden="1" x14ac:dyDescent="0.25">
      <c r="A183" s="76">
        <v>3291</v>
      </c>
      <c r="B183" s="127" t="s">
        <v>199</v>
      </c>
      <c r="C183" s="128">
        <f t="shared" si="25"/>
        <v>0</v>
      </c>
      <c r="D183" s="134">
        <v>0</v>
      </c>
      <c r="E183" s="283"/>
      <c r="F183" s="286">
        <f t="shared" ref="F183:F246" si="29">D183+E183</f>
        <v>0</v>
      </c>
      <c r="G183" s="134"/>
      <c r="H183" s="135"/>
      <c r="I183" s="136">
        <f t="shared" ref="I183:I246" si="30">G183+H183</f>
        <v>0</v>
      </c>
      <c r="J183" s="134">
        <v>0</v>
      </c>
      <c r="K183" s="135"/>
      <c r="L183" s="136">
        <f t="shared" ref="L183:L246" si="31">J183+K183</f>
        <v>0</v>
      </c>
      <c r="M183" s="284"/>
      <c r="N183" s="285"/>
      <c r="O183" s="136">
        <f t="shared" ref="O183:O246" si="32">M183+N183</f>
        <v>0</v>
      </c>
      <c r="P183" s="85"/>
      <c r="R183" s="53"/>
      <c r="S183" s="53"/>
    </row>
    <row r="184" spans="1:19" ht="72" hidden="1" x14ac:dyDescent="0.25">
      <c r="A184" s="76">
        <v>3292</v>
      </c>
      <c r="B184" s="127" t="s">
        <v>200</v>
      </c>
      <c r="C184" s="128">
        <f t="shared" si="25"/>
        <v>0</v>
      </c>
      <c r="D184" s="134">
        <v>0</v>
      </c>
      <c r="E184" s="283"/>
      <c r="F184" s="286">
        <f t="shared" si="29"/>
        <v>0</v>
      </c>
      <c r="G184" s="134"/>
      <c r="H184" s="135"/>
      <c r="I184" s="136">
        <f t="shared" si="30"/>
        <v>0</v>
      </c>
      <c r="J184" s="134">
        <v>0</v>
      </c>
      <c r="K184" s="135"/>
      <c r="L184" s="136">
        <f t="shared" si="31"/>
        <v>0</v>
      </c>
      <c r="M184" s="284"/>
      <c r="N184" s="285"/>
      <c r="O184" s="136">
        <f t="shared" si="32"/>
        <v>0</v>
      </c>
      <c r="P184" s="85"/>
      <c r="R184" s="53"/>
      <c r="S184" s="53"/>
    </row>
    <row r="185" spans="1:19" ht="72" hidden="1" x14ac:dyDescent="0.25">
      <c r="A185" s="76">
        <v>3293</v>
      </c>
      <c r="B185" s="127" t="s">
        <v>201</v>
      </c>
      <c r="C185" s="128">
        <f t="shared" si="25"/>
        <v>0</v>
      </c>
      <c r="D185" s="134">
        <v>0</v>
      </c>
      <c r="E185" s="283"/>
      <c r="F185" s="286">
        <f t="shared" si="29"/>
        <v>0</v>
      </c>
      <c r="G185" s="134"/>
      <c r="H185" s="135"/>
      <c r="I185" s="136">
        <f t="shared" si="30"/>
        <v>0</v>
      </c>
      <c r="J185" s="134">
        <v>0</v>
      </c>
      <c r="K185" s="135"/>
      <c r="L185" s="136">
        <f t="shared" si="31"/>
        <v>0</v>
      </c>
      <c r="M185" s="284"/>
      <c r="N185" s="285"/>
      <c r="O185" s="136">
        <f t="shared" si="32"/>
        <v>0</v>
      </c>
      <c r="P185" s="85"/>
      <c r="R185" s="53"/>
      <c r="S185" s="53"/>
    </row>
    <row r="186" spans="1:19" ht="60" hidden="1" x14ac:dyDescent="0.25">
      <c r="A186" s="326">
        <v>3294</v>
      </c>
      <c r="B186" s="127" t="s">
        <v>202</v>
      </c>
      <c r="C186" s="327">
        <f t="shared" si="25"/>
        <v>0</v>
      </c>
      <c r="D186" s="328">
        <v>0</v>
      </c>
      <c r="E186" s="683"/>
      <c r="F186" s="330">
        <f t="shared" si="29"/>
        <v>0</v>
      </c>
      <c r="G186" s="328"/>
      <c r="H186" s="331"/>
      <c r="I186" s="324">
        <f t="shared" si="30"/>
        <v>0</v>
      </c>
      <c r="J186" s="328">
        <v>0</v>
      </c>
      <c r="K186" s="331"/>
      <c r="L186" s="324">
        <f t="shared" si="31"/>
        <v>0</v>
      </c>
      <c r="M186" s="332"/>
      <c r="N186" s="329"/>
      <c r="O186" s="324">
        <f t="shared" si="32"/>
        <v>0</v>
      </c>
      <c r="P186" s="325"/>
      <c r="R186" s="53"/>
      <c r="S186" s="53"/>
    </row>
    <row r="187" spans="1:19" ht="48" hidden="1" x14ac:dyDescent="0.25">
      <c r="A187" s="160">
        <v>3300</v>
      </c>
      <c r="B187" s="321" t="s">
        <v>203</v>
      </c>
      <c r="C187" s="333">
        <f t="shared" si="25"/>
        <v>0</v>
      </c>
      <c r="D187" s="334">
        <f>SUM(D188:D189)</f>
        <v>0</v>
      </c>
      <c r="E187" s="684">
        <f>SUM(E188:E189)</f>
        <v>0</v>
      </c>
      <c r="F187" s="335">
        <f t="shared" si="29"/>
        <v>0</v>
      </c>
      <c r="G187" s="334">
        <f>SUM(G188:G189)</f>
        <v>0</v>
      </c>
      <c r="H187" s="336">
        <f t="shared" ref="H187" si="33">SUM(H188:H189)</f>
        <v>0</v>
      </c>
      <c r="I187" s="252">
        <f t="shared" si="30"/>
        <v>0</v>
      </c>
      <c r="J187" s="334">
        <f>SUM(J188:J189)</f>
        <v>0</v>
      </c>
      <c r="K187" s="336">
        <f t="shared" ref="K187" si="34">SUM(K188:K189)</f>
        <v>0</v>
      </c>
      <c r="L187" s="252">
        <f t="shared" si="31"/>
        <v>0</v>
      </c>
      <c r="M187" s="250">
        <f t="shared" ref="M187:N187" si="35">SUM(M188:M189)</f>
        <v>0</v>
      </c>
      <c r="N187" s="251">
        <f t="shared" si="35"/>
        <v>0</v>
      </c>
      <c r="O187" s="252">
        <f t="shared" si="32"/>
        <v>0</v>
      </c>
      <c r="P187" s="253"/>
      <c r="R187" s="53"/>
      <c r="S187" s="53"/>
    </row>
    <row r="188" spans="1:19" ht="48" hidden="1" x14ac:dyDescent="0.25">
      <c r="A188" s="178">
        <v>3310</v>
      </c>
      <c r="B188" s="179" t="s">
        <v>204</v>
      </c>
      <c r="C188" s="191">
        <f t="shared" si="25"/>
        <v>0</v>
      </c>
      <c r="D188" s="287">
        <v>0</v>
      </c>
      <c r="E188" s="288"/>
      <c r="F188" s="310">
        <f t="shared" si="29"/>
        <v>0</v>
      </c>
      <c r="G188" s="287"/>
      <c r="H188" s="289"/>
      <c r="I188" s="259">
        <f t="shared" si="30"/>
        <v>0</v>
      </c>
      <c r="J188" s="287">
        <v>0</v>
      </c>
      <c r="K188" s="289"/>
      <c r="L188" s="259">
        <f t="shared" si="31"/>
        <v>0</v>
      </c>
      <c r="M188" s="290"/>
      <c r="N188" s="291"/>
      <c r="O188" s="259">
        <f t="shared" si="32"/>
        <v>0</v>
      </c>
      <c r="P188" s="189"/>
      <c r="R188" s="53"/>
      <c r="S188" s="53"/>
    </row>
    <row r="189" spans="1:19" ht="60" hidden="1" x14ac:dyDescent="0.25">
      <c r="A189" s="66">
        <v>3320</v>
      </c>
      <c r="B189" s="116" t="s">
        <v>205</v>
      </c>
      <c r="C189" s="117">
        <f t="shared" si="25"/>
        <v>0</v>
      </c>
      <c r="D189" s="123">
        <v>0</v>
      </c>
      <c r="E189" s="295"/>
      <c r="F189" s="263">
        <f t="shared" si="29"/>
        <v>0</v>
      </c>
      <c r="G189" s="123"/>
      <c r="H189" s="124"/>
      <c r="I189" s="125">
        <f t="shared" si="30"/>
        <v>0</v>
      </c>
      <c r="J189" s="123">
        <v>0</v>
      </c>
      <c r="K189" s="124"/>
      <c r="L189" s="125">
        <f t="shared" si="31"/>
        <v>0</v>
      </c>
      <c r="M189" s="264"/>
      <c r="N189" s="262"/>
      <c r="O189" s="125">
        <f t="shared" si="32"/>
        <v>0</v>
      </c>
      <c r="P189" s="74"/>
      <c r="R189" s="53"/>
      <c r="S189" s="53"/>
    </row>
    <row r="190" spans="1:19" hidden="1" x14ac:dyDescent="0.25">
      <c r="A190" s="337">
        <v>4000</v>
      </c>
      <c r="B190" s="237" t="s">
        <v>206</v>
      </c>
      <c r="C190" s="238">
        <f t="shared" si="25"/>
        <v>0</v>
      </c>
      <c r="D190" s="239">
        <f>SUM(D191,D194)</f>
        <v>0</v>
      </c>
      <c r="E190" s="240">
        <f>SUM(E191,E194)</f>
        <v>0</v>
      </c>
      <c r="F190" s="320">
        <f t="shared" si="29"/>
        <v>0</v>
      </c>
      <c r="G190" s="239">
        <f>SUM(G191,G194)</f>
        <v>0</v>
      </c>
      <c r="H190" s="242">
        <f>SUM(H191,H194)</f>
        <v>0</v>
      </c>
      <c r="I190" s="243">
        <f t="shared" si="30"/>
        <v>0</v>
      </c>
      <c r="J190" s="239">
        <f>SUM(J191,J194)</f>
        <v>0</v>
      </c>
      <c r="K190" s="242">
        <f>SUM(K191,K194)</f>
        <v>0</v>
      </c>
      <c r="L190" s="243">
        <f t="shared" si="31"/>
        <v>0</v>
      </c>
      <c r="M190" s="244">
        <f>SUM(M191,M194)</f>
        <v>0</v>
      </c>
      <c r="N190" s="245">
        <f>SUM(N191,N194)</f>
        <v>0</v>
      </c>
      <c r="O190" s="243">
        <f t="shared" si="32"/>
        <v>0</v>
      </c>
      <c r="P190" s="246"/>
      <c r="R190" s="53"/>
      <c r="S190" s="53"/>
    </row>
    <row r="191" spans="1:19" ht="24" hidden="1" x14ac:dyDescent="0.25">
      <c r="A191" s="338">
        <v>4200</v>
      </c>
      <c r="B191" s="247" t="s">
        <v>207</v>
      </c>
      <c r="C191" s="100">
        <f t="shared" si="25"/>
        <v>0</v>
      </c>
      <c r="D191" s="112">
        <f>SUM(D192,D193)</f>
        <v>0</v>
      </c>
      <c r="E191" s="248">
        <f>SUM(E192,E193)</f>
        <v>0</v>
      </c>
      <c r="F191" s="313">
        <f t="shared" si="29"/>
        <v>0</v>
      </c>
      <c r="G191" s="112">
        <f>SUM(G192,G193)</f>
        <v>0</v>
      </c>
      <c r="H191" s="113">
        <f>SUM(H192,H193)</f>
        <v>0</v>
      </c>
      <c r="I191" s="114">
        <f t="shared" si="30"/>
        <v>0</v>
      </c>
      <c r="J191" s="112">
        <f>SUM(J192,J193)</f>
        <v>0</v>
      </c>
      <c r="K191" s="113">
        <f>SUM(K192,K193)</f>
        <v>0</v>
      </c>
      <c r="L191" s="114">
        <f t="shared" si="31"/>
        <v>0</v>
      </c>
      <c r="M191" s="292">
        <f>SUM(M192,M193)</f>
        <v>0</v>
      </c>
      <c r="N191" s="293">
        <f>SUM(N192,N193)</f>
        <v>0</v>
      </c>
      <c r="O191" s="114">
        <f t="shared" si="32"/>
        <v>0</v>
      </c>
      <c r="P191" s="109"/>
      <c r="R191" s="53"/>
      <c r="S191" s="53"/>
    </row>
    <row r="192" spans="1:19" ht="36" hidden="1" x14ac:dyDescent="0.25">
      <c r="A192" s="656">
        <v>4240</v>
      </c>
      <c r="B192" s="116" t="s">
        <v>208</v>
      </c>
      <c r="C192" s="117">
        <f t="shared" si="25"/>
        <v>0</v>
      </c>
      <c r="D192" s="123">
        <v>0</v>
      </c>
      <c r="E192" s="295"/>
      <c r="F192" s="263">
        <f t="shared" si="29"/>
        <v>0</v>
      </c>
      <c r="G192" s="123"/>
      <c r="H192" s="124"/>
      <c r="I192" s="125">
        <f t="shared" si="30"/>
        <v>0</v>
      </c>
      <c r="J192" s="123">
        <v>0</v>
      </c>
      <c r="K192" s="124"/>
      <c r="L192" s="125">
        <f t="shared" si="31"/>
        <v>0</v>
      </c>
      <c r="M192" s="264"/>
      <c r="N192" s="262"/>
      <c r="O192" s="125">
        <f t="shared" si="32"/>
        <v>0</v>
      </c>
      <c r="P192" s="74"/>
      <c r="R192" s="53"/>
      <c r="S192" s="53"/>
    </row>
    <row r="193" spans="1:19" ht="24" hidden="1" x14ac:dyDescent="0.25">
      <c r="A193" s="276">
        <v>4250</v>
      </c>
      <c r="B193" s="127" t="s">
        <v>209</v>
      </c>
      <c r="C193" s="128">
        <f t="shared" si="25"/>
        <v>0</v>
      </c>
      <c r="D193" s="134">
        <v>0</v>
      </c>
      <c r="E193" s="283"/>
      <c r="F193" s="286">
        <f t="shared" si="29"/>
        <v>0</v>
      </c>
      <c r="G193" s="134"/>
      <c r="H193" s="135"/>
      <c r="I193" s="136">
        <f t="shared" si="30"/>
        <v>0</v>
      </c>
      <c r="J193" s="134">
        <v>0</v>
      </c>
      <c r="K193" s="135"/>
      <c r="L193" s="136">
        <f t="shared" si="31"/>
        <v>0</v>
      </c>
      <c r="M193" s="284"/>
      <c r="N193" s="285"/>
      <c r="O193" s="136">
        <f t="shared" si="32"/>
        <v>0</v>
      </c>
      <c r="P193" s="85"/>
      <c r="R193" s="53"/>
      <c r="S193" s="53"/>
    </row>
    <row r="194" spans="1:19" hidden="1" x14ac:dyDescent="0.25">
      <c r="A194" s="99">
        <v>4300</v>
      </c>
      <c r="B194" s="247" t="s">
        <v>210</v>
      </c>
      <c r="C194" s="100">
        <f t="shared" si="25"/>
        <v>0</v>
      </c>
      <c r="D194" s="112">
        <f>SUM(D195)</f>
        <v>0</v>
      </c>
      <c r="E194" s="248">
        <f>SUM(E195)</f>
        <v>0</v>
      </c>
      <c r="F194" s="313">
        <f t="shared" si="29"/>
        <v>0</v>
      </c>
      <c r="G194" s="112">
        <f>SUM(G195)</f>
        <v>0</v>
      </c>
      <c r="H194" s="113">
        <f>SUM(H195)</f>
        <v>0</v>
      </c>
      <c r="I194" s="114">
        <f t="shared" si="30"/>
        <v>0</v>
      </c>
      <c r="J194" s="112">
        <f>SUM(J195)</f>
        <v>0</v>
      </c>
      <c r="K194" s="113">
        <f>SUM(K195)</f>
        <v>0</v>
      </c>
      <c r="L194" s="114">
        <f t="shared" si="31"/>
        <v>0</v>
      </c>
      <c r="M194" s="292">
        <f>SUM(M195)</f>
        <v>0</v>
      </c>
      <c r="N194" s="293">
        <f>SUM(N195)</f>
        <v>0</v>
      </c>
      <c r="O194" s="114">
        <f t="shared" si="32"/>
        <v>0</v>
      </c>
      <c r="P194" s="109"/>
      <c r="R194" s="53"/>
      <c r="S194" s="53"/>
    </row>
    <row r="195" spans="1:19" ht="24" hidden="1" x14ac:dyDescent="0.25">
      <c r="A195" s="656">
        <v>4310</v>
      </c>
      <c r="B195" s="116" t="s">
        <v>211</v>
      </c>
      <c r="C195" s="117">
        <f t="shared" si="25"/>
        <v>0</v>
      </c>
      <c r="D195" s="297">
        <f>SUM(D196:D196)</f>
        <v>0</v>
      </c>
      <c r="E195" s="298">
        <f>SUM(E196:E196)</f>
        <v>0</v>
      </c>
      <c r="F195" s="263">
        <f t="shared" si="29"/>
        <v>0</v>
      </c>
      <c r="G195" s="297">
        <f>SUM(G196:G196)</f>
        <v>0</v>
      </c>
      <c r="H195" s="299">
        <f>SUM(H196:H196)</f>
        <v>0</v>
      </c>
      <c r="I195" s="125">
        <f t="shared" si="30"/>
        <v>0</v>
      </c>
      <c r="J195" s="297">
        <f>SUM(J196:J196)</f>
        <v>0</v>
      </c>
      <c r="K195" s="299">
        <f>SUM(K196:K196)</f>
        <v>0</v>
      </c>
      <c r="L195" s="125">
        <f t="shared" si="31"/>
        <v>0</v>
      </c>
      <c r="M195" s="300">
        <f>SUM(M196:M196)</f>
        <v>0</v>
      </c>
      <c r="N195" s="301">
        <f>SUM(N196:N196)</f>
        <v>0</v>
      </c>
      <c r="O195" s="125">
        <f t="shared" si="32"/>
        <v>0</v>
      </c>
      <c r="P195" s="74"/>
      <c r="R195" s="53"/>
      <c r="S195" s="53"/>
    </row>
    <row r="196" spans="1:19" ht="36" hidden="1" x14ac:dyDescent="0.25">
      <c r="A196" s="76">
        <v>4311</v>
      </c>
      <c r="B196" s="127" t="s">
        <v>212</v>
      </c>
      <c r="C196" s="128">
        <f t="shared" si="25"/>
        <v>0</v>
      </c>
      <c r="D196" s="134">
        <v>0</v>
      </c>
      <c r="E196" s="283"/>
      <c r="F196" s="286">
        <f t="shared" si="29"/>
        <v>0</v>
      </c>
      <c r="G196" s="134"/>
      <c r="H196" s="135"/>
      <c r="I196" s="136">
        <f t="shared" si="30"/>
        <v>0</v>
      </c>
      <c r="J196" s="134">
        <v>0</v>
      </c>
      <c r="K196" s="135"/>
      <c r="L196" s="136">
        <f t="shared" si="31"/>
        <v>0</v>
      </c>
      <c r="M196" s="284"/>
      <c r="N196" s="285"/>
      <c r="O196" s="136">
        <f t="shared" si="32"/>
        <v>0</v>
      </c>
      <c r="P196" s="85"/>
      <c r="R196" s="53"/>
      <c r="S196" s="53"/>
    </row>
    <row r="197" spans="1:19" s="41" customFormat="1" ht="24" x14ac:dyDescent="0.25">
      <c r="A197" s="339"/>
      <c r="B197" s="31" t="s">
        <v>213</v>
      </c>
      <c r="C197" s="229">
        <f t="shared" si="25"/>
        <v>74322</v>
      </c>
      <c r="D197" s="230">
        <f>SUM(D198,D233,D271)</f>
        <v>43610</v>
      </c>
      <c r="E197" s="231">
        <f>SUM(E198,E233,E271)</f>
        <v>15000</v>
      </c>
      <c r="F197" s="232">
        <f t="shared" si="29"/>
        <v>58610</v>
      </c>
      <c r="G197" s="230">
        <f>SUM(G198,G233,G271)</f>
        <v>0</v>
      </c>
      <c r="H197" s="233">
        <f>SUM(H198,H233,H271)</f>
        <v>0</v>
      </c>
      <c r="I197" s="234">
        <f t="shared" si="30"/>
        <v>0</v>
      </c>
      <c r="J197" s="230">
        <f>SUM(J198,J233,J271)</f>
        <v>15712</v>
      </c>
      <c r="K197" s="233">
        <f>SUM(K198,K233,K271)</f>
        <v>0</v>
      </c>
      <c r="L197" s="234">
        <f t="shared" si="31"/>
        <v>15712</v>
      </c>
      <c r="M197" s="340">
        <f>SUM(M198,M233,M271)</f>
        <v>0</v>
      </c>
      <c r="N197" s="341">
        <f>SUM(N198,N233,N271)</f>
        <v>0</v>
      </c>
      <c r="O197" s="342">
        <f t="shared" si="32"/>
        <v>0</v>
      </c>
      <c r="P197" s="343"/>
      <c r="R197" s="53"/>
      <c r="S197" s="53"/>
    </row>
    <row r="198" spans="1:19" x14ac:dyDescent="0.25">
      <c r="A198" s="237">
        <v>5000</v>
      </c>
      <c r="B198" s="237" t="s">
        <v>214</v>
      </c>
      <c r="C198" s="238">
        <f>F198+I198+L198+O198</f>
        <v>73610</v>
      </c>
      <c r="D198" s="239">
        <f>D199+D207</f>
        <v>43610</v>
      </c>
      <c r="E198" s="240">
        <f>E199+E207</f>
        <v>15000</v>
      </c>
      <c r="F198" s="241">
        <f t="shared" si="29"/>
        <v>58610</v>
      </c>
      <c r="G198" s="239">
        <f>G199+G207</f>
        <v>0</v>
      </c>
      <c r="H198" s="242">
        <f>H199+H207</f>
        <v>0</v>
      </c>
      <c r="I198" s="243">
        <f t="shared" si="30"/>
        <v>0</v>
      </c>
      <c r="J198" s="239">
        <f>J199+J207</f>
        <v>15000</v>
      </c>
      <c r="K198" s="242">
        <f>K199+K207</f>
        <v>0</v>
      </c>
      <c r="L198" s="243">
        <f t="shared" si="31"/>
        <v>15000</v>
      </c>
      <c r="M198" s="244">
        <f>M199+M207</f>
        <v>0</v>
      </c>
      <c r="N198" s="245">
        <f>N199+N207</f>
        <v>0</v>
      </c>
      <c r="O198" s="243">
        <f t="shared" si="32"/>
        <v>0</v>
      </c>
      <c r="P198" s="246"/>
      <c r="R198" s="53"/>
      <c r="S198" s="53"/>
    </row>
    <row r="199" spans="1:19" hidden="1" x14ac:dyDescent="0.25">
      <c r="A199" s="99">
        <v>5100</v>
      </c>
      <c r="B199" s="247" t="s">
        <v>215</v>
      </c>
      <c r="C199" s="100">
        <f t="shared" si="25"/>
        <v>0</v>
      </c>
      <c r="D199" s="112">
        <f>D200+D201+D204+D205+D206</f>
        <v>0</v>
      </c>
      <c r="E199" s="248">
        <f>E200+E201+E204+E205+E206</f>
        <v>0</v>
      </c>
      <c r="F199" s="313">
        <f t="shared" si="29"/>
        <v>0</v>
      </c>
      <c r="G199" s="112">
        <f>G200+G201+G204+G205+G206</f>
        <v>0</v>
      </c>
      <c r="H199" s="113">
        <f>H200+H201+H204+H205+H206</f>
        <v>0</v>
      </c>
      <c r="I199" s="114">
        <f t="shared" si="30"/>
        <v>0</v>
      </c>
      <c r="J199" s="112">
        <f>J200+J201+J204+J205+J206</f>
        <v>0</v>
      </c>
      <c r="K199" s="113">
        <f>K200+K201+K204+K205+K206</f>
        <v>0</v>
      </c>
      <c r="L199" s="114">
        <f t="shared" si="31"/>
        <v>0</v>
      </c>
      <c r="M199" s="292">
        <f>M200+M201+M204+M205+M206</f>
        <v>0</v>
      </c>
      <c r="N199" s="293">
        <f>N200+N201+N204+N205+N206</f>
        <v>0</v>
      </c>
      <c r="O199" s="114">
        <f t="shared" si="32"/>
        <v>0</v>
      </c>
      <c r="P199" s="109"/>
      <c r="R199" s="53"/>
      <c r="S199" s="53"/>
    </row>
    <row r="200" spans="1:19" hidden="1" x14ac:dyDescent="0.25">
      <c r="A200" s="656">
        <v>5110</v>
      </c>
      <c r="B200" s="116" t="s">
        <v>216</v>
      </c>
      <c r="C200" s="117">
        <f t="shared" si="25"/>
        <v>0</v>
      </c>
      <c r="D200" s="123">
        <v>0</v>
      </c>
      <c r="E200" s="295"/>
      <c r="F200" s="263">
        <f t="shared" si="29"/>
        <v>0</v>
      </c>
      <c r="G200" s="123"/>
      <c r="H200" s="124"/>
      <c r="I200" s="125">
        <f t="shared" si="30"/>
        <v>0</v>
      </c>
      <c r="J200" s="123">
        <v>0</v>
      </c>
      <c r="K200" s="124"/>
      <c r="L200" s="125">
        <f t="shared" si="31"/>
        <v>0</v>
      </c>
      <c r="M200" s="264"/>
      <c r="N200" s="262"/>
      <c r="O200" s="125">
        <f t="shared" si="32"/>
        <v>0</v>
      </c>
      <c r="P200" s="74"/>
      <c r="R200" s="53"/>
      <c r="S200" s="53"/>
    </row>
    <row r="201" spans="1:19" ht="24" hidden="1" x14ac:dyDescent="0.25">
      <c r="A201" s="276">
        <v>5120</v>
      </c>
      <c r="B201" s="127" t="s">
        <v>217</v>
      </c>
      <c r="C201" s="128">
        <f t="shared" si="25"/>
        <v>0</v>
      </c>
      <c r="D201" s="277">
        <f>D202+D203</f>
        <v>0</v>
      </c>
      <c r="E201" s="278">
        <f>E202+E203</f>
        <v>0</v>
      </c>
      <c r="F201" s="286">
        <f t="shared" si="29"/>
        <v>0</v>
      </c>
      <c r="G201" s="277">
        <f>G202+G203</f>
        <v>0</v>
      </c>
      <c r="H201" s="280">
        <f>H202+H203</f>
        <v>0</v>
      </c>
      <c r="I201" s="136">
        <f t="shared" si="30"/>
        <v>0</v>
      </c>
      <c r="J201" s="277">
        <f>J202+J203</f>
        <v>0</v>
      </c>
      <c r="K201" s="280">
        <f>K202+K203</f>
        <v>0</v>
      </c>
      <c r="L201" s="136">
        <f t="shared" si="31"/>
        <v>0</v>
      </c>
      <c r="M201" s="281">
        <f>M202+M203</f>
        <v>0</v>
      </c>
      <c r="N201" s="282">
        <f>N202+N203</f>
        <v>0</v>
      </c>
      <c r="O201" s="136">
        <f t="shared" si="32"/>
        <v>0</v>
      </c>
      <c r="P201" s="85"/>
      <c r="R201" s="53"/>
      <c r="S201" s="53"/>
    </row>
    <row r="202" spans="1:19" hidden="1" x14ac:dyDescent="0.25">
      <c r="A202" s="76">
        <v>5121</v>
      </c>
      <c r="B202" s="127" t="s">
        <v>218</v>
      </c>
      <c r="C202" s="128">
        <f t="shared" si="25"/>
        <v>0</v>
      </c>
      <c r="D202" s="134">
        <v>0</v>
      </c>
      <c r="E202" s="283"/>
      <c r="F202" s="286">
        <f t="shared" si="29"/>
        <v>0</v>
      </c>
      <c r="G202" s="134"/>
      <c r="H202" s="135"/>
      <c r="I202" s="136">
        <f t="shared" si="30"/>
        <v>0</v>
      </c>
      <c r="J202" s="134">
        <v>0</v>
      </c>
      <c r="K202" s="135"/>
      <c r="L202" s="136">
        <f t="shared" si="31"/>
        <v>0</v>
      </c>
      <c r="M202" s="284"/>
      <c r="N202" s="285"/>
      <c r="O202" s="136">
        <f t="shared" si="32"/>
        <v>0</v>
      </c>
      <c r="P202" s="85"/>
      <c r="R202" s="53"/>
      <c r="S202" s="53"/>
    </row>
    <row r="203" spans="1:19" ht="24" hidden="1" x14ac:dyDescent="0.25">
      <c r="A203" s="76">
        <v>5129</v>
      </c>
      <c r="B203" s="127" t="s">
        <v>219</v>
      </c>
      <c r="C203" s="128">
        <f t="shared" si="25"/>
        <v>0</v>
      </c>
      <c r="D203" s="134">
        <v>0</v>
      </c>
      <c r="E203" s="283"/>
      <c r="F203" s="286">
        <f t="shared" si="29"/>
        <v>0</v>
      </c>
      <c r="G203" s="134"/>
      <c r="H203" s="135"/>
      <c r="I203" s="136">
        <f t="shared" si="30"/>
        <v>0</v>
      </c>
      <c r="J203" s="134">
        <v>0</v>
      </c>
      <c r="K203" s="135"/>
      <c r="L203" s="136">
        <f t="shared" si="31"/>
        <v>0</v>
      </c>
      <c r="M203" s="284"/>
      <c r="N203" s="285"/>
      <c r="O203" s="136">
        <f t="shared" si="32"/>
        <v>0</v>
      </c>
      <c r="P203" s="85"/>
      <c r="R203" s="53"/>
      <c r="S203" s="53"/>
    </row>
    <row r="204" spans="1:19" hidden="1" x14ac:dyDescent="0.25">
      <c r="A204" s="276">
        <v>5130</v>
      </c>
      <c r="B204" s="127" t="s">
        <v>220</v>
      </c>
      <c r="C204" s="128">
        <f t="shared" si="25"/>
        <v>0</v>
      </c>
      <c r="D204" s="134">
        <v>0</v>
      </c>
      <c r="E204" s="283"/>
      <c r="F204" s="286">
        <f t="shared" si="29"/>
        <v>0</v>
      </c>
      <c r="G204" s="134"/>
      <c r="H204" s="135"/>
      <c r="I204" s="136">
        <f t="shared" si="30"/>
        <v>0</v>
      </c>
      <c r="J204" s="134">
        <v>0</v>
      </c>
      <c r="K204" s="135"/>
      <c r="L204" s="136">
        <f t="shared" si="31"/>
        <v>0</v>
      </c>
      <c r="M204" s="284"/>
      <c r="N204" s="285"/>
      <c r="O204" s="136">
        <f t="shared" si="32"/>
        <v>0</v>
      </c>
      <c r="P204" s="85"/>
      <c r="R204" s="53"/>
      <c r="S204" s="53"/>
    </row>
    <row r="205" spans="1:19" hidden="1" x14ac:dyDescent="0.25">
      <c r="A205" s="276">
        <v>5140</v>
      </c>
      <c r="B205" s="127" t="s">
        <v>221</v>
      </c>
      <c r="C205" s="128">
        <f t="shared" si="25"/>
        <v>0</v>
      </c>
      <c r="D205" s="134">
        <v>0</v>
      </c>
      <c r="E205" s="283"/>
      <c r="F205" s="286">
        <f t="shared" si="29"/>
        <v>0</v>
      </c>
      <c r="G205" s="134"/>
      <c r="H205" s="135"/>
      <c r="I205" s="136">
        <f t="shared" si="30"/>
        <v>0</v>
      </c>
      <c r="J205" s="134">
        <v>0</v>
      </c>
      <c r="K205" s="135"/>
      <c r="L205" s="136">
        <f t="shared" si="31"/>
        <v>0</v>
      </c>
      <c r="M205" s="284"/>
      <c r="N205" s="285"/>
      <c r="O205" s="136">
        <f t="shared" si="32"/>
        <v>0</v>
      </c>
      <c r="P205" s="85"/>
      <c r="R205" s="53"/>
      <c r="S205" s="53"/>
    </row>
    <row r="206" spans="1:19" ht="24" hidden="1" x14ac:dyDescent="0.25">
      <c r="A206" s="276">
        <v>5170</v>
      </c>
      <c r="B206" s="127" t="s">
        <v>222</v>
      </c>
      <c r="C206" s="128">
        <f t="shared" si="25"/>
        <v>0</v>
      </c>
      <c r="D206" s="134">
        <v>0</v>
      </c>
      <c r="E206" s="283"/>
      <c r="F206" s="286">
        <f t="shared" si="29"/>
        <v>0</v>
      </c>
      <c r="G206" s="134"/>
      <c r="H206" s="135"/>
      <c r="I206" s="136">
        <f t="shared" si="30"/>
        <v>0</v>
      </c>
      <c r="J206" s="134">
        <v>0</v>
      </c>
      <c r="K206" s="135"/>
      <c r="L206" s="136">
        <f t="shared" si="31"/>
        <v>0</v>
      </c>
      <c r="M206" s="284"/>
      <c r="N206" s="285"/>
      <c r="O206" s="136">
        <f t="shared" si="32"/>
        <v>0</v>
      </c>
      <c r="P206" s="85"/>
      <c r="R206" s="53"/>
      <c r="S206" s="53"/>
    </row>
    <row r="207" spans="1:19" x14ac:dyDescent="0.25">
      <c r="A207" s="99">
        <v>5200</v>
      </c>
      <c r="B207" s="247" t="s">
        <v>223</v>
      </c>
      <c r="C207" s="100">
        <f t="shared" si="25"/>
        <v>73610</v>
      </c>
      <c r="D207" s="112">
        <f>D208+D218+D219+D228+D229+D230+D232</f>
        <v>43610</v>
      </c>
      <c r="E207" s="248">
        <f>E208+E218+E219+E228+E229+E230+E232</f>
        <v>15000</v>
      </c>
      <c r="F207" s="249">
        <f t="shared" si="29"/>
        <v>58610</v>
      </c>
      <c r="G207" s="112">
        <f>G208+G218+G219+G228+G229+G230+G232</f>
        <v>0</v>
      </c>
      <c r="H207" s="113">
        <f>H208+H218+H219+H228+H229+H230+H232</f>
        <v>0</v>
      </c>
      <c r="I207" s="114">
        <f t="shared" si="30"/>
        <v>0</v>
      </c>
      <c r="J207" s="112">
        <f>J208+J218+J219+J228+J229+J230+J232</f>
        <v>15000</v>
      </c>
      <c r="K207" s="113">
        <f>K208+K218+K219+K228+K229+K230+K232</f>
        <v>0</v>
      </c>
      <c r="L207" s="114">
        <f t="shared" si="31"/>
        <v>15000</v>
      </c>
      <c r="M207" s="292">
        <f>M208+M218+M219+M228+M229+M230+M232</f>
        <v>0</v>
      </c>
      <c r="N207" s="293">
        <f>N208+N218+N219+N228+N229+N230+N232</f>
        <v>0</v>
      </c>
      <c r="O207" s="114">
        <f t="shared" si="32"/>
        <v>0</v>
      </c>
      <c r="P207" s="109"/>
      <c r="R207" s="53"/>
      <c r="S207" s="53"/>
    </row>
    <row r="208" spans="1:19" hidden="1" x14ac:dyDescent="0.25">
      <c r="A208" s="254">
        <v>5210</v>
      </c>
      <c r="B208" s="179" t="s">
        <v>224</v>
      </c>
      <c r="C208" s="191">
        <f t="shared" si="25"/>
        <v>0</v>
      </c>
      <c r="D208" s="255">
        <f>SUM(D209:D217)</f>
        <v>0</v>
      </c>
      <c r="E208" s="256">
        <f>SUM(E209:E217)</f>
        <v>0</v>
      </c>
      <c r="F208" s="310">
        <f t="shared" si="29"/>
        <v>0</v>
      </c>
      <c r="G208" s="255">
        <f>SUM(G209:G217)</f>
        <v>0</v>
      </c>
      <c r="H208" s="258">
        <f>SUM(H209:H217)</f>
        <v>0</v>
      </c>
      <c r="I208" s="259">
        <f t="shared" si="30"/>
        <v>0</v>
      </c>
      <c r="J208" s="255">
        <f>SUM(J209:J217)</f>
        <v>0</v>
      </c>
      <c r="K208" s="258">
        <f>SUM(K209:K217)</f>
        <v>0</v>
      </c>
      <c r="L208" s="259">
        <f t="shared" si="31"/>
        <v>0</v>
      </c>
      <c r="M208" s="260">
        <f>SUM(M209:M217)</f>
        <v>0</v>
      </c>
      <c r="N208" s="261">
        <f>SUM(N209:N217)</f>
        <v>0</v>
      </c>
      <c r="O208" s="259">
        <f t="shared" si="32"/>
        <v>0</v>
      </c>
      <c r="P208" s="189"/>
      <c r="R208" s="53"/>
      <c r="S208" s="53"/>
    </row>
    <row r="209" spans="1:19" hidden="1" x14ac:dyDescent="0.25">
      <c r="A209" s="66">
        <v>5211</v>
      </c>
      <c r="B209" s="116" t="s">
        <v>225</v>
      </c>
      <c r="C209" s="279">
        <f t="shared" si="25"/>
        <v>0</v>
      </c>
      <c r="D209" s="123">
        <v>0</v>
      </c>
      <c r="E209" s="295"/>
      <c r="F209" s="263">
        <f t="shared" si="29"/>
        <v>0</v>
      </c>
      <c r="G209" s="123"/>
      <c r="H209" s="124"/>
      <c r="I209" s="125">
        <f t="shared" si="30"/>
        <v>0</v>
      </c>
      <c r="J209" s="123">
        <v>0</v>
      </c>
      <c r="K209" s="124"/>
      <c r="L209" s="125">
        <f t="shared" si="31"/>
        <v>0</v>
      </c>
      <c r="M209" s="264"/>
      <c r="N209" s="262"/>
      <c r="O209" s="125">
        <f t="shared" si="32"/>
        <v>0</v>
      </c>
      <c r="P209" s="74"/>
      <c r="R209" s="53"/>
      <c r="S209" s="53"/>
    </row>
    <row r="210" spans="1:19" hidden="1" x14ac:dyDescent="0.25">
      <c r="A210" s="76">
        <v>5212</v>
      </c>
      <c r="B210" s="127" t="s">
        <v>226</v>
      </c>
      <c r="C210" s="279">
        <f t="shared" si="25"/>
        <v>0</v>
      </c>
      <c r="D210" s="134">
        <v>0</v>
      </c>
      <c r="E210" s="283"/>
      <c r="F210" s="286">
        <f t="shared" si="29"/>
        <v>0</v>
      </c>
      <c r="G210" s="134"/>
      <c r="H210" s="135"/>
      <c r="I210" s="136">
        <f t="shared" si="30"/>
        <v>0</v>
      </c>
      <c r="J210" s="134">
        <v>0</v>
      </c>
      <c r="K210" s="135"/>
      <c r="L210" s="136">
        <f t="shared" si="31"/>
        <v>0</v>
      </c>
      <c r="M210" s="284"/>
      <c r="N210" s="285"/>
      <c r="O210" s="136">
        <f t="shared" si="32"/>
        <v>0</v>
      </c>
      <c r="P210" s="85"/>
      <c r="R210" s="53"/>
      <c r="S210" s="53"/>
    </row>
    <row r="211" spans="1:19" hidden="1" x14ac:dyDescent="0.25">
      <c r="A211" s="76">
        <v>5213</v>
      </c>
      <c r="B211" s="127" t="s">
        <v>227</v>
      </c>
      <c r="C211" s="279">
        <f t="shared" si="25"/>
        <v>0</v>
      </c>
      <c r="D211" s="134">
        <v>0</v>
      </c>
      <c r="E211" s="283"/>
      <c r="F211" s="286">
        <f t="shared" si="29"/>
        <v>0</v>
      </c>
      <c r="G211" s="134"/>
      <c r="H211" s="135"/>
      <c r="I211" s="136">
        <f t="shared" si="30"/>
        <v>0</v>
      </c>
      <c r="J211" s="134">
        <v>0</v>
      </c>
      <c r="K211" s="135"/>
      <c r="L211" s="136">
        <f t="shared" si="31"/>
        <v>0</v>
      </c>
      <c r="M211" s="284"/>
      <c r="N211" s="285"/>
      <c r="O211" s="136">
        <f t="shared" si="32"/>
        <v>0</v>
      </c>
      <c r="P211" s="85"/>
      <c r="R211" s="53"/>
      <c r="S211" s="53"/>
    </row>
    <row r="212" spans="1:19" hidden="1" x14ac:dyDescent="0.25">
      <c r="A212" s="76">
        <v>5214</v>
      </c>
      <c r="B212" s="127" t="s">
        <v>228</v>
      </c>
      <c r="C212" s="279">
        <f t="shared" si="25"/>
        <v>0</v>
      </c>
      <c r="D212" s="134">
        <v>0</v>
      </c>
      <c r="E212" s="283"/>
      <c r="F212" s="286">
        <f t="shared" si="29"/>
        <v>0</v>
      </c>
      <c r="G212" s="134"/>
      <c r="H212" s="135"/>
      <c r="I212" s="136">
        <f t="shared" si="30"/>
        <v>0</v>
      </c>
      <c r="J212" s="134">
        <v>0</v>
      </c>
      <c r="K212" s="135"/>
      <c r="L212" s="136">
        <f t="shared" si="31"/>
        <v>0</v>
      </c>
      <c r="M212" s="284"/>
      <c r="N212" s="285"/>
      <c r="O212" s="136">
        <f t="shared" si="32"/>
        <v>0</v>
      </c>
      <c r="P212" s="85"/>
      <c r="R212" s="53"/>
      <c r="S212" s="53"/>
    </row>
    <row r="213" spans="1:19" hidden="1" x14ac:dyDescent="0.25">
      <c r="A213" s="76">
        <v>5215</v>
      </c>
      <c r="B213" s="127" t="s">
        <v>229</v>
      </c>
      <c r="C213" s="279">
        <f t="shared" si="25"/>
        <v>0</v>
      </c>
      <c r="D213" s="134">
        <v>0</v>
      </c>
      <c r="E213" s="283"/>
      <c r="F213" s="286">
        <f t="shared" si="29"/>
        <v>0</v>
      </c>
      <c r="G213" s="134"/>
      <c r="H213" s="135"/>
      <c r="I213" s="136">
        <f t="shared" si="30"/>
        <v>0</v>
      </c>
      <c r="J213" s="134">
        <v>0</v>
      </c>
      <c r="K213" s="135"/>
      <c r="L213" s="136">
        <f t="shared" si="31"/>
        <v>0</v>
      </c>
      <c r="M213" s="284"/>
      <c r="N213" s="285"/>
      <c r="O213" s="136">
        <f t="shared" si="32"/>
        <v>0</v>
      </c>
      <c r="P213" s="85"/>
      <c r="R213" s="53"/>
      <c r="S213" s="53"/>
    </row>
    <row r="214" spans="1:19" ht="24" hidden="1" x14ac:dyDescent="0.25">
      <c r="A214" s="76">
        <v>5216</v>
      </c>
      <c r="B214" s="127" t="s">
        <v>230</v>
      </c>
      <c r="C214" s="279">
        <f t="shared" si="25"/>
        <v>0</v>
      </c>
      <c r="D214" s="134">
        <v>0</v>
      </c>
      <c r="E214" s="283"/>
      <c r="F214" s="286">
        <f t="shared" si="29"/>
        <v>0</v>
      </c>
      <c r="G214" s="134"/>
      <c r="H214" s="135"/>
      <c r="I214" s="136">
        <f t="shared" si="30"/>
        <v>0</v>
      </c>
      <c r="J214" s="134">
        <v>0</v>
      </c>
      <c r="K214" s="135"/>
      <c r="L214" s="136">
        <f t="shared" si="31"/>
        <v>0</v>
      </c>
      <c r="M214" s="284"/>
      <c r="N214" s="285"/>
      <c r="O214" s="136">
        <f t="shared" si="32"/>
        <v>0</v>
      </c>
      <c r="P214" s="85"/>
      <c r="R214" s="53"/>
      <c r="S214" s="53"/>
    </row>
    <row r="215" spans="1:19" hidden="1" x14ac:dyDescent="0.25">
      <c r="A215" s="76">
        <v>5217</v>
      </c>
      <c r="B215" s="127" t="s">
        <v>231</v>
      </c>
      <c r="C215" s="279">
        <f t="shared" si="25"/>
        <v>0</v>
      </c>
      <c r="D215" s="134">
        <v>0</v>
      </c>
      <c r="E215" s="283"/>
      <c r="F215" s="286">
        <f t="shared" si="29"/>
        <v>0</v>
      </c>
      <c r="G215" s="134"/>
      <c r="H215" s="135"/>
      <c r="I215" s="136">
        <f t="shared" si="30"/>
        <v>0</v>
      </c>
      <c r="J215" s="134">
        <v>0</v>
      </c>
      <c r="K215" s="135"/>
      <c r="L215" s="136">
        <f t="shared" si="31"/>
        <v>0</v>
      </c>
      <c r="M215" s="284"/>
      <c r="N215" s="285"/>
      <c r="O215" s="136">
        <f t="shared" si="32"/>
        <v>0</v>
      </c>
      <c r="P215" s="85"/>
      <c r="R215" s="53"/>
      <c r="S215" s="53"/>
    </row>
    <row r="216" spans="1:19" hidden="1" x14ac:dyDescent="0.25">
      <c r="A216" s="76">
        <v>5218</v>
      </c>
      <c r="B216" s="127" t="s">
        <v>232</v>
      </c>
      <c r="C216" s="279">
        <f t="shared" si="25"/>
        <v>0</v>
      </c>
      <c r="D216" s="134">
        <v>0</v>
      </c>
      <c r="E216" s="283"/>
      <c r="F216" s="286">
        <f t="shared" si="29"/>
        <v>0</v>
      </c>
      <c r="G216" s="134"/>
      <c r="H216" s="135"/>
      <c r="I216" s="136">
        <f t="shared" si="30"/>
        <v>0</v>
      </c>
      <c r="J216" s="134">
        <v>0</v>
      </c>
      <c r="K216" s="135"/>
      <c r="L216" s="136">
        <f t="shared" si="31"/>
        <v>0</v>
      </c>
      <c r="M216" s="284"/>
      <c r="N216" s="285"/>
      <c r="O216" s="136">
        <f t="shared" si="32"/>
        <v>0</v>
      </c>
      <c r="P216" s="85"/>
      <c r="R216" s="53"/>
      <c r="S216" s="53"/>
    </row>
    <row r="217" spans="1:19" hidden="1" x14ac:dyDescent="0.25">
      <c r="A217" s="76">
        <v>5219</v>
      </c>
      <c r="B217" s="127" t="s">
        <v>233</v>
      </c>
      <c r="C217" s="279">
        <f t="shared" si="25"/>
        <v>0</v>
      </c>
      <c r="D217" s="134">
        <v>0</v>
      </c>
      <c r="E217" s="283"/>
      <c r="F217" s="286">
        <f t="shared" si="29"/>
        <v>0</v>
      </c>
      <c r="G217" s="134"/>
      <c r="H217" s="135"/>
      <c r="I217" s="136">
        <f t="shared" si="30"/>
        <v>0</v>
      </c>
      <c r="J217" s="134">
        <v>0</v>
      </c>
      <c r="K217" s="135"/>
      <c r="L217" s="136">
        <f t="shared" si="31"/>
        <v>0</v>
      </c>
      <c r="M217" s="284"/>
      <c r="N217" s="285"/>
      <c r="O217" s="136">
        <f t="shared" si="32"/>
        <v>0</v>
      </c>
      <c r="P217" s="85"/>
      <c r="R217" s="53"/>
      <c r="S217" s="53"/>
    </row>
    <row r="218" spans="1:19" hidden="1" x14ac:dyDescent="0.25">
      <c r="A218" s="276">
        <v>5220</v>
      </c>
      <c r="B218" s="127" t="s">
        <v>234</v>
      </c>
      <c r="C218" s="279">
        <f t="shared" si="25"/>
        <v>0</v>
      </c>
      <c r="D218" s="134">
        <v>0</v>
      </c>
      <c r="E218" s="283"/>
      <c r="F218" s="286">
        <f t="shared" si="29"/>
        <v>0</v>
      </c>
      <c r="G218" s="134"/>
      <c r="H218" s="135"/>
      <c r="I218" s="136">
        <f t="shared" si="30"/>
        <v>0</v>
      </c>
      <c r="J218" s="134">
        <v>0</v>
      </c>
      <c r="K218" s="135"/>
      <c r="L218" s="136">
        <f t="shared" si="31"/>
        <v>0</v>
      </c>
      <c r="M218" s="284"/>
      <c r="N218" s="285"/>
      <c r="O218" s="136">
        <f t="shared" si="32"/>
        <v>0</v>
      </c>
      <c r="P218" s="85"/>
      <c r="R218" s="53"/>
      <c r="S218" s="53"/>
    </row>
    <row r="219" spans="1:19" x14ac:dyDescent="0.25">
      <c r="A219" s="276">
        <v>5230</v>
      </c>
      <c r="B219" s="127" t="s">
        <v>235</v>
      </c>
      <c r="C219" s="279">
        <f t="shared" si="25"/>
        <v>73610</v>
      </c>
      <c r="D219" s="277">
        <f>SUM(D220:D227)</f>
        <v>43610</v>
      </c>
      <c r="E219" s="278">
        <f>SUM(E220:E227)</f>
        <v>15000</v>
      </c>
      <c r="F219" s="279">
        <f t="shared" si="29"/>
        <v>58610</v>
      </c>
      <c r="G219" s="277">
        <f>SUM(G220:G227)</f>
        <v>0</v>
      </c>
      <c r="H219" s="280">
        <f>SUM(H220:H227)</f>
        <v>0</v>
      </c>
      <c r="I219" s="136">
        <f t="shared" si="30"/>
        <v>0</v>
      </c>
      <c r="J219" s="277">
        <f>SUM(J220:J227)</f>
        <v>15000</v>
      </c>
      <c r="K219" s="280">
        <f>SUM(K220:K227)</f>
        <v>0</v>
      </c>
      <c r="L219" s="136">
        <f t="shared" si="31"/>
        <v>15000</v>
      </c>
      <c r="M219" s="281">
        <f>SUM(M220:M227)</f>
        <v>0</v>
      </c>
      <c r="N219" s="282">
        <f>SUM(N220:N227)</f>
        <v>0</v>
      </c>
      <c r="O219" s="136">
        <f t="shared" si="32"/>
        <v>0</v>
      </c>
      <c r="P219" s="85"/>
      <c r="R219" s="53"/>
      <c r="S219" s="53"/>
    </row>
    <row r="220" spans="1:19" x14ac:dyDescent="0.25">
      <c r="A220" s="76">
        <v>5231</v>
      </c>
      <c r="B220" s="127" t="s">
        <v>236</v>
      </c>
      <c r="C220" s="279">
        <f t="shared" si="25"/>
        <v>52595</v>
      </c>
      <c r="D220" s="134">
        <f>25000-2405</f>
        <v>22595</v>
      </c>
      <c r="E220" s="283">
        <v>15000</v>
      </c>
      <c r="F220" s="279">
        <f t="shared" si="29"/>
        <v>37595</v>
      </c>
      <c r="G220" s="134"/>
      <c r="H220" s="135"/>
      <c r="I220" s="136">
        <f t="shared" si="30"/>
        <v>0</v>
      </c>
      <c r="J220" s="134">
        <v>15000</v>
      </c>
      <c r="K220" s="135"/>
      <c r="L220" s="136">
        <f t="shared" si="31"/>
        <v>15000</v>
      </c>
      <c r="M220" s="284"/>
      <c r="N220" s="285"/>
      <c r="O220" s="136">
        <f t="shared" si="32"/>
        <v>0</v>
      </c>
      <c r="P220" s="85"/>
      <c r="R220" s="53"/>
      <c r="S220" s="53"/>
    </row>
    <row r="221" spans="1:19" x14ac:dyDescent="0.25">
      <c r="A221" s="76">
        <v>5232</v>
      </c>
      <c r="B221" s="127" t="s">
        <v>237</v>
      </c>
      <c r="C221" s="279">
        <f t="shared" si="25"/>
        <v>6802</v>
      </c>
      <c r="D221" s="134">
        <f>7590-788</f>
        <v>6802</v>
      </c>
      <c r="E221" s="283"/>
      <c r="F221" s="279">
        <f t="shared" si="29"/>
        <v>6802</v>
      </c>
      <c r="G221" s="134"/>
      <c r="H221" s="135"/>
      <c r="I221" s="136">
        <f t="shared" si="30"/>
        <v>0</v>
      </c>
      <c r="J221" s="134">
        <v>0</v>
      </c>
      <c r="K221" s="135"/>
      <c r="L221" s="136">
        <f t="shared" si="31"/>
        <v>0</v>
      </c>
      <c r="M221" s="284"/>
      <c r="N221" s="285"/>
      <c r="O221" s="136">
        <f t="shared" si="32"/>
        <v>0</v>
      </c>
      <c r="P221" s="85"/>
      <c r="R221" s="53"/>
      <c r="S221" s="53"/>
    </row>
    <row r="222" spans="1:19" hidden="1" x14ac:dyDescent="0.25">
      <c r="A222" s="76">
        <v>5233</v>
      </c>
      <c r="B222" s="127" t="s">
        <v>238</v>
      </c>
      <c r="C222" s="279">
        <f t="shared" si="25"/>
        <v>0</v>
      </c>
      <c r="D222" s="134">
        <v>0</v>
      </c>
      <c r="E222" s="283"/>
      <c r="F222" s="286">
        <f t="shared" si="29"/>
        <v>0</v>
      </c>
      <c r="G222" s="134"/>
      <c r="H222" s="135"/>
      <c r="I222" s="136">
        <f t="shared" si="30"/>
        <v>0</v>
      </c>
      <c r="J222" s="134">
        <v>0</v>
      </c>
      <c r="K222" s="135"/>
      <c r="L222" s="136">
        <f t="shared" si="31"/>
        <v>0</v>
      </c>
      <c r="M222" s="284"/>
      <c r="N222" s="285"/>
      <c r="O222" s="136">
        <f t="shared" si="32"/>
        <v>0</v>
      </c>
      <c r="P222" s="85"/>
      <c r="R222" s="53"/>
      <c r="S222" s="53"/>
    </row>
    <row r="223" spans="1:19" ht="24" hidden="1" x14ac:dyDescent="0.25">
      <c r="A223" s="76">
        <v>5234</v>
      </c>
      <c r="B223" s="127" t="s">
        <v>239</v>
      </c>
      <c r="C223" s="279">
        <f t="shared" si="25"/>
        <v>0</v>
      </c>
      <c r="D223" s="134">
        <v>0</v>
      </c>
      <c r="E223" s="283"/>
      <c r="F223" s="286">
        <f t="shared" si="29"/>
        <v>0</v>
      </c>
      <c r="G223" s="134"/>
      <c r="H223" s="135"/>
      <c r="I223" s="136">
        <f t="shared" si="30"/>
        <v>0</v>
      </c>
      <c r="J223" s="134">
        <v>0</v>
      </c>
      <c r="K223" s="135"/>
      <c r="L223" s="136">
        <f t="shared" si="31"/>
        <v>0</v>
      </c>
      <c r="M223" s="284"/>
      <c r="N223" s="285"/>
      <c r="O223" s="136">
        <f t="shared" si="32"/>
        <v>0</v>
      </c>
      <c r="P223" s="85"/>
      <c r="R223" s="53"/>
      <c r="S223" s="53"/>
    </row>
    <row r="224" spans="1:19" hidden="1" x14ac:dyDescent="0.25">
      <c r="A224" s="76">
        <v>5236</v>
      </c>
      <c r="B224" s="127" t="s">
        <v>240</v>
      </c>
      <c r="C224" s="279">
        <f t="shared" si="25"/>
        <v>0</v>
      </c>
      <c r="D224" s="134">
        <v>0</v>
      </c>
      <c r="E224" s="283"/>
      <c r="F224" s="286">
        <f t="shared" si="29"/>
        <v>0</v>
      </c>
      <c r="G224" s="134"/>
      <c r="H224" s="135"/>
      <c r="I224" s="136">
        <f t="shared" si="30"/>
        <v>0</v>
      </c>
      <c r="J224" s="134">
        <v>0</v>
      </c>
      <c r="K224" s="135"/>
      <c r="L224" s="136">
        <f t="shared" si="31"/>
        <v>0</v>
      </c>
      <c r="M224" s="284"/>
      <c r="N224" s="285"/>
      <c r="O224" s="136">
        <f t="shared" si="32"/>
        <v>0</v>
      </c>
      <c r="P224" s="85"/>
      <c r="R224" s="53"/>
      <c r="S224" s="53"/>
    </row>
    <row r="225" spans="1:19" hidden="1" x14ac:dyDescent="0.25">
      <c r="A225" s="76">
        <v>5237</v>
      </c>
      <c r="B225" s="127" t="s">
        <v>241</v>
      </c>
      <c r="C225" s="279">
        <f t="shared" si="25"/>
        <v>0</v>
      </c>
      <c r="D225" s="134">
        <v>0</v>
      </c>
      <c r="E225" s="283"/>
      <c r="F225" s="286">
        <f t="shared" si="29"/>
        <v>0</v>
      </c>
      <c r="G225" s="134"/>
      <c r="H225" s="135"/>
      <c r="I225" s="136">
        <f t="shared" si="30"/>
        <v>0</v>
      </c>
      <c r="J225" s="134">
        <v>0</v>
      </c>
      <c r="K225" s="135"/>
      <c r="L225" s="136">
        <f t="shared" si="31"/>
        <v>0</v>
      </c>
      <c r="M225" s="284"/>
      <c r="N225" s="285"/>
      <c r="O225" s="136">
        <f t="shared" si="32"/>
        <v>0</v>
      </c>
      <c r="P225" s="85"/>
      <c r="R225" s="53"/>
      <c r="S225" s="53"/>
    </row>
    <row r="226" spans="1:19" ht="24" hidden="1" x14ac:dyDescent="0.25">
      <c r="A226" s="76">
        <v>5238</v>
      </c>
      <c r="B226" s="127" t="s">
        <v>242</v>
      </c>
      <c r="C226" s="279">
        <f t="shared" si="25"/>
        <v>0</v>
      </c>
      <c r="D226" s="134">
        <v>0</v>
      </c>
      <c r="E226" s="283"/>
      <c r="F226" s="286">
        <f t="shared" si="29"/>
        <v>0</v>
      </c>
      <c r="G226" s="134"/>
      <c r="H226" s="135"/>
      <c r="I226" s="136">
        <f t="shared" si="30"/>
        <v>0</v>
      </c>
      <c r="J226" s="134">
        <v>0</v>
      </c>
      <c r="K226" s="135"/>
      <c r="L226" s="136">
        <f t="shared" si="31"/>
        <v>0</v>
      </c>
      <c r="M226" s="284"/>
      <c r="N226" s="285"/>
      <c r="O226" s="136">
        <f t="shared" si="32"/>
        <v>0</v>
      </c>
      <c r="P226" s="85"/>
      <c r="R226" s="53"/>
      <c r="S226" s="53"/>
    </row>
    <row r="227" spans="1:19" ht="24" x14ac:dyDescent="0.25">
      <c r="A227" s="76">
        <v>5239</v>
      </c>
      <c r="B227" s="127" t="s">
        <v>243</v>
      </c>
      <c r="C227" s="279">
        <f t="shared" si="25"/>
        <v>14213</v>
      </c>
      <c r="D227" s="134">
        <f>13478+735</f>
        <v>14213</v>
      </c>
      <c r="E227" s="283"/>
      <c r="F227" s="279">
        <f t="shared" si="29"/>
        <v>14213</v>
      </c>
      <c r="G227" s="134"/>
      <c r="H227" s="135"/>
      <c r="I227" s="136">
        <f t="shared" si="30"/>
        <v>0</v>
      </c>
      <c r="J227" s="134">
        <v>0</v>
      </c>
      <c r="K227" s="135"/>
      <c r="L227" s="136">
        <f t="shared" si="31"/>
        <v>0</v>
      </c>
      <c r="M227" s="284"/>
      <c r="N227" s="285"/>
      <c r="O227" s="136">
        <f t="shared" si="32"/>
        <v>0</v>
      </c>
      <c r="P227" s="771"/>
      <c r="R227" s="53"/>
      <c r="S227" s="53"/>
    </row>
    <row r="228" spans="1:19" ht="24" hidden="1" x14ac:dyDescent="0.25">
      <c r="A228" s="276">
        <v>5240</v>
      </c>
      <c r="B228" s="127" t="s">
        <v>244</v>
      </c>
      <c r="C228" s="279">
        <f t="shared" si="25"/>
        <v>0</v>
      </c>
      <c r="D228" s="134">
        <v>0</v>
      </c>
      <c r="E228" s="283"/>
      <c r="F228" s="286">
        <f t="shared" si="29"/>
        <v>0</v>
      </c>
      <c r="G228" s="134"/>
      <c r="H228" s="135"/>
      <c r="I228" s="136">
        <f t="shared" si="30"/>
        <v>0</v>
      </c>
      <c r="J228" s="134">
        <v>0</v>
      </c>
      <c r="K228" s="135"/>
      <c r="L228" s="136">
        <f t="shared" si="31"/>
        <v>0</v>
      </c>
      <c r="M228" s="284"/>
      <c r="N228" s="285"/>
      <c r="O228" s="136">
        <f t="shared" si="32"/>
        <v>0</v>
      </c>
      <c r="P228" s="85"/>
      <c r="R228" s="53"/>
      <c r="S228" s="53"/>
    </row>
    <row r="229" spans="1:19" hidden="1" x14ac:dyDescent="0.25">
      <c r="A229" s="276">
        <v>5250</v>
      </c>
      <c r="B229" s="127" t="s">
        <v>245</v>
      </c>
      <c r="C229" s="279">
        <f t="shared" si="25"/>
        <v>0</v>
      </c>
      <c r="D229" s="134">
        <v>0</v>
      </c>
      <c r="E229" s="283"/>
      <c r="F229" s="286">
        <f t="shared" si="29"/>
        <v>0</v>
      </c>
      <c r="G229" s="134"/>
      <c r="H229" s="135"/>
      <c r="I229" s="136">
        <f t="shared" si="30"/>
        <v>0</v>
      </c>
      <c r="J229" s="134">
        <v>0</v>
      </c>
      <c r="K229" s="135"/>
      <c r="L229" s="136">
        <f t="shared" si="31"/>
        <v>0</v>
      </c>
      <c r="M229" s="284"/>
      <c r="N229" s="285"/>
      <c r="O229" s="136">
        <f t="shared" si="32"/>
        <v>0</v>
      </c>
      <c r="P229" s="85"/>
      <c r="R229" s="53"/>
      <c r="S229" s="53"/>
    </row>
    <row r="230" spans="1:19" hidden="1" x14ac:dyDescent="0.25">
      <c r="A230" s="276">
        <v>5260</v>
      </c>
      <c r="B230" s="127" t="s">
        <v>246</v>
      </c>
      <c r="C230" s="279">
        <f t="shared" si="25"/>
        <v>0</v>
      </c>
      <c r="D230" s="277">
        <f>SUM(D231)</f>
        <v>0</v>
      </c>
      <c r="E230" s="278">
        <f>SUM(E231)</f>
        <v>0</v>
      </c>
      <c r="F230" s="286">
        <f t="shared" si="29"/>
        <v>0</v>
      </c>
      <c r="G230" s="277">
        <f>SUM(G231)</f>
        <v>0</v>
      </c>
      <c r="H230" s="280">
        <f>SUM(H231)</f>
        <v>0</v>
      </c>
      <c r="I230" s="136">
        <f t="shared" si="30"/>
        <v>0</v>
      </c>
      <c r="J230" s="277">
        <f>SUM(J231)</f>
        <v>0</v>
      </c>
      <c r="K230" s="280">
        <f>SUM(K231)</f>
        <v>0</v>
      </c>
      <c r="L230" s="136">
        <f t="shared" si="31"/>
        <v>0</v>
      </c>
      <c r="M230" s="281">
        <f>SUM(M231)</f>
        <v>0</v>
      </c>
      <c r="N230" s="282">
        <f>SUM(N231)</f>
        <v>0</v>
      </c>
      <c r="O230" s="136">
        <f t="shared" si="32"/>
        <v>0</v>
      </c>
      <c r="P230" s="85"/>
      <c r="R230" s="53"/>
      <c r="S230" s="53"/>
    </row>
    <row r="231" spans="1:19" ht="24" hidden="1" x14ac:dyDescent="0.25">
      <c r="A231" s="76">
        <v>5269</v>
      </c>
      <c r="B231" s="127" t="s">
        <v>247</v>
      </c>
      <c r="C231" s="279">
        <f t="shared" si="25"/>
        <v>0</v>
      </c>
      <c r="D231" s="134">
        <v>0</v>
      </c>
      <c r="E231" s="283"/>
      <c r="F231" s="286">
        <f t="shared" si="29"/>
        <v>0</v>
      </c>
      <c r="G231" s="134"/>
      <c r="H231" s="135"/>
      <c r="I231" s="136">
        <f t="shared" si="30"/>
        <v>0</v>
      </c>
      <c r="J231" s="134">
        <v>0</v>
      </c>
      <c r="K231" s="135"/>
      <c r="L231" s="136">
        <f t="shared" si="31"/>
        <v>0</v>
      </c>
      <c r="M231" s="284"/>
      <c r="N231" s="285"/>
      <c r="O231" s="136">
        <f t="shared" si="32"/>
        <v>0</v>
      </c>
      <c r="P231" s="85"/>
      <c r="R231" s="53"/>
      <c r="S231" s="53"/>
    </row>
    <row r="232" spans="1:19" ht="24" hidden="1" x14ac:dyDescent="0.25">
      <c r="A232" s="254">
        <v>5270</v>
      </c>
      <c r="B232" s="179" t="s">
        <v>248</v>
      </c>
      <c r="C232" s="302">
        <f t="shared" si="25"/>
        <v>0</v>
      </c>
      <c r="D232" s="287">
        <v>0</v>
      </c>
      <c r="E232" s="288"/>
      <c r="F232" s="310">
        <f t="shared" si="29"/>
        <v>0</v>
      </c>
      <c r="G232" s="287"/>
      <c r="H232" s="289"/>
      <c r="I232" s="259">
        <f t="shared" si="30"/>
        <v>0</v>
      </c>
      <c r="J232" s="287">
        <v>0</v>
      </c>
      <c r="K232" s="289"/>
      <c r="L232" s="259">
        <f t="shared" si="31"/>
        <v>0</v>
      </c>
      <c r="M232" s="290"/>
      <c r="N232" s="291"/>
      <c r="O232" s="259">
        <f t="shared" si="32"/>
        <v>0</v>
      </c>
      <c r="P232" s="189"/>
      <c r="R232" s="53"/>
      <c r="S232" s="53"/>
    </row>
    <row r="233" spans="1:19" hidden="1" x14ac:dyDescent="0.25">
      <c r="A233" s="237">
        <v>6000</v>
      </c>
      <c r="B233" s="237" t="s">
        <v>249</v>
      </c>
      <c r="C233" s="238">
        <f t="shared" si="25"/>
        <v>0</v>
      </c>
      <c r="D233" s="239">
        <f>D234+D254+D261</f>
        <v>0</v>
      </c>
      <c r="E233" s="240">
        <f>E234+E254+E261</f>
        <v>0</v>
      </c>
      <c r="F233" s="320">
        <f t="shared" si="29"/>
        <v>0</v>
      </c>
      <c r="G233" s="239">
        <f>G234+G254+G261</f>
        <v>0</v>
      </c>
      <c r="H233" s="242">
        <f>H234+H254+H261</f>
        <v>0</v>
      </c>
      <c r="I233" s="243">
        <f t="shared" si="30"/>
        <v>0</v>
      </c>
      <c r="J233" s="239">
        <f>J234+J254+J261</f>
        <v>0</v>
      </c>
      <c r="K233" s="242">
        <f>K234+K254+K261</f>
        <v>0</v>
      </c>
      <c r="L233" s="243">
        <f t="shared" si="31"/>
        <v>0</v>
      </c>
      <c r="M233" s="244">
        <f>M234+M254+M261</f>
        <v>0</v>
      </c>
      <c r="N233" s="245">
        <f>N234+N254+N261</f>
        <v>0</v>
      </c>
      <c r="O233" s="243">
        <f t="shared" si="32"/>
        <v>0</v>
      </c>
      <c r="P233" s="246"/>
      <c r="R233" s="53"/>
      <c r="S233" s="53"/>
    </row>
    <row r="234" spans="1:19" hidden="1" x14ac:dyDescent="0.25">
      <c r="A234" s="160">
        <v>6200</v>
      </c>
      <c r="B234" s="321" t="s">
        <v>250</v>
      </c>
      <c r="C234" s="333">
        <f>F234+I234+L234+O234</f>
        <v>0</v>
      </c>
      <c r="D234" s="334">
        <f>SUM(D235,D236,D238,D241,D247,D248,D249)</f>
        <v>0</v>
      </c>
      <c r="E234" s="684">
        <f>SUM(E235,E236,E238,E241,E247,E248,E249)</f>
        <v>0</v>
      </c>
      <c r="F234" s="335">
        <f>D234+E234</f>
        <v>0</v>
      </c>
      <c r="G234" s="334">
        <f>SUM(G235,G236,G238,G241,G247,G248,G249)</f>
        <v>0</v>
      </c>
      <c r="H234" s="336">
        <f>SUM(H235,H236,H238,H241,H247,H248,H249)</f>
        <v>0</v>
      </c>
      <c r="I234" s="252">
        <f t="shared" si="30"/>
        <v>0</v>
      </c>
      <c r="J234" s="334">
        <f>SUM(J235,J236,J238,J241,J247,J248,J249)</f>
        <v>0</v>
      </c>
      <c r="K234" s="336">
        <f>SUM(K235,K236,K238,K241,K247,K248,K249)</f>
        <v>0</v>
      </c>
      <c r="L234" s="252">
        <f t="shared" si="31"/>
        <v>0</v>
      </c>
      <c r="M234" s="250">
        <f>SUM(M235,M236,M238,M241,M247,M248,M249)</f>
        <v>0</v>
      </c>
      <c r="N234" s="251">
        <f>SUM(N235,N236,N238,N241,N247,N248,N249)</f>
        <v>0</v>
      </c>
      <c r="O234" s="252">
        <f t="shared" si="32"/>
        <v>0</v>
      </c>
      <c r="P234" s="253"/>
      <c r="R234" s="53"/>
      <c r="S234" s="53"/>
    </row>
    <row r="235" spans="1:19" ht="24" hidden="1" x14ac:dyDescent="0.25">
      <c r="A235" s="656">
        <v>6220</v>
      </c>
      <c r="B235" s="116" t="s">
        <v>251</v>
      </c>
      <c r="C235" s="298">
        <f t="shared" si="25"/>
        <v>0</v>
      </c>
      <c r="D235" s="123">
        <v>0</v>
      </c>
      <c r="E235" s="295"/>
      <c r="F235" s="263">
        <f t="shared" si="29"/>
        <v>0</v>
      </c>
      <c r="G235" s="123"/>
      <c r="H235" s="124"/>
      <c r="I235" s="125">
        <f t="shared" si="30"/>
        <v>0</v>
      </c>
      <c r="J235" s="123">
        <v>0</v>
      </c>
      <c r="K235" s="124"/>
      <c r="L235" s="125">
        <f t="shared" si="31"/>
        <v>0</v>
      </c>
      <c r="M235" s="264"/>
      <c r="N235" s="262"/>
      <c r="O235" s="125">
        <f t="shared" si="32"/>
        <v>0</v>
      </c>
      <c r="P235" s="74"/>
      <c r="R235" s="53"/>
      <c r="S235" s="53"/>
    </row>
    <row r="236" spans="1:19" hidden="1" x14ac:dyDescent="0.25">
      <c r="A236" s="276">
        <v>6230</v>
      </c>
      <c r="B236" s="127" t="s">
        <v>252</v>
      </c>
      <c r="C236" s="278">
        <f t="shared" si="25"/>
        <v>0</v>
      </c>
      <c r="D236" s="277">
        <f>SUM(D237)</f>
        <v>0</v>
      </c>
      <c r="E236" s="281">
        <f>SUM(E237)</f>
        <v>0</v>
      </c>
      <c r="F236" s="286">
        <f t="shared" si="29"/>
        <v>0</v>
      </c>
      <c r="G236" s="277">
        <f>SUM(G237)</f>
        <v>0</v>
      </c>
      <c r="H236" s="280">
        <f>SUM(H237)</f>
        <v>0</v>
      </c>
      <c r="I236" s="136">
        <f t="shared" si="30"/>
        <v>0</v>
      </c>
      <c r="J236" s="277">
        <f>SUM(J237)</f>
        <v>0</v>
      </c>
      <c r="K236" s="280">
        <f>SUM(K237)</f>
        <v>0</v>
      </c>
      <c r="L236" s="136">
        <f t="shared" si="31"/>
        <v>0</v>
      </c>
      <c r="M236" s="277">
        <f>SUM(M237)</f>
        <v>0</v>
      </c>
      <c r="N236" s="280">
        <f>SUM(N237)</f>
        <v>0</v>
      </c>
      <c r="O236" s="136">
        <f t="shared" si="32"/>
        <v>0</v>
      </c>
      <c r="P236" s="85"/>
      <c r="R236" s="53"/>
      <c r="S236" s="53"/>
    </row>
    <row r="237" spans="1:19" ht="24" hidden="1" x14ac:dyDescent="0.25">
      <c r="A237" s="76">
        <v>6239</v>
      </c>
      <c r="B237" s="116" t="s">
        <v>253</v>
      </c>
      <c r="C237" s="278">
        <f t="shared" si="25"/>
        <v>0</v>
      </c>
      <c r="D237" s="134">
        <v>0</v>
      </c>
      <c r="E237" s="283"/>
      <c r="F237" s="286">
        <f t="shared" si="29"/>
        <v>0</v>
      </c>
      <c r="G237" s="134"/>
      <c r="H237" s="135"/>
      <c r="I237" s="136">
        <f t="shared" si="30"/>
        <v>0</v>
      </c>
      <c r="J237" s="134">
        <v>0</v>
      </c>
      <c r="K237" s="135"/>
      <c r="L237" s="136">
        <f t="shared" si="31"/>
        <v>0</v>
      </c>
      <c r="M237" s="284"/>
      <c r="N237" s="285"/>
      <c r="O237" s="136">
        <f t="shared" si="32"/>
        <v>0</v>
      </c>
      <c r="P237" s="85"/>
      <c r="R237" s="53"/>
      <c r="S237" s="53"/>
    </row>
    <row r="238" spans="1:19" ht="24" hidden="1" x14ac:dyDescent="0.25">
      <c r="A238" s="276">
        <v>6240</v>
      </c>
      <c r="B238" s="127" t="s">
        <v>254</v>
      </c>
      <c r="C238" s="278">
        <f t="shared" si="25"/>
        <v>0</v>
      </c>
      <c r="D238" s="277">
        <f>SUM(D239:D240)</f>
        <v>0</v>
      </c>
      <c r="E238" s="278">
        <f>SUM(E239:E240)</f>
        <v>0</v>
      </c>
      <c r="F238" s="286">
        <f t="shared" si="29"/>
        <v>0</v>
      </c>
      <c r="G238" s="277">
        <f>SUM(G239:G240)</f>
        <v>0</v>
      </c>
      <c r="H238" s="280">
        <f>SUM(H239:H240)</f>
        <v>0</v>
      </c>
      <c r="I238" s="136">
        <f t="shared" si="30"/>
        <v>0</v>
      </c>
      <c r="J238" s="277">
        <f>SUM(J239:J240)</f>
        <v>0</v>
      </c>
      <c r="K238" s="280">
        <f>SUM(K239:K240)</f>
        <v>0</v>
      </c>
      <c r="L238" s="136">
        <f t="shared" si="31"/>
        <v>0</v>
      </c>
      <c r="M238" s="281">
        <f>SUM(M239:M240)</f>
        <v>0</v>
      </c>
      <c r="N238" s="282">
        <f>SUM(N239:N240)</f>
        <v>0</v>
      </c>
      <c r="O238" s="136">
        <f t="shared" si="32"/>
        <v>0</v>
      </c>
      <c r="P238" s="85"/>
      <c r="R238" s="53"/>
      <c r="S238" s="53"/>
    </row>
    <row r="239" spans="1:19" hidden="1" x14ac:dyDescent="0.25">
      <c r="A239" s="76">
        <v>6241</v>
      </c>
      <c r="B239" s="127" t="s">
        <v>255</v>
      </c>
      <c r="C239" s="278">
        <f t="shared" si="25"/>
        <v>0</v>
      </c>
      <c r="D239" s="134">
        <v>0</v>
      </c>
      <c r="E239" s="283"/>
      <c r="F239" s="286">
        <f t="shared" si="29"/>
        <v>0</v>
      </c>
      <c r="G239" s="134"/>
      <c r="H239" s="135"/>
      <c r="I239" s="136">
        <f t="shared" si="30"/>
        <v>0</v>
      </c>
      <c r="J239" s="134">
        <v>0</v>
      </c>
      <c r="K239" s="135"/>
      <c r="L239" s="136">
        <f t="shared" si="31"/>
        <v>0</v>
      </c>
      <c r="M239" s="284"/>
      <c r="N239" s="285"/>
      <c r="O239" s="136">
        <f t="shared" si="32"/>
        <v>0</v>
      </c>
      <c r="P239" s="85"/>
      <c r="R239" s="53"/>
      <c r="S239" s="53"/>
    </row>
    <row r="240" spans="1:19" hidden="1" x14ac:dyDescent="0.25">
      <c r="A240" s="76">
        <v>6242</v>
      </c>
      <c r="B240" s="127" t="s">
        <v>256</v>
      </c>
      <c r="C240" s="278">
        <f t="shared" si="25"/>
        <v>0</v>
      </c>
      <c r="D240" s="134">
        <v>0</v>
      </c>
      <c r="E240" s="283"/>
      <c r="F240" s="286">
        <f t="shared" si="29"/>
        <v>0</v>
      </c>
      <c r="G240" s="134"/>
      <c r="H240" s="135"/>
      <c r="I240" s="136">
        <f t="shared" si="30"/>
        <v>0</v>
      </c>
      <c r="J240" s="134">
        <v>0</v>
      </c>
      <c r="K240" s="135"/>
      <c r="L240" s="136">
        <f t="shared" si="31"/>
        <v>0</v>
      </c>
      <c r="M240" s="284"/>
      <c r="N240" s="285"/>
      <c r="O240" s="136">
        <f t="shared" si="32"/>
        <v>0</v>
      </c>
      <c r="P240" s="85"/>
      <c r="R240" s="53"/>
      <c r="S240" s="53"/>
    </row>
    <row r="241" spans="1:19" ht="24" hidden="1" x14ac:dyDescent="0.25">
      <c r="A241" s="276">
        <v>6250</v>
      </c>
      <c r="B241" s="127" t="s">
        <v>257</v>
      </c>
      <c r="C241" s="278">
        <f t="shared" si="25"/>
        <v>0</v>
      </c>
      <c r="D241" s="277">
        <f>SUM(D242:D246)</f>
        <v>0</v>
      </c>
      <c r="E241" s="278">
        <f>SUM(E242:E246)</f>
        <v>0</v>
      </c>
      <c r="F241" s="286">
        <f t="shared" si="29"/>
        <v>0</v>
      </c>
      <c r="G241" s="277">
        <f>SUM(G242:G246)</f>
        <v>0</v>
      </c>
      <c r="H241" s="280">
        <f>SUM(H242:H246)</f>
        <v>0</v>
      </c>
      <c r="I241" s="136">
        <f t="shared" si="30"/>
        <v>0</v>
      </c>
      <c r="J241" s="277">
        <f>SUM(J242:J246)</f>
        <v>0</v>
      </c>
      <c r="K241" s="280">
        <f>SUM(K242:K246)</f>
        <v>0</v>
      </c>
      <c r="L241" s="136">
        <f t="shared" si="31"/>
        <v>0</v>
      </c>
      <c r="M241" s="281">
        <f>SUM(M242:M246)</f>
        <v>0</v>
      </c>
      <c r="N241" s="282">
        <f>SUM(N242:N246)</f>
        <v>0</v>
      </c>
      <c r="O241" s="136">
        <f t="shared" si="32"/>
        <v>0</v>
      </c>
      <c r="P241" s="85"/>
      <c r="R241" s="53"/>
      <c r="S241" s="53"/>
    </row>
    <row r="242" spans="1:19" hidden="1" x14ac:dyDescent="0.25">
      <c r="A242" s="76">
        <v>6252</v>
      </c>
      <c r="B242" s="127" t="s">
        <v>258</v>
      </c>
      <c r="C242" s="278">
        <f t="shared" si="25"/>
        <v>0</v>
      </c>
      <c r="D242" s="134">
        <v>0</v>
      </c>
      <c r="E242" s="283"/>
      <c r="F242" s="286">
        <f t="shared" si="29"/>
        <v>0</v>
      </c>
      <c r="G242" s="134"/>
      <c r="H242" s="135"/>
      <c r="I242" s="136">
        <f t="shared" si="30"/>
        <v>0</v>
      </c>
      <c r="J242" s="134">
        <v>0</v>
      </c>
      <c r="K242" s="135"/>
      <c r="L242" s="136">
        <f t="shared" si="31"/>
        <v>0</v>
      </c>
      <c r="M242" s="284"/>
      <c r="N242" s="285"/>
      <c r="O242" s="136">
        <f t="shared" si="32"/>
        <v>0</v>
      </c>
      <c r="P242" s="85"/>
      <c r="R242" s="53"/>
      <c r="S242" s="53"/>
    </row>
    <row r="243" spans="1:19" hidden="1" x14ac:dyDescent="0.25">
      <c r="A243" s="76">
        <v>6253</v>
      </c>
      <c r="B243" s="127" t="s">
        <v>259</v>
      </c>
      <c r="C243" s="278">
        <f t="shared" si="25"/>
        <v>0</v>
      </c>
      <c r="D243" s="134">
        <v>0</v>
      </c>
      <c r="E243" s="283"/>
      <c r="F243" s="286">
        <f t="shared" si="29"/>
        <v>0</v>
      </c>
      <c r="G243" s="134"/>
      <c r="H243" s="135"/>
      <c r="I243" s="136">
        <f t="shared" si="30"/>
        <v>0</v>
      </c>
      <c r="J243" s="134">
        <v>0</v>
      </c>
      <c r="K243" s="135"/>
      <c r="L243" s="136">
        <f t="shared" si="31"/>
        <v>0</v>
      </c>
      <c r="M243" s="284"/>
      <c r="N243" s="285"/>
      <c r="O243" s="136">
        <f t="shared" si="32"/>
        <v>0</v>
      </c>
      <c r="P243" s="85"/>
      <c r="R243" s="53"/>
      <c r="S243" s="53"/>
    </row>
    <row r="244" spans="1:19" ht="24" hidden="1" x14ac:dyDescent="0.25">
      <c r="A244" s="76">
        <v>6254</v>
      </c>
      <c r="B244" s="127" t="s">
        <v>260</v>
      </c>
      <c r="C244" s="278">
        <f t="shared" si="25"/>
        <v>0</v>
      </c>
      <c r="D244" s="134">
        <v>0</v>
      </c>
      <c r="E244" s="283"/>
      <c r="F244" s="286">
        <f t="shared" si="29"/>
        <v>0</v>
      </c>
      <c r="G244" s="134"/>
      <c r="H244" s="135"/>
      <c r="I244" s="136">
        <f t="shared" si="30"/>
        <v>0</v>
      </c>
      <c r="J244" s="134">
        <v>0</v>
      </c>
      <c r="K244" s="135"/>
      <c r="L244" s="136">
        <f t="shared" si="31"/>
        <v>0</v>
      </c>
      <c r="M244" s="284"/>
      <c r="N244" s="285"/>
      <c r="O244" s="136">
        <f t="shared" si="32"/>
        <v>0</v>
      </c>
      <c r="P244" s="85"/>
      <c r="R244" s="53"/>
      <c r="S244" s="53"/>
    </row>
    <row r="245" spans="1:19" ht="24" hidden="1" x14ac:dyDescent="0.25">
      <c r="A245" s="76">
        <v>6255</v>
      </c>
      <c r="B245" s="127" t="s">
        <v>261</v>
      </c>
      <c r="C245" s="278">
        <f t="shared" si="25"/>
        <v>0</v>
      </c>
      <c r="D245" s="134">
        <v>0</v>
      </c>
      <c r="E245" s="283"/>
      <c r="F245" s="286">
        <f t="shared" si="29"/>
        <v>0</v>
      </c>
      <c r="G245" s="134"/>
      <c r="H245" s="135"/>
      <c r="I245" s="136">
        <f t="shared" si="30"/>
        <v>0</v>
      </c>
      <c r="J245" s="134">
        <v>0</v>
      </c>
      <c r="K245" s="135"/>
      <c r="L245" s="136">
        <f t="shared" si="31"/>
        <v>0</v>
      </c>
      <c r="M245" s="284"/>
      <c r="N245" s="285"/>
      <c r="O245" s="136">
        <f t="shared" si="32"/>
        <v>0</v>
      </c>
      <c r="P245" s="85"/>
      <c r="R245" s="53"/>
      <c r="S245" s="53"/>
    </row>
    <row r="246" spans="1:19" hidden="1" x14ac:dyDescent="0.25">
      <c r="A246" s="76">
        <v>6259</v>
      </c>
      <c r="B246" s="127" t="s">
        <v>262</v>
      </c>
      <c r="C246" s="278">
        <f t="shared" si="25"/>
        <v>0</v>
      </c>
      <c r="D246" s="134">
        <v>0</v>
      </c>
      <c r="E246" s="283"/>
      <c r="F246" s="286">
        <f t="shared" si="29"/>
        <v>0</v>
      </c>
      <c r="G246" s="134"/>
      <c r="H246" s="135"/>
      <c r="I246" s="136">
        <f t="shared" si="30"/>
        <v>0</v>
      </c>
      <c r="J246" s="134">
        <v>0</v>
      </c>
      <c r="K246" s="135"/>
      <c r="L246" s="136">
        <f t="shared" si="31"/>
        <v>0</v>
      </c>
      <c r="M246" s="284"/>
      <c r="N246" s="285"/>
      <c r="O246" s="136">
        <f t="shared" si="32"/>
        <v>0</v>
      </c>
      <c r="P246" s="85"/>
      <c r="R246" s="53"/>
      <c r="S246" s="53"/>
    </row>
    <row r="247" spans="1:19" ht="24" hidden="1" x14ac:dyDescent="0.25">
      <c r="A247" s="276">
        <v>6260</v>
      </c>
      <c r="B247" s="127" t="s">
        <v>263</v>
      </c>
      <c r="C247" s="278">
        <f t="shared" si="25"/>
        <v>0</v>
      </c>
      <c r="D247" s="134">
        <v>0</v>
      </c>
      <c r="E247" s="283"/>
      <c r="F247" s="286">
        <f t="shared" ref="F247:F299" si="36">D247+E247</f>
        <v>0</v>
      </c>
      <c r="G247" s="134"/>
      <c r="H247" s="135"/>
      <c r="I247" s="136">
        <f t="shared" ref="I247:I299" si="37">G247+H247</f>
        <v>0</v>
      </c>
      <c r="J247" s="134">
        <v>0</v>
      </c>
      <c r="K247" s="135"/>
      <c r="L247" s="136">
        <f t="shared" ref="L247:L299" si="38">J247+K247</f>
        <v>0</v>
      </c>
      <c r="M247" s="284"/>
      <c r="N247" s="285"/>
      <c r="O247" s="136">
        <f t="shared" ref="O247:O276" si="39">M247+N247</f>
        <v>0</v>
      </c>
      <c r="P247" s="85"/>
      <c r="R247" s="53"/>
      <c r="S247" s="53"/>
    </row>
    <row r="248" spans="1:19" hidden="1" x14ac:dyDescent="0.25">
      <c r="A248" s="276">
        <v>6270</v>
      </c>
      <c r="B248" s="127" t="s">
        <v>264</v>
      </c>
      <c r="C248" s="278">
        <f t="shared" si="25"/>
        <v>0</v>
      </c>
      <c r="D248" s="134">
        <v>0</v>
      </c>
      <c r="E248" s="283"/>
      <c r="F248" s="286">
        <f t="shared" si="36"/>
        <v>0</v>
      </c>
      <c r="G248" s="134"/>
      <c r="H248" s="135"/>
      <c r="I248" s="136">
        <f t="shared" si="37"/>
        <v>0</v>
      </c>
      <c r="J248" s="134">
        <v>0</v>
      </c>
      <c r="K248" s="135"/>
      <c r="L248" s="136">
        <f t="shared" si="38"/>
        <v>0</v>
      </c>
      <c r="M248" s="284"/>
      <c r="N248" s="285"/>
      <c r="O248" s="136">
        <f t="shared" si="39"/>
        <v>0</v>
      </c>
      <c r="P248" s="85"/>
      <c r="R248" s="53"/>
      <c r="S248" s="53"/>
    </row>
    <row r="249" spans="1:19" ht="24" hidden="1" x14ac:dyDescent="0.25">
      <c r="A249" s="656">
        <v>6290</v>
      </c>
      <c r="B249" s="116" t="s">
        <v>265</v>
      </c>
      <c r="C249" s="278">
        <f t="shared" si="25"/>
        <v>0</v>
      </c>
      <c r="D249" s="297">
        <f>SUM(D250:D253)</f>
        <v>0</v>
      </c>
      <c r="E249" s="298">
        <f>SUM(E250:E253)</f>
        <v>0</v>
      </c>
      <c r="F249" s="263">
        <f t="shared" si="36"/>
        <v>0</v>
      </c>
      <c r="G249" s="297">
        <f>SUM(G250:G253)</f>
        <v>0</v>
      </c>
      <c r="H249" s="299">
        <f t="shared" ref="H249" si="40">SUM(H250:H253)</f>
        <v>0</v>
      </c>
      <c r="I249" s="125">
        <f t="shared" si="37"/>
        <v>0</v>
      </c>
      <c r="J249" s="297">
        <f>SUM(J250:J253)</f>
        <v>0</v>
      </c>
      <c r="K249" s="299">
        <f t="shared" ref="K249" si="41">SUM(K250:K253)</f>
        <v>0</v>
      </c>
      <c r="L249" s="125">
        <f t="shared" si="38"/>
        <v>0</v>
      </c>
      <c r="M249" s="322">
        <f t="shared" ref="M249:N249" si="42">SUM(M250:M253)</f>
        <v>0</v>
      </c>
      <c r="N249" s="323">
        <f t="shared" si="42"/>
        <v>0</v>
      </c>
      <c r="O249" s="324">
        <f t="shared" si="39"/>
        <v>0</v>
      </c>
      <c r="P249" s="325"/>
      <c r="R249" s="53"/>
      <c r="S249" s="53"/>
    </row>
    <row r="250" spans="1:19" hidden="1" x14ac:dyDescent="0.25">
      <c r="A250" s="76">
        <v>6291</v>
      </c>
      <c r="B250" s="127" t="s">
        <v>266</v>
      </c>
      <c r="C250" s="278">
        <f t="shared" si="25"/>
        <v>0</v>
      </c>
      <c r="D250" s="134">
        <v>0</v>
      </c>
      <c r="E250" s="283"/>
      <c r="F250" s="286">
        <f t="shared" si="36"/>
        <v>0</v>
      </c>
      <c r="G250" s="134"/>
      <c r="H250" s="135"/>
      <c r="I250" s="136">
        <f t="shared" si="37"/>
        <v>0</v>
      </c>
      <c r="J250" s="134">
        <v>0</v>
      </c>
      <c r="K250" s="135"/>
      <c r="L250" s="136">
        <f t="shared" si="38"/>
        <v>0</v>
      </c>
      <c r="M250" s="284"/>
      <c r="N250" s="285"/>
      <c r="O250" s="136">
        <f t="shared" si="39"/>
        <v>0</v>
      </c>
      <c r="P250" s="85"/>
      <c r="R250" s="53"/>
      <c r="S250" s="53"/>
    </row>
    <row r="251" spans="1:19" hidden="1" x14ac:dyDescent="0.25">
      <c r="A251" s="76">
        <v>6292</v>
      </c>
      <c r="B251" s="127" t="s">
        <v>267</v>
      </c>
      <c r="C251" s="278">
        <f t="shared" si="25"/>
        <v>0</v>
      </c>
      <c r="D251" s="134">
        <v>0</v>
      </c>
      <c r="E251" s="283"/>
      <c r="F251" s="286">
        <f t="shared" si="36"/>
        <v>0</v>
      </c>
      <c r="G251" s="134"/>
      <c r="H251" s="135"/>
      <c r="I251" s="136">
        <f t="shared" si="37"/>
        <v>0</v>
      </c>
      <c r="J251" s="134">
        <v>0</v>
      </c>
      <c r="K251" s="135"/>
      <c r="L251" s="136">
        <f t="shared" si="38"/>
        <v>0</v>
      </c>
      <c r="M251" s="284"/>
      <c r="N251" s="285"/>
      <c r="O251" s="136">
        <f t="shared" si="39"/>
        <v>0</v>
      </c>
      <c r="P251" s="85"/>
      <c r="R251" s="53"/>
      <c r="S251" s="53"/>
    </row>
    <row r="252" spans="1:19" ht="72" hidden="1" x14ac:dyDescent="0.25">
      <c r="A252" s="76">
        <v>6296</v>
      </c>
      <c r="B252" s="127" t="s">
        <v>268</v>
      </c>
      <c r="C252" s="278">
        <f t="shared" si="25"/>
        <v>0</v>
      </c>
      <c r="D252" s="134">
        <v>0</v>
      </c>
      <c r="E252" s="283"/>
      <c r="F252" s="286">
        <f t="shared" si="36"/>
        <v>0</v>
      </c>
      <c r="G252" s="134"/>
      <c r="H252" s="135"/>
      <c r="I252" s="136">
        <f t="shared" si="37"/>
        <v>0</v>
      </c>
      <c r="J252" s="134">
        <v>0</v>
      </c>
      <c r="K252" s="135"/>
      <c r="L252" s="136">
        <f t="shared" si="38"/>
        <v>0</v>
      </c>
      <c r="M252" s="284"/>
      <c r="N252" s="285"/>
      <c r="O252" s="136">
        <f t="shared" si="39"/>
        <v>0</v>
      </c>
      <c r="P252" s="85"/>
      <c r="R252" s="53"/>
      <c r="S252" s="53"/>
    </row>
    <row r="253" spans="1:19" ht="36" hidden="1" x14ac:dyDescent="0.25">
      <c r="A253" s="76">
        <v>6299</v>
      </c>
      <c r="B253" s="127" t="s">
        <v>269</v>
      </c>
      <c r="C253" s="278">
        <f t="shared" si="25"/>
        <v>0</v>
      </c>
      <c r="D253" s="134">
        <v>0</v>
      </c>
      <c r="E253" s="283"/>
      <c r="F253" s="286">
        <f t="shared" si="36"/>
        <v>0</v>
      </c>
      <c r="G253" s="134"/>
      <c r="H253" s="135"/>
      <c r="I253" s="136">
        <f t="shared" si="37"/>
        <v>0</v>
      </c>
      <c r="J253" s="134">
        <v>0</v>
      </c>
      <c r="K253" s="135"/>
      <c r="L253" s="136">
        <f t="shared" si="38"/>
        <v>0</v>
      </c>
      <c r="M253" s="284"/>
      <c r="N253" s="285"/>
      <c r="O253" s="136">
        <f t="shared" si="39"/>
        <v>0</v>
      </c>
      <c r="P253" s="85"/>
      <c r="R253" s="53"/>
      <c r="S253" s="53"/>
    </row>
    <row r="254" spans="1:19" hidden="1" x14ac:dyDescent="0.25">
      <c r="A254" s="99">
        <v>6300</v>
      </c>
      <c r="B254" s="247" t="s">
        <v>270</v>
      </c>
      <c r="C254" s="100">
        <f t="shared" si="25"/>
        <v>0</v>
      </c>
      <c r="D254" s="112">
        <f>SUM(D255,D259,D260)</f>
        <v>0</v>
      </c>
      <c r="E254" s="248">
        <f>SUM(E255,E259,E260)</f>
        <v>0</v>
      </c>
      <c r="F254" s="313">
        <f t="shared" si="36"/>
        <v>0</v>
      </c>
      <c r="G254" s="112">
        <f>SUM(G255,G259,G260)</f>
        <v>0</v>
      </c>
      <c r="H254" s="113">
        <f t="shared" ref="H254" si="43">SUM(H255,H259,H260)</f>
        <v>0</v>
      </c>
      <c r="I254" s="114">
        <f t="shared" si="37"/>
        <v>0</v>
      </c>
      <c r="J254" s="112">
        <f>SUM(J255,J259,J260)</f>
        <v>0</v>
      </c>
      <c r="K254" s="113">
        <f t="shared" ref="K254" si="44">SUM(K255,K259,K260)</f>
        <v>0</v>
      </c>
      <c r="L254" s="114">
        <f t="shared" si="38"/>
        <v>0</v>
      </c>
      <c r="M254" s="303">
        <f t="shared" ref="M254:N254" si="45">SUM(M255,M259,M260)</f>
        <v>0</v>
      </c>
      <c r="N254" s="304">
        <f t="shared" si="45"/>
        <v>0</v>
      </c>
      <c r="O254" s="305">
        <f t="shared" si="39"/>
        <v>0</v>
      </c>
      <c r="P254" s="306"/>
      <c r="R254" s="53"/>
      <c r="S254" s="53"/>
    </row>
    <row r="255" spans="1:19" ht="24" hidden="1" x14ac:dyDescent="0.25">
      <c r="A255" s="656">
        <v>6320</v>
      </c>
      <c r="B255" s="116" t="s">
        <v>271</v>
      </c>
      <c r="C255" s="322">
        <f t="shared" si="25"/>
        <v>0</v>
      </c>
      <c r="D255" s="297">
        <f>SUM(D256:D258)</f>
        <v>0</v>
      </c>
      <c r="E255" s="298">
        <f>SUM(E256:E258)</f>
        <v>0</v>
      </c>
      <c r="F255" s="263">
        <f t="shared" si="36"/>
        <v>0</v>
      </c>
      <c r="G255" s="297">
        <f>SUM(G256:G258)</f>
        <v>0</v>
      </c>
      <c r="H255" s="299">
        <f t="shared" ref="H255" si="46">SUM(H256:H258)</f>
        <v>0</v>
      </c>
      <c r="I255" s="125">
        <f t="shared" si="37"/>
        <v>0</v>
      </c>
      <c r="J255" s="297">
        <f>SUM(J256:J258)</f>
        <v>0</v>
      </c>
      <c r="K255" s="299">
        <f t="shared" ref="K255" si="47">SUM(K256:K258)</f>
        <v>0</v>
      </c>
      <c r="L255" s="125">
        <f t="shared" si="38"/>
        <v>0</v>
      </c>
      <c r="M255" s="300">
        <f t="shared" ref="M255:N255" si="48">SUM(M256:M258)</f>
        <v>0</v>
      </c>
      <c r="N255" s="301">
        <f t="shared" si="48"/>
        <v>0</v>
      </c>
      <c r="O255" s="125">
        <f t="shared" si="39"/>
        <v>0</v>
      </c>
      <c r="P255" s="74"/>
      <c r="R255" s="53"/>
      <c r="S255" s="53"/>
    </row>
    <row r="256" spans="1:19" hidden="1" x14ac:dyDescent="0.25">
      <c r="A256" s="76">
        <v>6322</v>
      </c>
      <c r="B256" s="127" t="s">
        <v>272</v>
      </c>
      <c r="C256" s="281">
        <f t="shared" si="25"/>
        <v>0</v>
      </c>
      <c r="D256" s="134">
        <v>0</v>
      </c>
      <c r="E256" s="283"/>
      <c r="F256" s="286">
        <f t="shared" si="36"/>
        <v>0</v>
      </c>
      <c r="G256" s="134"/>
      <c r="H256" s="135"/>
      <c r="I256" s="136">
        <f t="shared" si="37"/>
        <v>0</v>
      </c>
      <c r="J256" s="134">
        <v>0</v>
      </c>
      <c r="K256" s="135"/>
      <c r="L256" s="136">
        <f t="shared" si="38"/>
        <v>0</v>
      </c>
      <c r="M256" s="284"/>
      <c r="N256" s="285"/>
      <c r="O256" s="136">
        <f t="shared" si="39"/>
        <v>0</v>
      </c>
      <c r="P256" s="85"/>
      <c r="R256" s="53"/>
      <c r="S256" s="53"/>
    </row>
    <row r="257" spans="1:19" ht="24" hidden="1" x14ac:dyDescent="0.25">
      <c r="A257" s="76">
        <v>6323</v>
      </c>
      <c r="B257" s="127" t="s">
        <v>273</v>
      </c>
      <c r="C257" s="281">
        <f t="shared" si="25"/>
        <v>0</v>
      </c>
      <c r="D257" s="134">
        <v>0</v>
      </c>
      <c r="E257" s="283"/>
      <c r="F257" s="286">
        <f t="shared" si="36"/>
        <v>0</v>
      </c>
      <c r="G257" s="134"/>
      <c r="H257" s="135"/>
      <c r="I257" s="136">
        <f t="shared" si="37"/>
        <v>0</v>
      </c>
      <c r="J257" s="134">
        <v>0</v>
      </c>
      <c r="K257" s="135"/>
      <c r="L257" s="136">
        <f t="shared" si="38"/>
        <v>0</v>
      </c>
      <c r="M257" s="284"/>
      <c r="N257" s="285"/>
      <c r="O257" s="136">
        <f t="shared" si="39"/>
        <v>0</v>
      </c>
      <c r="P257" s="85"/>
      <c r="R257" s="53"/>
      <c r="S257" s="53"/>
    </row>
    <row r="258" spans="1:19" ht="24" hidden="1" x14ac:dyDescent="0.25">
      <c r="A258" s="66">
        <v>6324</v>
      </c>
      <c r="B258" s="116" t="s">
        <v>274</v>
      </c>
      <c r="C258" s="281">
        <f t="shared" si="25"/>
        <v>0</v>
      </c>
      <c r="D258" s="123">
        <v>0</v>
      </c>
      <c r="E258" s="295"/>
      <c r="F258" s="263">
        <f t="shared" si="36"/>
        <v>0</v>
      </c>
      <c r="G258" s="123"/>
      <c r="H258" s="124"/>
      <c r="I258" s="125">
        <f t="shared" si="37"/>
        <v>0</v>
      </c>
      <c r="J258" s="123">
        <v>0</v>
      </c>
      <c r="K258" s="124"/>
      <c r="L258" s="125">
        <f t="shared" si="38"/>
        <v>0</v>
      </c>
      <c r="M258" s="264"/>
      <c r="N258" s="262"/>
      <c r="O258" s="125">
        <f t="shared" si="39"/>
        <v>0</v>
      </c>
      <c r="P258" s="74"/>
      <c r="R258" s="53"/>
      <c r="S258" s="53"/>
    </row>
    <row r="259" spans="1:19" ht="24" hidden="1" x14ac:dyDescent="0.25">
      <c r="A259" s="344">
        <v>6330</v>
      </c>
      <c r="B259" s="345" t="s">
        <v>275</v>
      </c>
      <c r="C259" s="281">
        <f t="shared" ref="C259:C286" si="49">F259+I259+L259+O259</f>
        <v>0</v>
      </c>
      <c r="D259" s="328">
        <v>0</v>
      </c>
      <c r="E259" s="683"/>
      <c r="F259" s="330">
        <f t="shared" si="36"/>
        <v>0</v>
      </c>
      <c r="G259" s="328"/>
      <c r="H259" s="331"/>
      <c r="I259" s="324">
        <f t="shared" si="37"/>
        <v>0</v>
      </c>
      <c r="J259" s="328">
        <v>0</v>
      </c>
      <c r="K259" s="331"/>
      <c r="L259" s="324">
        <f t="shared" si="38"/>
        <v>0</v>
      </c>
      <c r="M259" s="332"/>
      <c r="N259" s="329"/>
      <c r="O259" s="324">
        <f t="shared" si="39"/>
        <v>0</v>
      </c>
      <c r="P259" s="325"/>
      <c r="R259" s="53"/>
      <c r="S259" s="53"/>
    </row>
    <row r="260" spans="1:19" hidden="1" x14ac:dyDescent="0.25">
      <c r="A260" s="276">
        <v>6360</v>
      </c>
      <c r="B260" s="127" t="s">
        <v>276</v>
      </c>
      <c r="C260" s="281">
        <f t="shared" si="49"/>
        <v>0</v>
      </c>
      <c r="D260" s="134">
        <v>0</v>
      </c>
      <c r="E260" s="283"/>
      <c r="F260" s="286">
        <f t="shared" si="36"/>
        <v>0</v>
      </c>
      <c r="G260" s="134"/>
      <c r="H260" s="135"/>
      <c r="I260" s="136">
        <f t="shared" si="37"/>
        <v>0</v>
      </c>
      <c r="J260" s="134">
        <v>0</v>
      </c>
      <c r="K260" s="135"/>
      <c r="L260" s="136">
        <f t="shared" si="38"/>
        <v>0</v>
      </c>
      <c r="M260" s="284"/>
      <c r="N260" s="285"/>
      <c r="O260" s="136">
        <f t="shared" si="39"/>
        <v>0</v>
      </c>
      <c r="P260" s="85"/>
      <c r="R260" s="53"/>
      <c r="S260" s="53"/>
    </row>
    <row r="261" spans="1:19" ht="36" hidden="1" x14ac:dyDescent="0.25">
      <c r="A261" s="99">
        <v>6400</v>
      </c>
      <c r="B261" s="247" t="s">
        <v>277</v>
      </c>
      <c r="C261" s="100">
        <f t="shared" si="49"/>
        <v>0</v>
      </c>
      <c r="D261" s="112">
        <f>SUM(D262,D266)</f>
        <v>0</v>
      </c>
      <c r="E261" s="248">
        <f>SUM(E262,E266)</f>
        <v>0</v>
      </c>
      <c r="F261" s="313">
        <f t="shared" si="36"/>
        <v>0</v>
      </c>
      <c r="G261" s="112">
        <f>SUM(G262,G266)</f>
        <v>0</v>
      </c>
      <c r="H261" s="113">
        <f t="shared" ref="H261" si="50">SUM(H262,H266)</f>
        <v>0</v>
      </c>
      <c r="I261" s="114">
        <f t="shared" si="37"/>
        <v>0</v>
      </c>
      <c r="J261" s="112">
        <f>SUM(J262,J266)</f>
        <v>0</v>
      </c>
      <c r="K261" s="113">
        <f t="shared" ref="K261" si="51">SUM(K262,K266)</f>
        <v>0</v>
      </c>
      <c r="L261" s="114">
        <f t="shared" si="38"/>
        <v>0</v>
      </c>
      <c r="M261" s="303">
        <f t="shared" ref="M261:N261" si="52">SUM(M262,M266)</f>
        <v>0</v>
      </c>
      <c r="N261" s="304">
        <f t="shared" si="52"/>
        <v>0</v>
      </c>
      <c r="O261" s="305">
        <f t="shared" si="39"/>
        <v>0</v>
      </c>
      <c r="P261" s="306"/>
      <c r="R261" s="53"/>
      <c r="S261" s="53"/>
    </row>
    <row r="262" spans="1:19" ht="24" hidden="1" x14ac:dyDescent="0.25">
      <c r="A262" s="656">
        <v>6410</v>
      </c>
      <c r="B262" s="116" t="s">
        <v>278</v>
      </c>
      <c r="C262" s="300">
        <f t="shared" si="49"/>
        <v>0</v>
      </c>
      <c r="D262" s="297">
        <f>SUM(D263:D265)</f>
        <v>0</v>
      </c>
      <c r="E262" s="298">
        <f>SUM(E263:E265)</f>
        <v>0</v>
      </c>
      <c r="F262" s="263">
        <f t="shared" si="36"/>
        <v>0</v>
      </c>
      <c r="G262" s="297">
        <f>SUM(G263:G265)</f>
        <v>0</v>
      </c>
      <c r="H262" s="299">
        <f t="shared" ref="H262" si="53">SUM(H263:H265)</f>
        <v>0</v>
      </c>
      <c r="I262" s="125">
        <f t="shared" si="37"/>
        <v>0</v>
      </c>
      <c r="J262" s="297">
        <f>SUM(J263:J265)</f>
        <v>0</v>
      </c>
      <c r="K262" s="299">
        <f t="shared" ref="K262" si="54">SUM(K263:K265)</f>
        <v>0</v>
      </c>
      <c r="L262" s="125">
        <f t="shared" si="38"/>
        <v>0</v>
      </c>
      <c r="M262" s="317">
        <f t="shared" ref="M262:N262" si="55">SUM(M263:M265)</f>
        <v>0</v>
      </c>
      <c r="N262" s="318">
        <f t="shared" si="55"/>
        <v>0</v>
      </c>
      <c r="O262" s="151">
        <f t="shared" si="39"/>
        <v>0</v>
      </c>
      <c r="P262" s="153"/>
      <c r="R262" s="53"/>
      <c r="S262" s="53"/>
    </row>
    <row r="263" spans="1:19" hidden="1" x14ac:dyDescent="0.25">
      <c r="A263" s="76">
        <v>6411</v>
      </c>
      <c r="B263" s="346" t="s">
        <v>279</v>
      </c>
      <c r="C263" s="278">
        <f t="shared" si="49"/>
        <v>0</v>
      </c>
      <c r="D263" s="134">
        <v>0</v>
      </c>
      <c r="E263" s="283"/>
      <c r="F263" s="286">
        <f t="shared" si="36"/>
        <v>0</v>
      </c>
      <c r="G263" s="134"/>
      <c r="H263" s="135"/>
      <c r="I263" s="136">
        <f t="shared" si="37"/>
        <v>0</v>
      </c>
      <c r="J263" s="134">
        <v>0</v>
      </c>
      <c r="K263" s="135"/>
      <c r="L263" s="136">
        <f t="shared" si="38"/>
        <v>0</v>
      </c>
      <c r="M263" s="284"/>
      <c r="N263" s="285"/>
      <c r="O263" s="136">
        <f t="shared" si="39"/>
        <v>0</v>
      </c>
      <c r="P263" s="85"/>
      <c r="R263" s="53"/>
      <c r="S263" s="53"/>
    </row>
    <row r="264" spans="1:19" ht="36" hidden="1" x14ac:dyDescent="0.25">
      <c r="A264" s="76">
        <v>6412</v>
      </c>
      <c r="B264" s="127" t="s">
        <v>280</v>
      </c>
      <c r="C264" s="278">
        <f t="shared" si="49"/>
        <v>0</v>
      </c>
      <c r="D264" s="134">
        <v>0</v>
      </c>
      <c r="E264" s="283"/>
      <c r="F264" s="286">
        <f t="shared" si="36"/>
        <v>0</v>
      </c>
      <c r="G264" s="134"/>
      <c r="H264" s="135"/>
      <c r="I264" s="136">
        <f t="shared" si="37"/>
        <v>0</v>
      </c>
      <c r="J264" s="134">
        <v>0</v>
      </c>
      <c r="K264" s="135"/>
      <c r="L264" s="136">
        <f t="shared" si="38"/>
        <v>0</v>
      </c>
      <c r="M264" s="284"/>
      <c r="N264" s="285"/>
      <c r="O264" s="136">
        <f t="shared" si="39"/>
        <v>0</v>
      </c>
      <c r="P264" s="85"/>
      <c r="R264" s="53"/>
      <c r="S264" s="53"/>
    </row>
    <row r="265" spans="1:19" ht="36" hidden="1" x14ac:dyDescent="0.25">
      <c r="A265" s="76">
        <v>6419</v>
      </c>
      <c r="B265" s="127" t="s">
        <v>281</v>
      </c>
      <c r="C265" s="278">
        <f t="shared" si="49"/>
        <v>0</v>
      </c>
      <c r="D265" s="134">
        <v>0</v>
      </c>
      <c r="E265" s="283"/>
      <c r="F265" s="286">
        <f t="shared" si="36"/>
        <v>0</v>
      </c>
      <c r="G265" s="134"/>
      <c r="H265" s="135"/>
      <c r="I265" s="136">
        <f t="shared" si="37"/>
        <v>0</v>
      </c>
      <c r="J265" s="134">
        <v>0</v>
      </c>
      <c r="K265" s="135"/>
      <c r="L265" s="136">
        <f t="shared" si="38"/>
        <v>0</v>
      </c>
      <c r="M265" s="284"/>
      <c r="N265" s="285"/>
      <c r="O265" s="136">
        <f t="shared" si="39"/>
        <v>0</v>
      </c>
      <c r="P265" s="85"/>
      <c r="R265" s="53"/>
      <c r="S265" s="53"/>
    </row>
    <row r="266" spans="1:19" ht="36" hidden="1" x14ac:dyDescent="0.25">
      <c r="A266" s="276">
        <v>6420</v>
      </c>
      <c r="B266" s="127" t="s">
        <v>282</v>
      </c>
      <c r="C266" s="278">
        <f t="shared" si="49"/>
        <v>0</v>
      </c>
      <c r="D266" s="277">
        <f>SUM(D267:D270)</f>
        <v>0</v>
      </c>
      <c r="E266" s="278">
        <f>SUM(E267:E270)</f>
        <v>0</v>
      </c>
      <c r="F266" s="286">
        <f t="shared" si="36"/>
        <v>0</v>
      </c>
      <c r="G266" s="277">
        <f>SUM(G267:G270)</f>
        <v>0</v>
      </c>
      <c r="H266" s="280">
        <f>SUM(H267:H270)</f>
        <v>0</v>
      </c>
      <c r="I266" s="136">
        <f t="shared" si="37"/>
        <v>0</v>
      </c>
      <c r="J266" s="277">
        <f>SUM(J267:J270)</f>
        <v>0</v>
      </c>
      <c r="K266" s="280">
        <f>SUM(K267:K270)</f>
        <v>0</v>
      </c>
      <c r="L266" s="136">
        <f t="shared" si="38"/>
        <v>0</v>
      </c>
      <c r="M266" s="281">
        <f>SUM(M267:M270)</f>
        <v>0</v>
      </c>
      <c r="N266" s="282">
        <f>SUM(N267:N270)</f>
        <v>0</v>
      </c>
      <c r="O266" s="136">
        <f t="shared" si="39"/>
        <v>0</v>
      </c>
      <c r="P266" s="85"/>
      <c r="R266" s="53"/>
      <c r="S266" s="53"/>
    </row>
    <row r="267" spans="1:19" hidden="1" x14ac:dyDescent="0.25">
      <c r="A267" s="76">
        <v>6421</v>
      </c>
      <c r="B267" s="127" t="s">
        <v>283</v>
      </c>
      <c r="C267" s="278">
        <f t="shared" si="49"/>
        <v>0</v>
      </c>
      <c r="D267" s="134">
        <v>0</v>
      </c>
      <c r="E267" s="283"/>
      <c r="F267" s="286">
        <f t="shared" si="36"/>
        <v>0</v>
      </c>
      <c r="G267" s="134"/>
      <c r="H267" s="135"/>
      <c r="I267" s="136">
        <f t="shared" si="37"/>
        <v>0</v>
      </c>
      <c r="J267" s="134">
        <v>0</v>
      </c>
      <c r="K267" s="135"/>
      <c r="L267" s="136">
        <f t="shared" si="38"/>
        <v>0</v>
      </c>
      <c r="M267" s="284"/>
      <c r="N267" s="285"/>
      <c r="O267" s="136">
        <f t="shared" si="39"/>
        <v>0</v>
      </c>
      <c r="P267" s="85"/>
      <c r="R267" s="53"/>
      <c r="S267" s="53"/>
    </row>
    <row r="268" spans="1:19" hidden="1" x14ac:dyDescent="0.25">
      <c r="A268" s="76">
        <v>6422</v>
      </c>
      <c r="B268" s="127" t="s">
        <v>284</v>
      </c>
      <c r="C268" s="278">
        <f t="shared" si="49"/>
        <v>0</v>
      </c>
      <c r="D268" s="134">
        <v>0</v>
      </c>
      <c r="E268" s="283"/>
      <c r="F268" s="286">
        <f t="shared" si="36"/>
        <v>0</v>
      </c>
      <c r="G268" s="134"/>
      <c r="H268" s="135"/>
      <c r="I268" s="136">
        <f t="shared" si="37"/>
        <v>0</v>
      </c>
      <c r="J268" s="134">
        <v>0</v>
      </c>
      <c r="K268" s="135"/>
      <c r="L268" s="136">
        <f t="shared" si="38"/>
        <v>0</v>
      </c>
      <c r="M268" s="284"/>
      <c r="N268" s="285"/>
      <c r="O268" s="136">
        <f t="shared" si="39"/>
        <v>0</v>
      </c>
      <c r="P268" s="85"/>
      <c r="R268" s="53"/>
      <c r="S268" s="53"/>
    </row>
    <row r="269" spans="1:19" ht="24" hidden="1" x14ac:dyDescent="0.25">
      <c r="A269" s="76">
        <v>6423</v>
      </c>
      <c r="B269" s="127" t="s">
        <v>285</v>
      </c>
      <c r="C269" s="278">
        <f t="shared" si="49"/>
        <v>0</v>
      </c>
      <c r="D269" s="134">
        <v>0</v>
      </c>
      <c r="E269" s="283"/>
      <c r="F269" s="286">
        <f t="shared" si="36"/>
        <v>0</v>
      </c>
      <c r="G269" s="134"/>
      <c r="H269" s="135"/>
      <c r="I269" s="136">
        <f t="shared" si="37"/>
        <v>0</v>
      </c>
      <c r="J269" s="134">
        <v>0</v>
      </c>
      <c r="K269" s="135"/>
      <c r="L269" s="136">
        <f t="shared" si="38"/>
        <v>0</v>
      </c>
      <c r="M269" s="284"/>
      <c r="N269" s="285"/>
      <c r="O269" s="136">
        <f t="shared" si="39"/>
        <v>0</v>
      </c>
      <c r="P269" s="85"/>
      <c r="R269" s="53"/>
      <c r="S269" s="53"/>
    </row>
    <row r="270" spans="1:19" ht="36" hidden="1" x14ac:dyDescent="0.25">
      <c r="A270" s="76">
        <v>6424</v>
      </c>
      <c r="B270" s="127" t="s">
        <v>286</v>
      </c>
      <c r="C270" s="278">
        <f t="shared" si="49"/>
        <v>0</v>
      </c>
      <c r="D270" s="134">
        <v>0</v>
      </c>
      <c r="E270" s="283"/>
      <c r="F270" s="286">
        <f t="shared" si="36"/>
        <v>0</v>
      </c>
      <c r="G270" s="134"/>
      <c r="H270" s="135"/>
      <c r="I270" s="136">
        <f t="shared" si="37"/>
        <v>0</v>
      </c>
      <c r="J270" s="134">
        <v>0</v>
      </c>
      <c r="K270" s="135"/>
      <c r="L270" s="136">
        <f t="shared" si="38"/>
        <v>0</v>
      </c>
      <c r="M270" s="284"/>
      <c r="N270" s="285"/>
      <c r="O270" s="136">
        <f t="shared" si="39"/>
        <v>0</v>
      </c>
      <c r="P270" s="85"/>
      <c r="R270" s="53"/>
      <c r="S270" s="53"/>
    </row>
    <row r="271" spans="1:19" ht="36" x14ac:dyDescent="0.25">
      <c r="A271" s="347">
        <v>7000</v>
      </c>
      <c r="B271" s="347" t="s">
        <v>287</v>
      </c>
      <c r="C271" s="348">
        <f t="shared" si="49"/>
        <v>712</v>
      </c>
      <c r="D271" s="349">
        <f>SUM(D272,D282)</f>
        <v>0</v>
      </c>
      <c r="E271" s="350">
        <f>SUM(E272,E282)</f>
        <v>0</v>
      </c>
      <c r="F271" s="351">
        <f t="shared" si="36"/>
        <v>0</v>
      </c>
      <c r="G271" s="349">
        <f>SUM(G272,G282)</f>
        <v>0</v>
      </c>
      <c r="H271" s="352">
        <f>SUM(H272,H282)</f>
        <v>0</v>
      </c>
      <c r="I271" s="353">
        <f t="shared" si="37"/>
        <v>0</v>
      </c>
      <c r="J271" s="349">
        <f>SUM(J272,J282)</f>
        <v>712</v>
      </c>
      <c r="K271" s="352">
        <f>SUM(K272,K282)</f>
        <v>0</v>
      </c>
      <c r="L271" s="353">
        <f t="shared" si="38"/>
        <v>712</v>
      </c>
      <c r="M271" s="354">
        <f>SUM(M272,M282)</f>
        <v>0</v>
      </c>
      <c r="N271" s="355">
        <f>SUM(N272,N282)</f>
        <v>0</v>
      </c>
      <c r="O271" s="356">
        <f t="shared" si="39"/>
        <v>0</v>
      </c>
      <c r="P271" s="357"/>
      <c r="R271" s="53"/>
      <c r="S271" s="53"/>
    </row>
    <row r="272" spans="1:19" ht="24" x14ac:dyDescent="0.25">
      <c r="A272" s="99">
        <v>7200</v>
      </c>
      <c r="B272" s="247" t="s">
        <v>288</v>
      </c>
      <c r="C272" s="100">
        <f t="shared" si="49"/>
        <v>712</v>
      </c>
      <c r="D272" s="112">
        <f>SUM(D273,D274,D277,D278,D281)</f>
        <v>0</v>
      </c>
      <c r="E272" s="248">
        <f>SUM(E273,E274,E277,E278,E281)</f>
        <v>0</v>
      </c>
      <c r="F272" s="249">
        <f t="shared" si="36"/>
        <v>0</v>
      </c>
      <c r="G272" s="112">
        <f>SUM(G273,G274,G277,G278,G281)</f>
        <v>0</v>
      </c>
      <c r="H272" s="113">
        <f>SUM(H273,H274,H277,H278,H281)</f>
        <v>0</v>
      </c>
      <c r="I272" s="114">
        <f t="shared" si="37"/>
        <v>0</v>
      </c>
      <c r="J272" s="112">
        <f>SUM(J273,J274,J277,J278,J281)</f>
        <v>712</v>
      </c>
      <c r="K272" s="113">
        <f>SUM(K273,K274,K277,K278,K281)</f>
        <v>0</v>
      </c>
      <c r="L272" s="114">
        <f t="shared" si="38"/>
        <v>712</v>
      </c>
      <c r="M272" s="250">
        <f>SUM(M273,M274,M277,M278,M281)</f>
        <v>0</v>
      </c>
      <c r="N272" s="251">
        <f>SUM(N273,N274,N277,N278,N281)</f>
        <v>0</v>
      </c>
      <c r="O272" s="252">
        <f t="shared" si="39"/>
        <v>0</v>
      </c>
      <c r="P272" s="253"/>
      <c r="R272" s="53"/>
      <c r="S272" s="53"/>
    </row>
    <row r="273" spans="1:19" ht="24" hidden="1" x14ac:dyDescent="0.25">
      <c r="A273" s="656">
        <v>7210</v>
      </c>
      <c r="B273" s="116" t="s">
        <v>289</v>
      </c>
      <c r="C273" s="117">
        <f t="shared" si="49"/>
        <v>0</v>
      </c>
      <c r="D273" s="123">
        <v>0</v>
      </c>
      <c r="E273" s="295"/>
      <c r="F273" s="263">
        <f t="shared" si="36"/>
        <v>0</v>
      </c>
      <c r="G273" s="123"/>
      <c r="H273" s="124"/>
      <c r="I273" s="125">
        <f t="shared" si="37"/>
        <v>0</v>
      </c>
      <c r="J273" s="123">
        <v>0</v>
      </c>
      <c r="K273" s="124"/>
      <c r="L273" s="125">
        <f t="shared" si="38"/>
        <v>0</v>
      </c>
      <c r="M273" s="264"/>
      <c r="N273" s="262"/>
      <c r="O273" s="125">
        <f t="shared" si="39"/>
        <v>0</v>
      </c>
      <c r="P273" s="74"/>
      <c r="R273" s="53"/>
      <c r="S273" s="53"/>
    </row>
    <row r="274" spans="1:19" s="358" customFormat="1" ht="36" hidden="1" x14ac:dyDescent="0.25">
      <c r="A274" s="276">
        <v>7220</v>
      </c>
      <c r="B274" s="127" t="s">
        <v>290</v>
      </c>
      <c r="C274" s="128">
        <f t="shared" si="49"/>
        <v>0</v>
      </c>
      <c r="D274" s="277">
        <f>SUM(D275:D276)</f>
        <v>0</v>
      </c>
      <c r="E274" s="278">
        <f>SUM(E275:E276)</f>
        <v>0</v>
      </c>
      <c r="F274" s="286">
        <f t="shared" si="36"/>
        <v>0</v>
      </c>
      <c r="G274" s="277">
        <f>SUM(G275:G276)</f>
        <v>0</v>
      </c>
      <c r="H274" s="280">
        <f>SUM(H275:H276)</f>
        <v>0</v>
      </c>
      <c r="I274" s="136">
        <f t="shared" si="37"/>
        <v>0</v>
      </c>
      <c r="J274" s="277">
        <f>SUM(J275:J276)</f>
        <v>0</v>
      </c>
      <c r="K274" s="280">
        <f>SUM(K275:K276)</f>
        <v>0</v>
      </c>
      <c r="L274" s="136">
        <f t="shared" si="38"/>
        <v>0</v>
      </c>
      <c r="M274" s="281">
        <f>SUM(M275:M276)</f>
        <v>0</v>
      </c>
      <c r="N274" s="282">
        <f>SUM(N275:N276)</f>
        <v>0</v>
      </c>
      <c r="O274" s="136">
        <f t="shared" si="39"/>
        <v>0</v>
      </c>
      <c r="P274" s="85"/>
      <c r="R274" s="53"/>
      <c r="S274" s="53"/>
    </row>
    <row r="275" spans="1:19" s="358" customFormat="1" ht="36" hidden="1" x14ac:dyDescent="0.25">
      <c r="A275" s="76">
        <v>7221</v>
      </c>
      <c r="B275" s="127" t="s">
        <v>291</v>
      </c>
      <c r="C275" s="128">
        <f t="shared" si="49"/>
        <v>0</v>
      </c>
      <c r="D275" s="134">
        <v>0</v>
      </c>
      <c r="E275" s="283"/>
      <c r="F275" s="286">
        <f t="shared" si="36"/>
        <v>0</v>
      </c>
      <c r="G275" s="134"/>
      <c r="H275" s="135"/>
      <c r="I275" s="136">
        <f t="shared" si="37"/>
        <v>0</v>
      </c>
      <c r="J275" s="134">
        <v>0</v>
      </c>
      <c r="K275" s="135"/>
      <c r="L275" s="136">
        <f t="shared" si="38"/>
        <v>0</v>
      </c>
      <c r="M275" s="284"/>
      <c r="N275" s="285"/>
      <c r="O275" s="136">
        <f t="shared" si="39"/>
        <v>0</v>
      </c>
      <c r="P275" s="85"/>
      <c r="R275" s="53"/>
      <c r="S275" s="53"/>
    </row>
    <row r="276" spans="1:19" s="358" customFormat="1" ht="36" hidden="1" x14ac:dyDescent="0.25">
      <c r="A276" s="76">
        <v>7222</v>
      </c>
      <c r="B276" s="127" t="s">
        <v>292</v>
      </c>
      <c r="C276" s="128">
        <f t="shared" si="49"/>
        <v>0</v>
      </c>
      <c r="D276" s="134">
        <v>0</v>
      </c>
      <c r="E276" s="283"/>
      <c r="F276" s="286">
        <f t="shared" si="36"/>
        <v>0</v>
      </c>
      <c r="G276" s="134"/>
      <c r="H276" s="135"/>
      <c r="I276" s="136">
        <f t="shared" si="37"/>
        <v>0</v>
      </c>
      <c r="J276" s="134">
        <v>0</v>
      </c>
      <c r="K276" s="135"/>
      <c r="L276" s="136">
        <f t="shared" si="38"/>
        <v>0</v>
      </c>
      <c r="M276" s="284"/>
      <c r="N276" s="285"/>
      <c r="O276" s="136">
        <f t="shared" si="39"/>
        <v>0</v>
      </c>
      <c r="P276" s="85"/>
      <c r="R276" s="53"/>
      <c r="S276" s="53"/>
    </row>
    <row r="277" spans="1:19" s="358" customFormat="1" ht="24" x14ac:dyDescent="0.25">
      <c r="A277" s="276">
        <v>7230</v>
      </c>
      <c r="B277" s="127" t="s">
        <v>293</v>
      </c>
      <c r="C277" s="128">
        <f t="shared" si="49"/>
        <v>712</v>
      </c>
      <c r="D277" s="134">
        <v>0</v>
      </c>
      <c r="E277" s="283"/>
      <c r="F277" s="279">
        <f t="shared" si="36"/>
        <v>0</v>
      </c>
      <c r="G277" s="134"/>
      <c r="H277" s="135"/>
      <c r="I277" s="136">
        <f t="shared" si="37"/>
        <v>0</v>
      </c>
      <c r="J277" s="134">
        <v>712</v>
      </c>
      <c r="K277" s="135"/>
      <c r="L277" s="136">
        <f t="shared" si="38"/>
        <v>712</v>
      </c>
      <c r="M277" s="284"/>
      <c r="N277" s="285"/>
      <c r="O277" s="136">
        <f>M277+N277</f>
        <v>0</v>
      </c>
      <c r="P277" s="85"/>
      <c r="R277" s="53"/>
      <c r="S277" s="53"/>
    </row>
    <row r="278" spans="1:19" ht="24" hidden="1" x14ac:dyDescent="0.25">
      <c r="A278" s="276">
        <v>7240</v>
      </c>
      <c r="B278" s="127" t="s">
        <v>294</v>
      </c>
      <c r="C278" s="128">
        <f t="shared" si="49"/>
        <v>0</v>
      </c>
      <c r="D278" s="277">
        <f>SUM(D279:D280)</f>
        <v>0</v>
      </c>
      <c r="E278" s="278">
        <f>SUM(E279:E280)</f>
        <v>0</v>
      </c>
      <c r="F278" s="286">
        <f t="shared" si="36"/>
        <v>0</v>
      </c>
      <c r="G278" s="277">
        <f>SUM(G279:G280)</f>
        <v>0</v>
      </c>
      <c r="H278" s="280">
        <f>SUM(H279:H280)</f>
        <v>0</v>
      </c>
      <c r="I278" s="136">
        <f t="shared" si="37"/>
        <v>0</v>
      </c>
      <c r="J278" s="277">
        <f>SUM(J279:J280)</f>
        <v>0</v>
      </c>
      <c r="K278" s="280">
        <f>SUM(K279:K280)</f>
        <v>0</v>
      </c>
      <c r="L278" s="136">
        <f t="shared" si="38"/>
        <v>0</v>
      </c>
      <c r="M278" s="281">
        <f>SUM(M279:M280)</f>
        <v>0</v>
      </c>
      <c r="N278" s="282">
        <f>SUM(N279:N280)</f>
        <v>0</v>
      </c>
      <c r="O278" s="136">
        <f>SUM(O279:O280)</f>
        <v>0</v>
      </c>
      <c r="P278" s="85"/>
      <c r="R278" s="53"/>
      <c r="S278" s="53"/>
    </row>
    <row r="279" spans="1:19" ht="48" hidden="1" x14ac:dyDescent="0.25">
      <c r="A279" s="76">
        <v>7245</v>
      </c>
      <c r="B279" s="127" t="s">
        <v>295</v>
      </c>
      <c r="C279" s="128">
        <f t="shared" si="49"/>
        <v>0</v>
      </c>
      <c r="D279" s="134">
        <v>0</v>
      </c>
      <c r="E279" s="283"/>
      <c r="F279" s="286">
        <f t="shared" si="36"/>
        <v>0</v>
      </c>
      <c r="G279" s="134"/>
      <c r="H279" s="135"/>
      <c r="I279" s="136">
        <f t="shared" si="37"/>
        <v>0</v>
      </c>
      <c r="J279" s="134">
        <v>0</v>
      </c>
      <c r="K279" s="135"/>
      <c r="L279" s="136">
        <f t="shared" si="38"/>
        <v>0</v>
      </c>
      <c r="M279" s="284"/>
      <c r="N279" s="285"/>
      <c r="O279" s="136">
        <f t="shared" ref="O279:O282" si="56">M279+N279</f>
        <v>0</v>
      </c>
      <c r="P279" s="85"/>
      <c r="R279" s="53"/>
      <c r="S279" s="53"/>
    </row>
    <row r="280" spans="1:19" ht="96" hidden="1" x14ac:dyDescent="0.25">
      <c r="A280" s="76">
        <v>7246</v>
      </c>
      <c r="B280" s="127" t="s">
        <v>296</v>
      </c>
      <c r="C280" s="128">
        <f t="shared" si="49"/>
        <v>0</v>
      </c>
      <c r="D280" s="134">
        <v>0</v>
      </c>
      <c r="E280" s="283"/>
      <c r="F280" s="286">
        <f t="shared" si="36"/>
        <v>0</v>
      </c>
      <c r="G280" s="134"/>
      <c r="H280" s="135"/>
      <c r="I280" s="136">
        <f t="shared" si="37"/>
        <v>0</v>
      </c>
      <c r="J280" s="134">
        <v>0</v>
      </c>
      <c r="K280" s="135"/>
      <c r="L280" s="136">
        <f t="shared" si="38"/>
        <v>0</v>
      </c>
      <c r="M280" s="284"/>
      <c r="N280" s="285"/>
      <c r="O280" s="136">
        <f t="shared" si="56"/>
        <v>0</v>
      </c>
      <c r="P280" s="85"/>
      <c r="R280" s="53"/>
      <c r="S280" s="53"/>
    </row>
    <row r="281" spans="1:19" ht="24" hidden="1" x14ac:dyDescent="0.25">
      <c r="A281" s="276">
        <v>7260</v>
      </c>
      <c r="B281" s="127" t="s">
        <v>297</v>
      </c>
      <c r="C281" s="128">
        <f t="shared" si="49"/>
        <v>0</v>
      </c>
      <c r="D281" s="123">
        <v>0</v>
      </c>
      <c r="E281" s="295"/>
      <c r="F281" s="263">
        <f t="shared" si="36"/>
        <v>0</v>
      </c>
      <c r="G281" s="123"/>
      <c r="H281" s="124"/>
      <c r="I281" s="125">
        <f t="shared" si="37"/>
        <v>0</v>
      </c>
      <c r="J281" s="123">
        <v>0</v>
      </c>
      <c r="K281" s="124"/>
      <c r="L281" s="125">
        <f t="shared" si="38"/>
        <v>0</v>
      </c>
      <c r="M281" s="264"/>
      <c r="N281" s="262"/>
      <c r="O281" s="125">
        <f t="shared" si="56"/>
        <v>0</v>
      </c>
      <c r="P281" s="74"/>
      <c r="R281" s="53"/>
      <c r="S281" s="53"/>
    </row>
    <row r="282" spans="1:19" hidden="1" x14ac:dyDescent="0.25">
      <c r="A282" s="99">
        <v>7700</v>
      </c>
      <c r="B282" s="247" t="s">
        <v>298</v>
      </c>
      <c r="C282" s="359">
        <f t="shared" si="49"/>
        <v>0</v>
      </c>
      <c r="D282" s="360">
        <f>D283</f>
        <v>0</v>
      </c>
      <c r="E282" s="679">
        <f>SUM(E283)</f>
        <v>0</v>
      </c>
      <c r="F282" s="316">
        <f t="shared" si="36"/>
        <v>0</v>
      </c>
      <c r="G282" s="360">
        <f>G283</f>
        <v>0</v>
      </c>
      <c r="H282" s="361">
        <f>SUM(H283)</f>
        <v>0</v>
      </c>
      <c r="I282" s="305">
        <f t="shared" si="37"/>
        <v>0</v>
      </c>
      <c r="J282" s="360">
        <f>J283</f>
        <v>0</v>
      </c>
      <c r="K282" s="361">
        <f>SUM(K283)</f>
        <v>0</v>
      </c>
      <c r="L282" s="305">
        <f t="shared" si="38"/>
        <v>0</v>
      </c>
      <c r="M282" s="303">
        <f>SUM(M283)</f>
        <v>0</v>
      </c>
      <c r="N282" s="304">
        <f>SUM(N283)</f>
        <v>0</v>
      </c>
      <c r="O282" s="305">
        <f t="shared" si="56"/>
        <v>0</v>
      </c>
      <c r="P282" s="306"/>
      <c r="R282" s="53"/>
      <c r="S282" s="53"/>
    </row>
    <row r="283" spans="1:19" hidden="1" x14ac:dyDescent="0.25">
      <c r="A283" s="141">
        <v>7720</v>
      </c>
      <c r="B283" s="142" t="s">
        <v>299</v>
      </c>
      <c r="C283" s="362">
        <f t="shared" si="49"/>
        <v>0</v>
      </c>
      <c r="D283" s="149">
        <v>0</v>
      </c>
      <c r="E283" s="686"/>
      <c r="F283" s="364">
        <f t="shared" si="36"/>
        <v>0</v>
      </c>
      <c r="G283" s="149"/>
      <c r="H283" s="150"/>
      <c r="I283" s="151">
        <f t="shared" si="37"/>
        <v>0</v>
      </c>
      <c r="J283" s="149">
        <v>0</v>
      </c>
      <c r="K283" s="150"/>
      <c r="L283" s="151">
        <f t="shared" si="38"/>
        <v>0</v>
      </c>
      <c r="M283" s="365"/>
      <c r="N283" s="363"/>
      <c r="O283" s="151">
        <f>M283+N283</f>
        <v>0</v>
      </c>
      <c r="P283" s="153"/>
      <c r="R283" s="53"/>
      <c r="S283" s="53"/>
    </row>
    <row r="284" spans="1:19" x14ac:dyDescent="0.25">
      <c r="A284" s="366"/>
      <c r="B284" s="179" t="s">
        <v>300</v>
      </c>
      <c r="C284" s="117">
        <f t="shared" si="49"/>
        <v>2080</v>
      </c>
      <c r="D284" s="255">
        <f>SUM(D285:D286)</f>
        <v>0</v>
      </c>
      <c r="E284" s="256">
        <f>SUM(E285:E286)</f>
        <v>0</v>
      </c>
      <c r="F284" s="257">
        <f t="shared" si="36"/>
        <v>0</v>
      </c>
      <c r="G284" s="255">
        <f>SUM(G285:G286)</f>
        <v>0</v>
      </c>
      <c r="H284" s="258">
        <f>SUM(H285:H286)</f>
        <v>0</v>
      </c>
      <c r="I284" s="259">
        <f t="shared" si="37"/>
        <v>0</v>
      </c>
      <c r="J284" s="255">
        <f>SUM(J285:J286)</f>
        <v>2080</v>
      </c>
      <c r="K284" s="258">
        <f>SUM(K285:K286)</f>
        <v>0</v>
      </c>
      <c r="L284" s="259">
        <f t="shared" si="38"/>
        <v>2080</v>
      </c>
      <c r="M284" s="260">
        <f>SUM(M285:M286)</f>
        <v>0</v>
      </c>
      <c r="N284" s="261">
        <f>SUM(N285:N286)</f>
        <v>0</v>
      </c>
      <c r="O284" s="259">
        <f t="shared" ref="O284:O299" si="57">M284+N284</f>
        <v>0</v>
      </c>
      <c r="P284" s="189"/>
      <c r="R284" s="53"/>
      <c r="S284" s="53"/>
    </row>
    <row r="285" spans="1:19" x14ac:dyDescent="0.25">
      <c r="A285" s="346" t="s">
        <v>301</v>
      </c>
      <c r="B285" s="76" t="s">
        <v>302</v>
      </c>
      <c r="C285" s="279">
        <f t="shared" si="49"/>
        <v>2080</v>
      </c>
      <c r="D285" s="134"/>
      <c r="E285" s="283"/>
      <c r="F285" s="279">
        <f t="shared" si="36"/>
        <v>0</v>
      </c>
      <c r="G285" s="134"/>
      <c r="H285" s="135"/>
      <c r="I285" s="136">
        <f t="shared" si="37"/>
        <v>0</v>
      </c>
      <c r="J285" s="134">
        <v>2080</v>
      </c>
      <c r="K285" s="135"/>
      <c r="L285" s="136">
        <f t="shared" si="38"/>
        <v>2080</v>
      </c>
      <c r="M285" s="284"/>
      <c r="N285" s="285"/>
      <c r="O285" s="136">
        <f t="shared" si="57"/>
        <v>0</v>
      </c>
      <c r="P285" s="85"/>
      <c r="R285" s="53"/>
      <c r="S285" s="53"/>
    </row>
    <row r="286" spans="1:19" ht="24" hidden="1" x14ac:dyDescent="0.25">
      <c r="A286" s="346" t="s">
        <v>303</v>
      </c>
      <c r="B286" s="367" t="s">
        <v>304</v>
      </c>
      <c r="C286" s="117">
        <f t="shared" si="49"/>
        <v>0</v>
      </c>
      <c r="D286" s="123"/>
      <c r="E286" s="295"/>
      <c r="F286" s="263">
        <f t="shared" si="36"/>
        <v>0</v>
      </c>
      <c r="G286" s="123"/>
      <c r="H286" s="124"/>
      <c r="I286" s="125">
        <f t="shared" si="37"/>
        <v>0</v>
      </c>
      <c r="J286" s="123"/>
      <c r="K286" s="124"/>
      <c r="L286" s="125">
        <f t="shared" si="38"/>
        <v>0</v>
      </c>
      <c r="M286" s="264"/>
      <c r="N286" s="262"/>
      <c r="O286" s="125">
        <f t="shared" si="57"/>
        <v>0</v>
      </c>
      <c r="P286" s="74"/>
      <c r="R286" s="53"/>
      <c r="S286" s="53"/>
    </row>
    <row r="287" spans="1:19" x14ac:dyDescent="0.25">
      <c r="A287" s="368"/>
      <c r="B287" s="369" t="s">
        <v>305</v>
      </c>
      <c r="C287" s="370">
        <f>SUM(C284,C271,C233,C198,C190,C176,C78,C56)</f>
        <v>2668412</v>
      </c>
      <c r="D287" s="371">
        <f>SUM(D284,D271,D233,D198,D190,D176,D78,D56)</f>
        <v>2398717</v>
      </c>
      <c r="E287" s="372">
        <f>SUM(E284,E271,E233,E198,E190,E176,E78,E56)</f>
        <v>-3090</v>
      </c>
      <c r="F287" s="373">
        <f t="shared" si="36"/>
        <v>2395627</v>
      </c>
      <c r="G287" s="371">
        <f>SUM(G284,G271,G233,G198,G190,G176,G78,G56)</f>
        <v>0</v>
      </c>
      <c r="H287" s="374">
        <f>SUM(H284,H271,H233,H198,H190,H176,H78,H56)</f>
        <v>0</v>
      </c>
      <c r="I287" s="375">
        <f t="shared" si="37"/>
        <v>0</v>
      </c>
      <c r="J287" s="371">
        <f>SUM(J284,J271,J233,J198,J190,J176,J78,J56)</f>
        <v>272785</v>
      </c>
      <c r="K287" s="374">
        <f>SUM(K284,K271,K233,K198,K190,K176,K78,K56)</f>
        <v>0</v>
      </c>
      <c r="L287" s="375">
        <f t="shared" si="38"/>
        <v>272785</v>
      </c>
      <c r="M287" s="250">
        <f>SUM(M284,M271,M233,M198,M190,M176,M78,M56)</f>
        <v>0</v>
      </c>
      <c r="N287" s="251">
        <f>SUM(N284,N271,N233,N198,N190,N176,N78,N56)</f>
        <v>0</v>
      </c>
      <c r="O287" s="252">
        <f t="shared" si="57"/>
        <v>0</v>
      </c>
      <c r="P287" s="253"/>
      <c r="R287" s="53"/>
      <c r="S287" s="53"/>
    </row>
    <row r="288" spans="1:19" x14ac:dyDescent="0.25">
      <c r="A288" s="376" t="s">
        <v>306</v>
      </c>
      <c r="B288" s="377"/>
      <c r="C288" s="378">
        <f t="shared" ref="C288" si="58">F288+I288+L288+O288</f>
        <v>-55290</v>
      </c>
      <c r="D288" s="379">
        <f>SUM(D28,D29,D45)-D54</f>
        <v>0</v>
      </c>
      <c r="E288" s="380">
        <f>SUM(E28,E29,E45)-E54</f>
        <v>0</v>
      </c>
      <c r="F288" s="381">
        <f t="shared" si="36"/>
        <v>0</v>
      </c>
      <c r="G288" s="379">
        <f>SUM(G28,G29,G45)-G54</f>
        <v>0</v>
      </c>
      <c r="H288" s="382">
        <f>SUM(H28,H29,H45)-H54</f>
        <v>0</v>
      </c>
      <c r="I288" s="383">
        <f t="shared" si="37"/>
        <v>0</v>
      </c>
      <c r="J288" s="379">
        <f>(J30+J46)-J54</f>
        <v>-55290</v>
      </c>
      <c r="K288" s="382">
        <f>(K30+K46)-K54</f>
        <v>0</v>
      </c>
      <c r="L288" s="383">
        <f t="shared" si="38"/>
        <v>-55290</v>
      </c>
      <c r="M288" s="378">
        <f>M48-M54</f>
        <v>0</v>
      </c>
      <c r="N288" s="384">
        <f>N48-N54</f>
        <v>0</v>
      </c>
      <c r="O288" s="383">
        <f t="shared" si="57"/>
        <v>0</v>
      </c>
      <c r="P288" s="385"/>
      <c r="R288" s="53"/>
      <c r="S288" s="53"/>
    </row>
    <row r="289" spans="1:19" s="41" customFormat="1" x14ac:dyDescent="0.25">
      <c r="A289" s="376" t="s">
        <v>307</v>
      </c>
      <c r="B289" s="377"/>
      <c r="C289" s="380">
        <f>SUM(C290,C291)-C298+C299</f>
        <v>55290</v>
      </c>
      <c r="D289" s="379">
        <f>SUM(D290,D291)-D298+D299</f>
        <v>0</v>
      </c>
      <c r="E289" s="380">
        <f>SUM(E290,E291)-E298+E299</f>
        <v>0</v>
      </c>
      <c r="F289" s="381">
        <f t="shared" si="36"/>
        <v>0</v>
      </c>
      <c r="G289" s="379">
        <f>SUM(G290,G291)-G298+G299</f>
        <v>0</v>
      </c>
      <c r="H289" s="382">
        <f>SUM(H290,H291)-H298+H299</f>
        <v>0</v>
      </c>
      <c r="I289" s="383">
        <f t="shared" si="37"/>
        <v>0</v>
      </c>
      <c r="J289" s="379">
        <f>SUM(J290,J291)-J298+J299</f>
        <v>55290</v>
      </c>
      <c r="K289" s="382">
        <f>SUM(K290,K291)-K298+K299</f>
        <v>0</v>
      </c>
      <c r="L289" s="383">
        <f t="shared" si="38"/>
        <v>55290</v>
      </c>
      <c r="M289" s="378">
        <f>SUM(M290,M291)-M298+M299</f>
        <v>0</v>
      </c>
      <c r="N289" s="384">
        <f>SUM(N290,N291)-N298+N299</f>
        <v>0</v>
      </c>
      <c r="O289" s="383">
        <f t="shared" si="57"/>
        <v>0</v>
      </c>
      <c r="P289" s="385"/>
      <c r="R289" s="53"/>
      <c r="S289" s="53"/>
    </row>
    <row r="290" spans="1:19" s="41" customFormat="1" x14ac:dyDescent="0.25">
      <c r="A290" s="386" t="s">
        <v>308</v>
      </c>
      <c r="B290" s="386" t="s">
        <v>309</v>
      </c>
      <c r="C290" s="380">
        <f>C25-C284</f>
        <v>55290</v>
      </c>
      <c r="D290" s="379">
        <f>D25-D284</f>
        <v>0</v>
      </c>
      <c r="E290" s="380">
        <f>E25-E284</f>
        <v>0</v>
      </c>
      <c r="F290" s="381">
        <f t="shared" si="36"/>
        <v>0</v>
      </c>
      <c r="G290" s="379">
        <f>G25-G284</f>
        <v>0</v>
      </c>
      <c r="H290" s="382">
        <f>H25-H284</f>
        <v>0</v>
      </c>
      <c r="I290" s="383">
        <f t="shared" si="37"/>
        <v>0</v>
      </c>
      <c r="J290" s="379">
        <f>J25-J284</f>
        <v>55290</v>
      </c>
      <c r="K290" s="382">
        <f>K25-K284</f>
        <v>0</v>
      </c>
      <c r="L290" s="383">
        <f t="shared" si="38"/>
        <v>55290</v>
      </c>
      <c r="M290" s="378">
        <f>M25-M284</f>
        <v>0</v>
      </c>
      <c r="N290" s="384">
        <f>N25-N284</f>
        <v>0</v>
      </c>
      <c r="O290" s="383">
        <f t="shared" si="57"/>
        <v>0</v>
      </c>
      <c r="P290" s="385"/>
      <c r="R290" s="53"/>
      <c r="S290" s="53"/>
    </row>
    <row r="291" spans="1:19" s="41" customFormat="1" hidden="1" x14ac:dyDescent="0.25">
      <c r="A291" s="387" t="s">
        <v>310</v>
      </c>
      <c r="B291" s="387" t="s">
        <v>311</v>
      </c>
      <c r="C291" s="380">
        <f>SUM(C292,C294,C296)-SUM(C293,C295,C297)</f>
        <v>0</v>
      </c>
      <c r="D291" s="379">
        <f>SUM(D292,D294,D296)-SUM(D293,D295,D297)</f>
        <v>0</v>
      </c>
      <c r="E291" s="380">
        <f t="shared" ref="E291" si="59">SUM(E292,E294,E296)-SUM(E293,E295,E297)</f>
        <v>0</v>
      </c>
      <c r="F291" s="388">
        <f t="shared" si="36"/>
        <v>0</v>
      </c>
      <c r="G291" s="379">
        <f t="shared" ref="G291:H291" si="60">SUM(G292,G294,G296)-SUM(G293,G295,G297)</f>
        <v>0</v>
      </c>
      <c r="H291" s="382">
        <f t="shared" si="60"/>
        <v>0</v>
      </c>
      <c r="I291" s="383">
        <f t="shared" si="37"/>
        <v>0</v>
      </c>
      <c r="J291" s="379">
        <f>SUM(J292,J294,J296)-SUM(J293,J295,J297)</f>
        <v>0</v>
      </c>
      <c r="K291" s="382">
        <f t="shared" ref="K291" si="61">SUM(K292,K294,K296)-SUM(K293,K295,K297)</f>
        <v>0</v>
      </c>
      <c r="L291" s="383">
        <f t="shared" si="38"/>
        <v>0</v>
      </c>
      <c r="M291" s="378">
        <f t="shared" ref="M291:N291" si="62">SUM(M292,M294,M296)-SUM(M293,M295,M297)</f>
        <v>0</v>
      </c>
      <c r="N291" s="384">
        <f t="shared" si="62"/>
        <v>0</v>
      </c>
      <c r="O291" s="383">
        <f t="shared" si="57"/>
        <v>0</v>
      </c>
      <c r="P291" s="385"/>
      <c r="R291" s="53"/>
      <c r="S291" s="53"/>
    </row>
    <row r="292" spans="1:19" s="41" customFormat="1" hidden="1" x14ac:dyDescent="0.25">
      <c r="A292" s="366" t="s">
        <v>312</v>
      </c>
      <c r="B292" s="190" t="s">
        <v>313</v>
      </c>
      <c r="C292" s="143">
        <f t="shared" ref="C292:C299" si="63">F292+I292+L292+O292</f>
        <v>0</v>
      </c>
      <c r="D292" s="149"/>
      <c r="E292" s="686"/>
      <c r="F292" s="364">
        <f t="shared" si="36"/>
        <v>0</v>
      </c>
      <c r="G292" s="149"/>
      <c r="H292" s="150"/>
      <c r="I292" s="151">
        <f t="shared" si="37"/>
        <v>0</v>
      </c>
      <c r="J292" s="149"/>
      <c r="K292" s="150"/>
      <c r="L292" s="151">
        <f t="shared" si="38"/>
        <v>0</v>
      </c>
      <c r="M292" s="365"/>
      <c r="N292" s="363"/>
      <c r="O292" s="151">
        <f t="shared" si="57"/>
        <v>0</v>
      </c>
      <c r="P292" s="153"/>
      <c r="R292" s="53"/>
      <c r="S292" s="53"/>
    </row>
    <row r="293" spans="1:19" ht="24" hidden="1" x14ac:dyDescent="0.25">
      <c r="A293" s="346" t="s">
        <v>314</v>
      </c>
      <c r="B293" s="75" t="s">
        <v>315</v>
      </c>
      <c r="C293" s="128">
        <f t="shared" si="63"/>
        <v>0</v>
      </c>
      <c r="D293" s="134"/>
      <c r="E293" s="283"/>
      <c r="F293" s="286">
        <f t="shared" si="36"/>
        <v>0</v>
      </c>
      <c r="G293" s="134"/>
      <c r="H293" s="135"/>
      <c r="I293" s="136">
        <f t="shared" si="37"/>
        <v>0</v>
      </c>
      <c r="J293" s="134"/>
      <c r="K293" s="135"/>
      <c r="L293" s="136">
        <f t="shared" si="38"/>
        <v>0</v>
      </c>
      <c r="M293" s="284"/>
      <c r="N293" s="285"/>
      <c r="O293" s="136">
        <f t="shared" si="57"/>
        <v>0</v>
      </c>
      <c r="P293" s="85"/>
      <c r="R293" s="53"/>
      <c r="S293" s="53"/>
    </row>
    <row r="294" spans="1:19" hidden="1" x14ac:dyDescent="0.25">
      <c r="A294" s="346" t="s">
        <v>316</v>
      </c>
      <c r="B294" s="75" t="s">
        <v>317</v>
      </c>
      <c r="C294" s="128">
        <f t="shared" si="63"/>
        <v>0</v>
      </c>
      <c r="D294" s="134"/>
      <c r="E294" s="283"/>
      <c r="F294" s="286">
        <f t="shared" si="36"/>
        <v>0</v>
      </c>
      <c r="G294" s="134"/>
      <c r="H294" s="135"/>
      <c r="I294" s="136">
        <f t="shared" si="37"/>
        <v>0</v>
      </c>
      <c r="J294" s="134"/>
      <c r="K294" s="135"/>
      <c r="L294" s="136">
        <f t="shared" si="38"/>
        <v>0</v>
      </c>
      <c r="M294" s="284"/>
      <c r="N294" s="285"/>
      <c r="O294" s="136">
        <f t="shared" si="57"/>
        <v>0</v>
      </c>
      <c r="P294" s="85"/>
      <c r="R294" s="53"/>
      <c r="S294" s="53"/>
    </row>
    <row r="295" spans="1:19" ht="24" hidden="1" x14ac:dyDescent="0.25">
      <c r="A295" s="346" t="s">
        <v>318</v>
      </c>
      <c r="B295" s="75" t="s">
        <v>319</v>
      </c>
      <c r="C295" s="128">
        <f t="shared" si="63"/>
        <v>0</v>
      </c>
      <c r="D295" s="134"/>
      <c r="E295" s="283"/>
      <c r="F295" s="286">
        <f t="shared" si="36"/>
        <v>0</v>
      </c>
      <c r="G295" s="134"/>
      <c r="H295" s="135"/>
      <c r="I295" s="136">
        <f t="shared" si="37"/>
        <v>0</v>
      </c>
      <c r="J295" s="134"/>
      <c r="K295" s="135"/>
      <c r="L295" s="136">
        <f t="shared" si="38"/>
        <v>0</v>
      </c>
      <c r="M295" s="284"/>
      <c r="N295" s="285"/>
      <c r="O295" s="136">
        <f t="shared" si="57"/>
        <v>0</v>
      </c>
      <c r="P295" s="85"/>
      <c r="R295" s="53"/>
      <c r="S295" s="53"/>
    </row>
    <row r="296" spans="1:19" hidden="1" x14ac:dyDescent="0.25">
      <c r="A296" s="346" t="s">
        <v>320</v>
      </c>
      <c r="B296" s="75" t="s">
        <v>321</v>
      </c>
      <c r="C296" s="128">
        <f t="shared" si="63"/>
        <v>0</v>
      </c>
      <c r="D296" s="134"/>
      <c r="E296" s="283"/>
      <c r="F296" s="286">
        <f t="shared" si="36"/>
        <v>0</v>
      </c>
      <c r="G296" s="134"/>
      <c r="H296" s="135"/>
      <c r="I296" s="136">
        <f t="shared" si="37"/>
        <v>0</v>
      </c>
      <c r="J296" s="134"/>
      <c r="K296" s="135"/>
      <c r="L296" s="136">
        <f t="shared" si="38"/>
        <v>0</v>
      </c>
      <c r="M296" s="284"/>
      <c r="N296" s="285"/>
      <c r="O296" s="136">
        <f t="shared" si="57"/>
        <v>0</v>
      </c>
      <c r="P296" s="85"/>
      <c r="R296" s="53"/>
      <c r="S296" s="53"/>
    </row>
    <row r="297" spans="1:19" ht="24" hidden="1" x14ac:dyDescent="0.25">
      <c r="A297" s="389" t="s">
        <v>322</v>
      </c>
      <c r="B297" s="390" t="s">
        <v>323</v>
      </c>
      <c r="C297" s="327">
        <f t="shared" si="63"/>
        <v>0</v>
      </c>
      <c r="D297" s="328"/>
      <c r="E297" s="683"/>
      <c r="F297" s="330">
        <f t="shared" si="36"/>
        <v>0</v>
      </c>
      <c r="G297" s="328"/>
      <c r="H297" s="331"/>
      <c r="I297" s="324">
        <f t="shared" si="37"/>
        <v>0</v>
      </c>
      <c r="J297" s="328"/>
      <c r="K297" s="331"/>
      <c r="L297" s="324">
        <f t="shared" si="38"/>
        <v>0</v>
      </c>
      <c r="M297" s="332"/>
      <c r="N297" s="329"/>
      <c r="O297" s="324">
        <f t="shared" si="57"/>
        <v>0</v>
      </c>
      <c r="P297" s="325"/>
      <c r="R297" s="53"/>
      <c r="S297" s="53"/>
    </row>
    <row r="298" spans="1:19" hidden="1" x14ac:dyDescent="0.25">
      <c r="A298" s="387" t="s">
        <v>324</v>
      </c>
      <c r="B298" s="387" t="s">
        <v>325</v>
      </c>
      <c r="C298" s="391">
        <f t="shared" si="63"/>
        <v>0</v>
      </c>
      <c r="D298" s="392"/>
      <c r="E298" s="687"/>
      <c r="F298" s="388">
        <f t="shared" si="36"/>
        <v>0</v>
      </c>
      <c r="G298" s="392"/>
      <c r="H298" s="394"/>
      <c r="I298" s="383">
        <f t="shared" si="37"/>
        <v>0</v>
      </c>
      <c r="J298" s="392"/>
      <c r="K298" s="394"/>
      <c r="L298" s="383">
        <f t="shared" si="38"/>
        <v>0</v>
      </c>
      <c r="M298" s="395"/>
      <c r="N298" s="393"/>
      <c r="O298" s="383">
        <f t="shared" si="57"/>
        <v>0</v>
      </c>
      <c r="P298" s="385"/>
      <c r="R298" s="53"/>
      <c r="S298" s="53"/>
    </row>
    <row r="299" spans="1:19" s="41" customFormat="1" ht="48" hidden="1" x14ac:dyDescent="0.25">
      <c r="A299" s="387" t="s">
        <v>326</v>
      </c>
      <c r="B299" s="396" t="s">
        <v>327</v>
      </c>
      <c r="C299" s="397">
        <f t="shared" si="63"/>
        <v>0</v>
      </c>
      <c r="D299" s="398"/>
      <c r="E299" s="688"/>
      <c r="F299" s="400">
        <f t="shared" si="36"/>
        <v>0</v>
      </c>
      <c r="G299" s="392"/>
      <c r="H299" s="394"/>
      <c r="I299" s="383">
        <f t="shared" si="37"/>
        <v>0</v>
      </c>
      <c r="J299" s="392"/>
      <c r="K299" s="394"/>
      <c r="L299" s="383">
        <f t="shared" si="38"/>
        <v>0</v>
      </c>
      <c r="M299" s="395"/>
      <c r="N299" s="393"/>
      <c r="O299" s="383">
        <f t="shared" si="57"/>
        <v>0</v>
      </c>
      <c r="P299" s="385"/>
      <c r="R299" s="53"/>
      <c r="S299" s="53"/>
    </row>
    <row r="300" spans="1:19"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19" ht="12.75" thickBot="1" x14ac:dyDescent="0.3">
      <c r="A301" s="404"/>
      <c r="B301" s="405"/>
      <c r="C301" s="405"/>
      <c r="D301" s="405"/>
      <c r="E301" s="405"/>
      <c r="F301" s="405"/>
      <c r="G301" s="405"/>
      <c r="H301" s="405"/>
      <c r="I301" s="405"/>
      <c r="J301" s="405"/>
      <c r="K301" s="405"/>
      <c r="L301" s="405"/>
      <c r="M301" s="405"/>
      <c r="N301" s="405"/>
      <c r="O301" s="405"/>
      <c r="P301" s="406"/>
      <c r="Q301" s="7"/>
    </row>
    <row r="302" spans="1:19" x14ac:dyDescent="0.25">
      <c r="A302" s="5"/>
      <c r="B302" s="5"/>
      <c r="C302" s="5"/>
      <c r="D302" s="5"/>
      <c r="E302" s="5"/>
      <c r="F302" s="5"/>
      <c r="G302" s="5"/>
      <c r="H302" s="5"/>
      <c r="I302" s="5"/>
      <c r="J302" s="5"/>
      <c r="K302" s="5"/>
      <c r="L302" s="5"/>
      <c r="M302" s="5"/>
      <c r="N302" s="5"/>
      <c r="O302" s="5"/>
    </row>
    <row r="303" spans="1:19" x14ac:dyDescent="0.25">
      <c r="A303" s="5"/>
      <c r="B303" s="5"/>
      <c r="C303" s="5"/>
      <c r="D303" s="5"/>
      <c r="E303" s="5"/>
      <c r="F303" s="5"/>
      <c r="G303" s="5"/>
      <c r="H303" s="5"/>
      <c r="I303" s="5"/>
      <c r="J303" s="5"/>
      <c r="K303" s="5"/>
      <c r="L303" s="5"/>
      <c r="M303" s="5"/>
      <c r="N303" s="5"/>
      <c r="O303" s="5"/>
    </row>
    <row r="304" spans="1:19"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49tKzy1luYHlTt3zt3rXbxsMCQglXRmFpxvniPReiLBKv25epexmBpYw1vH9D1McDpWUIZuWeIqGZ8FfAMzqQw==" saltValue="5yVXGSX+dWfKohfPktsMPg==" spinCount="100000" sheet="1" objects="1" scenarios="1" formatCells="0" formatColumns="0" formatRows="0"/>
  <autoFilter ref="A22:P300">
    <filterColumn colId="2">
      <filters blank="1">
        <filter val="1 220 032"/>
        <filter val="1 698 949"/>
        <filter val="10 066"/>
        <filter val="10 345"/>
        <filter val="10 482"/>
        <filter val="100"/>
        <filter val="100 927"/>
        <filter val="108"/>
        <filter val="108 838"/>
        <filter val="109 881"/>
        <filter val="13 363"/>
        <filter val="14 213"/>
        <filter val="148 802"/>
        <filter val="15 908"/>
        <filter val="150"/>
        <filter val="159 562"/>
        <filter val="16 334"/>
        <filter val="18 369"/>
        <filter val="2 000"/>
        <filter val="2 080"/>
        <filter val="2 200 024"/>
        <filter val="2 395 627"/>
        <filter val="2 592 010"/>
        <filter val="2 666 332"/>
        <filter val="2 668 412"/>
        <filter val="2 680"/>
        <filter val="204 866"/>
        <filter val="214 703"/>
        <filter val="22 817"/>
        <filter val="244 175"/>
        <filter val="26 007"/>
        <filter val="3 702"/>
        <filter val="300"/>
        <filter val="32 983"/>
        <filter val="33 354"/>
        <filter val="34 323"/>
        <filter val="35 150"/>
        <filter val="37 830"/>
        <filter val="37 930"/>
        <filter val="370 079"/>
        <filter val="391 986"/>
        <filter val="4 300"/>
        <filter val="4 632"/>
        <filter val="4 827"/>
        <filter val="400 148"/>
        <filter val="420"/>
        <filter val="49 262"/>
        <filter val="50"/>
        <filter val="50 763"/>
        <filter val="500"/>
        <filter val="501 075"/>
        <filter val="52 595"/>
        <filter val="55 290"/>
        <filter val="-55 290"/>
        <filter val="57 370"/>
        <filter val="59 464"/>
        <filter val="6 265"/>
        <filter val="6 788"/>
        <filter val="6 802"/>
        <filter val="65 901"/>
        <filter val="7 000"/>
        <filter val="70"/>
        <filter val="71 040"/>
        <filter val="712"/>
        <filter val="73 610"/>
        <filter val="74 322"/>
        <filter val="74 970"/>
        <filter val="750"/>
        <filter val="76 890"/>
        <filter val="800"/>
        <filter val="83 616"/>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72.pielikums Jūrmalas pilsētas domes
2017.gada 30.janvāra saistošajiem noteikumiem Nr.10
(Protokols Nr.4, 1.punkts)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21"/>
  <sheetViews>
    <sheetView view="pageLayout" zoomScaleNormal="90" workbookViewId="0">
      <selection activeCell="R6" sqref="R6"/>
    </sheetView>
  </sheetViews>
  <sheetFormatPr defaultRowHeight="12" outlineLevelCol="1" x14ac:dyDescent="0.25"/>
  <cols>
    <col min="1" max="1" width="10.85546875" style="1" customWidth="1"/>
    <col min="2" max="2" width="37.42578125"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867</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7"/>
    </row>
    <row r="4" spans="1:17" ht="15.75"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501</v>
      </c>
      <c r="D6" s="1555"/>
      <c r="E6" s="1555"/>
      <c r="F6" s="1555"/>
      <c r="G6" s="1555"/>
      <c r="H6" s="1555"/>
      <c r="I6" s="1555"/>
      <c r="J6" s="1555"/>
      <c r="K6" s="1555"/>
      <c r="L6" s="1555"/>
      <c r="M6" s="1555"/>
      <c r="N6" s="1555"/>
      <c r="O6" s="1555"/>
      <c r="P6" s="1556"/>
      <c r="Q6" s="7"/>
    </row>
    <row r="7" spans="1:17" ht="12.75" x14ac:dyDescent="0.25">
      <c r="A7" s="13" t="s">
        <v>4</v>
      </c>
      <c r="B7" s="14"/>
      <c r="C7" s="1555" t="s">
        <v>502</v>
      </c>
      <c r="D7" s="1555"/>
      <c r="E7" s="1555"/>
      <c r="F7" s="1555"/>
      <c r="G7" s="1555"/>
      <c r="H7" s="1555"/>
      <c r="I7" s="1555"/>
      <c r="J7" s="1555"/>
      <c r="K7" s="1555"/>
      <c r="L7" s="1555"/>
      <c r="M7" s="1555"/>
      <c r="N7" s="1555"/>
      <c r="O7" s="1555"/>
      <c r="P7" s="1556"/>
      <c r="Q7" s="7"/>
    </row>
    <row r="8" spans="1:17" x14ac:dyDescent="0.25">
      <c r="A8" s="8" t="s">
        <v>6</v>
      </c>
      <c r="B8" s="9"/>
      <c r="C8" s="1553" t="s">
        <v>503</v>
      </c>
      <c r="D8" s="1553"/>
      <c r="E8" s="1553"/>
      <c r="F8" s="1553"/>
      <c r="G8" s="1553"/>
      <c r="H8" s="1553"/>
      <c r="I8" s="1553"/>
      <c r="J8" s="1553"/>
      <c r="K8" s="1553"/>
      <c r="L8" s="1553"/>
      <c r="M8" s="1553"/>
      <c r="N8" s="1553"/>
      <c r="O8" s="1553"/>
      <c r="P8" s="1554"/>
      <c r="Q8" s="7"/>
    </row>
    <row r="9" spans="1:17" x14ac:dyDescent="0.25">
      <c r="A9" s="8" t="s">
        <v>8</v>
      </c>
      <c r="B9" s="9"/>
      <c r="C9" s="1553" t="s">
        <v>384</v>
      </c>
      <c r="D9" s="1553"/>
      <c r="E9" s="1553"/>
      <c r="F9" s="1553"/>
      <c r="G9" s="1553"/>
      <c r="H9" s="1553"/>
      <c r="I9" s="1553"/>
      <c r="J9" s="1553"/>
      <c r="K9" s="1553"/>
      <c r="L9" s="1553"/>
      <c r="M9" s="1553"/>
      <c r="N9" s="1553"/>
      <c r="O9" s="1553"/>
      <c r="P9" s="1554"/>
      <c r="Q9" s="7"/>
    </row>
    <row r="10" spans="1:17" x14ac:dyDescent="0.25">
      <c r="A10" s="8" t="s">
        <v>10</v>
      </c>
      <c r="B10" s="9"/>
      <c r="C10" s="1555" t="s">
        <v>868</v>
      </c>
      <c r="D10" s="1555"/>
      <c r="E10" s="1555"/>
      <c r="F10" s="1555"/>
      <c r="G10" s="1555"/>
      <c r="H10" s="1555"/>
      <c r="I10" s="1555"/>
      <c r="J10" s="1555"/>
      <c r="K10" s="1555"/>
      <c r="L10" s="1555"/>
      <c r="M10" s="1555"/>
      <c r="N10" s="1555"/>
      <c r="O10" s="1555"/>
      <c r="P10" s="1556"/>
      <c r="Q10" s="7"/>
    </row>
    <row r="11" spans="1:17" x14ac:dyDescent="0.25">
      <c r="A11" s="8" t="s">
        <v>12</v>
      </c>
      <c r="B11" s="9"/>
      <c r="C11" s="1555"/>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510</v>
      </c>
      <c r="D13" s="1553"/>
      <c r="E13" s="1553"/>
      <c r="F13" s="1553"/>
      <c r="G13" s="1553"/>
      <c r="H13" s="1553"/>
      <c r="I13" s="1553"/>
      <c r="J13" s="1553"/>
      <c r="K13" s="1553"/>
      <c r="L13" s="1553"/>
      <c r="M13" s="1553"/>
      <c r="N13" s="1553"/>
      <c r="O13" s="1553"/>
      <c r="P13" s="1554"/>
      <c r="Q13" s="7"/>
    </row>
    <row r="14" spans="1:17" x14ac:dyDescent="0.25">
      <c r="A14" s="8"/>
      <c r="B14" s="9" t="s">
        <v>17</v>
      </c>
      <c r="C14" s="1553"/>
      <c r="D14" s="1553"/>
      <c r="E14" s="1553"/>
      <c r="F14" s="1553"/>
      <c r="G14" s="1553"/>
      <c r="H14" s="1553"/>
      <c r="I14" s="1553"/>
      <c r="J14" s="1553"/>
      <c r="K14" s="1553"/>
      <c r="L14" s="1553"/>
      <c r="M14" s="1553"/>
      <c r="N14" s="1553"/>
      <c r="O14" s="1553"/>
      <c r="P14" s="1554"/>
      <c r="Q14" s="7"/>
    </row>
    <row r="15" spans="1:17" x14ac:dyDescent="0.25">
      <c r="A15" s="8"/>
      <c r="B15" s="9" t="s">
        <v>19</v>
      </c>
      <c r="C15" s="1553"/>
      <c r="D15" s="1553"/>
      <c r="E15" s="1553"/>
      <c r="F15" s="1553"/>
      <c r="G15" s="1553"/>
      <c r="H15" s="1553"/>
      <c r="I15" s="1553"/>
      <c r="J15" s="1553"/>
      <c r="K15" s="1553"/>
      <c r="L15" s="1553"/>
      <c r="M15" s="1553"/>
      <c r="N15" s="1553"/>
      <c r="O15" s="1553"/>
      <c r="P15" s="1554"/>
      <c r="Q15" s="7"/>
    </row>
    <row r="16" spans="1:17" x14ac:dyDescent="0.25">
      <c r="A16" s="8"/>
      <c r="B16" s="9" t="s">
        <v>20</v>
      </c>
      <c r="C16" s="1553" t="s">
        <v>865</v>
      </c>
      <c r="D16" s="1553"/>
      <c r="E16" s="1553"/>
      <c r="F16" s="1553"/>
      <c r="G16" s="1553"/>
      <c r="H16" s="1553"/>
      <c r="I16" s="1553"/>
      <c r="J16" s="1553"/>
      <c r="K16" s="1553"/>
      <c r="L16" s="1553"/>
      <c r="M16" s="1553"/>
      <c r="N16" s="1553"/>
      <c r="O16" s="1553"/>
      <c r="P16" s="1554"/>
      <c r="Q16" s="7"/>
    </row>
    <row r="17" spans="1:19" x14ac:dyDescent="0.25">
      <c r="A17" s="8"/>
      <c r="B17" s="9" t="s">
        <v>22</v>
      </c>
      <c r="C17" s="1553"/>
      <c r="D17" s="1553"/>
      <c r="E17" s="1553"/>
      <c r="F17" s="1553"/>
      <c r="G17" s="1553"/>
      <c r="H17" s="1553"/>
      <c r="I17" s="1553"/>
      <c r="J17" s="1553"/>
      <c r="K17" s="1553"/>
      <c r="L17" s="1553"/>
      <c r="M17" s="1553"/>
      <c r="N17" s="1553"/>
      <c r="O17" s="1553"/>
      <c r="P17" s="1554"/>
      <c r="Q17" s="7"/>
    </row>
    <row r="18" spans="1:19" x14ac:dyDescent="0.25">
      <c r="A18" s="18"/>
      <c r="B18" s="19"/>
      <c r="C18" s="1569"/>
      <c r="D18" s="1569"/>
      <c r="E18" s="1569"/>
      <c r="F18" s="1569"/>
      <c r="G18" s="1569"/>
      <c r="H18" s="1569"/>
      <c r="I18" s="1569"/>
      <c r="J18" s="1569"/>
      <c r="K18" s="1569"/>
      <c r="L18" s="1569"/>
      <c r="M18" s="1569"/>
      <c r="N18" s="1569"/>
      <c r="O18" s="1569"/>
      <c r="P18" s="1570"/>
      <c r="Q18" s="7"/>
    </row>
    <row r="19" spans="1:19"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19"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19" s="21" customFormat="1" ht="70.5" customHeight="1" thickBot="1" x14ac:dyDescent="0.3">
      <c r="A21" s="1573"/>
      <c r="B21" s="1576"/>
      <c r="C21" s="1581"/>
      <c r="D21" s="1566"/>
      <c r="E21" s="1568"/>
      <c r="F21" s="1564"/>
      <c r="G21" s="1566"/>
      <c r="H21" s="1568"/>
      <c r="I21" s="1564"/>
      <c r="J21" s="1566"/>
      <c r="K21" s="1568"/>
      <c r="L21" s="1564"/>
      <c r="M21" s="1566"/>
      <c r="N21" s="1568"/>
      <c r="O21" s="1564"/>
      <c r="P21" s="1576"/>
    </row>
    <row r="22" spans="1:19" s="21" customFormat="1" ht="9" thickTop="1" x14ac:dyDescent="0.25">
      <c r="A22" s="22" t="s">
        <v>40</v>
      </c>
      <c r="B22" s="22">
        <v>2</v>
      </c>
      <c r="C22" s="22">
        <v>3</v>
      </c>
      <c r="D22" s="24">
        <v>4</v>
      </c>
      <c r="E22" s="29">
        <v>5</v>
      </c>
      <c r="F22" s="661">
        <v>6</v>
      </c>
      <c r="G22" s="24">
        <v>7</v>
      </c>
      <c r="H22" s="26">
        <v>8</v>
      </c>
      <c r="I22" s="27">
        <v>9</v>
      </c>
      <c r="J22" s="24">
        <v>10</v>
      </c>
      <c r="K22" s="28">
        <v>11</v>
      </c>
      <c r="L22" s="27">
        <v>12</v>
      </c>
      <c r="M22" s="28">
        <v>13</v>
      </c>
      <c r="N22" s="29">
        <v>14</v>
      </c>
      <c r="O22" s="27">
        <v>15</v>
      </c>
      <c r="P22" s="27">
        <v>16</v>
      </c>
    </row>
    <row r="23" spans="1:19" s="41" customFormat="1" x14ac:dyDescent="0.25">
      <c r="A23" s="30"/>
      <c r="B23" s="31" t="s">
        <v>41</v>
      </c>
      <c r="C23" s="35"/>
      <c r="D23" s="33"/>
      <c r="E23" s="39"/>
      <c r="F23" s="421"/>
      <c r="G23" s="33"/>
      <c r="H23" s="36"/>
      <c r="I23" s="37"/>
      <c r="J23" s="33"/>
      <c r="K23" s="38"/>
      <c r="L23" s="37"/>
      <c r="M23" s="38"/>
      <c r="N23" s="39"/>
      <c r="O23" s="37"/>
      <c r="P23" s="40"/>
    </row>
    <row r="24" spans="1:19" s="41" customFormat="1" ht="12.75" thickBot="1" x14ac:dyDescent="0.3">
      <c r="A24" s="42"/>
      <c r="B24" s="43" t="s">
        <v>42</v>
      </c>
      <c r="C24" s="47">
        <f>F24+I24+L24+O24</f>
        <v>626814</v>
      </c>
      <c r="D24" s="45">
        <f>SUM(D25,D28,D29,D45,D46)</f>
        <v>580041</v>
      </c>
      <c r="E24" s="51">
        <f>SUM(E25,E28,E29,E45,E46)</f>
        <v>3090</v>
      </c>
      <c r="F24" s="425">
        <f t="shared" ref="F24:F29" si="0">D24+E24</f>
        <v>583131</v>
      </c>
      <c r="G24" s="45">
        <f>SUM(G25,G28,G46)</f>
        <v>0</v>
      </c>
      <c r="H24" s="48">
        <f>SUM(H25,H28,H46)</f>
        <v>0</v>
      </c>
      <c r="I24" s="49">
        <f>G24+H24</f>
        <v>0</v>
      </c>
      <c r="J24" s="45">
        <f>SUM(J25,J30,J46)</f>
        <v>43683</v>
      </c>
      <c r="K24" s="48">
        <f>SUM(K25,K30,K46)</f>
        <v>0</v>
      </c>
      <c r="L24" s="49">
        <f>J24+K24</f>
        <v>43683</v>
      </c>
      <c r="M24" s="50">
        <f>SUM(M25,M48)</f>
        <v>0</v>
      </c>
      <c r="N24" s="51">
        <f>SUM(N25,N48)</f>
        <v>0</v>
      </c>
      <c r="O24" s="49">
        <f>M24+N24</f>
        <v>0</v>
      </c>
      <c r="P24" s="52"/>
      <c r="R24" s="53"/>
      <c r="S24" s="53"/>
    </row>
    <row r="25" spans="1:19" ht="12.75" hidden="1" thickTop="1" x14ac:dyDescent="0.25">
      <c r="A25" s="54"/>
      <c r="B25" s="55" t="s">
        <v>43</v>
      </c>
      <c r="C25" s="59">
        <f>F25+I25+L25+O25</f>
        <v>0</v>
      </c>
      <c r="D25" s="57">
        <f>SUM(D26:D27)</f>
        <v>0</v>
      </c>
      <c r="E25" s="63">
        <f>SUM(E26:E27)</f>
        <v>0</v>
      </c>
      <c r="F25" s="426">
        <f t="shared" si="0"/>
        <v>0</v>
      </c>
      <c r="G25" s="57">
        <f>SUM(G26:G27)</f>
        <v>0</v>
      </c>
      <c r="H25" s="60">
        <f>SUM(H26:H27)</f>
        <v>0</v>
      </c>
      <c r="I25" s="61">
        <f>G25+H25</f>
        <v>0</v>
      </c>
      <c r="J25" s="57">
        <f>SUM(J26:J27)</f>
        <v>0</v>
      </c>
      <c r="K25" s="60">
        <f>SUM(K26:K27)</f>
        <v>0</v>
      </c>
      <c r="L25" s="61">
        <f>J25+K25</f>
        <v>0</v>
      </c>
      <c r="M25" s="62">
        <f>SUM(M26:M27)</f>
        <v>0</v>
      </c>
      <c r="N25" s="63">
        <f>SUM(N26:N27)</f>
        <v>0</v>
      </c>
      <c r="O25" s="61">
        <f>M25+N25</f>
        <v>0</v>
      </c>
      <c r="P25" s="64"/>
      <c r="R25" s="53"/>
      <c r="S25" s="53"/>
    </row>
    <row r="26" spans="1:19" ht="12.75" hidden="1" thickTop="1" x14ac:dyDescent="0.25">
      <c r="A26" s="65"/>
      <c r="B26" s="66" t="s">
        <v>44</v>
      </c>
      <c r="C26" s="625">
        <f>F26+I26+L26+O26</f>
        <v>0</v>
      </c>
      <c r="D26" s="68"/>
      <c r="E26" s="69"/>
      <c r="F26" s="70">
        <f t="shared" si="0"/>
        <v>0</v>
      </c>
      <c r="G26" s="68"/>
      <c r="H26" s="71"/>
      <c r="I26" s="72">
        <f>G26+H26</f>
        <v>0</v>
      </c>
      <c r="J26" s="68"/>
      <c r="K26" s="71"/>
      <c r="L26" s="72">
        <f>J26+K26</f>
        <v>0</v>
      </c>
      <c r="M26" s="73"/>
      <c r="N26" s="69"/>
      <c r="O26" s="72">
        <f>M26+N26</f>
        <v>0</v>
      </c>
      <c r="P26" s="74"/>
      <c r="R26" s="53"/>
      <c r="S26" s="53"/>
    </row>
    <row r="27" spans="1:19" ht="12.75" hidden="1" thickTop="1" x14ac:dyDescent="0.25">
      <c r="A27" s="75"/>
      <c r="B27" s="76" t="s">
        <v>45</v>
      </c>
      <c r="C27" s="80">
        <f>F27+I27+L27+O27</f>
        <v>0</v>
      </c>
      <c r="D27" s="78"/>
      <c r="E27" s="84"/>
      <c r="F27" s="429">
        <f t="shared" si="0"/>
        <v>0</v>
      </c>
      <c r="G27" s="78"/>
      <c r="H27" s="81"/>
      <c r="I27" s="82">
        <f>G27+H27</f>
        <v>0</v>
      </c>
      <c r="J27" s="78"/>
      <c r="K27" s="81"/>
      <c r="L27" s="82">
        <f>J27+K27</f>
        <v>0</v>
      </c>
      <c r="M27" s="83"/>
      <c r="N27" s="84"/>
      <c r="O27" s="82">
        <f>M27+N27</f>
        <v>0</v>
      </c>
      <c r="P27" s="85"/>
      <c r="R27" s="53"/>
      <c r="S27" s="53"/>
    </row>
    <row r="28" spans="1:19" s="41" customFormat="1" ht="25.5" thickTop="1" thickBot="1" x14ac:dyDescent="0.3">
      <c r="A28" s="86">
        <v>19300</v>
      </c>
      <c r="B28" s="86" t="s">
        <v>46</v>
      </c>
      <c r="C28" s="90">
        <f>SUM(F28,I28)</f>
        <v>583131</v>
      </c>
      <c r="D28" s="88">
        <f>D54</f>
        <v>580041</v>
      </c>
      <c r="E28" s="434">
        <v>3090</v>
      </c>
      <c r="F28" s="433">
        <f t="shared" si="0"/>
        <v>583131</v>
      </c>
      <c r="G28" s="88"/>
      <c r="H28" s="91"/>
      <c r="I28" s="92">
        <f>G28+H28</f>
        <v>0</v>
      </c>
      <c r="J28" s="93" t="s">
        <v>47</v>
      </c>
      <c r="K28" s="94" t="s">
        <v>47</v>
      </c>
      <c r="L28" s="95" t="s">
        <v>47</v>
      </c>
      <c r="M28" s="96" t="s">
        <v>47</v>
      </c>
      <c r="N28" s="97" t="s">
        <v>47</v>
      </c>
      <c r="O28" s="95" t="s">
        <v>47</v>
      </c>
      <c r="P28" s="98"/>
      <c r="R28" s="53"/>
      <c r="S28" s="53"/>
    </row>
    <row r="29" spans="1:19" s="41" customFormat="1" ht="24.75" hidden="1" thickTop="1" x14ac:dyDescent="0.25">
      <c r="A29" s="99"/>
      <c r="B29" s="99" t="s">
        <v>48</v>
      </c>
      <c r="C29" s="249">
        <f>F29</f>
        <v>0</v>
      </c>
      <c r="D29" s="101"/>
      <c r="E29" s="102"/>
      <c r="F29" s="103">
        <f t="shared" si="0"/>
        <v>0</v>
      </c>
      <c r="G29" s="104" t="s">
        <v>47</v>
      </c>
      <c r="H29" s="105" t="s">
        <v>47</v>
      </c>
      <c r="I29" s="106" t="s">
        <v>47</v>
      </c>
      <c r="J29" s="104" t="s">
        <v>47</v>
      </c>
      <c r="K29" s="105" t="s">
        <v>47</v>
      </c>
      <c r="L29" s="106" t="s">
        <v>47</v>
      </c>
      <c r="M29" s="107" t="s">
        <v>47</v>
      </c>
      <c r="N29" s="108" t="s">
        <v>47</v>
      </c>
      <c r="O29" s="106" t="s">
        <v>47</v>
      </c>
      <c r="P29" s="109"/>
      <c r="R29" s="53"/>
      <c r="S29" s="53"/>
    </row>
    <row r="30" spans="1:19" s="41" customFormat="1" ht="24.75" thickTop="1" x14ac:dyDescent="0.25">
      <c r="A30" s="99">
        <v>21300</v>
      </c>
      <c r="B30" s="99" t="s">
        <v>49</v>
      </c>
      <c r="C30" s="249">
        <f t="shared" ref="C30:C44" si="1">L30</f>
        <v>43683</v>
      </c>
      <c r="D30" s="104" t="s">
        <v>47</v>
      </c>
      <c r="E30" s="108" t="s">
        <v>47</v>
      </c>
      <c r="F30" s="140" t="s">
        <v>47</v>
      </c>
      <c r="G30" s="104" t="s">
        <v>47</v>
      </c>
      <c r="H30" s="105" t="s">
        <v>47</v>
      </c>
      <c r="I30" s="106" t="s">
        <v>47</v>
      </c>
      <c r="J30" s="112">
        <f>SUM(J31,J35,J37,J40)</f>
        <v>43683</v>
      </c>
      <c r="K30" s="113">
        <f>SUM(K31,K35,K37,K40)</f>
        <v>0</v>
      </c>
      <c r="L30" s="114">
        <f t="shared" ref="L30:L44" si="2">J30+K30</f>
        <v>43683</v>
      </c>
      <c r="M30" s="107" t="s">
        <v>47</v>
      </c>
      <c r="N30" s="108" t="s">
        <v>47</v>
      </c>
      <c r="O30" s="106" t="s">
        <v>47</v>
      </c>
      <c r="P30" s="109"/>
      <c r="R30" s="53"/>
      <c r="S30" s="53"/>
    </row>
    <row r="31" spans="1:19" s="41" customFormat="1" hidden="1" x14ac:dyDescent="0.25">
      <c r="A31" s="115">
        <v>21350</v>
      </c>
      <c r="B31" s="99" t="s">
        <v>50</v>
      </c>
      <c r="C31" s="249">
        <f t="shared" si="1"/>
        <v>0</v>
      </c>
      <c r="D31" s="104" t="s">
        <v>47</v>
      </c>
      <c r="E31" s="108" t="s">
        <v>47</v>
      </c>
      <c r="F31" s="140" t="s">
        <v>47</v>
      </c>
      <c r="G31" s="104" t="s">
        <v>47</v>
      </c>
      <c r="H31" s="105" t="s">
        <v>47</v>
      </c>
      <c r="I31" s="106" t="s">
        <v>47</v>
      </c>
      <c r="J31" s="112">
        <f>SUM(J32:J34)</f>
        <v>0</v>
      </c>
      <c r="K31" s="113">
        <f>SUM(K32:K34)</f>
        <v>0</v>
      </c>
      <c r="L31" s="114">
        <f t="shared" si="2"/>
        <v>0</v>
      </c>
      <c r="M31" s="107" t="s">
        <v>47</v>
      </c>
      <c r="N31" s="108" t="s">
        <v>47</v>
      </c>
      <c r="O31" s="106" t="s">
        <v>47</v>
      </c>
      <c r="P31" s="109"/>
      <c r="R31" s="53"/>
      <c r="S31" s="53"/>
    </row>
    <row r="32" spans="1:19" hidden="1" x14ac:dyDescent="0.25">
      <c r="A32" s="65">
        <v>21351</v>
      </c>
      <c r="B32" s="116" t="s">
        <v>51</v>
      </c>
      <c r="C32" s="296">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c r="R32" s="53"/>
      <c r="S32" s="53"/>
    </row>
    <row r="33" spans="1:19" hidden="1" x14ac:dyDescent="0.25">
      <c r="A33" s="75">
        <v>21352</v>
      </c>
      <c r="B33" s="127" t="s">
        <v>52</v>
      </c>
      <c r="C33" s="279">
        <f t="shared" si="1"/>
        <v>0</v>
      </c>
      <c r="D33" s="129" t="s">
        <v>47</v>
      </c>
      <c r="E33" s="138" t="s">
        <v>47</v>
      </c>
      <c r="F33" s="139" t="s">
        <v>47</v>
      </c>
      <c r="G33" s="129" t="s">
        <v>47</v>
      </c>
      <c r="H33" s="132" t="s">
        <v>47</v>
      </c>
      <c r="I33" s="133" t="s">
        <v>47</v>
      </c>
      <c r="J33" s="134"/>
      <c r="K33" s="135"/>
      <c r="L33" s="136">
        <f t="shared" si="2"/>
        <v>0</v>
      </c>
      <c r="M33" s="137" t="s">
        <v>47</v>
      </c>
      <c r="N33" s="138" t="s">
        <v>47</v>
      </c>
      <c r="O33" s="133" t="s">
        <v>47</v>
      </c>
      <c r="P33" s="85"/>
      <c r="R33" s="53"/>
      <c r="S33" s="53"/>
    </row>
    <row r="34" spans="1:19" hidden="1" x14ac:dyDescent="0.25">
      <c r="A34" s="75">
        <v>21359</v>
      </c>
      <c r="B34" s="127" t="s">
        <v>53</v>
      </c>
      <c r="C34" s="279">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c r="R34" s="53"/>
      <c r="S34" s="53"/>
    </row>
    <row r="35" spans="1:19" s="41" customFormat="1" ht="24" hidden="1" x14ac:dyDescent="0.25">
      <c r="A35" s="115">
        <v>21370</v>
      </c>
      <c r="B35" s="99" t="s">
        <v>54</v>
      </c>
      <c r="C35" s="249">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c r="R35" s="53"/>
      <c r="S35" s="53"/>
    </row>
    <row r="36" spans="1:19" ht="24" hidden="1" x14ac:dyDescent="0.25">
      <c r="A36" s="141">
        <v>21379</v>
      </c>
      <c r="B36" s="142" t="s">
        <v>55</v>
      </c>
      <c r="C36" s="362">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c r="R36" s="53"/>
      <c r="S36" s="53"/>
    </row>
    <row r="37" spans="1:19" s="41" customFormat="1" hidden="1" x14ac:dyDescent="0.25">
      <c r="A37" s="115">
        <v>21380</v>
      </c>
      <c r="B37" s="99" t="s">
        <v>56</v>
      </c>
      <c r="C37" s="249">
        <f t="shared" si="1"/>
        <v>0</v>
      </c>
      <c r="D37" s="104" t="s">
        <v>47</v>
      </c>
      <c r="E37" s="108" t="s">
        <v>47</v>
      </c>
      <c r="F37" s="140" t="s">
        <v>47</v>
      </c>
      <c r="G37" s="104" t="s">
        <v>47</v>
      </c>
      <c r="H37" s="105" t="s">
        <v>47</v>
      </c>
      <c r="I37" s="106" t="s">
        <v>47</v>
      </c>
      <c r="J37" s="112">
        <f>SUM(J38:J39)</f>
        <v>0</v>
      </c>
      <c r="K37" s="113">
        <f>SUM(K38:K39)</f>
        <v>0</v>
      </c>
      <c r="L37" s="114">
        <f t="shared" si="2"/>
        <v>0</v>
      </c>
      <c r="M37" s="107" t="s">
        <v>47</v>
      </c>
      <c r="N37" s="108" t="s">
        <v>47</v>
      </c>
      <c r="O37" s="106" t="s">
        <v>47</v>
      </c>
      <c r="P37" s="109"/>
      <c r="R37" s="53"/>
      <c r="S37" s="53"/>
    </row>
    <row r="38" spans="1:19" hidden="1" x14ac:dyDescent="0.25">
      <c r="A38" s="66">
        <v>21381</v>
      </c>
      <c r="B38" s="116" t="s">
        <v>57</v>
      </c>
      <c r="C38" s="296">
        <f t="shared" si="1"/>
        <v>0</v>
      </c>
      <c r="D38" s="118" t="s">
        <v>47</v>
      </c>
      <c r="E38" s="119" t="s">
        <v>47</v>
      </c>
      <c r="F38" s="120" t="s">
        <v>47</v>
      </c>
      <c r="G38" s="118" t="s">
        <v>47</v>
      </c>
      <c r="H38" s="121" t="s">
        <v>47</v>
      </c>
      <c r="I38" s="122" t="s">
        <v>47</v>
      </c>
      <c r="J38" s="123"/>
      <c r="K38" s="124"/>
      <c r="L38" s="125">
        <f t="shared" si="2"/>
        <v>0</v>
      </c>
      <c r="M38" s="126" t="s">
        <v>47</v>
      </c>
      <c r="N38" s="119" t="s">
        <v>47</v>
      </c>
      <c r="O38" s="122" t="s">
        <v>47</v>
      </c>
      <c r="P38" s="74"/>
      <c r="R38" s="53"/>
      <c r="S38" s="53"/>
    </row>
    <row r="39" spans="1:19" hidden="1" x14ac:dyDescent="0.25">
      <c r="A39" s="76">
        <v>21383</v>
      </c>
      <c r="B39" s="127" t="s">
        <v>58</v>
      </c>
      <c r="C39" s="279">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c r="R39" s="53"/>
      <c r="S39" s="53"/>
    </row>
    <row r="40" spans="1:19" s="41" customFormat="1" ht="24" x14ac:dyDescent="0.25">
      <c r="A40" s="115">
        <v>21390</v>
      </c>
      <c r="B40" s="99" t="s">
        <v>59</v>
      </c>
      <c r="C40" s="249">
        <f t="shared" si="1"/>
        <v>43683</v>
      </c>
      <c r="D40" s="104" t="s">
        <v>47</v>
      </c>
      <c r="E40" s="108" t="s">
        <v>47</v>
      </c>
      <c r="F40" s="140" t="s">
        <v>47</v>
      </c>
      <c r="G40" s="104" t="s">
        <v>47</v>
      </c>
      <c r="H40" s="105" t="s">
        <v>47</v>
      </c>
      <c r="I40" s="106" t="s">
        <v>47</v>
      </c>
      <c r="J40" s="112">
        <f>SUM(J41:J44)</f>
        <v>43683</v>
      </c>
      <c r="K40" s="113">
        <f>SUM(K41:K44)</f>
        <v>0</v>
      </c>
      <c r="L40" s="114">
        <f t="shared" si="2"/>
        <v>43683</v>
      </c>
      <c r="M40" s="107" t="s">
        <v>47</v>
      </c>
      <c r="N40" s="108" t="s">
        <v>47</v>
      </c>
      <c r="O40" s="106" t="s">
        <v>47</v>
      </c>
      <c r="P40" s="109"/>
      <c r="R40" s="53"/>
      <c r="S40" s="53"/>
    </row>
    <row r="41" spans="1:19" ht="24" hidden="1" x14ac:dyDescent="0.25">
      <c r="A41" s="66">
        <v>21391</v>
      </c>
      <c r="B41" s="116" t="s">
        <v>60</v>
      </c>
      <c r="C41" s="296">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c r="R41" s="53"/>
      <c r="S41" s="53"/>
    </row>
    <row r="42" spans="1:19" hidden="1" x14ac:dyDescent="0.25">
      <c r="A42" s="76">
        <v>21393</v>
      </c>
      <c r="B42" s="127" t="s">
        <v>61</v>
      </c>
      <c r="C42" s="279">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c r="R42" s="53"/>
      <c r="S42" s="53"/>
    </row>
    <row r="43" spans="1:19" hidden="1" x14ac:dyDescent="0.25">
      <c r="A43" s="76">
        <v>21395</v>
      </c>
      <c r="B43" s="127" t="s">
        <v>62</v>
      </c>
      <c r="C43" s="279">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c r="R43" s="53"/>
      <c r="S43" s="53"/>
    </row>
    <row r="44" spans="1:19" x14ac:dyDescent="0.25">
      <c r="A44" s="76">
        <v>21399</v>
      </c>
      <c r="B44" s="127" t="s">
        <v>63</v>
      </c>
      <c r="C44" s="279">
        <f t="shared" si="1"/>
        <v>43683</v>
      </c>
      <c r="D44" s="129" t="s">
        <v>47</v>
      </c>
      <c r="E44" s="138" t="s">
        <v>47</v>
      </c>
      <c r="F44" s="139" t="s">
        <v>47</v>
      </c>
      <c r="G44" s="129" t="s">
        <v>47</v>
      </c>
      <c r="H44" s="132" t="s">
        <v>47</v>
      </c>
      <c r="I44" s="133" t="s">
        <v>47</v>
      </c>
      <c r="J44" s="134">
        <v>43683</v>
      </c>
      <c r="K44" s="135"/>
      <c r="L44" s="136">
        <f t="shared" si="2"/>
        <v>43683</v>
      </c>
      <c r="M44" s="137" t="s">
        <v>47</v>
      </c>
      <c r="N44" s="138" t="s">
        <v>47</v>
      </c>
      <c r="O44" s="133" t="s">
        <v>47</v>
      </c>
      <c r="P44" s="85"/>
      <c r="R44" s="53"/>
      <c r="S44" s="53"/>
    </row>
    <row r="45" spans="1:19" s="41" customFormat="1" ht="24" hidden="1" x14ac:dyDescent="0.25">
      <c r="A45" s="115">
        <v>21420</v>
      </c>
      <c r="B45" s="99" t="s">
        <v>64</v>
      </c>
      <c r="C45" s="634">
        <f>F45</f>
        <v>0</v>
      </c>
      <c r="D45" s="157"/>
      <c r="E45" s="158"/>
      <c r="F45" s="103">
        <f>D45+E45</f>
        <v>0</v>
      </c>
      <c r="G45" s="104" t="s">
        <v>47</v>
      </c>
      <c r="H45" s="105" t="s">
        <v>47</v>
      </c>
      <c r="I45" s="106" t="s">
        <v>47</v>
      </c>
      <c r="J45" s="104" t="s">
        <v>47</v>
      </c>
      <c r="K45" s="105" t="s">
        <v>47</v>
      </c>
      <c r="L45" s="106" t="s">
        <v>47</v>
      </c>
      <c r="M45" s="107" t="s">
        <v>47</v>
      </c>
      <c r="N45" s="108" t="s">
        <v>47</v>
      </c>
      <c r="O45" s="106" t="s">
        <v>47</v>
      </c>
      <c r="P45" s="109"/>
      <c r="R45" s="53"/>
      <c r="S45" s="53"/>
    </row>
    <row r="46" spans="1:19" s="41" customFormat="1" hidden="1" x14ac:dyDescent="0.25">
      <c r="A46" s="159">
        <v>21490</v>
      </c>
      <c r="B46" s="160" t="s">
        <v>65</v>
      </c>
      <c r="C46" s="634">
        <f>F46+I46+L46</f>
        <v>0</v>
      </c>
      <c r="D46" s="161">
        <f>D47</f>
        <v>0</v>
      </c>
      <c r="E46" s="162">
        <f>E47</f>
        <v>0</v>
      </c>
      <c r="F46" s="163">
        <f>D46+E46</f>
        <v>0</v>
      </c>
      <c r="G46" s="161">
        <f>G47</f>
        <v>0</v>
      </c>
      <c r="H46" s="164">
        <f t="shared" ref="H46:K46" si="3">H47</f>
        <v>0</v>
      </c>
      <c r="I46" s="165">
        <f>G46+H46</f>
        <v>0</v>
      </c>
      <c r="J46" s="161">
        <f>J47</f>
        <v>0</v>
      </c>
      <c r="K46" s="164">
        <f t="shared" si="3"/>
        <v>0</v>
      </c>
      <c r="L46" s="165">
        <f>J46+K46</f>
        <v>0</v>
      </c>
      <c r="M46" s="107" t="s">
        <v>47</v>
      </c>
      <c r="N46" s="108" t="s">
        <v>47</v>
      </c>
      <c r="O46" s="106" t="s">
        <v>47</v>
      </c>
      <c r="P46" s="109"/>
      <c r="R46" s="53"/>
      <c r="S46" s="53"/>
    </row>
    <row r="47" spans="1:19" s="41" customFormat="1" hidden="1" x14ac:dyDescent="0.25">
      <c r="A47" s="76">
        <v>21499</v>
      </c>
      <c r="B47" s="127" t="s">
        <v>66</v>
      </c>
      <c r="C47" s="638">
        <f>F47+I47+L47</f>
        <v>0</v>
      </c>
      <c r="D47" s="68"/>
      <c r="E47" s="69"/>
      <c r="F47" s="70">
        <f>D47+E47</f>
        <v>0</v>
      </c>
      <c r="G47" s="167"/>
      <c r="H47" s="71"/>
      <c r="I47" s="72">
        <f>G47+H47</f>
        <v>0</v>
      </c>
      <c r="J47" s="68"/>
      <c r="K47" s="71"/>
      <c r="L47" s="72">
        <f>J47+K47</f>
        <v>0</v>
      </c>
      <c r="M47" s="152" t="s">
        <v>47</v>
      </c>
      <c r="N47" s="145" t="s">
        <v>47</v>
      </c>
      <c r="O47" s="148" t="s">
        <v>47</v>
      </c>
      <c r="P47" s="153"/>
      <c r="R47" s="53"/>
      <c r="S47" s="53"/>
    </row>
    <row r="48" spans="1:19" hidden="1" x14ac:dyDescent="0.25">
      <c r="A48" s="168">
        <v>23000</v>
      </c>
      <c r="B48" s="169" t="s">
        <v>67</v>
      </c>
      <c r="C48" s="634">
        <f>O48</f>
        <v>0</v>
      </c>
      <c r="D48" s="170" t="s">
        <v>47</v>
      </c>
      <c r="E48" s="171" t="s">
        <v>47</v>
      </c>
      <c r="F48" s="172" t="s">
        <v>47</v>
      </c>
      <c r="G48" s="170" t="s">
        <v>47</v>
      </c>
      <c r="H48" s="173" t="s">
        <v>47</v>
      </c>
      <c r="I48" s="174" t="s">
        <v>47</v>
      </c>
      <c r="J48" s="170" t="s">
        <v>47</v>
      </c>
      <c r="K48" s="173" t="s">
        <v>47</v>
      </c>
      <c r="L48" s="174" t="s">
        <v>47</v>
      </c>
      <c r="M48" s="175">
        <f>SUM(M49:M50)</f>
        <v>0</v>
      </c>
      <c r="N48" s="176">
        <f>SUM(N49:N50)</f>
        <v>0</v>
      </c>
      <c r="O48" s="177">
        <f>M48+N48</f>
        <v>0</v>
      </c>
      <c r="P48" s="109"/>
      <c r="R48" s="53"/>
      <c r="S48" s="53"/>
    </row>
    <row r="49" spans="1:19" hidden="1" x14ac:dyDescent="0.25">
      <c r="A49" s="178">
        <v>23410</v>
      </c>
      <c r="B49" s="179" t="s">
        <v>68</v>
      </c>
      <c r="C49" s="194">
        <f>O49</f>
        <v>0</v>
      </c>
      <c r="D49" s="181" t="s">
        <v>47</v>
      </c>
      <c r="E49" s="182" t="s">
        <v>47</v>
      </c>
      <c r="F49" s="183" t="s">
        <v>47</v>
      </c>
      <c r="G49" s="181" t="s">
        <v>47</v>
      </c>
      <c r="H49" s="184" t="s">
        <v>47</v>
      </c>
      <c r="I49" s="185" t="s">
        <v>47</v>
      </c>
      <c r="J49" s="181" t="s">
        <v>47</v>
      </c>
      <c r="K49" s="184" t="s">
        <v>47</v>
      </c>
      <c r="L49" s="185" t="s">
        <v>47</v>
      </c>
      <c r="M49" s="186"/>
      <c r="N49" s="187"/>
      <c r="O49" s="188">
        <f>M49+N49</f>
        <v>0</v>
      </c>
      <c r="P49" s="189"/>
      <c r="R49" s="53"/>
      <c r="S49" s="53"/>
    </row>
    <row r="50" spans="1:19" hidden="1" x14ac:dyDescent="0.25">
      <c r="A50" s="178">
        <v>23510</v>
      </c>
      <c r="B50" s="179" t="s">
        <v>69</v>
      </c>
      <c r="C50" s="194">
        <f>O50</f>
        <v>0</v>
      </c>
      <c r="D50" s="181" t="s">
        <v>47</v>
      </c>
      <c r="E50" s="182" t="s">
        <v>47</v>
      </c>
      <c r="F50" s="183" t="s">
        <v>47</v>
      </c>
      <c r="G50" s="181" t="s">
        <v>47</v>
      </c>
      <c r="H50" s="184" t="s">
        <v>47</v>
      </c>
      <c r="I50" s="185" t="s">
        <v>47</v>
      </c>
      <c r="J50" s="181" t="s">
        <v>47</v>
      </c>
      <c r="K50" s="184" t="s">
        <v>47</v>
      </c>
      <c r="L50" s="185" t="s">
        <v>47</v>
      </c>
      <c r="M50" s="186"/>
      <c r="N50" s="187"/>
      <c r="O50" s="188">
        <f>M50+N50</f>
        <v>0</v>
      </c>
      <c r="P50" s="189"/>
      <c r="R50" s="53"/>
      <c r="S50" s="53"/>
    </row>
    <row r="51" spans="1:19" x14ac:dyDescent="0.25">
      <c r="A51" s="190"/>
      <c r="B51" s="179"/>
      <c r="C51" s="257"/>
      <c r="D51" s="192"/>
      <c r="E51" s="689"/>
      <c r="F51" s="454"/>
      <c r="G51" s="192"/>
      <c r="H51" s="195"/>
      <c r="I51" s="185"/>
      <c r="J51" s="196"/>
      <c r="K51" s="197"/>
      <c r="L51" s="188"/>
      <c r="M51" s="186"/>
      <c r="N51" s="187"/>
      <c r="O51" s="188"/>
      <c r="P51" s="189"/>
      <c r="R51" s="53"/>
      <c r="S51" s="53"/>
    </row>
    <row r="52" spans="1:19" s="41" customFormat="1" x14ac:dyDescent="0.25">
      <c r="A52" s="198"/>
      <c r="B52" s="199" t="s">
        <v>70</v>
      </c>
      <c r="C52" s="640"/>
      <c r="D52" s="201"/>
      <c r="E52" s="207"/>
      <c r="F52" s="770"/>
      <c r="G52" s="201"/>
      <c r="H52" s="204"/>
      <c r="I52" s="205"/>
      <c r="J52" s="201"/>
      <c r="K52" s="204"/>
      <c r="L52" s="205"/>
      <c r="M52" s="206"/>
      <c r="N52" s="207"/>
      <c r="O52" s="205"/>
      <c r="P52" s="208"/>
      <c r="R52" s="53"/>
      <c r="S52" s="53"/>
    </row>
    <row r="53" spans="1:19" s="41" customFormat="1" ht="12.75" thickBot="1" x14ac:dyDescent="0.3">
      <c r="A53" s="209"/>
      <c r="B53" s="42" t="s">
        <v>71</v>
      </c>
      <c r="C53" s="213">
        <f t="shared" ref="C53:C116" si="4">F53+I53+L53+O53</f>
        <v>626814</v>
      </c>
      <c r="D53" s="211">
        <f>SUM(D54,D284)</f>
        <v>580041</v>
      </c>
      <c r="E53" s="217">
        <f>SUM(E54,E284)</f>
        <v>3090</v>
      </c>
      <c r="F53" s="463">
        <f t="shared" ref="F53:F117" si="5">D53+E53</f>
        <v>583131</v>
      </c>
      <c r="G53" s="211">
        <f>SUM(G54,G284)</f>
        <v>0</v>
      </c>
      <c r="H53" s="214">
        <f>SUM(H54,H284)</f>
        <v>0</v>
      </c>
      <c r="I53" s="215">
        <f t="shared" ref="I53:I117" si="6">G53+H53</f>
        <v>0</v>
      </c>
      <c r="J53" s="211">
        <f>SUM(J54,J284)</f>
        <v>43683</v>
      </c>
      <c r="K53" s="214">
        <f>SUM(K54,K284)</f>
        <v>0</v>
      </c>
      <c r="L53" s="215">
        <f t="shared" ref="L53:L117" si="7">J53+K53</f>
        <v>43683</v>
      </c>
      <c r="M53" s="216">
        <f>SUM(M54,M284)</f>
        <v>0</v>
      </c>
      <c r="N53" s="217">
        <f>SUM(N54,N284)</f>
        <v>0</v>
      </c>
      <c r="O53" s="215">
        <f t="shared" ref="O53:O117" si="8">M53+N53</f>
        <v>0</v>
      </c>
      <c r="P53" s="52"/>
      <c r="R53" s="53"/>
      <c r="S53" s="53"/>
    </row>
    <row r="54" spans="1:19" s="41" customFormat="1" ht="24.75" thickTop="1" x14ac:dyDescent="0.25">
      <c r="A54" s="218"/>
      <c r="B54" s="219" t="s">
        <v>72</v>
      </c>
      <c r="C54" s="223">
        <f t="shared" si="4"/>
        <v>626814</v>
      </c>
      <c r="D54" s="221">
        <f>SUM(D55,D197)</f>
        <v>580041</v>
      </c>
      <c r="E54" s="227">
        <f>SUM(E55,E197)</f>
        <v>3090</v>
      </c>
      <c r="F54" s="464">
        <f t="shared" si="5"/>
        <v>583131</v>
      </c>
      <c r="G54" s="221">
        <f>SUM(G55,G197)</f>
        <v>0</v>
      </c>
      <c r="H54" s="224">
        <f>SUM(H55,H197)</f>
        <v>0</v>
      </c>
      <c r="I54" s="225">
        <f t="shared" si="6"/>
        <v>0</v>
      </c>
      <c r="J54" s="221">
        <f>SUM(J55,J197)</f>
        <v>43683</v>
      </c>
      <c r="K54" s="224">
        <f>SUM(K55,K197)</f>
        <v>0</v>
      </c>
      <c r="L54" s="225">
        <f t="shared" si="7"/>
        <v>43683</v>
      </c>
      <c r="M54" s="226">
        <f>SUM(M55,M197)</f>
        <v>0</v>
      </c>
      <c r="N54" s="227">
        <f>SUM(N55,N197)</f>
        <v>0</v>
      </c>
      <c r="O54" s="225">
        <f t="shared" si="8"/>
        <v>0</v>
      </c>
      <c r="P54" s="228"/>
      <c r="R54" s="53"/>
      <c r="S54" s="53"/>
    </row>
    <row r="55" spans="1:19" s="41" customFormat="1" ht="24" x14ac:dyDescent="0.25">
      <c r="A55" s="35"/>
      <c r="B55" s="30" t="s">
        <v>73</v>
      </c>
      <c r="C55" s="232">
        <f t="shared" si="4"/>
        <v>626814</v>
      </c>
      <c r="D55" s="230">
        <f>SUM(D56,D78,D176,D190)</f>
        <v>580041</v>
      </c>
      <c r="E55" s="235">
        <f>SUM(E56,E78,E176,E190)</f>
        <v>3090</v>
      </c>
      <c r="F55" s="459">
        <f t="shared" si="5"/>
        <v>583131</v>
      </c>
      <c r="G55" s="230">
        <f>SUM(G56,G78,G176,G190)</f>
        <v>0</v>
      </c>
      <c r="H55" s="233">
        <f>SUM(H56,H78,H176,H190)</f>
        <v>0</v>
      </c>
      <c r="I55" s="234">
        <f t="shared" si="6"/>
        <v>0</v>
      </c>
      <c r="J55" s="230">
        <f>SUM(J56,J78,J176,J190)</f>
        <v>43683</v>
      </c>
      <c r="K55" s="233">
        <f>SUM(K56,K78,K176,K190)</f>
        <v>0</v>
      </c>
      <c r="L55" s="234">
        <f t="shared" si="7"/>
        <v>43683</v>
      </c>
      <c r="M55" s="53">
        <f>SUM(M56,M78,M176,M190)</f>
        <v>0</v>
      </c>
      <c r="N55" s="235">
        <f>SUM(N56,N78,N176,N190)</f>
        <v>0</v>
      </c>
      <c r="O55" s="234">
        <f t="shared" si="8"/>
        <v>0</v>
      </c>
      <c r="P55" s="236"/>
      <c r="R55" s="53"/>
      <c r="S55" s="53"/>
    </row>
    <row r="56" spans="1:19" s="41" customFormat="1" hidden="1" x14ac:dyDescent="0.25">
      <c r="A56" s="237">
        <v>1000</v>
      </c>
      <c r="B56" s="237" t="s">
        <v>74</v>
      </c>
      <c r="C56" s="241">
        <f t="shared" si="4"/>
        <v>0</v>
      </c>
      <c r="D56" s="239">
        <f>SUM(D57,D70)</f>
        <v>0</v>
      </c>
      <c r="E56" s="245">
        <f>SUM(E57,E70)</f>
        <v>0</v>
      </c>
      <c r="F56" s="320">
        <f t="shared" si="5"/>
        <v>0</v>
      </c>
      <c r="G56" s="239">
        <f>SUM(G57,G70)</f>
        <v>0</v>
      </c>
      <c r="H56" s="242">
        <f>SUM(H57,H70)</f>
        <v>0</v>
      </c>
      <c r="I56" s="243">
        <f t="shared" si="6"/>
        <v>0</v>
      </c>
      <c r="J56" s="239">
        <f>SUM(J57,J70)</f>
        <v>0</v>
      </c>
      <c r="K56" s="242">
        <f>SUM(K57,K70)</f>
        <v>0</v>
      </c>
      <c r="L56" s="243">
        <f t="shared" si="7"/>
        <v>0</v>
      </c>
      <c r="M56" s="244">
        <f>SUM(M57,M70)</f>
        <v>0</v>
      </c>
      <c r="N56" s="245">
        <f>SUM(N57,N70)</f>
        <v>0</v>
      </c>
      <c r="O56" s="243">
        <f t="shared" si="8"/>
        <v>0</v>
      </c>
      <c r="P56" s="246"/>
      <c r="R56" s="53"/>
      <c r="S56" s="53"/>
    </row>
    <row r="57" spans="1:19" hidden="1" x14ac:dyDescent="0.25">
      <c r="A57" s="99">
        <v>1100</v>
      </c>
      <c r="B57" s="247" t="s">
        <v>75</v>
      </c>
      <c r="C57" s="249">
        <f t="shared" si="4"/>
        <v>0</v>
      </c>
      <c r="D57" s="112">
        <f>SUM(D58,D61,D69)</f>
        <v>0</v>
      </c>
      <c r="E57" s="293">
        <f>SUM(E58,E61,E69)</f>
        <v>0</v>
      </c>
      <c r="F57" s="313">
        <f t="shared" si="5"/>
        <v>0</v>
      </c>
      <c r="G57" s="112">
        <f>SUM(G58,G61,G69)</f>
        <v>0</v>
      </c>
      <c r="H57" s="113">
        <f>SUM(H58,H61,H69)</f>
        <v>0</v>
      </c>
      <c r="I57" s="114">
        <f t="shared" si="6"/>
        <v>0</v>
      </c>
      <c r="J57" s="112">
        <f>SUM(J58,J61,J69)</f>
        <v>0</v>
      </c>
      <c r="K57" s="113">
        <f>SUM(K58,K61,K69)</f>
        <v>0</v>
      </c>
      <c r="L57" s="114">
        <f t="shared" si="7"/>
        <v>0</v>
      </c>
      <c r="M57" s="250">
        <f>SUM(M58,M61,M69)</f>
        <v>0</v>
      </c>
      <c r="N57" s="251">
        <f>SUM(N58,N61,N69)</f>
        <v>0</v>
      </c>
      <c r="O57" s="252">
        <f t="shared" si="8"/>
        <v>0</v>
      </c>
      <c r="P57" s="253"/>
      <c r="R57" s="53"/>
      <c r="S57" s="53"/>
    </row>
    <row r="58" spans="1:19" hidden="1" x14ac:dyDescent="0.25">
      <c r="A58" s="254">
        <v>1110</v>
      </c>
      <c r="B58" s="179" t="s">
        <v>76</v>
      </c>
      <c r="C58" s="257">
        <f t="shared" si="4"/>
        <v>0</v>
      </c>
      <c r="D58" s="255">
        <f>SUM(D59:D60)</f>
        <v>0</v>
      </c>
      <c r="E58" s="261">
        <f>SUM(E59:E60)</f>
        <v>0</v>
      </c>
      <c r="F58" s="310">
        <f t="shared" si="5"/>
        <v>0</v>
      </c>
      <c r="G58" s="255">
        <f>SUM(G59:G60)</f>
        <v>0</v>
      </c>
      <c r="H58" s="258">
        <f>SUM(H59:H60)</f>
        <v>0</v>
      </c>
      <c r="I58" s="259">
        <f t="shared" si="6"/>
        <v>0</v>
      </c>
      <c r="J58" s="255">
        <f>SUM(J59:J60)</f>
        <v>0</v>
      </c>
      <c r="K58" s="258">
        <f>SUM(K59:K60)</f>
        <v>0</v>
      </c>
      <c r="L58" s="259">
        <f t="shared" si="7"/>
        <v>0</v>
      </c>
      <c r="M58" s="260">
        <f>SUM(M59:M60)</f>
        <v>0</v>
      </c>
      <c r="N58" s="261">
        <f>SUM(N59:N60)</f>
        <v>0</v>
      </c>
      <c r="O58" s="259">
        <f t="shared" si="8"/>
        <v>0</v>
      </c>
      <c r="P58" s="189"/>
      <c r="R58" s="53"/>
      <c r="S58" s="53"/>
    </row>
    <row r="59" spans="1:19" hidden="1" x14ac:dyDescent="0.25">
      <c r="A59" s="66">
        <v>1111</v>
      </c>
      <c r="B59" s="116" t="s">
        <v>77</v>
      </c>
      <c r="C59" s="296">
        <f t="shared" si="4"/>
        <v>0</v>
      </c>
      <c r="D59" s="123">
        <v>0</v>
      </c>
      <c r="E59" s="262"/>
      <c r="F59" s="263">
        <f t="shared" si="5"/>
        <v>0</v>
      </c>
      <c r="G59" s="123"/>
      <c r="H59" s="124"/>
      <c r="I59" s="125">
        <f t="shared" si="6"/>
        <v>0</v>
      </c>
      <c r="J59" s="123">
        <v>0</v>
      </c>
      <c r="K59" s="124"/>
      <c r="L59" s="125">
        <f t="shared" si="7"/>
        <v>0</v>
      </c>
      <c r="M59" s="264"/>
      <c r="N59" s="262"/>
      <c r="O59" s="125">
        <f t="shared" si="8"/>
        <v>0</v>
      </c>
      <c r="P59" s="74"/>
      <c r="R59" s="53"/>
      <c r="S59" s="53"/>
    </row>
    <row r="60" spans="1:19" hidden="1" x14ac:dyDescent="0.25">
      <c r="A60" s="76">
        <v>1119</v>
      </c>
      <c r="B60" s="127" t="s">
        <v>78</v>
      </c>
      <c r="C60" s="279">
        <f t="shared" si="4"/>
        <v>0</v>
      </c>
      <c r="D60" s="134">
        <v>0</v>
      </c>
      <c r="E60" s="285"/>
      <c r="F60" s="286">
        <f t="shared" si="5"/>
        <v>0</v>
      </c>
      <c r="G60" s="134"/>
      <c r="H60" s="135"/>
      <c r="I60" s="136">
        <f t="shared" si="6"/>
        <v>0</v>
      </c>
      <c r="J60" s="134">
        <v>0</v>
      </c>
      <c r="K60" s="135"/>
      <c r="L60" s="136">
        <f t="shared" si="7"/>
        <v>0</v>
      </c>
      <c r="M60" s="284"/>
      <c r="N60" s="285"/>
      <c r="O60" s="136">
        <f t="shared" si="8"/>
        <v>0</v>
      </c>
      <c r="P60" s="85"/>
      <c r="R60" s="53"/>
      <c r="S60" s="53"/>
    </row>
    <row r="61" spans="1:19" hidden="1" x14ac:dyDescent="0.25">
      <c r="A61" s="276">
        <v>1140</v>
      </c>
      <c r="B61" s="127" t="s">
        <v>79</v>
      </c>
      <c r="C61" s="279">
        <f t="shared" si="4"/>
        <v>0</v>
      </c>
      <c r="D61" s="277">
        <f>SUM(D62:D68)</f>
        <v>0</v>
      </c>
      <c r="E61" s="282">
        <f>SUM(E62:E68)</f>
        <v>0</v>
      </c>
      <c r="F61" s="286">
        <f>D61+E61</f>
        <v>0</v>
      </c>
      <c r="G61" s="277">
        <f>SUM(G62:G68)</f>
        <v>0</v>
      </c>
      <c r="H61" s="280">
        <f>SUM(H62:H68)</f>
        <v>0</v>
      </c>
      <c r="I61" s="136">
        <f t="shared" si="6"/>
        <v>0</v>
      </c>
      <c r="J61" s="277">
        <f>SUM(J62:J68)</f>
        <v>0</v>
      </c>
      <c r="K61" s="280">
        <f>SUM(K62:K68)</f>
        <v>0</v>
      </c>
      <c r="L61" s="136">
        <f t="shared" si="7"/>
        <v>0</v>
      </c>
      <c r="M61" s="281">
        <f>SUM(M62:M68)</f>
        <v>0</v>
      </c>
      <c r="N61" s="282">
        <f>SUM(N62:N68)</f>
        <v>0</v>
      </c>
      <c r="O61" s="136">
        <f t="shared" si="8"/>
        <v>0</v>
      </c>
      <c r="P61" s="85"/>
      <c r="R61" s="53"/>
      <c r="S61" s="53"/>
    </row>
    <row r="62" spans="1:19" hidden="1" x14ac:dyDescent="0.25">
      <c r="A62" s="76">
        <v>1141</v>
      </c>
      <c r="B62" s="127" t="s">
        <v>80</v>
      </c>
      <c r="C62" s="279">
        <f t="shared" si="4"/>
        <v>0</v>
      </c>
      <c r="D62" s="134">
        <v>0</v>
      </c>
      <c r="E62" s="285"/>
      <c r="F62" s="286">
        <f t="shared" si="5"/>
        <v>0</v>
      </c>
      <c r="G62" s="134"/>
      <c r="H62" s="135"/>
      <c r="I62" s="136">
        <f t="shared" si="6"/>
        <v>0</v>
      </c>
      <c r="J62" s="134">
        <v>0</v>
      </c>
      <c r="K62" s="135"/>
      <c r="L62" s="136">
        <f t="shared" si="7"/>
        <v>0</v>
      </c>
      <c r="M62" s="284"/>
      <c r="N62" s="285"/>
      <c r="O62" s="136">
        <f t="shared" si="8"/>
        <v>0</v>
      </c>
      <c r="P62" s="85"/>
      <c r="R62" s="53"/>
      <c r="S62" s="53"/>
    </row>
    <row r="63" spans="1:19" ht="24" hidden="1" x14ac:dyDescent="0.25">
      <c r="A63" s="76">
        <v>1142</v>
      </c>
      <c r="B63" s="127" t="s">
        <v>81</v>
      </c>
      <c r="C63" s="279">
        <f t="shared" si="4"/>
        <v>0</v>
      </c>
      <c r="D63" s="134">
        <v>0</v>
      </c>
      <c r="E63" s="285"/>
      <c r="F63" s="286">
        <f t="shared" si="5"/>
        <v>0</v>
      </c>
      <c r="G63" s="134"/>
      <c r="H63" s="135"/>
      <c r="I63" s="136">
        <f t="shared" si="6"/>
        <v>0</v>
      </c>
      <c r="J63" s="134">
        <v>0</v>
      </c>
      <c r="K63" s="135"/>
      <c r="L63" s="136">
        <f t="shared" si="7"/>
        <v>0</v>
      </c>
      <c r="M63" s="284"/>
      <c r="N63" s="285"/>
      <c r="O63" s="136">
        <f t="shared" si="8"/>
        <v>0</v>
      </c>
      <c r="P63" s="85"/>
      <c r="R63" s="53"/>
      <c r="S63" s="53"/>
    </row>
    <row r="64" spans="1:19" ht="24" hidden="1" x14ac:dyDescent="0.25">
      <c r="A64" s="76">
        <v>1145</v>
      </c>
      <c r="B64" s="127" t="s">
        <v>82</v>
      </c>
      <c r="C64" s="279">
        <f t="shared" si="4"/>
        <v>0</v>
      </c>
      <c r="D64" s="134">
        <v>0</v>
      </c>
      <c r="E64" s="285"/>
      <c r="F64" s="286">
        <f t="shared" si="5"/>
        <v>0</v>
      </c>
      <c r="G64" s="134"/>
      <c r="H64" s="135"/>
      <c r="I64" s="136">
        <f t="shared" si="6"/>
        <v>0</v>
      </c>
      <c r="J64" s="134">
        <v>0</v>
      </c>
      <c r="K64" s="135"/>
      <c r="L64" s="136">
        <f t="shared" si="7"/>
        <v>0</v>
      </c>
      <c r="M64" s="284"/>
      <c r="N64" s="285"/>
      <c r="O64" s="136">
        <f t="shared" si="8"/>
        <v>0</v>
      </c>
      <c r="P64" s="85"/>
      <c r="R64" s="53"/>
      <c r="S64" s="53"/>
    </row>
    <row r="65" spans="1:19" ht="24" hidden="1" x14ac:dyDescent="0.25">
      <c r="A65" s="76">
        <v>1146</v>
      </c>
      <c r="B65" s="127" t="s">
        <v>83</v>
      </c>
      <c r="C65" s="279">
        <f t="shared" si="4"/>
        <v>0</v>
      </c>
      <c r="D65" s="134">
        <v>0</v>
      </c>
      <c r="E65" s="285"/>
      <c r="F65" s="286">
        <f t="shared" si="5"/>
        <v>0</v>
      </c>
      <c r="G65" s="134"/>
      <c r="H65" s="135"/>
      <c r="I65" s="136">
        <f t="shared" si="6"/>
        <v>0</v>
      </c>
      <c r="J65" s="134">
        <v>0</v>
      </c>
      <c r="K65" s="135"/>
      <c r="L65" s="136">
        <f t="shared" si="7"/>
        <v>0</v>
      </c>
      <c r="M65" s="284"/>
      <c r="N65" s="285"/>
      <c r="O65" s="136">
        <f t="shared" si="8"/>
        <v>0</v>
      </c>
      <c r="P65" s="85"/>
      <c r="R65" s="53"/>
      <c r="S65" s="53"/>
    </row>
    <row r="66" spans="1:19" hidden="1" x14ac:dyDescent="0.25">
      <c r="A66" s="76">
        <v>1147</v>
      </c>
      <c r="B66" s="127" t="s">
        <v>84</v>
      </c>
      <c r="C66" s="279">
        <f t="shared" si="4"/>
        <v>0</v>
      </c>
      <c r="D66" s="134">
        <v>0</v>
      </c>
      <c r="E66" s="285"/>
      <c r="F66" s="286">
        <f t="shared" si="5"/>
        <v>0</v>
      </c>
      <c r="G66" s="134"/>
      <c r="H66" s="135"/>
      <c r="I66" s="136">
        <f t="shared" si="6"/>
        <v>0</v>
      </c>
      <c r="J66" s="134">
        <v>0</v>
      </c>
      <c r="K66" s="135"/>
      <c r="L66" s="136">
        <f t="shared" si="7"/>
        <v>0</v>
      </c>
      <c r="M66" s="284"/>
      <c r="N66" s="285"/>
      <c r="O66" s="136">
        <f t="shared" si="8"/>
        <v>0</v>
      </c>
      <c r="P66" s="85"/>
      <c r="R66" s="53"/>
      <c r="S66" s="53"/>
    </row>
    <row r="67" spans="1:19" hidden="1" x14ac:dyDescent="0.25">
      <c r="A67" s="76">
        <v>1148</v>
      </c>
      <c r="B67" s="127" t="s">
        <v>85</v>
      </c>
      <c r="C67" s="279">
        <f t="shared" si="4"/>
        <v>0</v>
      </c>
      <c r="D67" s="134">
        <v>0</v>
      </c>
      <c r="E67" s="285"/>
      <c r="F67" s="286">
        <f t="shared" si="5"/>
        <v>0</v>
      </c>
      <c r="G67" s="134"/>
      <c r="H67" s="135"/>
      <c r="I67" s="136">
        <f t="shared" si="6"/>
        <v>0</v>
      </c>
      <c r="J67" s="134">
        <v>0</v>
      </c>
      <c r="K67" s="135"/>
      <c r="L67" s="136">
        <f t="shared" si="7"/>
        <v>0</v>
      </c>
      <c r="M67" s="284"/>
      <c r="N67" s="285"/>
      <c r="O67" s="136">
        <f t="shared" si="8"/>
        <v>0</v>
      </c>
      <c r="P67" s="85"/>
      <c r="R67" s="53"/>
      <c r="S67" s="53"/>
    </row>
    <row r="68" spans="1:19" ht="24" hidden="1" x14ac:dyDescent="0.25">
      <c r="A68" s="76">
        <v>1149</v>
      </c>
      <c r="B68" s="127" t="s">
        <v>86</v>
      </c>
      <c r="C68" s="279">
        <f t="shared" si="4"/>
        <v>0</v>
      </c>
      <c r="D68" s="134">
        <v>0</v>
      </c>
      <c r="E68" s="285"/>
      <c r="F68" s="286">
        <f t="shared" si="5"/>
        <v>0</v>
      </c>
      <c r="G68" s="134"/>
      <c r="H68" s="135"/>
      <c r="I68" s="136">
        <f t="shared" si="6"/>
        <v>0</v>
      </c>
      <c r="J68" s="134">
        <v>0</v>
      </c>
      <c r="K68" s="135"/>
      <c r="L68" s="136">
        <f t="shared" si="7"/>
        <v>0</v>
      </c>
      <c r="M68" s="284"/>
      <c r="N68" s="285"/>
      <c r="O68" s="136">
        <f t="shared" si="8"/>
        <v>0</v>
      </c>
      <c r="P68" s="85"/>
      <c r="R68" s="53"/>
      <c r="S68" s="53"/>
    </row>
    <row r="69" spans="1:19" ht="24" hidden="1" x14ac:dyDescent="0.25">
      <c r="A69" s="254">
        <v>1150</v>
      </c>
      <c r="B69" s="179" t="s">
        <v>87</v>
      </c>
      <c r="C69" s="279">
        <f t="shared" si="4"/>
        <v>0</v>
      </c>
      <c r="D69" s="287">
        <v>0</v>
      </c>
      <c r="E69" s="291"/>
      <c r="F69" s="310">
        <f t="shared" si="5"/>
        <v>0</v>
      </c>
      <c r="G69" s="287"/>
      <c r="H69" s="289"/>
      <c r="I69" s="259">
        <f t="shared" si="6"/>
        <v>0</v>
      </c>
      <c r="J69" s="287">
        <v>0</v>
      </c>
      <c r="K69" s="289"/>
      <c r="L69" s="259">
        <f t="shared" si="7"/>
        <v>0</v>
      </c>
      <c r="M69" s="290"/>
      <c r="N69" s="291"/>
      <c r="O69" s="259">
        <f t="shared" si="8"/>
        <v>0</v>
      </c>
      <c r="P69" s="189"/>
      <c r="R69" s="53"/>
      <c r="S69" s="53"/>
    </row>
    <row r="70" spans="1:19" ht="24" hidden="1" x14ac:dyDescent="0.25">
      <c r="A70" s="99">
        <v>1200</v>
      </c>
      <c r="B70" s="247" t="s">
        <v>88</v>
      </c>
      <c r="C70" s="249">
        <f t="shared" si="4"/>
        <v>0</v>
      </c>
      <c r="D70" s="112">
        <f>SUM(D71:D72)</f>
        <v>0</v>
      </c>
      <c r="E70" s="293">
        <f>SUM(E71:E72)</f>
        <v>0</v>
      </c>
      <c r="F70" s="313">
        <f>D70+E70</f>
        <v>0</v>
      </c>
      <c r="G70" s="112">
        <f>SUM(G71:G72)</f>
        <v>0</v>
      </c>
      <c r="H70" s="113">
        <f>SUM(H71:H72)</f>
        <v>0</v>
      </c>
      <c r="I70" s="114">
        <f t="shared" si="6"/>
        <v>0</v>
      </c>
      <c r="J70" s="112">
        <f>SUM(J71:J72)</f>
        <v>0</v>
      </c>
      <c r="K70" s="113">
        <f>SUM(K71:K72)</f>
        <v>0</v>
      </c>
      <c r="L70" s="114">
        <f t="shared" si="7"/>
        <v>0</v>
      </c>
      <c r="M70" s="292">
        <f>SUM(M71:M72)</f>
        <v>0</v>
      </c>
      <c r="N70" s="293">
        <f>SUM(N71:N72)</f>
        <v>0</v>
      </c>
      <c r="O70" s="114">
        <f t="shared" si="8"/>
        <v>0</v>
      </c>
      <c r="P70" s="109"/>
      <c r="R70" s="53"/>
      <c r="S70" s="53"/>
    </row>
    <row r="71" spans="1:19" ht="24" hidden="1" x14ac:dyDescent="0.25">
      <c r="A71" s="656">
        <v>1210</v>
      </c>
      <c r="B71" s="116" t="s">
        <v>89</v>
      </c>
      <c r="C71" s="296">
        <f t="shared" si="4"/>
        <v>0</v>
      </c>
      <c r="D71" s="123">
        <v>0</v>
      </c>
      <c r="E71" s="262"/>
      <c r="F71" s="263">
        <f t="shared" si="5"/>
        <v>0</v>
      </c>
      <c r="G71" s="123"/>
      <c r="H71" s="124"/>
      <c r="I71" s="125">
        <f t="shared" si="6"/>
        <v>0</v>
      </c>
      <c r="J71" s="123">
        <v>0</v>
      </c>
      <c r="K71" s="124"/>
      <c r="L71" s="125">
        <f t="shared" si="7"/>
        <v>0</v>
      </c>
      <c r="M71" s="264"/>
      <c r="N71" s="262"/>
      <c r="O71" s="125">
        <f t="shared" si="8"/>
        <v>0</v>
      </c>
      <c r="P71" s="74"/>
      <c r="R71" s="53"/>
      <c r="S71" s="53"/>
    </row>
    <row r="72" spans="1:19" ht="24" hidden="1" x14ac:dyDescent="0.25">
      <c r="A72" s="276">
        <v>1220</v>
      </c>
      <c r="B72" s="127" t="s">
        <v>90</v>
      </c>
      <c r="C72" s="279">
        <f t="shared" si="4"/>
        <v>0</v>
      </c>
      <c r="D72" s="277">
        <f>SUM(D73:D77)</f>
        <v>0</v>
      </c>
      <c r="E72" s="282">
        <f>SUM(E73:E77)</f>
        <v>0</v>
      </c>
      <c r="F72" s="286">
        <f t="shared" si="5"/>
        <v>0</v>
      </c>
      <c r="G72" s="277">
        <f>SUM(G73:G77)</f>
        <v>0</v>
      </c>
      <c r="H72" s="280">
        <f>SUM(H73:H77)</f>
        <v>0</v>
      </c>
      <c r="I72" s="136">
        <f t="shared" si="6"/>
        <v>0</v>
      </c>
      <c r="J72" s="277">
        <f>SUM(J73:J77)</f>
        <v>0</v>
      </c>
      <c r="K72" s="280">
        <f>SUM(K73:K77)</f>
        <v>0</v>
      </c>
      <c r="L72" s="136">
        <f t="shared" si="7"/>
        <v>0</v>
      </c>
      <c r="M72" s="281">
        <f>SUM(M73:M77)</f>
        <v>0</v>
      </c>
      <c r="N72" s="282">
        <f>SUM(N73:N77)</f>
        <v>0</v>
      </c>
      <c r="O72" s="136">
        <f t="shared" si="8"/>
        <v>0</v>
      </c>
      <c r="P72" s="85"/>
      <c r="R72" s="53"/>
      <c r="S72" s="53"/>
    </row>
    <row r="73" spans="1:19" ht="36" hidden="1" x14ac:dyDescent="0.25">
      <c r="A73" s="76">
        <v>1221</v>
      </c>
      <c r="B73" s="127" t="s">
        <v>91</v>
      </c>
      <c r="C73" s="279">
        <f t="shared" si="4"/>
        <v>0</v>
      </c>
      <c r="D73" s="134">
        <v>0</v>
      </c>
      <c r="E73" s="285"/>
      <c r="F73" s="286">
        <f t="shared" si="5"/>
        <v>0</v>
      </c>
      <c r="G73" s="134"/>
      <c r="H73" s="135"/>
      <c r="I73" s="136">
        <f t="shared" si="6"/>
        <v>0</v>
      </c>
      <c r="J73" s="134">
        <v>0</v>
      </c>
      <c r="K73" s="135"/>
      <c r="L73" s="136">
        <f t="shared" si="7"/>
        <v>0</v>
      </c>
      <c r="M73" s="284"/>
      <c r="N73" s="285"/>
      <c r="O73" s="136">
        <f t="shared" si="8"/>
        <v>0</v>
      </c>
      <c r="P73" s="85"/>
      <c r="R73" s="53"/>
      <c r="S73" s="53"/>
    </row>
    <row r="74" spans="1:19" hidden="1" x14ac:dyDescent="0.25">
      <c r="A74" s="76">
        <v>1223</v>
      </c>
      <c r="B74" s="127" t="s">
        <v>92</v>
      </c>
      <c r="C74" s="279">
        <f t="shared" si="4"/>
        <v>0</v>
      </c>
      <c r="D74" s="134">
        <v>0</v>
      </c>
      <c r="E74" s="285"/>
      <c r="F74" s="286">
        <f t="shared" si="5"/>
        <v>0</v>
      </c>
      <c r="G74" s="134"/>
      <c r="H74" s="135"/>
      <c r="I74" s="136">
        <f t="shared" si="6"/>
        <v>0</v>
      </c>
      <c r="J74" s="134">
        <v>0</v>
      </c>
      <c r="K74" s="135"/>
      <c r="L74" s="136">
        <f t="shared" si="7"/>
        <v>0</v>
      </c>
      <c r="M74" s="284"/>
      <c r="N74" s="285"/>
      <c r="O74" s="136">
        <f t="shared" si="8"/>
        <v>0</v>
      </c>
      <c r="P74" s="85"/>
      <c r="R74" s="53"/>
      <c r="S74" s="53"/>
    </row>
    <row r="75" spans="1:19" hidden="1" x14ac:dyDescent="0.25">
      <c r="A75" s="76">
        <v>1225</v>
      </c>
      <c r="B75" s="127" t="s">
        <v>93</v>
      </c>
      <c r="C75" s="279">
        <f t="shared" si="4"/>
        <v>0</v>
      </c>
      <c r="D75" s="134">
        <v>0</v>
      </c>
      <c r="E75" s="285"/>
      <c r="F75" s="286">
        <f t="shared" si="5"/>
        <v>0</v>
      </c>
      <c r="G75" s="134"/>
      <c r="H75" s="135"/>
      <c r="I75" s="136">
        <f t="shared" si="6"/>
        <v>0</v>
      </c>
      <c r="J75" s="134">
        <v>0</v>
      </c>
      <c r="K75" s="135"/>
      <c r="L75" s="136">
        <f t="shared" si="7"/>
        <v>0</v>
      </c>
      <c r="M75" s="284"/>
      <c r="N75" s="285"/>
      <c r="O75" s="136">
        <f t="shared" si="8"/>
        <v>0</v>
      </c>
      <c r="P75" s="85"/>
      <c r="R75" s="53"/>
      <c r="S75" s="53"/>
    </row>
    <row r="76" spans="1:19" ht="24" hidden="1" x14ac:dyDescent="0.25">
      <c r="A76" s="76">
        <v>1227</v>
      </c>
      <c r="B76" s="127" t="s">
        <v>94</v>
      </c>
      <c r="C76" s="279">
        <f t="shared" si="4"/>
        <v>0</v>
      </c>
      <c r="D76" s="134">
        <v>0</v>
      </c>
      <c r="E76" s="285"/>
      <c r="F76" s="286">
        <f t="shared" si="5"/>
        <v>0</v>
      </c>
      <c r="G76" s="134"/>
      <c r="H76" s="135"/>
      <c r="I76" s="136">
        <f t="shared" si="6"/>
        <v>0</v>
      </c>
      <c r="J76" s="134">
        <v>0</v>
      </c>
      <c r="K76" s="135"/>
      <c r="L76" s="136">
        <f t="shared" si="7"/>
        <v>0</v>
      </c>
      <c r="M76" s="284"/>
      <c r="N76" s="285"/>
      <c r="O76" s="136">
        <f t="shared" si="8"/>
        <v>0</v>
      </c>
      <c r="P76" s="85"/>
      <c r="R76" s="53"/>
      <c r="S76" s="53"/>
    </row>
    <row r="77" spans="1:19" ht="36" hidden="1" x14ac:dyDescent="0.25">
      <c r="A77" s="76">
        <v>1228</v>
      </c>
      <c r="B77" s="127" t="s">
        <v>95</v>
      </c>
      <c r="C77" s="279">
        <f t="shared" si="4"/>
        <v>0</v>
      </c>
      <c r="D77" s="134">
        <v>0</v>
      </c>
      <c r="E77" s="285"/>
      <c r="F77" s="286">
        <f t="shared" si="5"/>
        <v>0</v>
      </c>
      <c r="G77" s="134"/>
      <c r="H77" s="135"/>
      <c r="I77" s="136">
        <f t="shared" si="6"/>
        <v>0</v>
      </c>
      <c r="J77" s="134">
        <v>0</v>
      </c>
      <c r="K77" s="135"/>
      <c r="L77" s="136">
        <f t="shared" si="7"/>
        <v>0</v>
      </c>
      <c r="M77" s="284"/>
      <c r="N77" s="285"/>
      <c r="O77" s="136">
        <f t="shared" si="8"/>
        <v>0</v>
      </c>
      <c r="P77" s="85"/>
      <c r="R77" s="53"/>
      <c r="S77" s="53"/>
    </row>
    <row r="78" spans="1:19" x14ac:dyDescent="0.25">
      <c r="A78" s="237">
        <v>2000</v>
      </c>
      <c r="B78" s="237" t="s">
        <v>96</v>
      </c>
      <c r="C78" s="241">
        <f t="shared" si="4"/>
        <v>626814</v>
      </c>
      <c r="D78" s="239">
        <f>SUM(D79,D86,D133,D167,D168,D175)</f>
        <v>580041</v>
      </c>
      <c r="E78" s="245">
        <f>SUM(E79,E86,E133,E167,E168,E175)</f>
        <v>3090</v>
      </c>
      <c r="F78" s="320">
        <f t="shared" si="5"/>
        <v>583131</v>
      </c>
      <c r="G78" s="239">
        <f>SUM(G79,G86,G133,G167,G168,G175)</f>
        <v>0</v>
      </c>
      <c r="H78" s="242">
        <f>SUM(H79,H86,H133,H167,H168,H175)</f>
        <v>0</v>
      </c>
      <c r="I78" s="243">
        <f t="shared" si="6"/>
        <v>0</v>
      </c>
      <c r="J78" s="239">
        <f>SUM(J79,J86,J133,J167,J168,J175)</f>
        <v>43683</v>
      </c>
      <c r="K78" s="242">
        <f>SUM(K79,K86,K133,K167,K168,K175)</f>
        <v>0</v>
      </c>
      <c r="L78" s="243">
        <f t="shared" si="7"/>
        <v>43683</v>
      </c>
      <c r="M78" s="244">
        <f>SUM(M79,M86,M133,M167,M168,M175)</f>
        <v>0</v>
      </c>
      <c r="N78" s="245">
        <f>SUM(N79,N86,N133,N167,N168,N175)</f>
        <v>0</v>
      </c>
      <c r="O78" s="243">
        <f t="shared" si="8"/>
        <v>0</v>
      </c>
      <c r="P78" s="246"/>
      <c r="R78" s="53"/>
      <c r="S78" s="53"/>
    </row>
    <row r="79" spans="1:19" ht="24" hidden="1" x14ac:dyDescent="0.25">
      <c r="A79" s="99">
        <v>2100</v>
      </c>
      <c r="B79" s="247" t="s">
        <v>97</v>
      </c>
      <c r="C79" s="249">
        <f t="shared" si="4"/>
        <v>0</v>
      </c>
      <c r="D79" s="112">
        <f>SUM(D80,D83)</f>
        <v>0</v>
      </c>
      <c r="E79" s="293">
        <f>SUM(E80,E83)</f>
        <v>0</v>
      </c>
      <c r="F79" s="313">
        <f t="shared" si="5"/>
        <v>0</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c r="R79" s="53"/>
      <c r="S79" s="53"/>
    </row>
    <row r="80" spans="1:19" ht="24" hidden="1" x14ac:dyDescent="0.25">
      <c r="A80" s="656">
        <v>2110</v>
      </c>
      <c r="B80" s="116" t="s">
        <v>98</v>
      </c>
      <c r="C80" s="296">
        <f t="shared" si="4"/>
        <v>0</v>
      </c>
      <c r="D80" s="297">
        <f>SUM(D81:D82)</f>
        <v>0</v>
      </c>
      <c r="E80" s="301">
        <f>SUM(E81:E82)</f>
        <v>0</v>
      </c>
      <c r="F80" s="263">
        <f t="shared" si="5"/>
        <v>0</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c r="R80" s="53"/>
      <c r="S80" s="53"/>
    </row>
    <row r="81" spans="1:19" hidden="1" x14ac:dyDescent="0.25">
      <c r="A81" s="76">
        <v>2111</v>
      </c>
      <c r="B81" s="127" t="s">
        <v>99</v>
      </c>
      <c r="C81" s="279">
        <f t="shared" si="4"/>
        <v>0</v>
      </c>
      <c r="D81" s="134">
        <v>0</v>
      </c>
      <c r="E81" s="285"/>
      <c r="F81" s="286">
        <f t="shared" si="5"/>
        <v>0</v>
      </c>
      <c r="G81" s="134"/>
      <c r="H81" s="135"/>
      <c r="I81" s="136">
        <f t="shared" si="6"/>
        <v>0</v>
      </c>
      <c r="J81" s="134">
        <v>0</v>
      </c>
      <c r="K81" s="135"/>
      <c r="L81" s="136">
        <f t="shared" si="7"/>
        <v>0</v>
      </c>
      <c r="M81" s="284"/>
      <c r="N81" s="285"/>
      <c r="O81" s="136">
        <f t="shared" si="8"/>
        <v>0</v>
      </c>
      <c r="P81" s="85"/>
      <c r="R81" s="53"/>
      <c r="S81" s="53"/>
    </row>
    <row r="82" spans="1:19" hidden="1" x14ac:dyDescent="0.25">
      <c r="A82" s="76">
        <v>2112</v>
      </c>
      <c r="B82" s="127" t="s">
        <v>100</v>
      </c>
      <c r="C82" s="279">
        <f t="shared" si="4"/>
        <v>0</v>
      </c>
      <c r="D82" s="134">
        <v>0</v>
      </c>
      <c r="E82" s="285"/>
      <c r="F82" s="286">
        <f t="shared" si="5"/>
        <v>0</v>
      </c>
      <c r="G82" s="134"/>
      <c r="H82" s="135"/>
      <c r="I82" s="136">
        <f t="shared" si="6"/>
        <v>0</v>
      </c>
      <c r="J82" s="134">
        <v>0</v>
      </c>
      <c r="K82" s="135"/>
      <c r="L82" s="136">
        <f t="shared" si="7"/>
        <v>0</v>
      </c>
      <c r="M82" s="284"/>
      <c r="N82" s="285"/>
      <c r="O82" s="136">
        <f t="shared" si="8"/>
        <v>0</v>
      </c>
      <c r="P82" s="85"/>
      <c r="R82" s="53"/>
      <c r="S82" s="53"/>
    </row>
    <row r="83" spans="1:19" ht="24" hidden="1" x14ac:dyDescent="0.25">
      <c r="A83" s="276">
        <v>2120</v>
      </c>
      <c r="B83" s="127" t="s">
        <v>101</v>
      </c>
      <c r="C83" s="279">
        <f t="shared" si="4"/>
        <v>0</v>
      </c>
      <c r="D83" s="277">
        <f>SUM(D84:D85)</f>
        <v>0</v>
      </c>
      <c r="E83" s="282">
        <f>SUM(E84:E85)</f>
        <v>0</v>
      </c>
      <c r="F83" s="28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c r="R83" s="53"/>
      <c r="S83" s="53"/>
    </row>
    <row r="84" spans="1:19" hidden="1" x14ac:dyDescent="0.25">
      <c r="A84" s="76">
        <v>2121</v>
      </c>
      <c r="B84" s="127" t="s">
        <v>99</v>
      </c>
      <c r="C84" s="279">
        <f t="shared" si="4"/>
        <v>0</v>
      </c>
      <c r="D84" s="134">
        <v>0</v>
      </c>
      <c r="E84" s="285"/>
      <c r="F84" s="286">
        <f t="shared" si="5"/>
        <v>0</v>
      </c>
      <c r="G84" s="134"/>
      <c r="H84" s="135"/>
      <c r="I84" s="136">
        <f t="shared" si="6"/>
        <v>0</v>
      </c>
      <c r="J84" s="134">
        <v>0</v>
      </c>
      <c r="K84" s="135"/>
      <c r="L84" s="136">
        <f t="shared" si="7"/>
        <v>0</v>
      </c>
      <c r="M84" s="284"/>
      <c r="N84" s="285"/>
      <c r="O84" s="136">
        <f t="shared" si="8"/>
        <v>0</v>
      </c>
      <c r="P84" s="85"/>
      <c r="R84" s="53"/>
      <c r="S84" s="53"/>
    </row>
    <row r="85" spans="1:19" hidden="1" x14ac:dyDescent="0.25">
      <c r="A85" s="76">
        <v>2122</v>
      </c>
      <c r="B85" s="127" t="s">
        <v>100</v>
      </c>
      <c r="C85" s="279">
        <f t="shared" si="4"/>
        <v>0</v>
      </c>
      <c r="D85" s="134">
        <v>0</v>
      </c>
      <c r="E85" s="285"/>
      <c r="F85" s="286">
        <f t="shared" si="5"/>
        <v>0</v>
      </c>
      <c r="G85" s="134"/>
      <c r="H85" s="135"/>
      <c r="I85" s="136">
        <f t="shared" si="6"/>
        <v>0</v>
      </c>
      <c r="J85" s="134">
        <v>0</v>
      </c>
      <c r="K85" s="135"/>
      <c r="L85" s="136">
        <f t="shared" si="7"/>
        <v>0</v>
      </c>
      <c r="M85" s="284"/>
      <c r="N85" s="285"/>
      <c r="O85" s="136">
        <f t="shared" si="8"/>
        <v>0</v>
      </c>
      <c r="P85" s="85"/>
      <c r="R85" s="53"/>
      <c r="S85" s="53"/>
    </row>
    <row r="86" spans="1:19" x14ac:dyDescent="0.25">
      <c r="A86" s="99">
        <v>2200</v>
      </c>
      <c r="B86" s="247" t="s">
        <v>102</v>
      </c>
      <c r="C86" s="302">
        <f t="shared" si="4"/>
        <v>620482</v>
      </c>
      <c r="D86" s="112">
        <f>SUM(D87,D92,D98,D106,D115,D119,D125,D131)</f>
        <v>573709</v>
      </c>
      <c r="E86" s="293">
        <f>SUM(E87,E92,E98,E106,E115,E119,E125,E131)</f>
        <v>3090</v>
      </c>
      <c r="F86" s="313">
        <f t="shared" si="5"/>
        <v>576799</v>
      </c>
      <c r="G86" s="112">
        <f>SUM(G87,G92,G98,G106,G115,G119,G125,G131)</f>
        <v>0</v>
      </c>
      <c r="H86" s="113">
        <f>SUM(H87,H92,H98,H106,H115,H119,H125,H131)</f>
        <v>0</v>
      </c>
      <c r="I86" s="114">
        <f t="shared" si="6"/>
        <v>0</v>
      </c>
      <c r="J86" s="112">
        <f>SUM(J87,J92,J98,J106,J115,J119,J125,J131)</f>
        <v>43683</v>
      </c>
      <c r="K86" s="113">
        <f>SUM(K87,K92,K98,K106,K115,K119,K125,K131)</f>
        <v>0</v>
      </c>
      <c r="L86" s="114">
        <f t="shared" si="7"/>
        <v>43683</v>
      </c>
      <c r="M86" s="303">
        <f>SUM(M87,M92,M98,M106,M115,M119,M125,M131)</f>
        <v>0</v>
      </c>
      <c r="N86" s="304">
        <f>SUM(N87,N92,N98,N106,N115,N119,N125,N131)</f>
        <v>0</v>
      </c>
      <c r="O86" s="305">
        <f t="shared" si="8"/>
        <v>0</v>
      </c>
      <c r="P86" s="306"/>
      <c r="R86" s="53"/>
      <c r="S86" s="53"/>
    </row>
    <row r="87" spans="1:19" hidden="1" x14ac:dyDescent="0.25">
      <c r="A87" s="254">
        <v>2210</v>
      </c>
      <c r="B87" s="179" t="s">
        <v>103</v>
      </c>
      <c r="C87" s="257">
        <f t="shared" si="4"/>
        <v>0</v>
      </c>
      <c r="D87" s="255">
        <f>SUM(D88:D91)</f>
        <v>0</v>
      </c>
      <c r="E87" s="261">
        <f>SUM(E88:E91)</f>
        <v>0</v>
      </c>
      <c r="F87" s="310">
        <f t="shared" si="5"/>
        <v>0</v>
      </c>
      <c r="G87" s="255">
        <f>SUM(G88:G91)</f>
        <v>0</v>
      </c>
      <c r="H87" s="258">
        <f>SUM(H88:H91)</f>
        <v>0</v>
      </c>
      <c r="I87" s="259">
        <f t="shared" si="6"/>
        <v>0</v>
      </c>
      <c r="J87" s="255">
        <f>SUM(J88:J91)</f>
        <v>0</v>
      </c>
      <c r="K87" s="258">
        <f>SUM(K88:K91)</f>
        <v>0</v>
      </c>
      <c r="L87" s="259">
        <f t="shared" si="7"/>
        <v>0</v>
      </c>
      <c r="M87" s="260">
        <f>SUM(M88:M91)</f>
        <v>0</v>
      </c>
      <c r="N87" s="261">
        <f>SUM(N88:N91)</f>
        <v>0</v>
      </c>
      <c r="O87" s="259">
        <f t="shared" si="8"/>
        <v>0</v>
      </c>
      <c r="P87" s="189"/>
      <c r="R87" s="53"/>
      <c r="S87" s="53"/>
    </row>
    <row r="88" spans="1:19" hidden="1" x14ac:dyDescent="0.25">
      <c r="A88" s="66">
        <v>2211</v>
      </c>
      <c r="B88" s="116" t="s">
        <v>104</v>
      </c>
      <c r="C88" s="279">
        <f t="shared" si="4"/>
        <v>0</v>
      </c>
      <c r="D88" s="123">
        <v>0</v>
      </c>
      <c r="E88" s="262"/>
      <c r="F88" s="263">
        <f t="shared" si="5"/>
        <v>0</v>
      </c>
      <c r="G88" s="123"/>
      <c r="H88" s="124"/>
      <c r="I88" s="125">
        <f t="shared" si="6"/>
        <v>0</v>
      </c>
      <c r="J88" s="123">
        <v>0</v>
      </c>
      <c r="K88" s="124"/>
      <c r="L88" s="125">
        <f t="shared" si="7"/>
        <v>0</v>
      </c>
      <c r="M88" s="264"/>
      <c r="N88" s="262"/>
      <c r="O88" s="125">
        <f t="shared" si="8"/>
        <v>0</v>
      </c>
      <c r="P88" s="74"/>
      <c r="R88" s="53"/>
      <c r="S88" s="53"/>
    </row>
    <row r="89" spans="1:19" ht="24" hidden="1" x14ac:dyDescent="0.25">
      <c r="A89" s="76">
        <v>2212</v>
      </c>
      <c r="B89" s="127" t="s">
        <v>105</v>
      </c>
      <c r="C89" s="279">
        <f t="shared" si="4"/>
        <v>0</v>
      </c>
      <c r="D89" s="134">
        <v>0</v>
      </c>
      <c r="E89" s="285"/>
      <c r="F89" s="286">
        <f t="shared" si="5"/>
        <v>0</v>
      </c>
      <c r="G89" s="134"/>
      <c r="H89" s="135"/>
      <c r="I89" s="136">
        <f t="shared" si="6"/>
        <v>0</v>
      </c>
      <c r="J89" s="134">
        <v>0</v>
      </c>
      <c r="K89" s="135"/>
      <c r="L89" s="136">
        <f t="shared" si="7"/>
        <v>0</v>
      </c>
      <c r="M89" s="284"/>
      <c r="N89" s="285"/>
      <c r="O89" s="136">
        <f t="shared" si="8"/>
        <v>0</v>
      </c>
      <c r="P89" s="85"/>
      <c r="R89" s="53"/>
      <c r="S89" s="53"/>
    </row>
    <row r="90" spans="1:19" ht="24" hidden="1" x14ac:dyDescent="0.25">
      <c r="A90" s="76">
        <v>2214</v>
      </c>
      <c r="B90" s="127" t="s">
        <v>106</v>
      </c>
      <c r="C90" s="279">
        <f t="shared" si="4"/>
        <v>0</v>
      </c>
      <c r="D90" s="134">
        <v>0</v>
      </c>
      <c r="E90" s="285"/>
      <c r="F90" s="286">
        <f t="shared" si="5"/>
        <v>0</v>
      </c>
      <c r="G90" s="134"/>
      <c r="H90" s="135"/>
      <c r="I90" s="136">
        <f t="shared" si="6"/>
        <v>0</v>
      </c>
      <c r="J90" s="134">
        <v>0</v>
      </c>
      <c r="K90" s="135"/>
      <c r="L90" s="136">
        <f t="shared" si="7"/>
        <v>0</v>
      </c>
      <c r="M90" s="284"/>
      <c r="N90" s="285"/>
      <c r="O90" s="136">
        <f t="shared" si="8"/>
        <v>0</v>
      </c>
      <c r="P90" s="85"/>
      <c r="R90" s="53"/>
      <c r="S90" s="53"/>
    </row>
    <row r="91" spans="1:19" hidden="1" x14ac:dyDescent="0.25">
      <c r="A91" s="76">
        <v>2219</v>
      </c>
      <c r="B91" s="127" t="s">
        <v>107</v>
      </c>
      <c r="C91" s="279">
        <f t="shared" si="4"/>
        <v>0</v>
      </c>
      <c r="D91" s="134">
        <v>0</v>
      </c>
      <c r="E91" s="285"/>
      <c r="F91" s="286">
        <f t="shared" si="5"/>
        <v>0</v>
      </c>
      <c r="G91" s="134"/>
      <c r="H91" s="135"/>
      <c r="I91" s="136">
        <f t="shared" si="6"/>
        <v>0</v>
      </c>
      <c r="J91" s="134">
        <v>0</v>
      </c>
      <c r="K91" s="135"/>
      <c r="L91" s="136">
        <f t="shared" si="7"/>
        <v>0</v>
      </c>
      <c r="M91" s="284"/>
      <c r="N91" s="285"/>
      <c r="O91" s="136">
        <f t="shared" si="8"/>
        <v>0</v>
      </c>
      <c r="P91" s="85"/>
      <c r="R91" s="53"/>
      <c r="S91" s="53"/>
    </row>
    <row r="92" spans="1:19" x14ac:dyDescent="0.25">
      <c r="A92" s="276">
        <v>2220</v>
      </c>
      <c r="B92" s="127" t="s">
        <v>108</v>
      </c>
      <c r="C92" s="279">
        <f t="shared" si="4"/>
        <v>27142</v>
      </c>
      <c r="D92" s="277">
        <f>SUM(D93:D97)</f>
        <v>27142</v>
      </c>
      <c r="E92" s="282">
        <f>SUM(E93:E97)</f>
        <v>0</v>
      </c>
      <c r="F92" s="286">
        <f t="shared" si="5"/>
        <v>27142</v>
      </c>
      <c r="G92" s="277">
        <f>SUM(G93:G97)</f>
        <v>0</v>
      </c>
      <c r="H92" s="280">
        <f>SUM(H93:H97)</f>
        <v>0</v>
      </c>
      <c r="I92" s="136">
        <f t="shared" si="6"/>
        <v>0</v>
      </c>
      <c r="J92" s="277">
        <f>SUM(J93:J97)</f>
        <v>0</v>
      </c>
      <c r="K92" s="280">
        <f>SUM(K93:K97)</f>
        <v>0</v>
      </c>
      <c r="L92" s="136">
        <f t="shared" si="7"/>
        <v>0</v>
      </c>
      <c r="M92" s="281">
        <f>SUM(M93:M97)</f>
        <v>0</v>
      </c>
      <c r="N92" s="282">
        <f>SUM(N93:N97)</f>
        <v>0</v>
      </c>
      <c r="O92" s="136">
        <f t="shared" si="8"/>
        <v>0</v>
      </c>
      <c r="P92" s="85"/>
      <c r="R92" s="53"/>
      <c r="S92" s="53"/>
    </row>
    <row r="93" spans="1:19" x14ac:dyDescent="0.25">
      <c r="A93" s="76">
        <v>2221</v>
      </c>
      <c r="B93" s="127" t="s">
        <v>109</v>
      </c>
      <c r="C93" s="279">
        <f t="shared" si="4"/>
        <v>16300</v>
      </c>
      <c r="D93" s="134">
        <f>45000-28700</f>
        <v>16300</v>
      </c>
      <c r="E93" s="285"/>
      <c r="F93" s="286">
        <f t="shared" si="5"/>
        <v>16300</v>
      </c>
      <c r="G93" s="134"/>
      <c r="H93" s="135"/>
      <c r="I93" s="136">
        <f t="shared" si="6"/>
        <v>0</v>
      </c>
      <c r="J93" s="134">
        <v>0</v>
      </c>
      <c r="K93" s="135"/>
      <c r="L93" s="136">
        <f t="shared" si="7"/>
        <v>0</v>
      </c>
      <c r="M93" s="284"/>
      <c r="N93" s="285"/>
      <c r="O93" s="136">
        <f t="shared" si="8"/>
        <v>0</v>
      </c>
      <c r="P93" s="85"/>
      <c r="R93" s="53"/>
      <c r="S93" s="53"/>
    </row>
    <row r="94" spans="1:19" x14ac:dyDescent="0.25">
      <c r="A94" s="76">
        <v>2222</v>
      </c>
      <c r="B94" s="127" t="s">
        <v>110</v>
      </c>
      <c r="C94" s="279">
        <f t="shared" si="4"/>
        <v>842</v>
      </c>
      <c r="D94" s="134">
        <f>592+250</f>
        <v>842</v>
      </c>
      <c r="E94" s="285"/>
      <c r="F94" s="286">
        <f t="shared" si="5"/>
        <v>842</v>
      </c>
      <c r="G94" s="134"/>
      <c r="H94" s="135"/>
      <c r="I94" s="136">
        <f t="shared" si="6"/>
        <v>0</v>
      </c>
      <c r="J94" s="134">
        <v>0</v>
      </c>
      <c r="K94" s="135"/>
      <c r="L94" s="136">
        <f t="shared" si="7"/>
        <v>0</v>
      </c>
      <c r="M94" s="284"/>
      <c r="N94" s="285"/>
      <c r="O94" s="136">
        <f t="shared" si="8"/>
        <v>0</v>
      </c>
      <c r="P94" s="85"/>
      <c r="R94" s="53"/>
      <c r="S94" s="53"/>
    </row>
    <row r="95" spans="1:19" x14ac:dyDescent="0.25">
      <c r="A95" s="76">
        <v>2223</v>
      </c>
      <c r="B95" s="127" t="s">
        <v>111</v>
      </c>
      <c r="C95" s="279">
        <f t="shared" si="4"/>
        <v>10000</v>
      </c>
      <c r="D95" s="134">
        <v>10000</v>
      </c>
      <c r="E95" s="285"/>
      <c r="F95" s="286">
        <f t="shared" si="5"/>
        <v>10000</v>
      </c>
      <c r="G95" s="134"/>
      <c r="H95" s="135"/>
      <c r="I95" s="136">
        <f t="shared" si="6"/>
        <v>0</v>
      </c>
      <c r="J95" s="134">
        <v>0</v>
      </c>
      <c r="K95" s="135"/>
      <c r="L95" s="136">
        <f t="shared" si="7"/>
        <v>0</v>
      </c>
      <c r="M95" s="284"/>
      <c r="N95" s="285"/>
      <c r="O95" s="136">
        <f t="shared" si="8"/>
        <v>0</v>
      </c>
      <c r="P95" s="85"/>
      <c r="R95" s="53"/>
      <c r="S95" s="53"/>
    </row>
    <row r="96" spans="1:19" ht="36" hidden="1" x14ac:dyDescent="0.25">
      <c r="A96" s="76">
        <v>2224</v>
      </c>
      <c r="B96" s="127" t="s">
        <v>112</v>
      </c>
      <c r="C96" s="279">
        <f t="shared" si="4"/>
        <v>0</v>
      </c>
      <c r="D96" s="134">
        <v>0</v>
      </c>
      <c r="E96" s="285"/>
      <c r="F96" s="286">
        <f t="shared" si="5"/>
        <v>0</v>
      </c>
      <c r="G96" s="134"/>
      <c r="H96" s="135"/>
      <c r="I96" s="136">
        <f t="shared" si="6"/>
        <v>0</v>
      </c>
      <c r="J96" s="134">
        <v>0</v>
      </c>
      <c r="K96" s="135"/>
      <c r="L96" s="136">
        <f t="shared" si="7"/>
        <v>0</v>
      </c>
      <c r="M96" s="284"/>
      <c r="N96" s="285"/>
      <c r="O96" s="136">
        <f t="shared" si="8"/>
        <v>0</v>
      </c>
      <c r="P96" s="85"/>
      <c r="R96" s="53"/>
      <c r="S96" s="53"/>
    </row>
    <row r="97" spans="1:19" ht="24" hidden="1" x14ac:dyDescent="0.25">
      <c r="A97" s="76">
        <v>2229</v>
      </c>
      <c r="B97" s="127" t="s">
        <v>113</v>
      </c>
      <c r="C97" s="279">
        <f t="shared" si="4"/>
        <v>0</v>
      </c>
      <c r="D97" s="134">
        <v>0</v>
      </c>
      <c r="E97" s="285"/>
      <c r="F97" s="286">
        <f t="shared" si="5"/>
        <v>0</v>
      </c>
      <c r="G97" s="134"/>
      <c r="H97" s="135"/>
      <c r="I97" s="136">
        <f t="shared" si="6"/>
        <v>0</v>
      </c>
      <c r="J97" s="134">
        <v>0</v>
      </c>
      <c r="K97" s="135"/>
      <c r="L97" s="136">
        <f t="shared" si="7"/>
        <v>0</v>
      </c>
      <c r="M97" s="284"/>
      <c r="N97" s="285"/>
      <c r="O97" s="136">
        <f t="shared" si="8"/>
        <v>0</v>
      </c>
      <c r="P97" s="85"/>
      <c r="R97" s="53"/>
      <c r="S97" s="53"/>
    </row>
    <row r="98" spans="1:19" ht="24" x14ac:dyDescent="0.25">
      <c r="A98" s="276">
        <v>2230</v>
      </c>
      <c r="B98" s="127" t="s">
        <v>114</v>
      </c>
      <c r="C98" s="279">
        <f t="shared" si="4"/>
        <v>5000</v>
      </c>
      <c r="D98" s="277">
        <f>SUM(D99:D105)</f>
        <v>5000</v>
      </c>
      <c r="E98" s="282">
        <f>SUM(E99:E105)</f>
        <v>0</v>
      </c>
      <c r="F98" s="286">
        <f t="shared" si="5"/>
        <v>5000</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c r="R98" s="53"/>
      <c r="S98" s="53"/>
    </row>
    <row r="99" spans="1:19" hidden="1" x14ac:dyDescent="0.25">
      <c r="A99" s="76">
        <v>2231</v>
      </c>
      <c r="B99" s="127" t="s">
        <v>115</v>
      </c>
      <c r="C99" s="279">
        <f t="shared" si="4"/>
        <v>0</v>
      </c>
      <c r="D99" s="134">
        <v>0</v>
      </c>
      <c r="E99" s="285"/>
      <c r="F99" s="286">
        <f t="shared" si="5"/>
        <v>0</v>
      </c>
      <c r="G99" s="134"/>
      <c r="H99" s="135"/>
      <c r="I99" s="136">
        <f t="shared" si="6"/>
        <v>0</v>
      </c>
      <c r="J99" s="134">
        <v>0</v>
      </c>
      <c r="K99" s="135"/>
      <c r="L99" s="136">
        <f t="shared" si="7"/>
        <v>0</v>
      </c>
      <c r="M99" s="284"/>
      <c r="N99" s="285"/>
      <c r="O99" s="136">
        <f t="shared" si="8"/>
        <v>0</v>
      </c>
      <c r="P99" s="85"/>
      <c r="R99" s="53"/>
      <c r="S99" s="53"/>
    </row>
    <row r="100" spans="1:19" ht="24" hidden="1" x14ac:dyDescent="0.25">
      <c r="A100" s="76">
        <v>2232</v>
      </c>
      <c r="B100" s="127" t="s">
        <v>116</v>
      </c>
      <c r="C100" s="279">
        <f t="shared" si="4"/>
        <v>0</v>
      </c>
      <c r="D100" s="134">
        <v>0</v>
      </c>
      <c r="E100" s="285"/>
      <c r="F100" s="286">
        <f t="shared" si="5"/>
        <v>0</v>
      </c>
      <c r="G100" s="134"/>
      <c r="H100" s="135"/>
      <c r="I100" s="136">
        <f t="shared" si="6"/>
        <v>0</v>
      </c>
      <c r="J100" s="134">
        <v>0</v>
      </c>
      <c r="K100" s="135"/>
      <c r="L100" s="136">
        <f t="shared" si="7"/>
        <v>0</v>
      </c>
      <c r="M100" s="284"/>
      <c r="N100" s="285"/>
      <c r="O100" s="136">
        <f t="shared" si="8"/>
        <v>0</v>
      </c>
      <c r="P100" s="85"/>
      <c r="R100" s="53"/>
      <c r="S100" s="53"/>
    </row>
    <row r="101" spans="1:19" hidden="1" x14ac:dyDescent="0.25">
      <c r="A101" s="66">
        <v>2233</v>
      </c>
      <c r="B101" s="116" t="s">
        <v>117</v>
      </c>
      <c r="C101" s="279">
        <f t="shared" si="4"/>
        <v>0</v>
      </c>
      <c r="D101" s="123">
        <v>0</v>
      </c>
      <c r="E101" s="262"/>
      <c r="F101" s="263">
        <f t="shared" si="5"/>
        <v>0</v>
      </c>
      <c r="G101" s="123"/>
      <c r="H101" s="124"/>
      <c r="I101" s="125">
        <f t="shared" si="6"/>
        <v>0</v>
      </c>
      <c r="J101" s="123">
        <v>0</v>
      </c>
      <c r="K101" s="124"/>
      <c r="L101" s="125">
        <f t="shared" si="7"/>
        <v>0</v>
      </c>
      <c r="M101" s="264"/>
      <c r="N101" s="262"/>
      <c r="O101" s="125">
        <f t="shared" si="8"/>
        <v>0</v>
      </c>
      <c r="P101" s="74"/>
      <c r="R101" s="53"/>
      <c r="S101" s="53"/>
    </row>
    <row r="102" spans="1:19" ht="24" hidden="1" x14ac:dyDescent="0.25">
      <c r="A102" s="76">
        <v>2234</v>
      </c>
      <c r="B102" s="127" t="s">
        <v>118</v>
      </c>
      <c r="C102" s="279">
        <f t="shared" si="4"/>
        <v>0</v>
      </c>
      <c r="D102" s="134">
        <v>0</v>
      </c>
      <c r="E102" s="285"/>
      <c r="F102" s="286">
        <f t="shared" si="5"/>
        <v>0</v>
      </c>
      <c r="G102" s="134"/>
      <c r="H102" s="135"/>
      <c r="I102" s="136">
        <f t="shared" si="6"/>
        <v>0</v>
      </c>
      <c r="J102" s="134">
        <v>0</v>
      </c>
      <c r="K102" s="135"/>
      <c r="L102" s="136">
        <f t="shared" si="7"/>
        <v>0</v>
      </c>
      <c r="M102" s="284"/>
      <c r="N102" s="285"/>
      <c r="O102" s="136">
        <f t="shared" si="8"/>
        <v>0</v>
      </c>
      <c r="P102" s="85"/>
      <c r="R102" s="53"/>
      <c r="S102" s="53"/>
    </row>
    <row r="103" spans="1:19" ht="24" hidden="1" x14ac:dyDescent="0.25">
      <c r="A103" s="76">
        <v>2235</v>
      </c>
      <c r="B103" s="127" t="s">
        <v>119</v>
      </c>
      <c r="C103" s="279">
        <f t="shared" si="4"/>
        <v>0</v>
      </c>
      <c r="D103" s="134">
        <v>0</v>
      </c>
      <c r="E103" s="285"/>
      <c r="F103" s="286">
        <f t="shared" si="5"/>
        <v>0</v>
      </c>
      <c r="G103" s="134"/>
      <c r="H103" s="135"/>
      <c r="I103" s="136">
        <f t="shared" si="6"/>
        <v>0</v>
      </c>
      <c r="J103" s="134">
        <v>0</v>
      </c>
      <c r="K103" s="135"/>
      <c r="L103" s="136">
        <f t="shared" si="7"/>
        <v>0</v>
      </c>
      <c r="M103" s="284"/>
      <c r="N103" s="285"/>
      <c r="O103" s="136">
        <f t="shared" si="8"/>
        <v>0</v>
      </c>
      <c r="P103" s="85"/>
      <c r="R103" s="53"/>
      <c r="S103" s="53"/>
    </row>
    <row r="104" spans="1:19" hidden="1" x14ac:dyDescent="0.25">
      <c r="A104" s="76">
        <v>2236</v>
      </c>
      <c r="B104" s="127" t="s">
        <v>120</v>
      </c>
      <c r="C104" s="279">
        <f t="shared" si="4"/>
        <v>0</v>
      </c>
      <c r="D104" s="134">
        <v>0</v>
      </c>
      <c r="E104" s="285"/>
      <c r="F104" s="286">
        <f t="shared" si="5"/>
        <v>0</v>
      </c>
      <c r="G104" s="134"/>
      <c r="H104" s="135"/>
      <c r="I104" s="136">
        <f t="shared" si="6"/>
        <v>0</v>
      </c>
      <c r="J104" s="134">
        <v>0</v>
      </c>
      <c r="K104" s="135"/>
      <c r="L104" s="136">
        <f t="shared" si="7"/>
        <v>0</v>
      </c>
      <c r="M104" s="284"/>
      <c r="N104" s="285"/>
      <c r="O104" s="136">
        <f t="shared" si="8"/>
        <v>0</v>
      </c>
      <c r="P104" s="85"/>
      <c r="R104" s="53"/>
      <c r="S104" s="53"/>
    </row>
    <row r="105" spans="1:19" x14ac:dyDescent="0.25">
      <c r="A105" s="76">
        <v>2239</v>
      </c>
      <c r="B105" s="127" t="s">
        <v>121</v>
      </c>
      <c r="C105" s="279">
        <f t="shared" si="4"/>
        <v>5000</v>
      </c>
      <c r="D105" s="134">
        <v>5000</v>
      </c>
      <c r="E105" s="285"/>
      <c r="F105" s="286">
        <f t="shared" si="5"/>
        <v>5000</v>
      </c>
      <c r="G105" s="134"/>
      <c r="H105" s="135"/>
      <c r="I105" s="136">
        <f t="shared" si="6"/>
        <v>0</v>
      </c>
      <c r="J105" s="134">
        <v>0</v>
      </c>
      <c r="K105" s="135"/>
      <c r="L105" s="136">
        <f t="shared" si="7"/>
        <v>0</v>
      </c>
      <c r="M105" s="284"/>
      <c r="N105" s="285"/>
      <c r="O105" s="136">
        <f t="shared" si="8"/>
        <v>0</v>
      </c>
      <c r="P105" s="85"/>
      <c r="R105" s="53"/>
      <c r="S105" s="53"/>
    </row>
    <row r="106" spans="1:19" ht="24" x14ac:dyDescent="0.25">
      <c r="A106" s="276">
        <v>2240</v>
      </c>
      <c r="B106" s="127" t="s">
        <v>122</v>
      </c>
      <c r="C106" s="279">
        <f t="shared" si="4"/>
        <v>359665</v>
      </c>
      <c r="D106" s="277">
        <f>SUM(D107:D114)</f>
        <v>359665</v>
      </c>
      <c r="E106" s="282">
        <f>SUM(E107:E114)</f>
        <v>0</v>
      </c>
      <c r="F106" s="286">
        <f t="shared" si="5"/>
        <v>359665</v>
      </c>
      <c r="G106" s="277">
        <f>SUM(G107:G114)</f>
        <v>0</v>
      </c>
      <c r="H106" s="280">
        <f>SUM(H107:H114)</f>
        <v>0</v>
      </c>
      <c r="I106" s="136">
        <f t="shared" si="6"/>
        <v>0</v>
      </c>
      <c r="J106" s="277">
        <f>SUM(J107:J114)</f>
        <v>0</v>
      </c>
      <c r="K106" s="280">
        <f>SUM(K107:K114)</f>
        <v>0</v>
      </c>
      <c r="L106" s="136">
        <f t="shared" si="7"/>
        <v>0</v>
      </c>
      <c r="M106" s="281">
        <f>SUM(M107:M114)</f>
        <v>0</v>
      </c>
      <c r="N106" s="282">
        <f>SUM(N107:N114)</f>
        <v>0</v>
      </c>
      <c r="O106" s="136">
        <f t="shared" si="8"/>
        <v>0</v>
      </c>
      <c r="P106" s="85"/>
      <c r="R106" s="53"/>
      <c r="S106" s="53"/>
    </row>
    <row r="107" spans="1:19" x14ac:dyDescent="0.25">
      <c r="A107" s="76">
        <v>2241</v>
      </c>
      <c r="B107" s="127" t="s">
        <v>123</v>
      </c>
      <c r="C107" s="279">
        <f t="shared" si="4"/>
        <v>5771</v>
      </c>
      <c r="D107" s="134">
        <f>5121+650</f>
        <v>5771</v>
      </c>
      <c r="E107" s="285"/>
      <c r="F107" s="286">
        <f t="shared" si="5"/>
        <v>5771</v>
      </c>
      <c r="G107" s="134"/>
      <c r="H107" s="135"/>
      <c r="I107" s="136">
        <f t="shared" si="6"/>
        <v>0</v>
      </c>
      <c r="J107" s="134">
        <v>0</v>
      </c>
      <c r="K107" s="135"/>
      <c r="L107" s="136">
        <f t="shared" si="7"/>
        <v>0</v>
      </c>
      <c r="M107" s="284"/>
      <c r="N107" s="285"/>
      <c r="O107" s="136">
        <f t="shared" si="8"/>
        <v>0</v>
      </c>
      <c r="P107" s="85"/>
      <c r="R107" s="53"/>
      <c r="S107" s="53"/>
    </row>
    <row r="108" spans="1:19" hidden="1" x14ac:dyDescent="0.25">
      <c r="A108" s="76">
        <v>2242</v>
      </c>
      <c r="B108" s="127" t="s">
        <v>124</v>
      </c>
      <c r="C108" s="279">
        <f t="shared" si="4"/>
        <v>0</v>
      </c>
      <c r="D108" s="134">
        <v>0</v>
      </c>
      <c r="E108" s="285"/>
      <c r="F108" s="286">
        <f t="shared" si="5"/>
        <v>0</v>
      </c>
      <c r="G108" s="134"/>
      <c r="H108" s="135"/>
      <c r="I108" s="136">
        <f t="shared" si="6"/>
        <v>0</v>
      </c>
      <c r="J108" s="134">
        <v>0</v>
      </c>
      <c r="K108" s="135"/>
      <c r="L108" s="136">
        <f t="shared" si="7"/>
        <v>0</v>
      </c>
      <c r="M108" s="284"/>
      <c r="N108" s="285"/>
      <c r="O108" s="136">
        <f t="shared" si="8"/>
        <v>0</v>
      </c>
      <c r="P108" s="85"/>
      <c r="R108" s="53"/>
      <c r="S108" s="53"/>
    </row>
    <row r="109" spans="1:19" ht="24" hidden="1" x14ac:dyDescent="0.25">
      <c r="A109" s="76">
        <v>2243</v>
      </c>
      <c r="B109" s="127" t="s">
        <v>125</v>
      </c>
      <c r="C109" s="279">
        <f t="shared" si="4"/>
        <v>0</v>
      </c>
      <c r="D109" s="134">
        <v>0</v>
      </c>
      <c r="E109" s="285"/>
      <c r="F109" s="286">
        <f t="shared" si="5"/>
        <v>0</v>
      </c>
      <c r="G109" s="134"/>
      <c r="H109" s="135"/>
      <c r="I109" s="136">
        <f t="shared" si="6"/>
        <v>0</v>
      </c>
      <c r="J109" s="134">
        <v>0</v>
      </c>
      <c r="K109" s="135"/>
      <c r="L109" s="136">
        <f t="shared" si="7"/>
        <v>0</v>
      </c>
      <c r="M109" s="284"/>
      <c r="N109" s="285"/>
      <c r="O109" s="136">
        <f t="shared" si="8"/>
        <v>0</v>
      </c>
      <c r="P109" s="85"/>
      <c r="R109" s="53"/>
      <c r="S109" s="53"/>
    </row>
    <row r="110" spans="1:19" x14ac:dyDescent="0.25">
      <c r="A110" s="76">
        <v>2244</v>
      </c>
      <c r="B110" s="127" t="s">
        <v>126</v>
      </c>
      <c r="C110" s="279">
        <f t="shared" si="4"/>
        <v>346075</v>
      </c>
      <c r="D110" s="134">
        <f>355790-50000+40285</f>
        <v>346075</v>
      </c>
      <c r="E110" s="285"/>
      <c r="F110" s="286">
        <f t="shared" si="5"/>
        <v>346075</v>
      </c>
      <c r="G110" s="134"/>
      <c r="H110" s="135"/>
      <c r="I110" s="136">
        <f t="shared" si="6"/>
        <v>0</v>
      </c>
      <c r="J110" s="134">
        <v>0</v>
      </c>
      <c r="K110" s="135"/>
      <c r="L110" s="136">
        <f t="shared" si="7"/>
        <v>0</v>
      </c>
      <c r="M110" s="284"/>
      <c r="N110" s="285"/>
      <c r="O110" s="136">
        <f t="shared" si="8"/>
        <v>0</v>
      </c>
      <c r="P110" s="85"/>
      <c r="R110" s="53"/>
      <c r="S110" s="53"/>
    </row>
    <row r="111" spans="1:19" hidden="1" x14ac:dyDescent="0.25">
      <c r="A111" s="76">
        <v>2246</v>
      </c>
      <c r="B111" s="127" t="s">
        <v>127</v>
      </c>
      <c r="C111" s="279">
        <f t="shared" si="4"/>
        <v>0</v>
      </c>
      <c r="D111" s="134">
        <v>0</v>
      </c>
      <c r="E111" s="285"/>
      <c r="F111" s="286">
        <f t="shared" si="5"/>
        <v>0</v>
      </c>
      <c r="G111" s="134"/>
      <c r="H111" s="135"/>
      <c r="I111" s="136">
        <f t="shared" si="6"/>
        <v>0</v>
      </c>
      <c r="J111" s="134">
        <v>0</v>
      </c>
      <c r="K111" s="135"/>
      <c r="L111" s="136">
        <f t="shared" si="7"/>
        <v>0</v>
      </c>
      <c r="M111" s="284"/>
      <c r="N111" s="285"/>
      <c r="O111" s="136">
        <f t="shared" si="8"/>
        <v>0</v>
      </c>
      <c r="P111" s="85"/>
      <c r="R111" s="53"/>
      <c r="S111" s="53"/>
    </row>
    <row r="112" spans="1:19" x14ac:dyDescent="0.25">
      <c r="A112" s="76">
        <v>2247</v>
      </c>
      <c r="B112" s="127" t="s">
        <v>128</v>
      </c>
      <c r="C112" s="279">
        <f t="shared" si="4"/>
        <v>7819</v>
      </c>
      <c r="D112" s="134">
        <f>16886-11186+169+1950</f>
        <v>7819</v>
      </c>
      <c r="E112" s="285"/>
      <c r="F112" s="286">
        <f t="shared" si="5"/>
        <v>7819</v>
      </c>
      <c r="G112" s="134"/>
      <c r="H112" s="135"/>
      <c r="I112" s="136">
        <f t="shared" si="6"/>
        <v>0</v>
      </c>
      <c r="J112" s="134">
        <v>0</v>
      </c>
      <c r="K112" s="135"/>
      <c r="L112" s="136">
        <f t="shared" si="7"/>
        <v>0</v>
      </c>
      <c r="M112" s="284"/>
      <c r="N112" s="285"/>
      <c r="O112" s="136">
        <f t="shared" si="8"/>
        <v>0</v>
      </c>
      <c r="P112" s="85"/>
      <c r="R112" s="53"/>
      <c r="S112" s="53"/>
    </row>
    <row r="113" spans="1:19" ht="24" hidden="1" x14ac:dyDescent="0.25">
      <c r="A113" s="76">
        <v>2248</v>
      </c>
      <c r="B113" s="127" t="s">
        <v>129</v>
      </c>
      <c r="C113" s="279">
        <f t="shared" si="4"/>
        <v>0</v>
      </c>
      <c r="D113" s="134">
        <v>0</v>
      </c>
      <c r="E113" s="285"/>
      <c r="F113" s="286">
        <f t="shared" si="5"/>
        <v>0</v>
      </c>
      <c r="G113" s="134"/>
      <c r="H113" s="135"/>
      <c r="I113" s="136">
        <f t="shared" si="6"/>
        <v>0</v>
      </c>
      <c r="J113" s="134">
        <v>0</v>
      </c>
      <c r="K113" s="135"/>
      <c r="L113" s="136">
        <f t="shared" si="7"/>
        <v>0</v>
      </c>
      <c r="M113" s="284"/>
      <c r="N113" s="285"/>
      <c r="O113" s="136">
        <f t="shared" si="8"/>
        <v>0</v>
      </c>
      <c r="P113" s="85"/>
      <c r="R113" s="53"/>
      <c r="S113" s="53"/>
    </row>
    <row r="114" spans="1:19" ht="24" hidden="1" x14ac:dyDescent="0.25">
      <c r="A114" s="76">
        <v>2249</v>
      </c>
      <c r="B114" s="127" t="s">
        <v>130</v>
      </c>
      <c r="C114" s="279">
        <f t="shared" si="4"/>
        <v>0</v>
      </c>
      <c r="D114" s="134">
        <v>0</v>
      </c>
      <c r="E114" s="285"/>
      <c r="F114" s="286">
        <f t="shared" si="5"/>
        <v>0</v>
      </c>
      <c r="G114" s="134"/>
      <c r="H114" s="135"/>
      <c r="I114" s="136">
        <f t="shared" si="6"/>
        <v>0</v>
      </c>
      <c r="J114" s="134">
        <v>0</v>
      </c>
      <c r="K114" s="135"/>
      <c r="L114" s="136">
        <f t="shared" si="7"/>
        <v>0</v>
      </c>
      <c r="M114" s="284"/>
      <c r="N114" s="285"/>
      <c r="O114" s="136">
        <f t="shared" si="8"/>
        <v>0</v>
      </c>
      <c r="P114" s="85"/>
      <c r="R114" s="53"/>
      <c r="S114" s="53"/>
    </row>
    <row r="115" spans="1:19" hidden="1" x14ac:dyDescent="0.25">
      <c r="A115" s="276">
        <v>2250</v>
      </c>
      <c r="B115" s="127" t="s">
        <v>131</v>
      </c>
      <c r="C115" s="279">
        <f t="shared" si="4"/>
        <v>0</v>
      </c>
      <c r="D115" s="277">
        <f>SUM(D116:D118)</f>
        <v>0</v>
      </c>
      <c r="E115" s="282">
        <f>SUM(E116:E118)</f>
        <v>0</v>
      </c>
      <c r="F115" s="286">
        <f t="shared" si="5"/>
        <v>0</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c r="R115" s="53"/>
      <c r="S115" s="53"/>
    </row>
    <row r="116" spans="1:19" hidden="1" x14ac:dyDescent="0.25">
      <c r="A116" s="76">
        <v>2251</v>
      </c>
      <c r="B116" s="127" t="s">
        <v>132</v>
      </c>
      <c r="C116" s="279">
        <f t="shared" si="4"/>
        <v>0</v>
      </c>
      <c r="D116" s="134">
        <v>0</v>
      </c>
      <c r="E116" s="285"/>
      <c r="F116" s="286">
        <f t="shared" si="5"/>
        <v>0</v>
      </c>
      <c r="G116" s="134"/>
      <c r="H116" s="135"/>
      <c r="I116" s="136">
        <f t="shared" si="6"/>
        <v>0</v>
      </c>
      <c r="J116" s="134">
        <v>0</v>
      </c>
      <c r="K116" s="135"/>
      <c r="L116" s="136">
        <f t="shared" si="7"/>
        <v>0</v>
      </c>
      <c r="M116" s="284"/>
      <c r="N116" s="285"/>
      <c r="O116" s="136">
        <f t="shared" si="8"/>
        <v>0</v>
      </c>
      <c r="P116" s="85"/>
      <c r="R116" s="53"/>
      <c r="S116" s="53"/>
    </row>
    <row r="117" spans="1:19" hidden="1" x14ac:dyDescent="0.25">
      <c r="A117" s="76">
        <v>2252</v>
      </c>
      <c r="B117" s="127" t="s">
        <v>133</v>
      </c>
      <c r="C117" s="279">
        <f t="shared" ref="C117:C181" si="9">F117+I117+L117+O117</f>
        <v>0</v>
      </c>
      <c r="D117" s="134">
        <v>0</v>
      </c>
      <c r="E117" s="285"/>
      <c r="F117" s="286">
        <f t="shared" si="5"/>
        <v>0</v>
      </c>
      <c r="G117" s="134"/>
      <c r="H117" s="135"/>
      <c r="I117" s="136">
        <f t="shared" si="6"/>
        <v>0</v>
      </c>
      <c r="J117" s="134">
        <v>0</v>
      </c>
      <c r="K117" s="135"/>
      <c r="L117" s="136">
        <f t="shared" si="7"/>
        <v>0</v>
      </c>
      <c r="M117" s="284"/>
      <c r="N117" s="285"/>
      <c r="O117" s="136">
        <f t="shared" si="8"/>
        <v>0</v>
      </c>
      <c r="P117" s="85"/>
      <c r="R117" s="53"/>
      <c r="S117" s="53"/>
    </row>
    <row r="118" spans="1:19" hidden="1" x14ac:dyDescent="0.25">
      <c r="A118" s="76">
        <v>2259</v>
      </c>
      <c r="B118" s="127" t="s">
        <v>134</v>
      </c>
      <c r="C118" s="279">
        <f t="shared" si="9"/>
        <v>0</v>
      </c>
      <c r="D118" s="134">
        <v>0</v>
      </c>
      <c r="E118" s="285"/>
      <c r="F118" s="286">
        <f t="shared" ref="F118:F182" si="10">D118+E118</f>
        <v>0</v>
      </c>
      <c r="G118" s="134"/>
      <c r="H118" s="135"/>
      <c r="I118" s="136">
        <f t="shared" ref="I118:I182" si="11">G118+H118</f>
        <v>0</v>
      </c>
      <c r="J118" s="134">
        <v>0</v>
      </c>
      <c r="K118" s="135"/>
      <c r="L118" s="136">
        <f t="shared" ref="L118:L182" si="12">J118+K118</f>
        <v>0</v>
      </c>
      <c r="M118" s="284"/>
      <c r="N118" s="285"/>
      <c r="O118" s="136">
        <f t="shared" ref="O118:O182" si="13">M118+N118</f>
        <v>0</v>
      </c>
      <c r="P118" s="85"/>
      <c r="R118" s="53"/>
      <c r="S118" s="53"/>
    </row>
    <row r="119" spans="1:19" x14ac:dyDescent="0.25">
      <c r="A119" s="276">
        <v>2260</v>
      </c>
      <c r="B119" s="127" t="s">
        <v>135</v>
      </c>
      <c r="C119" s="279">
        <f t="shared" si="9"/>
        <v>136338</v>
      </c>
      <c r="D119" s="277">
        <f>SUM(D120:D124)</f>
        <v>89565</v>
      </c>
      <c r="E119" s="282">
        <f>SUM(E120:E124)</f>
        <v>3090</v>
      </c>
      <c r="F119" s="286">
        <f t="shared" si="10"/>
        <v>92655</v>
      </c>
      <c r="G119" s="277">
        <f>SUM(G120:G124)</f>
        <v>0</v>
      </c>
      <c r="H119" s="280">
        <f>SUM(H120:H124)</f>
        <v>0</v>
      </c>
      <c r="I119" s="136">
        <f t="shared" si="11"/>
        <v>0</v>
      </c>
      <c r="J119" s="277">
        <f>SUM(J120:J124)</f>
        <v>43683</v>
      </c>
      <c r="K119" s="280">
        <f>SUM(K120:K124)</f>
        <v>0</v>
      </c>
      <c r="L119" s="136">
        <f t="shared" si="12"/>
        <v>43683</v>
      </c>
      <c r="M119" s="281">
        <f>SUM(M120:M124)</f>
        <v>0</v>
      </c>
      <c r="N119" s="282">
        <f>SUM(N120:N124)</f>
        <v>0</v>
      </c>
      <c r="O119" s="136">
        <f t="shared" si="13"/>
        <v>0</v>
      </c>
      <c r="P119" s="85"/>
      <c r="R119" s="53"/>
      <c r="S119" s="53"/>
    </row>
    <row r="120" spans="1:19" x14ac:dyDescent="0.25">
      <c r="A120" s="76">
        <v>2261</v>
      </c>
      <c r="B120" s="127" t="s">
        <v>136</v>
      </c>
      <c r="C120" s="279">
        <f t="shared" si="9"/>
        <v>103619</v>
      </c>
      <c r="D120" s="134">
        <f>56845+1</f>
        <v>56846</v>
      </c>
      <c r="E120" s="285">
        <v>3090</v>
      </c>
      <c r="F120" s="286">
        <f t="shared" si="10"/>
        <v>59936</v>
      </c>
      <c r="G120" s="134"/>
      <c r="H120" s="135"/>
      <c r="I120" s="136">
        <f t="shared" si="11"/>
        <v>0</v>
      </c>
      <c r="J120" s="134">
        <v>43683</v>
      </c>
      <c r="K120" s="135"/>
      <c r="L120" s="136">
        <f t="shared" si="12"/>
        <v>43683</v>
      </c>
      <c r="M120" s="284"/>
      <c r="N120" s="285"/>
      <c r="O120" s="136">
        <f t="shared" si="13"/>
        <v>0</v>
      </c>
      <c r="P120" s="85"/>
      <c r="R120" s="53"/>
      <c r="S120" s="53"/>
    </row>
    <row r="121" spans="1:19" hidden="1" x14ac:dyDescent="0.25">
      <c r="A121" s="76">
        <v>2262</v>
      </c>
      <c r="B121" s="127" t="s">
        <v>137</v>
      </c>
      <c r="C121" s="279">
        <f t="shared" si="9"/>
        <v>0</v>
      </c>
      <c r="D121" s="134">
        <v>0</v>
      </c>
      <c r="E121" s="285"/>
      <c r="F121" s="286">
        <f t="shared" si="10"/>
        <v>0</v>
      </c>
      <c r="G121" s="134"/>
      <c r="H121" s="135"/>
      <c r="I121" s="136">
        <f t="shared" si="11"/>
        <v>0</v>
      </c>
      <c r="J121" s="134">
        <v>0</v>
      </c>
      <c r="K121" s="135"/>
      <c r="L121" s="136">
        <f t="shared" si="12"/>
        <v>0</v>
      </c>
      <c r="M121" s="284"/>
      <c r="N121" s="285"/>
      <c r="O121" s="136">
        <f t="shared" si="13"/>
        <v>0</v>
      </c>
      <c r="P121" s="85"/>
      <c r="R121" s="53"/>
      <c r="S121" s="53"/>
    </row>
    <row r="122" spans="1:19" x14ac:dyDescent="0.25">
      <c r="A122" s="76">
        <v>2263</v>
      </c>
      <c r="B122" s="127" t="s">
        <v>138</v>
      </c>
      <c r="C122" s="279">
        <f t="shared" si="9"/>
        <v>32719</v>
      </c>
      <c r="D122" s="134">
        <f>36004-3285</f>
        <v>32719</v>
      </c>
      <c r="E122" s="285"/>
      <c r="F122" s="286">
        <f t="shared" si="10"/>
        <v>32719</v>
      </c>
      <c r="G122" s="134"/>
      <c r="H122" s="135"/>
      <c r="I122" s="136">
        <f t="shared" si="11"/>
        <v>0</v>
      </c>
      <c r="J122" s="134">
        <v>0</v>
      </c>
      <c r="K122" s="135"/>
      <c r="L122" s="136">
        <f t="shared" si="12"/>
        <v>0</v>
      </c>
      <c r="M122" s="284"/>
      <c r="N122" s="285"/>
      <c r="O122" s="136">
        <f t="shared" si="13"/>
        <v>0</v>
      </c>
      <c r="P122" s="85"/>
      <c r="R122" s="53"/>
      <c r="S122" s="53"/>
    </row>
    <row r="123" spans="1:19" hidden="1" x14ac:dyDescent="0.25">
      <c r="A123" s="76">
        <v>2264</v>
      </c>
      <c r="B123" s="127" t="s">
        <v>139</v>
      </c>
      <c r="C123" s="279">
        <f t="shared" si="9"/>
        <v>0</v>
      </c>
      <c r="D123" s="134">
        <v>0</v>
      </c>
      <c r="E123" s="285"/>
      <c r="F123" s="286">
        <f t="shared" si="10"/>
        <v>0</v>
      </c>
      <c r="G123" s="134"/>
      <c r="H123" s="135"/>
      <c r="I123" s="136">
        <f t="shared" si="11"/>
        <v>0</v>
      </c>
      <c r="J123" s="134">
        <v>0</v>
      </c>
      <c r="K123" s="135"/>
      <c r="L123" s="136">
        <f t="shared" si="12"/>
        <v>0</v>
      </c>
      <c r="M123" s="284"/>
      <c r="N123" s="285"/>
      <c r="O123" s="136">
        <f t="shared" si="13"/>
        <v>0</v>
      </c>
      <c r="P123" s="85"/>
      <c r="R123" s="53"/>
      <c r="S123" s="53"/>
    </row>
    <row r="124" spans="1:19" hidden="1" x14ac:dyDescent="0.25">
      <c r="A124" s="76">
        <v>2269</v>
      </c>
      <c r="B124" s="127" t="s">
        <v>140</v>
      </c>
      <c r="C124" s="279">
        <f t="shared" si="9"/>
        <v>0</v>
      </c>
      <c r="D124" s="134">
        <v>0</v>
      </c>
      <c r="E124" s="285"/>
      <c r="F124" s="286">
        <f t="shared" si="10"/>
        <v>0</v>
      </c>
      <c r="G124" s="134"/>
      <c r="H124" s="135"/>
      <c r="I124" s="136">
        <f t="shared" si="11"/>
        <v>0</v>
      </c>
      <c r="J124" s="134">
        <v>0</v>
      </c>
      <c r="K124" s="135"/>
      <c r="L124" s="136">
        <f t="shared" si="12"/>
        <v>0</v>
      </c>
      <c r="M124" s="284"/>
      <c r="N124" s="285"/>
      <c r="O124" s="136">
        <f t="shared" si="13"/>
        <v>0</v>
      </c>
      <c r="P124" s="85"/>
      <c r="R124" s="53"/>
      <c r="S124" s="53"/>
    </row>
    <row r="125" spans="1:19" x14ac:dyDescent="0.25">
      <c r="A125" s="276">
        <v>2270</v>
      </c>
      <c r="B125" s="127" t="s">
        <v>141</v>
      </c>
      <c r="C125" s="279">
        <f t="shared" si="9"/>
        <v>92337</v>
      </c>
      <c r="D125" s="277">
        <f>SUM(D126:D130)</f>
        <v>92337</v>
      </c>
      <c r="E125" s="282">
        <f>SUM(E126:E130)</f>
        <v>0</v>
      </c>
      <c r="F125" s="286">
        <f t="shared" si="10"/>
        <v>92337</v>
      </c>
      <c r="G125" s="277">
        <f>SUM(G126:G130)</f>
        <v>0</v>
      </c>
      <c r="H125" s="280">
        <f>SUM(H126:H130)</f>
        <v>0</v>
      </c>
      <c r="I125" s="136">
        <f t="shared" si="11"/>
        <v>0</v>
      </c>
      <c r="J125" s="277">
        <f>SUM(J126:J130)</f>
        <v>0</v>
      </c>
      <c r="K125" s="280">
        <f>SUM(K126:K130)</f>
        <v>0</v>
      </c>
      <c r="L125" s="136">
        <f t="shared" si="12"/>
        <v>0</v>
      </c>
      <c r="M125" s="281">
        <f>SUM(M126:M130)</f>
        <v>0</v>
      </c>
      <c r="N125" s="282">
        <f>SUM(N126:N130)</f>
        <v>0</v>
      </c>
      <c r="O125" s="136">
        <f t="shared" si="13"/>
        <v>0</v>
      </c>
      <c r="P125" s="85"/>
      <c r="R125" s="53"/>
      <c r="S125" s="53"/>
    </row>
    <row r="126" spans="1:19" hidden="1" x14ac:dyDescent="0.25">
      <c r="A126" s="76">
        <v>2272</v>
      </c>
      <c r="B126" s="5" t="s">
        <v>142</v>
      </c>
      <c r="C126" s="279">
        <f t="shared" si="9"/>
        <v>0</v>
      </c>
      <c r="D126" s="134">
        <v>0</v>
      </c>
      <c r="E126" s="285"/>
      <c r="F126" s="286">
        <f t="shared" si="10"/>
        <v>0</v>
      </c>
      <c r="G126" s="134"/>
      <c r="H126" s="135"/>
      <c r="I126" s="136">
        <f t="shared" si="11"/>
        <v>0</v>
      </c>
      <c r="J126" s="134">
        <v>0</v>
      </c>
      <c r="K126" s="135"/>
      <c r="L126" s="136">
        <f t="shared" si="12"/>
        <v>0</v>
      </c>
      <c r="M126" s="284"/>
      <c r="N126" s="285"/>
      <c r="O126" s="136">
        <f t="shared" si="13"/>
        <v>0</v>
      </c>
      <c r="P126" s="85"/>
      <c r="R126" s="53"/>
      <c r="S126" s="53"/>
    </row>
    <row r="127" spans="1:19" hidden="1" x14ac:dyDescent="0.25">
      <c r="A127" s="76">
        <v>2275</v>
      </c>
      <c r="B127" s="127" t="s">
        <v>143</v>
      </c>
      <c r="C127" s="279">
        <f t="shared" si="9"/>
        <v>0</v>
      </c>
      <c r="D127" s="134">
        <v>0</v>
      </c>
      <c r="E127" s="285"/>
      <c r="F127" s="286">
        <f t="shared" si="10"/>
        <v>0</v>
      </c>
      <c r="G127" s="134"/>
      <c r="H127" s="135"/>
      <c r="I127" s="136">
        <f t="shared" si="11"/>
        <v>0</v>
      </c>
      <c r="J127" s="134">
        <v>0</v>
      </c>
      <c r="K127" s="135"/>
      <c r="L127" s="136">
        <f t="shared" si="12"/>
        <v>0</v>
      </c>
      <c r="M127" s="284"/>
      <c r="N127" s="285"/>
      <c r="O127" s="136">
        <f t="shared" si="13"/>
        <v>0</v>
      </c>
      <c r="P127" s="85"/>
      <c r="R127" s="53"/>
      <c r="S127" s="53"/>
    </row>
    <row r="128" spans="1:19" ht="24" x14ac:dyDescent="0.25">
      <c r="A128" s="76">
        <v>2276</v>
      </c>
      <c r="B128" s="127" t="s">
        <v>144</v>
      </c>
      <c r="C128" s="279">
        <f t="shared" si="9"/>
        <v>600</v>
      </c>
      <c r="D128" s="134">
        <f>200+200+200</f>
        <v>600</v>
      </c>
      <c r="E128" s="285"/>
      <c r="F128" s="286">
        <f t="shared" si="10"/>
        <v>600</v>
      </c>
      <c r="G128" s="134"/>
      <c r="H128" s="135"/>
      <c r="I128" s="136">
        <f t="shared" si="11"/>
        <v>0</v>
      </c>
      <c r="J128" s="134">
        <v>0</v>
      </c>
      <c r="K128" s="135"/>
      <c r="L128" s="136">
        <f t="shared" si="12"/>
        <v>0</v>
      </c>
      <c r="M128" s="284"/>
      <c r="N128" s="285"/>
      <c r="O128" s="136">
        <f t="shared" si="13"/>
        <v>0</v>
      </c>
      <c r="P128" s="85"/>
      <c r="R128" s="53"/>
      <c r="S128" s="53"/>
    </row>
    <row r="129" spans="1:19" ht="24" hidden="1" x14ac:dyDescent="0.25">
      <c r="A129" s="76">
        <v>2278</v>
      </c>
      <c r="B129" s="127" t="s">
        <v>145</v>
      </c>
      <c r="C129" s="279">
        <f t="shared" si="9"/>
        <v>0</v>
      </c>
      <c r="D129" s="134">
        <v>0</v>
      </c>
      <c r="E129" s="285"/>
      <c r="F129" s="286">
        <f t="shared" si="10"/>
        <v>0</v>
      </c>
      <c r="G129" s="134"/>
      <c r="H129" s="135"/>
      <c r="I129" s="136">
        <f t="shared" si="11"/>
        <v>0</v>
      </c>
      <c r="J129" s="134">
        <v>0</v>
      </c>
      <c r="K129" s="135"/>
      <c r="L129" s="136">
        <f t="shared" si="12"/>
        <v>0</v>
      </c>
      <c r="M129" s="284"/>
      <c r="N129" s="285"/>
      <c r="O129" s="136">
        <f t="shared" si="13"/>
        <v>0</v>
      </c>
      <c r="P129" s="85"/>
      <c r="R129" s="53"/>
      <c r="S129" s="53"/>
    </row>
    <row r="130" spans="1:19" x14ac:dyDescent="0.25">
      <c r="A130" s="76">
        <v>2279</v>
      </c>
      <c r="B130" s="127" t="s">
        <v>146</v>
      </c>
      <c r="C130" s="279">
        <f t="shared" si="9"/>
        <v>91737</v>
      </c>
      <c r="D130" s="134">
        <f>76053-200-1452+23675-3939-1950-450</f>
        <v>91737</v>
      </c>
      <c r="E130" s="285"/>
      <c r="F130" s="286">
        <f t="shared" si="10"/>
        <v>91737</v>
      </c>
      <c r="G130" s="134"/>
      <c r="H130" s="135"/>
      <c r="I130" s="136">
        <f t="shared" si="11"/>
        <v>0</v>
      </c>
      <c r="J130" s="134">
        <v>0</v>
      </c>
      <c r="K130" s="135"/>
      <c r="L130" s="136">
        <f t="shared" si="12"/>
        <v>0</v>
      </c>
      <c r="M130" s="284"/>
      <c r="N130" s="285"/>
      <c r="O130" s="136">
        <f t="shared" si="13"/>
        <v>0</v>
      </c>
      <c r="P130" s="85"/>
      <c r="R130" s="53"/>
      <c r="S130" s="53"/>
    </row>
    <row r="131" spans="1:19" hidden="1" x14ac:dyDescent="0.25">
      <c r="A131" s="656">
        <v>2280</v>
      </c>
      <c r="B131" s="116" t="s">
        <v>147</v>
      </c>
      <c r="C131" s="279">
        <f t="shared" si="9"/>
        <v>0</v>
      </c>
      <c r="D131" s="297">
        <f t="shared" ref="D131" si="14">SUM(D132)</f>
        <v>0</v>
      </c>
      <c r="E131" s="301">
        <f t="shared" ref="E131:N131" si="15">SUM(E132)</f>
        <v>0</v>
      </c>
      <c r="F131" s="263">
        <f t="shared" si="10"/>
        <v>0</v>
      </c>
      <c r="G131" s="297">
        <f t="shared" ref="G131" si="16">SUM(G132)</f>
        <v>0</v>
      </c>
      <c r="H131" s="299">
        <f t="shared" si="15"/>
        <v>0</v>
      </c>
      <c r="I131" s="125">
        <f t="shared" si="11"/>
        <v>0</v>
      </c>
      <c r="J131" s="297">
        <f t="shared" ref="J131" si="17">SUM(J132)</f>
        <v>0</v>
      </c>
      <c r="K131" s="299">
        <f t="shared" si="15"/>
        <v>0</v>
      </c>
      <c r="L131" s="125">
        <f t="shared" si="12"/>
        <v>0</v>
      </c>
      <c r="M131" s="281">
        <f t="shared" si="15"/>
        <v>0</v>
      </c>
      <c r="N131" s="282">
        <f t="shared" si="15"/>
        <v>0</v>
      </c>
      <c r="O131" s="136">
        <f t="shared" si="13"/>
        <v>0</v>
      </c>
      <c r="P131" s="85"/>
      <c r="R131" s="53"/>
      <c r="S131" s="53"/>
    </row>
    <row r="132" spans="1:19" hidden="1" x14ac:dyDescent="0.25">
      <c r="A132" s="76">
        <v>2283</v>
      </c>
      <c r="B132" s="127" t="s">
        <v>148</v>
      </c>
      <c r="C132" s="279">
        <f t="shared" si="9"/>
        <v>0</v>
      </c>
      <c r="D132" s="134">
        <v>0</v>
      </c>
      <c r="E132" s="285"/>
      <c r="F132" s="286">
        <f t="shared" si="10"/>
        <v>0</v>
      </c>
      <c r="G132" s="134"/>
      <c r="H132" s="135"/>
      <c r="I132" s="136">
        <f t="shared" si="11"/>
        <v>0</v>
      </c>
      <c r="J132" s="134">
        <v>0</v>
      </c>
      <c r="K132" s="135"/>
      <c r="L132" s="136">
        <f t="shared" si="12"/>
        <v>0</v>
      </c>
      <c r="M132" s="284"/>
      <c r="N132" s="285"/>
      <c r="O132" s="136">
        <f t="shared" si="13"/>
        <v>0</v>
      </c>
      <c r="P132" s="85"/>
      <c r="R132" s="53"/>
      <c r="S132" s="53"/>
    </row>
    <row r="133" spans="1:19" ht="24" x14ac:dyDescent="0.25">
      <c r="A133" s="99">
        <v>2300</v>
      </c>
      <c r="B133" s="247" t="s">
        <v>149</v>
      </c>
      <c r="C133" s="249">
        <f t="shared" si="9"/>
        <v>4332</v>
      </c>
      <c r="D133" s="112">
        <f>SUM(D134,D139,D143,D144,D147,D154,D162,D163,D166)</f>
        <v>4332</v>
      </c>
      <c r="E133" s="293">
        <f>SUM(E134,E139,E143,E144,E147,E154,E162,E163,E166)</f>
        <v>0</v>
      </c>
      <c r="F133" s="313">
        <f t="shared" si="10"/>
        <v>4332</v>
      </c>
      <c r="G133" s="112">
        <f>SUM(G134,G139,G143,G144,G147,G154,G162,G163,G166)</f>
        <v>0</v>
      </c>
      <c r="H133" s="113">
        <f>SUM(H134,H139,H143,H144,H147,H154,H162,H163,H166)</f>
        <v>0</v>
      </c>
      <c r="I133" s="114">
        <f t="shared" si="11"/>
        <v>0</v>
      </c>
      <c r="J133" s="112">
        <f>SUM(J134,J139,J143,J144,J147,J154,J162,J163,J166)</f>
        <v>0</v>
      </c>
      <c r="K133" s="113">
        <f>SUM(K134,K139,K143,K144,K147,K154,K162,K163,K166)</f>
        <v>0</v>
      </c>
      <c r="L133" s="114">
        <f t="shared" si="12"/>
        <v>0</v>
      </c>
      <c r="M133" s="292">
        <f>SUM(M134,M139,M143,M144,M147,M154,M162,M163,M166)</f>
        <v>0</v>
      </c>
      <c r="N133" s="293">
        <f>SUM(N134,N139,N143,N144,N147,N154,N162,N163,N166)</f>
        <v>0</v>
      </c>
      <c r="O133" s="114">
        <f t="shared" si="13"/>
        <v>0</v>
      </c>
      <c r="P133" s="109"/>
      <c r="R133" s="53"/>
      <c r="S133" s="53"/>
    </row>
    <row r="134" spans="1:19" ht="24" x14ac:dyDescent="0.25">
      <c r="A134" s="656">
        <v>2310</v>
      </c>
      <c r="B134" s="116" t="s">
        <v>150</v>
      </c>
      <c r="C134" s="296">
        <f t="shared" si="9"/>
        <v>4332</v>
      </c>
      <c r="D134" s="308">
        <f>SUM(D135:D138)</f>
        <v>4332</v>
      </c>
      <c r="E134" s="299">
        <f>SUM(E135:E138)</f>
        <v>0</v>
      </c>
      <c r="F134" s="263">
        <f t="shared" si="10"/>
        <v>4332</v>
      </c>
      <c r="G134" s="297">
        <f>SUM(G135:G138)</f>
        <v>0</v>
      </c>
      <c r="H134" s="299">
        <f>SUM(H135:H138)</f>
        <v>0</v>
      </c>
      <c r="I134" s="125">
        <f t="shared" si="11"/>
        <v>0</v>
      </c>
      <c r="J134" s="297">
        <f>SUM(J135:J138)</f>
        <v>0</v>
      </c>
      <c r="K134" s="299">
        <f>SUM(K135:K138)</f>
        <v>0</v>
      </c>
      <c r="L134" s="125">
        <f t="shared" si="12"/>
        <v>0</v>
      </c>
      <c r="M134" s="300">
        <f>SUM(M135:M138)</f>
        <v>0</v>
      </c>
      <c r="N134" s="301">
        <f>SUM(N135:N138)</f>
        <v>0</v>
      </c>
      <c r="O134" s="125">
        <f t="shared" si="13"/>
        <v>0</v>
      </c>
      <c r="P134" s="74"/>
      <c r="R134" s="53"/>
      <c r="S134" s="53"/>
    </row>
    <row r="135" spans="1:19" hidden="1" x14ac:dyDescent="0.25">
      <c r="A135" s="76">
        <v>2311</v>
      </c>
      <c r="B135" s="127" t="s">
        <v>151</v>
      </c>
      <c r="C135" s="279">
        <f t="shared" si="9"/>
        <v>0</v>
      </c>
      <c r="D135" s="134">
        <v>0</v>
      </c>
      <c r="E135" s="285"/>
      <c r="F135" s="286">
        <f t="shared" si="10"/>
        <v>0</v>
      </c>
      <c r="G135" s="134"/>
      <c r="H135" s="135"/>
      <c r="I135" s="136">
        <f t="shared" si="11"/>
        <v>0</v>
      </c>
      <c r="J135" s="134">
        <v>0</v>
      </c>
      <c r="K135" s="135"/>
      <c r="L135" s="136">
        <f t="shared" si="12"/>
        <v>0</v>
      </c>
      <c r="M135" s="284"/>
      <c r="N135" s="285"/>
      <c r="O135" s="136">
        <f t="shared" si="13"/>
        <v>0</v>
      </c>
      <c r="P135" s="85"/>
      <c r="R135" s="53"/>
      <c r="S135" s="53"/>
    </row>
    <row r="136" spans="1:19" x14ac:dyDescent="0.25">
      <c r="A136" s="76">
        <v>2312</v>
      </c>
      <c r="B136" s="127" t="s">
        <v>152</v>
      </c>
      <c r="C136" s="279">
        <f t="shared" si="9"/>
        <v>4332</v>
      </c>
      <c r="D136" s="134">
        <f>1500+3001-169</f>
        <v>4332</v>
      </c>
      <c r="E136" s="285"/>
      <c r="F136" s="286">
        <f t="shared" si="10"/>
        <v>4332</v>
      </c>
      <c r="G136" s="134"/>
      <c r="H136" s="135"/>
      <c r="I136" s="136">
        <f t="shared" si="11"/>
        <v>0</v>
      </c>
      <c r="J136" s="134">
        <v>0</v>
      </c>
      <c r="K136" s="135"/>
      <c r="L136" s="136">
        <f t="shared" si="12"/>
        <v>0</v>
      </c>
      <c r="M136" s="284"/>
      <c r="N136" s="285"/>
      <c r="O136" s="136">
        <f t="shared" si="13"/>
        <v>0</v>
      </c>
      <c r="P136" s="85"/>
      <c r="R136" s="53"/>
      <c r="S136" s="53"/>
    </row>
    <row r="137" spans="1:19" hidden="1" x14ac:dyDescent="0.25">
      <c r="A137" s="76">
        <v>2313</v>
      </c>
      <c r="B137" s="127" t="s">
        <v>153</v>
      </c>
      <c r="C137" s="279">
        <f t="shared" si="9"/>
        <v>0</v>
      </c>
      <c r="D137" s="134">
        <v>0</v>
      </c>
      <c r="E137" s="285"/>
      <c r="F137" s="286">
        <f t="shared" si="10"/>
        <v>0</v>
      </c>
      <c r="G137" s="134"/>
      <c r="H137" s="135"/>
      <c r="I137" s="136">
        <f t="shared" si="11"/>
        <v>0</v>
      </c>
      <c r="J137" s="134">
        <v>0</v>
      </c>
      <c r="K137" s="135"/>
      <c r="L137" s="136">
        <f t="shared" si="12"/>
        <v>0</v>
      </c>
      <c r="M137" s="284"/>
      <c r="N137" s="285"/>
      <c r="O137" s="136">
        <f t="shared" si="13"/>
        <v>0</v>
      </c>
      <c r="P137" s="85"/>
      <c r="R137" s="53"/>
      <c r="S137" s="53"/>
    </row>
    <row r="138" spans="1:19" ht="24" hidden="1" x14ac:dyDescent="0.25">
      <c r="A138" s="76">
        <v>2314</v>
      </c>
      <c r="B138" s="127" t="s">
        <v>154</v>
      </c>
      <c r="C138" s="279">
        <f t="shared" si="9"/>
        <v>0</v>
      </c>
      <c r="D138" s="134">
        <v>0</v>
      </c>
      <c r="E138" s="285"/>
      <c r="F138" s="286">
        <f t="shared" si="10"/>
        <v>0</v>
      </c>
      <c r="G138" s="134"/>
      <c r="H138" s="135"/>
      <c r="I138" s="136">
        <f t="shared" si="11"/>
        <v>0</v>
      </c>
      <c r="J138" s="134">
        <v>0</v>
      </c>
      <c r="K138" s="135"/>
      <c r="L138" s="136">
        <f t="shared" si="12"/>
        <v>0</v>
      </c>
      <c r="M138" s="284"/>
      <c r="N138" s="285"/>
      <c r="O138" s="136">
        <f t="shared" si="13"/>
        <v>0</v>
      </c>
      <c r="P138" s="85"/>
      <c r="R138" s="53"/>
      <c r="S138" s="53"/>
    </row>
    <row r="139" spans="1:19" hidden="1" x14ac:dyDescent="0.25">
      <c r="A139" s="276">
        <v>2320</v>
      </c>
      <c r="B139" s="127" t="s">
        <v>155</v>
      </c>
      <c r="C139" s="279">
        <f t="shared" si="9"/>
        <v>0</v>
      </c>
      <c r="D139" s="277">
        <f>SUM(D140:D142)</f>
        <v>0</v>
      </c>
      <c r="E139" s="282">
        <f>SUM(E140:E142)</f>
        <v>0</v>
      </c>
      <c r="F139" s="286">
        <f t="shared" si="10"/>
        <v>0</v>
      </c>
      <c r="G139" s="277">
        <f>SUM(G140:G142)</f>
        <v>0</v>
      </c>
      <c r="H139" s="280">
        <f>SUM(H140:H142)</f>
        <v>0</v>
      </c>
      <c r="I139" s="136">
        <f t="shared" si="11"/>
        <v>0</v>
      </c>
      <c r="J139" s="277">
        <f>SUM(J140:J142)</f>
        <v>0</v>
      </c>
      <c r="K139" s="280">
        <f>SUM(K140:K142)</f>
        <v>0</v>
      </c>
      <c r="L139" s="136">
        <f t="shared" si="12"/>
        <v>0</v>
      </c>
      <c r="M139" s="281">
        <f>SUM(M140:M142)</f>
        <v>0</v>
      </c>
      <c r="N139" s="282">
        <f>SUM(N140:N142)</f>
        <v>0</v>
      </c>
      <c r="O139" s="136">
        <f t="shared" si="13"/>
        <v>0</v>
      </c>
      <c r="P139" s="85"/>
      <c r="R139" s="53"/>
      <c r="S139" s="53"/>
    </row>
    <row r="140" spans="1:19" hidden="1" x14ac:dyDescent="0.25">
      <c r="A140" s="76">
        <v>2321</v>
      </c>
      <c r="B140" s="127" t="s">
        <v>156</v>
      </c>
      <c r="C140" s="279">
        <f t="shared" si="9"/>
        <v>0</v>
      </c>
      <c r="D140" s="134">
        <v>0</v>
      </c>
      <c r="E140" s="285"/>
      <c r="F140" s="286">
        <f t="shared" si="10"/>
        <v>0</v>
      </c>
      <c r="G140" s="134"/>
      <c r="H140" s="135"/>
      <c r="I140" s="136">
        <f t="shared" si="11"/>
        <v>0</v>
      </c>
      <c r="J140" s="134">
        <v>0</v>
      </c>
      <c r="K140" s="135"/>
      <c r="L140" s="136">
        <f t="shared" si="12"/>
        <v>0</v>
      </c>
      <c r="M140" s="284"/>
      <c r="N140" s="285"/>
      <c r="O140" s="136">
        <f t="shared" si="13"/>
        <v>0</v>
      </c>
      <c r="P140" s="85"/>
      <c r="R140" s="53"/>
      <c r="S140" s="53"/>
    </row>
    <row r="141" spans="1:19" hidden="1" x14ac:dyDescent="0.25">
      <c r="A141" s="76">
        <v>2322</v>
      </c>
      <c r="B141" s="127" t="s">
        <v>157</v>
      </c>
      <c r="C141" s="279">
        <f t="shared" si="9"/>
        <v>0</v>
      </c>
      <c r="D141" s="134">
        <v>0</v>
      </c>
      <c r="E141" s="285"/>
      <c r="F141" s="286">
        <f t="shared" si="10"/>
        <v>0</v>
      </c>
      <c r="G141" s="134"/>
      <c r="H141" s="135"/>
      <c r="I141" s="136">
        <f t="shared" si="11"/>
        <v>0</v>
      </c>
      <c r="J141" s="134">
        <v>0</v>
      </c>
      <c r="K141" s="135"/>
      <c r="L141" s="136">
        <f t="shared" si="12"/>
        <v>0</v>
      </c>
      <c r="M141" s="284"/>
      <c r="N141" s="285"/>
      <c r="O141" s="136">
        <f t="shared" si="13"/>
        <v>0</v>
      </c>
      <c r="P141" s="85"/>
      <c r="R141" s="53"/>
      <c r="S141" s="53"/>
    </row>
    <row r="142" spans="1:19" hidden="1" x14ac:dyDescent="0.25">
      <c r="A142" s="76">
        <v>2329</v>
      </c>
      <c r="B142" s="127" t="s">
        <v>158</v>
      </c>
      <c r="C142" s="279">
        <f t="shared" si="9"/>
        <v>0</v>
      </c>
      <c r="D142" s="134">
        <v>0</v>
      </c>
      <c r="E142" s="285"/>
      <c r="F142" s="286">
        <f t="shared" si="10"/>
        <v>0</v>
      </c>
      <c r="G142" s="134"/>
      <c r="H142" s="135"/>
      <c r="I142" s="136">
        <f t="shared" si="11"/>
        <v>0</v>
      </c>
      <c r="J142" s="134">
        <v>0</v>
      </c>
      <c r="K142" s="135"/>
      <c r="L142" s="136">
        <f t="shared" si="12"/>
        <v>0</v>
      </c>
      <c r="M142" s="284"/>
      <c r="N142" s="285"/>
      <c r="O142" s="136">
        <f t="shared" si="13"/>
        <v>0</v>
      </c>
      <c r="P142" s="85"/>
      <c r="R142" s="53"/>
      <c r="S142" s="53"/>
    </row>
    <row r="143" spans="1:19" hidden="1" x14ac:dyDescent="0.25">
      <c r="A143" s="276">
        <v>2330</v>
      </c>
      <c r="B143" s="127" t="s">
        <v>159</v>
      </c>
      <c r="C143" s="279">
        <f t="shared" si="9"/>
        <v>0</v>
      </c>
      <c r="D143" s="134">
        <v>0</v>
      </c>
      <c r="E143" s="285"/>
      <c r="F143" s="286">
        <f t="shared" si="10"/>
        <v>0</v>
      </c>
      <c r="G143" s="134"/>
      <c r="H143" s="135"/>
      <c r="I143" s="136">
        <f t="shared" si="11"/>
        <v>0</v>
      </c>
      <c r="J143" s="134">
        <v>0</v>
      </c>
      <c r="K143" s="135"/>
      <c r="L143" s="136">
        <f t="shared" si="12"/>
        <v>0</v>
      </c>
      <c r="M143" s="284"/>
      <c r="N143" s="285"/>
      <c r="O143" s="136">
        <f t="shared" si="13"/>
        <v>0</v>
      </c>
      <c r="P143" s="85"/>
      <c r="R143" s="53"/>
      <c r="S143" s="53"/>
    </row>
    <row r="144" spans="1:19" ht="36" hidden="1" x14ac:dyDescent="0.25">
      <c r="A144" s="276">
        <v>2340</v>
      </c>
      <c r="B144" s="127" t="s">
        <v>160</v>
      </c>
      <c r="C144" s="279">
        <f t="shared" si="9"/>
        <v>0</v>
      </c>
      <c r="D144" s="277">
        <f>SUM(D145:D146)</f>
        <v>0</v>
      </c>
      <c r="E144" s="282">
        <f>SUM(E145:E146)</f>
        <v>0</v>
      </c>
      <c r="F144" s="286">
        <f t="shared" si="10"/>
        <v>0</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c r="R144" s="53"/>
      <c r="S144" s="53"/>
    </row>
    <row r="145" spans="1:19" hidden="1" x14ac:dyDescent="0.25">
      <c r="A145" s="76">
        <v>2341</v>
      </c>
      <c r="B145" s="127" t="s">
        <v>161</v>
      </c>
      <c r="C145" s="279">
        <f t="shared" si="9"/>
        <v>0</v>
      </c>
      <c r="D145" s="134">
        <v>0</v>
      </c>
      <c r="E145" s="285"/>
      <c r="F145" s="286">
        <f t="shared" si="10"/>
        <v>0</v>
      </c>
      <c r="G145" s="134"/>
      <c r="H145" s="135"/>
      <c r="I145" s="136">
        <f t="shared" si="11"/>
        <v>0</v>
      </c>
      <c r="J145" s="134">
        <v>0</v>
      </c>
      <c r="K145" s="135"/>
      <c r="L145" s="136">
        <f t="shared" si="12"/>
        <v>0</v>
      </c>
      <c r="M145" s="284"/>
      <c r="N145" s="285"/>
      <c r="O145" s="136">
        <f t="shared" si="13"/>
        <v>0</v>
      </c>
      <c r="P145" s="85"/>
      <c r="R145" s="53"/>
      <c r="S145" s="53"/>
    </row>
    <row r="146" spans="1:19" ht="24" hidden="1" x14ac:dyDescent="0.25">
      <c r="A146" s="76">
        <v>2344</v>
      </c>
      <c r="B146" s="127" t="s">
        <v>162</v>
      </c>
      <c r="C146" s="279">
        <f t="shared" si="9"/>
        <v>0</v>
      </c>
      <c r="D146" s="134">
        <v>0</v>
      </c>
      <c r="E146" s="285"/>
      <c r="F146" s="286">
        <f t="shared" si="10"/>
        <v>0</v>
      </c>
      <c r="G146" s="134"/>
      <c r="H146" s="135"/>
      <c r="I146" s="136">
        <f t="shared" si="11"/>
        <v>0</v>
      </c>
      <c r="J146" s="134">
        <v>0</v>
      </c>
      <c r="K146" s="135"/>
      <c r="L146" s="136">
        <f t="shared" si="12"/>
        <v>0</v>
      </c>
      <c r="M146" s="284"/>
      <c r="N146" s="285"/>
      <c r="O146" s="136">
        <f t="shared" si="13"/>
        <v>0</v>
      </c>
      <c r="P146" s="85"/>
      <c r="R146" s="53"/>
      <c r="S146" s="53"/>
    </row>
    <row r="147" spans="1:19" hidden="1" x14ac:dyDescent="0.25">
      <c r="A147" s="254">
        <v>2350</v>
      </c>
      <c r="B147" s="179" t="s">
        <v>163</v>
      </c>
      <c r="C147" s="279">
        <f t="shared" si="9"/>
        <v>0</v>
      </c>
      <c r="D147" s="255">
        <f>SUM(D148:D153)</f>
        <v>0</v>
      </c>
      <c r="E147" s="261">
        <f>SUM(E148:E153)</f>
        <v>0</v>
      </c>
      <c r="F147" s="310">
        <f t="shared" si="10"/>
        <v>0</v>
      </c>
      <c r="G147" s="255">
        <f>SUM(G148:G153)</f>
        <v>0</v>
      </c>
      <c r="H147" s="258">
        <f>SUM(H148:H153)</f>
        <v>0</v>
      </c>
      <c r="I147" s="259">
        <f t="shared" si="11"/>
        <v>0</v>
      </c>
      <c r="J147" s="255">
        <f>SUM(J148:J153)</f>
        <v>0</v>
      </c>
      <c r="K147" s="258">
        <f>SUM(K148:K153)</f>
        <v>0</v>
      </c>
      <c r="L147" s="259">
        <f t="shared" si="12"/>
        <v>0</v>
      </c>
      <c r="M147" s="260">
        <f>SUM(M148:M153)</f>
        <v>0</v>
      </c>
      <c r="N147" s="261">
        <f>SUM(N148:N153)</f>
        <v>0</v>
      </c>
      <c r="O147" s="259">
        <f t="shared" si="13"/>
        <v>0</v>
      </c>
      <c r="P147" s="189"/>
      <c r="R147" s="53"/>
      <c r="S147" s="53"/>
    </row>
    <row r="148" spans="1:19" hidden="1" x14ac:dyDescent="0.25">
      <c r="A148" s="66">
        <v>2351</v>
      </c>
      <c r="B148" s="116" t="s">
        <v>164</v>
      </c>
      <c r="C148" s="279">
        <f t="shared" si="9"/>
        <v>0</v>
      </c>
      <c r="D148" s="123">
        <v>0</v>
      </c>
      <c r="E148" s="262"/>
      <c r="F148" s="263">
        <f t="shared" si="10"/>
        <v>0</v>
      </c>
      <c r="G148" s="123"/>
      <c r="H148" s="124"/>
      <c r="I148" s="125">
        <f t="shared" si="11"/>
        <v>0</v>
      </c>
      <c r="J148" s="123">
        <v>0</v>
      </c>
      <c r="K148" s="124"/>
      <c r="L148" s="125">
        <f t="shared" si="12"/>
        <v>0</v>
      </c>
      <c r="M148" s="264"/>
      <c r="N148" s="262"/>
      <c r="O148" s="125">
        <f t="shared" si="13"/>
        <v>0</v>
      </c>
      <c r="P148" s="74"/>
      <c r="R148" s="53"/>
      <c r="S148" s="53"/>
    </row>
    <row r="149" spans="1:19" hidden="1" x14ac:dyDescent="0.25">
      <c r="A149" s="76">
        <v>2352</v>
      </c>
      <c r="B149" s="127" t="s">
        <v>165</v>
      </c>
      <c r="C149" s="279">
        <f t="shared" si="9"/>
        <v>0</v>
      </c>
      <c r="D149" s="134">
        <v>0</v>
      </c>
      <c r="E149" s="285"/>
      <c r="F149" s="286">
        <f t="shared" si="10"/>
        <v>0</v>
      </c>
      <c r="G149" s="134"/>
      <c r="H149" s="135"/>
      <c r="I149" s="136">
        <f t="shared" si="11"/>
        <v>0</v>
      </c>
      <c r="J149" s="134">
        <v>0</v>
      </c>
      <c r="K149" s="135"/>
      <c r="L149" s="136">
        <f t="shared" si="12"/>
        <v>0</v>
      </c>
      <c r="M149" s="284"/>
      <c r="N149" s="285"/>
      <c r="O149" s="136">
        <f t="shared" si="13"/>
        <v>0</v>
      </c>
      <c r="P149" s="85"/>
      <c r="R149" s="53"/>
      <c r="S149" s="53"/>
    </row>
    <row r="150" spans="1:19" hidden="1" x14ac:dyDescent="0.25">
      <c r="A150" s="76">
        <v>2353</v>
      </c>
      <c r="B150" s="127" t="s">
        <v>166</v>
      </c>
      <c r="C150" s="279">
        <f t="shared" si="9"/>
        <v>0</v>
      </c>
      <c r="D150" s="134">
        <v>0</v>
      </c>
      <c r="E150" s="285"/>
      <c r="F150" s="286">
        <f t="shared" si="10"/>
        <v>0</v>
      </c>
      <c r="G150" s="134"/>
      <c r="H150" s="135"/>
      <c r="I150" s="136">
        <f t="shared" si="11"/>
        <v>0</v>
      </c>
      <c r="J150" s="134">
        <v>0</v>
      </c>
      <c r="K150" s="135"/>
      <c r="L150" s="136">
        <f t="shared" si="12"/>
        <v>0</v>
      </c>
      <c r="M150" s="284"/>
      <c r="N150" s="285"/>
      <c r="O150" s="136">
        <f t="shared" si="13"/>
        <v>0</v>
      </c>
      <c r="P150" s="85"/>
      <c r="R150" s="53"/>
      <c r="S150" s="53"/>
    </row>
    <row r="151" spans="1:19" hidden="1" x14ac:dyDescent="0.25">
      <c r="A151" s="76">
        <v>2354</v>
      </c>
      <c r="B151" s="127" t="s">
        <v>167</v>
      </c>
      <c r="C151" s="279">
        <f t="shared" si="9"/>
        <v>0</v>
      </c>
      <c r="D151" s="134">
        <v>0</v>
      </c>
      <c r="E151" s="285"/>
      <c r="F151" s="286">
        <f t="shared" si="10"/>
        <v>0</v>
      </c>
      <c r="G151" s="134"/>
      <c r="H151" s="135"/>
      <c r="I151" s="136">
        <f t="shared" si="11"/>
        <v>0</v>
      </c>
      <c r="J151" s="134">
        <v>0</v>
      </c>
      <c r="K151" s="135"/>
      <c r="L151" s="136">
        <f t="shared" si="12"/>
        <v>0</v>
      </c>
      <c r="M151" s="284"/>
      <c r="N151" s="285"/>
      <c r="O151" s="136">
        <f t="shared" si="13"/>
        <v>0</v>
      </c>
      <c r="P151" s="85"/>
      <c r="R151" s="53"/>
      <c r="S151" s="53"/>
    </row>
    <row r="152" spans="1:19" hidden="1" x14ac:dyDescent="0.25">
      <c r="A152" s="76">
        <v>2355</v>
      </c>
      <c r="B152" s="127" t="s">
        <v>168</v>
      </c>
      <c r="C152" s="279">
        <f t="shared" si="9"/>
        <v>0</v>
      </c>
      <c r="D152" s="134">
        <v>0</v>
      </c>
      <c r="E152" s="285"/>
      <c r="F152" s="286">
        <f t="shared" si="10"/>
        <v>0</v>
      </c>
      <c r="G152" s="134"/>
      <c r="H152" s="135"/>
      <c r="I152" s="136">
        <f t="shared" si="11"/>
        <v>0</v>
      </c>
      <c r="J152" s="134">
        <v>0</v>
      </c>
      <c r="K152" s="135"/>
      <c r="L152" s="136">
        <f t="shared" si="12"/>
        <v>0</v>
      </c>
      <c r="M152" s="284"/>
      <c r="N152" s="285"/>
      <c r="O152" s="136">
        <f t="shared" si="13"/>
        <v>0</v>
      </c>
      <c r="P152" s="85"/>
      <c r="R152" s="53"/>
      <c r="S152" s="53"/>
    </row>
    <row r="153" spans="1:19" hidden="1" x14ac:dyDescent="0.25">
      <c r="A153" s="76">
        <v>2359</v>
      </c>
      <c r="B153" s="127" t="s">
        <v>169</v>
      </c>
      <c r="C153" s="279">
        <f t="shared" si="9"/>
        <v>0</v>
      </c>
      <c r="D153" s="134">
        <v>0</v>
      </c>
      <c r="E153" s="285"/>
      <c r="F153" s="286">
        <f t="shared" si="10"/>
        <v>0</v>
      </c>
      <c r="G153" s="134"/>
      <c r="H153" s="135"/>
      <c r="I153" s="136">
        <f t="shared" si="11"/>
        <v>0</v>
      </c>
      <c r="J153" s="134">
        <v>0</v>
      </c>
      <c r="K153" s="135"/>
      <c r="L153" s="136">
        <f t="shared" si="12"/>
        <v>0</v>
      </c>
      <c r="M153" s="284"/>
      <c r="N153" s="285"/>
      <c r="O153" s="136">
        <f t="shared" si="13"/>
        <v>0</v>
      </c>
      <c r="P153" s="85"/>
      <c r="R153" s="53"/>
      <c r="S153" s="53"/>
    </row>
    <row r="154" spans="1:19" ht="24" hidden="1" x14ac:dyDescent="0.25">
      <c r="A154" s="276">
        <v>2360</v>
      </c>
      <c r="B154" s="127" t="s">
        <v>170</v>
      </c>
      <c r="C154" s="279">
        <f t="shared" si="9"/>
        <v>0</v>
      </c>
      <c r="D154" s="277">
        <f>SUM(D155:D161)</f>
        <v>0</v>
      </c>
      <c r="E154" s="282">
        <f>SUM(E155:E161)</f>
        <v>0</v>
      </c>
      <c r="F154" s="286">
        <f t="shared" si="10"/>
        <v>0</v>
      </c>
      <c r="G154" s="277">
        <f>SUM(G155:G161)</f>
        <v>0</v>
      </c>
      <c r="H154" s="280">
        <f>SUM(H155:H161)</f>
        <v>0</v>
      </c>
      <c r="I154" s="136">
        <f t="shared" si="11"/>
        <v>0</v>
      </c>
      <c r="J154" s="277">
        <f>SUM(J155:J161)</f>
        <v>0</v>
      </c>
      <c r="K154" s="280">
        <f>SUM(K155:K161)</f>
        <v>0</v>
      </c>
      <c r="L154" s="136">
        <f t="shared" si="12"/>
        <v>0</v>
      </c>
      <c r="M154" s="281">
        <f>SUM(M155:M161)</f>
        <v>0</v>
      </c>
      <c r="N154" s="282">
        <f>SUM(N155:N161)</f>
        <v>0</v>
      </c>
      <c r="O154" s="136">
        <f t="shared" si="13"/>
        <v>0</v>
      </c>
      <c r="P154" s="85"/>
      <c r="R154" s="53"/>
      <c r="S154" s="53"/>
    </row>
    <row r="155" spans="1:19" hidden="1" x14ac:dyDescent="0.25">
      <c r="A155" s="75">
        <v>2361</v>
      </c>
      <c r="B155" s="127" t="s">
        <v>171</v>
      </c>
      <c r="C155" s="279">
        <f t="shared" si="9"/>
        <v>0</v>
      </c>
      <c r="D155" s="134">
        <v>0</v>
      </c>
      <c r="E155" s="285"/>
      <c r="F155" s="286">
        <f t="shared" si="10"/>
        <v>0</v>
      </c>
      <c r="G155" s="134"/>
      <c r="H155" s="135"/>
      <c r="I155" s="136">
        <f t="shared" si="11"/>
        <v>0</v>
      </c>
      <c r="J155" s="134">
        <v>0</v>
      </c>
      <c r="K155" s="135"/>
      <c r="L155" s="136">
        <f t="shared" si="12"/>
        <v>0</v>
      </c>
      <c r="M155" s="284"/>
      <c r="N155" s="285"/>
      <c r="O155" s="136">
        <f t="shared" si="13"/>
        <v>0</v>
      </c>
      <c r="P155" s="85"/>
      <c r="R155" s="53"/>
      <c r="S155" s="53"/>
    </row>
    <row r="156" spans="1:19" hidden="1" x14ac:dyDescent="0.25">
      <c r="A156" s="75">
        <v>2362</v>
      </c>
      <c r="B156" s="127" t="s">
        <v>172</v>
      </c>
      <c r="C156" s="279">
        <f t="shared" si="9"/>
        <v>0</v>
      </c>
      <c r="D156" s="134">
        <v>0</v>
      </c>
      <c r="E156" s="285"/>
      <c r="F156" s="286">
        <f t="shared" si="10"/>
        <v>0</v>
      </c>
      <c r="G156" s="134"/>
      <c r="H156" s="135"/>
      <c r="I156" s="136">
        <f t="shared" si="11"/>
        <v>0</v>
      </c>
      <c r="J156" s="134">
        <v>0</v>
      </c>
      <c r="K156" s="135"/>
      <c r="L156" s="136">
        <f t="shared" si="12"/>
        <v>0</v>
      </c>
      <c r="M156" s="284"/>
      <c r="N156" s="285"/>
      <c r="O156" s="136">
        <f t="shared" si="13"/>
        <v>0</v>
      </c>
      <c r="P156" s="85"/>
      <c r="R156" s="53"/>
      <c r="S156" s="53"/>
    </row>
    <row r="157" spans="1:19" hidden="1" x14ac:dyDescent="0.25">
      <c r="A157" s="75">
        <v>2363</v>
      </c>
      <c r="B157" s="127" t="s">
        <v>173</v>
      </c>
      <c r="C157" s="279">
        <f t="shared" si="9"/>
        <v>0</v>
      </c>
      <c r="D157" s="134">
        <v>0</v>
      </c>
      <c r="E157" s="285"/>
      <c r="F157" s="286">
        <f t="shared" si="10"/>
        <v>0</v>
      </c>
      <c r="G157" s="134"/>
      <c r="H157" s="135"/>
      <c r="I157" s="136">
        <f t="shared" si="11"/>
        <v>0</v>
      </c>
      <c r="J157" s="134">
        <v>0</v>
      </c>
      <c r="K157" s="135"/>
      <c r="L157" s="136">
        <f t="shared" si="12"/>
        <v>0</v>
      </c>
      <c r="M157" s="284"/>
      <c r="N157" s="285"/>
      <c r="O157" s="136">
        <f t="shared" si="13"/>
        <v>0</v>
      </c>
      <c r="P157" s="85"/>
      <c r="R157" s="53"/>
      <c r="S157" s="53"/>
    </row>
    <row r="158" spans="1:19" hidden="1" x14ac:dyDescent="0.25">
      <c r="A158" s="75">
        <v>2364</v>
      </c>
      <c r="B158" s="127" t="s">
        <v>174</v>
      </c>
      <c r="C158" s="279">
        <f t="shared" si="9"/>
        <v>0</v>
      </c>
      <c r="D158" s="134">
        <v>0</v>
      </c>
      <c r="E158" s="285"/>
      <c r="F158" s="286">
        <f t="shared" si="10"/>
        <v>0</v>
      </c>
      <c r="G158" s="134"/>
      <c r="H158" s="135"/>
      <c r="I158" s="136">
        <f t="shared" si="11"/>
        <v>0</v>
      </c>
      <c r="J158" s="134">
        <v>0</v>
      </c>
      <c r="K158" s="135"/>
      <c r="L158" s="136">
        <f t="shared" si="12"/>
        <v>0</v>
      </c>
      <c r="M158" s="284"/>
      <c r="N158" s="285"/>
      <c r="O158" s="136">
        <f t="shared" si="13"/>
        <v>0</v>
      </c>
      <c r="P158" s="85"/>
      <c r="R158" s="53"/>
      <c r="S158" s="53"/>
    </row>
    <row r="159" spans="1:19" hidden="1" x14ac:dyDescent="0.25">
      <c r="A159" s="75">
        <v>2365</v>
      </c>
      <c r="B159" s="127" t="s">
        <v>175</v>
      </c>
      <c r="C159" s="279">
        <f t="shared" si="9"/>
        <v>0</v>
      </c>
      <c r="D159" s="134">
        <v>0</v>
      </c>
      <c r="E159" s="285"/>
      <c r="F159" s="286">
        <f t="shared" si="10"/>
        <v>0</v>
      </c>
      <c r="G159" s="134"/>
      <c r="H159" s="135"/>
      <c r="I159" s="136">
        <f t="shared" si="11"/>
        <v>0</v>
      </c>
      <c r="J159" s="134">
        <v>0</v>
      </c>
      <c r="K159" s="135"/>
      <c r="L159" s="136">
        <f t="shared" si="12"/>
        <v>0</v>
      </c>
      <c r="M159" s="284"/>
      <c r="N159" s="285"/>
      <c r="O159" s="136">
        <f t="shared" si="13"/>
        <v>0</v>
      </c>
      <c r="P159" s="85"/>
      <c r="R159" s="53"/>
      <c r="S159" s="53"/>
    </row>
    <row r="160" spans="1:19" ht="24" hidden="1" x14ac:dyDescent="0.25">
      <c r="A160" s="75">
        <v>2366</v>
      </c>
      <c r="B160" s="127" t="s">
        <v>176</v>
      </c>
      <c r="C160" s="279">
        <f t="shared" si="9"/>
        <v>0</v>
      </c>
      <c r="D160" s="134">
        <v>0</v>
      </c>
      <c r="E160" s="285"/>
      <c r="F160" s="286">
        <f t="shared" si="10"/>
        <v>0</v>
      </c>
      <c r="G160" s="134"/>
      <c r="H160" s="135"/>
      <c r="I160" s="136">
        <f t="shared" si="11"/>
        <v>0</v>
      </c>
      <c r="J160" s="134">
        <v>0</v>
      </c>
      <c r="K160" s="135"/>
      <c r="L160" s="136">
        <f t="shared" si="12"/>
        <v>0</v>
      </c>
      <c r="M160" s="284"/>
      <c r="N160" s="285"/>
      <c r="O160" s="136">
        <f t="shared" si="13"/>
        <v>0</v>
      </c>
      <c r="P160" s="85"/>
      <c r="R160" s="53"/>
      <c r="S160" s="53"/>
    </row>
    <row r="161" spans="1:19" ht="36" hidden="1" x14ac:dyDescent="0.25">
      <c r="A161" s="75">
        <v>2369</v>
      </c>
      <c r="B161" s="127" t="s">
        <v>177</v>
      </c>
      <c r="C161" s="279">
        <f t="shared" si="9"/>
        <v>0</v>
      </c>
      <c r="D161" s="134">
        <v>0</v>
      </c>
      <c r="E161" s="285"/>
      <c r="F161" s="286">
        <f t="shared" si="10"/>
        <v>0</v>
      </c>
      <c r="G161" s="134"/>
      <c r="H161" s="135"/>
      <c r="I161" s="136">
        <f t="shared" si="11"/>
        <v>0</v>
      </c>
      <c r="J161" s="134">
        <v>0</v>
      </c>
      <c r="K161" s="135"/>
      <c r="L161" s="136">
        <f t="shared" si="12"/>
        <v>0</v>
      </c>
      <c r="M161" s="284"/>
      <c r="N161" s="285"/>
      <c r="O161" s="136">
        <f t="shared" si="13"/>
        <v>0</v>
      </c>
      <c r="P161" s="85"/>
      <c r="R161" s="53"/>
      <c r="S161" s="53"/>
    </row>
    <row r="162" spans="1:19" hidden="1" x14ac:dyDescent="0.25">
      <c r="A162" s="254">
        <v>2370</v>
      </c>
      <c r="B162" s="179" t="s">
        <v>178</v>
      </c>
      <c r="C162" s="279">
        <f t="shared" si="9"/>
        <v>0</v>
      </c>
      <c r="D162" s="287">
        <v>0</v>
      </c>
      <c r="E162" s="291"/>
      <c r="F162" s="310">
        <f t="shared" si="10"/>
        <v>0</v>
      </c>
      <c r="G162" s="287"/>
      <c r="H162" s="289"/>
      <c r="I162" s="259">
        <f t="shared" si="11"/>
        <v>0</v>
      </c>
      <c r="J162" s="287">
        <v>0</v>
      </c>
      <c r="K162" s="289"/>
      <c r="L162" s="259">
        <f t="shared" si="12"/>
        <v>0</v>
      </c>
      <c r="M162" s="290"/>
      <c r="N162" s="291"/>
      <c r="O162" s="259">
        <f t="shared" si="13"/>
        <v>0</v>
      </c>
      <c r="P162" s="189"/>
      <c r="R162" s="53"/>
      <c r="S162" s="53"/>
    </row>
    <row r="163" spans="1:19" hidden="1" x14ac:dyDescent="0.25">
      <c r="A163" s="254">
        <v>2380</v>
      </c>
      <c r="B163" s="179" t="s">
        <v>179</v>
      </c>
      <c r="C163" s="279">
        <f t="shared" si="9"/>
        <v>0</v>
      </c>
      <c r="D163" s="255">
        <f>SUM(D164:D165)</f>
        <v>0</v>
      </c>
      <c r="E163" s="261">
        <f>SUM(E164:E165)</f>
        <v>0</v>
      </c>
      <c r="F163" s="310">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c r="S163" s="53"/>
    </row>
    <row r="164" spans="1:19" hidden="1" x14ac:dyDescent="0.25">
      <c r="A164" s="65">
        <v>2381</v>
      </c>
      <c r="B164" s="116" t="s">
        <v>180</v>
      </c>
      <c r="C164" s="279">
        <f t="shared" si="9"/>
        <v>0</v>
      </c>
      <c r="D164" s="123">
        <v>0</v>
      </c>
      <c r="E164" s="262"/>
      <c r="F164" s="263">
        <f t="shared" si="10"/>
        <v>0</v>
      </c>
      <c r="G164" s="123"/>
      <c r="H164" s="124"/>
      <c r="I164" s="125">
        <f t="shared" si="11"/>
        <v>0</v>
      </c>
      <c r="J164" s="123">
        <v>0</v>
      </c>
      <c r="K164" s="124"/>
      <c r="L164" s="125">
        <f t="shared" si="12"/>
        <v>0</v>
      </c>
      <c r="M164" s="264"/>
      <c r="N164" s="262"/>
      <c r="O164" s="125">
        <f t="shared" si="13"/>
        <v>0</v>
      </c>
      <c r="P164" s="74"/>
      <c r="R164" s="53"/>
      <c r="S164" s="53"/>
    </row>
    <row r="165" spans="1:19" hidden="1" x14ac:dyDescent="0.25">
      <c r="A165" s="75">
        <v>2389</v>
      </c>
      <c r="B165" s="127" t="s">
        <v>181</v>
      </c>
      <c r="C165" s="279">
        <f t="shared" si="9"/>
        <v>0</v>
      </c>
      <c r="D165" s="134">
        <v>0</v>
      </c>
      <c r="E165" s="285"/>
      <c r="F165" s="286">
        <f t="shared" si="10"/>
        <v>0</v>
      </c>
      <c r="G165" s="134"/>
      <c r="H165" s="135"/>
      <c r="I165" s="136">
        <f t="shared" si="11"/>
        <v>0</v>
      </c>
      <c r="J165" s="134">
        <v>0</v>
      </c>
      <c r="K165" s="135"/>
      <c r="L165" s="136">
        <f t="shared" si="12"/>
        <v>0</v>
      </c>
      <c r="M165" s="284"/>
      <c r="N165" s="285"/>
      <c r="O165" s="136">
        <f t="shared" si="13"/>
        <v>0</v>
      </c>
      <c r="P165" s="85"/>
      <c r="R165" s="53"/>
      <c r="S165" s="53"/>
    </row>
    <row r="166" spans="1:19" hidden="1" x14ac:dyDescent="0.25">
      <c r="A166" s="254">
        <v>2390</v>
      </c>
      <c r="B166" s="179" t="s">
        <v>182</v>
      </c>
      <c r="C166" s="279">
        <f t="shared" si="9"/>
        <v>0</v>
      </c>
      <c r="D166" s="287">
        <v>0</v>
      </c>
      <c r="E166" s="291"/>
      <c r="F166" s="310">
        <f t="shared" si="10"/>
        <v>0</v>
      </c>
      <c r="G166" s="287"/>
      <c r="H166" s="289"/>
      <c r="I166" s="259">
        <f t="shared" si="11"/>
        <v>0</v>
      </c>
      <c r="J166" s="287">
        <v>0</v>
      </c>
      <c r="K166" s="289"/>
      <c r="L166" s="259">
        <f t="shared" si="12"/>
        <v>0</v>
      </c>
      <c r="M166" s="290"/>
      <c r="N166" s="291"/>
      <c r="O166" s="259">
        <f t="shared" si="13"/>
        <v>0</v>
      </c>
      <c r="P166" s="189"/>
      <c r="R166" s="53"/>
      <c r="S166" s="53"/>
    </row>
    <row r="167" spans="1:19" hidden="1" x14ac:dyDescent="0.25">
      <c r="A167" s="99">
        <v>2400</v>
      </c>
      <c r="B167" s="247" t="s">
        <v>183</v>
      </c>
      <c r="C167" s="249">
        <f t="shared" si="9"/>
        <v>0</v>
      </c>
      <c r="D167" s="311">
        <v>0</v>
      </c>
      <c r="E167" s="312"/>
      <c r="F167" s="313">
        <f t="shared" si="10"/>
        <v>0</v>
      </c>
      <c r="G167" s="311"/>
      <c r="H167" s="314"/>
      <c r="I167" s="114">
        <f t="shared" si="11"/>
        <v>0</v>
      </c>
      <c r="J167" s="311">
        <v>0</v>
      </c>
      <c r="K167" s="314"/>
      <c r="L167" s="114">
        <f t="shared" si="12"/>
        <v>0</v>
      </c>
      <c r="M167" s="315"/>
      <c r="N167" s="312"/>
      <c r="O167" s="125">
        <f t="shared" si="13"/>
        <v>0</v>
      </c>
      <c r="P167" s="109"/>
      <c r="R167" s="53"/>
      <c r="S167" s="53"/>
    </row>
    <row r="168" spans="1:19" ht="24" x14ac:dyDescent="0.25">
      <c r="A168" s="99">
        <v>2500</v>
      </c>
      <c r="B168" s="247" t="s">
        <v>184</v>
      </c>
      <c r="C168" s="249">
        <f t="shared" si="9"/>
        <v>2000</v>
      </c>
      <c r="D168" s="112">
        <f>SUM(D169,D174)</f>
        <v>2000</v>
      </c>
      <c r="E168" s="293">
        <f>SUM(E169,E174)</f>
        <v>0</v>
      </c>
      <c r="F168" s="313">
        <f t="shared" si="10"/>
        <v>2000</v>
      </c>
      <c r="G168" s="112">
        <f>SUM(G169,G174)</f>
        <v>0</v>
      </c>
      <c r="H168" s="113">
        <f t="shared" ref="H168" si="18">SUM(H169,H174)</f>
        <v>0</v>
      </c>
      <c r="I168" s="114">
        <f t="shared" si="11"/>
        <v>0</v>
      </c>
      <c r="J168" s="112">
        <f>SUM(J169,J174)</f>
        <v>0</v>
      </c>
      <c r="K168" s="113">
        <f t="shared" ref="K168" si="19">SUM(K169,K174)</f>
        <v>0</v>
      </c>
      <c r="L168" s="114">
        <f t="shared" si="12"/>
        <v>0</v>
      </c>
      <c r="M168" s="250">
        <f t="shared" ref="M168:N168" si="20">SUM(M169,M174)</f>
        <v>0</v>
      </c>
      <c r="N168" s="251">
        <f t="shared" si="20"/>
        <v>0</v>
      </c>
      <c r="O168" s="316">
        <f t="shared" si="13"/>
        <v>0</v>
      </c>
      <c r="P168" s="253"/>
      <c r="R168" s="53"/>
      <c r="S168" s="53"/>
    </row>
    <row r="169" spans="1:19" x14ac:dyDescent="0.25">
      <c r="A169" s="656">
        <v>2510</v>
      </c>
      <c r="B169" s="116" t="s">
        <v>185</v>
      </c>
      <c r="C169" s="296">
        <f t="shared" si="9"/>
        <v>2000</v>
      </c>
      <c r="D169" s="297">
        <f>SUM(D170:D173)</f>
        <v>2000</v>
      </c>
      <c r="E169" s="301">
        <f>SUM(E170:E173)</f>
        <v>0</v>
      </c>
      <c r="F169" s="263">
        <f t="shared" si="10"/>
        <v>2000</v>
      </c>
      <c r="G169" s="297">
        <f>SUM(G170:G173)</f>
        <v>0</v>
      </c>
      <c r="H169" s="299">
        <f t="shared" ref="H169" si="21">SUM(H170:H173)</f>
        <v>0</v>
      </c>
      <c r="I169" s="125">
        <f t="shared" si="11"/>
        <v>0</v>
      </c>
      <c r="J169" s="297">
        <f>SUM(J170:J173)</f>
        <v>0</v>
      </c>
      <c r="K169" s="299">
        <f t="shared" ref="K169" si="22">SUM(K170:K173)</f>
        <v>0</v>
      </c>
      <c r="L169" s="125">
        <f t="shared" si="12"/>
        <v>0</v>
      </c>
      <c r="M169" s="317">
        <f t="shared" ref="M169:N169" si="23">SUM(M170:M173)</f>
        <v>0</v>
      </c>
      <c r="N169" s="318">
        <f t="shared" si="23"/>
        <v>0</v>
      </c>
      <c r="O169" s="151">
        <f t="shared" si="13"/>
        <v>0</v>
      </c>
      <c r="P169" s="153"/>
      <c r="R169" s="53"/>
      <c r="S169" s="53"/>
    </row>
    <row r="170" spans="1:19" ht="24" hidden="1" x14ac:dyDescent="0.25">
      <c r="A170" s="76">
        <v>2512</v>
      </c>
      <c r="B170" s="127" t="s">
        <v>186</v>
      </c>
      <c r="C170" s="279">
        <f t="shared" si="9"/>
        <v>0</v>
      </c>
      <c r="D170" s="134">
        <v>0</v>
      </c>
      <c r="E170" s="285"/>
      <c r="F170" s="286">
        <f t="shared" si="10"/>
        <v>0</v>
      </c>
      <c r="G170" s="134"/>
      <c r="H170" s="135"/>
      <c r="I170" s="136">
        <f t="shared" si="11"/>
        <v>0</v>
      </c>
      <c r="J170" s="134">
        <v>0</v>
      </c>
      <c r="K170" s="135"/>
      <c r="L170" s="136">
        <f t="shared" si="12"/>
        <v>0</v>
      </c>
      <c r="M170" s="284"/>
      <c r="N170" s="285"/>
      <c r="O170" s="136">
        <f t="shared" si="13"/>
        <v>0</v>
      </c>
      <c r="P170" s="85"/>
      <c r="R170" s="53"/>
      <c r="S170" s="53"/>
    </row>
    <row r="171" spans="1:19" ht="24" hidden="1" x14ac:dyDescent="0.25">
      <c r="A171" s="76">
        <v>2513</v>
      </c>
      <c r="B171" s="127" t="s">
        <v>187</v>
      </c>
      <c r="C171" s="279">
        <f t="shared" si="9"/>
        <v>0</v>
      </c>
      <c r="D171" s="134">
        <v>0</v>
      </c>
      <c r="E171" s="285"/>
      <c r="F171" s="286">
        <f t="shared" si="10"/>
        <v>0</v>
      </c>
      <c r="G171" s="134"/>
      <c r="H171" s="135"/>
      <c r="I171" s="136">
        <f t="shared" si="11"/>
        <v>0</v>
      </c>
      <c r="J171" s="134">
        <v>0</v>
      </c>
      <c r="K171" s="135"/>
      <c r="L171" s="136">
        <f t="shared" si="12"/>
        <v>0</v>
      </c>
      <c r="M171" s="284"/>
      <c r="N171" s="285"/>
      <c r="O171" s="136">
        <f t="shared" si="13"/>
        <v>0</v>
      </c>
      <c r="P171" s="85"/>
      <c r="R171" s="53"/>
      <c r="S171" s="53"/>
    </row>
    <row r="172" spans="1:19" hidden="1" x14ac:dyDescent="0.25">
      <c r="A172" s="76">
        <v>2515</v>
      </c>
      <c r="B172" s="127" t="s">
        <v>188</v>
      </c>
      <c r="C172" s="279">
        <f t="shared" si="9"/>
        <v>0</v>
      </c>
      <c r="D172" s="134">
        <v>0</v>
      </c>
      <c r="E172" s="285"/>
      <c r="F172" s="286">
        <f t="shared" si="10"/>
        <v>0</v>
      </c>
      <c r="G172" s="134"/>
      <c r="H172" s="135"/>
      <c r="I172" s="136">
        <f t="shared" si="11"/>
        <v>0</v>
      </c>
      <c r="J172" s="134">
        <v>0</v>
      </c>
      <c r="K172" s="135"/>
      <c r="L172" s="136">
        <f t="shared" si="12"/>
        <v>0</v>
      </c>
      <c r="M172" s="284"/>
      <c r="N172" s="285"/>
      <c r="O172" s="136">
        <f t="shared" si="13"/>
        <v>0</v>
      </c>
      <c r="P172" s="85"/>
      <c r="R172" s="53"/>
      <c r="S172" s="53"/>
    </row>
    <row r="173" spans="1:19" ht="24" x14ac:dyDescent="0.25">
      <c r="A173" s="76">
        <v>2519</v>
      </c>
      <c r="B173" s="127" t="s">
        <v>189</v>
      </c>
      <c r="C173" s="279">
        <f t="shared" si="9"/>
        <v>2000</v>
      </c>
      <c r="D173" s="134">
        <v>2000</v>
      </c>
      <c r="E173" s="285"/>
      <c r="F173" s="286">
        <f t="shared" si="10"/>
        <v>2000</v>
      </c>
      <c r="G173" s="134"/>
      <c r="H173" s="135"/>
      <c r="I173" s="136">
        <f t="shared" si="11"/>
        <v>0</v>
      </c>
      <c r="J173" s="134">
        <v>0</v>
      </c>
      <c r="K173" s="135"/>
      <c r="L173" s="136">
        <f t="shared" si="12"/>
        <v>0</v>
      </c>
      <c r="M173" s="284"/>
      <c r="N173" s="285"/>
      <c r="O173" s="136">
        <f t="shared" si="13"/>
        <v>0</v>
      </c>
      <c r="P173" s="85"/>
      <c r="R173" s="53"/>
      <c r="S173" s="53"/>
    </row>
    <row r="174" spans="1:19" hidden="1" x14ac:dyDescent="0.25">
      <c r="A174" s="276">
        <v>2520</v>
      </c>
      <c r="B174" s="127" t="s">
        <v>190</v>
      </c>
      <c r="C174" s="279">
        <f t="shared" si="9"/>
        <v>0</v>
      </c>
      <c r="D174" s="134">
        <v>0</v>
      </c>
      <c r="E174" s="285"/>
      <c r="F174" s="286">
        <f t="shared" si="10"/>
        <v>0</v>
      </c>
      <c r="G174" s="134"/>
      <c r="H174" s="135"/>
      <c r="I174" s="136">
        <f t="shared" si="11"/>
        <v>0</v>
      </c>
      <c r="J174" s="134">
        <v>0</v>
      </c>
      <c r="K174" s="135"/>
      <c r="L174" s="136">
        <f t="shared" si="12"/>
        <v>0</v>
      </c>
      <c r="M174" s="284"/>
      <c r="N174" s="285"/>
      <c r="O174" s="136">
        <f t="shared" si="13"/>
        <v>0</v>
      </c>
      <c r="P174" s="85"/>
      <c r="R174" s="53"/>
      <c r="S174" s="53"/>
    </row>
    <row r="175" spans="1:19" s="319" customFormat="1" ht="36" hidden="1" x14ac:dyDescent="0.25">
      <c r="A175" s="31">
        <v>2800</v>
      </c>
      <c r="B175" s="116" t="s">
        <v>191</v>
      </c>
      <c r="C175" s="296">
        <f t="shared" si="9"/>
        <v>0</v>
      </c>
      <c r="D175" s="68">
        <v>0</v>
      </c>
      <c r="E175" s="69"/>
      <c r="F175" s="70">
        <f t="shared" si="10"/>
        <v>0</v>
      </c>
      <c r="G175" s="68"/>
      <c r="H175" s="71"/>
      <c r="I175" s="72">
        <f t="shared" si="11"/>
        <v>0</v>
      </c>
      <c r="J175" s="68">
        <v>0</v>
      </c>
      <c r="K175" s="71"/>
      <c r="L175" s="72">
        <f t="shared" si="12"/>
        <v>0</v>
      </c>
      <c r="M175" s="73"/>
      <c r="N175" s="69"/>
      <c r="O175" s="72">
        <f t="shared" si="13"/>
        <v>0</v>
      </c>
      <c r="P175" s="74"/>
      <c r="R175" s="53"/>
      <c r="S175" s="53"/>
    </row>
    <row r="176" spans="1:19" hidden="1" x14ac:dyDescent="0.25">
      <c r="A176" s="237">
        <v>3000</v>
      </c>
      <c r="B176" s="237" t="s">
        <v>192</v>
      </c>
      <c r="C176" s="241">
        <f t="shared" si="9"/>
        <v>0</v>
      </c>
      <c r="D176" s="239">
        <f>SUM(D177,D187)</f>
        <v>0</v>
      </c>
      <c r="E176" s="245">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c r="S176" s="53"/>
    </row>
    <row r="177" spans="1:19" ht="24" hidden="1" x14ac:dyDescent="0.25">
      <c r="A177" s="99">
        <v>3200</v>
      </c>
      <c r="B177" s="321" t="s">
        <v>193</v>
      </c>
      <c r="C177" s="249">
        <f t="shared" si="9"/>
        <v>0</v>
      </c>
      <c r="D177" s="112">
        <f>SUM(D178,D182)</f>
        <v>0</v>
      </c>
      <c r="E177" s="293">
        <f>SUM(E178,E182)</f>
        <v>0</v>
      </c>
      <c r="F177" s="313">
        <f t="shared" si="10"/>
        <v>0</v>
      </c>
      <c r="G177" s="112">
        <f>SUM(G178,G182)</f>
        <v>0</v>
      </c>
      <c r="H177" s="113">
        <f t="shared" ref="H177" si="24">SUM(H178,H182)</f>
        <v>0</v>
      </c>
      <c r="I177" s="114">
        <f t="shared" si="11"/>
        <v>0</v>
      </c>
      <c r="J177" s="112">
        <f>SUM(J178,J182)</f>
        <v>0</v>
      </c>
      <c r="K177" s="113">
        <f t="shared" ref="K177" si="25">SUM(K178,K182)</f>
        <v>0</v>
      </c>
      <c r="L177" s="114">
        <f t="shared" si="12"/>
        <v>0</v>
      </c>
      <c r="M177" s="250">
        <f t="shared" ref="M177:N177" si="26">SUM(M178,M182)</f>
        <v>0</v>
      </c>
      <c r="N177" s="251">
        <f t="shared" si="26"/>
        <v>0</v>
      </c>
      <c r="O177" s="252">
        <f t="shared" si="13"/>
        <v>0</v>
      </c>
      <c r="P177" s="253"/>
      <c r="R177" s="53"/>
      <c r="S177" s="53"/>
    </row>
    <row r="178" spans="1:19" ht="36" hidden="1" x14ac:dyDescent="0.25">
      <c r="A178" s="656">
        <v>3260</v>
      </c>
      <c r="B178" s="116" t="s">
        <v>194</v>
      </c>
      <c r="C178" s="296">
        <f t="shared" si="9"/>
        <v>0</v>
      </c>
      <c r="D178" s="297">
        <f>SUM(D179:D181)</f>
        <v>0</v>
      </c>
      <c r="E178" s="301">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c r="S178" s="53"/>
    </row>
    <row r="179" spans="1:19" ht="24" hidden="1" x14ac:dyDescent="0.25">
      <c r="A179" s="76">
        <v>3261</v>
      </c>
      <c r="B179" s="127" t="s">
        <v>195</v>
      </c>
      <c r="C179" s="279">
        <f t="shared" si="9"/>
        <v>0</v>
      </c>
      <c r="D179" s="134">
        <v>0</v>
      </c>
      <c r="E179" s="285"/>
      <c r="F179" s="286">
        <f t="shared" si="10"/>
        <v>0</v>
      </c>
      <c r="G179" s="134"/>
      <c r="H179" s="135"/>
      <c r="I179" s="136">
        <f t="shared" si="11"/>
        <v>0</v>
      </c>
      <c r="J179" s="134">
        <v>0</v>
      </c>
      <c r="K179" s="135"/>
      <c r="L179" s="136">
        <f t="shared" si="12"/>
        <v>0</v>
      </c>
      <c r="M179" s="284"/>
      <c r="N179" s="285"/>
      <c r="O179" s="136">
        <f t="shared" si="13"/>
        <v>0</v>
      </c>
      <c r="P179" s="85"/>
      <c r="R179" s="53"/>
      <c r="S179" s="53"/>
    </row>
    <row r="180" spans="1:19" ht="36" hidden="1" x14ac:dyDescent="0.25">
      <c r="A180" s="76">
        <v>3262</v>
      </c>
      <c r="B180" s="127" t="s">
        <v>196</v>
      </c>
      <c r="C180" s="279">
        <f t="shared" si="9"/>
        <v>0</v>
      </c>
      <c r="D180" s="134">
        <v>0</v>
      </c>
      <c r="E180" s="285"/>
      <c r="F180" s="286">
        <f t="shared" si="10"/>
        <v>0</v>
      </c>
      <c r="G180" s="134"/>
      <c r="H180" s="135"/>
      <c r="I180" s="136">
        <f t="shared" si="11"/>
        <v>0</v>
      </c>
      <c r="J180" s="134">
        <v>0</v>
      </c>
      <c r="K180" s="135"/>
      <c r="L180" s="136">
        <f t="shared" si="12"/>
        <v>0</v>
      </c>
      <c r="M180" s="284"/>
      <c r="N180" s="285"/>
      <c r="O180" s="136">
        <f t="shared" si="13"/>
        <v>0</v>
      </c>
      <c r="P180" s="85"/>
      <c r="R180" s="53"/>
      <c r="S180" s="53"/>
    </row>
    <row r="181" spans="1:19" ht="24" hidden="1" x14ac:dyDescent="0.25">
      <c r="A181" s="76">
        <v>3263</v>
      </c>
      <c r="B181" s="127" t="s">
        <v>197</v>
      </c>
      <c r="C181" s="279">
        <f t="shared" si="9"/>
        <v>0</v>
      </c>
      <c r="D181" s="134">
        <v>0</v>
      </c>
      <c r="E181" s="285"/>
      <c r="F181" s="286">
        <f t="shared" si="10"/>
        <v>0</v>
      </c>
      <c r="G181" s="134"/>
      <c r="H181" s="135"/>
      <c r="I181" s="136">
        <f t="shared" si="11"/>
        <v>0</v>
      </c>
      <c r="J181" s="134">
        <v>0</v>
      </c>
      <c r="K181" s="135"/>
      <c r="L181" s="136">
        <f t="shared" si="12"/>
        <v>0</v>
      </c>
      <c r="M181" s="284"/>
      <c r="N181" s="285"/>
      <c r="O181" s="136">
        <f t="shared" si="13"/>
        <v>0</v>
      </c>
      <c r="P181" s="85"/>
      <c r="R181" s="53"/>
      <c r="S181" s="53"/>
    </row>
    <row r="182" spans="1:19" ht="60" hidden="1" x14ac:dyDescent="0.25">
      <c r="A182" s="656">
        <v>3290</v>
      </c>
      <c r="B182" s="116" t="s">
        <v>198</v>
      </c>
      <c r="C182" s="279">
        <f t="shared" ref="C182:C258" si="27">F182+I182+L182+O182</f>
        <v>0</v>
      </c>
      <c r="D182" s="297">
        <f>SUM(D183:D186)</f>
        <v>0</v>
      </c>
      <c r="E182" s="301">
        <f>SUM(E183:E186)</f>
        <v>0</v>
      </c>
      <c r="F182" s="263">
        <f t="shared" si="10"/>
        <v>0</v>
      </c>
      <c r="G182" s="297">
        <f>SUM(G183:G186)</f>
        <v>0</v>
      </c>
      <c r="H182" s="299">
        <f t="shared" ref="H182" si="28">SUM(H183:H186)</f>
        <v>0</v>
      </c>
      <c r="I182" s="125">
        <f t="shared" si="11"/>
        <v>0</v>
      </c>
      <c r="J182" s="297">
        <f>SUM(J183:J186)</f>
        <v>0</v>
      </c>
      <c r="K182" s="299">
        <f t="shared" ref="K182" si="29">SUM(K183:K186)</f>
        <v>0</v>
      </c>
      <c r="L182" s="125">
        <f t="shared" si="12"/>
        <v>0</v>
      </c>
      <c r="M182" s="322">
        <f t="shared" ref="M182:N182" si="30">SUM(M183:M186)</f>
        <v>0</v>
      </c>
      <c r="N182" s="323">
        <f t="shared" si="30"/>
        <v>0</v>
      </c>
      <c r="O182" s="324">
        <f t="shared" si="13"/>
        <v>0</v>
      </c>
      <c r="P182" s="325"/>
      <c r="R182" s="53"/>
      <c r="S182" s="53"/>
    </row>
    <row r="183" spans="1:19" ht="48" hidden="1" x14ac:dyDescent="0.25">
      <c r="A183" s="76">
        <v>3291</v>
      </c>
      <c r="B183" s="127" t="s">
        <v>199</v>
      </c>
      <c r="C183" s="279">
        <f t="shared" si="27"/>
        <v>0</v>
      </c>
      <c r="D183" s="134">
        <v>0</v>
      </c>
      <c r="E183" s="285"/>
      <c r="F183" s="286">
        <f t="shared" ref="F183:F246" si="31">D183+E183</f>
        <v>0</v>
      </c>
      <c r="G183" s="134"/>
      <c r="H183" s="135"/>
      <c r="I183" s="136">
        <f t="shared" ref="I183:I246" si="32">G183+H183</f>
        <v>0</v>
      </c>
      <c r="J183" s="134">
        <v>0</v>
      </c>
      <c r="K183" s="135"/>
      <c r="L183" s="136">
        <f t="shared" ref="L183:L246" si="33">J183+K183</f>
        <v>0</v>
      </c>
      <c r="M183" s="284"/>
      <c r="N183" s="285"/>
      <c r="O183" s="136">
        <f t="shared" ref="O183:O246" si="34">M183+N183</f>
        <v>0</v>
      </c>
      <c r="P183" s="85"/>
      <c r="R183" s="53"/>
      <c r="S183" s="53"/>
    </row>
    <row r="184" spans="1:19" ht="60" hidden="1" x14ac:dyDescent="0.25">
      <c r="A184" s="76">
        <v>3292</v>
      </c>
      <c r="B184" s="127" t="s">
        <v>200</v>
      </c>
      <c r="C184" s="279">
        <f t="shared" si="27"/>
        <v>0</v>
      </c>
      <c r="D184" s="134">
        <v>0</v>
      </c>
      <c r="E184" s="285"/>
      <c r="F184" s="286">
        <f t="shared" si="31"/>
        <v>0</v>
      </c>
      <c r="G184" s="134"/>
      <c r="H184" s="135"/>
      <c r="I184" s="136">
        <f t="shared" si="32"/>
        <v>0</v>
      </c>
      <c r="J184" s="134">
        <v>0</v>
      </c>
      <c r="K184" s="135"/>
      <c r="L184" s="136">
        <f t="shared" si="33"/>
        <v>0</v>
      </c>
      <c r="M184" s="284"/>
      <c r="N184" s="285"/>
      <c r="O184" s="136">
        <f t="shared" si="34"/>
        <v>0</v>
      </c>
      <c r="P184" s="85"/>
      <c r="R184" s="53"/>
      <c r="S184" s="53"/>
    </row>
    <row r="185" spans="1:19" ht="48" hidden="1" x14ac:dyDescent="0.25">
      <c r="A185" s="76">
        <v>3293</v>
      </c>
      <c r="B185" s="127" t="s">
        <v>201</v>
      </c>
      <c r="C185" s="279">
        <f t="shared" si="27"/>
        <v>0</v>
      </c>
      <c r="D185" s="134">
        <v>0</v>
      </c>
      <c r="E185" s="285"/>
      <c r="F185" s="286">
        <f t="shared" si="31"/>
        <v>0</v>
      </c>
      <c r="G185" s="134"/>
      <c r="H185" s="135"/>
      <c r="I185" s="136">
        <f t="shared" si="32"/>
        <v>0</v>
      </c>
      <c r="J185" s="134">
        <v>0</v>
      </c>
      <c r="K185" s="135"/>
      <c r="L185" s="136">
        <f t="shared" si="33"/>
        <v>0</v>
      </c>
      <c r="M185" s="284"/>
      <c r="N185" s="285"/>
      <c r="O185" s="136">
        <f t="shared" si="34"/>
        <v>0</v>
      </c>
      <c r="P185" s="85"/>
      <c r="R185" s="53"/>
      <c r="S185" s="53"/>
    </row>
    <row r="186" spans="1:19" ht="36" hidden="1" x14ac:dyDescent="0.25">
      <c r="A186" s="326">
        <v>3294</v>
      </c>
      <c r="B186" s="127" t="s">
        <v>202</v>
      </c>
      <c r="C186" s="647">
        <f t="shared" si="27"/>
        <v>0</v>
      </c>
      <c r="D186" s="328">
        <v>0</v>
      </c>
      <c r="E186" s="329"/>
      <c r="F186" s="330">
        <f t="shared" si="31"/>
        <v>0</v>
      </c>
      <c r="G186" s="328"/>
      <c r="H186" s="331"/>
      <c r="I186" s="324">
        <f t="shared" si="32"/>
        <v>0</v>
      </c>
      <c r="J186" s="328">
        <v>0</v>
      </c>
      <c r="K186" s="331"/>
      <c r="L186" s="324">
        <f t="shared" si="33"/>
        <v>0</v>
      </c>
      <c r="M186" s="332"/>
      <c r="N186" s="329"/>
      <c r="O186" s="324">
        <f t="shared" si="34"/>
        <v>0</v>
      </c>
      <c r="P186" s="325"/>
      <c r="R186" s="53"/>
      <c r="S186" s="53"/>
    </row>
    <row r="187" spans="1:19" ht="36" hidden="1" x14ac:dyDescent="0.25">
      <c r="A187" s="160">
        <v>3300</v>
      </c>
      <c r="B187" s="321" t="s">
        <v>203</v>
      </c>
      <c r="C187" s="648">
        <f t="shared" si="27"/>
        <v>0</v>
      </c>
      <c r="D187" s="334">
        <f>SUM(D188:D189)</f>
        <v>0</v>
      </c>
      <c r="E187" s="251">
        <f>SUM(E188:E189)</f>
        <v>0</v>
      </c>
      <c r="F187" s="335">
        <f t="shared" si="31"/>
        <v>0</v>
      </c>
      <c r="G187" s="334">
        <f>SUM(G188:G189)</f>
        <v>0</v>
      </c>
      <c r="H187" s="336">
        <f t="shared" ref="H187" si="35">SUM(H188:H189)</f>
        <v>0</v>
      </c>
      <c r="I187" s="252">
        <f t="shared" si="32"/>
        <v>0</v>
      </c>
      <c r="J187" s="334">
        <f>SUM(J188:J189)</f>
        <v>0</v>
      </c>
      <c r="K187" s="336">
        <f t="shared" ref="K187" si="36">SUM(K188:K189)</f>
        <v>0</v>
      </c>
      <c r="L187" s="252">
        <f t="shared" si="33"/>
        <v>0</v>
      </c>
      <c r="M187" s="250">
        <f t="shared" ref="M187:N187" si="37">SUM(M188:M189)</f>
        <v>0</v>
      </c>
      <c r="N187" s="251">
        <f t="shared" si="37"/>
        <v>0</v>
      </c>
      <c r="O187" s="252">
        <f t="shared" si="34"/>
        <v>0</v>
      </c>
      <c r="P187" s="253"/>
      <c r="R187" s="53"/>
      <c r="S187" s="53"/>
    </row>
    <row r="188" spans="1:19" ht="36" hidden="1" x14ac:dyDescent="0.25">
      <c r="A188" s="178">
        <v>3310</v>
      </c>
      <c r="B188" s="179" t="s">
        <v>204</v>
      </c>
      <c r="C188" s="257">
        <f t="shared" si="27"/>
        <v>0</v>
      </c>
      <c r="D188" s="287">
        <v>0</v>
      </c>
      <c r="E188" s="291"/>
      <c r="F188" s="310">
        <f t="shared" si="31"/>
        <v>0</v>
      </c>
      <c r="G188" s="287"/>
      <c r="H188" s="289"/>
      <c r="I188" s="259">
        <f t="shared" si="32"/>
        <v>0</v>
      </c>
      <c r="J188" s="287">
        <v>0</v>
      </c>
      <c r="K188" s="289"/>
      <c r="L188" s="259">
        <f t="shared" si="33"/>
        <v>0</v>
      </c>
      <c r="M188" s="290"/>
      <c r="N188" s="291"/>
      <c r="O188" s="259">
        <f t="shared" si="34"/>
        <v>0</v>
      </c>
      <c r="P188" s="189"/>
      <c r="R188" s="53"/>
      <c r="S188" s="53"/>
    </row>
    <row r="189" spans="1:19" ht="36" hidden="1" x14ac:dyDescent="0.25">
      <c r="A189" s="66">
        <v>3320</v>
      </c>
      <c r="B189" s="116" t="s">
        <v>205</v>
      </c>
      <c r="C189" s="296">
        <f t="shared" si="27"/>
        <v>0</v>
      </c>
      <c r="D189" s="123">
        <v>0</v>
      </c>
      <c r="E189" s="262"/>
      <c r="F189" s="263">
        <f t="shared" si="31"/>
        <v>0</v>
      </c>
      <c r="G189" s="123"/>
      <c r="H189" s="124"/>
      <c r="I189" s="125">
        <f t="shared" si="32"/>
        <v>0</v>
      </c>
      <c r="J189" s="123">
        <v>0</v>
      </c>
      <c r="K189" s="124"/>
      <c r="L189" s="125">
        <f t="shared" si="33"/>
        <v>0</v>
      </c>
      <c r="M189" s="264"/>
      <c r="N189" s="262"/>
      <c r="O189" s="125">
        <f t="shared" si="34"/>
        <v>0</v>
      </c>
      <c r="P189" s="74"/>
      <c r="R189" s="53"/>
      <c r="S189" s="53"/>
    </row>
    <row r="190" spans="1:19" hidden="1" x14ac:dyDescent="0.25">
      <c r="A190" s="337">
        <v>4000</v>
      </c>
      <c r="B190" s="237" t="s">
        <v>206</v>
      </c>
      <c r="C190" s="241">
        <f t="shared" si="27"/>
        <v>0</v>
      </c>
      <c r="D190" s="239">
        <f>SUM(D191,D194)</f>
        <v>0</v>
      </c>
      <c r="E190" s="245">
        <f>SUM(E191,E194)</f>
        <v>0</v>
      </c>
      <c r="F190" s="320">
        <f t="shared" si="31"/>
        <v>0</v>
      </c>
      <c r="G190" s="239">
        <f>SUM(G191,G194)</f>
        <v>0</v>
      </c>
      <c r="H190" s="242">
        <f>SUM(H191,H194)</f>
        <v>0</v>
      </c>
      <c r="I190" s="243">
        <f t="shared" si="32"/>
        <v>0</v>
      </c>
      <c r="J190" s="239">
        <f>SUM(J191,J194)</f>
        <v>0</v>
      </c>
      <c r="K190" s="242">
        <f>SUM(K191,K194)</f>
        <v>0</v>
      </c>
      <c r="L190" s="243">
        <f t="shared" si="33"/>
        <v>0</v>
      </c>
      <c r="M190" s="244">
        <f>SUM(M191,M194)</f>
        <v>0</v>
      </c>
      <c r="N190" s="245">
        <f>SUM(N191,N194)</f>
        <v>0</v>
      </c>
      <c r="O190" s="243">
        <f t="shared" si="34"/>
        <v>0</v>
      </c>
      <c r="P190" s="246"/>
      <c r="R190" s="53"/>
      <c r="S190" s="53"/>
    </row>
    <row r="191" spans="1:19" hidden="1" x14ac:dyDescent="0.25">
      <c r="A191" s="338">
        <v>4200</v>
      </c>
      <c r="B191" s="247" t="s">
        <v>207</v>
      </c>
      <c r="C191" s="249">
        <f t="shared" si="27"/>
        <v>0</v>
      </c>
      <c r="D191" s="112">
        <f>SUM(D192,D193)</f>
        <v>0</v>
      </c>
      <c r="E191" s="293">
        <f>SUM(E192,E193)</f>
        <v>0</v>
      </c>
      <c r="F191" s="313">
        <f t="shared" si="31"/>
        <v>0</v>
      </c>
      <c r="G191" s="112">
        <f>SUM(G192,G193)</f>
        <v>0</v>
      </c>
      <c r="H191" s="113">
        <f>SUM(H192,H193)</f>
        <v>0</v>
      </c>
      <c r="I191" s="114">
        <f t="shared" si="32"/>
        <v>0</v>
      </c>
      <c r="J191" s="112">
        <f>SUM(J192,J193)</f>
        <v>0</v>
      </c>
      <c r="K191" s="113">
        <f>SUM(K192,K193)</f>
        <v>0</v>
      </c>
      <c r="L191" s="114">
        <f t="shared" si="33"/>
        <v>0</v>
      </c>
      <c r="M191" s="292">
        <f>SUM(M192,M193)</f>
        <v>0</v>
      </c>
      <c r="N191" s="293">
        <f>SUM(N192,N193)</f>
        <v>0</v>
      </c>
      <c r="O191" s="114">
        <f t="shared" si="34"/>
        <v>0</v>
      </c>
      <c r="P191" s="109"/>
      <c r="R191" s="53"/>
      <c r="S191" s="53"/>
    </row>
    <row r="192" spans="1:19" ht="24" hidden="1" x14ac:dyDescent="0.25">
      <c r="A192" s="656">
        <v>4240</v>
      </c>
      <c r="B192" s="116" t="s">
        <v>208</v>
      </c>
      <c r="C192" s="296">
        <f t="shared" si="27"/>
        <v>0</v>
      </c>
      <c r="D192" s="123">
        <v>0</v>
      </c>
      <c r="E192" s="262"/>
      <c r="F192" s="263">
        <f t="shared" si="31"/>
        <v>0</v>
      </c>
      <c r="G192" s="123"/>
      <c r="H192" s="124"/>
      <c r="I192" s="125">
        <f t="shared" si="32"/>
        <v>0</v>
      </c>
      <c r="J192" s="123">
        <v>0</v>
      </c>
      <c r="K192" s="124"/>
      <c r="L192" s="125">
        <f t="shared" si="33"/>
        <v>0</v>
      </c>
      <c r="M192" s="264"/>
      <c r="N192" s="262"/>
      <c r="O192" s="125">
        <f t="shared" si="34"/>
        <v>0</v>
      </c>
      <c r="P192" s="74"/>
      <c r="R192" s="53"/>
      <c r="S192" s="53"/>
    </row>
    <row r="193" spans="1:19" hidden="1" x14ac:dyDescent="0.25">
      <c r="A193" s="276">
        <v>4250</v>
      </c>
      <c r="B193" s="127" t="s">
        <v>209</v>
      </c>
      <c r="C193" s="279">
        <f t="shared" si="27"/>
        <v>0</v>
      </c>
      <c r="D193" s="134">
        <v>0</v>
      </c>
      <c r="E193" s="285"/>
      <c r="F193" s="286">
        <f t="shared" si="31"/>
        <v>0</v>
      </c>
      <c r="G193" s="134"/>
      <c r="H193" s="135"/>
      <c r="I193" s="136">
        <f t="shared" si="32"/>
        <v>0</v>
      </c>
      <c r="J193" s="134">
        <v>0</v>
      </c>
      <c r="K193" s="135"/>
      <c r="L193" s="136">
        <f t="shared" si="33"/>
        <v>0</v>
      </c>
      <c r="M193" s="284"/>
      <c r="N193" s="285"/>
      <c r="O193" s="136">
        <f t="shared" si="34"/>
        <v>0</v>
      </c>
      <c r="P193" s="85"/>
      <c r="R193" s="53"/>
      <c r="S193" s="53"/>
    </row>
    <row r="194" spans="1:19" hidden="1" x14ac:dyDescent="0.25">
      <c r="A194" s="99">
        <v>4300</v>
      </c>
      <c r="B194" s="247" t="s">
        <v>210</v>
      </c>
      <c r="C194" s="249">
        <f t="shared" si="27"/>
        <v>0</v>
      </c>
      <c r="D194" s="112">
        <f>SUM(D195)</f>
        <v>0</v>
      </c>
      <c r="E194" s="293">
        <f>SUM(E195)</f>
        <v>0</v>
      </c>
      <c r="F194" s="313">
        <f t="shared" si="31"/>
        <v>0</v>
      </c>
      <c r="G194" s="112">
        <f>SUM(G195)</f>
        <v>0</v>
      </c>
      <c r="H194" s="113">
        <f>SUM(H195)</f>
        <v>0</v>
      </c>
      <c r="I194" s="114">
        <f t="shared" si="32"/>
        <v>0</v>
      </c>
      <c r="J194" s="112">
        <f>SUM(J195)</f>
        <v>0</v>
      </c>
      <c r="K194" s="113">
        <f>SUM(K195)</f>
        <v>0</v>
      </c>
      <c r="L194" s="114">
        <f t="shared" si="33"/>
        <v>0</v>
      </c>
      <c r="M194" s="292">
        <f>SUM(M195)</f>
        <v>0</v>
      </c>
      <c r="N194" s="293">
        <f>SUM(N195)</f>
        <v>0</v>
      </c>
      <c r="O194" s="114">
        <f t="shared" si="34"/>
        <v>0</v>
      </c>
      <c r="P194" s="109"/>
      <c r="R194" s="53"/>
      <c r="S194" s="53"/>
    </row>
    <row r="195" spans="1:19" hidden="1" x14ac:dyDescent="0.25">
      <c r="A195" s="656">
        <v>4310</v>
      </c>
      <c r="B195" s="116" t="s">
        <v>211</v>
      </c>
      <c r="C195" s="296">
        <f t="shared" si="27"/>
        <v>0</v>
      </c>
      <c r="D195" s="297">
        <f>SUM(D196:D196)</f>
        <v>0</v>
      </c>
      <c r="E195" s="301">
        <f>SUM(E196:E196)</f>
        <v>0</v>
      </c>
      <c r="F195" s="263">
        <f t="shared" si="31"/>
        <v>0</v>
      </c>
      <c r="G195" s="297">
        <f>SUM(G196:G196)</f>
        <v>0</v>
      </c>
      <c r="H195" s="299">
        <f>SUM(H196:H196)</f>
        <v>0</v>
      </c>
      <c r="I195" s="125">
        <f t="shared" si="32"/>
        <v>0</v>
      </c>
      <c r="J195" s="297">
        <f>SUM(J196:J196)</f>
        <v>0</v>
      </c>
      <c r="K195" s="299">
        <f>SUM(K196:K196)</f>
        <v>0</v>
      </c>
      <c r="L195" s="125">
        <f t="shared" si="33"/>
        <v>0</v>
      </c>
      <c r="M195" s="300">
        <f>SUM(M196:M196)</f>
        <v>0</v>
      </c>
      <c r="N195" s="301">
        <f>SUM(N196:N196)</f>
        <v>0</v>
      </c>
      <c r="O195" s="125">
        <f t="shared" si="34"/>
        <v>0</v>
      </c>
      <c r="P195" s="74"/>
      <c r="R195" s="53"/>
      <c r="S195" s="53"/>
    </row>
    <row r="196" spans="1:19" ht="36" hidden="1" x14ac:dyDescent="0.25">
      <c r="A196" s="76">
        <v>4311</v>
      </c>
      <c r="B196" s="127" t="s">
        <v>212</v>
      </c>
      <c r="C196" s="279">
        <f t="shared" si="27"/>
        <v>0</v>
      </c>
      <c r="D196" s="134">
        <v>0</v>
      </c>
      <c r="E196" s="285"/>
      <c r="F196" s="286">
        <f t="shared" si="31"/>
        <v>0</v>
      </c>
      <c r="G196" s="134"/>
      <c r="H196" s="135"/>
      <c r="I196" s="136">
        <f t="shared" si="32"/>
        <v>0</v>
      </c>
      <c r="J196" s="134">
        <v>0</v>
      </c>
      <c r="K196" s="135"/>
      <c r="L196" s="136">
        <f t="shared" si="33"/>
        <v>0</v>
      </c>
      <c r="M196" s="284"/>
      <c r="N196" s="285"/>
      <c r="O196" s="136">
        <f t="shared" si="34"/>
        <v>0</v>
      </c>
      <c r="P196" s="85"/>
      <c r="R196" s="53"/>
      <c r="S196" s="53"/>
    </row>
    <row r="197" spans="1:19" s="41" customFormat="1" hidden="1" x14ac:dyDescent="0.25">
      <c r="A197" s="339"/>
      <c r="B197" s="31" t="s">
        <v>213</v>
      </c>
      <c r="C197" s="232">
        <f t="shared" si="27"/>
        <v>0</v>
      </c>
      <c r="D197" s="230">
        <f>SUM(D198,D233,D271)</f>
        <v>0</v>
      </c>
      <c r="E197" s="235">
        <f>SUM(E198,E233,E271)</f>
        <v>0</v>
      </c>
      <c r="F197" s="459">
        <f t="shared" si="31"/>
        <v>0</v>
      </c>
      <c r="G197" s="230">
        <f>SUM(G198,G233,G271)</f>
        <v>0</v>
      </c>
      <c r="H197" s="233">
        <f>SUM(H198,H233,H271)</f>
        <v>0</v>
      </c>
      <c r="I197" s="234">
        <f t="shared" si="32"/>
        <v>0</v>
      </c>
      <c r="J197" s="230">
        <f>SUM(J198,J233,J271)</f>
        <v>0</v>
      </c>
      <c r="K197" s="233">
        <f>SUM(K198,K233,K271)</f>
        <v>0</v>
      </c>
      <c r="L197" s="234">
        <f t="shared" si="33"/>
        <v>0</v>
      </c>
      <c r="M197" s="340">
        <f>SUM(M198,M233,M271)</f>
        <v>0</v>
      </c>
      <c r="N197" s="341">
        <f>SUM(N198,N233,N271)</f>
        <v>0</v>
      </c>
      <c r="O197" s="342">
        <f t="shared" si="34"/>
        <v>0</v>
      </c>
      <c r="P197" s="343"/>
      <c r="R197" s="53"/>
      <c r="S197" s="53"/>
    </row>
    <row r="198" spans="1:19" hidden="1" x14ac:dyDescent="0.25">
      <c r="A198" s="237">
        <v>5000</v>
      </c>
      <c r="B198" s="237" t="s">
        <v>214</v>
      </c>
      <c r="C198" s="241">
        <f>F198+I198+L198+O198</f>
        <v>0</v>
      </c>
      <c r="D198" s="239">
        <f>D199+D207</f>
        <v>0</v>
      </c>
      <c r="E198" s="245">
        <f>E199+E207</f>
        <v>0</v>
      </c>
      <c r="F198" s="320">
        <f t="shared" si="31"/>
        <v>0</v>
      </c>
      <c r="G198" s="239">
        <f>G199+G207</f>
        <v>0</v>
      </c>
      <c r="H198" s="242">
        <f>H199+H207</f>
        <v>0</v>
      </c>
      <c r="I198" s="243">
        <f t="shared" si="32"/>
        <v>0</v>
      </c>
      <c r="J198" s="239">
        <f>J199+J207</f>
        <v>0</v>
      </c>
      <c r="K198" s="242">
        <f>K199+K207</f>
        <v>0</v>
      </c>
      <c r="L198" s="243">
        <f t="shared" si="33"/>
        <v>0</v>
      </c>
      <c r="M198" s="244">
        <f>M199+M207</f>
        <v>0</v>
      </c>
      <c r="N198" s="245">
        <f>N199+N207</f>
        <v>0</v>
      </c>
      <c r="O198" s="243">
        <f t="shared" si="34"/>
        <v>0</v>
      </c>
      <c r="P198" s="246"/>
      <c r="R198" s="53"/>
      <c r="S198" s="53"/>
    </row>
    <row r="199" spans="1:19" hidden="1" x14ac:dyDescent="0.25">
      <c r="A199" s="99">
        <v>5100</v>
      </c>
      <c r="B199" s="247" t="s">
        <v>215</v>
      </c>
      <c r="C199" s="249">
        <f t="shared" si="27"/>
        <v>0</v>
      </c>
      <c r="D199" s="112">
        <f>D200+D201+D204+D205+D206</f>
        <v>0</v>
      </c>
      <c r="E199" s="293">
        <f>E200+E201+E204+E205+E206</f>
        <v>0</v>
      </c>
      <c r="F199" s="313">
        <f t="shared" si="31"/>
        <v>0</v>
      </c>
      <c r="G199" s="112">
        <f>G200+G201+G204+G205+G206</f>
        <v>0</v>
      </c>
      <c r="H199" s="113">
        <f>H200+H201+H204+H205+H206</f>
        <v>0</v>
      </c>
      <c r="I199" s="114">
        <f t="shared" si="32"/>
        <v>0</v>
      </c>
      <c r="J199" s="112">
        <f>J200+J201+J204+J205+J206</f>
        <v>0</v>
      </c>
      <c r="K199" s="113">
        <f>K200+K201+K204+K205+K206</f>
        <v>0</v>
      </c>
      <c r="L199" s="114">
        <f t="shared" si="33"/>
        <v>0</v>
      </c>
      <c r="M199" s="292">
        <f>M200+M201+M204+M205+M206</f>
        <v>0</v>
      </c>
      <c r="N199" s="293">
        <f>N200+N201+N204+N205+N206</f>
        <v>0</v>
      </c>
      <c r="O199" s="114">
        <f t="shared" si="34"/>
        <v>0</v>
      </c>
      <c r="P199" s="109"/>
      <c r="R199" s="53"/>
      <c r="S199" s="53"/>
    </row>
    <row r="200" spans="1:19" hidden="1" x14ac:dyDescent="0.25">
      <c r="A200" s="656">
        <v>5110</v>
      </c>
      <c r="B200" s="116" t="s">
        <v>216</v>
      </c>
      <c r="C200" s="296">
        <f t="shared" si="27"/>
        <v>0</v>
      </c>
      <c r="D200" s="123">
        <v>0</v>
      </c>
      <c r="E200" s="262"/>
      <c r="F200" s="263">
        <f t="shared" si="31"/>
        <v>0</v>
      </c>
      <c r="G200" s="123"/>
      <c r="H200" s="124"/>
      <c r="I200" s="125">
        <f t="shared" si="32"/>
        <v>0</v>
      </c>
      <c r="J200" s="123">
        <v>0</v>
      </c>
      <c r="K200" s="124"/>
      <c r="L200" s="125">
        <f t="shared" si="33"/>
        <v>0</v>
      </c>
      <c r="M200" s="264"/>
      <c r="N200" s="262"/>
      <c r="O200" s="125">
        <f t="shared" si="34"/>
        <v>0</v>
      </c>
      <c r="P200" s="74"/>
      <c r="R200" s="53"/>
      <c r="S200" s="53"/>
    </row>
    <row r="201" spans="1:19" ht="24" hidden="1" x14ac:dyDescent="0.25">
      <c r="A201" s="276">
        <v>5120</v>
      </c>
      <c r="B201" s="127" t="s">
        <v>217</v>
      </c>
      <c r="C201" s="279">
        <f t="shared" si="27"/>
        <v>0</v>
      </c>
      <c r="D201" s="277">
        <f>D202+D203</f>
        <v>0</v>
      </c>
      <c r="E201" s="282">
        <f>E202+E203</f>
        <v>0</v>
      </c>
      <c r="F201" s="286">
        <f t="shared" si="31"/>
        <v>0</v>
      </c>
      <c r="G201" s="277">
        <f>G202+G203</f>
        <v>0</v>
      </c>
      <c r="H201" s="280">
        <f>H202+H203</f>
        <v>0</v>
      </c>
      <c r="I201" s="136">
        <f t="shared" si="32"/>
        <v>0</v>
      </c>
      <c r="J201" s="277">
        <f>J202+J203</f>
        <v>0</v>
      </c>
      <c r="K201" s="280">
        <f>K202+K203</f>
        <v>0</v>
      </c>
      <c r="L201" s="136">
        <f t="shared" si="33"/>
        <v>0</v>
      </c>
      <c r="M201" s="281">
        <f>M202+M203</f>
        <v>0</v>
      </c>
      <c r="N201" s="282">
        <f>N202+N203</f>
        <v>0</v>
      </c>
      <c r="O201" s="136">
        <f t="shared" si="34"/>
        <v>0</v>
      </c>
      <c r="P201" s="85"/>
      <c r="R201" s="53"/>
      <c r="S201" s="53"/>
    </row>
    <row r="202" spans="1:19" hidden="1" x14ac:dyDescent="0.25">
      <c r="A202" s="76">
        <v>5121</v>
      </c>
      <c r="B202" s="127" t="s">
        <v>218</v>
      </c>
      <c r="C202" s="279">
        <f t="shared" si="27"/>
        <v>0</v>
      </c>
      <c r="D202" s="134">
        <v>0</v>
      </c>
      <c r="E202" s="285"/>
      <c r="F202" s="286">
        <f t="shared" si="31"/>
        <v>0</v>
      </c>
      <c r="G202" s="134"/>
      <c r="H202" s="135"/>
      <c r="I202" s="136">
        <f t="shared" si="32"/>
        <v>0</v>
      </c>
      <c r="J202" s="134">
        <v>0</v>
      </c>
      <c r="K202" s="135"/>
      <c r="L202" s="136">
        <f t="shared" si="33"/>
        <v>0</v>
      </c>
      <c r="M202" s="284"/>
      <c r="N202" s="285"/>
      <c r="O202" s="136">
        <f t="shared" si="34"/>
        <v>0</v>
      </c>
      <c r="P202" s="85"/>
      <c r="R202" s="53"/>
      <c r="S202" s="53"/>
    </row>
    <row r="203" spans="1:19" ht="24" hidden="1" x14ac:dyDescent="0.25">
      <c r="A203" s="76">
        <v>5129</v>
      </c>
      <c r="B203" s="127" t="s">
        <v>219</v>
      </c>
      <c r="C203" s="279">
        <f t="shared" si="27"/>
        <v>0</v>
      </c>
      <c r="D203" s="134">
        <v>0</v>
      </c>
      <c r="E203" s="285"/>
      <c r="F203" s="286">
        <f t="shared" si="31"/>
        <v>0</v>
      </c>
      <c r="G203" s="134"/>
      <c r="H203" s="135"/>
      <c r="I203" s="136">
        <f t="shared" si="32"/>
        <v>0</v>
      </c>
      <c r="J203" s="134">
        <v>0</v>
      </c>
      <c r="K203" s="135"/>
      <c r="L203" s="136">
        <f t="shared" si="33"/>
        <v>0</v>
      </c>
      <c r="M203" s="284"/>
      <c r="N203" s="285"/>
      <c r="O203" s="136">
        <f t="shared" si="34"/>
        <v>0</v>
      </c>
      <c r="P203" s="85"/>
      <c r="R203" s="53"/>
      <c r="S203" s="53"/>
    </row>
    <row r="204" spans="1:19" hidden="1" x14ac:dyDescent="0.25">
      <c r="A204" s="276">
        <v>5130</v>
      </c>
      <c r="B204" s="127" t="s">
        <v>220</v>
      </c>
      <c r="C204" s="279">
        <f t="shared" si="27"/>
        <v>0</v>
      </c>
      <c r="D204" s="134">
        <v>0</v>
      </c>
      <c r="E204" s="285"/>
      <c r="F204" s="286">
        <f t="shared" si="31"/>
        <v>0</v>
      </c>
      <c r="G204" s="134"/>
      <c r="H204" s="135"/>
      <c r="I204" s="136">
        <f t="shared" si="32"/>
        <v>0</v>
      </c>
      <c r="J204" s="134">
        <v>0</v>
      </c>
      <c r="K204" s="135"/>
      <c r="L204" s="136">
        <f t="shared" si="33"/>
        <v>0</v>
      </c>
      <c r="M204" s="284"/>
      <c r="N204" s="285"/>
      <c r="O204" s="136">
        <f t="shared" si="34"/>
        <v>0</v>
      </c>
      <c r="P204" s="85"/>
      <c r="R204" s="53"/>
      <c r="S204" s="53"/>
    </row>
    <row r="205" spans="1:19" hidden="1" x14ac:dyDescent="0.25">
      <c r="A205" s="276">
        <v>5140</v>
      </c>
      <c r="B205" s="127" t="s">
        <v>221</v>
      </c>
      <c r="C205" s="279">
        <f t="shared" si="27"/>
        <v>0</v>
      </c>
      <c r="D205" s="134">
        <v>0</v>
      </c>
      <c r="E205" s="285"/>
      <c r="F205" s="286">
        <f t="shared" si="31"/>
        <v>0</v>
      </c>
      <c r="G205" s="134"/>
      <c r="H205" s="135"/>
      <c r="I205" s="136">
        <f t="shared" si="32"/>
        <v>0</v>
      </c>
      <c r="J205" s="134">
        <v>0</v>
      </c>
      <c r="K205" s="135"/>
      <c r="L205" s="136">
        <f t="shared" si="33"/>
        <v>0</v>
      </c>
      <c r="M205" s="284"/>
      <c r="N205" s="285"/>
      <c r="O205" s="136">
        <f t="shared" si="34"/>
        <v>0</v>
      </c>
      <c r="P205" s="85"/>
      <c r="R205" s="53"/>
      <c r="S205" s="53"/>
    </row>
    <row r="206" spans="1:19" ht="24" hidden="1" x14ac:dyDescent="0.25">
      <c r="A206" s="276">
        <v>5170</v>
      </c>
      <c r="B206" s="127" t="s">
        <v>222</v>
      </c>
      <c r="C206" s="279">
        <f t="shared" si="27"/>
        <v>0</v>
      </c>
      <c r="D206" s="134">
        <v>0</v>
      </c>
      <c r="E206" s="285"/>
      <c r="F206" s="286">
        <f t="shared" si="31"/>
        <v>0</v>
      </c>
      <c r="G206" s="134"/>
      <c r="H206" s="135"/>
      <c r="I206" s="136">
        <f t="shared" si="32"/>
        <v>0</v>
      </c>
      <c r="J206" s="134">
        <v>0</v>
      </c>
      <c r="K206" s="135"/>
      <c r="L206" s="136">
        <f t="shared" si="33"/>
        <v>0</v>
      </c>
      <c r="M206" s="284"/>
      <c r="N206" s="285"/>
      <c r="O206" s="136">
        <f t="shared" si="34"/>
        <v>0</v>
      </c>
      <c r="P206" s="85"/>
      <c r="R206" s="53"/>
      <c r="S206" s="53"/>
    </row>
    <row r="207" spans="1:19" hidden="1" x14ac:dyDescent="0.25">
      <c r="A207" s="99">
        <v>5200</v>
      </c>
      <c r="B207" s="247" t="s">
        <v>223</v>
      </c>
      <c r="C207" s="249">
        <f t="shared" si="27"/>
        <v>0</v>
      </c>
      <c r="D207" s="112">
        <f>D208+D218+D219+D228+D229+D230+D232</f>
        <v>0</v>
      </c>
      <c r="E207" s="293">
        <f>E208+E218+E219+E228+E229+E230+E232</f>
        <v>0</v>
      </c>
      <c r="F207" s="313">
        <f t="shared" si="31"/>
        <v>0</v>
      </c>
      <c r="G207" s="112">
        <f>G208+G218+G219+G228+G229+G230+G232</f>
        <v>0</v>
      </c>
      <c r="H207" s="113">
        <f>H208+H218+H219+H228+H229+H230+H232</f>
        <v>0</v>
      </c>
      <c r="I207" s="114">
        <f t="shared" si="32"/>
        <v>0</v>
      </c>
      <c r="J207" s="112">
        <f>J208+J218+J219+J228+J229+J230+J232</f>
        <v>0</v>
      </c>
      <c r="K207" s="113">
        <f>K208+K218+K219+K228+K229+K230+K232</f>
        <v>0</v>
      </c>
      <c r="L207" s="114">
        <f t="shared" si="33"/>
        <v>0</v>
      </c>
      <c r="M207" s="292">
        <f>M208+M218+M219+M228+M229+M230+M232</f>
        <v>0</v>
      </c>
      <c r="N207" s="293">
        <f>N208+N218+N219+N228+N229+N230+N232</f>
        <v>0</v>
      </c>
      <c r="O207" s="114">
        <f t="shared" si="34"/>
        <v>0</v>
      </c>
      <c r="P207" s="109"/>
      <c r="R207" s="53"/>
      <c r="S207" s="53"/>
    </row>
    <row r="208" spans="1:19" hidden="1" x14ac:dyDescent="0.25">
      <c r="A208" s="254">
        <v>5210</v>
      </c>
      <c r="B208" s="179" t="s">
        <v>224</v>
      </c>
      <c r="C208" s="257">
        <f t="shared" si="27"/>
        <v>0</v>
      </c>
      <c r="D208" s="255">
        <f>SUM(D209:D217)</f>
        <v>0</v>
      </c>
      <c r="E208" s="261">
        <f>SUM(E209:E217)</f>
        <v>0</v>
      </c>
      <c r="F208" s="310">
        <f t="shared" si="31"/>
        <v>0</v>
      </c>
      <c r="G208" s="255">
        <f>SUM(G209:G217)</f>
        <v>0</v>
      </c>
      <c r="H208" s="258">
        <f>SUM(H209:H217)</f>
        <v>0</v>
      </c>
      <c r="I208" s="259">
        <f t="shared" si="32"/>
        <v>0</v>
      </c>
      <c r="J208" s="255">
        <f>SUM(J209:J217)</f>
        <v>0</v>
      </c>
      <c r="K208" s="258">
        <f>SUM(K209:K217)</f>
        <v>0</v>
      </c>
      <c r="L208" s="259">
        <f t="shared" si="33"/>
        <v>0</v>
      </c>
      <c r="M208" s="260">
        <f>SUM(M209:M217)</f>
        <v>0</v>
      </c>
      <c r="N208" s="261">
        <f>SUM(N209:N217)</f>
        <v>0</v>
      </c>
      <c r="O208" s="259">
        <f t="shared" si="34"/>
        <v>0</v>
      </c>
      <c r="P208" s="189"/>
      <c r="R208" s="53"/>
      <c r="S208" s="53"/>
    </row>
    <row r="209" spans="1:19" hidden="1" x14ac:dyDescent="0.25">
      <c r="A209" s="66">
        <v>5211</v>
      </c>
      <c r="B209" s="116" t="s">
        <v>225</v>
      </c>
      <c r="C209" s="279">
        <f t="shared" si="27"/>
        <v>0</v>
      </c>
      <c r="D209" s="123">
        <v>0</v>
      </c>
      <c r="E209" s="262"/>
      <c r="F209" s="263">
        <f t="shared" si="31"/>
        <v>0</v>
      </c>
      <c r="G209" s="123"/>
      <c r="H209" s="124"/>
      <c r="I209" s="125">
        <f t="shared" si="32"/>
        <v>0</v>
      </c>
      <c r="J209" s="123">
        <v>0</v>
      </c>
      <c r="K209" s="124"/>
      <c r="L209" s="125">
        <f t="shared" si="33"/>
        <v>0</v>
      </c>
      <c r="M209" s="264"/>
      <c r="N209" s="262"/>
      <c r="O209" s="125">
        <f t="shared" si="34"/>
        <v>0</v>
      </c>
      <c r="P209" s="74"/>
      <c r="R209" s="53"/>
      <c r="S209" s="53"/>
    </row>
    <row r="210" spans="1:19" hidden="1" x14ac:dyDescent="0.25">
      <c r="A210" s="76">
        <v>5212</v>
      </c>
      <c r="B210" s="127" t="s">
        <v>226</v>
      </c>
      <c r="C210" s="279">
        <f t="shared" si="27"/>
        <v>0</v>
      </c>
      <c r="D210" s="134">
        <v>0</v>
      </c>
      <c r="E210" s="285"/>
      <c r="F210" s="286">
        <f t="shared" si="31"/>
        <v>0</v>
      </c>
      <c r="G210" s="134"/>
      <c r="H210" s="135"/>
      <c r="I210" s="136">
        <f t="shared" si="32"/>
        <v>0</v>
      </c>
      <c r="J210" s="134">
        <v>0</v>
      </c>
      <c r="K210" s="135"/>
      <c r="L210" s="136">
        <f t="shared" si="33"/>
        <v>0</v>
      </c>
      <c r="M210" s="284"/>
      <c r="N210" s="285"/>
      <c r="O210" s="136">
        <f t="shared" si="34"/>
        <v>0</v>
      </c>
      <c r="P210" s="85"/>
      <c r="R210" s="53"/>
      <c r="S210" s="53"/>
    </row>
    <row r="211" spans="1:19" hidden="1" x14ac:dyDescent="0.25">
      <c r="A211" s="76">
        <v>5213</v>
      </c>
      <c r="B211" s="127" t="s">
        <v>227</v>
      </c>
      <c r="C211" s="279">
        <f t="shared" si="27"/>
        <v>0</v>
      </c>
      <c r="D211" s="134">
        <v>0</v>
      </c>
      <c r="E211" s="285"/>
      <c r="F211" s="286">
        <f t="shared" si="31"/>
        <v>0</v>
      </c>
      <c r="G211" s="134"/>
      <c r="H211" s="135"/>
      <c r="I211" s="136">
        <f t="shared" si="32"/>
        <v>0</v>
      </c>
      <c r="J211" s="134">
        <v>0</v>
      </c>
      <c r="K211" s="135"/>
      <c r="L211" s="136">
        <f t="shared" si="33"/>
        <v>0</v>
      </c>
      <c r="M211" s="284"/>
      <c r="N211" s="285"/>
      <c r="O211" s="136">
        <f t="shared" si="34"/>
        <v>0</v>
      </c>
      <c r="P211" s="85"/>
      <c r="R211" s="53"/>
      <c r="S211" s="53"/>
    </row>
    <row r="212" spans="1:19" hidden="1" x14ac:dyDescent="0.25">
      <c r="A212" s="76">
        <v>5214</v>
      </c>
      <c r="B212" s="127" t="s">
        <v>228</v>
      </c>
      <c r="C212" s="279">
        <f t="shared" si="27"/>
        <v>0</v>
      </c>
      <c r="D212" s="134">
        <v>0</v>
      </c>
      <c r="E212" s="285"/>
      <c r="F212" s="286">
        <f t="shared" si="31"/>
        <v>0</v>
      </c>
      <c r="G212" s="134"/>
      <c r="H212" s="135"/>
      <c r="I212" s="136">
        <f t="shared" si="32"/>
        <v>0</v>
      </c>
      <c r="J212" s="134">
        <v>0</v>
      </c>
      <c r="K212" s="135"/>
      <c r="L212" s="136">
        <f t="shared" si="33"/>
        <v>0</v>
      </c>
      <c r="M212" s="284"/>
      <c r="N212" s="285"/>
      <c r="O212" s="136">
        <f t="shared" si="34"/>
        <v>0</v>
      </c>
      <c r="P212" s="85"/>
      <c r="R212" s="53"/>
      <c r="S212" s="53"/>
    </row>
    <row r="213" spans="1:19" hidden="1" x14ac:dyDescent="0.25">
      <c r="A213" s="76">
        <v>5215</v>
      </c>
      <c r="B213" s="127" t="s">
        <v>229</v>
      </c>
      <c r="C213" s="279">
        <f t="shared" si="27"/>
        <v>0</v>
      </c>
      <c r="D213" s="134">
        <v>0</v>
      </c>
      <c r="E213" s="285"/>
      <c r="F213" s="286">
        <f t="shared" si="31"/>
        <v>0</v>
      </c>
      <c r="G213" s="134"/>
      <c r="H213" s="135"/>
      <c r="I213" s="136">
        <f t="shared" si="32"/>
        <v>0</v>
      </c>
      <c r="J213" s="134">
        <v>0</v>
      </c>
      <c r="K213" s="135"/>
      <c r="L213" s="136">
        <f t="shared" si="33"/>
        <v>0</v>
      </c>
      <c r="M213" s="284"/>
      <c r="N213" s="285"/>
      <c r="O213" s="136">
        <f t="shared" si="34"/>
        <v>0</v>
      </c>
      <c r="P213" s="85"/>
      <c r="R213" s="53"/>
      <c r="S213" s="53"/>
    </row>
    <row r="214" spans="1:19" hidden="1" x14ac:dyDescent="0.25">
      <c r="A214" s="76">
        <v>5216</v>
      </c>
      <c r="B214" s="127" t="s">
        <v>230</v>
      </c>
      <c r="C214" s="279">
        <f t="shared" si="27"/>
        <v>0</v>
      </c>
      <c r="D214" s="134">
        <v>0</v>
      </c>
      <c r="E214" s="285"/>
      <c r="F214" s="286">
        <f t="shared" si="31"/>
        <v>0</v>
      </c>
      <c r="G214" s="134"/>
      <c r="H214" s="135"/>
      <c r="I214" s="136">
        <f t="shared" si="32"/>
        <v>0</v>
      </c>
      <c r="J214" s="134">
        <v>0</v>
      </c>
      <c r="K214" s="135"/>
      <c r="L214" s="136">
        <f t="shared" si="33"/>
        <v>0</v>
      </c>
      <c r="M214" s="284"/>
      <c r="N214" s="285"/>
      <c r="O214" s="136">
        <f t="shared" si="34"/>
        <v>0</v>
      </c>
      <c r="P214" s="85"/>
      <c r="R214" s="53"/>
      <c r="S214" s="53"/>
    </row>
    <row r="215" spans="1:19" hidden="1" x14ac:dyDescent="0.25">
      <c r="A215" s="76">
        <v>5217</v>
      </c>
      <c r="B215" s="127" t="s">
        <v>231</v>
      </c>
      <c r="C215" s="279">
        <f t="shared" si="27"/>
        <v>0</v>
      </c>
      <c r="D215" s="134">
        <v>0</v>
      </c>
      <c r="E215" s="285"/>
      <c r="F215" s="286">
        <f t="shared" si="31"/>
        <v>0</v>
      </c>
      <c r="G215" s="134"/>
      <c r="H215" s="135"/>
      <c r="I215" s="136">
        <f t="shared" si="32"/>
        <v>0</v>
      </c>
      <c r="J215" s="134">
        <v>0</v>
      </c>
      <c r="K215" s="135"/>
      <c r="L215" s="136">
        <f t="shared" si="33"/>
        <v>0</v>
      </c>
      <c r="M215" s="284"/>
      <c r="N215" s="285"/>
      <c r="O215" s="136">
        <f t="shared" si="34"/>
        <v>0</v>
      </c>
      <c r="P215" s="85"/>
      <c r="R215" s="53"/>
      <c r="S215" s="53"/>
    </row>
    <row r="216" spans="1:19" hidden="1" x14ac:dyDescent="0.25">
      <c r="A216" s="76">
        <v>5218</v>
      </c>
      <c r="B216" s="127" t="s">
        <v>232</v>
      </c>
      <c r="C216" s="279">
        <f t="shared" si="27"/>
        <v>0</v>
      </c>
      <c r="D216" s="134">
        <v>0</v>
      </c>
      <c r="E216" s="285"/>
      <c r="F216" s="286">
        <f t="shared" si="31"/>
        <v>0</v>
      </c>
      <c r="G216" s="134"/>
      <c r="H216" s="135"/>
      <c r="I216" s="136">
        <f t="shared" si="32"/>
        <v>0</v>
      </c>
      <c r="J216" s="134">
        <v>0</v>
      </c>
      <c r="K216" s="135"/>
      <c r="L216" s="136">
        <f t="shared" si="33"/>
        <v>0</v>
      </c>
      <c r="M216" s="284"/>
      <c r="N216" s="285"/>
      <c r="O216" s="136">
        <f t="shared" si="34"/>
        <v>0</v>
      </c>
      <c r="P216" s="85"/>
      <c r="R216" s="53"/>
      <c r="S216" s="53"/>
    </row>
    <row r="217" spans="1:19" hidden="1" x14ac:dyDescent="0.25">
      <c r="A217" s="76">
        <v>5219</v>
      </c>
      <c r="B217" s="127" t="s">
        <v>233</v>
      </c>
      <c r="C217" s="279">
        <f t="shared" si="27"/>
        <v>0</v>
      </c>
      <c r="D217" s="134">
        <v>0</v>
      </c>
      <c r="E217" s="285"/>
      <c r="F217" s="286">
        <f t="shared" si="31"/>
        <v>0</v>
      </c>
      <c r="G217" s="134"/>
      <c r="H217" s="135"/>
      <c r="I217" s="136">
        <f t="shared" si="32"/>
        <v>0</v>
      </c>
      <c r="J217" s="134">
        <v>0</v>
      </c>
      <c r="K217" s="135"/>
      <c r="L217" s="136">
        <f t="shared" si="33"/>
        <v>0</v>
      </c>
      <c r="M217" s="284"/>
      <c r="N217" s="285"/>
      <c r="O217" s="136">
        <f t="shared" si="34"/>
        <v>0</v>
      </c>
      <c r="P217" s="85"/>
      <c r="R217" s="53"/>
      <c r="S217" s="53"/>
    </row>
    <row r="218" spans="1:19" hidden="1" x14ac:dyDescent="0.25">
      <c r="A218" s="276">
        <v>5220</v>
      </c>
      <c r="B218" s="127" t="s">
        <v>234</v>
      </c>
      <c r="C218" s="279">
        <f t="shared" si="27"/>
        <v>0</v>
      </c>
      <c r="D218" s="134">
        <v>0</v>
      </c>
      <c r="E218" s="285"/>
      <c r="F218" s="286">
        <f t="shared" si="31"/>
        <v>0</v>
      </c>
      <c r="G218" s="134"/>
      <c r="H218" s="135"/>
      <c r="I218" s="136">
        <f t="shared" si="32"/>
        <v>0</v>
      </c>
      <c r="J218" s="134">
        <v>0</v>
      </c>
      <c r="K218" s="135"/>
      <c r="L218" s="136">
        <f t="shared" si="33"/>
        <v>0</v>
      </c>
      <c r="M218" s="284"/>
      <c r="N218" s="285"/>
      <c r="O218" s="136">
        <f t="shared" si="34"/>
        <v>0</v>
      </c>
      <c r="P218" s="85"/>
      <c r="R218" s="53"/>
      <c r="S218" s="53"/>
    </row>
    <row r="219" spans="1:19" hidden="1" x14ac:dyDescent="0.25">
      <c r="A219" s="276">
        <v>5230</v>
      </c>
      <c r="B219" s="127" t="s">
        <v>235</v>
      </c>
      <c r="C219" s="279">
        <f t="shared" si="27"/>
        <v>0</v>
      </c>
      <c r="D219" s="277">
        <f>SUM(D220:D227)</f>
        <v>0</v>
      </c>
      <c r="E219" s="282">
        <f>SUM(E220:E227)</f>
        <v>0</v>
      </c>
      <c r="F219" s="286">
        <f t="shared" si="31"/>
        <v>0</v>
      </c>
      <c r="G219" s="277">
        <f>SUM(G220:G227)</f>
        <v>0</v>
      </c>
      <c r="H219" s="280">
        <f>SUM(H220:H227)</f>
        <v>0</v>
      </c>
      <c r="I219" s="136">
        <f t="shared" si="32"/>
        <v>0</v>
      </c>
      <c r="J219" s="277">
        <f>SUM(J220:J227)</f>
        <v>0</v>
      </c>
      <c r="K219" s="280">
        <f>SUM(K220:K227)</f>
        <v>0</v>
      </c>
      <c r="L219" s="136">
        <f t="shared" si="33"/>
        <v>0</v>
      </c>
      <c r="M219" s="281">
        <f>SUM(M220:M227)</f>
        <v>0</v>
      </c>
      <c r="N219" s="282">
        <f>SUM(N220:N227)</f>
        <v>0</v>
      </c>
      <c r="O219" s="136">
        <f t="shared" si="34"/>
        <v>0</v>
      </c>
      <c r="P219" s="85"/>
      <c r="R219" s="53"/>
      <c r="S219" s="53"/>
    </row>
    <row r="220" spans="1:19" hidden="1" x14ac:dyDescent="0.25">
      <c r="A220" s="76">
        <v>5231</v>
      </c>
      <c r="B220" s="127" t="s">
        <v>236</v>
      </c>
      <c r="C220" s="279">
        <f t="shared" si="27"/>
        <v>0</v>
      </c>
      <c r="D220" s="134">
        <v>0</v>
      </c>
      <c r="E220" s="285"/>
      <c r="F220" s="286">
        <f t="shared" si="31"/>
        <v>0</v>
      </c>
      <c r="G220" s="134"/>
      <c r="H220" s="135"/>
      <c r="I220" s="136">
        <f t="shared" si="32"/>
        <v>0</v>
      </c>
      <c r="J220" s="134">
        <v>0</v>
      </c>
      <c r="K220" s="135"/>
      <c r="L220" s="136">
        <f t="shared" si="33"/>
        <v>0</v>
      </c>
      <c r="M220" s="284"/>
      <c r="N220" s="285"/>
      <c r="O220" s="136">
        <f t="shared" si="34"/>
        <v>0</v>
      </c>
      <c r="P220" s="85"/>
      <c r="R220" s="53"/>
      <c r="S220" s="53"/>
    </row>
    <row r="221" spans="1:19" hidden="1" x14ac:dyDescent="0.25">
      <c r="A221" s="76">
        <v>5232</v>
      </c>
      <c r="B221" s="127" t="s">
        <v>237</v>
      </c>
      <c r="C221" s="279">
        <f t="shared" si="27"/>
        <v>0</v>
      </c>
      <c r="D221" s="134">
        <v>0</v>
      </c>
      <c r="E221" s="285"/>
      <c r="F221" s="286">
        <f t="shared" si="31"/>
        <v>0</v>
      </c>
      <c r="G221" s="134"/>
      <c r="H221" s="135"/>
      <c r="I221" s="136">
        <f t="shared" si="32"/>
        <v>0</v>
      </c>
      <c r="J221" s="134">
        <v>0</v>
      </c>
      <c r="K221" s="135"/>
      <c r="L221" s="136">
        <f t="shared" si="33"/>
        <v>0</v>
      </c>
      <c r="M221" s="284"/>
      <c r="N221" s="285"/>
      <c r="O221" s="136">
        <f t="shared" si="34"/>
        <v>0</v>
      </c>
      <c r="P221" s="85"/>
      <c r="R221" s="53"/>
      <c r="S221" s="53"/>
    </row>
    <row r="222" spans="1:19" hidden="1" x14ac:dyDescent="0.25">
      <c r="A222" s="76">
        <v>5233</v>
      </c>
      <c r="B222" s="127" t="s">
        <v>238</v>
      </c>
      <c r="C222" s="279">
        <f t="shared" si="27"/>
        <v>0</v>
      </c>
      <c r="D222" s="134">
        <v>0</v>
      </c>
      <c r="E222" s="285"/>
      <c r="F222" s="286">
        <f t="shared" si="31"/>
        <v>0</v>
      </c>
      <c r="G222" s="134"/>
      <c r="H222" s="135"/>
      <c r="I222" s="136">
        <f t="shared" si="32"/>
        <v>0</v>
      </c>
      <c r="J222" s="134">
        <v>0</v>
      </c>
      <c r="K222" s="135"/>
      <c r="L222" s="136">
        <f t="shared" si="33"/>
        <v>0</v>
      </c>
      <c r="M222" s="284"/>
      <c r="N222" s="285"/>
      <c r="O222" s="136">
        <f t="shared" si="34"/>
        <v>0</v>
      </c>
      <c r="P222" s="85"/>
      <c r="R222" s="53"/>
      <c r="S222" s="53"/>
    </row>
    <row r="223" spans="1:19" hidden="1" x14ac:dyDescent="0.25">
      <c r="A223" s="76">
        <v>5234</v>
      </c>
      <c r="B223" s="127" t="s">
        <v>239</v>
      </c>
      <c r="C223" s="279">
        <f t="shared" si="27"/>
        <v>0</v>
      </c>
      <c r="D223" s="134">
        <v>0</v>
      </c>
      <c r="E223" s="285"/>
      <c r="F223" s="286">
        <f t="shared" si="31"/>
        <v>0</v>
      </c>
      <c r="G223" s="134"/>
      <c r="H223" s="135"/>
      <c r="I223" s="136">
        <f t="shared" si="32"/>
        <v>0</v>
      </c>
      <c r="J223" s="134">
        <v>0</v>
      </c>
      <c r="K223" s="135"/>
      <c r="L223" s="136">
        <f t="shared" si="33"/>
        <v>0</v>
      </c>
      <c r="M223" s="284"/>
      <c r="N223" s="285"/>
      <c r="O223" s="136">
        <f t="shared" si="34"/>
        <v>0</v>
      </c>
      <c r="P223" s="85"/>
      <c r="R223" s="53"/>
      <c r="S223" s="53"/>
    </row>
    <row r="224" spans="1:19" hidden="1" x14ac:dyDescent="0.25">
      <c r="A224" s="76">
        <v>5236</v>
      </c>
      <c r="B224" s="127" t="s">
        <v>240</v>
      </c>
      <c r="C224" s="279">
        <f t="shared" si="27"/>
        <v>0</v>
      </c>
      <c r="D224" s="134">
        <v>0</v>
      </c>
      <c r="E224" s="285"/>
      <c r="F224" s="286">
        <f t="shared" si="31"/>
        <v>0</v>
      </c>
      <c r="G224" s="134"/>
      <c r="H224" s="135"/>
      <c r="I224" s="136">
        <f t="shared" si="32"/>
        <v>0</v>
      </c>
      <c r="J224" s="134">
        <v>0</v>
      </c>
      <c r="K224" s="135"/>
      <c r="L224" s="136">
        <f t="shared" si="33"/>
        <v>0</v>
      </c>
      <c r="M224" s="284"/>
      <c r="N224" s="285"/>
      <c r="O224" s="136">
        <f t="shared" si="34"/>
        <v>0</v>
      </c>
      <c r="P224" s="85"/>
      <c r="R224" s="53"/>
      <c r="S224" s="53"/>
    </row>
    <row r="225" spans="1:19" hidden="1" x14ac:dyDescent="0.25">
      <c r="A225" s="76">
        <v>5237</v>
      </c>
      <c r="B225" s="127" t="s">
        <v>241</v>
      </c>
      <c r="C225" s="279">
        <f t="shared" si="27"/>
        <v>0</v>
      </c>
      <c r="D225" s="134">
        <v>0</v>
      </c>
      <c r="E225" s="285"/>
      <c r="F225" s="286">
        <f t="shared" si="31"/>
        <v>0</v>
      </c>
      <c r="G225" s="134"/>
      <c r="H225" s="135"/>
      <c r="I225" s="136">
        <f t="shared" si="32"/>
        <v>0</v>
      </c>
      <c r="J225" s="134">
        <v>0</v>
      </c>
      <c r="K225" s="135"/>
      <c r="L225" s="136">
        <f t="shared" si="33"/>
        <v>0</v>
      </c>
      <c r="M225" s="284"/>
      <c r="N225" s="285"/>
      <c r="O225" s="136">
        <f t="shared" si="34"/>
        <v>0</v>
      </c>
      <c r="P225" s="85"/>
      <c r="R225" s="53"/>
      <c r="S225" s="53"/>
    </row>
    <row r="226" spans="1:19" hidden="1" x14ac:dyDescent="0.25">
      <c r="A226" s="76">
        <v>5238</v>
      </c>
      <c r="B226" s="127" t="s">
        <v>242</v>
      </c>
      <c r="C226" s="279">
        <f t="shared" si="27"/>
        <v>0</v>
      </c>
      <c r="D226" s="134">
        <v>0</v>
      </c>
      <c r="E226" s="285"/>
      <c r="F226" s="286">
        <f t="shared" si="31"/>
        <v>0</v>
      </c>
      <c r="G226" s="134"/>
      <c r="H226" s="135"/>
      <c r="I226" s="136">
        <f t="shared" si="32"/>
        <v>0</v>
      </c>
      <c r="J226" s="134">
        <v>0</v>
      </c>
      <c r="K226" s="135"/>
      <c r="L226" s="136">
        <f t="shared" si="33"/>
        <v>0</v>
      </c>
      <c r="M226" s="284"/>
      <c r="N226" s="285"/>
      <c r="O226" s="136">
        <f t="shared" si="34"/>
        <v>0</v>
      </c>
      <c r="P226" s="85"/>
      <c r="R226" s="53"/>
      <c r="S226" s="53"/>
    </row>
    <row r="227" spans="1:19" hidden="1" x14ac:dyDescent="0.25">
      <c r="A227" s="76">
        <v>5239</v>
      </c>
      <c r="B227" s="127" t="s">
        <v>243</v>
      </c>
      <c r="C227" s="279">
        <f t="shared" si="27"/>
        <v>0</v>
      </c>
      <c r="D227" s="134">
        <v>0</v>
      </c>
      <c r="E227" s="285"/>
      <c r="F227" s="286">
        <f t="shared" si="31"/>
        <v>0</v>
      </c>
      <c r="G227" s="134"/>
      <c r="H227" s="135"/>
      <c r="I227" s="136">
        <f t="shared" si="32"/>
        <v>0</v>
      </c>
      <c r="J227" s="134">
        <v>0</v>
      </c>
      <c r="K227" s="135"/>
      <c r="L227" s="136">
        <f t="shared" si="33"/>
        <v>0</v>
      </c>
      <c r="M227" s="284"/>
      <c r="N227" s="285"/>
      <c r="O227" s="136">
        <f t="shared" si="34"/>
        <v>0</v>
      </c>
      <c r="P227" s="85"/>
      <c r="R227" s="53"/>
      <c r="S227" s="53"/>
    </row>
    <row r="228" spans="1:19" ht="24" hidden="1" x14ac:dyDescent="0.25">
      <c r="A228" s="276">
        <v>5240</v>
      </c>
      <c r="B228" s="127" t="s">
        <v>244</v>
      </c>
      <c r="C228" s="279">
        <f t="shared" si="27"/>
        <v>0</v>
      </c>
      <c r="D228" s="134">
        <v>0</v>
      </c>
      <c r="E228" s="285"/>
      <c r="F228" s="286">
        <f t="shared" si="31"/>
        <v>0</v>
      </c>
      <c r="G228" s="134"/>
      <c r="H228" s="135"/>
      <c r="I228" s="136">
        <f t="shared" si="32"/>
        <v>0</v>
      </c>
      <c r="J228" s="134">
        <v>0</v>
      </c>
      <c r="K228" s="135"/>
      <c r="L228" s="136">
        <f t="shared" si="33"/>
        <v>0</v>
      </c>
      <c r="M228" s="284"/>
      <c r="N228" s="285"/>
      <c r="O228" s="136">
        <f t="shared" si="34"/>
        <v>0</v>
      </c>
      <c r="P228" s="85"/>
      <c r="R228" s="53"/>
      <c r="S228" s="53"/>
    </row>
    <row r="229" spans="1:19" hidden="1" x14ac:dyDescent="0.25">
      <c r="A229" s="276">
        <v>5250</v>
      </c>
      <c r="B229" s="127" t="s">
        <v>245</v>
      </c>
      <c r="C229" s="279">
        <f t="shared" si="27"/>
        <v>0</v>
      </c>
      <c r="D229" s="134">
        <v>0</v>
      </c>
      <c r="E229" s="285"/>
      <c r="F229" s="286">
        <f t="shared" si="31"/>
        <v>0</v>
      </c>
      <c r="G229" s="134"/>
      <c r="H229" s="135"/>
      <c r="I229" s="136">
        <f t="shared" si="32"/>
        <v>0</v>
      </c>
      <c r="J229" s="134">
        <v>0</v>
      </c>
      <c r="K229" s="135"/>
      <c r="L229" s="136">
        <f t="shared" si="33"/>
        <v>0</v>
      </c>
      <c r="M229" s="284"/>
      <c r="N229" s="285"/>
      <c r="O229" s="136">
        <f t="shared" si="34"/>
        <v>0</v>
      </c>
      <c r="P229" s="85"/>
      <c r="R229" s="53"/>
      <c r="S229" s="53"/>
    </row>
    <row r="230" spans="1:19" hidden="1" x14ac:dyDescent="0.25">
      <c r="A230" s="276">
        <v>5260</v>
      </c>
      <c r="B230" s="127" t="s">
        <v>246</v>
      </c>
      <c r="C230" s="279">
        <f t="shared" si="27"/>
        <v>0</v>
      </c>
      <c r="D230" s="277">
        <f>SUM(D231)</f>
        <v>0</v>
      </c>
      <c r="E230" s="282">
        <f>SUM(E231)</f>
        <v>0</v>
      </c>
      <c r="F230" s="286">
        <f t="shared" si="31"/>
        <v>0</v>
      </c>
      <c r="G230" s="277">
        <f>SUM(G231)</f>
        <v>0</v>
      </c>
      <c r="H230" s="280">
        <f>SUM(H231)</f>
        <v>0</v>
      </c>
      <c r="I230" s="136">
        <f t="shared" si="32"/>
        <v>0</v>
      </c>
      <c r="J230" s="277">
        <f>SUM(J231)</f>
        <v>0</v>
      </c>
      <c r="K230" s="280">
        <f>SUM(K231)</f>
        <v>0</v>
      </c>
      <c r="L230" s="136">
        <f t="shared" si="33"/>
        <v>0</v>
      </c>
      <c r="M230" s="281">
        <f>SUM(M231)</f>
        <v>0</v>
      </c>
      <c r="N230" s="282">
        <f>SUM(N231)</f>
        <v>0</v>
      </c>
      <c r="O230" s="136">
        <f t="shared" si="34"/>
        <v>0</v>
      </c>
      <c r="P230" s="85"/>
      <c r="R230" s="53"/>
      <c r="S230" s="53"/>
    </row>
    <row r="231" spans="1:19" hidden="1" x14ac:dyDescent="0.25">
      <c r="A231" s="76">
        <v>5269</v>
      </c>
      <c r="B231" s="127" t="s">
        <v>247</v>
      </c>
      <c r="C231" s="279">
        <f t="shared" si="27"/>
        <v>0</v>
      </c>
      <c r="D231" s="134">
        <v>0</v>
      </c>
      <c r="E231" s="285"/>
      <c r="F231" s="286">
        <f t="shared" si="31"/>
        <v>0</v>
      </c>
      <c r="G231" s="134"/>
      <c r="H231" s="135"/>
      <c r="I231" s="136">
        <f t="shared" si="32"/>
        <v>0</v>
      </c>
      <c r="J231" s="134">
        <v>0</v>
      </c>
      <c r="K231" s="135"/>
      <c r="L231" s="136">
        <f t="shared" si="33"/>
        <v>0</v>
      </c>
      <c r="M231" s="284"/>
      <c r="N231" s="285"/>
      <c r="O231" s="136">
        <f t="shared" si="34"/>
        <v>0</v>
      </c>
      <c r="P231" s="85"/>
      <c r="R231" s="53"/>
      <c r="S231" s="53"/>
    </row>
    <row r="232" spans="1:19" hidden="1" x14ac:dyDescent="0.25">
      <c r="A232" s="254">
        <v>5270</v>
      </c>
      <c r="B232" s="179" t="s">
        <v>248</v>
      </c>
      <c r="C232" s="302">
        <f t="shared" si="27"/>
        <v>0</v>
      </c>
      <c r="D232" s="287">
        <v>0</v>
      </c>
      <c r="E232" s="291"/>
      <c r="F232" s="310">
        <f t="shared" si="31"/>
        <v>0</v>
      </c>
      <c r="G232" s="287"/>
      <c r="H232" s="289"/>
      <c r="I232" s="259">
        <f t="shared" si="32"/>
        <v>0</v>
      </c>
      <c r="J232" s="287">
        <v>0</v>
      </c>
      <c r="K232" s="289"/>
      <c r="L232" s="259">
        <f t="shared" si="33"/>
        <v>0</v>
      </c>
      <c r="M232" s="290"/>
      <c r="N232" s="291"/>
      <c r="O232" s="259">
        <f t="shared" si="34"/>
        <v>0</v>
      </c>
      <c r="P232" s="189"/>
      <c r="R232" s="53"/>
      <c r="S232" s="53"/>
    </row>
    <row r="233" spans="1:19" hidden="1" x14ac:dyDescent="0.25">
      <c r="A233" s="237">
        <v>6000</v>
      </c>
      <c r="B233" s="237" t="s">
        <v>249</v>
      </c>
      <c r="C233" s="241">
        <f t="shared" si="27"/>
        <v>0</v>
      </c>
      <c r="D233" s="239">
        <f>D234+D254+D261</f>
        <v>0</v>
      </c>
      <c r="E233" s="245">
        <f>E234+E254+E261</f>
        <v>0</v>
      </c>
      <c r="F233" s="320">
        <f t="shared" si="31"/>
        <v>0</v>
      </c>
      <c r="G233" s="239">
        <f>G234+G254+G261</f>
        <v>0</v>
      </c>
      <c r="H233" s="242">
        <f>H234+H254+H261</f>
        <v>0</v>
      </c>
      <c r="I233" s="243">
        <f t="shared" si="32"/>
        <v>0</v>
      </c>
      <c r="J233" s="239">
        <f>J234+J254+J261</f>
        <v>0</v>
      </c>
      <c r="K233" s="242">
        <f>K234+K254+K261</f>
        <v>0</v>
      </c>
      <c r="L233" s="243">
        <f t="shared" si="33"/>
        <v>0</v>
      </c>
      <c r="M233" s="244">
        <f>M234+M254+M261</f>
        <v>0</v>
      </c>
      <c r="N233" s="245">
        <f>N234+N254+N261</f>
        <v>0</v>
      </c>
      <c r="O233" s="243">
        <f t="shared" si="34"/>
        <v>0</v>
      </c>
      <c r="P233" s="246"/>
      <c r="R233" s="53"/>
      <c r="S233" s="53"/>
    </row>
    <row r="234" spans="1:19" hidden="1" x14ac:dyDescent="0.25">
      <c r="A234" s="160">
        <v>6200</v>
      </c>
      <c r="B234" s="321" t="s">
        <v>250</v>
      </c>
      <c r="C234" s="648">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32"/>
        <v>0</v>
      </c>
      <c r="J234" s="334">
        <f>SUM(J235,J236,J238,J241,J247,J248,J249)</f>
        <v>0</v>
      </c>
      <c r="K234" s="336">
        <f>SUM(K235,K236,K238,K241,K247,K248,K249)</f>
        <v>0</v>
      </c>
      <c r="L234" s="252">
        <f t="shared" si="33"/>
        <v>0</v>
      </c>
      <c r="M234" s="250">
        <f>SUM(M235,M236,M238,M241,M247,M248,M249)</f>
        <v>0</v>
      </c>
      <c r="N234" s="251">
        <f>SUM(N235,N236,N238,N241,N247,N248,N249)</f>
        <v>0</v>
      </c>
      <c r="O234" s="252">
        <f t="shared" si="34"/>
        <v>0</v>
      </c>
      <c r="P234" s="253"/>
      <c r="R234" s="53"/>
      <c r="S234" s="53"/>
    </row>
    <row r="235" spans="1:19" hidden="1" x14ac:dyDescent="0.25">
      <c r="A235" s="656">
        <v>6220</v>
      </c>
      <c r="B235" s="116" t="s">
        <v>251</v>
      </c>
      <c r="C235" s="296">
        <f t="shared" si="27"/>
        <v>0</v>
      </c>
      <c r="D235" s="123">
        <v>0</v>
      </c>
      <c r="E235" s="262"/>
      <c r="F235" s="263">
        <f t="shared" si="31"/>
        <v>0</v>
      </c>
      <c r="G235" s="123"/>
      <c r="H235" s="124"/>
      <c r="I235" s="125">
        <f t="shared" si="32"/>
        <v>0</v>
      </c>
      <c r="J235" s="123">
        <v>0</v>
      </c>
      <c r="K235" s="124"/>
      <c r="L235" s="125">
        <f t="shared" si="33"/>
        <v>0</v>
      </c>
      <c r="M235" s="264"/>
      <c r="N235" s="262"/>
      <c r="O235" s="125">
        <f t="shared" si="34"/>
        <v>0</v>
      </c>
      <c r="P235" s="74"/>
      <c r="R235" s="53"/>
      <c r="S235" s="53"/>
    </row>
    <row r="236" spans="1:19" hidden="1" x14ac:dyDescent="0.25">
      <c r="A236" s="276">
        <v>6230</v>
      </c>
      <c r="B236" s="127" t="s">
        <v>252</v>
      </c>
      <c r="C236" s="279">
        <f t="shared" si="27"/>
        <v>0</v>
      </c>
      <c r="D236" s="277">
        <f>SUM(D237)</f>
        <v>0</v>
      </c>
      <c r="E236" s="280">
        <f>SUM(E237)</f>
        <v>0</v>
      </c>
      <c r="F236" s="286">
        <f t="shared" si="31"/>
        <v>0</v>
      </c>
      <c r="G236" s="277">
        <f>SUM(G237)</f>
        <v>0</v>
      </c>
      <c r="H236" s="280">
        <f>SUM(H237)</f>
        <v>0</v>
      </c>
      <c r="I236" s="136">
        <f t="shared" si="32"/>
        <v>0</v>
      </c>
      <c r="J236" s="277">
        <f>SUM(J237)</f>
        <v>0</v>
      </c>
      <c r="K236" s="280">
        <f>SUM(K237)</f>
        <v>0</v>
      </c>
      <c r="L236" s="136">
        <f t="shared" si="33"/>
        <v>0</v>
      </c>
      <c r="M236" s="277">
        <f>SUM(M237)</f>
        <v>0</v>
      </c>
      <c r="N236" s="280">
        <f>SUM(N237)</f>
        <v>0</v>
      </c>
      <c r="O236" s="136">
        <f t="shared" si="34"/>
        <v>0</v>
      </c>
      <c r="P236" s="85"/>
      <c r="R236" s="53"/>
      <c r="S236" s="53"/>
    </row>
    <row r="237" spans="1:19" hidden="1" x14ac:dyDescent="0.25">
      <c r="A237" s="76">
        <v>6239</v>
      </c>
      <c r="B237" s="116" t="s">
        <v>253</v>
      </c>
      <c r="C237" s="279">
        <f t="shared" si="27"/>
        <v>0</v>
      </c>
      <c r="D237" s="134">
        <v>0</v>
      </c>
      <c r="E237" s="285"/>
      <c r="F237" s="286">
        <f t="shared" si="31"/>
        <v>0</v>
      </c>
      <c r="G237" s="134"/>
      <c r="H237" s="135"/>
      <c r="I237" s="136">
        <f t="shared" si="32"/>
        <v>0</v>
      </c>
      <c r="J237" s="134">
        <v>0</v>
      </c>
      <c r="K237" s="135"/>
      <c r="L237" s="136">
        <f t="shared" si="33"/>
        <v>0</v>
      </c>
      <c r="M237" s="284"/>
      <c r="N237" s="285"/>
      <c r="O237" s="136">
        <f t="shared" si="34"/>
        <v>0</v>
      </c>
      <c r="P237" s="85"/>
      <c r="R237" s="53"/>
      <c r="S237" s="53"/>
    </row>
    <row r="238" spans="1:19" hidden="1" x14ac:dyDescent="0.25">
      <c r="A238" s="276">
        <v>6240</v>
      </c>
      <c r="B238" s="127" t="s">
        <v>254</v>
      </c>
      <c r="C238" s="279">
        <f t="shared" si="27"/>
        <v>0</v>
      </c>
      <c r="D238" s="277">
        <f>SUM(D239:D240)</f>
        <v>0</v>
      </c>
      <c r="E238" s="282">
        <f>SUM(E239:E240)</f>
        <v>0</v>
      </c>
      <c r="F238" s="286">
        <f t="shared" si="31"/>
        <v>0</v>
      </c>
      <c r="G238" s="277">
        <f>SUM(G239:G240)</f>
        <v>0</v>
      </c>
      <c r="H238" s="280">
        <f>SUM(H239:H240)</f>
        <v>0</v>
      </c>
      <c r="I238" s="136">
        <f t="shared" si="32"/>
        <v>0</v>
      </c>
      <c r="J238" s="277">
        <f>SUM(J239:J240)</f>
        <v>0</v>
      </c>
      <c r="K238" s="280">
        <f>SUM(K239:K240)</f>
        <v>0</v>
      </c>
      <c r="L238" s="136">
        <f t="shared" si="33"/>
        <v>0</v>
      </c>
      <c r="M238" s="281">
        <f>SUM(M239:M240)</f>
        <v>0</v>
      </c>
      <c r="N238" s="282">
        <f>SUM(N239:N240)</f>
        <v>0</v>
      </c>
      <c r="O238" s="136">
        <f t="shared" si="34"/>
        <v>0</v>
      </c>
      <c r="P238" s="85"/>
      <c r="R238" s="53"/>
      <c r="S238" s="53"/>
    </row>
    <row r="239" spans="1:19" hidden="1" x14ac:dyDescent="0.25">
      <c r="A239" s="76">
        <v>6241</v>
      </c>
      <c r="B239" s="127" t="s">
        <v>255</v>
      </c>
      <c r="C239" s="279">
        <f t="shared" si="27"/>
        <v>0</v>
      </c>
      <c r="D239" s="134">
        <v>0</v>
      </c>
      <c r="E239" s="285"/>
      <c r="F239" s="286">
        <f t="shared" si="31"/>
        <v>0</v>
      </c>
      <c r="G239" s="134"/>
      <c r="H239" s="135"/>
      <c r="I239" s="136">
        <f t="shared" si="32"/>
        <v>0</v>
      </c>
      <c r="J239" s="134">
        <v>0</v>
      </c>
      <c r="K239" s="135"/>
      <c r="L239" s="136">
        <f t="shared" si="33"/>
        <v>0</v>
      </c>
      <c r="M239" s="284"/>
      <c r="N239" s="285"/>
      <c r="O239" s="136">
        <f t="shared" si="34"/>
        <v>0</v>
      </c>
      <c r="P239" s="85"/>
      <c r="R239" s="53"/>
      <c r="S239" s="53"/>
    </row>
    <row r="240" spans="1:19" hidden="1" x14ac:dyDescent="0.25">
      <c r="A240" s="76">
        <v>6242</v>
      </c>
      <c r="B240" s="127" t="s">
        <v>256</v>
      </c>
      <c r="C240" s="279">
        <f t="shared" si="27"/>
        <v>0</v>
      </c>
      <c r="D240" s="134">
        <v>0</v>
      </c>
      <c r="E240" s="285"/>
      <c r="F240" s="286">
        <f t="shared" si="31"/>
        <v>0</v>
      </c>
      <c r="G240" s="134"/>
      <c r="H240" s="135"/>
      <c r="I240" s="136">
        <f t="shared" si="32"/>
        <v>0</v>
      </c>
      <c r="J240" s="134">
        <v>0</v>
      </c>
      <c r="K240" s="135"/>
      <c r="L240" s="136">
        <f t="shared" si="33"/>
        <v>0</v>
      </c>
      <c r="M240" s="284"/>
      <c r="N240" s="285"/>
      <c r="O240" s="136">
        <f t="shared" si="34"/>
        <v>0</v>
      </c>
      <c r="P240" s="85"/>
      <c r="R240" s="53"/>
      <c r="S240" s="53"/>
    </row>
    <row r="241" spans="1:19" hidden="1" x14ac:dyDescent="0.25">
      <c r="A241" s="276">
        <v>6250</v>
      </c>
      <c r="B241" s="127" t="s">
        <v>257</v>
      </c>
      <c r="C241" s="279">
        <f t="shared" si="27"/>
        <v>0</v>
      </c>
      <c r="D241" s="277">
        <f>SUM(D242:D246)</f>
        <v>0</v>
      </c>
      <c r="E241" s="282">
        <f>SUM(E242:E246)</f>
        <v>0</v>
      </c>
      <c r="F241" s="286">
        <f t="shared" si="31"/>
        <v>0</v>
      </c>
      <c r="G241" s="277">
        <f>SUM(G242:G246)</f>
        <v>0</v>
      </c>
      <c r="H241" s="280">
        <f>SUM(H242:H246)</f>
        <v>0</v>
      </c>
      <c r="I241" s="136">
        <f t="shared" si="32"/>
        <v>0</v>
      </c>
      <c r="J241" s="277">
        <f>SUM(J242:J246)</f>
        <v>0</v>
      </c>
      <c r="K241" s="280">
        <f>SUM(K242:K246)</f>
        <v>0</v>
      </c>
      <c r="L241" s="136">
        <f t="shared" si="33"/>
        <v>0</v>
      </c>
      <c r="M241" s="281">
        <f>SUM(M242:M246)</f>
        <v>0</v>
      </c>
      <c r="N241" s="282">
        <f>SUM(N242:N246)</f>
        <v>0</v>
      </c>
      <c r="O241" s="136">
        <f t="shared" si="34"/>
        <v>0</v>
      </c>
      <c r="P241" s="85"/>
      <c r="R241" s="53"/>
      <c r="S241" s="53"/>
    </row>
    <row r="242" spans="1:19" hidden="1" x14ac:dyDescent="0.25">
      <c r="A242" s="76">
        <v>6252</v>
      </c>
      <c r="B242" s="127" t="s">
        <v>258</v>
      </c>
      <c r="C242" s="279">
        <f t="shared" si="27"/>
        <v>0</v>
      </c>
      <c r="D242" s="134">
        <v>0</v>
      </c>
      <c r="E242" s="285"/>
      <c r="F242" s="286">
        <f t="shared" si="31"/>
        <v>0</v>
      </c>
      <c r="G242" s="134"/>
      <c r="H242" s="135"/>
      <c r="I242" s="136">
        <f t="shared" si="32"/>
        <v>0</v>
      </c>
      <c r="J242" s="134">
        <v>0</v>
      </c>
      <c r="K242" s="135"/>
      <c r="L242" s="136">
        <f t="shared" si="33"/>
        <v>0</v>
      </c>
      <c r="M242" s="284"/>
      <c r="N242" s="285"/>
      <c r="O242" s="136">
        <f t="shared" si="34"/>
        <v>0</v>
      </c>
      <c r="P242" s="85"/>
      <c r="R242" s="53"/>
      <c r="S242" s="53"/>
    </row>
    <row r="243" spans="1:19" hidden="1" x14ac:dyDescent="0.25">
      <c r="A243" s="76">
        <v>6253</v>
      </c>
      <c r="B243" s="127" t="s">
        <v>259</v>
      </c>
      <c r="C243" s="279">
        <f t="shared" si="27"/>
        <v>0</v>
      </c>
      <c r="D243" s="134">
        <v>0</v>
      </c>
      <c r="E243" s="285"/>
      <c r="F243" s="286">
        <f t="shared" si="31"/>
        <v>0</v>
      </c>
      <c r="G243" s="134"/>
      <c r="H243" s="135"/>
      <c r="I243" s="136">
        <f t="shared" si="32"/>
        <v>0</v>
      </c>
      <c r="J243" s="134">
        <v>0</v>
      </c>
      <c r="K243" s="135"/>
      <c r="L243" s="136">
        <f t="shared" si="33"/>
        <v>0</v>
      </c>
      <c r="M243" s="284"/>
      <c r="N243" s="285"/>
      <c r="O243" s="136">
        <f t="shared" si="34"/>
        <v>0</v>
      </c>
      <c r="P243" s="85"/>
      <c r="R243" s="53"/>
      <c r="S243" s="53"/>
    </row>
    <row r="244" spans="1:19" ht="24" hidden="1" x14ac:dyDescent="0.25">
      <c r="A244" s="76">
        <v>6254</v>
      </c>
      <c r="B244" s="127" t="s">
        <v>260</v>
      </c>
      <c r="C244" s="279">
        <f t="shared" si="27"/>
        <v>0</v>
      </c>
      <c r="D244" s="134">
        <v>0</v>
      </c>
      <c r="E244" s="285"/>
      <c r="F244" s="286">
        <f t="shared" si="31"/>
        <v>0</v>
      </c>
      <c r="G244" s="134"/>
      <c r="H244" s="135"/>
      <c r="I244" s="136">
        <f t="shared" si="32"/>
        <v>0</v>
      </c>
      <c r="J244" s="134">
        <v>0</v>
      </c>
      <c r="K244" s="135"/>
      <c r="L244" s="136">
        <f t="shared" si="33"/>
        <v>0</v>
      </c>
      <c r="M244" s="284"/>
      <c r="N244" s="285"/>
      <c r="O244" s="136">
        <f t="shared" si="34"/>
        <v>0</v>
      </c>
      <c r="P244" s="85"/>
      <c r="R244" s="53"/>
      <c r="S244" s="53"/>
    </row>
    <row r="245" spans="1:19" ht="24" hidden="1" x14ac:dyDescent="0.25">
      <c r="A245" s="76">
        <v>6255</v>
      </c>
      <c r="B245" s="127" t="s">
        <v>261</v>
      </c>
      <c r="C245" s="279">
        <f t="shared" si="27"/>
        <v>0</v>
      </c>
      <c r="D245" s="134">
        <v>0</v>
      </c>
      <c r="E245" s="285"/>
      <c r="F245" s="286">
        <f t="shared" si="31"/>
        <v>0</v>
      </c>
      <c r="G245" s="134"/>
      <c r="H245" s="135"/>
      <c r="I245" s="136">
        <f t="shared" si="32"/>
        <v>0</v>
      </c>
      <c r="J245" s="134">
        <v>0</v>
      </c>
      <c r="K245" s="135"/>
      <c r="L245" s="136">
        <f t="shared" si="33"/>
        <v>0</v>
      </c>
      <c r="M245" s="284"/>
      <c r="N245" s="285"/>
      <c r="O245" s="136">
        <f t="shared" si="34"/>
        <v>0</v>
      </c>
      <c r="P245" s="85"/>
      <c r="R245" s="53"/>
      <c r="S245" s="53"/>
    </row>
    <row r="246" spans="1:19" hidden="1" x14ac:dyDescent="0.25">
      <c r="A246" s="76">
        <v>6259</v>
      </c>
      <c r="B246" s="127" t="s">
        <v>262</v>
      </c>
      <c r="C246" s="279">
        <f t="shared" si="27"/>
        <v>0</v>
      </c>
      <c r="D246" s="134">
        <v>0</v>
      </c>
      <c r="E246" s="285"/>
      <c r="F246" s="286">
        <f t="shared" si="31"/>
        <v>0</v>
      </c>
      <c r="G246" s="134"/>
      <c r="H246" s="135"/>
      <c r="I246" s="136">
        <f t="shared" si="32"/>
        <v>0</v>
      </c>
      <c r="J246" s="134">
        <v>0</v>
      </c>
      <c r="K246" s="135"/>
      <c r="L246" s="136">
        <f t="shared" si="33"/>
        <v>0</v>
      </c>
      <c r="M246" s="284"/>
      <c r="N246" s="285"/>
      <c r="O246" s="136">
        <f t="shared" si="34"/>
        <v>0</v>
      </c>
      <c r="P246" s="85"/>
      <c r="R246" s="53"/>
      <c r="S246" s="53"/>
    </row>
    <row r="247" spans="1:19" ht="24" hidden="1" x14ac:dyDescent="0.25">
      <c r="A247" s="276">
        <v>6260</v>
      </c>
      <c r="B247" s="127" t="s">
        <v>263</v>
      </c>
      <c r="C247" s="279">
        <f t="shared" si="27"/>
        <v>0</v>
      </c>
      <c r="D247" s="134">
        <v>0</v>
      </c>
      <c r="E247" s="285"/>
      <c r="F247" s="286">
        <f t="shared" ref="F247:F299" si="38">D247+E247</f>
        <v>0</v>
      </c>
      <c r="G247" s="134"/>
      <c r="H247" s="135"/>
      <c r="I247" s="136">
        <f t="shared" ref="I247:I299" si="39">G247+H247</f>
        <v>0</v>
      </c>
      <c r="J247" s="134">
        <v>0</v>
      </c>
      <c r="K247" s="135"/>
      <c r="L247" s="136">
        <f t="shared" ref="L247:L299" si="40">J247+K247</f>
        <v>0</v>
      </c>
      <c r="M247" s="284"/>
      <c r="N247" s="285"/>
      <c r="O247" s="136">
        <f t="shared" ref="O247:O276" si="41">M247+N247</f>
        <v>0</v>
      </c>
      <c r="P247" s="85"/>
      <c r="R247" s="53"/>
      <c r="S247" s="53"/>
    </row>
    <row r="248" spans="1:19" hidden="1" x14ac:dyDescent="0.25">
      <c r="A248" s="276">
        <v>6270</v>
      </c>
      <c r="B248" s="127" t="s">
        <v>264</v>
      </c>
      <c r="C248" s="279">
        <f t="shared" si="27"/>
        <v>0</v>
      </c>
      <c r="D248" s="134">
        <v>0</v>
      </c>
      <c r="E248" s="285"/>
      <c r="F248" s="286">
        <f t="shared" si="38"/>
        <v>0</v>
      </c>
      <c r="G248" s="134"/>
      <c r="H248" s="135"/>
      <c r="I248" s="136">
        <f t="shared" si="39"/>
        <v>0</v>
      </c>
      <c r="J248" s="134">
        <v>0</v>
      </c>
      <c r="K248" s="135"/>
      <c r="L248" s="136">
        <f t="shared" si="40"/>
        <v>0</v>
      </c>
      <c r="M248" s="284"/>
      <c r="N248" s="285"/>
      <c r="O248" s="136">
        <f t="shared" si="41"/>
        <v>0</v>
      </c>
      <c r="P248" s="85"/>
      <c r="R248" s="53"/>
      <c r="S248" s="53"/>
    </row>
    <row r="249" spans="1:19" hidden="1" x14ac:dyDescent="0.25">
      <c r="A249" s="656">
        <v>6290</v>
      </c>
      <c r="B249" s="116" t="s">
        <v>265</v>
      </c>
      <c r="C249" s="279">
        <f t="shared" si="27"/>
        <v>0</v>
      </c>
      <c r="D249" s="297">
        <f>SUM(D250:D253)</f>
        <v>0</v>
      </c>
      <c r="E249" s="301">
        <f>SUM(E250:E253)</f>
        <v>0</v>
      </c>
      <c r="F249" s="263">
        <f t="shared" si="38"/>
        <v>0</v>
      </c>
      <c r="G249" s="297">
        <f>SUM(G250:G253)</f>
        <v>0</v>
      </c>
      <c r="H249" s="299">
        <f t="shared" ref="H249" si="42">SUM(H250:H253)</f>
        <v>0</v>
      </c>
      <c r="I249" s="125">
        <f t="shared" si="39"/>
        <v>0</v>
      </c>
      <c r="J249" s="297">
        <f>SUM(J250:J253)</f>
        <v>0</v>
      </c>
      <c r="K249" s="299">
        <f t="shared" ref="K249" si="43">SUM(K250:K253)</f>
        <v>0</v>
      </c>
      <c r="L249" s="125">
        <f t="shared" si="40"/>
        <v>0</v>
      </c>
      <c r="M249" s="322">
        <f t="shared" ref="M249:N249" si="44">SUM(M250:M253)</f>
        <v>0</v>
      </c>
      <c r="N249" s="323">
        <f t="shared" si="44"/>
        <v>0</v>
      </c>
      <c r="O249" s="324">
        <f t="shared" si="41"/>
        <v>0</v>
      </c>
      <c r="P249" s="325"/>
      <c r="R249" s="53"/>
      <c r="S249" s="53"/>
    </row>
    <row r="250" spans="1:19" hidden="1" x14ac:dyDescent="0.25">
      <c r="A250" s="76">
        <v>6291</v>
      </c>
      <c r="B250" s="127" t="s">
        <v>266</v>
      </c>
      <c r="C250" s="279">
        <f t="shared" si="27"/>
        <v>0</v>
      </c>
      <c r="D250" s="134">
        <v>0</v>
      </c>
      <c r="E250" s="285"/>
      <c r="F250" s="286">
        <f t="shared" si="38"/>
        <v>0</v>
      </c>
      <c r="G250" s="134"/>
      <c r="H250" s="135"/>
      <c r="I250" s="136">
        <f t="shared" si="39"/>
        <v>0</v>
      </c>
      <c r="J250" s="134">
        <v>0</v>
      </c>
      <c r="K250" s="135"/>
      <c r="L250" s="136">
        <f t="shared" si="40"/>
        <v>0</v>
      </c>
      <c r="M250" s="284"/>
      <c r="N250" s="285"/>
      <c r="O250" s="136">
        <f t="shared" si="41"/>
        <v>0</v>
      </c>
      <c r="P250" s="85"/>
      <c r="R250" s="53"/>
      <c r="S250" s="53"/>
    </row>
    <row r="251" spans="1:19" hidden="1" x14ac:dyDescent="0.25">
      <c r="A251" s="76">
        <v>6292</v>
      </c>
      <c r="B251" s="127" t="s">
        <v>267</v>
      </c>
      <c r="C251" s="279">
        <f t="shared" si="27"/>
        <v>0</v>
      </c>
      <c r="D251" s="134">
        <v>0</v>
      </c>
      <c r="E251" s="285"/>
      <c r="F251" s="286">
        <f t="shared" si="38"/>
        <v>0</v>
      </c>
      <c r="G251" s="134"/>
      <c r="H251" s="135"/>
      <c r="I251" s="136">
        <f t="shared" si="39"/>
        <v>0</v>
      </c>
      <c r="J251" s="134">
        <v>0</v>
      </c>
      <c r="K251" s="135"/>
      <c r="L251" s="136">
        <f t="shared" si="40"/>
        <v>0</v>
      </c>
      <c r="M251" s="284"/>
      <c r="N251" s="285"/>
      <c r="O251" s="136">
        <f t="shared" si="41"/>
        <v>0</v>
      </c>
      <c r="P251" s="85"/>
      <c r="R251" s="53"/>
      <c r="S251" s="53"/>
    </row>
    <row r="252" spans="1:19" ht="60" hidden="1" x14ac:dyDescent="0.25">
      <c r="A252" s="76">
        <v>6296</v>
      </c>
      <c r="B252" s="127" t="s">
        <v>268</v>
      </c>
      <c r="C252" s="279">
        <f t="shared" si="27"/>
        <v>0</v>
      </c>
      <c r="D252" s="134">
        <v>0</v>
      </c>
      <c r="E252" s="285"/>
      <c r="F252" s="286">
        <f t="shared" si="38"/>
        <v>0</v>
      </c>
      <c r="G252" s="134"/>
      <c r="H252" s="135"/>
      <c r="I252" s="136">
        <f t="shared" si="39"/>
        <v>0</v>
      </c>
      <c r="J252" s="134">
        <v>0</v>
      </c>
      <c r="K252" s="135"/>
      <c r="L252" s="136">
        <f t="shared" si="40"/>
        <v>0</v>
      </c>
      <c r="M252" s="284"/>
      <c r="N252" s="285"/>
      <c r="O252" s="136">
        <f t="shared" si="41"/>
        <v>0</v>
      </c>
      <c r="P252" s="85"/>
      <c r="R252" s="53"/>
      <c r="S252" s="53"/>
    </row>
    <row r="253" spans="1:19" ht="36" hidden="1" x14ac:dyDescent="0.25">
      <c r="A253" s="76">
        <v>6299</v>
      </c>
      <c r="B253" s="127" t="s">
        <v>269</v>
      </c>
      <c r="C253" s="279">
        <f t="shared" si="27"/>
        <v>0</v>
      </c>
      <c r="D253" s="134">
        <v>0</v>
      </c>
      <c r="E253" s="285"/>
      <c r="F253" s="286">
        <f t="shared" si="38"/>
        <v>0</v>
      </c>
      <c r="G253" s="134"/>
      <c r="H253" s="135"/>
      <c r="I253" s="136">
        <f t="shared" si="39"/>
        <v>0</v>
      </c>
      <c r="J253" s="134">
        <v>0</v>
      </c>
      <c r="K253" s="135"/>
      <c r="L253" s="136">
        <f t="shared" si="40"/>
        <v>0</v>
      </c>
      <c r="M253" s="284"/>
      <c r="N253" s="285"/>
      <c r="O253" s="136">
        <f t="shared" si="41"/>
        <v>0</v>
      </c>
      <c r="P253" s="85"/>
      <c r="R253" s="53"/>
      <c r="S253" s="53"/>
    </row>
    <row r="254" spans="1:19" hidden="1" x14ac:dyDescent="0.25">
      <c r="A254" s="99">
        <v>6300</v>
      </c>
      <c r="B254" s="247" t="s">
        <v>270</v>
      </c>
      <c r="C254" s="249">
        <f t="shared" si="27"/>
        <v>0</v>
      </c>
      <c r="D254" s="112">
        <f>SUM(D255,D259,D260)</f>
        <v>0</v>
      </c>
      <c r="E254" s="293">
        <f>SUM(E255,E259,E260)</f>
        <v>0</v>
      </c>
      <c r="F254" s="313">
        <f t="shared" si="38"/>
        <v>0</v>
      </c>
      <c r="G254" s="112">
        <f>SUM(G255,G259,G260)</f>
        <v>0</v>
      </c>
      <c r="H254" s="113">
        <f t="shared" ref="H254" si="45">SUM(H255,H259,H260)</f>
        <v>0</v>
      </c>
      <c r="I254" s="114">
        <f t="shared" si="39"/>
        <v>0</v>
      </c>
      <c r="J254" s="112">
        <f>SUM(J255,J259,J260)</f>
        <v>0</v>
      </c>
      <c r="K254" s="113">
        <f t="shared" ref="K254" si="46">SUM(K255,K259,K260)</f>
        <v>0</v>
      </c>
      <c r="L254" s="114">
        <f t="shared" si="40"/>
        <v>0</v>
      </c>
      <c r="M254" s="303">
        <f t="shared" ref="M254:N254" si="47">SUM(M255,M259,M260)</f>
        <v>0</v>
      </c>
      <c r="N254" s="304">
        <f t="shared" si="47"/>
        <v>0</v>
      </c>
      <c r="O254" s="305">
        <f t="shared" si="41"/>
        <v>0</v>
      </c>
      <c r="P254" s="306"/>
      <c r="R254" s="53"/>
      <c r="S254" s="53"/>
    </row>
    <row r="255" spans="1:19" hidden="1" x14ac:dyDescent="0.25">
      <c r="A255" s="656">
        <v>6320</v>
      </c>
      <c r="B255" s="116" t="s">
        <v>271</v>
      </c>
      <c r="C255" s="647">
        <f t="shared" si="27"/>
        <v>0</v>
      </c>
      <c r="D255" s="297">
        <f>SUM(D256:D258)</f>
        <v>0</v>
      </c>
      <c r="E255" s="301">
        <f>SUM(E256:E258)</f>
        <v>0</v>
      </c>
      <c r="F255" s="263">
        <f t="shared" si="38"/>
        <v>0</v>
      </c>
      <c r="G255" s="297">
        <f>SUM(G256:G258)</f>
        <v>0</v>
      </c>
      <c r="H255" s="299">
        <f t="shared" ref="H255" si="48">SUM(H256:H258)</f>
        <v>0</v>
      </c>
      <c r="I255" s="125">
        <f t="shared" si="39"/>
        <v>0</v>
      </c>
      <c r="J255" s="297">
        <f>SUM(J256:J258)</f>
        <v>0</v>
      </c>
      <c r="K255" s="299">
        <f t="shared" ref="K255" si="49">SUM(K256:K258)</f>
        <v>0</v>
      </c>
      <c r="L255" s="125">
        <f t="shared" si="40"/>
        <v>0</v>
      </c>
      <c r="M255" s="300">
        <f t="shared" ref="M255:N255" si="50">SUM(M256:M258)</f>
        <v>0</v>
      </c>
      <c r="N255" s="301">
        <f t="shared" si="50"/>
        <v>0</v>
      </c>
      <c r="O255" s="125">
        <f t="shared" si="41"/>
        <v>0</v>
      </c>
      <c r="P255" s="74"/>
      <c r="R255" s="53"/>
      <c r="S255" s="53"/>
    </row>
    <row r="256" spans="1:19" hidden="1" x14ac:dyDescent="0.25">
      <c r="A256" s="76">
        <v>6322</v>
      </c>
      <c r="B256" s="127" t="s">
        <v>272</v>
      </c>
      <c r="C256" s="279">
        <f t="shared" si="27"/>
        <v>0</v>
      </c>
      <c r="D256" s="134">
        <v>0</v>
      </c>
      <c r="E256" s="285"/>
      <c r="F256" s="286">
        <f t="shared" si="38"/>
        <v>0</v>
      </c>
      <c r="G256" s="134"/>
      <c r="H256" s="135"/>
      <c r="I256" s="136">
        <f t="shared" si="39"/>
        <v>0</v>
      </c>
      <c r="J256" s="134">
        <v>0</v>
      </c>
      <c r="K256" s="135"/>
      <c r="L256" s="136">
        <f t="shared" si="40"/>
        <v>0</v>
      </c>
      <c r="M256" s="284"/>
      <c r="N256" s="285"/>
      <c r="O256" s="136">
        <f t="shared" si="41"/>
        <v>0</v>
      </c>
      <c r="P256" s="85"/>
      <c r="R256" s="53"/>
      <c r="S256" s="53"/>
    </row>
    <row r="257" spans="1:19" ht="24" hidden="1" x14ac:dyDescent="0.25">
      <c r="A257" s="76">
        <v>6323</v>
      </c>
      <c r="B257" s="127" t="s">
        <v>273</v>
      </c>
      <c r="C257" s="279">
        <f t="shared" si="27"/>
        <v>0</v>
      </c>
      <c r="D257" s="134">
        <v>0</v>
      </c>
      <c r="E257" s="285"/>
      <c r="F257" s="286">
        <f t="shared" si="38"/>
        <v>0</v>
      </c>
      <c r="G257" s="134"/>
      <c r="H257" s="135"/>
      <c r="I257" s="136">
        <f t="shared" si="39"/>
        <v>0</v>
      </c>
      <c r="J257" s="134">
        <v>0</v>
      </c>
      <c r="K257" s="135"/>
      <c r="L257" s="136">
        <f t="shared" si="40"/>
        <v>0</v>
      </c>
      <c r="M257" s="284"/>
      <c r="N257" s="285"/>
      <c r="O257" s="136">
        <f t="shared" si="41"/>
        <v>0</v>
      </c>
      <c r="P257" s="85"/>
      <c r="R257" s="53"/>
      <c r="S257" s="53"/>
    </row>
    <row r="258" spans="1:19" ht="24" hidden="1" x14ac:dyDescent="0.25">
      <c r="A258" s="66">
        <v>6324</v>
      </c>
      <c r="B258" s="116" t="s">
        <v>274</v>
      </c>
      <c r="C258" s="279">
        <f t="shared" si="27"/>
        <v>0</v>
      </c>
      <c r="D258" s="123">
        <v>0</v>
      </c>
      <c r="E258" s="262"/>
      <c r="F258" s="263">
        <f t="shared" si="38"/>
        <v>0</v>
      </c>
      <c r="G258" s="123"/>
      <c r="H258" s="124"/>
      <c r="I258" s="125">
        <f t="shared" si="39"/>
        <v>0</v>
      </c>
      <c r="J258" s="123">
        <v>0</v>
      </c>
      <c r="K258" s="124"/>
      <c r="L258" s="125">
        <f t="shared" si="40"/>
        <v>0</v>
      </c>
      <c r="M258" s="264"/>
      <c r="N258" s="262"/>
      <c r="O258" s="125">
        <f t="shared" si="41"/>
        <v>0</v>
      </c>
      <c r="P258" s="74"/>
      <c r="R258" s="53"/>
      <c r="S258" s="53"/>
    </row>
    <row r="259" spans="1:19" hidden="1" x14ac:dyDescent="0.25">
      <c r="A259" s="344">
        <v>6330</v>
      </c>
      <c r="B259" s="345" t="s">
        <v>275</v>
      </c>
      <c r="C259" s="279">
        <f t="shared" ref="C259:C286" si="51">F259+I259+L259+O259</f>
        <v>0</v>
      </c>
      <c r="D259" s="328">
        <v>0</v>
      </c>
      <c r="E259" s="329"/>
      <c r="F259" s="330">
        <f t="shared" si="38"/>
        <v>0</v>
      </c>
      <c r="G259" s="328"/>
      <c r="H259" s="331"/>
      <c r="I259" s="324">
        <f t="shared" si="39"/>
        <v>0</v>
      </c>
      <c r="J259" s="328">
        <v>0</v>
      </c>
      <c r="K259" s="331"/>
      <c r="L259" s="324">
        <f t="shared" si="40"/>
        <v>0</v>
      </c>
      <c r="M259" s="332"/>
      <c r="N259" s="329"/>
      <c r="O259" s="324">
        <f t="shared" si="41"/>
        <v>0</v>
      </c>
      <c r="P259" s="325"/>
      <c r="R259" s="53"/>
      <c r="S259" s="53"/>
    </row>
    <row r="260" spans="1:19" hidden="1" x14ac:dyDescent="0.25">
      <c r="A260" s="276">
        <v>6360</v>
      </c>
      <c r="B260" s="127" t="s">
        <v>276</v>
      </c>
      <c r="C260" s="279">
        <f t="shared" si="51"/>
        <v>0</v>
      </c>
      <c r="D260" s="134">
        <v>0</v>
      </c>
      <c r="E260" s="285"/>
      <c r="F260" s="286">
        <f t="shared" si="38"/>
        <v>0</v>
      </c>
      <c r="G260" s="134"/>
      <c r="H260" s="135"/>
      <c r="I260" s="136">
        <f t="shared" si="39"/>
        <v>0</v>
      </c>
      <c r="J260" s="134">
        <v>0</v>
      </c>
      <c r="K260" s="135"/>
      <c r="L260" s="136">
        <f t="shared" si="40"/>
        <v>0</v>
      </c>
      <c r="M260" s="284"/>
      <c r="N260" s="285"/>
      <c r="O260" s="136">
        <f t="shared" si="41"/>
        <v>0</v>
      </c>
      <c r="P260" s="85"/>
      <c r="R260" s="53"/>
      <c r="S260" s="53"/>
    </row>
    <row r="261" spans="1:19" ht="24" hidden="1" x14ac:dyDescent="0.25">
      <c r="A261" s="99">
        <v>6400</v>
      </c>
      <c r="B261" s="247" t="s">
        <v>277</v>
      </c>
      <c r="C261" s="249">
        <f t="shared" si="51"/>
        <v>0</v>
      </c>
      <c r="D261" s="112">
        <f>SUM(D262,D266)</f>
        <v>0</v>
      </c>
      <c r="E261" s="293">
        <f>SUM(E262,E266)</f>
        <v>0</v>
      </c>
      <c r="F261" s="313">
        <f t="shared" si="38"/>
        <v>0</v>
      </c>
      <c r="G261" s="112">
        <f>SUM(G262,G266)</f>
        <v>0</v>
      </c>
      <c r="H261" s="113">
        <f t="shared" ref="H261" si="52">SUM(H262,H266)</f>
        <v>0</v>
      </c>
      <c r="I261" s="114">
        <f t="shared" si="39"/>
        <v>0</v>
      </c>
      <c r="J261" s="112">
        <f>SUM(J262,J266)</f>
        <v>0</v>
      </c>
      <c r="K261" s="113">
        <f t="shared" ref="K261" si="53">SUM(K262,K266)</f>
        <v>0</v>
      </c>
      <c r="L261" s="114">
        <f t="shared" si="40"/>
        <v>0</v>
      </c>
      <c r="M261" s="303">
        <f t="shared" ref="M261:N261" si="54">SUM(M262,M266)</f>
        <v>0</v>
      </c>
      <c r="N261" s="304">
        <f t="shared" si="54"/>
        <v>0</v>
      </c>
      <c r="O261" s="305">
        <f t="shared" si="41"/>
        <v>0</v>
      </c>
      <c r="P261" s="306"/>
      <c r="R261" s="53"/>
      <c r="S261" s="53"/>
    </row>
    <row r="262" spans="1:19" ht="24" hidden="1" x14ac:dyDescent="0.25">
      <c r="A262" s="656">
        <v>6410</v>
      </c>
      <c r="B262" s="116" t="s">
        <v>278</v>
      </c>
      <c r="C262" s="296">
        <f t="shared" si="51"/>
        <v>0</v>
      </c>
      <c r="D262" s="297">
        <f>SUM(D263:D265)</f>
        <v>0</v>
      </c>
      <c r="E262" s="301">
        <f>SUM(E263:E265)</f>
        <v>0</v>
      </c>
      <c r="F262" s="263">
        <f t="shared" si="38"/>
        <v>0</v>
      </c>
      <c r="G262" s="297">
        <f>SUM(G263:G265)</f>
        <v>0</v>
      </c>
      <c r="H262" s="299">
        <f t="shared" ref="H262" si="55">SUM(H263:H265)</f>
        <v>0</v>
      </c>
      <c r="I262" s="125">
        <f t="shared" si="39"/>
        <v>0</v>
      </c>
      <c r="J262" s="297">
        <f>SUM(J263:J265)</f>
        <v>0</v>
      </c>
      <c r="K262" s="299">
        <f t="shared" ref="K262" si="56">SUM(K263:K265)</f>
        <v>0</v>
      </c>
      <c r="L262" s="125">
        <f t="shared" si="40"/>
        <v>0</v>
      </c>
      <c r="M262" s="317">
        <f t="shared" ref="M262:N262" si="57">SUM(M263:M265)</f>
        <v>0</v>
      </c>
      <c r="N262" s="318">
        <f t="shared" si="57"/>
        <v>0</v>
      </c>
      <c r="O262" s="151">
        <f t="shared" si="41"/>
        <v>0</v>
      </c>
      <c r="P262" s="153"/>
      <c r="R262" s="53"/>
      <c r="S262" s="53"/>
    </row>
    <row r="263" spans="1:19" hidden="1" x14ac:dyDescent="0.25">
      <c r="A263" s="76">
        <v>6411</v>
      </c>
      <c r="B263" s="346" t="s">
        <v>279</v>
      </c>
      <c r="C263" s="279">
        <f t="shared" si="51"/>
        <v>0</v>
      </c>
      <c r="D263" s="134">
        <v>0</v>
      </c>
      <c r="E263" s="285"/>
      <c r="F263" s="286">
        <f t="shared" si="38"/>
        <v>0</v>
      </c>
      <c r="G263" s="134"/>
      <c r="H263" s="135"/>
      <c r="I263" s="136">
        <f t="shared" si="39"/>
        <v>0</v>
      </c>
      <c r="J263" s="134">
        <v>0</v>
      </c>
      <c r="K263" s="135"/>
      <c r="L263" s="136">
        <f t="shared" si="40"/>
        <v>0</v>
      </c>
      <c r="M263" s="284"/>
      <c r="N263" s="285"/>
      <c r="O263" s="136">
        <f t="shared" si="41"/>
        <v>0</v>
      </c>
      <c r="P263" s="85"/>
      <c r="R263" s="53"/>
      <c r="S263" s="53"/>
    </row>
    <row r="264" spans="1:19" ht="24" hidden="1" x14ac:dyDescent="0.25">
      <c r="A264" s="76">
        <v>6412</v>
      </c>
      <c r="B264" s="127" t="s">
        <v>280</v>
      </c>
      <c r="C264" s="279">
        <f t="shared" si="51"/>
        <v>0</v>
      </c>
      <c r="D264" s="134">
        <v>0</v>
      </c>
      <c r="E264" s="285"/>
      <c r="F264" s="286">
        <f t="shared" si="38"/>
        <v>0</v>
      </c>
      <c r="G264" s="134"/>
      <c r="H264" s="135"/>
      <c r="I264" s="136">
        <f t="shared" si="39"/>
        <v>0</v>
      </c>
      <c r="J264" s="134">
        <v>0</v>
      </c>
      <c r="K264" s="135"/>
      <c r="L264" s="136">
        <f t="shared" si="40"/>
        <v>0</v>
      </c>
      <c r="M264" s="284"/>
      <c r="N264" s="285"/>
      <c r="O264" s="136">
        <f t="shared" si="41"/>
        <v>0</v>
      </c>
      <c r="P264" s="85"/>
      <c r="R264" s="53"/>
      <c r="S264" s="53"/>
    </row>
    <row r="265" spans="1:19" ht="24" hidden="1" x14ac:dyDescent="0.25">
      <c r="A265" s="76">
        <v>6419</v>
      </c>
      <c r="B265" s="127" t="s">
        <v>281</v>
      </c>
      <c r="C265" s="279">
        <f t="shared" si="51"/>
        <v>0</v>
      </c>
      <c r="D265" s="134">
        <v>0</v>
      </c>
      <c r="E265" s="285"/>
      <c r="F265" s="286">
        <f t="shared" si="38"/>
        <v>0</v>
      </c>
      <c r="G265" s="134"/>
      <c r="H265" s="135"/>
      <c r="I265" s="136">
        <f t="shared" si="39"/>
        <v>0</v>
      </c>
      <c r="J265" s="134">
        <v>0</v>
      </c>
      <c r="K265" s="135"/>
      <c r="L265" s="136">
        <f t="shared" si="40"/>
        <v>0</v>
      </c>
      <c r="M265" s="284"/>
      <c r="N265" s="285"/>
      <c r="O265" s="136">
        <f t="shared" si="41"/>
        <v>0</v>
      </c>
      <c r="P265" s="85"/>
      <c r="R265" s="53"/>
      <c r="S265" s="53"/>
    </row>
    <row r="266" spans="1:19" ht="24" hidden="1" x14ac:dyDescent="0.25">
      <c r="A266" s="276">
        <v>6420</v>
      </c>
      <c r="B266" s="127" t="s">
        <v>282</v>
      </c>
      <c r="C266" s="279">
        <f t="shared" si="51"/>
        <v>0</v>
      </c>
      <c r="D266" s="277">
        <f>SUM(D267:D270)</f>
        <v>0</v>
      </c>
      <c r="E266" s="282">
        <f>SUM(E267:E270)</f>
        <v>0</v>
      </c>
      <c r="F266" s="286">
        <f t="shared" si="38"/>
        <v>0</v>
      </c>
      <c r="G266" s="277">
        <f>SUM(G267:G270)</f>
        <v>0</v>
      </c>
      <c r="H266" s="280">
        <f>SUM(H267:H270)</f>
        <v>0</v>
      </c>
      <c r="I266" s="136">
        <f t="shared" si="39"/>
        <v>0</v>
      </c>
      <c r="J266" s="277">
        <f>SUM(J267:J270)</f>
        <v>0</v>
      </c>
      <c r="K266" s="280">
        <f>SUM(K267:K270)</f>
        <v>0</v>
      </c>
      <c r="L266" s="136">
        <f t="shared" si="40"/>
        <v>0</v>
      </c>
      <c r="M266" s="281">
        <f>SUM(M267:M270)</f>
        <v>0</v>
      </c>
      <c r="N266" s="282">
        <f>SUM(N267:N270)</f>
        <v>0</v>
      </c>
      <c r="O266" s="136">
        <f t="shared" si="41"/>
        <v>0</v>
      </c>
      <c r="P266" s="85"/>
      <c r="R266" s="53"/>
      <c r="S266" s="53"/>
    </row>
    <row r="267" spans="1:19" hidden="1" x14ac:dyDescent="0.25">
      <c r="A267" s="76">
        <v>6421</v>
      </c>
      <c r="B267" s="127" t="s">
        <v>283</v>
      </c>
      <c r="C267" s="279">
        <f t="shared" si="51"/>
        <v>0</v>
      </c>
      <c r="D267" s="134">
        <v>0</v>
      </c>
      <c r="E267" s="285"/>
      <c r="F267" s="286">
        <f t="shared" si="38"/>
        <v>0</v>
      </c>
      <c r="G267" s="134"/>
      <c r="H267" s="135"/>
      <c r="I267" s="136">
        <f t="shared" si="39"/>
        <v>0</v>
      </c>
      <c r="J267" s="134">
        <v>0</v>
      </c>
      <c r="K267" s="135"/>
      <c r="L267" s="136">
        <f t="shared" si="40"/>
        <v>0</v>
      </c>
      <c r="M267" s="284"/>
      <c r="N267" s="285"/>
      <c r="O267" s="136">
        <f t="shared" si="41"/>
        <v>0</v>
      </c>
      <c r="P267" s="85"/>
      <c r="R267" s="53"/>
      <c r="S267" s="53"/>
    </row>
    <row r="268" spans="1:19" hidden="1" x14ac:dyDescent="0.25">
      <c r="A268" s="76">
        <v>6422</v>
      </c>
      <c r="B268" s="127" t="s">
        <v>284</v>
      </c>
      <c r="C268" s="279">
        <f t="shared" si="51"/>
        <v>0</v>
      </c>
      <c r="D268" s="134">
        <v>0</v>
      </c>
      <c r="E268" s="285"/>
      <c r="F268" s="286">
        <f t="shared" si="38"/>
        <v>0</v>
      </c>
      <c r="G268" s="134"/>
      <c r="H268" s="135"/>
      <c r="I268" s="136">
        <f t="shared" si="39"/>
        <v>0</v>
      </c>
      <c r="J268" s="134">
        <v>0</v>
      </c>
      <c r="K268" s="135"/>
      <c r="L268" s="136">
        <f t="shared" si="40"/>
        <v>0</v>
      </c>
      <c r="M268" s="284"/>
      <c r="N268" s="285"/>
      <c r="O268" s="136">
        <f t="shared" si="41"/>
        <v>0</v>
      </c>
      <c r="P268" s="85"/>
      <c r="R268" s="53"/>
      <c r="S268" s="53"/>
    </row>
    <row r="269" spans="1:19" hidden="1" x14ac:dyDescent="0.25">
      <c r="A269" s="76">
        <v>6423</v>
      </c>
      <c r="B269" s="127" t="s">
        <v>285</v>
      </c>
      <c r="C269" s="279">
        <f t="shared" si="51"/>
        <v>0</v>
      </c>
      <c r="D269" s="134">
        <v>0</v>
      </c>
      <c r="E269" s="285"/>
      <c r="F269" s="286">
        <f t="shared" si="38"/>
        <v>0</v>
      </c>
      <c r="G269" s="134"/>
      <c r="H269" s="135"/>
      <c r="I269" s="136">
        <f t="shared" si="39"/>
        <v>0</v>
      </c>
      <c r="J269" s="134">
        <v>0</v>
      </c>
      <c r="K269" s="135"/>
      <c r="L269" s="136">
        <f t="shared" si="40"/>
        <v>0</v>
      </c>
      <c r="M269" s="284"/>
      <c r="N269" s="285"/>
      <c r="O269" s="136">
        <f t="shared" si="41"/>
        <v>0</v>
      </c>
      <c r="P269" s="85"/>
      <c r="R269" s="53"/>
      <c r="S269" s="53"/>
    </row>
    <row r="270" spans="1:19" ht="24" hidden="1" x14ac:dyDescent="0.25">
      <c r="A270" s="76">
        <v>6424</v>
      </c>
      <c r="B270" s="127" t="s">
        <v>286</v>
      </c>
      <c r="C270" s="279">
        <f t="shared" si="51"/>
        <v>0</v>
      </c>
      <c r="D270" s="134">
        <v>0</v>
      </c>
      <c r="E270" s="285"/>
      <c r="F270" s="286">
        <f t="shared" si="38"/>
        <v>0</v>
      </c>
      <c r="G270" s="134"/>
      <c r="H270" s="135"/>
      <c r="I270" s="136">
        <f t="shared" si="39"/>
        <v>0</v>
      </c>
      <c r="J270" s="134">
        <v>0</v>
      </c>
      <c r="K270" s="135"/>
      <c r="L270" s="136">
        <f t="shared" si="40"/>
        <v>0</v>
      </c>
      <c r="M270" s="284"/>
      <c r="N270" s="285"/>
      <c r="O270" s="136">
        <f t="shared" si="41"/>
        <v>0</v>
      </c>
      <c r="P270" s="85"/>
      <c r="R270" s="53"/>
      <c r="S270" s="53"/>
    </row>
    <row r="271" spans="1:19" ht="24" hidden="1" x14ac:dyDescent="0.25">
      <c r="A271" s="347">
        <v>7000</v>
      </c>
      <c r="B271" s="347" t="s">
        <v>287</v>
      </c>
      <c r="C271" s="351">
        <f t="shared" si="51"/>
        <v>0</v>
      </c>
      <c r="D271" s="349">
        <f>SUM(D272,D282)</f>
        <v>0</v>
      </c>
      <c r="E271" s="407">
        <f>SUM(E272,E282)</f>
        <v>0</v>
      </c>
      <c r="F271" s="408">
        <f t="shared" si="38"/>
        <v>0</v>
      </c>
      <c r="G271" s="349">
        <f>SUM(G272,G282)</f>
        <v>0</v>
      </c>
      <c r="H271" s="352">
        <f>SUM(H272,H282)</f>
        <v>0</v>
      </c>
      <c r="I271" s="353">
        <f t="shared" si="39"/>
        <v>0</v>
      </c>
      <c r="J271" s="349">
        <f>SUM(J272,J282)</f>
        <v>0</v>
      </c>
      <c r="K271" s="352">
        <f>SUM(K272,K282)</f>
        <v>0</v>
      </c>
      <c r="L271" s="353">
        <f t="shared" si="40"/>
        <v>0</v>
      </c>
      <c r="M271" s="354">
        <f>SUM(M272,M282)</f>
        <v>0</v>
      </c>
      <c r="N271" s="355">
        <f>SUM(N272,N282)</f>
        <v>0</v>
      </c>
      <c r="O271" s="356">
        <f t="shared" si="41"/>
        <v>0</v>
      </c>
      <c r="P271" s="357"/>
      <c r="R271" s="53"/>
      <c r="S271" s="53"/>
    </row>
    <row r="272" spans="1:19" hidden="1" x14ac:dyDescent="0.25">
      <c r="A272" s="99">
        <v>7200</v>
      </c>
      <c r="B272" s="247" t="s">
        <v>288</v>
      </c>
      <c r="C272" s="249">
        <f t="shared" si="51"/>
        <v>0</v>
      </c>
      <c r="D272" s="112">
        <f>SUM(D273,D274,D277,D278,D281)</f>
        <v>0</v>
      </c>
      <c r="E272" s="293">
        <f>SUM(E273,E274,E277,E278,E281)</f>
        <v>0</v>
      </c>
      <c r="F272" s="313">
        <f t="shared" si="38"/>
        <v>0</v>
      </c>
      <c r="G272" s="112">
        <f>SUM(G273,G274,G277,G278,G281)</f>
        <v>0</v>
      </c>
      <c r="H272" s="113">
        <f>SUM(H273,H274,H277,H278,H281)</f>
        <v>0</v>
      </c>
      <c r="I272" s="114">
        <f t="shared" si="39"/>
        <v>0</v>
      </c>
      <c r="J272" s="112">
        <f>SUM(J273,J274,J277,J278,J281)</f>
        <v>0</v>
      </c>
      <c r="K272" s="113">
        <f>SUM(K273,K274,K277,K278,K281)</f>
        <v>0</v>
      </c>
      <c r="L272" s="114">
        <f t="shared" si="40"/>
        <v>0</v>
      </c>
      <c r="M272" s="250">
        <f>SUM(M273,M274,M277,M278,M281)</f>
        <v>0</v>
      </c>
      <c r="N272" s="251">
        <f>SUM(N273,N274,N277,N278,N281)</f>
        <v>0</v>
      </c>
      <c r="O272" s="252">
        <f t="shared" si="41"/>
        <v>0</v>
      </c>
      <c r="P272" s="253"/>
      <c r="R272" s="53"/>
      <c r="S272" s="53"/>
    </row>
    <row r="273" spans="1:19" ht="24" hidden="1" x14ac:dyDescent="0.25">
      <c r="A273" s="656">
        <v>7210</v>
      </c>
      <c r="B273" s="116" t="s">
        <v>289</v>
      </c>
      <c r="C273" s="296">
        <f t="shared" si="51"/>
        <v>0</v>
      </c>
      <c r="D273" s="123">
        <v>0</v>
      </c>
      <c r="E273" s="262"/>
      <c r="F273" s="263">
        <f t="shared" si="38"/>
        <v>0</v>
      </c>
      <c r="G273" s="123"/>
      <c r="H273" s="124"/>
      <c r="I273" s="125">
        <f t="shared" si="39"/>
        <v>0</v>
      </c>
      <c r="J273" s="123">
        <v>0</v>
      </c>
      <c r="K273" s="124"/>
      <c r="L273" s="125">
        <f t="shared" si="40"/>
        <v>0</v>
      </c>
      <c r="M273" s="264"/>
      <c r="N273" s="262"/>
      <c r="O273" s="125">
        <f t="shared" si="41"/>
        <v>0</v>
      </c>
      <c r="P273" s="74"/>
      <c r="R273" s="53"/>
      <c r="S273" s="53"/>
    </row>
    <row r="274" spans="1:19" s="358" customFormat="1" ht="24" hidden="1" x14ac:dyDescent="0.25">
      <c r="A274" s="276">
        <v>7220</v>
      </c>
      <c r="B274" s="127" t="s">
        <v>290</v>
      </c>
      <c r="C274" s="279">
        <f t="shared" si="51"/>
        <v>0</v>
      </c>
      <c r="D274" s="277">
        <f>SUM(D275:D276)</f>
        <v>0</v>
      </c>
      <c r="E274" s="282">
        <f>SUM(E275:E276)</f>
        <v>0</v>
      </c>
      <c r="F274" s="286">
        <f t="shared" si="38"/>
        <v>0</v>
      </c>
      <c r="G274" s="277">
        <f>SUM(G275:G276)</f>
        <v>0</v>
      </c>
      <c r="H274" s="280">
        <f>SUM(H275:H276)</f>
        <v>0</v>
      </c>
      <c r="I274" s="136">
        <f t="shared" si="39"/>
        <v>0</v>
      </c>
      <c r="J274" s="277">
        <f>SUM(J275:J276)</f>
        <v>0</v>
      </c>
      <c r="K274" s="280">
        <f>SUM(K275:K276)</f>
        <v>0</v>
      </c>
      <c r="L274" s="136">
        <f t="shared" si="40"/>
        <v>0</v>
      </c>
      <c r="M274" s="281">
        <f>SUM(M275:M276)</f>
        <v>0</v>
      </c>
      <c r="N274" s="282">
        <f>SUM(N275:N276)</f>
        <v>0</v>
      </c>
      <c r="O274" s="136">
        <f t="shared" si="41"/>
        <v>0</v>
      </c>
      <c r="P274" s="85"/>
      <c r="R274" s="53"/>
      <c r="S274" s="53"/>
    </row>
    <row r="275" spans="1:19" s="358" customFormat="1" ht="24" hidden="1" x14ac:dyDescent="0.25">
      <c r="A275" s="76">
        <v>7221</v>
      </c>
      <c r="B275" s="127" t="s">
        <v>291</v>
      </c>
      <c r="C275" s="279">
        <f t="shared" si="51"/>
        <v>0</v>
      </c>
      <c r="D275" s="134">
        <v>0</v>
      </c>
      <c r="E275" s="285"/>
      <c r="F275" s="286">
        <f t="shared" si="38"/>
        <v>0</v>
      </c>
      <c r="G275" s="134"/>
      <c r="H275" s="135"/>
      <c r="I275" s="136">
        <f t="shared" si="39"/>
        <v>0</v>
      </c>
      <c r="J275" s="134">
        <v>0</v>
      </c>
      <c r="K275" s="135"/>
      <c r="L275" s="136">
        <f t="shared" si="40"/>
        <v>0</v>
      </c>
      <c r="M275" s="284"/>
      <c r="N275" s="285"/>
      <c r="O275" s="136">
        <f t="shared" si="41"/>
        <v>0</v>
      </c>
      <c r="P275" s="85"/>
      <c r="R275" s="53"/>
      <c r="S275" s="53"/>
    </row>
    <row r="276" spans="1:19" s="358" customFormat="1" ht="24" hidden="1" x14ac:dyDescent="0.25">
      <c r="A276" s="76">
        <v>7222</v>
      </c>
      <c r="B276" s="127" t="s">
        <v>292</v>
      </c>
      <c r="C276" s="279">
        <f t="shared" si="51"/>
        <v>0</v>
      </c>
      <c r="D276" s="134">
        <v>0</v>
      </c>
      <c r="E276" s="285"/>
      <c r="F276" s="286">
        <f t="shared" si="38"/>
        <v>0</v>
      </c>
      <c r="G276" s="134"/>
      <c r="H276" s="135"/>
      <c r="I276" s="136">
        <f t="shared" si="39"/>
        <v>0</v>
      </c>
      <c r="J276" s="134">
        <v>0</v>
      </c>
      <c r="K276" s="135"/>
      <c r="L276" s="136">
        <f t="shared" si="40"/>
        <v>0</v>
      </c>
      <c r="M276" s="284"/>
      <c r="N276" s="285"/>
      <c r="O276" s="136">
        <f t="shared" si="41"/>
        <v>0</v>
      </c>
      <c r="P276" s="85"/>
      <c r="R276" s="53"/>
      <c r="S276" s="53"/>
    </row>
    <row r="277" spans="1:19" s="358" customFormat="1" ht="24" hidden="1" x14ac:dyDescent="0.25">
      <c r="A277" s="276">
        <v>7230</v>
      </c>
      <c r="B277" s="127" t="s">
        <v>293</v>
      </c>
      <c r="C277" s="279">
        <f t="shared" si="51"/>
        <v>0</v>
      </c>
      <c r="D277" s="134">
        <v>0</v>
      </c>
      <c r="E277" s="285"/>
      <c r="F277" s="286">
        <f t="shared" si="38"/>
        <v>0</v>
      </c>
      <c r="G277" s="134"/>
      <c r="H277" s="135"/>
      <c r="I277" s="136">
        <f t="shared" si="39"/>
        <v>0</v>
      </c>
      <c r="J277" s="134">
        <v>0</v>
      </c>
      <c r="K277" s="135"/>
      <c r="L277" s="136">
        <f t="shared" si="40"/>
        <v>0</v>
      </c>
      <c r="M277" s="284"/>
      <c r="N277" s="285"/>
      <c r="O277" s="136">
        <f>M277+N277</f>
        <v>0</v>
      </c>
      <c r="P277" s="85"/>
      <c r="R277" s="53"/>
      <c r="S277" s="53"/>
    </row>
    <row r="278" spans="1:19" ht="24" hidden="1" x14ac:dyDescent="0.25">
      <c r="A278" s="276">
        <v>7240</v>
      </c>
      <c r="B278" s="127" t="s">
        <v>294</v>
      </c>
      <c r="C278" s="279">
        <f t="shared" si="51"/>
        <v>0</v>
      </c>
      <c r="D278" s="277">
        <f>SUM(D279:D280)</f>
        <v>0</v>
      </c>
      <c r="E278" s="282">
        <f>SUM(E279:E280)</f>
        <v>0</v>
      </c>
      <c r="F278" s="286">
        <f t="shared" si="38"/>
        <v>0</v>
      </c>
      <c r="G278" s="277">
        <f>SUM(G279:G280)</f>
        <v>0</v>
      </c>
      <c r="H278" s="280">
        <f>SUM(H279:H280)</f>
        <v>0</v>
      </c>
      <c r="I278" s="136">
        <f t="shared" si="39"/>
        <v>0</v>
      </c>
      <c r="J278" s="277">
        <f>SUM(J279:J280)</f>
        <v>0</v>
      </c>
      <c r="K278" s="280">
        <f>SUM(K279:K280)</f>
        <v>0</v>
      </c>
      <c r="L278" s="136">
        <f t="shared" si="40"/>
        <v>0</v>
      </c>
      <c r="M278" s="281">
        <f>SUM(M279:M280)</f>
        <v>0</v>
      </c>
      <c r="N278" s="282">
        <f>SUM(N279:N280)</f>
        <v>0</v>
      </c>
      <c r="O278" s="136">
        <f>SUM(O279:O280)</f>
        <v>0</v>
      </c>
      <c r="P278" s="85"/>
      <c r="R278" s="53"/>
      <c r="S278" s="53"/>
    </row>
    <row r="279" spans="1:19" ht="36" hidden="1" x14ac:dyDescent="0.25">
      <c r="A279" s="76">
        <v>7245</v>
      </c>
      <c r="B279" s="127" t="s">
        <v>295</v>
      </c>
      <c r="C279" s="279">
        <f t="shared" si="51"/>
        <v>0</v>
      </c>
      <c r="D279" s="134">
        <v>0</v>
      </c>
      <c r="E279" s="285"/>
      <c r="F279" s="286">
        <f t="shared" si="38"/>
        <v>0</v>
      </c>
      <c r="G279" s="134"/>
      <c r="H279" s="135"/>
      <c r="I279" s="136">
        <f t="shared" si="39"/>
        <v>0</v>
      </c>
      <c r="J279" s="134">
        <v>0</v>
      </c>
      <c r="K279" s="135"/>
      <c r="L279" s="136">
        <f t="shared" si="40"/>
        <v>0</v>
      </c>
      <c r="M279" s="284"/>
      <c r="N279" s="285"/>
      <c r="O279" s="136">
        <f t="shared" ref="O279:O282" si="58">M279+N279</f>
        <v>0</v>
      </c>
      <c r="P279" s="85"/>
      <c r="R279" s="53"/>
      <c r="S279" s="53"/>
    </row>
    <row r="280" spans="1:19" ht="72" hidden="1" x14ac:dyDescent="0.25">
      <c r="A280" s="76">
        <v>7246</v>
      </c>
      <c r="B280" s="127" t="s">
        <v>296</v>
      </c>
      <c r="C280" s="279">
        <f t="shared" si="51"/>
        <v>0</v>
      </c>
      <c r="D280" s="134">
        <v>0</v>
      </c>
      <c r="E280" s="285"/>
      <c r="F280" s="286">
        <f t="shared" si="38"/>
        <v>0</v>
      </c>
      <c r="G280" s="134"/>
      <c r="H280" s="135"/>
      <c r="I280" s="136">
        <f t="shared" si="39"/>
        <v>0</v>
      </c>
      <c r="J280" s="134">
        <v>0</v>
      </c>
      <c r="K280" s="135"/>
      <c r="L280" s="136">
        <f t="shared" si="40"/>
        <v>0</v>
      </c>
      <c r="M280" s="284"/>
      <c r="N280" s="285"/>
      <c r="O280" s="136">
        <f t="shared" si="58"/>
        <v>0</v>
      </c>
      <c r="P280" s="85"/>
      <c r="R280" s="53"/>
      <c r="S280" s="53"/>
    </row>
    <row r="281" spans="1:19" ht="24" hidden="1" x14ac:dyDescent="0.25">
      <c r="A281" s="276">
        <v>7260</v>
      </c>
      <c r="B281" s="127" t="s">
        <v>297</v>
      </c>
      <c r="C281" s="279">
        <f t="shared" si="51"/>
        <v>0</v>
      </c>
      <c r="D281" s="123">
        <v>0</v>
      </c>
      <c r="E281" s="262"/>
      <c r="F281" s="263">
        <f t="shared" si="38"/>
        <v>0</v>
      </c>
      <c r="G281" s="123"/>
      <c r="H281" s="124"/>
      <c r="I281" s="125">
        <f t="shared" si="39"/>
        <v>0</v>
      </c>
      <c r="J281" s="123">
        <v>0</v>
      </c>
      <c r="K281" s="124"/>
      <c r="L281" s="125">
        <f t="shared" si="40"/>
        <v>0</v>
      </c>
      <c r="M281" s="264"/>
      <c r="N281" s="262"/>
      <c r="O281" s="125">
        <f t="shared" si="58"/>
        <v>0</v>
      </c>
      <c r="P281" s="74"/>
      <c r="R281" s="53"/>
      <c r="S281" s="53"/>
    </row>
    <row r="282" spans="1:19" hidden="1" x14ac:dyDescent="0.25">
      <c r="A282" s="99">
        <v>7700</v>
      </c>
      <c r="B282" s="247" t="s">
        <v>298</v>
      </c>
      <c r="C282" s="302">
        <f t="shared" si="51"/>
        <v>0</v>
      </c>
      <c r="D282" s="360">
        <f>D283</f>
        <v>0</v>
      </c>
      <c r="E282" s="304">
        <f>SUM(E283)</f>
        <v>0</v>
      </c>
      <c r="F282" s="316">
        <f t="shared" si="38"/>
        <v>0</v>
      </c>
      <c r="G282" s="360">
        <f>G283</f>
        <v>0</v>
      </c>
      <c r="H282" s="361">
        <f>SUM(H283)</f>
        <v>0</v>
      </c>
      <c r="I282" s="305">
        <f t="shared" si="39"/>
        <v>0</v>
      </c>
      <c r="J282" s="360">
        <f>J283</f>
        <v>0</v>
      </c>
      <c r="K282" s="361">
        <f>SUM(K283)</f>
        <v>0</v>
      </c>
      <c r="L282" s="305">
        <f t="shared" si="40"/>
        <v>0</v>
      </c>
      <c r="M282" s="303">
        <f>SUM(M283)</f>
        <v>0</v>
      </c>
      <c r="N282" s="304">
        <f>SUM(N283)</f>
        <v>0</v>
      </c>
      <c r="O282" s="305">
        <f t="shared" si="58"/>
        <v>0</v>
      </c>
      <c r="P282" s="306"/>
      <c r="R282" s="53"/>
      <c r="S282" s="53"/>
    </row>
    <row r="283" spans="1:19" hidden="1" x14ac:dyDescent="0.25">
      <c r="A283" s="141">
        <v>7720</v>
      </c>
      <c r="B283" s="142" t="s">
        <v>299</v>
      </c>
      <c r="C283" s="362">
        <f t="shared" si="51"/>
        <v>0</v>
      </c>
      <c r="D283" s="149">
        <v>0</v>
      </c>
      <c r="E283" s="363"/>
      <c r="F283" s="364">
        <f t="shared" si="38"/>
        <v>0</v>
      </c>
      <c r="G283" s="149"/>
      <c r="H283" s="150"/>
      <c r="I283" s="151">
        <f t="shared" si="39"/>
        <v>0</v>
      </c>
      <c r="J283" s="149">
        <v>0</v>
      </c>
      <c r="K283" s="150"/>
      <c r="L283" s="151">
        <f t="shared" si="40"/>
        <v>0</v>
      </c>
      <c r="M283" s="365"/>
      <c r="N283" s="363"/>
      <c r="O283" s="151">
        <f>M283+N283</f>
        <v>0</v>
      </c>
      <c r="P283" s="153"/>
      <c r="R283" s="53"/>
      <c r="S283" s="53"/>
    </row>
    <row r="284" spans="1:19" hidden="1" x14ac:dyDescent="0.25">
      <c r="A284" s="366"/>
      <c r="B284" s="179" t="s">
        <v>300</v>
      </c>
      <c r="C284" s="296">
        <f t="shared" si="51"/>
        <v>0</v>
      </c>
      <c r="D284" s="255">
        <f>SUM(D285:D286)</f>
        <v>0</v>
      </c>
      <c r="E284" s="261">
        <f>SUM(E285:E286)</f>
        <v>0</v>
      </c>
      <c r="F284" s="310">
        <f t="shared" si="38"/>
        <v>0</v>
      </c>
      <c r="G284" s="255">
        <f>SUM(G285:G286)</f>
        <v>0</v>
      </c>
      <c r="H284" s="258">
        <f>SUM(H285:H286)</f>
        <v>0</v>
      </c>
      <c r="I284" s="259">
        <f t="shared" si="39"/>
        <v>0</v>
      </c>
      <c r="J284" s="255">
        <f>SUM(J285:J286)</f>
        <v>0</v>
      </c>
      <c r="K284" s="258">
        <f>SUM(K285:K286)</f>
        <v>0</v>
      </c>
      <c r="L284" s="259">
        <f t="shared" si="40"/>
        <v>0</v>
      </c>
      <c r="M284" s="260">
        <f>SUM(M285:M286)</f>
        <v>0</v>
      </c>
      <c r="N284" s="261">
        <f>SUM(N285:N286)</f>
        <v>0</v>
      </c>
      <c r="O284" s="259">
        <f t="shared" ref="O284:O299" si="59">M284+N284</f>
        <v>0</v>
      </c>
      <c r="P284" s="189"/>
      <c r="R284" s="53"/>
      <c r="S284" s="53"/>
    </row>
    <row r="285" spans="1:19" hidden="1" x14ac:dyDescent="0.25">
      <c r="A285" s="346" t="s">
        <v>301</v>
      </c>
      <c r="B285" s="76" t="s">
        <v>302</v>
      </c>
      <c r="C285" s="279">
        <f t="shared" si="51"/>
        <v>0</v>
      </c>
      <c r="D285" s="134"/>
      <c r="E285" s="285"/>
      <c r="F285" s="286">
        <f t="shared" si="38"/>
        <v>0</v>
      </c>
      <c r="G285" s="134"/>
      <c r="H285" s="135"/>
      <c r="I285" s="136">
        <f t="shared" si="39"/>
        <v>0</v>
      </c>
      <c r="J285" s="134"/>
      <c r="K285" s="135"/>
      <c r="L285" s="136">
        <f t="shared" si="40"/>
        <v>0</v>
      </c>
      <c r="M285" s="284"/>
      <c r="N285" s="285"/>
      <c r="O285" s="136">
        <f t="shared" si="59"/>
        <v>0</v>
      </c>
      <c r="P285" s="85"/>
      <c r="R285" s="53"/>
      <c r="S285" s="53"/>
    </row>
    <row r="286" spans="1:19" hidden="1" x14ac:dyDescent="0.25">
      <c r="A286" s="346" t="s">
        <v>303</v>
      </c>
      <c r="B286" s="367" t="s">
        <v>304</v>
      </c>
      <c r="C286" s="296">
        <f t="shared" si="51"/>
        <v>0</v>
      </c>
      <c r="D286" s="123"/>
      <c r="E286" s="262"/>
      <c r="F286" s="263">
        <f t="shared" si="38"/>
        <v>0</v>
      </c>
      <c r="G286" s="123"/>
      <c r="H286" s="124"/>
      <c r="I286" s="125">
        <f t="shared" si="39"/>
        <v>0</v>
      </c>
      <c r="J286" s="123"/>
      <c r="K286" s="124"/>
      <c r="L286" s="125">
        <f t="shared" si="40"/>
        <v>0</v>
      </c>
      <c r="M286" s="264"/>
      <c r="N286" s="262"/>
      <c r="O286" s="125">
        <f t="shared" si="59"/>
        <v>0</v>
      </c>
      <c r="P286" s="74"/>
      <c r="R286" s="53"/>
      <c r="S286" s="53"/>
    </row>
    <row r="287" spans="1:19" x14ac:dyDescent="0.25">
      <c r="A287" s="368"/>
      <c r="B287" s="369" t="s">
        <v>305</v>
      </c>
      <c r="C287" s="373">
        <f>SUM(C284,C271,C233,C198,C190,C176,C78,C56)</f>
        <v>626814</v>
      </c>
      <c r="D287" s="371">
        <f t="shared" ref="D287" si="60">SUM(D284,D271,D233,D198,D190,D176,D78,D56)</f>
        <v>580041</v>
      </c>
      <c r="E287" s="692">
        <f>SUM(E284,E271,E233,E198,E190,E176,E78,E56)</f>
        <v>3090</v>
      </c>
      <c r="F287" s="681">
        <f t="shared" si="38"/>
        <v>583131</v>
      </c>
      <c r="G287" s="371">
        <f>SUM(G284,G271,G233,G198,G190,G176,G78,G56)</f>
        <v>0</v>
      </c>
      <c r="H287" s="374">
        <f>SUM(H284,H271,H233,H198,H190,H176,H78,H56)</f>
        <v>0</v>
      </c>
      <c r="I287" s="375">
        <f t="shared" si="39"/>
        <v>0</v>
      </c>
      <c r="J287" s="371">
        <f t="shared" ref="J287" si="61">SUM(J284,J271,J233,J198,J190,J176,J78,J56)</f>
        <v>43683</v>
      </c>
      <c r="K287" s="374">
        <f>SUM(K284,K271,K233,K198,K190,K176,K78,K56)</f>
        <v>0</v>
      </c>
      <c r="L287" s="375">
        <f t="shared" si="40"/>
        <v>43683</v>
      </c>
      <c r="M287" s="250">
        <f>SUM(M284,M271,M233,M198,M190,M176,M78,M56)</f>
        <v>0</v>
      </c>
      <c r="N287" s="251">
        <f>SUM(N284,N271,N233,N198,N190,N176,N78,N56)</f>
        <v>0</v>
      </c>
      <c r="O287" s="252">
        <f t="shared" si="59"/>
        <v>0</v>
      </c>
      <c r="P287" s="253"/>
      <c r="R287" s="53"/>
      <c r="S287" s="53"/>
    </row>
    <row r="288" spans="1:19" hidden="1" x14ac:dyDescent="0.25">
      <c r="A288" s="376" t="s">
        <v>306</v>
      </c>
      <c r="B288" s="377"/>
      <c r="C288" s="381">
        <f t="shared" ref="C288" si="62">F288+I288+L288+O288</f>
        <v>0</v>
      </c>
      <c r="D288" s="379">
        <f>SUM(D28,D29,D45)-D54</f>
        <v>0</v>
      </c>
      <c r="E288" s="384">
        <f>SUM(E28,E29,E45)-E54</f>
        <v>0</v>
      </c>
      <c r="F288" s="388">
        <f t="shared" si="38"/>
        <v>0</v>
      </c>
      <c r="G288" s="379">
        <f>SUM(G28,G29,G45)-G54</f>
        <v>0</v>
      </c>
      <c r="H288" s="382">
        <f>SUM(H28,H29,H45)-H54</f>
        <v>0</v>
      </c>
      <c r="I288" s="383">
        <f t="shared" si="39"/>
        <v>0</v>
      </c>
      <c r="J288" s="379">
        <f>(J30+J46)-J54</f>
        <v>0</v>
      </c>
      <c r="K288" s="382">
        <f>(K30+K46)-K54</f>
        <v>0</v>
      </c>
      <c r="L288" s="383">
        <f t="shared" si="40"/>
        <v>0</v>
      </c>
      <c r="M288" s="378">
        <f>M48-M54</f>
        <v>0</v>
      </c>
      <c r="N288" s="384">
        <f>N48-N54</f>
        <v>0</v>
      </c>
      <c r="O288" s="383">
        <f t="shared" si="59"/>
        <v>0</v>
      </c>
      <c r="P288" s="385"/>
      <c r="R288" s="53"/>
      <c r="S288" s="53"/>
    </row>
    <row r="289" spans="1:19" s="41" customFormat="1" hidden="1" x14ac:dyDescent="0.25">
      <c r="A289" s="376" t="s">
        <v>307</v>
      </c>
      <c r="B289" s="377"/>
      <c r="C289" s="381">
        <f>SUM(C290,C291)-C298+C299</f>
        <v>0</v>
      </c>
      <c r="D289" s="379">
        <f t="shared" ref="D289" si="63">SUM(D290,D291)-D298+D299</f>
        <v>0</v>
      </c>
      <c r="E289" s="384">
        <f>SUM(E290,E291)-E298+E299</f>
        <v>0</v>
      </c>
      <c r="F289" s="388">
        <f t="shared" si="38"/>
        <v>0</v>
      </c>
      <c r="G289" s="379">
        <f>SUM(G290,G291)-G298+G299</f>
        <v>0</v>
      </c>
      <c r="H289" s="382">
        <f>SUM(H290,H291)-H298+H299</f>
        <v>0</v>
      </c>
      <c r="I289" s="383">
        <f t="shared" si="39"/>
        <v>0</v>
      </c>
      <c r="J289" s="379">
        <f t="shared" ref="J289" si="64">SUM(J290,J291)-J298+J299</f>
        <v>0</v>
      </c>
      <c r="K289" s="382">
        <f>SUM(K290,K291)-K298+K299</f>
        <v>0</v>
      </c>
      <c r="L289" s="383">
        <f t="shared" si="40"/>
        <v>0</v>
      </c>
      <c r="M289" s="378">
        <f>SUM(M290,M291)-M298+M299</f>
        <v>0</v>
      </c>
      <c r="N289" s="384">
        <f>SUM(N290,N291)-N298+N299</f>
        <v>0</v>
      </c>
      <c r="O289" s="383">
        <f t="shared" si="59"/>
        <v>0</v>
      </c>
      <c r="P289" s="385"/>
      <c r="R289" s="53"/>
      <c r="S289" s="53"/>
    </row>
    <row r="290" spans="1:19" s="41" customFormat="1" hidden="1" x14ac:dyDescent="0.25">
      <c r="A290" s="386" t="s">
        <v>308</v>
      </c>
      <c r="B290" s="386" t="s">
        <v>309</v>
      </c>
      <c r="C290" s="381">
        <f>C25-C284</f>
        <v>0</v>
      </c>
      <c r="D290" s="379">
        <f t="shared" ref="D290" si="65">D25-D284</f>
        <v>0</v>
      </c>
      <c r="E290" s="384">
        <f>E25-E284</f>
        <v>0</v>
      </c>
      <c r="F290" s="388">
        <f t="shared" si="38"/>
        <v>0</v>
      </c>
      <c r="G290" s="379">
        <f>G25-G284</f>
        <v>0</v>
      </c>
      <c r="H290" s="382">
        <f>H25-H284</f>
        <v>0</v>
      </c>
      <c r="I290" s="383">
        <f t="shared" si="39"/>
        <v>0</v>
      </c>
      <c r="J290" s="379">
        <f t="shared" ref="J290" si="66">J25-J284</f>
        <v>0</v>
      </c>
      <c r="K290" s="382">
        <f>K25-K284</f>
        <v>0</v>
      </c>
      <c r="L290" s="383">
        <f t="shared" si="40"/>
        <v>0</v>
      </c>
      <c r="M290" s="378">
        <f>M25-M284</f>
        <v>0</v>
      </c>
      <c r="N290" s="384">
        <f>N25-N284</f>
        <v>0</v>
      </c>
      <c r="O290" s="383">
        <f t="shared" si="59"/>
        <v>0</v>
      </c>
      <c r="P290" s="385"/>
      <c r="R290" s="53"/>
      <c r="S290" s="53"/>
    </row>
    <row r="291" spans="1:19" s="41" customFormat="1" hidden="1" x14ac:dyDescent="0.25">
      <c r="A291" s="387" t="s">
        <v>310</v>
      </c>
      <c r="B291" s="387" t="s">
        <v>311</v>
      </c>
      <c r="C291" s="381">
        <f>SUM(C292,C294,C296)-SUM(C293,C295,C297)</f>
        <v>0</v>
      </c>
      <c r="D291" s="379">
        <f t="shared" ref="D291:E291" si="67">SUM(D292,D294,D296)-SUM(D293,D295,D297)</f>
        <v>0</v>
      </c>
      <c r="E291" s="384">
        <f t="shared" si="67"/>
        <v>0</v>
      </c>
      <c r="F291" s="388">
        <f t="shared" si="38"/>
        <v>0</v>
      </c>
      <c r="G291" s="379">
        <f t="shared" ref="G291:H291" si="68">SUM(G292,G294,G296)-SUM(G293,G295,G297)</f>
        <v>0</v>
      </c>
      <c r="H291" s="382">
        <f t="shared" si="68"/>
        <v>0</v>
      </c>
      <c r="I291" s="383">
        <f t="shared" si="39"/>
        <v>0</v>
      </c>
      <c r="J291" s="379">
        <f t="shared" ref="J291:K291" si="69">SUM(J292,J294,J296)-SUM(J293,J295,J297)</f>
        <v>0</v>
      </c>
      <c r="K291" s="382">
        <f t="shared" si="69"/>
        <v>0</v>
      </c>
      <c r="L291" s="383">
        <f t="shared" si="40"/>
        <v>0</v>
      </c>
      <c r="M291" s="378">
        <f t="shared" ref="M291:N291" si="70">SUM(M292,M294,M296)-SUM(M293,M295,M297)</f>
        <v>0</v>
      </c>
      <c r="N291" s="384">
        <f t="shared" si="70"/>
        <v>0</v>
      </c>
      <c r="O291" s="383">
        <f t="shared" si="59"/>
        <v>0</v>
      </c>
      <c r="P291" s="385"/>
      <c r="R291" s="53"/>
      <c r="S291" s="53"/>
    </row>
    <row r="292" spans="1:19" s="41" customFormat="1" hidden="1" x14ac:dyDescent="0.25">
      <c r="A292" s="366" t="s">
        <v>312</v>
      </c>
      <c r="B292" s="190" t="s">
        <v>313</v>
      </c>
      <c r="C292" s="362">
        <f t="shared" ref="C292:C299" si="71">F292+I292+L292+O292</f>
        <v>0</v>
      </c>
      <c r="D292" s="149"/>
      <c r="E292" s="363"/>
      <c r="F292" s="364">
        <f t="shared" si="38"/>
        <v>0</v>
      </c>
      <c r="G292" s="149"/>
      <c r="H292" s="150"/>
      <c r="I292" s="151">
        <f t="shared" si="39"/>
        <v>0</v>
      </c>
      <c r="J292" s="149"/>
      <c r="K292" s="150"/>
      <c r="L292" s="151">
        <f t="shared" si="40"/>
        <v>0</v>
      </c>
      <c r="M292" s="365"/>
      <c r="N292" s="363"/>
      <c r="O292" s="151">
        <f t="shared" si="59"/>
        <v>0</v>
      </c>
      <c r="P292" s="153"/>
      <c r="R292" s="53"/>
      <c r="S292" s="53"/>
    </row>
    <row r="293" spans="1:19" hidden="1" x14ac:dyDescent="0.25">
      <c r="A293" s="346" t="s">
        <v>314</v>
      </c>
      <c r="B293" s="75" t="s">
        <v>315</v>
      </c>
      <c r="C293" s="279">
        <f t="shared" si="71"/>
        <v>0</v>
      </c>
      <c r="D293" s="134"/>
      <c r="E293" s="285"/>
      <c r="F293" s="286">
        <f t="shared" si="38"/>
        <v>0</v>
      </c>
      <c r="G293" s="134"/>
      <c r="H293" s="135"/>
      <c r="I293" s="136">
        <f t="shared" si="39"/>
        <v>0</v>
      </c>
      <c r="J293" s="134"/>
      <c r="K293" s="135"/>
      <c r="L293" s="136">
        <f t="shared" si="40"/>
        <v>0</v>
      </c>
      <c r="M293" s="284"/>
      <c r="N293" s="285"/>
      <c r="O293" s="136">
        <f t="shared" si="59"/>
        <v>0</v>
      </c>
      <c r="P293" s="85"/>
      <c r="R293" s="53"/>
      <c r="S293" s="53"/>
    </row>
    <row r="294" spans="1:19" hidden="1" x14ac:dyDescent="0.25">
      <c r="A294" s="346" t="s">
        <v>316</v>
      </c>
      <c r="B294" s="75" t="s">
        <v>317</v>
      </c>
      <c r="C294" s="279">
        <f t="shared" si="71"/>
        <v>0</v>
      </c>
      <c r="D294" s="134"/>
      <c r="E294" s="285"/>
      <c r="F294" s="286">
        <f t="shared" si="38"/>
        <v>0</v>
      </c>
      <c r="G294" s="134"/>
      <c r="H294" s="135"/>
      <c r="I294" s="136">
        <f t="shared" si="39"/>
        <v>0</v>
      </c>
      <c r="J294" s="134"/>
      <c r="K294" s="135"/>
      <c r="L294" s="136">
        <f t="shared" si="40"/>
        <v>0</v>
      </c>
      <c r="M294" s="284"/>
      <c r="N294" s="285"/>
      <c r="O294" s="136">
        <f t="shared" si="59"/>
        <v>0</v>
      </c>
      <c r="P294" s="85"/>
      <c r="R294" s="53"/>
      <c r="S294" s="53"/>
    </row>
    <row r="295" spans="1:19" hidden="1" x14ac:dyDescent="0.25">
      <c r="A295" s="346" t="s">
        <v>318</v>
      </c>
      <c r="B295" s="75" t="s">
        <v>319</v>
      </c>
      <c r="C295" s="279">
        <f t="shared" si="71"/>
        <v>0</v>
      </c>
      <c r="D295" s="134"/>
      <c r="E295" s="285"/>
      <c r="F295" s="286">
        <f t="shared" si="38"/>
        <v>0</v>
      </c>
      <c r="G295" s="134"/>
      <c r="H295" s="135"/>
      <c r="I295" s="136">
        <f t="shared" si="39"/>
        <v>0</v>
      </c>
      <c r="J295" s="134"/>
      <c r="K295" s="135"/>
      <c r="L295" s="136">
        <f t="shared" si="40"/>
        <v>0</v>
      </c>
      <c r="M295" s="284"/>
      <c r="N295" s="285"/>
      <c r="O295" s="136">
        <f t="shared" si="59"/>
        <v>0</v>
      </c>
      <c r="P295" s="85"/>
      <c r="R295" s="53"/>
      <c r="S295" s="53"/>
    </row>
    <row r="296" spans="1:19" hidden="1" x14ac:dyDescent="0.25">
      <c r="A296" s="346" t="s">
        <v>320</v>
      </c>
      <c r="B296" s="75" t="s">
        <v>321</v>
      </c>
      <c r="C296" s="279">
        <f t="shared" si="71"/>
        <v>0</v>
      </c>
      <c r="D296" s="134"/>
      <c r="E296" s="285"/>
      <c r="F296" s="286">
        <f t="shared" si="38"/>
        <v>0</v>
      </c>
      <c r="G296" s="134"/>
      <c r="H296" s="135"/>
      <c r="I296" s="136">
        <f t="shared" si="39"/>
        <v>0</v>
      </c>
      <c r="J296" s="134"/>
      <c r="K296" s="135"/>
      <c r="L296" s="136">
        <f t="shared" si="40"/>
        <v>0</v>
      </c>
      <c r="M296" s="284"/>
      <c r="N296" s="285"/>
      <c r="O296" s="136">
        <f t="shared" si="59"/>
        <v>0</v>
      </c>
      <c r="P296" s="85"/>
      <c r="R296" s="53"/>
      <c r="S296" s="53"/>
    </row>
    <row r="297" spans="1:19" hidden="1" x14ac:dyDescent="0.25">
      <c r="A297" s="389" t="s">
        <v>322</v>
      </c>
      <c r="B297" s="390" t="s">
        <v>323</v>
      </c>
      <c r="C297" s="647">
        <f t="shared" si="71"/>
        <v>0</v>
      </c>
      <c r="D297" s="328"/>
      <c r="E297" s="329"/>
      <c r="F297" s="330">
        <f t="shared" si="38"/>
        <v>0</v>
      </c>
      <c r="G297" s="328"/>
      <c r="H297" s="331"/>
      <c r="I297" s="324">
        <f t="shared" si="39"/>
        <v>0</v>
      </c>
      <c r="J297" s="328"/>
      <c r="K297" s="331"/>
      <c r="L297" s="324">
        <f t="shared" si="40"/>
        <v>0</v>
      </c>
      <c r="M297" s="332"/>
      <c r="N297" s="329"/>
      <c r="O297" s="324">
        <f t="shared" si="59"/>
        <v>0</v>
      </c>
      <c r="P297" s="325"/>
      <c r="R297" s="53"/>
      <c r="S297" s="53"/>
    </row>
    <row r="298" spans="1:19" hidden="1" x14ac:dyDescent="0.25">
      <c r="A298" s="387" t="s">
        <v>324</v>
      </c>
      <c r="B298" s="387" t="s">
        <v>325</v>
      </c>
      <c r="C298" s="381">
        <f t="shared" si="71"/>
        <v>0</v>
      </c>
      <c r="D298" s="392"/>
      <c r="E298" s="393"/>
      <c r="F298" s="388">
        <f t="shared" si="38"/>
        <v>0</v>
      </c>
      <c r="G298" s="392"/>
      <c r="H298" s="394"/>
      <c r="I298" s="383">
        <f t="shared" si="39"/>
        <v>0</v>
      </c>
      <c r="J298" s="392"/>
      <c r="K298" s="394"/>
      <c r="L298" s="383">
        <f t="shared" si="40"/>
        <v>0</v>
      </c>
      <c r="M298" s="395"/>
      <c r="N298" s="393"/>
      <c r="O298" s="383">
        <f t="shared" si="59"/>
        <v>0</v>
      </c>
      <c r="P298" s="385"/>
      <c r="R298" s="53"/>
      <c r="S298" s="53"/>
    </row>
    <row r="299" spans="1:19" s="41" customFormat="1" ht="36" hidden="1" x14ac:dyDescent="0.25">
      <c r="A299" s="387" t="s">
        <v>326</v>
      </c>
      <c r="B299" s="396" t="s">
        <v>327</v>
      </c>
      <c r="C299" s="651">
        <f t="shared" si="71"/>
        <v>0</v>
      </c>
      <c r="D299" s="398"/>
      <c r="E299" s="399"/>
      <c r="F299" s="400">
        <f t="shared" si="38"/>
        <v>0</v>
      </c>
      <c r="G299" s="392"/>
      <c r="H299" s="394"/>
      <c r="I299" s="383">
        <f t="shared" si="39"/>
        <v>0</v>
      </c>
      <c r="J299" s="392"/>
      <c r="K299" s="394"/>
      <c r="L299" s="383">
        <f t="shared" si="40"/>
        <v>0</v>
      </c>
      <c r="M299" s="395"/>
      <c r="N299" s="393"/>
      <c r="O299" s="383">
        <f t="shared" si="59"/>
        <v>0</v>
      </c>
      <c r="P299" s="385"/>
      <c r="R299" s="53"/>
      <c r="S299" s="53"/>
    </row>
    <row r="300" spans="1:19"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19" x14ac:dyDescent="0.25">
      <c r="A301" s="693"/>
      <c r="B301" s="694"/>
      <c r="C301" s="694"/>
      <c r="D301" s="694"/>
      <c r="E301" s="694"/>
      <c r="F301" s="694"/>
      <c r="G301" s="694"/>
      <c r="H301" s="694"/>
      <c r="I301" s="694"/>
      <c r="J301" s="694"/>
      <c r="K301" s="694"/>
      <c r="L301" s="694"/>
      <c r="M301" s="694"/>
      <c r="N301" s="694"/>
      <c r="O301" s="694"/>
      <c r="P301" s="695"/>
      <c r="Q301" s="7"/>
    </row>
    <row r="302" spans="1:19" x14ac:dyDescent="0.25">
      <c r="A302" s="5"/>
      <c r="B302" s="5"/>
      <c r="C302" s="5"/>
      <c r="D302" s="5"/>
      <c r="E302" s="5"/>
      <c r="F302" s="5"/>
      <c r="G302" s="5"/>
      <c r="H302" s="5"/>
      <c r="I302" s="5"/>
      <c r="J302" s="5"/>
      <c r="K302" s="5"/>
      <c r="L302" s="5"/>
      <c r="M302" s="5"/>
      <c r="N302" s="5"/>
      <c r="O302" s="5"/>
    </row>
    <row r="303" spans="1:19" x14ac:dyDescent="0.25">
      <c r="A303" s="5"/>
      <c r="B303" s="5"/>
      <c r="C303" s="5"/>
      <c r="D303" s="5"/>
      <c r="E303" s="5"/>
      <c r="F303" s="5"/>
      <c r="G303" s="5"/>
      <c r="H303" s="5"/>
      <c r="I303" s="5"/>
      <c r="J303" s="5"/>
      <c r="K303" s="5"/>
      <c r="L303" s="5"/>
      <c r="M303" s="5"/>
      <c r="N303" s="5"/>
      <c r="O303" s="5"/>
    </row>
    <row r="304" spans="1:19"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7vfEgDe9eYf3aib2//vXl2KctiEgDQouEUGX4yo4vcpjetYaruXzeZgjQfF8rPVFfj3UyBMoq8ciezJwJ8NTSw==" saltValue="6d74rfFTBdOE4EDN8YWjqA==" spinCount="100000" sheet="1" objects="1" scenarios="1" formatCells="0" formatColumns="0" formatRows="0"/>
  <autoFilter ref="A22:P300">
    <filterColumn colId="2">
      <filters blank="1">
        <filter val="10 000"/>
        <filter val="103 619"/>
        <filter val="136 338"/>
        <filter val="16 300"/>
        <filter val="2 000"/>
        <filter val="27 142"/>
        <filter val="32 719"/>
        <filter val="346 075"/>
        <filter val="359 665"/>
        <filter val="4 332"/>
        <filter val="43 683"/>
        <filter val="5 000"/>
        <filter val="5 771"/>
        <filter val="583 131"/>
        <filter val="600"/>
        <filter val="620 482"/>
        <filter val="626 814"/>
        <filter val="7 819"/>
        <filter val="842"/>
        <filter val="91 737"/>
        <filter val="92 337"/>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73.pielikums Jūrmalas pilsētas domes
2017.gada 30.janvāra saistošajiem noteikumiem Nr.10
(Protokols Nr.4, 1.punkts)
 </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05"/>
  <sheetViews>
    <sheetView view="pageLayout" zoomScaleNormal="100" workbookViewId="0">
      <selection activeCell="T8" sqref="T8"/>
    </sheetView>
  </sheetViews>
  <sheetFormatPr defaultColWidth="9.140625" defaultRowHeight="12" outlineLevelCol="1" x14ac:dyDescent="0.25"/>
  <cols>
    <col min="1" max="1" width="10.85546875" style="1" customWidth="1"/>
    <col min="2" max="2" width="28" style="1" customWidth="1"/>
    <col min="3" max="3" width="8.7109375" style="1" customWidth="1"/>
    <col min="4" max="4" width="8.7109375" style="1" hidden="1" customWidth="1" outlineLevel="1"/>
    <col min="5" max="5" width="8" style="1" hidden="1" customWidth="1" outlineLevel="1"/>
    <col min="6" max="6" width="8.140625" style="1" customWidth="1" collapsed="1"/>
    <col min="7" max="7" width="10.42578125" style="1" hidden="1" customWidth="1" outlineLevel="1"/>
    <col min="8" max="8" width="6.7109375" style="1" hidden="1" customWidth="1" outlineLevel="1"/>
    <col min="9" max="9" width="7.85546875" style="1" customWidth="1" collapsed="1"/>
    <col min="10" max="10" width="8.7109375" style="1" hidden="1" customWidth="1" outlineLevel="1"/>
    <col min="11" max="11" width="7.5703125" style="1" hidden="1" customWidth="1" outlineLevel="1"/>
    <col min="12" max="12" width="7.5703125" style="1" customWidth="1" collapsed="1"/>
    <col min="13" max="14" width="7.5703125" style="1" hidden="1" customWidth="1" outlineLevel="1"/>
    <col min="15" max="15" width="7.5703125" style="1" customWidth="1" collapsed="1"/>
    <col min="16" max="16" width="42.7109375" style="1" hidden="1" customWidth="1" outlineLevel="1"/>
    <col min="17" max="17" width="11.28515625" style="5" customWidth="1" collapsed="1"/>
    <col min="18" max="16384" width="9.140625" style="5"/>
  </cols>
  <sheetData>
    <row r="1" spans="1:17" x14ac:dyDescent="0.25">
      <c r="B1" s="409"/>
      <c r="C1" s="409"/>
      <c r="D1" s="409"/>
      <c r="E1" s="409"/>
      <c r="F1" s="409"/>
      <c r="G1" s="409"/>
      <c r="H1" s="409"/>
      <c r="I1" s="409"/>
      <c r="J1" s="409"/>
      <c r="K1" s="409"/>
      <c r="L1" s="409"/>
      <c r="M1" s="409"/>
      <c r="N1" s="409"/>
      <c r="O1" s="410" t="s">
        <v>340</v>
      </c>
      <c r="P1" s="409"/>
    </row>
    <row r="2" spans="1:17" x14ac:dyDescent="0.25">
      <c r="B2" s="409"/>
      <c r="C2" s="409"/>
      <c r="D2" s="409"/>
      <c r="E2" s="409"/>
      <c r="F2" s="409"/>
      <c r="G2" s="409"/>
      <c r="H2" s="409"/>
      <c r="I2" s="409"/>
      <c r="J2" s="409"/>
      <c r="K2" s="409"/>
      <c r="L2" s="409"/>
      <c r="M2" s="409"/>
      <c r="N2" s="409"/>
      <c r="O2" s="410"/>
      <c r="P2" s="409"/>
    </row>
    <row r="3" spans="1:17" x14ac:dyDescent="0.25">
      <c r="A3" s="411"/>
      <c r="B3" s="412"/>
      <c r="C3" s="412"/>
      <c r="D3" s="412"/>
      <c r="E3" s="412"/>
      <c r="F3" s="412"/>
      <c r="G3" s="412"/>
      <c r="H3" s="412"/>
      <c r="I3" s="412"/>
      <c r="J3" s="412"/>
      <c r="K3" s="412"/>
      <c r="L3" s="412"/>
      <c r="M3" s="412"/>
      <c r="N3" s="412"/>
      <c r="O3" s="413"/>
      <c r="P3" s="414"/>
      <c r="Q3" s="415"/>
    </row>
    <row r="4" spans="1:17" ht="15.75" x14ac:dyDescent="0.25">
      <c r="A4" s="1560" t="s">
        <v>1</v>
      </c>
      <c r="B4" s="1561"/>
      <c r="C4" s="1561"/>
      <c r="D4" s="1561"/>
      <c r="E4" s="1561"/>
      <c r="F4" s="1561"/>
      <c r="G4" s="1561"/>
      <c r="H4" s="1561"/>
      <c r="I4" s="1561"/>
      <c r="J4" s="1561"/>
      <c r="K4" s="1561"/>
      <c r="L4" s="1561"/>
      <c r="M4" s="1561"/>
      <c r="N4" s="1561"/>
      <c r="O4" s="1561"/>
      <c r="P4" s="1562"/>
      <c r="Q4" s="7"/>
    </row>
    <row r="5" spans="1:17" ht="15.75" x14ac:dyDescent="0.25">
      <c r="A5" s="416"/>
      <c r="B5" s="417"/>
      <c r="C5" s="417"/>
      <c r="D5" s="417"/>
      <c r="E5" s="417"/>
      <c r="F5" s="417"/>
      <c r="G5" s="417"/>
      <c r="H5" s="417"/>
      <c r="I5" s="417"/>
      <c r="J5" s="417"/>
      <c r="K5" s="417"/>
      <c r="L5" s="417"/>
      <c r="M5" s="417"/>
      <c r="N5" s="417"/>
      <c r="O5" s="417"/>
      <c r="P5" s="418"/>
      <c r="Q5" s="7"/>
    </row>
    <row r="6" spans="1:17" ht="12.75" customHeight="1" x14ac:dyDescent="0.25">
      <c r="A6" s="13" t="s">
        <v>2</v>
      </c>
      <c r="B6" s="14"/>
      <c r="C6" s="1555" t="s">
        <v>341</v>
      </c>
      <c r="D6" s="1555"/>
      <c r="E6" s="1555"/>
      <c r="F6" s="1555"/>
      <c r="G6" s="1555"/>
      <c r="H6" s="1555"/>
      <c r="I6" s="1555"/>
      <c r="J6" s="1555"/>
      <c r="K6" s="1555"/>
      <c r="L6" s="1555"/>
      <c r="M6" s="1555"/>
      <c r="N6" s="1555"/>
      <c r="O6" s="1555"/>
      <c r="P6" s="1556"/>
      <c r="Q6" s="7"/>
    </row>
    <row r="7" spans="1:17" ht="12.75" customHeight="1" x14ac:dyDescent="0.25">
      <c r="A7" s="13" t="s">
        <v>4</v>
      </c>
      <c r="B7" s="14"/>
      <c r="C7" s="1597" t="s">
        <v>342</v>
      </c>
      <c r="D7" s="1597"/>
      <c r="E7" s="1597"/>
      <c r="F7" s="1597"/>
      <c r="G7" s="1597"/>
      <c r="H7" s="1597"/>
      <c r="I7" s="1597"/>
      <c r="J7" s="1597"/>
      <c r="K7" s="1597"/>
      <c r="L7" s="1597"/>
      <c r="M7" s="1597"/>
      <c r="N7" s="1597"/>
      <c r="O7" s="1597"/>
      <c r="P7" s="1598"/>
      <c r="Q7" s="7"/>
    </row>
    <row r="8" spans="1:17" ht="12.75" customHeight="1" x14ac:dyDescent="0.25">
      <c r="A8" s="8" t="s">
        <v>6</v>
      </c>
      <c r="B8" s="9"/>
      <c r="C8" s="1553" t="s">
        <v>343</v>
      </c>
      <c r="D8" s="1553"/>
      <c r="E8" s="1553"/>
      <c r="F8" s="1553"/>
      <c r="G8" s="1553"/>
      <c r="H8" s="1553"/>
      <c r="I8" s="1553"/>
      <c r="J8" s="1553"/>
      <c r="K8" s="1553"/>
      <c r="L8" s="1553"/>
      <c r="M8" s="1553"/>
      <c r="N8" s="1553"/>
      <c r="O8" s="1553"/>
      <c r="P8" s="1554"/>
      <c r="Q8" s="7"/>
    </row>
    <row r="9" spans="1:17" ht="12.75" customHeight="1" x14ac:dyDescent="0.25">
      <c r="A9" s="8" t="s">
        <v>8</v>
      </c>
      <c r="B9" s="9"/>
      <c r="C9" s="1553" t="s">
        <v>344</v>
      </c>
      <c r="D9" s="1553"/>
      <c r="E9" s="1553"/>
      <c r="F9" s="1553"/>
      <c r="G9" s="1553"/>
      <c r="H9" s="1553"/>
      <c r="I9" s="1553"/>
      <c r="J9" s="1553"/>
      <c r="K9" s="1553"/>
      <c r="L9" s="1553"/>
      <c r="M9" s="1553"/>
      <c r="N9" s="1553"/>
      <c r="O9" s="1553"/>
      <c r="P9" s="1554"/>
      <c r="Q9" s="7"/>
    </row>
    <row r="10" spans="1:17" x14ac:dyDescent="0.25">
      <c r="A10" s="8" t="s">
        <v>10</v>
      </c>
      <c r="B10" s="9"/>
      <c r="C10" s="1555" t="s">
        <v>345</v>
      </c>
      <c r="D10" s="1555"/>
      <c r="E10" s="1555"/>
      <c r="F10" s="1555"/>
      <c r="G10" s="1555"/>
      <c r="H10" s="1555"/>
      <c r="I10" s="1555"/>
      <c r="J10" s="1555"/>
      <c r="K10" s="1555"/>
      <c r="L10" s="1555"/>
      <c r="M10" s="1555"/>
      <c r="N10" s="1555"/>
      <c r="O10" s="1555"/>
      <c r="P10" s="1556"/>
      <c r="Q10" s="7"/>
    </row>
    <row r="11" spans="1:17" x14ac:dyDescent="0.25">
      <c r="A11" s="8" t="s">
        <v>12</v>
      </c>
      <c r="B11" s="9"/>
      <c r="C11" s="1555" t="s">
        <v>346</v>
      </c>
      <c r="D11" s="1555"/>
      <c r="E11" s="1555"/>
      <c r="F11" s="1555"/>
      <c r="G11" s="1555"/>
      <c r="H11" s="1555"/>
      <c r="I11" s="1555"/>
      <c r="J11" s="1555"/>
      <c r="K11" s="1555"/>
      <c r="L11" s="1555"/>
      <c r="M11" s="1555"/>
      <c r="N11" s="1555"/>
      <c r="O11" s="1555"/>
      <c r="P11" s="1556"/>
      <c r="Q11" s="7"/>
    </row>
    <row r="12" spans="1:17" ht="12.75" customHeight="1" x14ac:dyDescent="0.25">
      <c r="A12" s="15" t="s">
        <v>14</v>
      </c>
      <c r="B12" s="9"/>
      <c r="C12" s="1599"/>
      <c r="D12" s="1599"/>
      <c r="E12" s="1599"/>
      <c r="F12" s="1599"/>
      <c r="G12" s="1599"/>
      <c r="H12" s="1599"/>
      <c r="I12" s="1599"/>
      <c r="J12" s="1599"/>
      <c r="K12" s="1599"/>
      <c r="L12" s="1599"/>
      <c r="M12" s="1599"/>
      <c r="N12" s="1599"/>
      <c r="O12" s="1599"/>
      <c r="P12" s="1600"/>
      <c r="Q12" s="7"/>
    </row>
    <row r="13" spans="1:17" ht="12.75" customHeight="1" x14ac:dyDescent="0.25">
      <c r="A13" s="8"/>
      <c r="B13" s="9" t="s">
        <v>15</v>
      </c>
      <c r="C13" s="1553" t="s">
        <v>347</v>
      </c>
      <c r="D13" s="1553"/>
      <c r="E13" s="1553"/>
      <c r="F13" s="1553"/>
      <c r="G13" s="1553"/>
      <c r="H13" s="1553"/>
      <c r="I13" s="1553"/>
      <c r="J13" s="1553"/>
      <c r="K13" s="1553"/>
      <c r="L13" s="1553"/>
      <c r="M13" s="1553"/>
      <c r="N13" s="1553"/>
      <c r="O13" s="1553"/>
      <c r="P13" s="1554"/>
      <c r="Q13" s="7"/>
    </row>
    <row r="14" spans="1:17" ht="12.75" customHeight="1" x14ac:dyDescent="0.25">
      <c r="A14" s="8"/>
      <c r="B14" s="9" t="s">
        <v>17</v>
      </c>
      <c r="C14" s="1553"/>
      <c r="D14" s="1553"/>
      <c r="E14" s="1553"/>
      <c r="F14" s="1553"/>
      <c r="G14" s="1553"/>
      <c r="H14" s="1553"/>
      <c r="I14" s="1553"/>
      <c r="J14" s="1553"/>
      <c r="K14" s="1553"/>
      <c r="L14" s="1553"/>
      <c r="M14" s="1553"/>
      <c r="N14" s="1553"/>
      <c r="O14" s="1553"/>
      <c r="P14" s="1554"/>
      <c r="Q14" s="7"/>
    </row>
    <row r="15" spans="1:17" ht="12.75" customHeight="1" x14ac:dyDescent="0.25">
      <c r="A15" s="8"/>
      <c r="B15" s="9" t="s">
        <v>19</v>
      </c>
      <c r="C15" s="1599"/>
      <c r="D15" s="1599"/>
      <c r="E15" s="1599"/>
      <c r="F15" s="1599"/>
      <c r="G15" s="1599"/>
      <c r="H15" s="1599"/>
      <c r="I15" s="1599"/>
      <c r="J15" s="1599"/>
      <c r="K15" s="1599"/>
      <c r="L15" s="1599"/>
      <c r="M15" s="1599"/>
      <c r="N15" s="1599"/>
      <c r="O15" s="1599"/>
      <c r="P15" s="1600"/>
      <c r="Q15" s="7"/>
    </row>
    <row r="16" spans="1:17" ht="12.75" customHeight="1" x14ac:dyDescent="0.25">
      <c r="A16" s="8"/>
      <c r="B16" s="9" t="s">
        <v>20</v>
      </c>
      <c r="C16" s="1553" t="s">
        <v>348</v>
      </c>
      <c r="D16" s="1553"/>
      <c r="E16" s="1553"/>
      <c r="F16" s="1553"/>
      <c r="G16" s="1553"/>
      <c r="H16" s="1553"/>
      <c r="I16" s="1553"/>
      <c r="J16" s="1553"/>
      <c r="K16" s="1553"/>
      <c r="L16" s="1553"/>
      <c r="M16" s="1553"/>
      <c r="N16" s="1553"/>
      <c r="O16" s="1553"/>
      <c r="P16" s="1554"/>
      <c r="Q16" s="7"/>
    </row>
    <row r="17" spans="1:19" ht="12.75" customHeight="1" x14ac:dyDescent="0.25">
      <c r="A17" s="8"/>
      <c r="B17" s="9" t="s">
        <v>22</v>
      </c>
      <c r="C17" s="1553"/>
      <c r="D17" s="1553"/>
      <c r="E17" s="1553"/>
      <c r="F17" s="1553"/>
      <c r="G17" s="1553"/>
      <c r="H17" s="1553"/>
      <c r="I17" s="1553"/>
      <c r="J17" s="1553"/>
      <c r="K17" s="1553"/>
      <c r="L17" s="1553"/>
      <c r="M17" s="1553"/>
      <c r="N17" s="1553"/>
      <c r="O17" s="1553"/>
      <c r="P17" s="1554"/>
      <c r="Q17" s="7"/>
    </row>
    <row r="18" spans="1:19" ht="12.75" customHeight="1" x14ac:dyDescent="0.25">
      <c r="A18" s="18"/>
      <c r="B18" s="19"/>
      <c r="C18" s="419"/>
      <c r="D18" s="419"/>
      <c r="E18" s="419"/>
      <c r="F18" s="419"/>
      <c r="G18" s="419"/>
      <c r="H18" s="419"/>
      <c r="I18" s="419"/>
      <c r="J18" s="419"/>
      <c r="K18" s="419"/>
      <c r="L18" s="419"/>
      <c r="M18" s="419"/>
      <c r="N18" s="419"/>
      <c r="O18" s="419"/>
      <c r="P18" s="420"/>
      <c r="Q18" s="7"/>
    </row>
    <row r="19" spans="1:19" s="20" customFormat="1" ht="12.75" customHeight="1" x14ac:dyDescent="0.25">
      <c r="A19" s="1571" t="s">
        <v>23</v>
      </c>
      <c r="B19" s="1574" t="s">
        <v>24</v>
      </c>
      <c r="C19" s="1602" t="s">
        <v>25</v>
      </c>
      <c r="D19" s="1603"/>
      <c r="E19" s="1603"/>
      <c r="F19" s="1603"/>
      <c r="G19" s="1603"/>
      <c r="H19" s="1603"/>
      <c r="I19" s="1603"/>
      <c r="J19" s="1603"/>
      <c r="K19" s="1603"/>
      <c r="L19" s="1603"/>
      <c r="M19" s="1603"/>
      <c r="N19" s="1603"/>
      <c r="O19" s="1604"/>
      <c r="P19" s="1605" t="s">
        <v>26</v>
      </c>
    </row>
    <row r="20" spans="1:19" s="20" customFormat="1" ht="12.75" customHeight="1" x14ac:dyDescent="0.25">
      <c r="A20" s="1601"/>
      <c r="B20" s="1575"/>
      <c r="C20" s="1580" t="s">
        <v>27</v>
      </c>
      <c r="D20" s="1608" t="s">
        <v>28</v>
      </c>
      <c r="E20" s="1567" t="s">
        <v>29</v>
      </c>
      <c r="F20" s="1563" t="s">
        <v>30</v>
      </c>
      <c r="G20" s="1610" t="s">
        <v>31</v>
      </c>
      <c r="H20" s="1567" t="s">
        <v>32</v>
      </c>
      <c r="I20" s="1565" t="s">
        <v>33</v>
      </c>
      <c r="J20" s="1610" t="s">
        <v>34</v>
      </c>
      <c r="K20" s="1582" t="s">
        <v>35</v>
      </c>
      <c r="L20" s="1584" t="s">
        <v>36</v>
      </c>
      <c r="M20" s="1610" t="s">
        <v>37</v>
      </c>
      <c r="N20" s="1567" t="s">
        <v>38</v>
      </c>
      <c r="O20" s="1563" t="s">
        <v>39</v>
      </c>
      <c r="P20" s="1606"/>
    </row>
    <row r="21" spans="1:19" s="21" customFormat="1" ht="56.25" customHeight="1" thickBot="1" x14ac:dyDescent="0.3">
      <c r="A21" s="1573"/>
      <c r="B21" s="1575"/>
      <c r="C21" s="1581"/>
      <c r="D21" s="1609"/>
      <c r="E21" s="1568"/>
      <c r="F21" s="1564"/>
      <c r="G21" s="1611"/>
      <c r="H21" s="1568"/>
      <c r="I21" s="1566"/>
      <c r="J21" s="1611"/>
      <c r="K21" s="1583"/>
      <c r="L21" s="1585"/>
      <c r="M21" s="1611"/>
      <c r="N21" s="1568"/>
      <c r="O21" s="1564"/>
      <c r="P21" s="1607"/>
    </row>
    <row r="22" spans="1:19" s="21" customFormat="1" ht="9.75" customHeight="1" thickTop="1" x14ac:dyDescent="0.25">
      <c r="A22" s="22" t="s">
        <v>40</v>
      </c>
      <c r="B22" s="22">
        <v>2</v>
      </c>
      <c r="C22" s="23">
        <v>3</v>
      </c>
      <c r="D22" s="24">
        <v>4</v>
      </c>
      <c r="E22" s="29">
        <v>5</v>
      </c>
      <c r="F22" s="27">
        <v>6</v>
      </c>
      <c r="G22" s="24">
        <v>7</v>
      </c>
      <c r="H22" s="26">
        <v>8</v>
      </c>
      <c r="I22" s="27">
        <v>9</v>
      </c>
      <c r="J22" s="24">
        <v>10</v>
      </c>
      <c r="K22" s="25">
        <v>11</v>
      </c>
      <c r="L22" s="22">
        <v>12</v>
      </c>
      <c r="M22" s="28">
        <v>13</v>
      </c>
      <c r="N22" s="29">
        <v>14</v>
      </c>
      <c r="O22" s="27">
        <v>15</v>
      </c>
      <c r="P22" s="27">
        <v>16</v>
      </c>
    </row>
    <row r="23" spans="1:19" s="41" customFormat="1" x14ac:dyDescent="0.25">
      <c r="A23" s="30"/>
      <c r="B23" s="31" t="s">
        <v>41</v>
      </c>
      <c r="C23" s="421"/>
      <c r="D23" s="33"/>
      <c r="E23" s="39"/>
      <c r="F23" s="422"/>
      <c r="G23" s="33"/>
      <c r="H23" s="36"/>
      <c r="I23" s="38"/>
      <c r="J23" s="33"/>
      <c r="K23" s="34"/>
      <c r="L23" s="423"/>
      <c r="M23" s="33"/>
      <c r="N23" s="39"/>
      <c r="O23" s="424"/>
      <c r="P23" s="422"/>
    </row>
    <row r="24" spans="1:19" s="41" customFormat="1" ht="12.75" thickBot="1" x14ac:dyDescent="0.3">
      <c r="A24" s="42"/>
      <c r="B24" s="43" t="s">
        <v>42</v>
      </c>
      <c r="C24" s="425">
        <f>SUM(F24,I24,L24,O24)</f>
        <v>322246</v>
      </c>
      <c r="D24" s="45">
        <f>SUM(D25,D28,D29,D45,D46)</f>
        <v>199715</v>
      </c>
      <c r="E24" s="51">
        <f>SUM(E25,E28,E29,E45,E46)</f>
        <v>0</v>
      </c>
      <c r="F24" s="49">
        <f>SUM(F25,F28,F29,F45,F46)</f>
        <v>199715</v>
      </c>
      <c r="G24" s="45">
        <f>SUM(G25,G28,G46)</f>
        <v>0</v>
      </c>
      <c r="H24" s="48">
        <f>SUM(H25,H28,H29,H45,H46)</f>
        <v>0</v>
      </c>
      <c r="I24" s="50">
        <f>SUM(I25,I28,I29,I45,I46)</f>
        <v>0</v>
      </c>
      <c r="J24" s="45">
        <f>SUM(J25,J30,J46)</f>
        <v>122531</v>
      </c>
      <c r="K24" s="46">
        <f>SUM(K25,K30,K46)</f>
        <v>0</v>
      </c>
      <c r="L24" s="47">
        <f>SUM(L25,L30,L46)</f>
        <v>122531</v>
      </c>
      <c r="M24" s="45">
        <f>SUM(M25,M48)</f>
        <v>0</v>
      </c>
      <c r="N24" s="51">
        <f>SUM(N25,N48)</f>
        <v>0</v>
      </c>
      <c r="O24" s="49">
        <f>SUM(O25,O48)</f>
        <v>0</v>
      </c>
      <c r="P24" s="49"/>
      <c r="R24" s="53"/>
      <c r="S24" s="53"/>
    </row>
    <row r="25" spans="1:19" ht="12.75" hidden="1" thickTop="1" x14ac:dyDescent="0.25">
      <c r="A25" s="54"/>
      <c r="B25" s="55" t="s">
        <v>43</v>
      </c>
      <c r="C25" s="426">
        <f t="shared" ref="C25:C50" si="0">SUM(F25,I25,L25,O25)</f>
        <v>0</v>
      </c>
      <c r="D25" s="57">
        <f t="shared" ref="D25:O25" si="1">SUM(D26:D27)</f>
        <v>0</v>
      </c>
      <c r="E25" s="63">
        <f t="shared" si="1"/>
        <v>0</v>
      </c>
      <c r="F25" s="61">
        <f t="shared" si="1"/>
        <v>0</v>
      </c>
      <c r="G25" s="57">
        <f t="shared" si="1"/>
        <v>0</v>
      </c>
      <c r="H25" s="60">
        <f t="shared" si="1"/>
        <v>0</v>
      </c>
      <c r="I25" s="62">
        <f t="shared" si="1"/>
        <v>0</v>
      </c>
      <c r="J25" s="57">
        <f t="shared" si="1"/>
        <v>0</v>
      </c>
      <c r="K25" s="63">
        <f t="shared" si="1"/>
        <v>0</v>
      </c>
      <c r="L25" s="61">
        <f t="shared" si="1"/>
        <v>0</v>
      </c>
      <c r="M25" s="57">
        <f t="shared" si="1"/>
        <v>0</v>
      </c>
      <c r="N25" s="63">
        <f t="shared" si="1"/>
        <v>0</v>
      </c>
      <c r="O25" s="61">
        <f t="shared" si="1"/>
        <v>0</v>
      </c>
      <c r="P25" s="61"/>
      <c r="R25" s="53"/>
      <c r="S25" s="53"/>
    </row>
    <row r="26" spans="1:19" ht="12.75" hidden="1" thickTop="1" x14ac:dyDescent="0.25">
      <c r="A26" s="65"/>
      <c r="B26" s="66" t="s">
        <v>44</v>
      </c>
      <c r="C26" s="70">
        <f t="shared" si="0"/>
        <v>0</v>
      </c>
      <c r="D26" s="68"/>
      <c r="E26" s="69"/>
      <c r="F26" s="427">
        <f>D26+E26</f>
        <v>0</v>
      </c>
      <c r="G26" s="68"/>
      <c r="H26" s="71"/>
      <c r="I26" s="73">
        <f>G26+H26</f>
        <v>0</v>
      </c>
      <c r="J26" s="68"/>
      <c r="K26" s="69"/>
      <c r="L26" s="427">
        <f>J26+K26</f>
        <v>0</v>
      </c>
      <c r="M26" s="68"/>
      <c r="N26" s="69"/>
      <c r="O26" s="428">
        <f>N26+M26</f>
        <v>0</v>
      </c>
      <c r="P26" s="427"/>
      <c r="R26" s="53"/>
      <c r="S26" s="53"/>
    </row>
    <row r="27" spans="1:19" ht="12.75" hidden="1" thickTop="1" x14ac:dyDescent="0.25">
      <c r="A27" s="75"/>
      <c r="B27" s="76" t="s">
        <v>45</v>
      </c>
      <c r="C27" s="429">
        <f t="shared" si="0"/>
        <v>0</v>
      </c>
      <c r="D27" s="78"/>
      <c r="E27" s="84"/>
      <c r="F27" s="430">
        <f>D27+E27</f>
        <v>0</v>
      </c>
      <c r="G27" s="78"/>
      <c r="H27" s="81"/>
      <c r="I27" s="83">
        <f>G27+H27</f>
        <v>0</v>
      </c>
      <c r="J27" s="78"/>
      <c r="K27" s="84"/>
      <c r="L27" s="430">
        <f>J27+K27</f>
        <v>0</v>
      </c>
      <c r="M27" s="431"/>
      <c r="N27" s="84"/>
      <c r="O27" s="432">
        <f>N27+M27</f>
        <v>0</v>
      </c>
      <c r="P27" s="430"/>
      <c r="R27" s="53"/>
      <c r="S27" s="53"/>
    </row>
    <row r="28" spans="1:19" s="41" customFormat="1" ht="25.5" thickTop="1" thickBot="1" x14ac:dyDescent="0.3">
      <c r="A28" s="86">
        <v>19300</v>
      </c>
      <c r="B28" s="86" t="s">
        <v>46</v>
      </c>
      <c r="C28" s="433">
        <f t="shared" si="0"/>
        <v>199715</v>
      </c>
      <c r="D28" s="88">
        <f>208613-6070-2828</f>
        <v>199715</v>
      </c>
      <c r="E28" s="434"/>
      <c r="F28" s="435">
        <f>D28+E28</f>
        <v>199715</v>
      </c>
      <c r="G28" s="88"/>
      <c r="H28" s="91"/>
      <c r="I28" s="436">
        <f>G28+H28</f>
        <v>0</v>
      </c>
      <c r="J28" s="93" t="s">
        <v>47</v>
      </c>
      <c r="K28" s="437" t="s">
        <v>47</v>
      </c>
      <c r="L28" s="438" t="s">
        <v>47</v>
      </c>
      <c r="M28" s="93" t="s">
        <v>47</v>
      </c>
      <c r="N28" s="97"/>
      <c r="O28" s="95" t="s">
        <v>47</v>
      </c>
      <c r="P28" s="439"/>
      <c r="R28" s="53"/>
      <c r="S28" s="53"/>
    </row>
    <row r="29" spans="1:19" s="41" customFormat="1" ht="24.75" hidden="1" thickTop="1" x14ac:dyDescent="0.25">
      <c r="A29" s="99"/>
      <c r="B29" s="99" t="s">
        <v>48</v>
      </c>
      <c r="C29" s="313">
        <f t="shared" si="0"/>
        <v>0</v>
      </c>
      <c r="D29" s="101"/>
      <c r="E29" s="102"/>
      <c r="F29" s="440">
        <f>D29+E29</f>
        <v>0</v>
      </c>
      <c r="G29" s="104" t="s">
        <v>47</v>
      </c>
      <c r="H29" s="105" t="s">
        <v>47</v>
      </c>
      <c r="I29" s="107" t="s">
        <v>47</v>
      </c>
      <c r="J29" s="104" t="s">
        <v>47</v>
      </c>
      <c r="K29" s="108" t="s">
        <v>47</v>
      </c>
      <c r="L29" s="106" t="s">
        <v>47</v>
      </c>
      <c r="M29" s="104" t="s">
        <v>47</v>
      </c>
      <c r="N29" s="108"/>
      <c r="O29" s="106" t="s">
        <v>47</v>
      </c>
      <c r="P29" s="106"/>
      <c r="R29" s="53"/>
      <c r="S29" s="53"/>
    </row>
    <row r="30" spans="1:19" s="41" customFormat="1" ht="36.75" thickTop="1" x14ac:dyDescent="0.25">
      <c r="A30" s="99">
        <v>21300</v>
      </c>
      <c r="B30" s="99" t="s">
        <v>49</v>
      </c>
      <c r="C30" s="313">
        <f t="shared" si="0"/>
        <v>122531</v>
      </c>
      <c r="D30" s="104" t="s">
        <v>47</v>
      </c>
      <c r="E30" s="108" t="s">
        <v>47</v>
      </c>
      <c r="F30" s="106" t="s">
        <v>47</v>
      </c>
      <c r="G30" s="104" t="s">
        <v>47</v>
      </c>
      <c r="H30" s="105" t="s">
        <v>47</v>
      </c>
      <c r="I30" s="107" t="s">
        <v>47</v>
      </c>
      <c r="J30" s="112">
        <f>SUM(J31,J35,J37,J40)</f>
        <v>122531</v>
      </c>
      <c r="K30" s="248">
        <f>SUM(K31,K35,K37,K40)</f>
        <v>0</v>
      </c>
      <c r="L30" s="249">
        <f>SUM(L31,L35,L37,L40)</f>
        <v>122531</v>
      </c>
      <c r="M30" s="104" t="s">
        <v>47</v>
      </c>
      <c r="N30" s="293"/>
      <c r="O30" s="106" t="s">
        <v>47</v>
      </c>
      <c r="P30" s="441"/>
      <c r="R30" s="53"/>
      <c r="S30" s="53"/>
    </row>
    <row r="31" spans="1:19" s="41" customFormat="1" ht="24" hidden="1" x14ac:dyDescent="0.25">
      <c r="A31" s="115">
        <v>21350</v>
      </c>
      <c r="B31" s="99" t="s">
        <v>50</v>
      </c>
      <c r="C31" s="313">
        <f t="shared" si="0"/>
        <v>0</v>
      </c>
      <c r="D31" s="104" t="s">
        <v>47</v>
      </c>
      <c r="E31" s="108" t="s">
        <v>47</v>
      </c>
      <c r="F31" s="106" t="s">
        <v>47</v>
      </c>
      <c r="G31" s="104" t="s">
        <v>47</v>
      </c>
      <c r="H31" s="105" t="s">
        <v>47</v>
      </c>
      <c r="I31" s="107" t="s">
        <v>47</v>
      </c>
      <c r="J31" s="112">
        <f>SUM(J32:J34)</f>
        <v>0</v>
      </c>
      <c r="K31" s="293">
        <f>SUM(K32:K34)</f>
        <v>0</v>
      </c>
      <c r="L31" s="114">
        <f>SUM(L32:L34)</f>
        <v>0</v>
      </c>
      <c r="M31" s="104" t="s">
        <v>47</v>
      </c>
      <c r="N31" s="293"/>
      <c r="O31" s="106" t="s">
        <v>47</v>
      </c>
      <c r="P31" s="114"/>
      <c r="R31" s="53"/>
      <c r="S31" s="53"/>
    </row>
    <row r="32" spans="1:19" hidden="1" x14ac:dyDescent="0.25">
      <c r="A32" s="65">
        <v>21351</v>
      </c>
      <c r="B32" s="116" t="s">
        <v>51</v>
      </c>
      <c r="C32" s="263">
        <f t="shared" si="0"/>
        <v>0</v>
      </c>
      <c r="D32" s="118" t="s">
        <v>47</v>
      </c>
      <c r="E32" s="119" t="s">
        <v>47</v>
      </c>
      <c r="F32" s="122" t="s">
        <v>47</v>
      </c>
      <c r="G32" s="118" t="s">
        <v>47</v>
      </c>
      <c r="H32" s="121" t="s">
        <v>47</v>
      </c>
      <c r="I32" s="126" t="s">
        <v>47</v>
      </c>
      <c r="J32" s="123"/>
      <c r="K32" s="262"/>
      <c r="L32" s="427">
        <f>J32+K32</f>
        <v>0</v>
      </c>
      <c r="M32" s="118" t="s">
        <v>47</v>
      </c>
      <c r="N32" s="262"/>
      <c r="O32" s="122" t="s">
        <v>47</v>
      </c>
      <c r="P32" s="442"/>
      <c r="R32" s="53"/>
      <c r="S32" s="53"/>
    </row>
    <row r="33" spans="1:19" hidden="1" x14ac:dyDescent="0.25">
      <c r="A33" s="75">
        <v>21352</v>
      </c>
      <c r="B33" s="127" t="s">
        <v>52</v>
      </c>
      <c r="C33" s="286">
        <f t="shared" si="0"/>
        <v>0</v>
      </c>
      <c r="D33" s="129" t="s">
        <v>47</v>
      </c>
      <c r="E33" s="138" t="s">
        <v>47</v>
      </c>
      <c r="F33" s="133" t="s">
        <v>47</v>
      </c>
      <c r="G33" s="129" t="s">
        <v>47</v>
      </c>
      <c r="H33" s="132" t="s">
        <v>47</v>
      </c>
      <c r="I33" s="137" t="s">
        <v>47</v>
      </c>
      <c r="J33" s="134"/>
      <c r="K33" s="285"/>
      <c r="L33" s="430">
        <f>J33+K33</f>
        <v>0</v>
      </c>
      <c r="M33" s="129" t="s">
        <v>47</v>
      </c>
      <c r="N33" s="285"/>
      <c r="O33" s="133" t="s">
        <v>47</v>
      </c>
      <c r="P33" s="443"/>
      <c r="R33" s="53"/>
      <c r="S33" s="53"/>
    </row>
    <row r="34" spans="1:19" ht="24" hidden="1" x14ac:dyDescent="0.25">
      <c r="A34" s="75">
        <v>21359</v>
      </c>
      <c r="B34" s="127" t="s">
        <v>53</v>
      </c>
      <c r="C34" s="286">
        <f t="shared" si="0"/>
        <v>0</v>
      </c>
      <c r="D34" s="129" t="s">
        <v>47</v>
      </c>
      <c r="E34" s="138" t="s">
        <v>47</v>
      </c>
      <c r="F34" s="133" t="s">
        <v>47</v>
      </c>
      <c r="G34" s="129" t="s">
        <v>47</v>
      </c>
      <c r="H34" s="132" t="s">
        <v>47</v>
      </c>
      <c r="I34" s="137" t="s">
        <v>47</v>
      </c>
      <c r="J34" s="134"/>
      <c r="K34" s="285"/>
      <c r="L34" s="430">
        <f>J34+K34</f>
        <v>0</v>
      </c>
      <c r="M34" s="129" t="s">
        <v>47</v>
      </c>
      <c r="N34" s="285"/>
      <c r="O34" s="133" t="s">
        <v>47</v>
      </c>
      <c r="P34" s="443"/>
      <c r="R34" s="53"/>
      <c r="S34" s="53"/>
    </row>
    <row r="35" spans="1:19" s="41" customFormat="1" ht="36" hidden="1" x14ac:dyDescent="0.25">
      <c r="A35" s="115">
        <v>21370</v>
      </c>
      <c r="B35" s="99" t="s">
        <v>54</v>
      </c>
      <c r="C35" s="313">
        <f t="shared" si="0"/>
        <v>0</v>
      </c>
      <c r="D35" s="104" t="s">
        <v>47</v>
      </c>
      <c r="E35" s="108" t="s">
        <v>47</v>
      </c>
      <c r="F35" s="106" t="s">
        <v>47</v>
      </c>
      <c r="G35" s="104" t="s">
        <v>47</v>
      </c>
      <c r="H35" s="105" t="s">
        <v>47</v>
      </c>
      <c r="I35" s="107" t="s">
        <v>47</v>
      </c>
      <c r="J35" s="112">
        <f>SUM(J36)</f>
        <v>0</v>
      </c>
      <c r="K35" s="293">
        <f>SUM(K36)</f>
        <v>0</v>
      </c>
      <c r="L35" s="114">
        <f>SUM(L36)</f>
        <v>0</v>
      </c>
      <c r="M35" s="104" t="s">
        <v>47</v>
      </c>
      <c r="N35" s="293"/>
      <c r="O35" s="106" t="s">
        <v>47</v>
      </c>
      <c r="P35" s="114"/>
      <c r="R35" s="53"/>
      <c r="S35" s="53"/>
    </row>
    <row r="36" spans="1:19" ht="36" hidden="1" x14ac:dyDescent="0.25">
      <c r="A36" s="141">
        <v>21379</v>
      </c>
      <c r="B36" s="142" t="s">
        <v>55</v>
      </c>
      <c r="C36" s="364">
        <f t="shared" si="0"/>
        <v>0</v>
      </c>
      <c r="D36" s="144" t="s">
        <v>47</v>
      </c>
      <c r="E36" s="145" t="s">
        <v>47</v>
      </c>
      <c r="F36" s="148" t="s">
        <v>47</v>
      </c>
      <c r="G36" s="144" t="s">
        <v>47</v>
      </c>
      <c r="H36" s="147" t="s">
        <v>47</v>
      </c>
      <c r="I36" s="152" t="s">
        <v>47</v>
      </c>
      <c r="J36" s="149"/>
      <c r="K36" s="363"/>
      <c r="L36" s="444">
        <f>J36+K36</f>
        <v>0</v>
      </c>
      <c r="M36" s="144" t="s">
        <v>47</v>
      </c>
      <c r="N36" s="363"/>
      <c r="O36" s="148" t="s">
        <v>47</v>
      </c>
      <c r="P36" s="445"/>
      <c r="R36" s="53"/>
      <c r="S36" s="53"/>
    </row>
    <row r="37" spans="1:19" s="41" customFormat="1" hidden="1" x14ac:dyDescent="0.25">
      <c r="A37" s="115">
        <v>21380</v>
      </c>
      <c r="B37" s="99" t="s">
        <v>56</v>
      </c>
      <c r="C37" s="313">
        <f t="shared" si="0"/>
        <v>0</v>
      </c>
      <c r="D37" s="104" t="s">
        <v>47</v>
      </c>
      <c r="E37" s="108" t="s">
        <v>47</v>
      </c>
      <c r="F37" s="106" t="s">
        <v>47</v>
      </c>
      <c r="G37" s="104" t="s">
        <v>47</v>
      </c>
      <c r="H37" s="105" t="s">
        <v>47</v>
      </c>
      <c r="I37" s="107" t="s">
        <v>47</v>
      </c>
      <c r="J37" s="112">
        <f>SUM(J38:J39)</f>
        <v>0</v>
      </c>
      <c r="K37" s="293">
        <f>SUM(K38:K39)</f>
        <v>0</v>
      </c>
      <c r="L37" s="114">
        <f>SUM(L38:L39)</f>
        <v>0</v>
      </c>
      <c r="M37" s="104" t="s">
        <v>47</v>
      </c>
      <c r="N37" s="293"/>
      <c r="O37" s="106" t="s">
        <v>47</v>
      </c>
      <c r="P37" s="114"/>
      <c r="R37" s="53"/>
      <c r="S37" s="53"/>
    </row>
    <row r="38" spans="1:19" hidden="1" x14ac:dyDescent="0.25">
      <c r="A38" s="66">
        <v>21381</v>
      </c>
      <c r="B38" s="116" t="s">
        <v>57</v>
      </c>
      <c r="C38" s="263">
        <f t="shared" si="0"/>
        <v>0</v>
      </c>
      <c r="D38" s="118" t="s">
        <v>47</v>
      </c>
      <c r="E38" s="119" t="s">
        <v>47</v>
      </c>
      <c r="F38" s="122" t="s">
        <v>47</v>
      </c>
      <c r="G38" s="118" t="s">
        <v>47</v>
      </c>
      <c r="H38" s="121" t="s">
        <v>47</v>
      </c>
      <c r="I38" s="126" t="s">
        <v>47</v>
      </c>
      <c r="J38" s="123"/>
      <c r="K38" s="262"/>
      <c r="L38" s="427">
        <f>J38+K38</f>
        <v>0</v>
      </c>
      <c r="M38" s="118" t="s">
        <v>47</v>
      </c>
      <c r="N38" s="262"/>
      <c r="O38" s="122" t="s">
        <v>47</v>
      </c>
      <c r="P38" s="442"/>
      <c r="R38" s="53"/>
      <c r="S38" s="53"/>
    </row>
    <row r="39" spans="1:19" ht="24" hidden="1" x14ac:dyDescent="0.25">
      <c r="A39" s="76">
        <v>21383</v>
      </c>
      <c r="B39" s="127" t="s">
        <v>58</v>
      </c>
      <c r="C39" s="286">
        <f t="shared" si="0"/>
        <v>0</v>
      </c>
      <c r="D39" s="129" t="s">
        <v>47</v>
      </c>
      <c r="E39" s="138" t="s">
        <v>47</v>
      </c>
      <c r="F39" s="133" t="s">
        <v>47</v>
      </c>
      <c r="G39" s="129" t="s">
        <v>47</v>
      </c>
      <c r="H39" s="132" t="s">
        <v>47</v>
      </c>
      <c r="I39" s="137" t="s">
        <v>47</v>
      </c>
      <c r="J39" s="134"/>
      <c r="K39" s="285"/>
      <c r="L39" s="430">
        <f>J39+K39</f>
        <v>0</v>
      </c>
      <c r="M39" s="129" t="s">
        <v>47</v>
      </c>
      <c r="N39" s="285"/>
      <c r="O39" s="133" t="s">
        <v>47</v>
      </c>
      <c r="P39" s="443"/>
      <c r="R39" s="53"/>
      <c r="S39" s="53"/>
    </row>
    <row r="40" spans="1:19" s="41" customFormat="1" ht="24" x14ac:dyDescent="0.25">
      <c r="A40" s="115">
        <v>21390</v>
      </c>
      <c r="B40" s="99" t="s">
        <v>59</v>
      </c>
      <c r="C40" s="313">
        <f t="shared" si="0"/>
        <v>122531</v>
      </c>
      <c r="D40" s="104" t="s">
        <v>47</v>
      </c>
      <c r="E40" s="108" t="s">
        <v>47</v>
      </c>
      <c r="F40" s="106" t="s">
        <v>47</v>
      </c>
      <c r="G40" s="104" t="s">
        <v>47</v>
      </c>
      <c r="H40" s="105" t="s">
        <v>47</v>
      </c>
      <c r="I40" s="107" t="s">
        <v>47</v>
      </c>
      <c r="J40" s="112">
        <f>SUM(J41:J44)</f>
        <v>122531</v>
      </c>
      <c r="K40" s="248">
        <f>SUM(K41:K44)</f>
        <v>0</v>
      </c>
      <c r="L40" s="249">
        <f>SUM(L41:L44)</f>
        <v>122531</v>
      </c>
      <c r="M40" s="104" t="s">
        <v>47</v>
      </c>
      <c r="N40" s="293"/>
      <c r="O40" s="106" t="s">
        <v>47</v>
      </c>
      <c r="P40" s="114"/>
      <c r="R40" s="53"/>
      <c r="S40" s="53"/>
    </row>
    <row r="41" spans="1:19" ht="24" hidden="1" x14ac:dyDescent="0.25">
      <c r="A41" s="66">
        <v>21391</v>
      </c>
      <c r="B41" s="116" t="s">
        <v>60</v>
      </c>
      <c r="C41" s="263">
        <f t="shared" si="0"/>
        <v>0</v>
      </c>
      <c r="D41" s="118" t="s">
        <v>47</v>
      </c>
      <c r="E41" s="119" t="s">
        <v>47</v>
      </c>
      <c r="F41" s="122" t="s">
        <v>47</v>
      </c>
      <c r="G41" s="118" t="s">
        <v>47</v>
      </c>
      <c r="H41" s="121" t="s">
        <v>47</v>
      </c>
      <c r="I41" s="126" t="s">
        <v>47</v>
      </c>
      <c r="J41" s="123"/>
      <c r="K41" s="262"/>
      <c r="L41" s="427">
        <f>J41+K41</f>
        <v>0</v>
      </c>
      <c r="M41" s="118" t="s">
        <v>47</v>
      </c>
      <c r="N41" s="262"/>
      <c r="O41" s="122" t="s">
        <v>47</v>
      </c>
      <c r="P41" s="442"/>
      <c r="R41" s="53"/>
      <c r="S41" s="53"/>
    </row>
    <row r="42" spans="1:19" hidden="1" x14ac:dyDescent="0.25">
      <c r="A42" s="76">
        <v>21393</v>
      </c>
      <c r="B42" s="127" t="s">
        <v>61</v>
      </c>
      <c r="C42" s="286">
        <f t="shared" si="0"/>
        <v>0</v>
      </c>
      <c r="D42" s="129" t="s">
        <v>47</v>
      </c>
      <c r="E42" s="138" t="s">
        <v>47</v>
      </c>
      <c r="F42" s="133" t="s">
        <v>47</v>
      </c>
      <c r="G42" s="129" t="s">
        <v>47</v>
      </c>
      <c r="H42" s="132" t="s">
        <v>47</v>
      </c>
      <c r="I42" s="137" t="s">
        <v>47</v>
      </c>
      <c r="J42" s="134"/>
      <c r="K42" s="285"/>
      <c r="L42" s="430">
        <f>J42+K42</f>
        <v>0</v>
      </c>
      <c r="M42" s="129" t="s">
        <v>47</v>
      </c>
      <c r="N42" s="285"/>
      <c r="O42" s="133" t="s">
        <v>47</v>
      </c>
      <c r="P42" s="443"/>
      <c r="R42" s="53"/>
      <c r="S42" s="53"/>
    </row>
    <row r="43" spans="1:19" hidden="1" x14ac:dyDescent="0.25">
      <c r="A43" s="76">
        <v>21395</v>
      </c>
      <c r="B43" s="127" t="s">
        <v>62</v>
      </c>
      <c r="C43" s="286">
        <f t="shared" si="0"/>
        <v>0</v>
      </c>
      <c r="D43" s="129" t="s">
        <v>47</v>
      </c>
      <c r="E43" s="138" t="s">
        <v>47</v>
      </c>
      <c r="F43" s="133" t="s">
        <v>47</v>
      </c>
      <c r="G43" s="129" t="s">
        <v>47</v>
      </c>
      <c r="H43" s="132" t="s">
        <v>47</v>
      </c>
      <c r="I43" s="137" t="s">
        <v>47</v>
      </c>
      <c r="J43" s="134"/>
      <c r="K43" s="285"/>
      <c r="L43" s="430">
        <f>J43+K43</f>
        <v>0</v>
      </c>
      <c r="M43" s="129" t="s">
        <v>47</v>
      </c>
      <c r="N43" s="285"/>
      <c r="O43" s="133" t="s">
        <v>47</v>
      </c>
      <c r="P43" s="443"/>
      <c r="R43" s="53"/>
      <c r="S43" s="53"/>
    </row>
    <row r="44" spans="1:19" ht="24" x14ac:dyDescent="0.25">
      <c r="A44" s="76">
        <v>21399</v>
      </c>
      <c r="B44" s="127" t="s">
        <v>63</v>
      </c>
      <c r="C44" s="286">
        <f t="shared" si="0"/>
        <v>122531</v>
      </c>
      <c r="D44" s="129" t="s">
        <v>47</v>
      </c>
      <c r="E44" s="138" t="s">
        <v>47</v>
      </c>
      <c r="F44" s="133" t="s">
        <v>47</v>
      </c>
      <c r="G44" s="129" t="s">
        <v>47</v>
      </c>
      <c r="H44" s="132" t="s">
        <v>47</v>
      </c>
      <c r="I44" s="137" t="s">
        <v>47</v>
      </c>
      <c r="J44" s="134">
        <v>122531</v>
      </c>
      <c r="K44" s="283"/>
      <c r="L44" s="446">
        <f>J44+K44</f>
        <v>122531</v>
      </c>
      <c r="M44" s="129" t="s">
        <v>47</v>
      </c>
      <c r="N44" s="285"/>
      <c r="O44" s="133" t="s">
        <v>47</v>
      </c>
      <c r="P44" s="443"/>
      <c r="R44" s="53"/>
      <c r="S44" s="53"/>
    </row>
    <row r="45" spans="1:19" s="41" customFormat="1" ht="36.75" hidden="1" customHeight="1" x14ac:dyDescent="0.25">
      <c r="A45" s="115">
        <v>21420</v>
      </c>
      <c r="B45" s="99" t="s">
        <v>64</v>
      </c>
      <c r="C45" s="103">
        <f t="shared" si="0"/>
        <v>0</v>
      </c>
      <c r="D45" s="157"/>
      <c r="E45" s="158"/>
      <c r="F45" s="440">
        <f>D45+E45</f>
        <v>0</v>
      </c>
      <c r="G45" s="104" t="s">
        <v>47</v>
      </c>
      <c r="H45" s="105" t="s">
        <v>47</v>
      </c>
      <c r="I45" s="107" t="s">
        <v>47</v>
      </c>
      <c r="J45" s="104" t="s">
        <v>47</v>
      </c>
      <c r="K45" s="108" t="s">
        <v>47</v>
      </c>
      <c r="L45" s="106" t="s">
        <v>47</v>
      </c>
      <c r="M45" s="104" t="s">
        <v>47</v>
      </c>
      <c r="N45" s="108"/>
      <c r="O45" s="106" t="s">
        <v>47</v>
      </c>
      <c r="P45" s="106"/>
      <c r="R45" s="53"/>
      <c r="S45" s="53"/>
    </row>
    <row r="46" spans="1:19" s="41" customFormat="1" ht="24" hidden="1" x14ac:dyDescent="0.25">
      <c r="A46" s="159">
        <v>21490</v>
      </c>
      <c r="B46" s="160" t="s">
        <v>65</v>
      </c>
      <c r="C46" s="103">
        <f t="shared" si="0"/>
        <v>0</v>
      </c>
      <c r="D46" s="161">
        <f t="shared" ref="D46:L46" si="2">D47</f>
        <v>0</v>
      </c>
      <c r="E46" s="162">
        <f t="shared" si="2"/>
        <v>0</v>
      </c>
      <c r="F46" s="165">
        <f t="shared" si="2"/>
        <v>0</v>
      </c>
      <c r="G46" s="161">
        <f t="shared" si="2"/>
        <v>0</v>
      </c>
      <c r="H46" s="164">
        <f t="shared" si="2"/>
        <v>0</v>
      </c>
      <c r="I46" s="447">
        <f t="shared" si="2"/>
        <v>0</v>
      </c>
      <c r="J46" s="161">
        <f t="shared" si="2"/>
        <v>0</v>
      </c>
      <c r="K46" s="176">
        <f t="shared" si="2"/>
        <v>0</v>
      </c>
      <c r="L46" s="177">
        <f t="shared" si="2"/>
        <v>0</v>
      </c>
      <c r="M46" s="104" t="s">
        <v>47</v>
      </c>
      <c r="N46" s="176"/>
      <c r="O46" s="106" t="s">
        <v>47</v>
      </c>
      <c r="P46" s="177"/>
      <c r="R46" s="53"/>
      <c r="S46" s="53"/>
    </row>
    <row r="47" spans="1:19" s="41" customFormat="1" ht="24" hidden="1" x14ac:dyDescent="0.25">
      <c r="A47" s="76">
        <v>21499</v>
      </c>
      <c r="B47" s="127" t="s">
        <v>66</v>
      </c>
      <c r="C47" s="448">
        <f t="shared" si="0"/>
        <v>0</v>
      </c>
      <c r="D47" s="68"/>
      <c r="E47" s="69"/>
      <c r="F47" s="427">
        <f>D47+E47</f>
        <v>0</v>
      </c>
      <c r="G47" s="167"/>
      <c r="H47" s="449"/>
      <c r="I47" s="73">
        <f>G47+H47</f>
        <v>0</v>
      </c>
      <c r="J47" s="68"/>
      <c r="K47" s="450"/>
      <c r="L47" s="444">
        <f>J47+K47</f>
        <v>0</v>
      </c>
      <c r="M47" s="144" t="s">
        <v>47</v>
      </c>
      <c r="N47" s="450"/>
      <c r="O47" s="148" t="s">
        <v>47</v>
      </c>
      <c r="P47" s="451"/>
      <c r="R47" s="53"/>
      <c r="S47" s="53"/>
    </row>
    <row r="48" spans="1:19" ht="24" hidden="1" x14ac:dyDescent="0.25">
      <c r="A48" s="168">
        <v>23000</v>
      </c>
      <c r="B48" s="169" t="s">
        <v>67</v>
      </c>
      <c r="C48" s="103">
        <f t="shared" si="0"/>
        <v>0</v>
      </c>
      <c r="D48" s="170" t="s">
        <v>47</v>
      </c>
      <c r="E48" s="171" t="s">
        <v>47</v>
      </c>
      <c r="F48" s="174" t="s">
        <v>47</v>
      </c>
      <c r="G48" s="170" t="s">
        <v>47</v>
      </c>
      <c r="H48" s="173" t="s">
        <v>47</v>
      </c>
      <c r="I48" s="452" t="s">
        <v>47</v>
      </c>
      <c r="J48" s="170" t="s">
        <v>47</v>
      </c>
      <c r="K48" s="108" t="s">
        <v>47</v>
      </c>
      <c r="L48" s="106" t="s">
        <v>47</v>
      </c>
      <c r="M48" s="453">
        <f>SUM(M49:M50)</f>
        <v>0</v>
      </c>
      <c r="N48" s="176">
        <f>SUM(N49:N50)</f>
        <v>0</v>
      </c>
      <c r="O48" s="177">
        <f>SUM(O49:O50)</f>
        <v>0</v>
      </c>
      <c r="P48" s="106"/>
      <c r="R48" s="53"/>
      <c r="S48" s="53"/>
    </row>
    <row r="49" spans="1:19" ht="24" hidden="1" x14ac:dyDescent="0.25">
      <c r="A49" s="178">
        <v>23410</v>
      </c>
      <c r="B49" s="179" t="s">
        <v>68</v>
      </c>
      <c r="C49" s="454">
        <f t="shared" si="0"/>
        <v>0</v>
      </c>
      <c r="D49" s="181" t="s">
        <v>47</v>
      </c>
      <c r="E49" s="182" t="s">
        <v>47</v>
      </c>
      <c r="F49" s="185" t="s">
        <v>47</v>
      </c>
      <c r="G49" s="181" t="s">
        <v>47</v>
      </c>
      <c r="H49" s="184" t="s">
        <v>47</v>
      </c>
      <c r="I49" s="455" t="s">
        <v>47</v>
      </c>
      <c r="J49" s="181" t="s">
        <v>47</v>
      </c>
      <c r="K49" s="182" t="s">
        <v>47</v>
      </c>
      <c r="L49" s="185" t="s">
        <v>47</v>
      </c>
      <c r="M49" s="196"/>
      <c r="N49" s="182"/>
      <c r="O49" s="454">
        <f>N49+M49</f>
        <v>0</v>
      </c>
      <c r="P49" s="185"/>
      <c r="R49" s="53"/>
      <c r="S49" s="53"/>
    </row>
    <row r="50" spans="1:19" ht="24" hidden="1" x14ac:dyDescent="0.25">
      <c r="A50" s="178">
        <v>23510</v>
      </c>
      <c r="B50" s="179" t="s">
        <v>69</v>
      </c>
      <c r="C50" s="454">
        <f t="shared" si="0"/>
        <v>0</v>
      </c>
      <c r="D50" s="181" t="s">
        <v>47</v>
      </c>
      <c r="E50" s="182" t="s">
        <v>47</v>
      </c>
      <c r="F50" s="185" t="s">
        <v>47</v>
      </c>
      <c r="G50" s="181" t="s">
        <v>47</v>
      </c>
      <c r="H50" s="184" t="s">
        <v>47</v>
      </c>
      <c r="I50" s="455" t="s">
        <v>47</v>
      </c>
      <c r="J50" s="181" t="s">
        <v>47</v>
      </c>
      <c r="K50" s="182" t="s">
        <v>47</v>
      </c>
      <c r="L50" s="185" t="s">
        <v>47</v>
      </c>
      <c r="M50" s="196"/>
      <c r="N50" s="182"/>
      <c r="O50" s="454">
        <f>N50+M50</f>
        <v>0</v>
      </c>
      <c r="P50" s="185"/>
      <c r="R50" s="53"/>
      <c r="S50" s="53"/>
    </row>
    <row r="51" spans="1:19" x14ac:dyDescent="0.25">
      <c r="A51" s="190"/>
      <c r="B51" s="179"/>
      <c r="C51" s="310"/>
      <c r="D51" s="181"/>
      <c r="E51" s="182"/>
      <c r="F51" s="185"/>
      <c r="G51" s="181"/>
      <c r="H51" s="184"/>
      <c r="I51" s="455"/>
      <c r="J51" s="456"/>
      <c r="K51" s="457"/>
      <c r="L51" s="194"/>
      <c r="M51" s="456"/>
      <c r="N51" s="458"/>
      <c r="O51" s="454"/>
      <c r="P51" s="188"/>
      <c r="R51" s="53"/>
      <c r="S51" s="53"/>
    </row>
    <row r="52" spans="1:19" s="41" customFormat="1" x14ac:dyDescent="0.25">
      <c r="A52" s="198"/>
      <c r="B52" s="199" t="s">
        <v>70</v>
      </c>
      <c r="C52" s="459"/>
      <c r="D52" s="230"/>
      <c r="E52" s="235"/>
      <c r="F52" s="234"/>
      <c r="G52" s="230"/>
      <c r="H52" s="233"/>
      <c r="I52" s="53"/>
      <c r="J52" s="230"/>
      <c r="K52" s="231"/>
      <c r="L52" s="232"/>
      <c r="M52" s="460"/>
      <c r="N52" s="461"/>
      <c r="O52" s="462"/>
      <c r="P52" s="205"/>
      <c r="R52" s="53"/>
      <c r="S52" s="53"/>
    </row>
    <row r="53" spans="1:19" s="41" customFormat="1" ht="12.75" thickBot="1" x14ac:dyDescent="0.3">
      <c r="A53" s="209"/>
      <c r="B53" s="42" t="s">
        <v>71</v>
      </c>
      <c r="C53" s="463">
        <f t="shared" ref="C53:C116" si="3">SUM(F53,I53,L53,O53)</f>
        <v>322246</v>
      </c>
      <c r="D53" s="211">
        <f t="shared" ref="D53:O53" si="4">SUM(D54,D284)</f>
        <v>199715</v>
      </c>
      <c r="E53" s="217">
        <f t="shared" si="4"/>
        <v>0</v>
      </c>
      <c r="F53" s="215">
        <f t="shared" si="4"/>
        <v>199715</v>
      </c>
      <c r="G53" s="211">
        <f t="shared" si="4"/>
        <v>0</v>
      </c>
      <c r="H53" s="214">
        <f t="shared" si="4"/>
        <v>0</v>
      </c>
      <c r="I53" s="216">
        <f t="shared" si="4"/>
        <v>0</v>
      </c>
      <c r="J53" s="211">
        <f>SUM(J54,J284)</f>
        <v>122531</v>
      </c>
      <c r="K53" s="212">
        <f t="shared" si="4"/>
        <v>0</v>
      </c>
      <c r="L53" s="213">
        <f>SUM(L54,L284)</f>
        <v>122531</v>
      </c>
      <c r="M53" s="211">
        <f t="shared" si="4"/>
        <v>0</v>
      </c>
      <c r="N53" s="217">
        <f t="shared" si="4"/>
        <v>0</v>
      </c>
      <c r="O53" s="463">
        <f t="shared" si="4"/>
        <v>0</v>
      </c>
      <c r="P53" s="215"/>
      <c r="R53" s="53"/>
      <c r="S53" s="53"/>
    </row>
    <row r="54" spans="1:19" s="41" customFormat="1" ht="36.75" thickTop="1" x14ac:dyDescent="0.25">
      <c r="A54" s="218"/>
      <c r="B54" s="219" t="s">
        <v>72</v>
      </c>
      <c r="C54" s="464">
        <f t="shared" si="3"/>
        <v>322246</v>
      </c>
      <c r="D54" s="221">
        <f t="shared" ref="D54:O54" si="5">SUM(D55,D197)</f>
        <v>199715</v>
      </c>
      <c r="E54" s="227">
        <f t="shared" si="5"/>
        <v>0</v>
      </c>
      <c r="F54" s="225">
        <f t="shared" si="5"/>
        <v>199715</v>
      </c>
      <c r="G54" s="221">
        <f t="shared" si="5"/>
        <v>0</v>
      </c>
      <c r="H54" s="224">
        <f t="shared" si="5"/>
        <v>0</v>
      </c>
      <c r="I54" s="226">
        <f t="shared" si="5"/>
        <v>0</v>
      </c>
      <c r="J54" s="221">
        <f>SUM(J55,J197)</f>
        <v>122531</v>
      </c>
      <c r="K54" s="222">
        <f>SUM(K55,K197)</f>
        <v>0</v>
      </c>
      <c r="L54" s="223">
        <f t="shared" si="5"/>
        <v>122531</v>
      </c>
      <c r="M54" s="221">
        <f t="shared" si="5"/>
        <v>0</v>
      </c>
      <c r="N54" s="227">
        <f t="shared" si="5"/>
        <v>0</v>
      </c>
      <c r="O54" s="464">
        <f t="shared" si="5"/>
        <v>0</v>
      </c>
      <c r="P54" s="225"/>
      <c r="R54" s="53"/>
      <c r="S54" s="53"/>
    </row>
    <row r="55" spans="1:19" s="41" customFormat="1" ht="24" x14ac:dyDescent="0.25">
      <c r="A55" s="35"/>
      <c r="B55" s="30" t="s">
        <v>73</v>
      </c>
      <c r="C55" s="459">
        <f t="shared" si="3"/>
        <v>314700</v>
      </c>
      <c r="D55" s="230">
        <f t="shared" ref="D55:O55" si="6">SUM(D56,D78,D176,D190)</f>
        <v>199715</v>
      </c>
      <c r="E55" s="235">
        <f t="shared" si="6"/>
        <v>0</v>
      </c>
      <c r="F55" s="234">
        <f t="shared" si="6"/>
        <v>199715</v>
      </c>
      <c r="G55" s="230">
        <f t="shared" si="6"/>
        <v>0</v>
      </c>
      <c r="H55" s="233">
        <f t="shared" si="6"/>
        <v>0</v>
      </c>
      <c r="I55" s="53">
        <f t="shared" si="6"/>
        <v>0</v>
      </c>
      <c r="J55" s="230">
        <f t="shared" si="6"/>
        <v>114985</v>
      </c>
      <c r="K55" s="231">
        <f t="shared" si="6"/>
        <v>0</v>
      </c>
      <c r="L55" s="232">
        <f t="shared" si="6"/>
        <v>114985</v>
      </c>
      <c r="M55" s="230">
        <f t="shared" si="6"/>
        <v>0</v>
      </c>
      <c r="N55" s="235">
        <f t="shared" si="6"/>
        <v>0</v>
      </c>
      <c r="O55" s="459">
        <f t="shared" si="6"/>
        <v>0</v>
      </c>
      <c r="P55" s="234"/>
      <c r="R55" s="53"/>
      <c r="S55" s="53"/>
    </row>
    <row r="56" spans="1:19" s="41" customFormat="1" x14ac:dyDescent="0.25">
      <c r="A56" s="237">
        <v>1000</v>
      </c>
      <c r="B56" s="237" t="s">
        <v>74</v>
      </c>
      <c r="C56" s="465">
        <f t="shared" si="3"/>
        <v>191410</v>
      </c>
      <c r="D56" s="466">
        <f t="shared" ref="D56:O56" si="7">SUM(D57,D70)</f>
        <v>173033</v>
      </c>
      <c r="E56" s="467">
        <f t="shared" si="7"/>
        <v>0</v>
      </c>
      <c r="F56" s="468">
        <f t="shared" si="7"/>
        <v>173033</v>
      </c>
      <c r="G56" s="466">
        <f t="shared" si="7"/>
        <v>0</v>
      </c>
      <c r="H56" s="469">
        <f t="shared" si="7"/>
        <v>0</v>
      </c>
      <c r="I56" s="470">
        <f t="shared" si="7"/>
        <v>0</v>
      </c>
      <c r="J56" s="466">
        <f t="shared" si="7"/>
        <v>18377</v>
      </c>
      <c r="K56" s="471">
        <f t="shared" si="7"/>
        <v>0</v>
      </c>
      <c r="L56" s="472">
        <f t="shared" si="7"/>
        <v>18377</v>
      </c>
      <c r="M56" s="239">
        <f t="shared" si="7"/>
        <v>0</v>
      </c>
      <c r="N56" s="245">
        <f t="shared" si="7"/>
        <v>0</v>
      </c>
      <c r="O56" s="320">
        <f t="shared" si="7"/>
        <v>0</v>
      </c>
      <c r="P56" s="243"/>
      <c r="R56" s="53"/>
      <c r="S56" s="53"/>
    </row>
    <row r="57" spans="1:19" x14ac:dyDescent="0.25">
      <c r="A57" s="99">
        <v>1100</v>
      </c>
      <c r="B57" s="247" t="s">
        <v>75</v>
      </c>
      <c r="C57" s="313">
        <f t="shared" si="3"/>
        <v>142357</v>
      </c>
      <c r="D57" s="112">
        <f t="shared" ref="D57:O57" si="8">SUM(D58,D61,D69)</f>
        <v>128431</v>
      </c>
      <c r="E57" s="293">
        <f t="shared" si="8"/>
        <v>-239</v>
      </c>
      <c r="F57" s="114">
        <f t="shared" si="8"/>
        <v>128192</v>
      </c>
      <c r="G57" s="112">
        <f t="shared" si="8"/>
        <v>0</v>
      </c>
      <c r="H57" s="113">
        <f t="shared" si="8"/>
        <v>0</v>
      </c>
      <c r="I57" s="292">
        <f t="shared" si="8"/>
        <v>0</v>
      </c>
      <c r="J57" s="112">
        <f t="shared" si="8"/>
        <v>14165</v>
      </c>
      <c r="K57" s="248">
        <f t="shared" si="8"/>
        <v>0</v>
      </c>
      <c r="L57" s="249">
        <f t="shared" si="8"/>
        <v>14165</v>
      </c>
      <c r="M57" s="334">
        <f t="shared" si="8"/>
        <v>0</v>
      </c>
      <c r="N57" s="293">
        <f t="shared" si="8"/>
        <v>0</v>
      </c>
      <c r="O57" s="313">
        <f t="shared" si="8"/>
        <v>0</v>
      </c>
      <c r="P57" s="114"/>
      <c r="R57" s="53"/>
      <c r="S57" s="53"/>
    </row>
    <row r="58" spans="1:19" x14ac:dyDescent="0.25">
      <c r="A58" s="254">
        <v>1110</v>
      </c>
      <c r="B58" s="179" t="s">
        <v>76</v>
      </c>
      <c r="C58" s="310">
        <f t="shared" si="3"/>
        <v>128192</v>
      </c>
      <c r="D58" s="255">
        <f t="shared" ref="D58:O58" si="9">SUM(D59:D60)</f>
        <v>128431</v>
      </c>
      <c r="E58" s="261">
        <f t="shared" si="9"/>
        <v>-239</v>
      </c>
      <c r="F58" s="259">
        <f t="shared" si="9"/>
        <v>128192</v>
      </c>
      <c r="G58" s="255">
        <f t="shared" si="9"/>
        <v>0</v>
      </c>
      <c r="H58" s="258">
        <f t="shared" si="9"/>
        <v>0</v>
      </c>
      <c r="I58" s="260">
        <f t="shared" si="9"/>
        <v>0</v>
      </c>
      <c r="J58" s="255">
        <f t="shared" si="9"/>
        <v>0</v>
      </c>
      <c r="K58" s="256">
        <f t="shared" si="9"/>
        <v>0</v>
      </c>
      <c r="L58" s="257">
        <f t="shared" si="9"/>
        <v>0</v>
      </c>
      <c r="M58" s="255">
        <f t="shared" si="9"/>
        <v>0</v>
      </c>
      <c r="N58" s="261">
        <f t="shared" si="9"/>
        <v>0</v>
      </c>
      <c r="O58" s="310">
        <f t="shared" si="9"/>
        <v>0</v>
      </c>
      <c r="P58" s="259"/>
      <c r="R58" s="53"/>
      <c r="S58" s="53"/>
    </row>
    <row r="59" spans="1:19" hidden="1" x14ac:dyDescent="0.25">
      <c r="A59" s="66">
        <v>1111</v>
      </c>
      <c r="B59" s="116" t="s">
        <v>77</v>
      </c>
      <c r="C59" s="263">
        <f t="shared" si="3"/>
        <v>0</v>
      </c>
      <c r="D59" s="123"/>
      <c r="E59" s="262"/>
      <c r="F59" s="442">
        <f>D59+E59</f>
        <v>0</v>
      </c>
      <c r="G59" s="123"/>
      <c r="H59" s="124"/>
      <c r="I59" s="264">
        <f>G59+H59</f>
        <v>0</v>
      </c>
      <c r="J59" s="123"/>
      <c r="K59" s="262"/>
      <c r="L59" s="442">
        <f>J59+K59</f>
        <v>0</v>
      </c>
      <c r="M59" s="123"/>
      <c r="N59" s="262"/>
      <c r="O59" s="473">
        <f>N59+M59</f>
        <v>0</v>
      </c>
      <c r="P59" s="442"/>
      <c r="R59" s="53"/>
      <c r="S59" s="53"/>
    </row>
    <row r="60" spans="1:19" ht="37.5" customHeight="1" x14ac:dyDescent="0.25">
      <c r="A60" s="76">
        <v>1119</v>
      </c>
      <c r="B60" s="127" t="s">
        <v>78</v>
      </c>
      <c r="C60" s="286">
        <f t="shared" si="3"/>
        <v>128192</v>
      </c>
      <c r="D60" s="134">
        <v>128431</v>
      </c>
      <c r="E60" s="285">
        <v>-239</v>
      </c>
      <c r="F60" s="443">
        <f>D60+E60</f>
        <v>128192</v>
      </c>
      <c r="G60" s="134"/>
      <c r="H60" s="135"/>
      <c r="I60" s="284">
        <f>G60+H60</f>
        <v>0</v>
      </c>
      <c r="J60" s="134"/>
      <c r="K60" s="283"/>
      <c r="L60" s="474">
        <f>J60+K60</f>
        <v>0</v>
      </c>
      <c r="M60" s="134"/>
      <c r="N60" s="285"/>
      <c r="O60" s="475">
        <f>N60+M60</f>
        <v>0</v>
      </c>
      <c r="P60" s="441"/>
      <c r="R60" s="53"/>
      <c r="S60" s="53"/>
    </row>
    <row r="61" spans="1:19" ht="23.25" customHeight="1" x14ac:dyDescent="0.25">
      <c r="A61" s="276">
        <v>1140</v>
      </c>
      <c r="B61" s="127" t="s">
        <v>79</v>
      </c>
      <c r="C61" s="286">
        <f t="shared" si="3"/>
        <v>11986</v>
      </c>
      <c r="D61" s="277">
        <f t="shared" ref="D61:O61" si="10">SUM(D62:D68)</f>
        <v>0</v>
      </c>
      <c r="E61" s="282">
        <f t="shared" si="10"/>
        <v>0</v>
      </c>
      <c r="F61" s="136">
        <f t="shared" si="10"/>
        <v>0</v>
      </c>
      <c r="G61" s="277">
        <f t="shared" si="10"/>
        <v>0</v>
      </c>
      <c r="H61" s="280">
        <f t="shared" si="10"/>
        <v>0</v>
      </c>
      <c r="I61" s="281">
        <f t="shared" si="10"/>
        <v>0</v>
      </c>
      <c r="J61" s="277">
        <f t="shared" si="10"/>
        <v>11986</v>
      </c>
      <c r="K61" s="278">
        <f t="shared" si="10"/>
        <v>0</v>
      </c>
      <c r="L61" s="279">
        <f t="shared" si="10"/>
        <v>11986</v>
      </c>
      <c r="M61" s="277">
        <f t="shared" si="10"/>
        <v>0</v>
      </c>
      <c r="N61" s="282">
        <f t="shared" si="10"/>
        <v>0</v>
      </c>
      <c r="O61" s="286">
        <f t="shared" si="10"/>
        <v>0</v>
      </c>
      <c r="P61" s="136"/>
      <c r="R61" s="53"/>
      <c r="S61" s="53"/>
    </row>
    <row r="62" spans="1:19" hidden="1" x14ac:dyDescent="0.25">
      <c r="A62" s="76">
        <v>1141</v>
      </c>
      <c r="B62" s="127" t="s">
        <v>80</v>
      </c>
      <c r="C62" s="286">
        <f t="shared" si="3"/>
        <v>0</v>
      </c>
      <c r="D62" s="134"/>
      <c r="E62" s="285"/>
      <c r="F62" s="443">
        <f t="shared" ref="F62:F69" si="11">D62+E62</f>
        <v>0</v>
      </c>
      <c r="G62" s="134"/>
      <c r="H62" s="135"/>
      <c r="I62" s="284">
        <f t="shared" ref="I62:I69" si="12">G62+H62</f>
        <v>0</v>
      </c>
      <c r="J62" s="134"/>
      <c r="K62" s="285"/>
      <c r="L62" s="443">
        <f t="shared" ref="L62:L69" si="13">J62+K62</f>
        <v>0</v>
      </c>
      <c r="M62" s="134"/>
      <c r="N62" s="285"/>
      <c r="O62" s="475">
        <f t="shared" ref="O62:O69" si="14">N62+M62</f>
        <v>0</v>
      </c>
      <c r="P62" s="443"/>
      <c r="R62" s="53"/>
      <c r="S62" s="53"/>
    </row>
    <row r="63" spans="1:19" ht="24.75" hidden="1" customHeight="1" x14ac:dyDescent="0.25">
      <c r="A63" s="76">
        <v>1142</v>
      </c>
      <c r="B63" s="127" t="s">
        <v>81</v>
      </c>
      <c r="C63" s="286">
        <f t="shared" si="3"/>
        <v>0</v>
      </c>
      <c r="D63" s="134"/>
      <c r="E63" s="285"/>
      <c r="F63" s="443">
        <f t="shared" si="11"/>
        <v>0</v>
      </c>
      <c r="G63" s="134"/>
      <c r="H63" s="135"/>
      <c r="I63" s="284">
        <f t="shared" si="12"/>
        <v>0</v>
      </c>
      <c r="J63" s="134"/>
      <c r="K63" s="285"/>
      <c r="L63" s="443">
        <f t="shared" si="13"/>
        <v>0</v>
      </c>
      <c r="M63" s="134"/>
      <c r="N63" s="285"/>
      <c r="O63" s="475">
        <f t="shared" si="14"/>
        <v>0</v>
      </c>
      <c r="P63" s="443"/>
      <c r="R63" s="53"/>
      <c r="S63" s="53"/>
    </row>
    <row r="64" spans="1:19" ht="24" hidden="1" x14ac:dyDescent="0.25">
      <c r="A64" s="76">
        <v>1145</v>
      </c>
      <c r="B64" s="127" t="s">
        <v>82</v>
      </c>
      <c r="C64" s="286">
        <f t="shared" si="3"/>
        <v>0</v>
      </c>
      <c r="D64" s="134"/>
      <c r="E64" s="285"/>
      <c r="F64" s="443">
        <f t="shared" si="11"/>
        <v>0</v>
      </c>
      <c r="G64" s="134"/>
      <c r="H64" s="135"/>
      <c r="I64" s="284">
        <f t="shared" si="12"/>
        <v>0</v>
      </c>
      <c r="J64" s="134"/>
      <c r="K64" s="285"/>
      <c r="L64" s="443">
        <f t="shared" si="13"/>
        <v>0</v>
      </c>
      <c r="M64" s="134"/>
      <c r="N64" s="285"/>
      <c r="O64" s="475">
        <f t="shared" si="14"/>
        <v>0</v>
      </c>
      <c r="P64" s="443"/>
      <c r="R64" s="53"/>
      <c r="S64" s="53"/>
    </row>
    <row r="65" spans="1:19" ht="27.75" hidden="1" customHeight="1" x14ac:dyDescent="0.25">
      <c r="A65" s="76">
        <v>1146</v>
      </c>
      <c r="B65" s="127" t="s">
        <v>83</v>
      </c>
      <c r="C65" s="286">
        <f t="shared" si="3"/>
        <v>0</v>
      </c>
      <c r="D65" s="134"/>
      <c r="E65" s="285"/>
      <c r="F65" s="443">
        <f t="shared" si="11"/>
        <v>0</v>
      </c>
      <c r="G65" s="134"/>
      <c r="H65" s="135"/>
      <c r="I65" s="284">
        <f t="shared" si="12"/>
        <v>0</v>
      </c>
      <c r="J65" s="134"/>
      <c r="K65" s="285"/>
      <c r="L65" s="443">
        <f t="shared" si="13"/>
        <v>0</v>
      </c>
      <c r="M65" s="134"/>
      <c r="N65" s="285"/>
      <c r="O65" s="475">
        <f t="shared" si="14"/>
        <v>0</v>
      </c>
      <c r="P65" s="443"/>
      <c r="R65" s="53"/>
      <c r="S65" s="53"/>
    </row>
    <row r="66" spans="1:19" x14ac:dyDescent="0.25">
      <c r="A66" s="76">
        <v>1147</v>
      </c>
      <c r="B66" s="127" t="s">
        <v>84</v>
      </c>
      <c r="C66" s="286">
        <f t="shared" si="3"/>
        <v>3266</v>
      </c>
      <c r="D66" s="134"/>
      <c r="E66" s="285"/>
      <c r="F66" s="443">
        <f t="shared" si="11"/>
        <v>0</v>
      </c>
      <c r="G66" s="134"/>
      <c r="H66" s="135"/>
      <c r="I66" s="284">
        <f t="shared" si="12"/>
        <v>0</v>
      </c>
      <c r="J66" s="134">
        <v>3266</v>
      </c>
      <c r="K66" s="283"/>
      <c r="L66" s="474">
        <f t="shared" si="13"/>
        <v>3266</v>
      </c>
      <c r="M66" s="134"/>
      <c r="N66" s="285"/>
      <c r="O66" s="475">
        <f t="shared" si="14"/>
        <v>0</v>
      </c>
      <c r="P66" s="443"/>
      <c r="R66" s="53"/>
      <c r="S66" s="53"/>
    </row>
    <row r="67" spans="1:19" x14ac:dyDescent="0.25">
      <c r="A67" s="76">
        <v>1148</v>
      </c>
      <c r="B67" s="127" t="s">
        <v>85</v>
      </c>
      <c r="C67" s="286">
        <f t="shared" si="3"/>
        <v>8720</v>
      </c>
      <c r="D67" s="134"/>
      <c r="E67" s="285"/>
      <c r="F67" s="443">
        <f t="shared" si="11"/>
        <v>0</v>
      </c>
      <c r="G67" s="134"/>
      <c r="H67" s="135"/>
      <c r="I67" s="284">
        <f t="shared" si="12"/>
        <v>0</v>
      </c>
      <c r="J67" s="134">
        <v>8720</v>
      </c>
      <c r="K67" s="283"/>
      <c r="L67" s="474">
        <f t="shared" si="13"/>
        <v>8720</v>
      </c>
      <c r="M67" s="134"/>
      <c r="N67" s="285"/>
      <c r="O67" s="475">
        <f t="shared" si="14"/>
        <v>0</v>
      </c>
      <c r="P67" s="443"/>
      <c r="R67" s="53"/>
      <c r="S67" s="53"/>
    </row>
    <row r="68" spans="1:19" ht="36" hidden="1" x14ac:dyDescent="0.25">
      <c r="A68" s="76">
        <v>1149</v>
      </c>
      <c r="B68" s="127" t="s">
        <v>86</v>
      </c>
      <c r="C68" s="286">
        <f t="shared" si="3"/>
        <v>0</v>
      </c>
      <c r="D68" s="134"/>
      <c r="E68" s="285"/>
      <c r="F68" s="443">
        <f t="shared" si="11"/>
        <v>0</v>
      </c>
      <c r="G68" s="134"/>
      <c r="H68" s="135"/>
      <c r="I68" s="284">
        <f t="shared" si="12"/>
        <v>0</v>
      </c>
      <c r="J68" s="134"/>
      <c r="K68" s="285"/>
      <c r="L68" s="443">
        <f t="shared" si="13"/>
        <v>0</v>
      </c>
      <c r="M68" s="134"/>
      <c r="N68" s="285"/>
      <c r="O68" s="475">
        <f t="shared" si="14"/>
        <v>0</v>
      </c>
      <c r="P68" s="443"/>
      <c r="R68" s="53"/>
      <c r="S68" s="53"/>
    </row>
    <row r="69" spans="1:19" ht="36" x14ac:dyDescent="0.25">
      <c r="A69" s="254">
        <v>1150</v>
      </c>
      <c r="B69" s="179" t="s">
        <v>87</v>
      </c>
      <c r="C69" s="310">
        <f t="shared" si="3"/>
        <v>2179</v>
      </c>
      <c r="D69" s="287"/>
      <c r="E69" s="291"/>
      <c r="F69" s="476">
        <f t="shared" si="11"/>
        <v>0</v>
      </c>
      <c r="G69" s="287"/>
      <c r="H69" s="289"/>
      <c r="I69" s="290">
        <f t="shared" si="12"/>
        <v>0</v>
      </c>
      <c r="J69" s="287">
        <v>2179</v>
      </c>
      <c r="K69" s="288"/>
      <c r="L69" s="477">
        <f t="shared" si="13"/>
        <v>2179</v>
      </c>
      <c r="M69" s="287"/>
      <c r="N69" s="291"/>
      <c r="O69" s="478">
        <f t="shared" si="14"/>
        <v>0</v>
      </c>
      <c r="P69" s="479"/>
      <c r="R69" s="53"/>
      <c r="S69" s="53"/>
    </row>
    <row r="70" spans="1:19" ht="36" x14ac:dyDescent="0.25">
      <c r="A70" s="99">
        <v>1200</v>
      </c>
      <c r="B70" s="247" t="s">
        <v>88</v>
      </c>
      <c r="C70" s="313">
        <f t="shared" si="3"/>
        <v>49053</v>
      </c>
      <c r="D70" s="112">
        <f t="shared" ref="D70:O70" si="15">SUM(D71:D72)</f>
        <v>44602</v>
      </c>
      <c r="E70" s="293">
        <f t="shared" si="15"/>
        <v>239</v>
      </c>
      <c r="F70" s="114">
        <f t="shared" si="15"/>
        <v>44841</v>
      </c>
      <c r="G70" s="112">
        <f t="shared" si="15"/>
        <v>0</v>
      </c>
      <c r="H70" s="113">
        <f t="shared" si="15"/>
        <v>0</v>
      </c>
      <c r="I70" s="292">
        <f t="shared" si="15"/>
        <v>0</v>
      </c>
      <c r="J70" s="112">
        <f t="shared" si="15"/>
        <v>4212</v>
      </c>
      <c r="K70" s="248">
        <f t="shared" si="15"/>
        <v>0</v>
      </c>
      <c r="L70" s="249">
        <f t="shared" si="15"/>
        <v>4212</v>
      </c>
      <c r="M70" s="112">
        <f t="shared" si="15"/>
        <v>0</v>
      </c>
      <c r="N70" s="293">
        <f t="shared" si="15"/>
        <v>0</v>
      </c>
      <c r="O70" s="313">
        <f t="shared" si="15"/>
        <v>0</v>
      </c>
      <c r="P70" s="114"/>
      <c r="R70" s="53"/>
      <c r="S70" s="53"/>
    </row>
    <row r="71" spans="1:19" ht="37.5" customHeight="1" x14ac:dyDescent="0.25">
      <c r="A71" s="294">
        <v>1210</v>
      </c>
      <c r="B71" s="116" t="s">
        <v>89</v>
      </c>
      <c r="C71" s="263">
        <f t="shared" si="3"/>
        <v>33232</v>
      </c>
      <c r="D71" s="123">
        <f>35376-1159-4328</f>
        <v>29889</v>
      </c>
      <c r="E71" s="262"/>
      <c r="F71" s="442">
        <f>D71+E71</f>
        <v>29889</v>
      </c>
      <c r="G71" s="123"/>
      <c r="H71" s="124"/>
      <c r="I71" s="264">
        <f>G71+H71</f>
        <v>0</v>
      </c>
      <c r="J71" s="480">
        <v>3343</v>
      </c>
      <c r="K71" s="481"/>
      <c r="L71" s="482">
        <f>J71+K71</f>
        <v>3343</v>
      </c>
      <c r="M71" s="123"/>
      <c r="N71" s="262"/>
      <c r="O71" s="473">
        <f>N71+M71</f>
        <v>0</v>
      </c>
      <c r="P71" s="483"/>
      <c r="R71" s="53"/>
      <c r="S71" s="53"/>
    </row>
    <row r="72" spans="1:19" ht="24" x14ac:dyDescent="0.25">
      <c r="A72" s="276">
        <v>1220</v>
      </c>
      <c r="B72" s="127" t="s">
        <v>90</v>
      </c>
      <c r="C72" s="286">
        <f t="shared" si="3"/>
        <v>15821</v>
      </c>
      <c r="D72" s="277">
        <f t="shared" ref="D72:O72" si="16">SUM(D73:D77)</f>
        <v>14713</v>
      </c>
      <c r="E72" s="282">
        <f t="shared" si="16"/>
        <v>239</v>
      </c>
      <c r="F72" s="136">
        <f t="shared" si="16"/>
        <v>14952</v>
      </c>
      <c r="G72" s="277">
        <f t="shared" si="16"/>
        <v>0</v>
      </c>
      <c r="H72" s="280">
        <f t="shared" si="16"/>
        <v>0</v>
      </c>
      <c r="I72" s="281">
        <f t="shared" si="16"/>
        <v>0</v>
      </c>
      <c r="J72" s="277">
        <f t="shared" si="16"/>
        <v>869</v>
      </c>
      <c r="K72" s="278">
        <f t="shared" si="16"/>
        <v>0</v>
      </c>
      <c r="L72" s="279">
        <f t="shared" si="16"/>
        <v>869</v>
      </c>
      <c r="M72" s="277">
        <f t="shared" si="16"/>
        <v>0</v>
      </c>
      <c r="N72" s="282">
        <f t="shared" si="16"/>
        <v>0</v>
      </c>
      <c r="O72" s="286">
        <f t="shared" si="16"/>
        <v>0</v>
      </c>
      <c r="P72" s="136"/>
      <c r="R72" s="53"/>
      <c r="S72" s="53"/>
    </row>
    <row r="73" spans="1:19" ht="66" customHeight="1" x14ac:dyDescent="0.25">
      <c r="A73" s="76">
        <v>1221</v>
      </c>
      <c r="B73" s="127" t="s">
        <v>91</v>
      </c>
      <c r="C73" s="286">
        <f t="shared" si="3"/>
        <v>10628</v>
      </c>
      <c r="D73" s="134">
        <v>10389</v>
      </c>
      <c r="E73" s="285">
        <v>239</v>
      </c>
      <c r="F73" s="443">
        <f>D73+E73</f>
        <v>10628</v>
      </c>
      <c r="G73" s="134"/>
      <c r="H73" s="135"/>
      <c r="I73" s="284">
        <f>G73+H73</f>
        <v>0</v>
      </c>
      <c r="J73" s="134"/>
      <c r="K73" s="283"/>
      <c r="L73" s="474">
        <f>J73+K73</f>
        <v>0</v>
      </c>
      <c r="M73" s="134"/>
      <c r="N73" s="285"/>
      <c r="O73" s="475">
        <f>N73+M73</f>
        <v>0</v>
      </c>
      <c r="P73" s="441"/>
      <c r="R73" s="53"/>
      <c r="S73" s="53"/>
    </row>
    <row r="74" spans="1:19" hidden="1" x14ac:dyDescent="0.25">
      <c r="A74" s="76">
        <v>1223</v>
      </c>
      <c r="B74" s="127" t="s">
        <v>92</v>
      </c>
      <c r="C74" s="286">
        <f t="shared" si="3"/>
        <v>0</v>
      </c>
      <c r="D74" s="134"/>
      <c r="E74" s="285"/>
      <c r="F74" s="443">
        <f>D74+E74</f>
        <v>0</v>
      </c>
      <c r="G74" s="134"/>
      <c r="H74" s="135"/>
      <c r="I74" s="284">
        <f>G74+H74</f>
        <v>0</v>
      </c>
      <c r="J74" s="134"/>
      <c r="K74" s="285"/>
      <c r="L74" s="443">
        <f>J74+K74</f>
        <v>0</v>
      </c>
      <c r="M74" s="134"/>
      <c r="N74" s="285"/>
      <c r="O74" s="475">
        <f>N74+M74</f>
        <v>0</v>
      </c>
      <c r="P74" s="443"/>
      <c r="R74" s="53"/>
      <c r="S74" s="53"/>
    </row>
    <row r="75" spans="1:19" hidden="1" x14ac:dyDescent="0.25">
      <c r="A75" s="76">
        <v>1225</v>
      </c>
      <c r="B75" s="127" t="s">
        <v>93</v>
      </c>
      <c r="C75" s="286">
        <f t="shared" si="3"/>
        <v>0</v>
      </c>
      <c r="D75" s="134"/>
      <c r="E75" s="285"/>
      <c r="F75" s="443">
        <f>D75+E75</f>
        <v>0</v>
      </c>
      <c r="G75" s="134"/>
      <c r="H75" s="135"/>
      <c r="I75" s="284">
        <f>G75+H75</f>
        <v>0</v>
      </c>
      <c r="J75" s="134"/>
      <c r="K75" s="285"/>
      <c r="L75" s="443">
        <f>J75+K75</f>
        <v>0</v>
      </c>
      <c r="M75" s="134"/>
      <c r="N75" s="285"/>
      <c r="O75" s="475">
        <f>N75+M75</f>
        <v>0</v>
      </c>
      <c r="P75" s="443"/>
      <c r="R75" s="53"/>
      <c r="S75" s="53"/>
    </row>
    <row r="76" spans="1:19" ht="36" x14ac:dyDescent="0.25">
      <c r="A76" s="76">
        <v>1227</v>
      </c>
      <c r="B76" s="127" t="s">
        <v>94</v>
      </c>
      <c r="C76" s="286">
        <f t="shared" si="3"/>
        <v>3682</v>
      </c>
      <c r="D76" s="134">
        <v>3682</v>
      </c>
      <c r="E76" s="285"/>
      <c r="F76" s="443">
        <f>D76+E76</f>
        <v>3682</v>
      </c>
      <c r="G76" s="134"/>
      <c r="H76" s="135"/>
      <c r="I76" s="284">
        <f>G76+H76</f>
        <v>0</v>
      </c>
      <c r="J76" s="134"/>
      <c r="K76" s="283"/>
      <c r="L76" s="474">
        <f>J76+K76</f>
        <v>0</v>
      </c>
      <c r="M76" s="134"/>
      <c r="N76" s="285"/>
      <c r="O76" s="475">
        <f>N76+M76</f>
        <v>0</v>
      </c>
      <c r="P76" s="441"/>
      <c r="R76" s="53"/>
      <c r="S76" s="53"/>
    </row>
    <row r="77" spans="1:19" ht="57" customHeight="1" x14ac:dyDescent="0.25">
      <c r="A77" s="76">
        <v>1228</v>
      </c>
      <c r="B77" s="127" t="s">
        <v>95</v>
      </c>
      <c r="C77" s="286">
        <f t="shared" si="3"/>
        <v>1511</v>
      </c>
      <c r="D77" s="134">
        <v>642</v>
      </c>
      <c r="E77" s="285"/>
      <c r="F77" s="443">
        <f>D77+E77</f>
        <v>642</v>
      </c>
      <c r="G77" s="134"/>
      <c r="H77" s="135"/>
      <c r="I77" s="284">
        <f>G77+H77</f>
        <v>0</v>
      </c>
      <c r="J77" s="134">
        <v>869</v>
      </c>
      <c r="K77" s="283"/>
      <c r="L77" s="474">
        <f>J77+K77</f>
        <v>869</v>
      </c>
      <c r="M77" s="134"/>
      <c r="N77" s="285"/>
      <c r="O77" s="475">
        <f>N77+M77</f>
        <v>0</v>
      </c>
      <c r="P77" s="441"/>
      <c r="R77" s="53"/>
      <c r="S77" s="53"/>
    </row>
    <row r="78" spans="1:19" x14ac:dyDescent="0.25">
      <c r="A78" s="237">
        <v>2000</v>
      </c>
      <c r="B78" s="237" t="s">
        <v>96</v>
      </c>
      <c r="C78" s="465">
        <f t="shared" si="3"/>
        <v>123290</v>
      </c>
      <c r="D78" s="466">
        <f>SUM(D79,D86,D133,D167,D168,D175)</f>
        <v>26682</v>
      </c>
      <c r="E78" s="467">
        <f t="shared" ref="E78:O78" si="17">SUM(E79,E86,E133,E167,E168,E175)</f>
        <v>0</v>
      </c>
      <c r="F78" s="468">
        <f t="shared" si="17"/>
        <v>26682</v>
      </c>
      <c r="G78" s="466">
        <f t="shared" si="17"/>
        <v>0</v>
      </c>
      <c r="H78" s="469">
        <f t="shared" si="17"/>
        <v>0</v>
      </c>
      <c r="I78" s="470">
        <f t="shared" si="17"/>
        <v>0</v>
      </c>
      <c r="J78" s="466">
        <f t="shared" si="17"/>
        <v>96608</v>
      </c>
      <c r="K78" s="471">
        <f t="shared" si="17"/>
        <v>0</v>
      </c>
      <c r="L78" s="472">
        <f t="shared" si="17"/>
        <v>96608</v>
      </c>
      <c r="M78" s="239">
        <f t="shared" si="17"/>
        <v>0</v>
      </c>
      <c r="N78" s="245">
        <f t="shared" si="17"/>
        <v>0</v>
      </c>
      <c r="O78" s="320">
        <f t="shared" si="17"/>
        <v>0</v>
      </c>
      <c r="P78" s="243"/>
      <c r="R78" s="53"/>
      <c r="S78" s="53"/>
    </row>
    <row r="79" spans="1:19" ht="24" hidden="1" x14ac:dyDescent="0.25">
      <c r="A79" s="99">
        <v>2100</v>
      </c>
      <c r="B79" s="247" t="s">
        <v>97</v>
      </c>
      <c r="C79" s="313">
        <f t="shared" si="3"/>
        <v>0</v>
      </c>
      <c r="D79" s="112">
        <f t="shared" ref="D79:O79" si="18">SUM(D80,D83)</f>
        <v>0</v>
      </c>
      <c r="E79" s="293">
        <f t="shared" si="18"/>
        <v>0</v>
      </c>
      <c r="F79" s="114">
        <f t="shared" si="18"/>
        <v>0</v>
      </c>
      <c r="G79" s="112">
        <f t="shared" si="18"/>
        <v>0</v>
      </c>
      <c r="H79" s="113">
        <f t="shared" si="18"/>
        <v>0</v>
      </c>
      <c r="I79" s="292">
        <f t="shared" si="18"/>
        <v>0</v>
      </c>
      <c r="J79" s="112">
        <f t="shared" si="18"/>
        <v>0</v>
      </c>
      <c r="K79" s="293">
        <f t="shared" si="18"/>
        <v>0</v>
      </c>
      <c r="L79" s="114">
        <f t="shared" si="18"/>
        <v>0</v>
      </c>
      <c r="M79" s="112">
        <f t="shared" si="18"/>
        <v>0</v>
      </c>
      <c r="N79" s="293">
        <f t="shared" si="18"/>
        <v>0</v>
      </c>
      <c r="O79" s="313">
        <f t="shared" si="18"/>
        <v>0</v>
      </c>
      <c r="P79" s="114"/>
      <c r="R79" s="53"/>
      <c r="S79" s="53"/>
    </row>
    <row r="80" spans="1:19" ht="24" hidden="1" x14ac:dyDescent="0.25">
      <c r="A80" s="294">
        <v>2110</v>
      </c>
      <c r="B80" s="116" t="s">
        <v>98</v>
      </c>
      <c r="C80" s="263">
        <f t="shared" si="3"/>
        <v>0</v>
      </c>
      <c r="D80" s="297">
        <f t="shared" ref="D80:O80" si="19">SUM(D81:D82)</f>
        <v>0</v>
      </c>
      <c r="E80" s="301">
        <f t="shared" si="19"/>
        <v>0</v>
      </c>
      <c r="F80" s="125">
        <f t="shared" si="19"/>
        <v>0</v>
      </c>
      <c r="G80" s="297">
        <f t="shared" si="19"/>
        <v>0</v>
      </c>
      <c r="H80" s="299">
        <f t="shared" si="19"/>
        <v>0</v>
      </c>
      <c r="I80" s="300">
        <f t="shared" si="19"/>
        <v>0</v>
      </c>
      <c r="J80" s="297">
        <f t="shared" si="19"/>
        <v>0</v>
      </c>
      <c r="K80" s="301">
        <f t="shared" si="19"/>
        <v>0</v>
      </c>
      <c r="L80" s="125">
        <f t="shared" si="19"/>
        <v>0</v>
      </c>
      <c r="M80" s="297">
        <f t="shared" si="19"/>
        <v>0</v>
      </c>
      <c r="N80" s="301">
        <f t="shared" si="19"/>
        <v>0</v>
      </c>
      <c r="O80" s="263">
        <f t="shared" si="19"/>
        <v>0</v>
      </c>
      <c r="P80" s="125"/>
      <c r="R80" s="53"/>
      <c r="S80" s="53"/>
    </row>
    <row r="81" spans="1:19" hidden="1" x14ac:dyDescent="0.25">
      <c r="A81" s="76">
        <v>2111</v>
      </c>
      <c r="B81" s="127" t="s">
        <v>99</v>
      </c>
      <c r="C81" s="286">
        <f t="shared" si="3"/>
        <v>0</v>
      </c>
      <c r="D81" s="134"/>
      <c r="E81" s="285"/>
      <c r="F81" s="443">
        <f>D81+E81</f>
        <v>0</v>
      </c>
      <c r="G81" s="134"/>
      <c r="H81" s="135"/>
      <c r="I81" s="284">
        <f>G81+H81</f>
        <v>0</v>
      </c>
      <c r="J81" s="134"/>
      <c r="K81" s="285"/>
      <c r="L81" s="443">
        <f>J81+K81</f>
        <v>0</v>
      </c>
      <c r="M81" s="134"/>
      <c r="N81" s="285"/>
      <c r="O81" s="475">
        <f>N81+M81</f>
        <v>0</v>
      </c>
      <c r="P81" s="443"/>
      <c r="R81" s="53"/>
      <c r="S81" s="53"/>
    </row>
    <row r="82" spans="1:19" ht="24" hidden="1" x14ac:dyDescent="0.25">
      <c r="A82" s="76">
        <v>2112</v>
      </c>
      <c r="B82" s="127" t="s">
        <v>100</v>
      </c>
      <c r="C82" s="286">
        <f t="shared" si="3"/>
        <v>0</v>
      </c>
      <c r="D82" s="134"/>
      <c r="E82" s="285"/>
      <c r="F82" s="443">
        <f>D82+E82</f>
        <v>0</v>
      </c>
      <c r="G82" s="134"/>
      <c r="H82" s="135"/>
      <c r="I82" s="284">
        <f>G82+H82</f>
        <v>0</v>
      </c>
      <c r="J82" s="134"/>
      <c r="K82" s="285"/>
      <c r="L82" s="443">
        <f>J82+K82</f>
        <v>0</v>
      </c>
      <c r="M82" s="134"/>
      <c r="N82" s="285"/>
      <c r="O82" s="475">
        <f>N82+M82</f>
        <v>0</v>
      </c>
      <c r="P82" s="443"/>
      <c r="R82" s="53"/>
      <c r="S82" s="53"/>
    </row>
    <row r="83" spans="1:19" ht="24" hidden="1" x14ac:dyDescent="0.25">
      <c r="A83" s="276">
        <v>2120</v>
      </c>
      <c r="B83" s="127" t="s">
        <v>101</v>
      </c>
      <c r="C83" s="286">
        <f t="shared" si="3"/>
        <v>0</v>
      </c>
      <c r="D83" s="277">
        <f t="shared" ref="D83:O83" si="20">SUM(D84:D85)</f>
        <v>0</v>
      </c>
      <c r="E83" s="282">
        <f t="shared" si="20"/>
        <v>0</v>
      </c>
      <c r="F83" s="136">
        <f t="shared" si="20"/>
        <v>0</v>
      </c>
      <c r="G83" s="277">
        <f t="shared" si="20"/>
        <v>0</v>
      </c>
      <c r="H83" s="280">
        <f t="shared" si="20"/>
        <v>0</v>
      </c>
      <c r="I83" s="281">
        <f t="shared" si="20"/>
        <v>0</v>
      </c>
      <c r="J83" s="277">
        <f t="shared" si="20"/>
        <v>0</v>
      </c>
      <c r="K83" s="282">
        <f t="shared" si="20"/>
        <v>0</v>
      </c>
      <c r="L83" s="136">
        <f t="shared" si="20"/>
        <v>0</v>
      </c>
      <c r="M83" s="277">
        <f t="shared" si="20"/>
        <v>0</v>
      </c>
      <c r="N83" s="282">
        <f t="shared" si="20"/>
        <v>0</v>
      </c>
      <c r="O83" s="286">
        <f t="shared" si="20"/>
        <v>0</v>
      </c>
      <c r="P83" s="136"/>
      <c r="R83" s="53"/>
      <c r="S83" s="53"/>
    </row>
    <row r="84" spans="1:19" hidden="1" x14ac:dyDescent="0.25">
      <c r="A84" s="76">
        <v>2121</v>
      </c>
      <c r="B84" s="127" t="s">
        <v>99</v>
      </c>
      <c r="C84" s="286">
        <f t="shared" si="3"/>
        <v>0</v>
      </c>
      <c r="D84" s="134"/>
      <c r="E84" s="285"/>
      <c r="F84" s="443">
        <f>D84+E84</f>
        <v>0</v>
      </c>
      <c r="G84" s="134"/>
      <c r="H84" s="135"/>
      <c r="I84" s="284">
        <f>G84+H84</f>
        <v>0</v>
      </c>
      <c r="J84" s="134"/>
      <c r="K84" s="285"/>
      <c r="L84" s="443">
        <f>J84+K84</f>
        <v>0</v>
      </c>
      <c r="M84" s="134"/>
      <c r="N84" s="285"/>
      <c r="O84" s="475">
        <f>N84+M84</f>
        <v>0</v>
      </c>
      <c r="P84" s="443"/>
      <c r="R84" s="53"/>
      <c r="S84" s="53"/>
    </row>
    <row r="85" spans="1:19" ht="24" hidden="1" x14ac:dyDescent="0.25">
      <c r="A85" s="76">
        <v>2122</v>
      </c>
      <c r="B85" s="127" t="s">
        <v>100</v>
      </c>
      <c r="C85" s="286">
        <f t="shared" si="3"/>
        <v>0</v>
      </c>
      <c r="D85" s="134"/>
      <c r="E85" s="285"/>
      <c r="F85" s="443">
        <f>D85+E85</f>
        <v>0</v>
      </c>
      <c r="G85" s="134"/>
      <c r="H85" s="135"/>
      <c r="I85" s="284">
        <f>G85+H85</f>
        <v>0</v>
      </c>
      <c r="J85" s="134"/>
      <c r="K85" s="285"/>
      <c r="L85" s="443">
        <f>J85+K85</f>
        <v>0</v>
      </c>
      <c r="M85" s="134"/>
      <c r="N85" s="285"/>
      <c r="O85" s="475">
        <f>N85+M85</f>
        <v>0</v>
      </c>
      <c r="P85" s="443"/>
      <c r="R85" s="53"/>
      <c r="S85" s="53"/>
    </row>
    <row r="86" spans="1:19" x14ac:dyDescent="0.25">
      <c r="A86" s="99">
        <v>2200</v>
      </c>
      <c r="B86" s="247" t="s">
        <v>102</v>
      </c>
      <c r="C86" s="313">
        <f t="shared" si="3"/>
        <v>82913</v>
      </c>
      <c r="D86" s="112">
        <f>SUM(D87,D92,D98,D106,D115,D119,D125,D131)</f>
        <v>17534</v>
      </c>
      <c r="E86" s="293">
        <f t="shared" ref="E86:O86" si="21">SUM(E87,E92,E98,E106,E115,E119,E125,E131)</f>
        <v>0</v>
      </c>
      <c r="F86" s="114">
        <f t="shared" si="21"/>
        <v>17534</v>
      </c>
      <c r="G86" s="112">
        <f t="shared" si="21"/>
        <v>0</v>
      </c>
      <c r="H86" s="113">
        <f t="shared" si="21"/>
        <v>0</v>
      </c>
      <c r="I86" s="292">
        <f t="shared" si="21"/>
        <v>0</v>
      </c>
      <c r="J86" s="112">
        <f t="shared" si="21"/>
        <v>65379</v>
      </c>
      <c r="K86" s="248">
        <f t="shared" si="21"/>
        <v>0</v>
      </c>
      <c r="L86" s="249">
        <f t="shared" si="21"/>
        <v>65379</v>
      </c>
      <c r="M86" s="360">
        <f t="shared" si="21"/>
        <v>0</v>
      </c>
      <c r="N86" s="293">
        <f t="shared" si="21"/>
        <v>0</v>
      </c>
      <c r="O86" s="313">
        <f t="shared" si="21"/>
        <v>0</v>
      </c>
      <c r="P86" s="114"/>
      <c r="R86" s="53"/>
      <c r="S86" s="53"/>
    </row>
    <row r="87" spans="1:19" ht="24" x14ac:dyDescent="0.25">
      <c r="A87" s="254">
        <v>2210</v>
      </c>
      <c r="B87" s="179" t="s">
        <v>103</v>
      </c>
      <c r="C87" s="310">
        <f t="shared" si="3"/>
        <v>7271</v>
      </c>
      <c r="D87" s="255">
        <f t="shared" ref="D87:O87" si="22">SUM(D88:D91)</f>
        <v>659</v>
      </c>
      <c r="E87" s="261">
        <f t="shared" si="22"/>
        <v>0</v>
      </c>
      <c r="F87" s="259">
        <f t="shared" si="22"/>
        <v>659</v>
      </c>
      <c r="G87" s="255">
        <f t="shared" si="22"/>
        <v>0</v>
      </c>
      <c r="H87" s="258">
        <f t="shared" si="22"/>
        <v>0</v>
      </c>
      <c r="I87" s="260">
        <f t="shared" si="22"/>
        <v>0</v>
      </c>
      <c r="J87" s="255">
        <f t="shared" si="22"/>
        <v>6612</v>
      </c>
      <c r="K87" s="256">
        <f t="shared" si="22"/>
        <v>0</v>
      </c>
      <c r="L87" s="257">
        <f t="shared" si="22"/>
        <v>6612</v>
      </c>
      <c r="M87" s="255">
        <f t="shared" si="22"/>
        <v>0</v>
      </c>
      <c r="N87" s="261">
        <f t="shared" si="22"/>
        <v>0</v>
      </c>
      <c r="O87" s="310">
        <f t="shared" si="22"/>
        <v>0</v>
      </c>
      <c r="P87" s="259"/>
      <c r="R87" s="53"/>
      <c r="S87" s="53"/>
    </row>
    <row r="88" spans="1:19" ht="24" hidden="1" x14ac:dyDescent="0.25">
      <c r="A88" s="66">
        <v>2211</v>
      </c>
      <c r="B88" s="116" t="s">
        <v>104</v>
      </c>
      <c r="C88" s="263">
        <f t="shared" si="3"/>
        <v>0</v>
      </c>
      <c r="D88" s="123"/>
      <c r="E88" s="262"/>
      <c r="F88" s="442">
        <f>D88+E88</f>
        <v>0</v>
      </c>
      <c r="G88" s="123"/>
      <c r="H88" s="124"/>
      <c r="I88" s="264">
        <f>G88+H88</f>
        <v>0</v>
      </c>
      <c r="J88" s="123"/>
      <c r="K88" s="262"/>
      <c r="L88" s="442">
        <f>J88+K88</f>
        <v>0</v>
      </c>
      <c r="M88" s="123"/>
      <c r="N88" s="262"/>
      <c r="O88" s="473">
        <f>N88+M88</f>
        <v>0</v>
      </c>
      <c r="P88" s="442"/>
      <c r="R88" s="53"/>
      <c r="S88" s="53"/>
    </row>
    <row r="89" spans="1:19" ht="36" hidden="1" x14ac:dyDescent="0.25">
      <c r="A89" s="76">
        <v>2212</v>
      </c>
      <c r="B89" s="127" t="s">
        <v>105</v>
      </c>
      <c r="C89" s="286">
        <f t="shared" si="3"/>
        <v>0</v>
      </c>
      <c r="D89" s="134">
        <v>0</v>
      </c>
      <c r="E89" s="285"/>
      <c r="F89" s="443">
        <f>D89+E89</f>
        <v>0</v>
      </c>
      <c r="G89" s="134"/>
      <c r="H89" s="135"/>
      <c r="I89" s="284">
        <f>G89+H89</f>
        <v>0</v>
      </c>
      <c r="J89" s="134">
        <v>0</v>
      </c>
      <c r="K89" s="285"/>
      <c r="L89" s="443">
        <f>J89+K89</f>
        <v>0</v>
      </c>
      <c r="M89" s="134"/>
      <c r="N89" s="285"/>
      <c r="O89" s="475">
        <f>N89+M89</f>
        <v>0</v>
      </c>
      <c r="P89" s="441"/>
      <c r="R89" s="53"/>
      <c r="S89" s="53"/>
    </row>
    <row r="90" spans="1:19" ht="24" x14ac:dyDescent="0.25">
      <c r="A90" s="76">
        <v>2214</v>
      </c>
      <c r="B90" s="127" t="s">
        <v>106</v>
      </c>
      <c r="C90" s="286">
        <f t="shared" si="3"/>
        <v>1201</v>
      </c>
      <c r="D90" s="134">
        <v>659</v>
      </c>
      <c r="E90" s="285"/>
      <c r="F90" s="443">
        <f>D90+E90</f>
        <v>659</v>
      </c>
      <c r="G90" s="134"/>
      <c r="H90" s="135"/>
      <c r="I90" s="284">
        <f>G90+H90</f>
        <v>0</v>
      </c>
      <c r="J90" s="134">
        <v>542</v>
      </c>
      <c r="K90" s="283"/>
      <c r="L90" s="474">
        <f>J90+K90</f>
        <v>542</v>
      </c>
      <c r="M90" s="134"/>
      <c r="N90" s="285"/>
      <c r="O90" s="475">
        <f>N90+M90</f>
        <v>0</v>
      </c>
      <c r="P90" s="484"/>
      <c r="R90" s="53"/>
      <c r="S90" s="53"/>
    </row>
    <row r="91" spans="1:19" x14ac:dyDescent="0.25">
      <c r="A91" s="76">
        <v>2219</v>
      </c>
      <c r="B91" s="127" t="s">
        <v>107</v>
      </c>
      <c r="C91" s="286">
        <f t="shared" si="3"/>
        <v>6070</v>
      </c>
      <c r="D91" s="134"/>
      <c r="E91" s="285"/>
      <c r="F91" s="443">
        <f>D91+E91</f>
        <v>0</v>
      </c>
      <c r="G91" s="134"/>
      <c r="H91" s="135"/>
      <c r="I91" s="284">
        <f>G91+H91</f>
        <v>0</v>
      </c>
      <c r="J91" s="134">
        <v>6070</v>
      </c>
      <c r="K91" s="283"/>
      <c r="L91" s="474">
        <f>J91+K91</f>
        <v>6070</v>
      </c>
      <c r="M91" s="134"/>
      <c r="N91" s="285"/>
      <c r="O91" s="475">
        <f>N91+M91</f>
        <v>0</v>
      </c>
      <c r="P91" s="443"/>
      <c r="R91" s="53"/>
      <c r="S91" s="53"/>
    </row>
    <row r="92" spans="1:19" ht="24" x14ac:dyDescent="0.25">
      <c r="A92" s="276">
        <v>2220</v>
      </c>
      <c r="B92" s="127" t="s">
        <v>108</v>
      </c>
      <c r="C92" s="286">
        <f t="shared" si="3"/>
        <v>37431</v>
      </c>
      <c r="D92" s="277">
        <f t="shared" ref="D92:O92" si="23">SUM(D93:D97)</f>
        <v>8111</v>
      </c>
      <c r="E92" s="282">
        <f t="shared" si="23"/>
        <v>0</v>
      </c>
      <c r="F92" s="136">
        <f t="shared" si="23"/>
        <v>8111</v>
      </c>
      <c r="G92" s="277">
        <f t="shared" si="23"/>
        <v>0</v>
      </c>
      <c r="H92" s="280">
        <f t="shared" si="23"/>
        <v>0</v>
      </c>
      <c r="I92" s="281">
        <f t="shared" si="23"/>
        <v>0</v>
      </c>
      <c r="J92" s="277">
        <f t="shared" si="23"/>
        <v>29320</v>
      </c>
      <c r="K92" s="278">
        <f t="shared" si="23"/>
        <v>0</v>
      </c>
      <c r="L92" s="279">
        <f t="shared" si="23"/>
        <v>29320</v>
      </c>
      <c r="M92" s="277">
        <f t="shared" si="23"/>
        <v>0</v>
      </c>
      <c r="N92" s="282">
        <f t="shared" si="23"/>
        <v>0</v>
      </c>
      <c r="O92" s="286">
        <f t="shared" si="23"/>
        <v>0</v>
      </c>
      <c r="P92" s="136"/>
      <c r="R92" s="53"/>
      <c r="S92" s="53"/>
    </row>
    <row r="93" spans="1:19" hidden="1" x14ac:dyDescent="0.25">
      <c r="A93" s="76">
        <v>2221</v>
      </c>
      <c r="B93" s="127" t="s">
        <v>109</v>
      </c>
      <c r="C93" s="286">
        <f t="shared" si="3"/>
        <v>0</v>
      </c>
      <c r="D93" s="134"/>
      <c r="E93" s="285"/>
      <c r="F93" s="443">
        <f>D93+E93</f>
        <v>0</v>
      </c>
      <c r="G93" s="134"/>
      <c r="H93" s="135"/>
      <c r="I93" s="284">
        <f>G93+H93</f>
        <v>0</v>
      </c>
      <c r="J93" s="134"/>
      <c r="K93" s="285"/>
      <c r="L93" s="443">
        <f>J93+K93</f>
        <v>0</v>
      </c>
      <c r="M93" s="134"/>
      <c r="N93" s="285"/>
      <c r="O93" s="475">
        <f>N93+M93</f>
        <v>0</v>
      </c>
      <c r="P93" s="443"/>
      <c r="R93" s="53"/>
      <c r="S93" s="53"/>
    </row>
    <row r="94" spans="1:19" x14ac:dyDescent="0.25">
      <c r="A94" s="76">
        <v>2222</v>
      </c>
      <c r="B94" s="127" t="s">
        <v>110</v>
      </c>
      <c r="C94" s="286">
        <f t="shared" si="3"/>
        <v>52</v>
      </c>
      <c r="D94" s="134"/>
      <c r="E94" s="285"/>
      <c r="F94" s="443">
        <f>D94+E94</f>
        <v>0</v>
      </c>
      <c r="G94" s="134"/>
      <c r="H94" s="135"/>
      <c r="I94" s="284">
        <f>G94+H94</f>
        <v>0</v>
      </c>
      <c r="J94" s="134">
        <v>52</v>
      </c>
      <c r="K94" s="283"/>
      <c r="L94" s="474">
        <f>J94+K94</f>
        <v>52</v>
      </c>
      <c r="M94" s="134"/>
      <c r="N94" s="285"/>
      <c r="O94" s="475">
        <f>N94+M94</f>
        <v>0</v>
      </c>
      <c r="P94" s="441"/>
      <c r="R94" s="53"/>
      <c r="S94" s="53"/>
    </row>
    <row r="95" spans="1:19" ht="31.5" customHeight="1" x14ac:dyDescent="0.25">
      <c r="A95" s="76">
        <v>2223</v>
      </c>
      <c r="B95" s="127" t="s">
        <v>111</v>
      </c>
      <c r="C95" s="286">
        <f t="shared" si="3"/>
        <v>7311</v>
      </c>
      <c r="D95" s="134"/>
      <c r="E95" s="285"/>
      <c r="F95" s="443">
        <f>D95+E95</f>
        <v>0</v>
      </c>
      <c r="G95" s="134"/>
      <c r="H95" s="135"/>
      <c r="I95" s="284">
        <f>G95+H95</f>
        <v>0</v>
      </c>
      <c r="J95" s="134">
        <v>7311</v>
      </c>
      <c r="K95" s="283"/>
      <c r="L95" s="474">
        <f>J95+K95</f>
        <v>7311</v>
      </c>
      <c r="M95" s="134"/>
      <c r="N95" s="285"/>
      <c r="O95" s="475">
        <f>N95+M95</f>
        <v>0</v>
      </c>
      <c r="P95" s="441"/>
      <c r="R95" s="53"/>
      <c r="S95" s="53"/>
    </row>
    <row r="96" spans="1:19" ht="48" x14ac:dyDescent="0.25">
      <c r="A96" s="76">
        <v>2224</v>
      </c>
      <c r="B96" s="127" t="s">
        <v>112</v>
      </c>
      <c r="C96" s="286">
        <f t="shared" si="3"/>
        <v>30068</v>
      </c>
      <c r="D96" s="134">
        <v>8111</v>
      </c>
      <c r="E96" s="285"/>
      <c r="F96" s="443">
        <f>D96+E96</f>
        <v>8111</v>
      </c>
      <c r="G96" s="134"/>
      <c r="H96" s="135"/>
      <c r="I96" s="284">
        <f>G96+H96</f>
        <v>0</v>
      </c>
      <c r="J96" s="134">
        <v>21957</v>
      </c>
      <c r="K96" s="269"/>
      <c r="L96" s="474">
        <f>J96+K96</f>
        <v>21957</v>
      </c>
      <c r="M96" s="134"/>
      <c r="N96" s="285"/>
      <c r="O96" s="475">
        <f>N96+M96</f>
        <v>0</v>
      </c>
      <c r="P96" s="484"/>
      <c r="R96" s="53"/>
      <c r="S96" s="53"/>
    </row>
    <row r="97" spans="1:19" ht="24" hidden="1" x14ac:dyDescent="0.25">
      <c r="A97" s="76">
        <v>2229</v>
      </c>
      <c r="B97" s="127" t="s">
        <v>113</v>
      </c>
      <c r="C97" s="286">
        <f t="shared" si="3"/>
        <v>0</v>
      </c>
      <c r="D97" s="134"/>
      <c r="E97" s="285"/>
      <c r="F97" s="443">
        <f>D97+E97</f>
        <v>0</v>
      </c>
      <c r="G97" s="134"/>
      <c r="H97" s="135"/>
      <c r="I97" s="284">
        <f>G97+H97</f>
        <v>0</v>
      </c>
      <c r="J97" s="134"/>
      <c r="K97" s="285"/>
      <c r="L97" s="443">
        <f>J97+K97</f>
        <v>0</v>
      </c>
      <c r="M97" s="134"/>
      <c r="N97" s="285"/>
      <c r="O97" s="475">
        <f>N97+M97</f>
        <v>0</v>
      </c>
      <c r="P97" s="443"/>
      <c r="R97" s="53"/>
      <c r="S97" s="53"/>
    </row>
    <row r="98" spans="1:19" ht="36" x14ac:dyDescent="0.25">
      <c r="A98" s="276">
        <v>2230</v>
      </c>
      <c r="B98" s="127" t="s">
        <v>114</v>
      </c>
      <c r="C98" s="286">
        <f t="shared" si="3"/>
        <v>12691</v>
      </c>
      <c r="D98" s="277">
        <f t="shared" ref="D98:O98" si="24">SUM(D99:D105)</f>
        <v>666</v>
      </c>
      <c r="E98" s="282">
        <f t="shared" si="24"/>
        <v>0</v>
      </c>
      <c r="F98" s="136">
        <f t="shared" si="24"/>
        <v>666</v>
      </c>
      <c r="G98" s="277">
        <f t="shared" si="24"/>
        <v>0</v>
      </c>
      <c r="H98" s="280">
        <f t="shared" si="24"/>
        <v>0</v>
      </c>
      <c r="I98" s="281">
        <f t="shared" si="24"/>
        <v>0</v>
      </c>
      <c r="J98" s="277">
        <f t="shared" si="24"/>
        <v>12025</v>
      </c>
      <c r="K98" s="278">
        <f>SUM(K99:K105)</f>
        <v>0</v>
      </c>
      <c r="L98" s="279">
        <f t="shared" si="24"/>
        <v>12025</v>
      </c>
      <c r="M98" s="277">
        <f t="shared" si="24"/>
        <v>0</v>
      </c>
      <c r="N98" s="282">
        <f t="shared" si="24"/>
        <v>0</v>
      </c>
      <c r="O98" s="286">
        <f t="shared" si="24"/>
        <v>0</v>
      </c>
      <c r="P98" s="136"/>
      <c r="R98" s="53"/>
      <c r="S98" s="53"/>
    </row>
    <row r="99" spans="1:19" ht="24" hidden="1" x14ac:dyDescent="0.25">
      <c r="A99" s="76">
        <v>2231</v>
      </c>
      <c r="B99" s="127" t="s">
        <v>115</v>
      </c>
      <c r="C99" s="286">
        <f t="shared" si="3"/>
        <v>0</v>
      </c>
      <c r="D99" s="134"/>
      <c r="E99" s="285"/>
      <c r="F99" s="443">
        <f t="shared" ref="F99:F105" si="25">D99+E99</f>
        <v>0</v>
      </c>
      <c r="G99" s="134"/>
      <c r="H99" s="135"/>
      <c r="I99" s="284">
        <f t="shared" ref="I99:I105" si="26">G99+H99</f>
        <v>0</v>
      </c>
      <c r="J99" s="134"/>
      <c r="K99" s="285"/>
      <c r="L99" s="443">
        <f t="shared" ref="L99:L105" si="27">J99+K99</f>
        <v>0</v>
      </c>
      <c r="M99" s="134"/>
      <c r="N99" s="285"/>
      <c r="O99" s="475">
        <f t="shared" ref="O99:O105" si="28">N99+M99</f>
        <v>0</v>
      </c>
      <c r="P99" s="443"/>
      <c r="R99" s="53"/>
      <c r="S99" s="53"/>
    </row>
    <row r="100" spans="1:19" ht="36" x14ac:dyDescent="0.25">
      <c r="A100" s="76">
        <v>2232</v>
      </c>
      <c r="B100" s="127" t="s">
        <v>116</v>
      </c>
      <c r="C100" s="286">
        <f t="shared" si="3"/>
        <v>666</v>
      </c>
      <c r="D100" s="134">
        <v>666</v>
      </c>
      <c r="E100" s="285"/>
      <c r="F100" s="443">
        <f t="shared" si="25"/>
        <v>666</v>
      </c>
      <c r="G100" s="134"/>
      <c r="H100" s="135"/>
      <c r="I100" s="284">
        <f t="shared" si="26"/>
        <v>0</v>
      </c>
      <c r="J100" s="134"/>
      <c r="K100" s="283"/>
      <c r="L100" s="474">
        <f t="shared" si="27"/>
        <v>0</v>
      </c>
      <c r="M100" s="134"/>
      <c r="N100" s="285"/>
      <c r="O100" s="475">
        <f t="shared" si="28"/>
        <v>0</v>
      </c>
      <c r="P100" s="443"/>
      <c r="R100" s="53"/>
      <c r="S100" s="53"/>
    </row>
    <row r="101" spans="1:19" ht="24" hidden="1" x14ac:dyDescent="0.25">
      <c r="A101" s="66">
        <v>2233</v>
      </c>
      <c r="B101" s="116" t="s">
        <v>117</v>
      </c>
      <c r="C101" s="263">
        <f t="shared" si="3"/>
        <v>0</v>
      </c>
      <c r="D101" s="123"/>
      <c r="E101" s="262"/>
      <c r="F101" s="442">
        <f t="shared" si="25"/>
        <v>0</v>
      </c>
      <c r="G101" s="123"/>
      <c r="H101" s="124"/>
      <c r="I101" s="264">
        <f t="shared" si="26"/>
        <v>0</v>
      </c>
      <c r="J101" s="123"/>
      <c r="K101" s="262"/>
      <c r="L101" s="442">
        <f t="shared" si="27"/>
        <v>0</v>
      </c>
      <c r="M101" s="123"/>
      <c r="N101" s="262"/>
      <c r="O101" s="473">
        <f t="shared" si="28"/>
        <v>0</v>
      </c>
      <c r="P101" s="442"/>
      <c r="R101" s="53"/>
      <c r="S101" s="53"/>
    </row>
    <row r="102" spans="1:19" ht="36" hidden="1" x14ac:dyDescent="0.25">
      <c r="A102" s="76">
        <v>2234</v>
      </c>
      <c r="B102" s="127" t="s">
        <v>118</v>
      </c>
      <c r="C102" s="286">
        <f t="shared" si="3"/>
        <v>0</v>
      </c>
      <c r="D102" s="134"/>
      <c r="E102" s="285"/>
      <c r="F102" s="443">
        <f t="shared" si="25"/>
        <v>0</v>
      </c>
      <c r="G102" s="134"/>
      <c r="H102" s="135"/>
      <c r="I102" s="284">
        <f t="shared" si="26"/>
        <v>0</v>
      </c>
      <c r="J102" s="134"/>
      <c r="K102" s="285"/>
      <c r="L102" s="443">
        <f t="shared" si="27"/>
        <v>0</v>
      </c>
      <c r="M102" s="134"/>
      <c r="N102" s="285"/>
      <c r="O102" s="475">
        <f t="shared" si="28"/>
        <v>0</v>
      </c>
      <c r="P102" s="443"/>
      <c r="R102" s="53"/>
      <c r="S102" s="53"/>
    </row>
    <row r="103" spans="1:19" ht="24" x14ac:dyDescent="0.25">
      <c r="A103" s="76">
        <v>2235</v>
      </c>
      <c r="B103" s="127" t="s">
        <v>119</v>
      </c>
      <c r="C103" s="286">
        <f t="shared" si="3"/>
        <v>630</v>
      </c>
      <c r="D103" s="134"/>
      <c r="E103" s="285"/>
      <c r="F103" s="443">
        <f t="shared" si="25"/>
        <v>0</v>
      </c>
      <c r="G103" s="134"/>
      <c r="H103" s="135"/>
      <c r="I103" s="284">
        <f t="shared" si="26"/>
        <v>0</v>
      </c>
      <c r="J103" s="134">
        <v>630</v>
      </c>
      <c r="K103" s="283"/>
      <c r="L103" s="474">
        <f t="shared" si="27"/>
        <v>630</v>
      </c>
      <c r="M103" s="134"/>
      <c r="N103" s="285"/>
      <c r="O103" s="475">
        <f t="shared" si="28"/>
        <v>0</v>
      </c>
      <c r="P103" s="441"/>
      <c r="R103" s="53"/>
      <c r="S103" s="53"/>
    </row>
    <row r="104" spans="1:19" x14ac:dyDescent="0.25">
      <c r="A104" s="76">
        <v>2236</v>
      </c>
      <c r="B104" s="127" t="s">
        <v>120</v>
      </c>
      <c r="C104" s="286">
        <f t="shared" si="3"/>
        <v>750</v>
      </c>
      <c r="D104" s="134"/>
      <c r="E104" s="285"/>
      <c r="F104" s="443">
        <f t="shared" si="25"/>
        <v>0</v>
      </c>
      <c r="G104" s="134"/>
      <c r="H104" s="135"/>
      <c r="I104" s="284">
        <f t="shared" si="26"/>
        <v>0</v>
      </c>
      <c r="J104" s="134">
        <v>750</v>
      </c>
      <c r="K104" s="283"/>
      <c r="L104" s="474">
        <f t="shared" si="27"/>
        <v>750</v>
      </c>
      <c r="M104" s="134"/>
      <c r="N104" s="285"/>
      <c r="O104" s="475">
        <f t="shared" si="28"/>
        <v>0</v>
      </c>
      <c r="P104" s="85"/>
      <c r="R104" s="53"/>
      <c r="S104" s="53"/>
    </row>
    <row r="105" spans="1:19" ht="24" x14ac:dyDescent="0.25">
      <c r="A105" s="76">
        <v>2239</v>
      </c>
      <c r="B105" s="127" t="s">
        <v>121</v>
      </c>
      <c r="C105" s="286">
        <f t="shared" si="3"/>
        <v>10645</v>
      </c>
      <c r="D105" s="134"/>
      <c r="E105" s="285"/>
      <c r="F105" s="443">
        <f t="shared" si="25"/>
        <v>0</v>
      </c>
      <c r="G105" s="134"/>
      <c r="H105" s="135"/>
      <c r="I105" s="284">
        <f t="shared" si="26"/>
        <v>0</v>
      </c>
      <c r="J105" s="134">
        <v>10645</v>
      </c>
      <c r="K105" s="283"/>
      <c r="L105" s="474">
        <f t="shared" si="27"/>
        <v>10645</v>
      </c>
      <c r="M105" s="134"/>
      <c r="N105" s="285"/>
      <c r="O105" s="475">
        <f t="shared" si="28"/>
        <v>0</v>
      </c>
      <c r="P105" s="441"/>
      <c r="R105" s="53"/>
      <c r="S105" s="53"/>
    </row>
    <row r="106" spans="1:19" ht="36" x14ac:dyDescent="0.25">
      <c r="A106" s="276">
        <v>2240</v>
      </c>
      <c r="B106" s="127" t="s">
        <v>122</v>
      </c>
      <c r="C106" s="286">
        <f t="shared" si="3"/>
        <v>23267</v>
      </c>
      <c r="D106" s="277">
        <f t="shared" ref="D106:O106" si="29">SUM(D107:D114)</f>
        <v>8098</v>
      </c>
      <c r="E106" s="282">
        <f t="shared" si="29"/>
        <v>0</v>
      </c>
      <c r="F106" s="136">
        <f t="shared" si="29"/>
        <v>8098</v>
      </c>
      <c r="G106" s="277">
        <f t="shared" si="29"/>
        <v>0</v>
      </c>
      <c r="H106" s="280">
        <f t="shared" si="29"/>
        <v>0</v>
      </c>
      <c r="I106" s="281">
        <f t="shared" si="29"/>
        <v>0</v>
      </c>
      <c r="J106" s="277">
        <f t="shared" si="29"/>
        <v>15169</v>
      </c>
      <c r="K106" s="278">
        <f t="shared" si="29"/>
        <v>0</v>
      </c>
      <c r="L106" s="279">
        <f t="shared" si="29"/>
        <v>15169</v>
      </c>
      <c r="M106" s="277">
        <f t="shared" si="29"/>
        <v>0</v>
      </c>
      <c r="N106" s="282">
        <f t="shared" si="29"/>
        <v>0</v>
      </c>
      <c r="O106" s="286">
        <f t="shared" si="29"/>
        <v>0</v>
      </c>
      <c r="P106" s="136"/>
      <c r="R106" s="53"/>
      <c r="S106" s="53"/>
    </row>
    <row r="107" spans="1:19" hidden="1" x14ac:dyDescent="0.25">
      <c r="A107" s="76">
        <v>2241</v>
      </c>
      <c r="B107" s="127" t="s">
        <v>123</v>
      </c>
      <c r="C107" s="286">
        <f t="shared" si="3"/>
        <v>0</v>
      </c>
      <c r="D107" s="134"/>
      <c r="E107" s="285"/>
      <c r="F107" s="443">
        <f t="shared" ref="F107:F114" si="30">D107+E107</f>
        <v>0</v>
      </c>
      <c r="G107" s="134"/>
      <c r="H107" s="135"/>
      <c r="I107" s="284">
        <f t="shared" ref="I107:I114" si="31">G107+H107</f>
        <v>0</v>
      </c>
      <c r="J107" s="134"/>
      <c r="K107" s="285"/>
      <c r="L107" s="443">
        <f t="shared" ref="L107:L114" si="32">J107+K107</f>
        <v>0</v>
      </c>
      <c r="M107" s="134"/>
      <c r="N107" s="285"/>
      <c r="O107" s="475">
        <f t="shared" ref="O107:O114" si="33">N107+M107</f>
        <v>0</v>
      </c>
      <c r="P107" s="443"/>
      <c r="R107" s="53"/>
      <c r="S107" s="53"/>
    </row>
    <row r="108" spans="1:19" ht="24" x14ac:dyDescent="0.25">
      <c r="A108" s="76">
        <v>2242</v>
      </c>
      <c r="B108" s="127" t="s">
        <v>124</v>
      </c>
      <c r="C108" s="286">
        <f t="shared" si="3"/>
        <v>3260</v>
      </c>
      <c r="D108" s="134">
        <f>871-2</f>
        <v>869</v>
      </c>
      <c r="E108" s="285"/>
      <c r="F108" s="443">
        <f t="shared" si="30"/>
        <v>869</v>
      </c>
      <c r="G108" s="134"/>
      <c r="H108" s="135"/>
      <c r="I108" s="284">
        <f t="shared" si="31"/>
        <v>0</v>
      </c>
      <c r="J108" s="134">
        <v>2391</v>
      </c>
      <c r="K108" s="269"/>
      <c r="L108" s="474">
        <f t="shared" si="32"/>
        <v>2391</v>
      </c>
      <c r="M108" s="134"/>
      <c r="N108" s="285"/>
      <c r="O108" s="475">
        <f t="shared" si="33"/>
        <v>0</v>
      </c>
      <c r="P108" s="484"/>
      <c r="R108" s="53"/>
      <c r="S108" s="53"/>
    </row>
    <row r="109" spans="1:19" ht="24" x14ac:dyDescent="0.25">
      <c r="A109" s="76">
        <v>2243</v>
      </c>
      <c r="B109" s="127" t="s">
        <v>125</v>
      </c>
      <c r="C109" s="286">
        <f t="shared" si="3"/>
        <v>857</v>
      </c>
      <c r="D109" s="134"/>
      <c r="E109" s="285"/>
      <c r="F109" s="443">
        <f t="shared" si="30"/>
        <v>0</v>
      </c>
      <c r="G109" s="134"/>
      <c r="H109" s="135"/>
      <c r="I109" s="284">
        <f t="shared" si="31"/>
        <v>0</v>
      </c>
      <c r="J109" s="134">
        <v>857</v>
      </c>
      <c r="K109" s="269"/>
      <c r="L109" s="474">
        <f t="shared" si="32"/>
        <v>857</v>
      </c>
      <c r="M109" s="134"/>
      <c r="N109" s="285"/>
      <c r="O109" s="475">
        <f t="shared" si="33"/>
        <v>0</v>
      </c>
      <c r="P109" s="484"/>
      <c r="R109" s="53"/>
      <c r="S109" s="53"/>
    </row>
    <row r="110" spans="1:19" x14ac:dyDescent="0.25">
      <c r="A110" s="76">
        <v>2244</v>
      </c>
      <c r="B110" s="127" t="s">
        <v>126</v>
      </c>
      <c r="C110" s="286">
        <f t="shared" si="3"/>
        <v>18968</v>
      </c>
      <c r="D110" s="134">
        <v>7127</v>
      </c>
      <c r="E110" s="285"/>
      <c r="F110" s="443">
        <f t="shared" si="30"/>
        <v>7127</v>
      </c>
      <c r="G110" s="134"/>
      <c r="H110" s="135"/>
      <c r="I110" s="284">
        <f t="shared" si="31"/>
        <v>0</v>
      </c>
      <c r="J110" s="134">
        <v>11841</v>
      </c>
      <c r="K110" s="269"/>
      <c r="L110" s="474">
        <f t="shared" si="32"/>
        <v>11841</v>
      </c>
      <c r="M110" s="134"/>
      <c r="N110" s="285"/>
      <c r="O110" s="475">
        <f t="shared" si="33"/>
        <v>0</v>
      </c>
      <c r="P110" s="484"/>
      <c r="R110" s="53"/>
      <c r="S110" s="53"/>
    </row>
    <row r="111" spans="1:19" ht="24" hidden="1" x14ac:dyDescent="0.25">
      <c r="A111" s="76">
        <v>2246</v>
      </c>
      <c r="B111" s="127" t="s">
        <v>127</v>
      </c>
      <c r="C111" s="286">
        <f t="shared" si="3"/>
        <v>0</v>
      </c>
      <c r="D111" s="134"/>
      <c r="E111" s="285"/>
      <c r="F111" s="443">
        <f t="shared" si="30"/>
        <v>0</v>
      </c>
      <c r="G111" s="134"/>
      <c r="H111" s="135"/>
      <c r="I111" s="284">
        <f t="shared" si="31"/>
        <v>0</v>
      </c>
      <c r="J111" s="134"/>
      <c r="K111" s="285"/>
      <c r="L111" s="443">
        <f t="shared" si="32"/>
        <v>0</v>
      </c>
      <c r="M111" s="134"/>
      <c r="N111" s="285"/>
      <c r="O111" s="475">
        <f t="shared" si="33"/>
        <v>0</v>
      </c>
      <c r="P111" s="485"/>
      <c r="R111" s="53"/>
      <c r="S111" s="53"/>
    </row>
    <row r="112" spans="1:19" x14ac:dyDescent="0.25">
      <c r="A112" s="76">
        <v>2247</v>
      </c>
      <c r="B112" s="127" t="s">
        <v>128</v>
      </c>
      <c r="C112" s="286">
        <f t="shared" si="3"/>
        <v>182</v>
      </c>
      <c r="D112" s="134">
        <v>102</v>
      </c>
      <c r="E112" s="285"/>
      <c r="F112" s="443">
        <f t="shared" si="30"/>
        <v>102</v>
      </c>
      <c r="G112" s="134"/>
      <c r="H112" s="135"/>
      <c r="I112" s="284">
        <f t="shared" si="31"/>
        <v>0</v>
      </c>
      <c r="J112" s="134">
        <v>80</v>
      </c>
      <c r="K112" s="283"/>
      <c r="L112" s="474">
        <f t="shared" si="32"/>
        <v>80</v>
      </c>
      <c r="M112" s="134"/>
      <c r="N112" s="285"/>
      <c r="O112" s="475">
        <f t="shared" si="33"/>
        <v>0</v>
      </c>
      <c r="P112" s="484"/>
      <c r="R112" s="53"/>
      <c r="S112" s="53"/>
    </row>
    <row r="113" spans="1:19" ht="24" hidden="1" x14ac:dyDescent="0.25">
      <c r="A113" s="76">
        <v>2248</v>
      </c>
      <c r="B113" s="127" t="s">
        <v>129</v>
      </c>
      <c r="C113" s="286">
        <f t="shared" si="3"/>
        <v>0</v>
      </c>
      <c r="D113" s="134"/>
      <c r="E113" s="285"/>
      <c r="F113" s="443">
        <f t="shared" si="30"/>
        <v>0</v>
      </c>
      <c r="G113" s="134"/>
      <c r="H113" s="135"/>
      <c r="I113" s="284">
        <f t="shared" si="31"/>
        <v>0</v>
      </c>
      <c r="J113" s="134"/>
      <c r="K113" s="285"/>
      <c r="L113" s="443">
        <f t="shared" si="32"/>
        <v>0</v>
      </c>
      <c r="M113" s="134"/>
      <c r="N113" s="285"/>
      <c r="O113" s="475">
        <f t="shared" si="33"/>
        <v>0</v>
      </c>
      <c r="P113" s="485"/>
      <c r="R113" s="53"/>
      <c r="S113" s="53"/>
    </row>
    <row r="114" spans="1:19" ht="24" hidden="1" x14ac:dyDescent="0.25">
      <c r="A114" s="76">
        <v>2249</v>
      </c>
      <c r="B114" s="127" t="s">
        <v>130</v>
      </c>
      <c r="C114" s="286">
        <f t="shared" si="3"/>
        <v>0</v>
      </c>
      <c r="D114" s="134"/>
      <c r="E114" s="285"/>
      <c r="F114" s="443">
        <f t="shared" si="30"/>
        <v>0</v>
      </c>
      <c r="G114" s="134"/>
      <c r="H114" s="135"/>
      <c r="I114" s="284">
        <f t="shared" si="31"/>
        <v>0</v>
      </c>
      <c r="J114" s="134"/>
      <c r="K114" s="285"/>
      <c r="L114" s="443">
        <f t="shared" si="32"/>
        <v>0</v>
      </c>
      <c r="M114" s="134"/>
      <c r="N114" s="285"/>
      <c r="O114" s="475">
        <f t="shared" si="33"/>
        <v>0</v>
      </c>
      <c r="P114" s="484"/>
      <c r="R114" s="53"/>
      <c r="S114" s="53"/>
    </row>
    <row r="115" spans="1:19" x14ac:dyDescent="0.25">
      <c r="A115" s="276">
        <v>2250</v>
      </c>
      <c r="B115" s="127" t="s">
        <v>131</v>
      </c>
      <c r="C115" s="286">
        <f t="shared" si="3"/>
        <v>1200</v>
      </c>
      <c r="D115" s="277">
        <f t="shared" ref="D115:O115" si="34">SUM(D116:D118)</f>
        <v>0</v>
      </c>
      <c r="E115" s="282">
        <f t="shared" si="34"/>
        <v>0</v>
      </c>
      <c r="F115" s="136">
        <f t="shared" si="34"/>
        <v>0</v>
      </c>
      <c r="G115" s="277">
        <f t="shared" si="34"/>
        <v>0</v>
      </c>
      <c r="H115" s="280">
        <f t="shared" si="34"/>
        <v>0</v>
      </c>
      <c r="I115" s="281">
        <f t="shared" si="34"/>
        <v>0</v>
      </c>
      <c r="J115" s="277">
        <f t="shared" si="34"/>
        <v>1200</v>
      </c>
      <c r="K115" s="278">
        <f t="shared" si="34"/>
        <v>0</v>
      </c>
      <c r="L115" s="279">
        <f t="shared" si="34"/>
        <v>1200</v>
      </c>
      <c r="M115" s="277">
        <f t="shared" si="34"/>
        <v>0</v>
      </c>
      <c r="N115" s="282">
        <f t="shared" si="34"/>
        <v>0</v>
      </c>
      <c r="O115" s="286">
        <f t="shared" si="34"/>
        <v>0</v>
      </c>
      <c r="P115" s="136"/>
      <c r="R115" s="53"/>
      <c r="S115" s="53"/>
    </row>
    <row r="116" spans="1:19" x14ac:dyDescent="0.25">
      <c r="A116" s="76">
        <v>2251</v>
      </c>
      <c r="B116" s="127" t="s">
        <v>132</v>
      </c>
      <c r="C116" s="286">
        <f t="shared" si="3"/>
        <v>1200</v>
      </c>
      <c r="D116" s="134"/>
      <c r="E116" s="285"/>
      <c r="F116" s="443">
        <f>D116+E116</f>
        <v>0</v>
      </c>
      <c r="G116" s="134"/>
      <c r="H116" s="135"/>
      <c r="I116" s="284">
        <f>G116+H116</f>
        <v>0</v>
      </c>
      <c r="J116" s="134">
        <v>1200</v>
      </c>
      <c r="K116" s="283"/>
      <c r="L116" s="474">
        <f>J116+K116</f>
        <v>1200</v>
      </c>
      <c r="M116" s="134"/>
      <c r="N116" s="285"/>
      <c r="O116" s="475">
        <f>N116+M116</f>
        <v>0</v>
      </c>
      <c r="P116" s="443"/>
      <c r="R116" s="53"/>
      <c r="S116" s="53"/>
    </row>
    <row r="117" spans="1:19" ht="24" hidden="1" x14ac:dyDescent="0.25">
      <c r="A117" s="76">
        <v>2252</v>
      </c>
      <c r="B117" s="127" t="s">
        <v>133</v>
      </c>
      <c r="C117" s="286">
        <f t="shared" ref="C117:C180" si="35">SUM(F117,I117,L117,O117)</f>
        <v>0</v>
      </c>
      <c r="D117" s="134"/>
      <c r="E117" s="285"/>
      <c r="F117" s="443">
        <f>D117+E117</f>
        <v>0</v>
      </c>
      <c r="G117" s="134"/>
      <c r="H117" s="135"/>
      <c r="I117" s="284">
        <f>G117+H117</f>
        <v>0</v>
      </c>
      <c r="J117" s="134"/>
      <c r="K117" s="285"/>
      <c r="L117" s="443">
        <f>J117+K117</f>
        <v>0</v>
      </c>
      <c r="M117" s="134"/>
      <c r="N117" s="285"/>
      <c r="O117" s="475">
        <f>N117+M117</f>
        <v>0</v>
      </c>
      <c r="P117" s="443"/>
      <c r="R117" s="53"/>
      <c r="S117" s="53"/>
    </row>
    <row r="118" spans="1:19" ht="24" hidden="1" x14ac:dyDescent="0.25">
      <c r="A118" s="76">
        <v>2259</v>
      </c>
      <c r="B118" s="127" t="s">
        <v>134</v>
      </c>
      <c r="C118" s="286">
        <f t="shared" si="35"/>
        <v>0</v>
      </c>
      <c r="D118" s="134"/>
      <c r="E118" s="285"/>
      <c r="F118" s="443">
        <f>D118+E118</f>
        <v>0</v>
      </c>
      <c r="G118" s="134"/>
      <c r="H118" s="135"/>
      <c r="I118" s="284">
        <f>G118+H118</f>
        <v>0</v>
      </c>
      <c r="J118" s="134"/>
      <c r="K118" s="285"/>
      <c r="L118" s="443">
        <f>J118+K118</f>
        <v>0</v>
      </c>
      <c r="M118" s="134"/>
      <c r="N118" s="285"/>
      <c r="O118" s="475">
        <f>N118+M118</f>
        <v>0</v>
      </c>
      <c r="P118" s="443"/>
      <c r="R118" s="53"/>
      <c r="S118" s="53"/>
    </row>
    <row r="119" spans="1:19" hidden="1" x14ac:dyDescent="0.25">
      <c r="A119" s="276">
        <v>2260</v>
      </c>
      <c r="B119" s="127" t="s">
        <v>135</v>
      </c>
      <c r="C119" s="286">
        <f t="shared" si="35"/>
        <v>0</v>
      </c>
      <c r="D119" s="277">
        <f t="shared" ref="D119:O119" si="36">SUM(D120:D124)</f>
        <v>0</v>
      </c>
      <c r="E119" s="282">
        <f t="shared" si="36"/>
        <v>0</v>
      </c>
      <c r="F119" s="136">
        <f t="shared" si="36"/>
        <v>0</v>
      </c>
      <c r="G119" s="277">
        <f t="shared" si="36"/>
        <v>0</v>
      </c>
      <c r="H119" s="280">
        <f t="shared" si="36"/>
        <v>0</v>
      </c>
      <c r="I119" s="281">
        <f t="shared" si="36"/>
        <v>0</v>
      </c>
      <c r="J119" s="277">
        <f t="shared" si="36"/>
        <v>0</v>
      </c>
      <c r="K119" s="282">
        <f t="shared" si="36"/>
        <v>0</v>
      </c>
      <c r="L119" s="136">
        <f t="shared" si="36"/>
        <v>0</v>
      </c>
      <c r="M119" s="277">
        <f t="shared" si="36"/>
        <v>0</v>
      </c>
      <c r="N119" s="282">
        <f t="shared" si="36"/>
        <v>0</v>
      </c>
      <c r="O119" s="286">
        <f t="shared" si="36"/>
        <v>0</v>
      </c>
      <c r="P119" s="136"/>
      <c r="R119" s="53"/>
      <c r="S119" s="53"/>
    </row>
    <row r="120" spans="1:19" hidden="1" x14ac:dyDescent="0.25">
      <c r="A120" s="76">
        <v>2261</v>
      </c>
      <c r="B120" s="127" t="s">
        <v>136</v>
      </c>
      <c r="C120" s="286">
        <f t="shared" si="35"/>
        <v>0</v>
      </c>
      <c r="D120" s="134"/>
      <c r="E120" s="285"/>
      <c r="F120" s="443">
        <f>D120+E120</f>
        <v>0</v>
      </c>
      <c r="G120" s="134"/>
      <c r="H120" s="135"/>
      <c r="I120" s="284">
        <f>G120+H120</f>
        <v>0</v>
      </c>
      <c r="J120" s="134"/>
      <c r="K120" s="285"/>
      <c r="L120" s="443">
        <f>J120+K120</f>
        <v>0</v>
      </c>
      <c r="M120" s="134"/>
      <c r="N120" s="285"/>
      <c r="O120" s="475">
        <f>N120+M120</f>
        <v>0</v>
      </c>
      <c r="P120" s="443"/>
      <c r="R120" s="53"/>
      <c r="S120" s="53"/>
    </row>
    <row r="121" spans="1:19" hidden="1" x14ac:dyDescent="0.25">
      <c r="A121" s="76">
        <v>2262</v>
      </c>
      <c r="B121" s="127" t="s">
        <v>137</v>
      </c>
      <c r="C121" s="286">
        <f t="shared" si="35"/>
        <v>0</v>
      </c>
      <c r="D121" s="134"/>
      <c r="E121" s="285"/>
      <c r="F121" s="443">
        <f>D121+E121</f>
        <v>0</v>
      </c>
      <c r="G121" s="134"/>
      <c r="H121" s="135"/>
      <c r="I121" s="284">
        <f>G121+H121</f>
        <v>0</v>
      </c>
      <c r="J121" s="134"/>
      <c r="K121" s="285"/>
      <c r="L121" s="443">
        <f>J121+K121</f>
        <v>0</v>
      </c>
      <c r="M121" s="134"/>
      <c r="N121" s="285"/>
      <c r="O121" s="475">
        <f>N121+M121</f>
        <v>0</v>
      </c>
      <c r="P121" s="441"/>
      <c r="R121" s="53"/>
      <c r="S121" s="53"/>
    </row>
    <row r="122" spans="1:19" hidden="1" x14ac:dyDescent="0.25">
      <c r="A122" s="76">
        <v>2263</v>
      </c>
      <c r="B122" s="127" t="s">
        <v>138</v>
      </c>
      <c r="C122" s="286">
        <f t="shared" si="35"/>
        <v>0</v>
      </c>
      <c r="D122" s="134"/>
      <c r="E122" s="285"/>
      <c r="F122" s="443">
        <f>D122+E122</f>
        <v>0</v>
      </c>
      <c r="G122" s="134"/>
      <c r="H122" s="135"/>
      <c r="I122" s="284">
        <f>G122+H122</f>
        <v>0</v>
      </c>
      <c r="J122" s="134"/>
      <c r="K122" s="285"/>
      <c r="L122" s="443">
        <f>J122+K122</f>
        <v>0</v>
      </c>
      <c r="M122" s="134"/>
      <c r="N122" s="285"/>
      <c r="O122" s="475">
        <f>N122+M122</f>
        <v>0</v>
      </c>
      <c r="P122" s="443"/>
      <c r="R122" s="53"/>
      <c r="S122" s="53"/>
    </row>
    <row r="123" spans="1:19" ht="24" hidden="1" x14ac:dyDescent="0.25">
      <c r="A123" s="76">
        <v>2264</v>
      </c>
      <c r="B123" s="127" t="s">
        <v>139</v>
      </c>
      <c r="C123" s="286">
        <f t="shared" si="35"/>
        <v>0</v>
      </c>
      <c r="D123" s="134"/>
      <c r="E123" s="285"/>
      <c r="F123" s="443">
        <f>D123+E123</f>
        <v>0</v>
      </c>
      <c r="G123" s="134"/>
      <c r="H123" s="135"/>
      <c r="I123" s="284">
        <f>G123+H123</f>
        <v>0</v>
      </c>
      <c r="J123" s="134"/>
      <c r="K123" s="285"/>
      <c r="L123" s="443">
        <f>J123+K123</f>
        <v>0</v>
      </c>
      <c r="M123" s="134"/>
      <c r="N123" s="285"/>
      <c r="O123" s="475">
        <f>N123+M123</f>
        <v>0</v>
      </c>
      <c r="P123" s="443"/>
      <c r="R123" s="53"/>
      <c r="S123" s="53"/>
    </row>
    <row r="124" spans="1:19" hidden="1" x14ac:dyDescent="0.25">
      <c r="A124" s="76">
        <v>2269</v>
      </c>
      <c r="B124" s="127" t="s">
        <v>140</v>
      </c>
      <c r="C124" s="286">
        <f t="shared" si="35"/>
        <v>0</v>
      </c>
      <c r="D124" s="134"/>
      <c r="E124" s="285"/>
      <c r="F124" s="443">
        <f>D124+E124</f>
        <v>0</v>
      </c>
      <c r="G124" s="134"/>
      <c r="H124" s="135"/>
      <c r="I124" s="284">
        <f>G124+H124</f>
        <v>0</v>
      </c>
      <c r="J124" s="134"/>
      <c r="K124" s="285"/>
      <c r="L124" s="443">
        <f>J124+K124</f>
        <v>0</v>
      </c>
      <c r="M124" s="134"/>
      <c r="N124" s="285"/>
      <c r="O124" s="475">
        <f>N124+M124</f>
        <v>0</v>
      </c>
      <c r="P124" s="443"/>
      <c r="R124" s="53"/>
      <c r="S124" s="53"/>
    </row>
    <row r="125" spans="1:19" x14ac:dyDescent="0.25">
      <c r="A125" s="276">
        <v>2270</v>
      </c>
      <c r="B125" s="127" t="s">
        <v>141</v>
      </c>
      <c r="C125" s="286">
        <f t="shared" si="35"/>
        <v>1053</v>
      </c>
      <c r="D125" s="277">
        <f t="shared" ref="D125:O125" si="37">SUM(D126:D130)</f>
        <v>0</v>
      </c>
      <c r="E125" s="282">
        <f t="shared" si="37"/>
        <v>0</v>
      </c>
      <c r="F125" s="136">
        <f t="shared" si="37"/>
        <v>0</v>
      </c>
      <c r="G125" s="277">
        <f t="shared" si="37"/>
        <v>0</v>
      </c>
      <c r="H125" s="280">
        <f t="shared" si="37"/>
        <v>0</v>
      </c>
      <c r="I125" s="281">
        <f t="shared" si="37"/>
        <v>0</v>
      </c>
      <c r="J125" s="277">
        <f t="shared" si="37"/>
        <v>1053</v>
      </c>
      <c r="K125" s="278">
        <f t="shared" si="37"/>
        <v>0</v>
      </c>
      <c r="L125" s="279">
        <f t="shared" si="37"/>
        <v>1053</v>
      </c>
      <c r="M125" s="277">
        <f t="shared" si="37"/>
        <v>0</v>
      </c>
      <c r="N125" s="282">
        <f t="shared" si="37"/>
        <v>0</v>
      </c>
      <c r="O125" s="286">
        <f t="shared" si="37"/>
        <v>0</v>
      </c>
      <c r="P125" s="136"/>
      <c r="R125" s="53"/>
      <c r="S125" s="53"/>
    </row>
    <row r="126" spans="1:19" hidden="1" x14ac:dyDescent="0.25">
      <c r="A126" s="76">
        <v>2272</v>
      </c>
      <c r="B126" s="5" t="s">
        <v>142</v>
      </c>
      <c r="C126" s="286">
        <f t="shared" si="35"/>
        <v>0</v>
      </c>
      <c r="D126" s="134"/>
      <c r="E126" s="285"/>
      <c r="F126" s="443">
        <f>D126+E126</f>
        <v>0</v>
      </c>
      <c r="G126" s="134"/>
      <c r="H126" s="135"/>
      <c r="I126" s="284">
        <f>G126+H126</f>
        <v>0</v>
      </c>
      <c r="J126" s="134"/>
      <c r="K126" s="285"/>
      <c r="L126" s="443">
        <f>J126+K126</f>
        <v>0</v>
      </c>
      <c r="M126" s="134"/>
      <c r="N126" s="285"/>
      <c r="O126" s="475">
        <f>N126+M126</f>
        <v>0</v>
      </c>
      <c r="P126" s="443"/>
      <c r="R126" s="53"/>
      <c r="S126" s="53"/>
    </row>
    <row r="127" spans="1:19" ht="24" x14ac:dyDescent="0.25">
      <c r="A127" s="76">
        <v>2275</v>
      </c>
      <c r="B127" s="127" t="s">
        <v>143</v>
      </c>
      <c r="C127" s="286">
        <f t="shared" si="35"/>
        <v>785</v>
      </c>
      <c r="D127" s="134"/>
      <c r="E127" s="285"/>
      <c r="F127" s="443">
        <f>D127+E127</f>
        <v>0</v>
      </c>
      <c r="G127" s="134"/>
      <c r="H127" s="135"/>
      <c r="I127" s="284">
        <f>G127+H127</f>
        <v>0</v>
      </c>
      <c r="J127" s="134">
        <f>2989-2204</f>
        <v>785</v>
      </c>
      <c r="K127" s="283"/>
      <c r="L127" s="474">
        <f>J127+K127</f>
        <v>785</v>
      </c>
      <c r="M127" s="134"/>
      <c r="N127" s="285"/>
      <c r="O127" s="475">
        <f>N127+M127</f>
        <v>0</v>
      </c>
      <c r="P127" s="441"/>
      <c r="R127" s="53"/>
      <c r="S127" s="53"/>
    </row>
    <row r="128" spans="1:19" ht="36" hidden="1" x14ac:dyDescent="0.25">
      <c r="A128" s="76">
        <v>2276</v>
      </c>
      <c r="B128" s="127" t="s">
        <v>144</v>
      </c>
      <c r="C128" s="286">
        <f t="shared" si="35"/>
        <v>0</v>
      </c>
      <c r="D128" s="134"/>
      <c r="E128" s="285"/>
      <c r="F128" s="443">
        <f>D128+E128</f>
        <v>0</v>
      </c>
      <c r="G128" s="134"/>
      <c r="H128" s="135"/>
      <c r="I128" s="284">
        <f>G128+H128</f>
        <v>0</v>
      </c>
      <c r="J128" s="134"/>
      <c r="K128" s="285"/>
      <c r="L128" s="443">
        <f>J128+K128</f>
        <v>0</v>
      </c>
      <c r="M128" s="134"/>
      <c r="N128" s="285"/>
      <c r="O128" s="475">
        <f>N128+M128</f>
        <v>0</v>
      </c>
      <c r="P128" s="443"/>
      <c r="R128" s="53"/>
      <c r="S128" s="53"/>
    </row>
    <row r="129" spans="1:19" ht="24" hidden="1" customHeight="1" x14ac:dyDescent="0.25">
      <c r="A129" s="76">
        <v>2278</v>
      </c>
      <c r="B129" s="127" t="s">
        <v>145</v>
      </c>
      <c r="C129" s="286">
        <f t="shared" si="35"/>
        <v>0</v>
      </c>
      <c r="D129" s="134"/>
      <c r="E129" s="285"/>
      <c r="F129" s="443">
        <f>D129+E129</f>
        <v>0</v>
      </c>
      <c r="G129" s="134"/>
      <c r="H129" s="135"/>
      <c r="I129" s="284">
        <f>G129+H129</f>
        <v>0</v>
      </c>
      <c r="J129" s="134"/>
      <c r="K129" s="285"/>
      <c r="L129" s="443">
        <f>J129+K129</f>
        <v>0</v>
      </c>
      <c r="M129" s="134"/>
      <c r="N129" s="285"/>
      <c r="O129" s="475">
        <f>N129+M129</f>
        <v>0</v>
      </c>
      <c r="P129" s="443"/>
      <c r="R129" s="53"/>
      <c r="S129" s="53"/>
    </row>
    <row r="130" spans="1:19" ht="24" x14ac:dyDescent="0.25">
      <c r="A130" s="76">
        <v>2279</v>
      </c>
      <c r="B130" s="127" t="s">
        <v>146</v>
      </c>
      <c r="C130" s="286">
        <f t="shared" si="35"/>
        <v>268</v>
      </c>
      <c r="D130" s="134">
        <v>0</v>
      </c>
      <c r="E130" s="285"/>
      <c r="F130" s="443">
        <f>D130+E130</f>
        <v>0</v>
      </c>
      <c r="G130" s="134"/>
      <c r="H130" s="135"/>
      <c r="I130" s="284">
        <f>G130+H130</f>
        <v>0</v>
      </c>
      <c r="J130" s="134">
        <v>268</v>
      </c>
      <c r="K130" s="269"/>
      <c r="L130" s="474">
        <f>J130+K130</f>
        <v>268</v>
      </c>
      <c r="M130" s="134"/>
      <c r="N130" s="285"/>
      <c r="O130" s="475">
        <f>N130+M130</f>
        <v>0</v>
      </c>
      <c r="P130" s="486"/>
      <c r="R130" s="53"/>
      <c r="S130" s="53"/>
    </row>
    <row r="131" spans="1:19" ht="24" hidden="1" x14ac:dyDescent="0.25">
      <c r="A131" s="294">
        <v>2280</v>
      </c>
      <c r="B131" s="116" t="s">
        <v>147</v>
      </c>
      <c r="C131" s="263">
        <f t="shared" si="35"/>
        <v>0</v>
      </c>
      <c r="D131" s="297">
        <f t="shared" ref="D131:O131" si="38">SUM(D132)</f>
        <v>0</v>
      </c>
      <c r="E131" s="301">
        <f t="shared" si="38"/>
        <v>0</v>
      </c>
      <c r="F131" s="125">
        <f t="shared" si="38"/>
        <v>0</v>
      </c>
      <c r="G131" s="297">
        <f t="shared" si="38"/>
        <v>0</v>
      </c>
      <c r="H131" s="299">
        <f t="shared" si="38"/>
        <v>0</v>
      </c>
      <c r="I131" s="300">
        <f t="shared" si="38"/>
        <v>0</v>
      </c>
      <c r="J131" s="297">
        <f t="shared" si="38"/>
        <v>0</v>
      </c>
      <c r="K131" s="301">
        <f>SUM(K132)</f>
        <v>0</v>
      </c>
      <c r="L131" s="125">
        <f t="shared" si="38"/>
        <v>0</v>
      </c>
      <c r="M131" s="277">
        <f t="shared" si="38"/>
        <v>0</v>
      </c>
      <c r="N131" s="301">
        <f t="shared" si="38"/>
        <v>0</v>
      </c>
      <c r="O131" s="263">
        <f t="shared" si="38"/>
        <v>0</v>
      </c>
      <c r="P131" s="125"/>
      <c r="R131" s="53"/>
      <c r="S131" s="53"/>
    </row>
    <row r="132" spans="1:19" ht="24" hidden="1" x14ac:dyDescent="0.25">
      <c r="A132" s="76">
        <v>2283</v>
      </c>
      <c r="B132" s="127" t="s">
        <v>148</v>
      </c>
      <c r="C132" s="286">
        <f t="shared" si="35"/>
        <v>0</v>
      </c>
      <c r="D132" s="134"/>
      <c r="E132" s="285"/>
      <c r="F132" s="443">
        <f>D132+E132</f>
        <v>0</v>
      </c>
      <c r="G132" s="134"/>
      <c r="H132" s="135"/>
      <c r="I132" s="284">
        <f>G132+H132</f>
        <v>0</v>
      </c>
      <c r="J132" s="134"/>
      <c r="K132" s="285"/>
      <c r="L132" s="443">
        <f>J132+K132</f>
        <v>0</v>
      </c>
      <c r="M132" s="134"/>
      <c r="N132" s="285"/>
      <c r="O132" s="475">
        <f>N132+M132</f>
        <v>0</v>
      </c>
      <c r="P132" s="443"/>
      <c r="R132" s="53"/>
      <c r="S132" s="53"/>
    </row>
    <row r="133" spans="1:19" ht="38.25" customHeight="1" x14ac:dyDescent="0.25">
      <c r="A133" s="99">
        <v>2300</v>
      </c>
      <c r="B133" s="247" t="s">
        <v>149</v>
      </c>
      <c r="C133" s="313">
        <f t="shared" si="35"/>
        <v>22633</v>
      </c>
      <c r="D133" s="112">
        <f>SUM(D134,D139,D143,D144,D147,D154,D162,D163,D166)</f>
        <v>9148</v>
      </c>
      <c r="E133" s="293">
        <f t="shared" ref="E133:O133" si="39">SUM(E134,E139,E143,E144,E147,E154,E162,E163,E166)</f>
        <v>0</v>
      </c>
      <c r="F133" s="114">
        <f t="shared" si="39"/>
        <v>9148</v>
      </c>
      <c r="G133" s="112">
        <f t="shared" si="39"/>
        <v>0</v>
      </c>
      <c r="H133" s="113">
        <f t="shared" si="39"/>
        <v>0</v>
      </c>
      <c r="I133" s="292">
        <f t="shared" si="39"/>
        <v>0</v>
      </c>
      <c r="J133" s="112">
        <f t="shared" si="39"/>
        <v>13485</v>
      </c>
      <c r="K133" s="248">
        <f>SUM(K134,K139,K143,K144,K147,K154,K162,K163,K166)</f>
        <v>0</v>
      </c>
      <c r="L133" s="249">
        <f t="shared" si="39"/>
        <v>13485</v>
      </c>
      <c r="M133" s="112">
        <f t="shared" si="39"/>
        <v>0</v>
      </c>
      <c r="N133" s="293">
        <f t="shared" si="39"/>
        <v>0</v>
      </c>
      <c r="O133" s="313">
        <f t="shared" si="39"/>
        <v>0</v>
      </c>
      <c r="P133" s="114"/>
      <c r="R133" s="53"/>
      <c r="S133" s="53"/>
    </row>
    <row r="134" spans="1:19" ht="24" x14ac:dyDescent="0.25">
      <c r="A134" s="294">
        <v>2310</v>
      </c>
      <c r="B134" s="116" t="s">
        <v>150</v>
      </c>
      <c r="C134" s="263">
        <f t="shared" si="35"/>
        <v>3147</v>
      </c>
      <c r="D134" s="297">
        <f t="shared" ref="D134:O134" si="40">SUM(D135:D138)</f>
        <v>474</v>
      </c>
      <c r="E134" s="301">
        <f t="shared" si="40"/>
        <v>0</v>
      </c>
      <c r="F134" s="125">
        <f t="shared" si="40"/>
        <v>474</v>
      </c>
      <c r="G134" s="297">
        <f t="shared" si="40"/>
        <v>0</v>
      </c>
      <c r="H134" s="299">
        <f t="shared" si="40"/>
        <v>0</v>
      </c>
      <c r="I134" s="300">
        <f t="shared" si="40"/>
        <v>0</v>
      </c>
      <c r="J134" s="297">
        <f t="shared" si="40"/>
        <v>2673</v>
      </c>
      <c r="K134" s="298">
        <f>SUM(K135:K138)</f>
        <v>0</v>
      </c>
      <c r="L134" s="296">
        <f t="shared" si="40"/>
        <v>2673</v>
      </c>
      <c r="M134" s="297">
        <f t="shared" si="40"/>
        <v>0</v>
      </c>
      <c r="N134" s="301">
        <f t="shared" si="40"/>
        <v>0</v>
      </c>
      <c r="O134" s="263">
        <f t="shared" si="40"/>
        <v>0</v>
      </c>
      <c r="P134" s="125"/>
      <c r="R134" s="53"/>
      <c r="S134" s="53"/>
    </row>
    <row r="135" spans="1:19" x14ac:dyDescent="0.25">
      <c r="A135" s="76">
        <v>2311</v>
      </c>
      <c r="B135" s="127" t="s">
        <v>151</v>
      </c>
      <c r="C135" s="286">
        <f t="shared" si="35"/>
        <v>1170</v>
      </c>
      <c r="D135" s="134">
        <v>204</v>
      </c>
      <c r="E135" s="285"/>
      <c r="F135" s="443">
        <f>D135+E135</f>
        <v>204</v>
      </c>
      <c r="G135" s="134"/>
      <c r="H135" s="135"/>
      <c r="I135" s="284">
        <f>G135+H135</f>
        <v>0</v>
      </c>
      <c r="J135" s="134">
        <v>966</v>
      </c>
      <c r="K135" s="283"/>
      <c r="L135" s="474">
        <f>J135+K135</f>
        <v>966</v>
      </c>
      <c r="M135" s="134"/>
      <c r="N135" s="285"/>
      <c r="O135" s="475">
        <f>N135+M135</f>
        <v>0</v>
      </c>
      <c r="P135" s="441"/>
      <c r="R135" s="53"/>
      <c r="S135" s="53"/>
    </row>
    <row r="136" spans="1:19" x14ac:dyDescent="0.25">
      <c r="A136" s="76">
        <v>2312</v>
      </c>
      <c r="B136" s="127" t="s">
        <v>152</v>
      </c>
      <c r="C136" s="286">
        <f t="shared" si="35"/>
        <v>1977</v>
      </c>
      <c r="D136" s="134">
        <v>270</v>
      </c>
      <c r="E136" s="285"/>
      <c r="F136" s="443">
        <f>D136+E136</f>
        <v>270</v>
      </c>
      <c r="G136" s="134"/>
      <c r="H136" s="135"/>
      <c r="I136" s="284">
        <f>G136+H136</f>
        <v>0</v>
      </c>
      <c r="J136" s="134">
        <v>1707</v>
      </c>
      <c r="K136" s="283"/>
      <c r="L136" s="474">
        <f>J136+K136</f>
        <v>1707</v>
      </c>
      <c r="M136" s="134"/>
      <c r="N136" s="285"/>
      <c r="O136" s="475">
        <f>N136+M136</f>
        <v>0</v>
      </c>
      <c r="P136" s="484"/>
      <c r="R136" s="53"/>
      <c r="S136" s="53"/>
    </row>
    <row r="137" spans="1:19" hidden="1" x14ac:dyDescent="0.25">
      <c r="A137" s="76">
        <v>2313</v>
      </c>
      <c r="B137" s="127" t="s">
        <v>153</v>
      </c>
      <c r="C137" s="286">
        <f t="shared" si="35"/>
        <v>0</v>
      </c>
      <c r="D137" s="134"/>
      <c r="E137" s="285"/>
      <c r="F137" s="443">
        <f>D137+E137</f>
        <v>0</v>
      </c>
      <c r="G137" s="134"/>
      <c r="H137" s="135"/>
      <c r="I137" s="284">
        <f>G137+H137</f>
        <v>0</v>
      </c>
      <c r="J137" s="134"/>
      <c r="K137" s="285"/>
      <c r="L137" s="443">
        <f>J137+K137</f>
        <v>0</v>
      </c>
      <c r="M137" s="134"/>
      <c r="N137" s="285"/>
      <c r="O137" s="475">
        <f>N137+M137</f>
        <v>0</v>
      </c>
      <c r="P137" s="484"/>
      <c r="R137" s="53"/>
      <c r="S137" s="53"/>
    </row>
    <row r="138" spans="1:19" ht="36" hidden="1" x14ac:dyDescent="0.25">
      <c r="A138" s="76">
        <v>2314</v>
      </c>
      <c r="B138" s="127" t="s">
        <v>154</v>
      </c>
      <c r="C138" s="286">
        <f t="shared" si="35"/>
        <v>0</v>
      </c>
      <c r="D138" s="134"/>
      <c r="E138" s="285"/>
      <c r="F138" s="443">
        <f>D138+E138</f>
        <v>0</v>
      </c>
      <c r="G138" s="134"/>
      <c r="H138" s="135"/>
      <c r="I138" s="284">
        <f>G138+H138</f>
        <v>0</v>
      </c>
      <c r="J138" s="134"/>
      <c r="K138" s="285"/>
      <c r="L138" s="443">
        <f>J138+K138</f>
        <v>0</v>
      </c>
      <c r="M138" s="134"/>
      <c r="N138" s="285"/>
      <c r="O138" s="475">
        <f>N138+M138</f>
        <v>0</v>
      </c>
      <c r="P138" s="443"/>
      <c r="R138" s="53"/>
      <c r="S138" s="53"/>
    </row>
    <row r="139" spans="1:19" x14ac:dyDescent="0.25">
      <c r="A139" s="276">
        <v>2320</v>
      </c>
      <c r="B139" s="127" t="s">
        <v>155</v>
      </c>
      <c r="C139" s="286">
        <f t="shared" si="35"/>
        <v>13953</v>
      </c>
      <c r="D139" s="277">
        <f t="shared" ref="D139:O139" si="41">SUM(D140:D142)</f>
        <v>6574</v>
      </c>
      <c r="E139" s="282">
        <f t="shared" si="41"/>
        <v>0</v>
      </c>
      <c r="F139" s="136">
        <f t="shared" si="41"/>
        <v>6574</v>
      </c>
      <c r="G139" s="277">
        <f t="shared" si="41"/>
        <v>0</v>
      </c>
      <c r="H139" s="280">
        <f t="shared" si="41"/>
        <v>0</v>
      </c>
      <c r="I139" s="281">
        <f t="shared" si="41"/>
        <v>0</v>
      </c>
      <c r="J139" s="277">
        <f t="shared" si="41"/>
        <v>7379</v>
      </c>
      <c r="K139" s="278">
        <f t="shared" si="41"/>
        <v>0</v>
      </c>
      <c r="L139" s="279">
        <f t="shared" si="41"/>
        <v>7379</v>
      </c>
      <c r="M139" s="277">
        <f t="shared" si="41"/>
        <v>0</v>
      </c>
      <c r="N139" s="282">
        <f t="shared" si="41"/>
        <v>0</v>
      </c>
      <c r="O139" s="286">
        <f t="shared" si="41"/>
        <v>0</v>
      </c>
      <c r="P139" s="136"/>
      <c r="R139" s="53"/>
      <c r="S139" s="53"/>
    </row>
    <row r="140" spans="1:19" hidden="1" x14ac:dyDescent="0.25">
      <c r="A140" s="76">
        <v>2321</v>
      </c>
      <c r="B140" s="127" t="s">
        <v>156</v>
      </c>
      <c r="C140" s="286">
        <f t="shared" si="35"/>
        <v>0</v>
      </c>
      <c r="D140" s="134"/>
      <c r="E140" s="285"/>
      <c r="F140" s="443">
        <f>D140+E140</f>
        <v>0</v>
      </c>
      <c r="G140" s="134"/>
      <c r="H140" s="135"/>
      <c r="I140" s="284">
        <f>G140+H140</f>
        <v>0</v>
      </c>
      <c r="J140" s="134"/>
      <c r="K140" s="285"/>
      <c r="L140" s="443">
        <f>J140+K140</f>
        <v>0</v>
      </c>
      <c r="M140" s="134"/>
      <c r="N140" s="285"/>
      <c r="O140" s="475">
        <f>N140+M140</f>
        <v>0</v>
      </c>
      <c r="P140" s="443"/>
      <c r="R140" s="53"/>
      <c r="S140" s="53"/>
    </row>
    <row r="141" spans="1:19" x14ac:dyDescent="0.25">
      <c r="A141" s="76">
        <v>2322</v>
      </c>
      <c r="B141" s="127" t="s">
        <v>157</v>
      </c>
      <c r="C141" s="286">
        <f t="shared" si="35"/>
        <v>13953</v>
      </c>
      <c r="D141" s="134">
        <v>6574</v>
      </c>
      <c r="E141" s="285"/>
      <c r="F141" s="443">
        <f>D141+E141</f>
        <v>6574</v>
      </c>
      <c r="G141" s="134"/>
      <c r="H141" s="135"/>
      <c r="I141" s="284">
        <f>G141+H141</f>
        <v>0</v>
      </c>
      <c r="J141" s="134">
        <v>7379</v>
      </c>
      <c r="K141" s="283"/>
      <c r="L141" s="474">
        <f>J141+K141</f>
        <v>7379</v>
      </c>
      <c r="M141" s="134"/>
      <c r="N141" s="285"/>
      <c r="O141" s="475">
        <f>N141+M141</f>
        <v>0</v>
      </c>
      <c r="P141" s="443"/>
      <c r="R141" s="53"/>
      <c r="S141" s="53"/>
    </row>
    <row r="142" spans="1:19" ht="10.5" hidden="1" customHeight="1" x14ac:dyDescent="0.25">
      <c r="A142" s="76">
        <v>2329</v>
      </c>
      <c r="B142" s="127" t="s">
        <v>158</v>
      </c>
      <c r="C142" s="286">
        <f t="shared" si="35"/>
        <v>0</v>
      </c>
      <c r="D142" s="134"/>
      <c r="E142" s="285"/>
      <c r="F142" s="443">
        <f>D142+E142</f>
        <v>0</v>
      </c>
      <c r="G142" s="134"/>
      <c r="H142" s="135"/>
      <c r="I142" s="284">
        <f>G142+H142</f>
        <v>0</v>
      </c>
      <c r="J142" s="134"/>
      <c r="K142" s="285"/>
      <c r="L142" s="443">
        <f>J142+K142</f>
        <v>0</v>
      </c>
      <c r="M142" s="134"/>
      <c r="N142" s="285"/>
      <c r="O142" s="475">
        <f>N142+M142</f>
        <v>0</v>
      </c>
      <c r="P142" s="443"/>
      <c r="R142" s="53"/>
      <c r="S142" s="53"/>
    </row>
    <row r="143" spans="1:19" hidden="1" x14ac:dyDescent="0.25">
      <c r="A143" s="276">
        <v>2330</v>
      </c>
      <c r="B143" s="127" t="s">
        <v>159</v>
      </c>
      <c r="C143" s="286">
        <f t="shared" si="35"/>
        <v>0</v>
      </c>
      <c r="D143" s="134"/>
      <c r="E143" s="285"/>
      <c r="F143" s="443">
        <f>D143+E143</f>
        <v>0</v>
      </c>
      <c r="G143" s="134"/>
      <c r="H143" s="135"/>
      <c r="I143" s="284">
        <f>G143+H143</f>
        <v>0</v>
      </c>
      <c r="J143" s="134"/>
      <c r="K143" s="285"/>
      <c r="L143" s="443">
        <f>J143+K143</f>
        <v>0</v>
      </c>
      <c r="M143" s="134"/>
      <c r="N143" s="285"/>
      <c r="O143" s="475">
        <f>N143+M143</f>
        <v>0</v>
      </c>
      <c r="P143" s="443"/>
      <c r="R143" s="53"/>
      <c r="S143" s="53"/>
    </row>
    <row r="144" spans="1:19" ht="48" x14ac:dyDescent="0.25">
      <c r="A144" s="276">
        <v>2340</v>
      </c>
      <c r="B144" s="127" t="s">
        <v>160</v>
      </c>
      <c r="C144" s="286">
        <f t="shared" si="35"/>
        <v>95</v>
      </c>
      <c r="D144" s="277">
        <f t="shared" ref="D144:O144" si="42">SUM(D145:D146)</f>
        <v>0</v>
      </c>
      <c r="E144" s="282">
        <f t="shared" si="42"/>
        <v>0</v>
      </c>
      <c r="F144" s="136">
        <f t="shared" si="42"/>
        <v>0</v>
      </c>
      <c r="G144" s="277">
        <f t="shared" si="42"/>
        <v>0</v>
      </c>
      <c r="H144" s="280">
        <f t="shared" si="42"/>
        <v>0</v>
      </c>
      <c r="I144" s="281">
        <f t="shared" si="42"/>
        <v>0</v>
      </c>
      <c r="J144" s="277">
        <f t="shared" si="42"/>
        <v>95</v>
      </c>
      <c r="K144" s="278">
        <f>SUM(K145:K146)</f>
        <v>0</v>
      </c>
      <c r="L144" s="279">
        <f t="shared" si="42"/>
        <v>95</v>
      </c>
      <c r="M144" s="277">
        <f t="shared" si="42"/>
        <v>0</v>
      </c>
      <c r="N144" s="282">
        <f t="shared" si="42"/>
        <v>0</v>
      </c>
      <c r="O144" s="286">
        <f t="shared" si="42"/>
        <v>0</v>
      </c>
      <c r="P144" s="136"/>
      <c r="R144" s="53"/>
      <c r="S144" s="53"/>
    </row>
    <row r="145" spans="1:19" x14ac:dyDescent="0.25">
      <c r="A145" s="76">
        <v>2341</v>
      </c>
      <c r="B145" s="127" t="s">
        <v>161</v>
      </c>
      <c r="C145" s="286">
        <f t="shared" si="35"/>
        <v>95</v>
      </c>
      <c r="D145" s="134"/>
      <c r="E145" s="285"/>
      <c r="F145" s="443">
        <f>D145+E145</f>
        <v>0</v>
      </c>
      <c r="G145" s="134"/>
      <c r="H145" s="135"/>
      <c r="I145" s="284">
        <f>G145+H145</f>
        <v>0</v>
      </c>
      <c r="J145" s="134">
        <v>95</v>
      </c>
      <c r="K145" s="283"/>
      <c r="L145" s="474">
        <f>J145+K145</f>
        <v>95</v>
      </c>
      <c r="M145" s="134"/>
      <c r="N145" s="285"/>
      <c r="O145" s="475">
        <f>N145+M145</f>
        <v>0</v>
      </c>
      <c r="P145" s="484"/>
      <c r="R145" s="53"/>
      <c r="S145" s="53"/>
    </row>
    <row r="146" spans="1:19" ht="24" hidden="1" x14ac:dyDescent="0.25">
      <c r="A146" s="76">
        <v>2344</v>
      </c>
      <c r="B146" s="127" t="s">
        <v>162</v>
      </c>
      <c r="C146" s="286">
        <f t="shared" si="35"/>
        <v>0</v>
      </c>
      <c r="D146" s="134"/>
      <c r="E146" s="285"/>
      <c r="F146" s="443">
        <f>D146+E146</f>
        <v>0</v>
      </c>
      <c r="G146" s="134"/>
      <c r="H146" s="135"/>
      <c r="I146" s="284">
        <f>G146+H146</f>
        <v>0</v>
      </c>
      <c r="J146" s="134"/>
      <c r="K146" s="285"/>
      <c r="L146" s="443">
        <f>J146+K146</f>
        <v>0</v>
      </c>
      <c r="M146" s="134"/>
      <c r="N146" s="285"/>
      <c r="O146" s="475">
        <f>N146+M146</f>
        <v>0</v>
      </c>
      <c r="P146" s="443"/>
      <c r="R146" s="53"/>
      <c r="S146" s="53"/>
    </row>
    <row r="147" spans="1:19" ht="24" x14ac:dyDescent="0.25">
      <c r="A147" s="254">
        <v>2350</v>
      </c>
      <c r="B147" s="179" t="s">
        <v>163</v>
      </c>
      <c r="C147" s="310">
        <f t="shared" si="35"/>
        <v>4755</v>
      </c>
      <c r="D147" s="255">
        <f t="shared" ref="D147:O147" si="43">SUM(D148:D153)</f>
        <v>2100</v>
      </c>
      <c r="E147" s="261">
        <f t="shared" si="43"/>
        <v>0</v>
      </c>
      <c r="F147" s="259">
        <f t="shared" si="43"/>
        <v>2100</v>
      </c>
      <c r="G147" s="255">
        <f t="shared" si="43"/>
        <v>0</v>
      </c>
      <c r="H147" s="258">
        <f t="shared" si="43"/>
        <v>0</v>
      </c>
      <c r="I147" s="260">
        <f t="shared" si="43"/>
        <v>0</v>
      </c>
      <c r="J147" s="255">
        <f t="shared" si="43"/>
        <v>2655</v>
      </c>
      <c r="K147" s="256">
        <f t="shared" si="43"/>
        <v>0</v>
      </c>
      <c r="L147" s="257">
        <f t="shared" si="43"/>
        <v>2655</v>
      </c>
      <c r="M147" s="255">
        <f t="shared" si="43"/>
        <v>0</v>
      </c>
      <c r="N147" s="261">
        <f t="shared" si="43"/>
        <v>0</v>
      </c>
      <c r="O147" s="310">
        <f t="shared" si="43"/>
        <v>0</v>
      </c>
      <c r="P147" s="259"/>
      <c r="R147" s="53"/>
      <c r="S147" s="53"/>
    </row>
    <row r="148" spans="1:19" hidden="1" x14ac:dyDescent="0.25">
      <c r="A148" s="66">
        <v>2351</v>
      </c>
      <c r="B148" s="116" t="s">
        <v>164</v>
      </c>
      <c r="C148" s="263">
        <f t="shared" si="35"/>
        <v>0</v>
      </c>
      <c r="D148" s="123"/>
      <c r="E148" s="262"/>
      <c r="F148" s="442">
        <f t="shared" ref="F148:F153" si="44">D148+E148</f>
        <v>0</v>
      </c>
      <c r="G148" s="123"/>
      <c r="H148" s="124"/>
      <c r="I148" s="264">
        <f t="shared" ref="I148:I153" si="45">G148+H148</f>
        <v>0</v>
      </c>
      <c r="J148" s="123"/>
      <c r="K148" s="262"/>
      <c r="L148" s="442">
        <f t="shared" ref="L148:L153" si="46">J148+K148</f>
        <v>0</v>
      </c>
      <c r="M148" s="123"/>
      <c r="N148" s="262"/>
      <c r="O148" s="473">
        <f t="shared" ref="O148:O153" si="47">N148+M148</f>
        <v>0</v>
      </c>
      <c r="P148" s="487"/>
      <c r="R148" s="53"/>
      <c r="S148" s="53"/>
    </row>
    <row r="149" spans="1:19" x14ac:dyDescent="0.25">
      <c r="A149" s="76">
        <v>2352</v>
      </c>
      <c r="B149" s="127" t="s">
        <v>165</v>
      </c>
      <c r="C149" s="286">
        <f t="shared" si="35"/>
        <v>3655</v>
      </c>
      <c r="D149" s="134">
        <v>1000</v>
      </c>
      <c r="E149" s="285"/>
      <c r="F149" s="443">
        <f t="shared" si="44"/>
        <v>1000</v>
      </c>
      <c r="G149" s="134"/>
      <c r="H149" s="135"/>
      <c r="I149" s="284">
        <f t="shared" si="45"/>
        <v>0</v>
      </c>
      <c r="J149" s="134">
        <v>2655</v>
      </c>
      <c r="K149" s="283"/>
      <c r="L149" s="474">
        <f t="shared" si="46"/>
        <v>2655</v>
      </c>
      <c r="M149" s="134"/>
      <c r="N149" s="285"/>
      <c r="O149" s="475">
        <f>N149+M149</f>
        <v>0</v>
      </c>
      <c r="P149" s="441"/>
      <c r="R149" s="53"/>
      <c r="S149" s="53"/>
    </row>
    <row r="150" spans="1:19" ht="24" hidden="1" x14ac:dyDescent="0.25">
      <c r="A150" s="76">
        <v>2353</v>
      </c>
      <c r="B150" s="127" t="s">
        <v>166</v>
      </c>
      <c r="C150" s="286">
        <f t="shared" si="35"/>
        <v>0</v>
      </c>
      <c r="D150" s="134"/>
      <c r="E150" s="285"/>
      <c r="F150" s="443">
        <f t="shared" si="44"/>
        <v>0</v>
      </c>
      <c r="G150" s="134"/>
      <c r="H150" s="135"/>
      <c r="I150" s="284">
        <f t="shared" si="45"/>
        <v>0</v>
      </c>
      <c r="J150" s="134"/>
      <c r="K150" s="285"/>
      <c r="L150" s="443">
        <f t="shared" si="46"/>
        <v>0</v>
      </c>
      <c r="M150" s="134"/>
      <c r="N150" s="285"/>
      <c r="O150" s="475">
        <f t="shared" si="47"/>
        <v>0</v>
      </c>
      <c r="P150" s="443"/>
      <c r="R150" s="53"/>
      <c r="S150" s="53"/>
    </row>
    <row r="151" spans="1:19" ht="24" x14ac:dyDescent="0.25">
      <c r="A151" s="76">
        <v>2354</v>
      </c>
      <c r="B151" s="127" t="s">
        <v>167</v>
      </c>
      <c r="C151" s="286">
        <f t="shared" si="35"/>
        <v>1100</v>
      </c>
      <c r="D151" s="134">
        <v>1100</v>
      </c>
      <c r="E151" s="285"/>
      <c r="F151" s="443">
        <f t="shared" si="44"/>
        <v>1100</v>
      </c>
      <c r="G151" s="134"/>
      <c r="H151" s="135"/>
      <c r="I151" s="284">
        <f t="shared" si="45"/>
        <v>0</v>
      </c>
      <c r="J151" s="134"/>
      <c r="K151" s="283"/>
      <c r="L151" s="474">
        <f t="shared" si="46"/>
        <v>0</v>
      </c>
      <c r="M151" s="134"/>
      <c r="N151" s="285"/>
      <c r="O151" s="475">
        <f t="shared" si="47"/>
        <v>0</v>
      </c>
      <c r="P151" s="443"/>
      <c r="R151" s="53"/>
      <c r="S151" s="53"/>
    </row>
    <row r="152" spans="1:19" ht="24" hidden="1" x14ac:dyDescent="0.25">
      <c r="A152" s="76">
        <v>2355</v>
      </c>
      <c r="B152" s="127" t="s">
        <v>168</v>
      </c>
      <c r="C152" s="286">
        <f t="shared" si="35"/>
        <v>0</v>
      </c>
      <c r="D152" s="134"/>
      <c r="E152" s="285"/>
      <c r="F152" s="443">
        <f t="shared" si="44"/>
        <v>0</v>
      </c>
      <c r="G152" s="134"/>
      <c r="H152" s="135"/>
      <c r="I152" s="284">
        <f t="shared" si="45"/>
        <v>0</v>
      </c>
      <c r="J152" s="134"/>
      <c r="K152" s="285"/>
      <c r="L152" s="443">
        <f t="shared" si="46"/>
        <v>0</v>
      </c>
      <c r="M152" s="134"/>
      <c r="N152" s="285"/>
      <c r="O152" s="475">
        <f t="shared" si="47"/>
        <v>0</v>
      </c>
      <c r="P152" s="443"/>
      <c r="R152" s="53"/>
      <c r="S152" s="53"/>
    </row>
    <row r="153" spans="1:19" ht="24" hidden="1" x14ac:dyDescent="0.25">
      <c r="A153" s="76">
        <v>2359</v>
      </c>
      <c r="B153" s="127" t="s">
        <v>169</v>
      </c>
      <c r="C153" s="286">
        <f t="shared" si="35"/>
        <v>0</v>
      </c>
      <c r="D153" s="134"/>
      <c r="E153" s="285"/>
      <c r="F153" s="443">
        <f t="shared" si="44"/>
        <v>0</v>
      </c>
      <c r="G153" s="134"/>
      <c r="H153" s="135"/>
      <c r="I153" s="284">
        <f t="shared" si="45"/>
        <v>0</v>
      </c>
      <c r="J153" s="134"/>
      <c r="K153" s="285"/>
      <c r="L153" s="443">
        <f t="shared" si="46"/>
        <v>0</v>
      </c>
      <c r="M153" s="134"/>
      <c r="N153" s="285"/>
      <c r="O153" s="475">
        <f t="shared" si="47"/>
        <v>0</v>
      </c>
      <c r="P153" s="443"/>
      <c r="R153" s="53"/>
      <c r="S153" s="53"/>
    </row>
    <row r="154" spans="1:19" ht="24.75" customHeight="1" x14ac:dyDescent="0.25">
      <c r="A154" s="276">
        <v>2360</v>
      </c>
      <c r="B154" s="127" t="s">
        <v>170</v>
      </c>
      <c r="C154" s="286">
        <f t="shared" si="35"/>
        <v>683</v>
      </c>
      <c r="D154" s="277">
        <f t="shared" ref="D154:O154" si="48">SUM(D155:D161)</f>
        <v>0</v>
      </c>
      <c r="E154" s="282">
        <f t="shared" si="48"/>
        <v>0</v>
      </c>
      <c r="F154" s="136">
        <f t="shared" si="48"/>
        <v>0</v>
      </c>
      <c r="G154" s="277">
        <f t="shared" si="48"/>
        <v>0</v>
      </c>
      <c r="H154" s="280">
        <f t="shared" si="48"/>
        <v>0</v>
      </c>
      <c r="I154" s="281">
        <f t="shared" si="48"/>
        <v>0</v>
      </c>
      <c r="J154" s="277">
        <f t="shared" si="48"/>
        <v>683</v>
      </c>
      <c r="K154" s="278">
        <f t="shared" si="48"/>
        <v>0</v>
      </c>
      <c r="L154" s="279">
        <f t="shared" si="48"/>
        <v>683</v>
      </c>
      <c r="M154" s="277">
        <f t="shared" si="48"/>
        <v>0</v>
      </c>
      <c r="N154" s="282">
        <f t="shared" si="48"/>
        <v>0</v>
      </c>
      <c r="O154" s="286">
        <f t="shared" si="48"/>
        <v>0</v>
      </c>
      <c r="P154" s="136"/>
      <c r="R154" s="53"/>
      <c r="S154" s="53"/>
    </row>
    <row r="155" spans="1:19" x14ac:dyDescent="0.25">
      <c r="A155" s="75">
        <v>2361</v>
      </c>
      <c r="B155" s="127" t="s">
        <v>171</v>
      </c>
      <c r="C155" s="286">
        <f t="shared" si="35"/>
        <v>683</v>
      </c>
      <c r="D155" s="134"/>
      <c r="E155" s="285"/>
      <c r="F155" s="443">
        <f t="shared" ref="F155:F162" si="49">D155+E155</f>
        <v>0</v>
      </c>
      <c r="G155" s="134"/>
      <c r="H155" s="135"/>
      <c r="I155" s="284">
        <f t="shared" ref="I155:I162" si="50">G155+H155</f>
        <v>0</v>
      </c>
      <c r="J155" s="134">
        <v>683</v>
      </c>
      <c r="K155" s="283"/>
      <c r="L155" s="474">
        <f t="shared" ref="L155:L162" si="51">J155+K155</f>
        <v>683</v>
      </c>
      <c r="M155" s="134"/>
      <c r="N155" s="285"/>
      <c r="O155" s="475">
        <f t="shared" ref="O155:O162" si="52">N155+M155</f>
        <v>0</v>
      </c>
      <c r="P155" s="484"/>
      <c r="R155" s="53"/>
      <c r="S155" s="53"/>
    </row>
    <row r="156" spans="1:19" ht="24" hidden="1" x14ac:dyDescent="0.25">
      <c r="A156" s="75">
        <v>2362</v>
      </c>
      <c r="B156" s="127" t="s">
        <v>172</v>
      </c>
      <c r="C156" s="286">
        <f t="shared" si="35"/>
        <v>0</v>
      </c>
      <c r="D156" s="134"/>
      <c r="E156" s="285"/>
      <c r="F156" s="443">
        <f t="shared" si="49"/>
        <v>0</v>
      </c>
      <c r="G156" s="134"/>
      <c r="H156" s="135"/>
      <c r="I156" s="284">
        <f t="shared" si="50"/>
        <v>0</v>
      </c>
      <c r="J156" s="134"/>
      <c r="K156" s="285"/>
      <c r="L156" s="443">
        <f t="shared" si="51"/>
        <v>0</v>
      </c>
      <c r="M156" s="134"/>
      <c r="N156" s="285"/>
      <c r="O156" s="475">
        <f t="shared" si="52"/>
        <v>0</v>
      </c>
      <c r="P156" s="443"/>
      <c r="R156" s="53"/>
      <c r="S156" s="53"/>
    </row>
    <row r="157" spans="1:19" hidden="1" x14ac:dyDescent="0.25">
      <c r="A157" s="75">
        <v>2363</v>
      </c>
      <c r="B157" s="127" t="s">
        <v>173</v>
      </c>
      <c r="C157" s="286">
        <f t="shared" si="35"/>
        <v>0</v>
      </c>
      <c r="D157" s="134"/>
      <c r="E157" s="285"/>
      <c r="F157" s="443">
        <f t="shared" si="49"/>
        <v>0</v>
      </c>
      <c r="G157" s="134"/>
      <c r="H157" s="135"/>
      <c r="I157" s="284">
        <f t="shared" si="50"/>
        <v>0</v>
      </c>
      <c r="J157" s="134"/>
      <c r="K157" s="285"/>
      <c r="L157" s="443">
        <f t="shared" si="51"/>
        <v>0</v>
      </c>
      <c r="M157" s="134"/>
      <c r="N157" s="285"/>
      <c r="O157" s="475">
        <f t="shared" si="52"/>
        <v>0</v>
      </c>
      <c r="P157" s="443"/>
      <c r="R157" s="53"/>
      <c r="S157" s="53"/>
    </row>
    <row r="158" spans="1:19" hidden="1" x14ac:dyDescent="0.25">
      <c r="A158" s="75">
        <v>2364</v>
      </c>
      <c r="B158" s="127" t="s">
        <v>174</v>
      </c>
      <c r="C158" s="286">
        <f t="shared" si="35"/>
        <v>0</v>
      </c>
      <c r="D158" s="134"/>
      <c r="E158" s="285"/>
      <c r="F158" s="443">
        <f t="shared" si="49"/>
        <v>0</v>
      </c>
      <c r="G158" s="134"/>
      <c r="H158" s="135"/>
      <c r="I158" s="284">
        <f t="shared" si="50"/>
        <v>0</v>
      </c>
      <c r="J158" s="134"/>
      <c r="K158" s="285"/>
      <c r="L158" s="443">
        <f t="shared" si="51"/>
        <v>0</v>
      </c>
      <c r="M158" s="134"/>
      <c r="N158" s="285"/>
      <c r="O158" s="475">
        <f t="shared" si="52"/>
        <v>0</v>
      </c>
      <c r="P158" s="443"/>
      <c r="R158" s="53"/>
      <c r="S158" s="53"/>
    </row>
    <row r="159" spans="1:19" ht="12.75" hidden="1" customHeight="1" x14ac:dyDescent="0.25">
      <c r="A159" s="75">
        <v>2365</v>
      </c>
      <c r="B159" s="127" t="s">
        <v>175</v>
      </c>
      <c r="C159" s="286">
        <f t="shared" si="35"/>
        <v>0</v>
      </c>
      <c r="D159" s="134"/>
      <c r="E159" s="285"/>
      <c r="F159" s="443">
        <f t="shared" si="49"/>
        <v>0</v>
      </c>
      <c r="G159" s="134"/>
      <c r="H159" s="135"/>
      <c r="I159" s="284">
        <f t="shared" si="50"/>
        <v>0</v>
      </c>
      <c r="J159" s="134"/>
      <c r="K159" s="285"/>
      <c r="L159" s="443">
        <f t="shared" si="51"/>
        <v>0</v>
      </c>
      <c r="M159" s="134"/>
      <c r="N159" s="285"/>
      <c r="O159" s="475">
        <f t="shared" si="52"/>
        <v>0</v>
      </c>
      <c r="P159" s="443"/>
      <c r="R159" s="53"/>
      <c r="S159" s="53"/>
    </row>
    <row r="160" spans="1:19" ht="36" hidden="1" x14ac:dyDescent="0.25">
      <c r="A160" s="75">
        <v>2366</v>
      </c>
      <c r="B160" s="127" t="s">
        <v>176</v>
      </c>
      <c r="C160" s="286">
        <f t="shared" si="35"/>
        <v>0</v>
      </c>
      <c r="D160" s="134"/>
      <c r="E160" s="285"/>
      <c r="F160" s="443">
        <f t="shared" si="49"/>
        <v>0</v>
      </c>
      <c r="G160" s="134"/>
      <c r="H160" s="135"/>
      <c r="I160" s="284">
        <f t="shared" si="50"/>
        <v>0</v>
      </c>
      <c r="J160" s="134"/>
      <c r="K160" s="285"/>
      <c r="L160" s="443">
        <f t="shared" si="51"/>
        <v>0</v>
      </c>
      <c r="M160" s="134"/>
      <c r="N160" s="285"/>
      <c r="O160" s="475">
        <f t="shared" si="52"/>
        <v>0</v>
      </c>
      <c r="P160" s="443"/>
      <c r="R160" s="53"/>
      <c r="S160" s="53"/>
    </row>
    <row r="161" spans="1:19" ht="48" hidden="1" x14ac:dyDescent="0.25">
      <c r="A161" s="75">
        <v>2369</v>
      </c>
      <c r="B161" s="127" t="s">
        <v>177</v>
      </c>
      <c r="C161" s="286">
        <f t="shared" si="35"/>
        <v>0</v>
      </c>
      <c r="D161" s="134"/>
      <c r="E161" s="285"/>
      <c r="F161" s="443">
        <f t="shared" si="49"/>
        <v>0</v>
      </c>
      <c r="G161" s="134"/>
      <c r="H161" s="135"/>
      <c r="I161" s="284">
        <f t="shared" si="50"/>
        <v>0</v>
      </c>
      <c r="J161" s="134"/>
      <c r="K161" s="285"/>
      <c r="L161" s="443">
        <f t="shared" si="51"/>
        <v>0</v>
      </c>
      <c r="M161" s="134"/>
      <c r="N161" s="285"/>
      <c r="O161" s="475">
        <f t="shared" si="52"/>
        <v>0</v>
      </c>
      <c r="P161" s="443"/>
      <c r="R161" s="53"/>
      <c r="S161" s="53"/>
    </row>
    <row r="162" spans="1:19" hidden="1" x14ac:dyDescent="0.25">
      <c r="A162" s="254">
        <v>2370</v>
      </c>
      <c r="B162" s="179" t="s">
        <v>178</v>
      </c>
      <c r="C162" s="310">
        <f t="shared" si="35"/>
        <v>0</v>
      </c>
      <c r="D162" s="287"/>
      <c r="E162" s="291"/>
      <c r="F162" s="476">
        <f t="shared" si="49"/>
        <v>0</v>
      </c>
      <c r="G162" s="287"/>
      <c r="H162" s="289"/>
      <c r="I162" s="290">
        <f t="shared" si="50"/>
        <v>0</v>
      </c>
      <c r="J162" s="287"/>
      <c r="K162" s="291"/>
      <c r="L162" s="476">
        <f t="shared" si="51"/>
        <v>0</v>
      </c>
      <c r="M162" s="287"/>
      <c r="N162" s="291"/>
      <c r="O162" s="478">
        <f t="shared" si="52"/>
        <v>0</v>
      </c>
      <c r="P162" s="476"/>
      <c r="R162" s="53"/>
      <c r="S162" s="53"/>
    </row>
    <row r="163" spans="1:19" hidden="1" x14ac:dyDescent="0.25">
      <c r="A163" s="254">
        <v>2380</v>
      </c>
      <c r="B163" s="179" t="s">
        <v>179</v>
      </c>
      <c r="C163" s="310">
        <f t="shared" si="35"/>
        <v>0</v>
      </c>
      <c r="D163" s="255">
        <f t="shared" ref="D163:O163" si="53">SUM(D164:D165)</f>
        <v>0</v>
      </c>
      <c r="E163" s="261">
        <f t="shared" si="53"/>
        <v>0</v>
      </c>
      <c r="F163" s="259">
        <f t="shared" si="53"/>
        <v>0</v>
      </c>
      <c r="G163" s="255">
        <f t="shared" si="53"/>
        <v>0</v>
      </c>
      <c r="H163" s="258">
        <f t="shared" si="53"/>
        <v>0</v>
      </c>
      <c r="I163" s="260">
        <f t="shared" si="53"/>
        <v>0</v>
      </c>
      <c r="J163" s="255">
        <f t="shared" si="53"/>
        <v>0</v>
      </c>
      <c r="K163" s="261">
        <f t="shared" si="53"/>
        <v>0</v>
      </c>
      <c r="L163" s="259">
        <f t="shared" si="53"/>
        <v>0</v>
      </c>
      <c r="M163" s="255">
        <f t="shared" si="53"/>
        <v>0</v>
      </c>
      <c r="N163" s="261">
        <f t="shared" si="53"/>
        <v>0</v>
      </c>
      <c r="O163" s="310">
        <f t="shared" si="53"/>
        <v>0</v>
      </c>
      <c r="P163" s="259"/>
      <c r="R163" s="53"/>
      <c r="S163" s="53"/>
    </row>
    <row r="164" spans="1:19" hidden="1" x14ac:dyDescent="0.25">
      <c r="A164" s="65">
        <v>2381</v>
      </c>
      <c r="B164" s="116" t="s">
        <v>180</v>
      </c>
      <c r="C164" s="263">
        <f t="shared" si="35"/>
        <v>0</v>
      </c>
      <c r="D164" s="123"/>
      <c r="E164" s="262"/>
      <c r="F164" s="442">
        <f>D164+E164</f>
        <v>0</v>
      </c>
      <c r="G164" s="123"/>
      <c r="H164" s="124"/>
      <c r="I164" s="264">
        <f>G164+H164</f>
        <v>0</v>
      </c>
      <c r="J164" s="123"/>
      <c r="K164" s="262"/>
      <c r="L164" s="442">
        <f>J164+K164</f>
        <v>0</v>
      </c>
      <c r="M164" s="123"/>
      <c r="N164" s="262"/>
      <c r="O164" s="473">
        <f>N164+M164</f>
        <v>0</v>
      </c>
      <c r="P164" s="442"/>
      <c r="R164" s="53"/>
      <c r="S164" s="53"/>
    </row>
    <row r="165" spans="1:19" ht="24" hidden="1" x14ac:dyDescent="0.25">
      <c r="A165" s="75">
        <v>2389</v>
      </c>
      <c r="B165" s="127" t="s">
        <v>181</v>
      </c>
      <c r="C165" s="286">
        <f t="shared" si="35"/>
        <v>0</v>
      </c>
      <c r="D165" s="134"/>
      <c r="E165" s="285"/>
      <c r="F165" s="443">
        <f>D165+E165</f>
        <v>0</v>
      </c>
      <c r="G165" s="134"/>
      <c r="H165" s="135"/>
      <c r="I165" s="284">
        <f>G165+H165</f>
        <v>0</v>
      </c>
      <c r="J165" s="134"/>
      <c r="K165" s="285"/>
      <c r="L165" s="443">
        <f>J165+K165</f>
        <v>0</v>
      </c>
      <c r="M165" s="134"/>
      <c r="N165" s="285"/>
      <c r="O165" s="475">
        <f>N165+M165</f>
        <v>0</v>
      </c>
      <c r="P165" s="443"/>
      <c r="R165" s="53"/>
      <c r="S165" s="53"/>
    </row>
    <row r="166" spans="1:19" hidden="1" x14ac:dyDescent="0.25">
      <c r="A166" s="254">
        <v>2390</v>
      </c>
      <c r="B166" s="179" t="s">
        <v>182</v>
      </c>
      <c r="C166" s="310">
        <f t="shared" si="35"/>
        <v>0</v>
      </c>
      <c r="D166" s="287">
        <v>0</v>
      </c>
      <c r="E166" s="291"/>
      <c r="F166" s="476">
        <f>D166+E166</f>
        <v>0</v>
      </c>
      <c r="G166" s="287"/>
      <c r="H166" s="289"/>
      <c r="I166" s="290">
        <f>G166+H166</f>
        <v>0</v>
      </c>
      <c r="J166" s="287"/>
      <c r="K166" s="291"/>
      <c r="L166" s="476">
        <f>J166+K166</f>
        <v>0</v>
      </c>
      <c r="M166" s="287"/>
      <c r="N166" s="291"/>
      <c r="O166" s="478">
        <f>N166+M166</f>
        <v>0</v>
      </c>
      <c r="P166" s="476"/>
      <c r="R166" s="53"/>
      <c r="S166" s="53"/>
    </row>
    <row r="167" spans="1:19" hidden="1" x14ac:dyDescent="0.25">
      <c r="A167" s="99">
        <v>2400</v>
      </c>
      <c r="B167" s="247" t="s">
        <v>183</v>
      </c>
      <c r="C167" s="313">
        <f t="shared" si="35"/>
        <v>0</v>
      </c>
      <c r="D167" s="311"/>
      <c r="E167" s="312"/>
      <c r="F167" s="488">
        <f>D167+E167</f>
        <v>0</v>
      </c>
      <c r="G167" s="311"/>
      <c r="H167" s="314"/>
      <c r="I167" s="315">
        <f>G167+H167</f>
        <v>0</v>
      </c>
      <c r="J167" s="311"/>
      <c r="K167" s="312"/>
      <c r="L167" s="488">
        <f>J167+K167</f>
        <v>0</v>
      </c>
      <c r="M167" s="311"/>
      <c r="N167" s="312"/>
      <c r="O167" s="489">
        <f>N167+M167</f>
        <v>0</v>
      </c>
      <c r="P167" s="488"/>
      <c r="R167" s="53"/>
      <c r="S167" s="53"/>
    </row>
    <row r="168" spans="1:19" ht="24" x14ac:dyDescent="0.25">
      <c r="A168" s="99">
        <v>2500</v>
      </c>
      <c r="B168" s="247" t="s">
        <v>184</v>
      </c>
      <c r="C168" s="313">
        <f t="shared" si="35"/>
        <v>17744</v>
      </c>
      <c r="D168" s="112">
        <f t="shared" ref="D168:O168" si="54">SUM(D169,D174)</f>
        <v>0</v>
      </c>
      <c r="E168" s="293">
        <f t="shared" si="54"/>
        <v>0</v>
      </c>
      <c r="F168" s="114">
        <f t="shared" si="54"/>
        <v>0</v>
      </c>
      <c r="G168" s="112">
        <f t="shared" si="54"/>
        <v>0</v>
      </c>
      <c r="H168" s="113">
        <f t="shared" si="54"/>
        <v>0</v>
      </c>
      <c r="I168" s="292">
        <f t="shared" si="54"/>
        <v>0</v>
      </c>
      <c r="J168" s="112">
        <f t="shared" si="54"/>
        <v>17744</v>
      </c>
      <c r="K168" s="248">
        <f t="shared" si="54"/>
        <v>0</v>
      </c>
      <c r="L168" s="249">
        <f t="shared" si="54"/>
        <v>17744</v>
      </c>
      <c r="M168" s="334">
        <f t="shared" si="54"/>
        <v>0</v>
      </c>
      <c r="N168" s="293">
        <f t="shared" si="54"/>
        <v>0</v>
      </c>
      <c r="O168" s="313">
        <f t="shared" si="54"/>
        <v>0</v>
      </c>
      <c r="P168" s="114"/>
      <c r="R168" s="53"/>
      <c r="S168" s="53"/>
    </row>
    <row r="169" spans="1:19" ht="16.5" customHeight="1" x14ac:dyDescent="0.25">
      <c r="A169" s="294">
        <v>2510</v>
      </c>
      <c r="B169" s="116" t="s">
        <v>185</v>
      </c>
      <c r="C169" s="263">
        <f t="shared" si="35"/>
        <v>17744</v>
      </c>
      <c r="D169" s="297">
        <f t="shared" ref="D169:O169" si="55">SUM(D170:D173)</f>
        <v>0</v>
      </c>
      <c r="E169" s="301">
        <f t="shared" si="55"/>
        <v>0</v>
      </c>
      <c r="F169" s="125">
        <f t="shared" si="55"/>
        <v>0</v>
      </c>
      <c r="G169" s="297">
        <f t="shared" si="55"/>
        <v>0</v>
      </c>
      <c r="H169" s="299">
        <f t="shared" si="55"/>
        <v>0</v>
      </c>
      <c r="I169" s="300">
        <f t="shared" si="55"/>
        <v>0</v>
      </c>
      <c r="J169" s="297">
        <f t="shared" si="55"/>
        <v>17744</v>
      </c>
      <c r="K169" s="298">
        <f t="shared" si="55"/>
        <v>0</v>
      </c>
      <c r="L169" s="296">
        <f t="shared" si="55"/>
        <v>17744</v>
      </c>
      <c r="M169" s="308">
        <f t="shared" si="55"/>
        <v>0</v>
      </c>
      <c r="N169" s="301">
        <f t="shared" si="55"/>
        <v>0</v>
      </c>
      <c r="O169" s="263">
        <f t="shared" si="55"/>
        <v>0</v>
      </c>
      <c r="P169" s="125"/>
      <c r="R169" s="53"/>
      <c r="S169" s="53"/>
    </row>
    <row r="170" spans="1:19" ht="24" x14ac:dyDescent="0.25">
      <c r="A170" s="76">
        <v>2512</v>
      </c>
      <c r="B170" s="127" t="s">
        <v>186</v>
      </c>
      <c r="C170" s="286">
        <f t="shared" si="35"/>
        <v>17588</v>
      </c>
      <c r="D170" s="134"/>
      <c r="E170" s="285"/>
      <c r="F170" s="443">
        <f t="shared" ref="F170:F175" si="56">D170+E170</f>
        <v>0</v>
      </c>
      <c r="G170" s="134"/>
      <c r="H170" s="135"/>
      <c r="I170" s="284">
        <f t="shared" ref="I170:I175" si="57">G170+H170</f>
        <v>0</v>
      </c>
      <c r="J170" s="134">
        <v>17588</v>
      </c>
      <c r="K170" s="283"/>
      <c r="L170" s="474">
        <f t="shared" ref="L170:L175" si="58">J170+K170</f>
        <v>17588</v>
      </c>
      <c r="M170" s="134"/>
      <c r="N170" s="285"/>
      <c r="O170" s="475">
        <f t="shared" ref="O170:O175" si="59">N170+M170</f>
        <v>0</v>
      </c>
      <c r="P170" s="443"/>
      <c r="R170" s="53"/>
      <c r="S170" s="53"/>
    </row>
    <row r="171" spans="1:19" ht="36" hidden="1" x14ac:dyDescent="0.25">
      <c r="A171" s="76">
        <v>2513</v>
      </c>
      <c r="B171" s="127" t="s">
        <v>187</v>
      </c>
      <c r="C171" s="286">
        <f t="shared" si="35"/>
        <v>0</v>
      </c>
      <c r="D171" s="134"/>
      <c r="E171" s="285"/>
      <c r="F171" s="443">
        <f t="shared" si="56"/>
        <v>0</v>
      </c>
      <c r="G171" s="134"/>
      <c r="H171" s="135"/>
      <c r="I171" s="284">
        <f t="shared" si="57"/>
        <v>0</v>
      </c>
      <c r="J171" s="134"/>
      <c r="K171" s="285"/>
      <c r="L171" s="443">
        <f t="shared" si="58"/>
        <v>0</v>
      </c>
      <c r="M171" s="134"/>
      <c r="N171" s="285"/>
      <c r="O171" s="475">
        <f t="shared" si="59"/>
        <v>0</v>
      </c>
      <c r="P171" s="443"/>
      <c r="R171" s="53"/>
      <c r="S171" s="53"/>
    </row>
    <row r="172" spans="1:19" ht="24" hidden="1" x14ac:dyDescent="0.25">
      <c r="A172" s="76">
        <v>2515</v>
      </c>
      <c r="B172" s="127" t="s">
        <v>188</v>
      </c>
      <c r="C172" s="286">
        <f t="shared" si="35"/>
        <v>0</v>
      </c>
      <c r="D172" s="134"/>
      <c r="E172" s="285"/>
      <c r="F172" s="443">
        <f t="shared" si="56"/>
        <v>0</v>
      </c>
      <c r="G172" s="134"/>
      <c r="H172" s="135"/>
      <c r="I172" s="284">
        <f t="shared" si="57"/>
        <v>0</v>
      </c>
      <c r="J172" s="134"/>
      <c r="K172" s="285"/>
      <c r="L172" s="443">
        <f t="shared" si="58"/>
        <v>0</v>
      </c>
      <c r="M172" s="134"/>
      <c r="N172" s="285"/>
      <c r="O172" s="475">
        <f t="shared" si="59"/>
        <v>0</v>
      </c>
      <c r="P172" s="443"/>
      <c r="R172" s="53"/>
      <c r="S172" s="53"/>
    </row>
    <row r="173" spans="1:19" ht="24" x14ac:dyDescent="0.25">
      <c r="A173" s="76">
        <v>2519</v>
      </c>
      <c r="B173" s="127" t="s">
        <v>189</v>
      </c>
      <c r="C173" s="286">
        <f t="shared" si="35"/>
        <v>156</v>
      </c>
      <c r="D173" s="134"/>
      <c r="E173" s="285"/>
      <c r="F173" s="443">
        <f t="shared" si="56"/>
        <v>0</v>
      </c>
      <c r="G173" s="134"/>
      <c r="H173" s="135"/>
      <c r="I173" s="284">
        <f t="shared" si="57"/>
        <v>0</v>
      </c>
      <c r="J173" s="134">
        <v>156</v>
      </c>
      <c r="K173" s="283"/>
      <c r="L173" s="474">
        <f t="shared" si="58"/>
        <v>156</v>
      </c>
      <c r="M173" s="134"/>
      <c r="N173" s="285"/>
      <c r="O173" s="475">
        <f t="shared" si="59"/>
        <v>0</v>
      </c>
      <c r="P173" s="441"/>
      <c r="R173" s="53"/>
      <c r="S173" s="53"/>
    </row>
    <row r="174" spans="1:19" ht="24" hidden="1" x14ac:dyDescent="0.25">
      <c r="A174" s="276">
        <v>2520</v>
      </c>
      <c r="B174" s="127" t="s">
        <v>190</v>
      </c>
      <c r="C174" s="286">
        <f t="shared" si="35"/>
        <v>0</v>
      </c>
      <c r="D174" s="134"/>
      <c r="E174" s="285"/>
      <c r="F174" s="443">
        <f t="shared" si="56"/>
        <v>0</v>
      </c>
      <c r="G174" s="134"/>
      <c r="H174" s="135"/>
      <c r="I174" s="284">
        <f t="shared" si="57"/>
        <v>0</v>
      </c>
      <c r="J174" s="134"/>
      <c r="K174" s="285"/>
      <c r="L174" s="443">
        <f t="shared" si="58"/>
        <v>0</v>
      </c>
      <c r="M174" s="134"/>
      <c r="N174" s="285"/>
      <c r="O174" s="475">
        <f t="shared" si="59"/>
        <v>0</v>
      </c>
      <c r="P174" s="443"/>
      <c r="R174" s="53"/>
      <c r="S174" s="53"/>
    </row>
    <row r="175" spans="1:19" s="319" customFormat="1" ht="48" hidden="1" x14ac:dyDescent="0.25">
      <c r="A175" s="31">
        <v>2800</v>
      </c>
      <c r="B175" s="116" t="s">
        <v>191</v>
      </c>
      <c r="C175" s="263">
        <f t="shared" si="35"/>
        <v>0</v>
      </c>
      <c r="D175" s="68"/>
      <c r="E175" s="69"/>
      <c r="F175" s="427">
        <f t="shared" si="56"/>
        <v>0</v>
      </c>
      <c r="G175" s="68"/>
      <c r="H175" s="71"/>
      <c r="I175" s="73">
        <f t="shared" si="57"/>
        <v>0</v>
      </c>
      <c r="J175" s="68"/>
      <c r="K175" s="69"/>
      <c r="L175" s="427">
        <f t="shared" si="58"/>
        <v>0</v>
      </c>
      <c r="M175" s="68"/>
      <c r="N175" s="69"/>
      <c r="O175" s="428">
        <f t="shared" si="59"/>
        <v>0</v>
      </c>
      <c r="P175" s="427"/>
      <c r="R175" s="53"/>
      <c r="S175" s="53"/>
    </row>
    <row r="176" spans="1:19" hidden="1" x14ac:dyDescent="0.25">
      <c r="A176" s="237">
        <v>3000</v>
      </c>
      <c r="B176" s="237" t="s">
        <v>192</v>
      </c>
      <c r="C176" s="465">
        <f t="shared" si="35"/>
        <v>0</v>
      </c>
      <c r="D176" s="466">
        <f t="shared" ref="D176:O176" si="60">SUM(D177,D187)</f>
        <v>0</v>
      </c>
      <c r="E176" s="467">
        <f t="shared" si="60"/>
        <v>0</v>
      </c>
      <c r="F176" s="468">
        <f t="shared" si="60"/>
        <v>0</v>
      </c>
      <c r="G176" s="466">
        <f t="shared" si="60"/>
        <v>0</v>
      </c>
      <c r="H176" s="469">
        <f t="shared" si="60"/>
        <v>0</v>
      </c>
      <c r="I176" s="470">
        <f t="shared" si="60"/>
        <v>0</v>
      </c>
      <c r="J176" s="466">
        <f t="shared" si="60"/>
        <v>0</v>
      </c>
      <c r="K176" s="467">
        <f t="shared" si="60"/>
        <v>0</v>
      </c>
      <c r="L176" s="468">
        <f t="shared" si="60"/>
        <v>0</v>
      </c>
      <c r="M176" s="239">
        <f t="shared" si="60"/>
        <v>0</v>
      </c>
      <c r="N176" s="245">
        <f t="shared" si="60"/>
        <v>0</v>
      </c>
      <c r="O176" s="320">
        <f t="shared" si="60"/>
        <v>0</v>
      </c>
      <c r="P176" s="243"/>
      <c r="R176" s="53"/>
      <c r="S176" s="53"/>
    </row>
    <row r="177" spans="1:19" ht="24" hidden="1" x14ac:dyDescent="0.25">
      <c r="A177" s="99">
        <v>3200</v>
      </c>
      <c r="B177" s="321" t="s">
        <v>193</v>
      </c>
      <c r="C177" s="313">
        <f t="shared" si="35"/>
        <v>0</v>
      </c>
      <c r="D177" s="112">
        <f t="shared" ref="D177:O177" si="61">SUM(D178,D182)</f>
        <v>0</v>
      </c>
      <c r="E177" s="293">
        <f t="shared" si="61"/>
        <v>0</v>
      </c>
      <c r="F177" s="114">
        <f t="shared" si="61"/>
        <v>0</v>
      </c>
      <c r="G177" s="112">
        <f t="shared" si="61"/>
        <v>0</v>
      </c>
      <c r="H177" s="113">
        <f t="shared" si="61"/>
        <v>0</v>
      </c>
      <c r="I177" s="292">
        <f t="shared" si="61"/>
        <v>0</v>
      </c>
      <c r="J177" s="112">
        <f t="shared" si="61"/>
        <v>0</v>
      </c>
      <c r="K177" s="293">
        <f t="shared" si="61"/>
        <v>0</v>
      </c>
      <c r="L177" s="114">
        <f t="shared" si="61"/>
        <v>0</v>
      </c>
      <c r="M177" s="334">
        <f t="shared" si="61"/>
        <v>0</v>
      </c>
      <c r="N177" s="293">
        <f t="shared" si="61"/>
        <v>0</v>
      </c>
      <c r="O177" s="313">
        <f t="shared" si="61"/>
        <v>0</v>
      </c>
      <c r="P177" s="114"/>
      <c r="R177" s="53"/>
      <c r="S177" s="53"/>
    </row>
    <row r="178" spans="1:19" ht="36" hidden="1" x14ac:dyDescent="0.25">
      <c r="A178" s="294">
        <v>3260</v>
      </c>
      <c r="B178" s="116" t="s">
        <v>194</v>
      </c>
      <c r="C178" s="263">
        <f t="shared" si="35"/>
        <v>0</v>
      </c>
      <c r="D178" s="297">
        <f t="shared" ref="D178:O178" si="62">SUM(D179:D181)</f>
        <v>0</v>
      </c>
      <c r="E178" s="301">
        <f t="shared" si="62"/>
        <v>0</v>
      </c>
      <c r="F178" s="125">
        <f t="shared" si="62"/>
        <v>0</v>
      </c>
      <c r="G178" s="297">
        <f t="shared" si="62"/>
        <v>0</v>
      </c>
      <c r="H178" s="299">
        <f t="shared" si="62"/>
        <v>0</v>
      </c>
      <c r="I178" s="300">
        <f t="shared" si="62"/>
        <v>0</v>
      </c>
      <c r="J178" s="297">
        <f t="shared" si="62"/>
        <v>0</v>
      </c>
      <c r="K178" s="301">
        <f t="shared" si="62"/>
        <v>0</v>
      </c>
      <c r="L178" s="125">
        <f t="shared" si="62"/>
        <v>0</v>
      </c>
      <c r="M178" s="297">
        <f t="shared" si="62"/>
        <v>0</v>
      </c>
      <c r="N178" s="301">
        <f t="shared" si="62"/>
        <v>0</v>
      </c>
      <c r="O178" s="263">
        <f t="shared" si="62"/>
        <v>0</v>
      </c>
      <c r="P178" s="125"/>
      <c r="R178" s="53"/>
      <c r="S178" s="53"/>
    </row>
    <row r="179" spans="1:19" ht="24" hidden="1" x14ac:dyDescent="0.25">
      <c r="A179" s="76">
        <v>3261</v>
      </c>
      <c r="B179" s="127" t="s">
        <v>195</v>
      </c>
      <c r="C179" s="286">
        <f t="shared" si="35"/>
        <v>0</v>
      </c>
      <c r="D179" s="134"/>
      <c r="E179" s="285"/>
      <c r="F179" s="443">
        <f>D179+E179</f>
        <v>0</v>
      </c>
      <c r="G179" s="134"/>
      <c r="H179" s="135"/>
      <c r="I179" s="284">
        <f>G179+H179</f>
        <v>0</v>
      </c>
      <c r="J179" s="134"/>
      <c r="K179" s="285"/>
      <c r="L179" s="443">
        <f>J179+K179</f>
        <v>0</v>
      </c>
      <c r="M179" s="134"/>
      <c r="N179" s="285"/>
      <c r="O179" s="475">
        <f>N179+M179</f>
        <v>0</v>
      </c>
      <c r="P179" s="443"/>
      <c r="R179" s="53"/>
      <c r="S179" s="53"/>
    </row>
    <row r="180" spans="1:19" ht="36" hidden="1" x14ac:dyDescent="0.25">
      <c r="A180" s="76">
        <v>3262</v>
      </c>
      <c r="B180" s="127" t="s">
        <v>196</v>
      </c>
      <c r="C180" s="286">
        <f t="shared" si="35"/>
        <v>0</v>
      </c>
      <c r="D180" s="134"/>
      <c r="E180" s="285"/>
      <c r="F180" s="443">
        <f>D180+E180</f>
        <v>0</v>
      </c>
      <c r="G180" s="134"/>
      <c r="H180" s="135"/>
      <c r="I180" s="284">
        <f>G180+H180</f>
        <v>0</v>
      </c>
      <c r="J180" s="134"/>
      <c r="K180" s="285"/>
      <c r="L180" s="443">
        <f>J180+K180</f>
        <v>0</v>
      </c>
      <c r="M180" s="134"/>
      <c r="N180" s="285"/>
      <c r="O180" s="475">
        <f>N180+M180</f>
        <v>0</v>
      </c>
      <c r="P180" s="443"/>
      <c r="R180" s="53"/>
      <c r="S180" s="53"/>
    </row>
    <row r="181" spans="1:19" ht="24" hidden="1" x14ac:dyDescent="0.25">
      <c r="A181" s="76">
        <v>3263</v>
      </c>
      <c r="B181" s="127" t="s">
        <v>197</v>
      </c>
      <c r="C181" s="286">
        <f t="shared" ref="C181:C244" si="63">SUM(F181,I181,L181,O181)</f>
        <v>0</v>
      </c>
      <c r="D181" s="134"/>
      <c r="E181" s="285"/>
      <c r="F181" s="443">
        <f>D181+E181</f>
        <v>0</v>
      </c>
      <c r="G181" s="134"/>
      <c r="H181" s="135"/>
      <c r="I181" s="284">
        <f>G181+H181</f>
        <v>0</v>
      </c>
      <c r="J181" s="134"/>
      <c r="K181" s="285"/>
      <c r="L181" s="443">
        <f>J181+K181</f>
        <v>0</v>
      </c>
      <c r="M181" s="134"/>
      <c r="N181" s="285"/>
      <c r="O181" s="475">
        <f>N181+M181</f>
        <v>0</v>
      </c>
      <c r="P181" s="443"/>
      <c r="R181" s="53"/>
      <c r="S181" s="53"/>
    </row>
    <row r="182" spans="1:19" ht="84" hidden="1" x14ac:dyDescent="0.25">
      <c r="A182" s="294">
        <v>3290</v>
      </c>
      <c r="B182" s="116" t="s">
        <v>349</v>
      </c>
      <c r="C182" s="330">
        <f t="shared" si="63"/>
        <v>0</v>
      </c>
      <c r="D182" s="297">
        <f t="shared" ref="D182:O182" si="64">SUM(D183:D186)</f>
        <v>0</v>
      </c>
      <c r="E182" s="301">
        <f t="shared" si="64"/>
        <v>0</v>
      </c>
      <c r="F182" s="125">
        <f t="shared" si="64"/>
        <v>0</v>
      </c>
      <c r="G182" s="297">
        <f t="shared" si="64"/>
        <v>0</v>
      </c>
      <c r="H182" s="299">
        <f t="shared" si="64"/>
        <v>0</v>
      </c>
      <c r="I182" s="300">
        <f t="shared" si="64"/>
        <v>0</v>
      </c>
      <c r="J182" s="297">
        <f t="shared" si="64"/>
        <v>0</v>
      </c>
      <c r="K182" s="301">
        <f t="shared" si="64"/>
        <v>0</v>
      </c>
      <c r="L182" s="125">
        <f t="shared" si="64"/>
        <v>0</v>
      </c>
      <c r="M182" s="490">
        <f t="shared" si="64"/>
        <v>0</v>
      </c>
      <c r="N182" s="301">
        <f t="shared" si="64"/>
        <v>0</v>
      </c>
      <c r="O182" s="263">
        <f t="shared" si="64"/>
        <v>0</v>
      </c>
      <c r="P182" s="125"/>
      <c r="R182" s="53"/>
      <c r="S182" s="53"/>
    </row>
    <row r="183" spans="1:19" ht="72" hidden="1" x14ac:dyDescent="0.25">
      <c r="A183" s="76">
        <v>3291</v>
      </c>
      <c r="B183" s="127" t="s">
        <v>199</v>
      </c>
      <c r="C183" s="286">
        <f t="shared" si="63"/>
        <v>0</v>
      </c>
      <c r="D183" s="134"/>
      <c r="E183" s="285"/>
      <c r="F183" s="443">
        <f>D183+E183</f>
        <v>0</v>
      </c>
      <c r="G183" s="134"/>
      <c r="H183" s="135"/>
      <c r="I183" s="284">
        <f>G183+H183</f>
        <v>0</v>
      </c>
      <c r="J183" s="134"/>
      <c r="K183" s="285"/>
      <c r="L183" s="443">
        <f>J183+K183</f>
        <v>0</v>
      </c>
      <c r="M183" s="134"/>
      <c r="N183" s="285"/>
      <c r="O183" s="475">
        <f>N183+M183</f>
        <v>0</v>
      </c>
      <c r="P183" s="443"/>
      <c r="R183" s="53"/>
      <c r="S183" s="53"/>
    </row>
    <row r="184" spans="1:19" ht="72" hidden="1" x14ac:dyDescent="0.25">
      <c r="A184" s="76">
        <v>3292</v>
      </c>
      <c r="B184" s="127" t="s">
        <v>200</v>
      </c>
      <c r="C184" s="286">
        <f t="shared" si="63"/>
        <v>0</v>
      </c>
      <c r="D184" s="134"/>
      <c r="E184" s="285"/>
      <c r="F184" s="443">
        <f>D184+E184</f>
        <v>0</v>
      </c>
      <c r="G184" s="134"/>
      <c r="H184" s="135"/>
      <c r="I184" s="284">
        <f>G184+H184</f>
        <v>0</v>
      </c>
      <c r="J184" s="134"/>
      <c r="K184" s="285"/>
      <c r="L184" s="443">
        <f>J184+K184</f>
        <v>0</v>
      </c>
      <c r="M184" s="134"/>
      <c r="N184" s="285"/>
      <c r="O184" s="475">
        <f>N184+M184</f>
        <v>0</v>
      </c>
      <c r="P184" s="443"/>
      <c r="R184" s="53"/>
      <c r="S184" s="53"/>
    </row>
    <row r="185" spans="1:19" ht="72" hidden="1" x14ac:dyDescent="0.25">
      <c r="A185" s="76">
        <v>3293</v>
      </c>
      <c r="B185" s="127" t="s">
        <v>201</v>
      </c>
      <c r="C185" s="286">
        <f t="shared" si="63"/>
        <v>0</v>
      </c>
      <c r="D185" s="134"/>
      <c r="E185" s="285"/>
      <c r="F185" s="443">
        <f>D185+E185</f>
        <v>0</v>
      </c>
      <c r="G185" s="134"/>
      <c r="H185" s="135"/>
      <c r="I185" s="284">
        <f>G185+H185</f>
        <v>0</v>
      </c>
      <c r="J185" s="134"/>
      <c r="K185" s="285"/>
      <c r="L185" s="443">
        <f>J185+K185</f>
        <v>0</v>
      </c>
      <c r="M185" s="134"/>
      <c r="N185" s="285"/>
      <c r="O185" s="475">
        <f>N185+M185</f>
        <v>0</v>
      </c>
      <c r="P185" s="443"/>
      <c r="R185" s="53"/>
      <c r="S185" s="53"/>
    </row>
    <row r="186" spans="1:19" ht="60" hidden="1" x14ac:dyDescent="0.25">
      <c r="A186" s="326">
        <v>3294</v>
      </c>
      <c r="B186" s="127" t="s">
        <v>202</v>
      </c>
      <c r="C186" s="330">
        <f t="shared" si="63"/>
        <v>0</v>
      </c>
      <c r="D186" s="328"/>
      <c r="E186" s="329"/>
      <c r="F186" s="491">
        <f>D186+E186</f>
        <v>0</v>
      </c>
      <c r="G186" s="328"/>
      <c r="H186" s="331"/>
      <c r="I186" s="332">
        <f>G186+H186</f>
        <v>0</v>
      </c>
      <c r="J186" s="328"/>
      <c r="K186" s="329"/>
      <c r="L186" s="491">
        <f>J186+K186</f>
        <v>0</v>
      </c>
      <c r="M186" s="328"/>
      <c r="N186" s="329"/>
      <c r="O186" s="492">
        <f>N186+M186</f>
        <v>0</v>
      </c>
      <c r="P186" s="491"/>
      <c r="R186" s="53"/>
      <c r="S186" s="53"/>
    </row>
    <row r="187" spans="1:19" ht="48" hidden="1" x14ac:dyDescent="0.25">
      <c r="A187" s="160">
        <v>3300</v>
      </c>
      <c r="B187" s="321" t="s">
        <v>203</v>
      </c>
      <c r="C187" s="335">
        <f t="shared" si="63"/>
        <v>0</v>
      </c>
      <c r="D187" s="334">
        <f t="shared" ref="D187:O187" si="65">SUM(D188:D189)</f>
        <v>0</v>
      </c>
      <c r="E187" s="251">
        <f t="shared" si="65"/>
        <v>0</v>
      </c>
      <c r="F187" s="252">
        <f t="shared" si="65"/>
        <v>0</v>
      </c>
      <c r="G187" s="334">
        <f t="shared" si="65"/>
        <v>0</v>
      </c>
      <c r="H187" s="336">
        <f t="shared" si="65"/>
        <v>0</v>
      </c>
      <c r="I187" s="250">
        <f t="shared" si="65"/>
        <v>0</v>
      </c>
      <c r="J187" s="334">
        <f t="shared" si="65"/>
        <v>0</v>
      </c>
      <c r="K187" s="251">
        <f t="shared" si="65"/>
        <v>0</v>
      </c>
      <c r="L187" s="252">
        <f t="shared" si="65"/>
        <v>0</v>
      </c>
      <c r="M187" s="334">
        <f t="shared" si="65"/>
        <v>0</v>
      </c>
      <c r="N187" s="251">
        <f t="shared" si="65"/>
        <v>0</v>
      </c>
      <c r="O187" s="335">
        <f t="shared" si="65"/>
        <v>0</v>
      </c>
      <c r="P187" s="252"/>
      <c r="R187" s="53"/>
      <c r="S187" s="53"/>
    </row>
    <row r="188" spans="1:19" ht="48" hidden="1" x14ac:dyDescent="0.25">
      <c r="A188" s="178">
        <v>3310</v>
      </c>
      <c r="B188" s="179" t="s">
        <v>204</v>
      </c>
      <c r="C188" s="310">
        <f t="shared" si="63"/>
        <v>0</v>
      </c>
      <c r="D188" s="287"/>
      <c r="E188" s="291"/>
      <c r="F188" s="476">
        <f>D188+E188</f>
        <v>0</v>
      </c>
      <c r="G188" s="287"/>
      <c r="H188" s="289"/>
      <c r="I188" s="290">
        <f>G188+H188</f>
        <v>0</v>
      </c>
      <c r="J188" s="287"/>
      <c r="K188" s="291"/>
      <c r="L188" s="476">
        <f>J188+K188</f>
        <v>0</v>
      </c>
      <c r="M188" s="287"/>
      <c r="N188" s="291"/>
      <c r="O188" s="478">
        <f>N188+M188</f>
        <v>0</v>
      </c>
      <c r="P188" s="476"/>
      <c r="R188" s="53"/>
      <c r="S188" s="53"/>
    </row>
    <row r="189" spans="1:19" ht="60" hidden="1" x14ac:dyDescent="0.25">
      <c r="A189" s="66">
        <v>3320</v>
      </c>
      <c r="B189" s="116" t="s">
        <v>205</v>
      </c>
      <c r="C189" s="263">
        <f t="shared" si="63"/>
        <v>0</v>
      </c>
      <c r="D189" s="123"/>
      <c r="E189" s="262"/>
      <c r="F189" s="442">
        <f>D189+E189</f>
        <v>0</v>
      </c>
      <c r="G189" s="123"/>
      <c r="H189" s="124"/>
      <c r="I189" s="264">
        <f>G189+H189</f>
        <v>0</v>
      </c>
      <c r="J189" s="123"/>
      <c r="K189" s="262"/>
      <c r="L189" s="442">
        <f>J189+K189</f>
        <v>0</v>
      </c>
      <c r="M189" s="123"/>
      <c r="N189" s="262"/>
      <c r="O189" s="473">
        <f>N189+M189</f>
        <v>0</v>
      </c>
      <c r="P189" s="442"/>
      <c r="R189" s="53"/>
      <c r="S189" s="53"/>
    </row>
    <row r="190" spans="1:19" hidden="1" x14ac:dyDescent="0.25">
      <c r="A190" s="337">
        <v>4000</v>
      </c>
      <c r="B190" s="237" t="s">
        <v>206</v>
      </c>
      <c r="C190" s="465">
        <f t="shared" si="63"/>
        <v>0</v>
      </c>
      <c r="D190" s="466">
        <f t="shared" ref="D190:O190" si="66">SUM(D191,D194)</f>
        <v>0</v>
      </c>
      <c r="E190" s="467">
        <f t="shared" si="66"/>
        <v>0</v>
      </c>
      <c r="F190" s="468">
        <f t="shared" si="66"/>
        <v>0</v>
      </c>
      <c r="G190" s="466">
        <f t="shared" si="66"/>
        <v>0</v>
      </c>
      <c r="H190" s="469">
        <f t="shared" si="66"/>
        <v>0</v>
      </c>
      <c r="I190" s="470">
        <f t="shared" si="66"/>
        <v>0</v>
      </c>
      <c r="J190" s="466">
        <f t="shared" si="66"/>
        <v>0</v>
      </c>
      <c r="K190" s="467">
        <f t="shared" si="66"/>
        <v>0</v>
      </c>
      <c r="L190" s="468">
        <f t="shared" si="66"/>
        <v>0</v>
      </c>
      <c r="M190" s="239">
        <f t="shared" si="66"/>
        <v>0</v>
      </c>
      <c r="N190" s="245">
        <f t="shared" si="66"/>
        <v>0</v>
      </c>
      <c r="O190" s="320">
        <f t="shared" si="66"/>
        <v>0</v>
      </c>
      <c r="P190" s="243"/>
      <c r="R190" s="53"/>
      <c r="S190" s="53"/>
    </row>
    <row r="191" spans="1:19" ht="24" hidden="1" x14ac:dyDescent="0.25">
      <c r="A191" s="338">
        <v>4200</v>
      </c>
      <c r="B191" s="247" t="s">
        <v>207</v>
      </c>
      <c r="C191" s="313">
        <f t="shared" si="63"/>
        <v>0</v>
      </c>
      <c r="D191" s="112">
        <f t="shared" ref="D191:O191" si="67">SUM(D192,D193)</f>
        <v>0</v>
      </c>
      <c r="E191" s="293">
        <f t="shared" si="67"/>
        <v>0</v>
      </c>
      <c r="F191" s="114">
        <f t="shared" si="67"/>
        <v>0</v>
      </c>
      <c r="G191" s="112">
        <f t="shared" si="67"/>
        <v>0</v>
      </c>
      <c r="H191" s="113">
        <f t="shared" si="67"/>
        <v>0</v>
      </c>
      <c r="I191" s="292">
        <f t="shared" si="67"/>
        <v>0</v>
      </c>
      <c r="J191" s="112">
        <f t="shared" si="67"/>
        <v>0</v>
      </c>
      <c r="K191" s="293">
        <f t="shared" si="67"/>
        <v>0</v>
      </c>
      <c r="L191" s="114">
        <f t="shared" si="67"/>
        <v>0</v>
      </c>
      <c r="M191" s="112">
        <f t="shared" si="67"/>
        <v>0</v>
      </c>
      <c r="N191" s="293">
        <f t="shared" si="67"/>
        <v>0</v>
      </c>
      <c r="O191" s="313">
        <f t="shared" si="67"/>
        <v>0</v>
      </c>
      <c r="P191" s="114"/>
      <c r="R191" s="53"/>
      <c r="S191" s="53"/>
    </row>
    <row r="192" spans="1:19" ht="36" hidden="1" x14ac:dyDescent="0.25">
      <c r="A192" s="294">
        <v>4240</v>
      </c>
      <c r="B192" s="116" t="s">
        <v>208</v>
      </c>
      <c r="C192" s="263">
        <f t="shared" si="63"/>
        <v>0</v>
      </c>
      <c r="D192" s="123"/>
      <c r="E192" s="262"/>
      <c r="F192" s="442"/>
      <c r="G192" s="123"/>
      <c r="H192" s="124"/>
      <c r="I192" s="264">
        <f>G192+H192</f>
        <v>0</v>
      </c>
      <c r="J192" s="123"/>
      <c r="K192" s="262"/>
      <c r="L192" s="442">
        <f>J192+K192</f>
        <v>0</v>
      </c>
      <c r="M192" s="123"/>
      <c r="N192" s="262"/>
      <c r="O192" s="473">
        <f>N192+M192</f>
        <v>0</v>
      </c>
      <c r="P192" s="442"/>
      <c r="R192" s="53"/>
      <c r="S192" s="53"/>
    </row>
    <row r="193" spans="1:19" ht="24" hidden="1" x14ac:dyDescent="0.25">
      <c r="A193" s="276">
        <v>4250</v>
      </c>
      <c r="B193" s="127" t="s">
        <v>209</v>
      </c>
      <c r="C193" s="286">
        <f t="shared" si="63"/>
        <v>0</v>
      </c>
      <c r="D193" s="134"/>
      <c r="E193" s="285"/>
      <c r="F193" s="443"/>
      <c r="G193" s="134"/>
      <c r="H193" s="135"/>
      <c r="I193" s="284">
        <f>G193+H193</f>
        <v>0</v>
      </c>
      <c r="J193" s="134"/>
      <c r="K193" s="285"/>
      <c r="L193" s="443">
        <f>J193+K193</f>
        <v>0</v>
      </c>
      <c r="M193" s="134"/>
      <c r="N193" s="285"/>
      <c r="O193" s="475">
        <f>N193+M193</f>
        <v>0</v>
      </c>
      <c r="P193" s="443"/>
      <c r="R193" s="53"/>
      <c r="S193" s="53"/>
    </row>
    <row r="194" spans="1:19" hidden="1" x14ac:dyDescent="0.25">
      <c r="A194" s="99">
        <v>4300</v>
      </c>
      <c r="B194" s="247" t="s">
        <v>210</v>
      </c>
      <c r="C194" s="313">
        <f t="shared" si="63"/>
        <v>0</v>
      </c>
      <c r="D194" s="112">
        <f t="shared" ref="D194:O194" si="68">SUM(D195)</f>
        <v>0</v>
      </c>
      <c r="E194" s="293">
        <f t="shared" si="68"/>
        <v>0</v>
      </c>
      <c r="F194" s="114">
        <f t="shared" si="68"/>
        <v>0</v>
      </c>
      <c r="G194" s="112">
        <f t="shared" si="68"/>
        <v>0</v>
      </c>
      <c r="H194" s="113">
        <f t="shared" si="68"/>
        <v>0</v>
      </c>
      <c r="I194" s="292">
        <f t="shared" si="68"/>
        <v>0</v>
      </c>
      <c r="J194" s="112">
        <f t="shared" si="68"/>
        <v>0</v>
      </c>
      <c r="K194" s="293">
        <f t="shared" si="68"/>
        <v>0</v>
      </c>
      <c r="L194" s="114">
        <f t="shared" si="68"/>
        <v>0</v>
      </c>
      <c r="M194" s="112">
        <f t="shared" si="68"/>
        <v>0</v>
      </c>
      <c r="N194" s="293">
        <f t="shared" si="68"/>
        <v>0</v>
      </c>
      <c r="O194" s="313">
        <f t="shared" si="68"/>
        <v>0</v>
      </c>
      <c r="P194" s="114"/>
      <c r="R194" s="53"/>
      <c r="S194" s="53"/>
    </row>
    <row r="195" spans="1:19" ht="24" hidden="1" x14ac:dyDescent="0.25">
      <c r="A195" s="294">
        <v>4310</v>
      </c>
      <c r="B195" s="116" t="s">
        <v>211</v>
      </c>
      <c r="C195" s="263">
        <f t="shared" si="63"/>
        <v>0</v>
      </c>
      <c r="D195" s="297">
        <f t="shared" ref="D195:O195" si="69">SUM(D196:D196)</f>
        <v>0</v>
      </c>
      <c r="E195" s="301">
        <f t="shared" si="69"/>
        <v>0</v>
      </c>
      <c r="F195" s="125">
        <f t="shared" si="69"/>
        <v>0</v>
      </c>
      <c r="G195" s="297">
        <f t="shared" si="69"/>
        <v>0</v>
      </c>
      <c r="H195" s="299">
        <f t="shared" si="69"/>
        <v>0</v>
      </c>
      <c r="I195" s="300">
        <f t="shared" si="69"/>
        <v>0</v>
      </c>
      <c r="J195" s="297">
        <f t="shared" si="69"/>
        <v>0</v>
      </c>
      <c r="K195" s="301">
        <f t="shared" si="69"/>
        <v>0</v>
      </c>
      <c r="L195" s="125">
        <f t="shared" si="69"/>
        <v>0</v>
      </c>
      <c r="M195" s="297">
        <f t="shared" si="69"/>
        <v>0</v>
      </c>
      <c r="N195" s="301">
        <f t="shared" si="69"/>
        <v>0</v>
      </c>
      <c r="O195" s="263">
        <f t="shared" si="69"/>
        <v>0</v>
      </c>
      <c r="P195" s="125"/>
      <c r="R195" s="53"/>
      <c r="S195" s="53"/>
    </row>
    <row r="196" spans="1:19" ht="36" hidden="1" x14ac:dyDescent="0.25">
      <c r="A196" s="76">
        <v>4311</v>
      </c>
      <c r="B196" s="127" t="s">
        <v>212</v>
      </c>
      <c r="C196" s="286">
        <f t="shared" si="63"/>
        <v>0</v>
      </c>
      <c r="D196" s="134"/>
      <c r="E196" s="285"/>
      <c r="F196" s="443"/>
      <c r="G196" s="134"/>
      <c r="H196" s="135"/>
      <c r="I196" s="284">
        <f>G196+H196</f>
        <v>0</v>
      </c>
      <c r="J196" s="134"/>
      <c r="K196" s="285"/>
      <c r="L196" s="443">
        <f>J196+K196</f>
        <v>0</v>
      </c>
      <c r="M196" s="134"/>
      <c r="N196" s="285"/>
      <c r="O196" s="475">
        <f>N196+M196</f>
        <v>0</v>
      </c>
      <c r="P196" s="443"/>
      <c r="R196" s="53"/>
      <c r="S196" s="53"/>
    </row>
    <row r="197" spans="1:19" s="41" customFormat="1" ht="24" x14ac:dyDescent="0.25">
      <c r="A197" s="339"/>
      <c r="B197" s="31" t="s">
        <v>213</v>
      </c>
      <c r="C197" s="459">
        <f t="shared" si="63"/>
        <v>7546</v>
      </c>
      <c r="D197" s="230">
        <f t="shared" ref="D197:O197" si="70">SUM(D198,D233,D271)</f>
        <v>0</v>
      </c>
      <c r="E197" s="235">
        <f t="shared" si="70"/>
        <v>0</v>
      </c>
      <c r="F197" s="234">
        <f t="shared" si="70"/>
        <v>0</v>
      </c>
      <c r="G197" s="230">
        <f t="shared" si="70"/>
        <v>0</v>
      </c>
      <c r="H197" s="233">
        <f t="shared" si="70"/>
        <v>0</v>
      </c>
      <c r="I197" s="53">
        <f t="shared" si="70"/>
        <v>0</v>
      </c>
      <c r="J197" s="230">
        <f t="shared" si="70"/>
        <v>7546</v>
      </c>
      <c r="K197" s="231">
        <f t="shared" si="70"/>
        <v>0</v>
      </c>
      <c r="L197" s="232">
        <f t="shared" si="70"/>
        <v>7546</v>
      </c>
      <c r="M197" s="493">
        <f t="shared" si="70"/>
        <v>0</v>
      </c>
      <c r="N197" s="235">
        <f t="shared" si="70"/>
        <v>0</v>
      </c>
      <c r="O197" s="459">
        <f t="shared" si="70"/>
        <v>0</v>
      </c>
      <c r="P197" s="234"/>
      <c r="R197" s="53"/>
      <c r="S197" s="53"/>
    </row>
    <row r="198" spans="1:19" x14ac:dyDescent="0.25">
      <c r="A198" s="237">
        <v>5000</v>
      </c>
      <c r="B198" s="237" t="s">
        <v>214</v>
      </c>
      <c r="C198" s="465">
        <f t="shared" si="63"/>
        <v>7546</v>
      </c>
      <c r="D198" s="466">
        <f t="shared" ref="D198:O198" si="71">D199+D207</f>
        <v>0</v>
      </c>
      <c r="E198" s="467">
        <f t="shared" si="71"/>
        <v>0</v>
      </c>
      <c r="F198" s="468">
        <f t="shared" si="71"/>
        <v>0</v>
      </c>
      <c r="G198" s="466">
        <f t="shared" si="71"/>
        <v>0</v>
      </c>
      <c r="H198" s="469">
        <f t="shared" si="71"/>
        <v>0</v>
      </c>
      <c r="I198" s="470">
        <f t="shared" si="71"/>
        <v>0</v>
      </c>
      <c r="J198" s="466">
        <f t="shared" si="71"/>
        <v>7546</v>
      </c>
      <c r="K198" s="471">
        <f t="shared" si="71"/>
        <v>0</v>
      </c>
      <c r="L198" s="472">
        <f>L199+L207</f>
        <v>7546</v>
      </c>
      <c r="M198" s="239">
        <f t="shared" si="71"/>
        <v>0</v>
      </c>
      <c r="N198" s="245">
        <f t="shared" si="71"/>
        <v>0</v>
      </c>
      <c r="O198" s="320">
        <f t="shared" si="71"/>
        <v>0</v>
      </c>
      <c r="P198" s="243"/>
      <c r="R198" s="53"/>
      <c r="S198" s="53"/>
    </row>
    <row r="199" spans="1:19" hidden="1" x14ac:dyDescent="0.25">
      <c r="A199" s="99">
        <v>5100</v>
      </c>
      <c r="B199" s="247" t="s">
        <v>215</v>
      </c>
      <c r="C199" s="313">
        <f t="shared" si="63"/>
        <v>0</v>
      </c>
      <c r="D199" s="112">
        <f t="shared" ref="D199:O199" si="72">D200+D201+D204+D205+D206</f>
        <v>0</v>
      </c>
      <c r="E199" s="293">
        <f t="shared" si="72"/>
        <v>0</v>
      </c>
      <c r="F199" s="114">
        <f t="shared" si="72"/>
        <v>0</v>
      </c>
      <c r="G199" s="112">
        <f t="shared" si="72"/>
        <v>0</v>
      </c>
      <c r="H199" s="113">
        <f t="shared" si="72"/>
        <v>0</v>
      </c>
      <c r="I199" s="292">
        <f t="shared" si="72"/>
        <v>0</v>
      </c>
      <c r="J199" s="112">
        <f t="shared" si="72"/>
        <v>0</v>
      </c>
      <c r="K199" s="293">
        <f t="shared" si="72"/>
        <v>0</v>
      </c>
      <c r="L199" s="114">
        <f t="shared" si="72"/>
        <v>0</v>
      </c>
      <c r="M199" s="112">
        <f t="shared" si="72"/>
        <v>0</v>
      </c>
      <c r="N199" s="293">
        <f t="shared" si="72"/>
        <v>0</v>
      </c>
      <c r="O199" s="313">
        <f t="shared" si="72"/>
        <v>0</v>
      </c>
      <c r="P199" s="114"/>
      <c r="R199" s="53"/>
      <c r="S199" s="53"/>
    </row>
    <row r="200" spans="1:19" hidden="1" x14ac:dyDescent="0.25">
      <c r="A200" s="294">
        <v>5110</v>
      </c>
      <c r="B200" s="116" t="s">
        <v>216</v>
      </c>
      <c r="C200" s="263">
        <f t="shared" si="63"/>
        <v>0</v>
      </c>
      <c r="D200" s="123"/>
      <c r="E200" s="262"/>
      <c r="F200" s="442">
        <f>D200+E200</f>
        <v>0</v>
      </c>
      <c r="G200" s="123"/>
      <c r="H200" s="124"/>
      <c r="I200" s="264">
        <f>G200+H200</f>
        <v>0</v>
      </c>
      <c r="J200" s="123"/>
      <c r="K200" s="262"/>
      <c r="L200" s="442">
        <f>J200+K200</f>
        <v>0</v>
      </c>
      <c r="M200" s="123"/>
      <c r="N200" s="262"/>
      <c r="O200" s="473">
        <f>N200+M200</f>
        <v>0</v>
      </c>
      <c r="P200" s="442"/>
      <c r="R200" s="53"/>
      <c r="S200" s="53"/>
    </row>
    <row r="201" spans="1:19" ht="24" hidden="1" x14ac:dyDescent="0.25">
      <c r="A201" s="276">
        <v>5120</v>
      </c>
      <c r="B201" s="127" t="s">
        <v>217</v>
      </c>
      <c r="C201" s="286">
        <f t="shared" si="63"/>
        <v>0</v>
      </c>
      <c r="D201" s="277">
        <f t="shared" ref="D201:O201" si="73">D202+D203</f>
        <v>0</v>
      </c>
      <c r="E201" s="282">
        <f t="shared" si="73"/>
        <v>0</v>
      </c>
      <c r="F201" s="136">
        <f t="shared" si="73"/>
        <v>0</v>
      </c>
      <c r="G201" s="277">
        <f t="shared" si="73"/>
        <v>0</v>
      </c>
      <c r="H201" s="280">
        <f t="shared" si="73"/>
        <v>0</v>
      </c>
      <c r="I201" s="281">
        <f t="shared" si="73"/>
        <v>0</v>
      </c>
      <c r="J201" s="277">
        <f t="shared" si="73"/>
        <v>0</v>
      </c>
      <c r="K201" s="282">
        <f t="shared" si="73"/>
        <v>0</v>
      </c>
      <c r="L201" s="136">
        <f t="shared" si="73"/>
        <v>0</v>
      </c>
      <c r="M201" s="277">
        <f t="shared" si="73"/>
        <v>0</v>
      </c>
      <c r="N201" s="282">
        <f t="shared" si="73"/>
        <v>0</v>
      </c>
      <c r="O201" s="286">
        <f t="shared" si="73"/>
        <v>0</v>
      </c>
      <c r="P201" s="136"/>
      <c r="R201" s="53"/>
      <c r="S201" s="53"/>
    </row>
    <row r="202" spans="1:19" hidden="1" x14ac:dyDescent="0.25">
      <c r="A202" s="76">
        <v>5121</v>
      </c>
      <c r="B202" s="127" t="s">
        <v>218</v>
      </c>
      <c r="C202" s="286">
        <f t="shared" si="63"/>
        <v>0</v>
      </c>
      <c r="D202" s="134"/>
      <c r="E202" s="285"/>
      <c r="F202" s="443">
        <f>D202+E202</f>
        <v>0</v>
      </c>
      <c r="G202" s="134"/>
      <c r="H202" s="135"/>
      <c r="I202" s="284">
        <f>G202+H202</f>
        <v>0</v>
      </c>
      <c r="J202" s="134"/>
      <c r="K202" s="285"/>
      <c r="L202" s="443">
        <f>J202+K202</f>
        <v>0</v>
      </c>
      <c r="M202" s="134"/>
      <c r="N202" s="285"/>
      <c r="O202" s="475">
        <f>N202+M202</f>
        <v>0</v>
      </c>
      <c r="P202" s="443"/>
      <c r="R202" s="53"/>
      <c r="S202" s="53"/>
    </row>
    <row r="203" spans="1:19" ht="24" hidden="1" x14ac:dyDescent="0.25">
      <c r="A203" s="76">
        <v>5129</v>
      </c>
      <c r="B203" s="127" t="s">
        <v>219</v>
      </c>
      <c r="C203" s="286">
        <f t="shared" si="63"/>
        <v>0</v>
      </c>
      <c r="D203" s="134"/>
      <c r="E203" s="285"/>
      <c r="F203" s="443">
        <f>D203+E203</f>
        <v>0</v>
      </c>
      <c r="G203" s="134"/>
      <c r="H203" s="135"/>
      <c r="I203" s="284">
        <f>G203+H203</f>
        <v>0</v>
      </c>
      <c r="J203" s="134"/>
      <c r="K203" s="285"/>
      <c r="L203" s="443">
        <f>J203+K203</f>
        <v>0</v>
      </c>
      <c r="M203" s="134"/>
      <c r="N203" s="285"/>
      <c r="O203" s="475">
        <f>N203+M203</f>
        <v>0</v>
      </c>
      <c r="P203" s="443"/>
      <c r="R203" s="53"/>
      <c r="S203" s="53"/>
    </row>
    <row r="204" spans="1:19" hidden="1" x14ac:dyDescent="0.25">
      <c r="A204" s="276">
        <v>5130</v>
      </c>
      <c r="B204" s="127" t="s">
        <v>220</v>
      </c>
      <c r="C204" s="286">
        <f t="shared" si="63"/>
        <v>0</v>
      </c>
      <c r="D204" s="134"/>
      <c r="E204" s="285"/>
      <c r="F204" s="443">
        <f>D204+E204</f>
        <v>0</v>
      </c>
      <c r="G204" s="134"/>
      <c r="H204" s="135"/>
      <c r="I204" s="284">
        <f>G204+H204</f>
        <v>0</v>
      </c>
      <c r="J204" s="134"/>
      <c r="K204" s="285"/>
      <c r="L204" s="443">
        <f>J204+K204</f>
        <v>0</v>
      </c>
      <c r="M204" s="134"/>
      <c r="N204" s="285"/>
      <c r="O204" s="475">
        <f>N204+M204</f>
        <v>0</v>
      </c>
      <c r="P204" s="443"/>
      <c r="R204" s="53"/>
      <c r="S204" s="53"/>
    </row>
    <row r="205" spans="1:19" hidden="1" x14ac:dyDescent="0.25">
      <c r="A205" s="276">
        <v>5140</v>
      </c>
      <c r="B205" s="127" t="s">
        <v>221</v>
      </c>
      <c r="C205" s="286">
        <f t="shared" si="63"/>
        <v>0</v>
      </c>
      <c r="D205" s="134"/>
      <c r="E205" s="285"/>
      <c r="F205" s="443">
        <f>D205+E205</f>
        <v>0</v>
      </c>
      <c r="G205" s="134"/>
      <c r="H205" s="135"/>
      <c r="I205" s="284">
        <f>G205+H205</f>
        <v>0</v>
      </c>
      <c r="J205" s="134"/>
      <c r="K205" s="285"/>
      <c r="L205" s="443">
        <f>J205+K205</f>
        <v>0</v>
      </c>
      <c r="M205" s="134"/>
      <c r="N205" s="285"/>
      <c r="O205" s="475">
        <f>N205+M205</f>
        <v>0</v>
      </c>
      <c r="P205" s="443"/>
      <c r="R205" s="53"/>
      <c r="S205" s="53"/>
    </row>
    <row r="206" spans="1:19" ht="24" hidden="1" x14ac:dyDescent="0.25">
      <c r="A206" s="276">
        <v>5170</v>
      </c>
      <c r="B206" s="127" t="s">
        <v>222</v>
      </c>
      <c r="C206" s="286">
        <f t="shared" si="63"/>
        <v>0</v>
      </c>
      <c r="D206" s="134"/>
      <c r="E206" s="285"/>
      <c r="F206" s="443">
        <f>D206+E206</f>
        <v>0</v>
      </c>
      <c r="G206" s="134"/>
      <c r="H206" s="135"/>
      <c r="I206" s="284">
        <f>G206+H206</f>
        <v>0</v>
      </c>
      <c r="J206" s="134"/>
      <c r="K206" s="285"/>
      <c r="L206" s="443">
        <f>J206+K206</f>
        <v>0</v>
      </c>
      <c r="M206" s="134"/>
      <c r="N206" s="285"/>
      <c r="O206" s="475">
        <f>N206+M206</f>
        <v>0</v>
      </c>
      <c r="P206" s="443"/>
      <c r="R206" s="53"/>
      <c r="S206" s="53"/>
    </row>
    <row r="207" spans="1:19" x14ac:dyDescent="0.25">
      <c r="A207" s="99">
        <v>5200</v>
      </c>
      <c r="B207" s="247" t="s">
        <v>223</v>
      </c>
      <c r="C207" s="313">
        <f t="shared" si="63"/>
        <v>7546</v>
      </c>
      <c r="D207" s="112">
        <f t="shared" ref="D207:O207" si="74">D208+D218+D219+D228+D229+D230+D232</f>
        <v>0</v>
      </c>
      <c r="E207" s="293">
        <f t="shared" si="74"/>
        <v>0</v>
      </c>
      <c r="F207" s="114">
        <f t="shared" si="74"/>
        <v>0</v>
      </c>
      <c r="G207" s="112">
        <f t="shared" si="74"/>
        <v>0</v>
      </c>
      <c r="H207" s="113">
        <f t="shared" si="74"/>
        <v>0</v>
      </c>
      <c r="I207" s="292">
        <f t="shared" si="74"/>
        <v>0</v>
      </c>
      <c r="J207" s="112">
        <f t="shared" si="74"/>
        <v>7546</v>
      </c>
      <c r="K207" s="248">
        <f t="shared" si="74"/>
        <v>0</v>
      </c>
      <c r="L207" s="249">
        <f t="shared" si="74"/>
        <v>7546</v>
      </c>
      <c r="M207" s="112">
        <f t="shared" si="74"/>
        <v>0</v>
      </c>
      <c r="N207" s="293">
        <f t="shared" si="74"/>
        <v>0</v>
      </c>
      <c r="O207" s="313">
        <f t="shared" si="74"/>
        <v>0</v>
      </c>
      <c r="P207" s="114"/>
      <c r="R207" s="53"/>
      <c r="S207" s="53"/>
    </row>
    <row r="208" spans="1:19" hidden="1" x14ac:dyDescent="0.25">
      <c r="A208" s="254">
        <v>5210</v>
      </c>
      <c r="B208" s="179" t="s">
        <v>224</v>
      </c>
      <c r="C208" s="310">
        <f t="shared" si="63"/>
        <v>0</v>
      </c>
      <c r="D208" s="255">
        <f t="shared" ref="D208:O208" si="75">SUM(D209:D217)</f>
        <v>0</v>
      </c>
      <c r="E208" s="261">
        <f t="shared" si="75"/>
        <v>0</v>
      </c>
      <c r="F208" s="259">
        <f t="shared" si="75"/>
        <v>0</v>
      </c>
      <c r="G208" s="255">
        <f t="shared" si="75"/>
        <v>0</v>
      </c>
      <c r="H208" s="258">
        <f t="shared" si="75"/>
        <v>0</v>
      </c>
      <c r="I208" s="260">
        <f t="shared" si="75"/>
        <v>0</v>
      </c>
      <c r="J208" s="255">
        <f t="shared" si="75"/>
        <v>0</v>
      </c>
      <c r="K208" s="261">
        <f t="shared" si="75"/>
        <v>0</v>
      </c>
      <c r="L208" s="259">
        <f t="shared" si="75"/>
        <v>0</v>
      </c>
      <c r="M208" s="255">
        <f t="shared" si="75"/>
        <v>0</v>
      </c>
      <c r="N208" s="261">
        <f t="shared" si="75"/>
        <v>0</v>
      </c>
      <c r="O208" s="310">
        <f t="shared" si="75"/>
        <v>0</v>
      </c>
      <c r="P208" s="259"/>
      <c r="R208" s="53"/>
      <c r="S208" s="53"/>
    </row>
    <row r="209" spans="1:19" hidden="1" x14ac:dyDescent="0.25">
      <c r="A209" s="66">
        <v>5211</v>
      </c>
      <c r="B209" s="116" t="s">
        <v>225</v>
      </c>
      <c r="C209" s="263">
        <f t="shared" si="63"/>
        <v>0</v>
      </c>
      <c r="D209" s="123"/>
      <c r="E209" s="262"/>
      <c r="F209" s="442">
        <f t="shared" ref="F209:F218" si="76">D209+E209</f>
        <v>0</v>
      </c>
      <c r="G209" s="123"/>
      <c r="H209" s="124"/>
      <c r="I209" s="264">
        <f t="shared" ref="I209:I218" si="77">G209+H209</f>
        <v>0</v>
      </c>
      <c r="J209" s="123"/>
      <c r="K209" s="262"/>
      <c r="L209" s="442">
        <f t="shared" ref="L209:L218" si="78">J209+K209</f>
        <v>0</v>
      </c>
      <c r="M209" s="123"/>
      <c r="N209" s="262"/>
      <c r="O209" s="473">
        <f t="shared" ref="O209:O218" si="79">N209+M209</f>
        <v>0</v>
      </c>
      <c r="P209" s="442"/>
      <c r="R209" s="53"/>
      <c r="S209" s="53"/>
    </row>
    <row r="210" spans="1:19" hidden="1" x14ac:dyDescent="0.25">
      <c r="A210" s="76">
        <v>5212</v>
      </c>
      <c r="B210" s="127" t="s">
        <v>226</v>
      </c>
      <c r="C210" s="286">
        <f t="shared" si="63"/>
        <v>0</v>
      </c>
      <c r="D210" s="134"/>
      <c r="E210" s="285"/>
      <c r="F210" s="443">
        <f t="shared" si="76"/>
        <v>0</v>
      </c>
      <c r="G210" s="134"/>
      <c r="H210" s="135"/>
      <c r="I210" s="284">
        <f t="shared" si="77"/>
        <v>0</v>
      </c>
      <c r="J210" s="134"/>
      <c r="K210" s="285"/>
      <c r="L210" s="443">
        <f t="shared" si="78"/>
        <v>0</v>
      </c>
      <c r="M210" s="134"/>
      <c r="N210" s="285"/>
      <c r="O210" s="475">
        <f t="shared" si="79"/>
        <v>0</v>
      </c>
      <c r="P210" s="443"/>
      <c r="R210" s="53"/>
      <c r="S210" s="53"/>
    </row>
    <row r="211" spans="1:19" hidden="1" x14ac:dyDescent="0.25">
      <c r="A211" s="76">
        <v>5213</v>
      </c>
      <c r="B211" s="127" t="s">
        <v>227</v>
      </c>
      <c r="C211" s="286">
        <f t="shared" si="63"/>
        <v>0</v>
      </c>
      <c r="D211" s="134"/>
      <c r="E211" s="285"/>
      <c r="F211" s="443">
        <f t="shared" si="76"/>
        <v>0</v>
      </c>
      <c r="G211" s="134"/>
      <c r="H211" s="135"/>
      <c r="I211" s="284">
        <f t="shared" si="77"/>
        <v>0</v>
      </c>
      <c r="J211" s="134"/>
      <c r="K211" s="285"/>
      <c r="L211" s="443">
        <f t="shared" si="78"/>
        <v>0</v>
      </c>
      <c r="M211" s="134"/>
      <c r="N211" s="285"/>
      <c r="O211" s="475">
        <f t="shared" si="79"/>
        <v>0</v>
      </c>
      <c r="P211" s="443"/>
      <c r="R211" s="53"/>
      <c r="S211" s="53"/>
    </row>
    <row r="212" spans="1:19" hidden="1" x14ac:dyDescent="0.25">
      <c r="A212" s="76">
        <v>5214</v>
      </c>
      <c r="B212" s="127" t="s">
        <v>228</v>
      </c>
      <c r="C212" s="286">
        <f t="shared" si="63"/>
        <v>0</v>
      </c>
      <c r="D212" s="134"/>
      <c r="E212" s="285"/>
      <c r="F212" s="443">
        <f t="shared" si="76"/>
        <v>0</v>
      </c>
      <c r="G212" s="134"/>
      <c r="H212" s="135"/>
      <c r="I212" s="284">
        <f t="shared" si="77"/>
        <v>0</v>
      </c>
      <c r="J212" s="134"/>
      <c r="K212" s="285"/>
      <c r="L212" s="443">
        <f t="shared" si="78"/>
        <v>0</v>
      </c>
      <c r="M212" s="134"/>
      <c r="N212" s="285"/>
      <c r="O212" s="475">
        <f t="shared" si="79"/>
        <v>0</v>
      </c>
      <c r="P212" s="443"/>
      <c r="R212" s="53"/>
      <c r="S212" s="53"/>
    </row>
    <row r="213" spans="1:19" hidden="1" x14ac:dyDescent="0.25">
      <c r="A213" s="76">
        <v>5215</v>
      </c>
      <c r="B213" s="127" t="s">
        <v>229</v>
      </c>
      <c r="C213" s="286">
        <f t="shared" si="63"/>
        <v>0</v>
      </c>
      <c r="D213" s="134"/>
      <c r="E213" s="285"/>
      <c r="F213" s="443">
        <f t="shared" si="76"/>
        <v>0</v>
      </c>
      <c r="G213" s="134"/>
      <c r="H213" s="135"/>
      <c r="I213" s="284">
        <f t="shared" si="77"/>
        <v>0</v>
      </c>
      <c r="J213" s="134"/>
      <c r="K213" s="285"/>
      <c r="L213" s="443">
        <f t="shared" si="78"/>
        <v>0</v>
      </c>
      <c r="M213" s="134"/>
      <c r="N213" s="285"/>
      <c r="O213" s="475">
        <f t="shared" si="79"/>
        <v>0</v>
      </c>
      <c r="P213" s="443"/>
      <c r="R213" s="53"/>
      <c r="S213" s="53"/>
    </row>
    <row r="214" spans="1:19" ht="24" hidden="1" x14ac:dyDescent="0.25">
      <c r="A214" s="76">
        <v>5216</v>
      </c>
      <c r="B214" s="127" t="s">
        <v>230</v>
      </c>
      <c r="C214" s="286">
        <f t="shared" si="63"/>
        <v>0</v>
      </c>
      <c r="D214" s="134"/>
      <c r="E214" s="285"/>
      <c r="F214" s="443">
        <f t="shared" si="76"/>
        <v>0</v>
      </c>
      <c r="G214" s="134"/>
      <c r="H214" s="135"/>
      <c r="I214" s="284">
        <f t="shared" si="77"/>
        <v>0</v>
      </c>
      <c r="J214" s="134"/>
      <c r="K214" s="285"/>
      <c r="L214" s="443">
        <f t="shared" si="78"/>
        <v>0</v>
      </c>
      <c r="M214" s="134"/>
      <c r="N214" s="285"/>
      <c r="O214" s="475">
        <f t="shared" si="79"/>
        <v>0</v>
      </c>
      <c r="P214" s="443"/>
      <c r="R214" s="53"/>
      <c r="S214" s="53"/>
    </row>
    <row r="215" spans="1:19" hidden="1" x14ac:dyDescent="0.25">
      <c r="A215" s="76">
        <v>5217</v>
      </c>
      <c r="B215" s="127" t="s">
        <v>231</v>
      </c>
      <c r="C215" s="286">
        <f t="shared" si="63"/>
        <v>0</v>
      </c>
      <c r="D215" s="134"/>
      <c r="E215" s="285"/>
      <c r="F215" s="443">
        <f t="shared" si="76"/>
        <v>0</v>
      </c>
      <c r="G215" s="134"/>
      <c r="H215" s="135"/>
      <c r="I215" s="284">
        <f t="shared" si="77"/>
        <v>0</v>
      </c>
      <c r="J215" s="134"/>
      <c r="K215" s="285"/>
      <c r="L215" s="443">
        <f t="shared" si="78"/>
        <v>0</v>
      </c>
      <c r="M215" s="134"/>
      <c r="N215" s="285"/>
      <c r="O215" s="475">
        <f t="shared" si="79"/>
        <v>0</v>
      </c>
      <c r="P215" s="443"/>
      <c r="R215" s="53"/>
      <c r="S215" s="53"/>
    </row>
    <row r="216" spans="1:19" hidden="1" x14ac:dyDescent="0.25">
      <c r="A216" s="76">
        <v>5218</v>
      </c>
      <c r="B216" s="127" t="s">
        <v>232</v>
      </c>
      <c r="C216" s="286">
        <f t="shared" si="63"/>
        <v>0</v>
      </c>
      <c r="D216" s="134"/>
      <c r="E216" s="285"/>
      <c r="F216" s="443">
        <f t="shared" si="76"/>
        <v>0</v>
      </c>
      <c r="G216" s="134"/>
      <c r="H216" s="135"/>
      <c r="I216" s="284">
        <f t="shared" si="77"/>
        <v>0</v>
      </c>
      <c r="J216" s="134"/>
      <c r="K216" s="285"/>
      <c r="L216" s="443">
        <f t="shared" si="78"/>
        <v>0</v>
      </c>
      <c r="M216" s="134"/>
      <c r="N216" s="285"/>
      <c r="O216" s="475">
        <f t="shared" si="79"/>
        <v>0</v>
      </c>
      <c r="P216" s="443"/>
      <c r="R216" s="53"/>
      <c r="S216" s="53"/>
    </row>
    <row r="217" spans="1:19" hidden="1" x14ac:dyDescent="0.25">
      <c r="A217" s="76">
        <v>5219</v>
      </c>
      <c r="B217" s="127" t="s">
        <v>233</v>
      </c>
      <c r="C217" s="286">
        <f t="shared" si="63"/>
        <v>0</v>
      </c>
      <c r="D217" s="134"/>
      <c r="E217" s="285"/>
      <c r="F217" s="443">
        <f t="shared" si="76"/>
        <v>0</v>
      </c>
      <c r="G217" s="134"/>
      <c r="H217" s="135"/>
      <c r="I217" s="284">
        <f t="shared" si="77"/>
        <v>0</v>
      </c>
      <c r="J217" s="134"/>
      <c r="K217" s="285"/>
      <c r="L217" s="443">
        <f t="shared" si="78"/>
        <v>0</v>
      </c>
      <c r="M217" s="134"/>
      <c r="N217" s="285"/>
      <c r="O217" s="475">
        <f t="shared" si="79"/>
        <v>0</v>
      </c>
      <c r="P217" s="443"/>
      <c r="R217" s="53"/>
      <c r="S217" s="53"/>
    </row>
    <row r="218" spans="1:19" ht="13.5" hidden="1" customHeight="1" x14ac:dyDescent="0.25">
      <c r="A218" s="276">
        <v>5220</v>
      </c>
      <c r="B218" s="127" t="s">
        <v>234</v>
      </c>
      <c r="C218" s="286">
        <f t="shared" si="63"/>
        <v>0</v>
      </c>
      <c r="D218" s="134"/>
      <c r="E218" s="285"/>
      <c r="F218" s="443">
        <f t="shared" si="76"/>
        <v>0</v>
      </c>
      <c r="G218" s="134"/>
      <c r="H218" s="135"/>
      <c r="I218" s="284">
        <f t="shared" si="77"/>
        <v>0</v>
      </c>
      <c r="J218" s="134"/>
      <c r="K218" s="285"/>
      <c r="L218" s="443">
        <f t="shared" si="78"/>
        <v>0</v>
      </c>
      <c r="M218" s="134"/>
      <c r="N218" s="285"/>
      <c r="O218" s="475">
        <f t="shared" si="79"/>
        <v>0</v>
      </c>
      <c r="P218" s="443"/>
      <c r="R218" s="53"/>
      <c r="S218" s="53"/>
    </row>
    <row r="219" spans="1:19" x14ac:dyDescent="0.25">
      <c r="A219" s="276">
        <v>5230</v>
      </c>
      <c r="B219" s="127" t="s">
        <v>235</v>
      </c>
      <c r="C219" s="286">
        <f t="shared" si="63"/>
        <v>7546</v>
      </c>
      <c r="D219" s="277">
        <f t="shared" ref="D219:O219" si="80">SUM(D220:D227)</f>
        <v>0</v>
      </c>
      <c r="E219" s="282">
        <f t="shared" si="80"/>
        <v>0</v>
      </c>
      <c r="F219" s="136">
        <f t="shared" si="80"/>
        <v>0</v>
      </c>
      <c r="G219" s="277">
        <f t="shared" si="80"/>
        <v>0</v>
      </c>
      <c r="H219" s="280">
        <f t="shared" si="80"/>
        <v>0</v>
      </c>
      <c r="I219" s="281">
        <f t="shared" si="80"/>
        <v>0</v>
      </c>
      <c r="J219" s="277">
        <f t="shared" si="80"/>
        <v>7546</v>
      </c>
      <c r="K219" s="278">
        <f t="shared" si="80"/>
        <v>0</v>
      </c>
      <c r="L219" s="279">
        <f t="shared" si="80"/>
        <v>7546</v>
      </c>
      <c r="M219" s="277">
        <f t="shared" si="80"/>
        <v>0</v>
      </c>
      <c r="N219" s="282">
        <f t="shared" si="80"/>
        <v>0</v>
      </c>
      <c r="O219" s="286">
        <f t="shared" si="80"/>
        <v>0</v>
      </c>
      <c r="P219" s="136"/>
      <c r="R219" s="53"/>
      <c r="S219" s="53"/>
    </row>
    <row r="220" spans="1:19" hidden="1" x14ac:dyDescent="0.25">
      <c r="A220" s="76">
        <v>5231</v>
      </c>
      <c r="B220" s="127" t="s">
        <v>236</v>
      </c>
      <c r="C220" s="286">
        <f t="shared" si="63"/>
        <v>0</v>
      </c>
      <c r="D220" s="134"/>
      <c r="E220" s="285"/>
      <c r="F220" s="443">
        <f t="shared" ref="F220:F229" si="81">D220+E220</f>
        <v>0</v>
      </c>
      <c r="G220" s="134"/>
      <c r="H220" s="135"/>
      <c r="I220" s="284">
        <f t="shared" ref="I220:I229" si="82">G220+H220</f>
        <v>0</v>
      </c>
      <c r="J220" s="134"/>
      <c r="K220" s="285"/>
      <c r="L220" s="443">
        <f t="shared" ref="L220:L229" si="83">J220+K220</f>
        <v>0</v>
      </c>
      <c r="M220" s="134"/>
      <c r="N220" s="285"/>
      <c r="O220" s="475">
        <f t="shared" ref="O220:O229" si="84">N220+M220</f>
        <v>0</v>
      </c>
      <c r="P220" s="443"/>
      <c r="R220" s="53"/>
      <c r="S220" s="53"/>
    </row>
    <row r="221" spans="1:19" x14ac:dyDescent="0.25">
      <c r="A221" s="76">
        <v>5232</v>
      </c>
      <c r="B221" s="127" t="s">
        <v>237</v>
      </c>
      <c r="C221" s="286">
        <f t="shared" si="63"/>
        <v>4216</v>
      </c>
      <c r="D221" s="134"/>
      <c r="E221" s="285"/>
      <c r="F221" s="443">
        <f t="shared" si="81"/>
        <v>0</v>
      </c>
      <c r="G221" s="134"/>
      <c r="H221" s="135"/>
      <c r="I221" s="284">
        <f t="shared" si="82"/>
        <v>0</v>
      </c>
      <c r="J221" s="134">
        <f>2016+2200</f>
        <v>4216</v>
      </c>
      <c r="K221" s="283"/>
      <c r="L221" s="474">
        <f t="shared" si="83"/>
        <v>4216</v>
      </c>
      <c r="M221" s="134"/>
      <c r="N221" s="285"/>
      <c r="O221" s="475">
        <f t="shared" si="84"/>
        <v>0</v>
      </c>
      <c r="P221" s="484"/>
      <c r="R221" s="53"/>
      <c r="S221" s="53"/>
    </row>
    <row r="222" spans="1:19" hidden="1" x14ac:dyDescent="0.25">
      <c r="A222" s="76">
        <v>5233</v>
      </c>
      <c r="B222" s="127" t="s">
        <v>238</v>
      </c>
      <c r="C222" s="286">
        <f t="shared" si="63"/>
        <v>0</v>
      </c>
      <c r="D222" s="134"/>
      <c r="E222" s="285"/>
      <c r="F222" s="443">
        <f t="shared" si="81"/>
        <v>0</v>
      </c>
      <c r="G222" s="134"/>
      <c r="H222" s="135"/>
      <c r="I222" s="284">
        <f t="shared" si="82"/>
        <v>0</v>
      </c>
      <c r="J222" s="134"/>
      <c r="K222" s="285"/>
      <c r="L222" s="443">
        <f t="shared" si="83"/>
        <v>0</v>
      </c>
      <c r="M222" s="134"/>
      <c r="N222" s="285"/>
      <c r="O222" s="475">
        <f t="shared" si="84"/>
        <v>0</v>
      </c>
      <c r="P222" s="443"/>
      <c r="R222" s="53"/>
      <c r="S222" s="53"/>
    </row>
    <row r="223" spans="1:19" ht="24" hidden="1" x14ac:dyDescent="0.25">
      <c r="A223" s="76">
        <v>5234</v>
      </c>
      <c r="B223" s="127" t="s">
        <v>239</v>
      </c>
      <c r="C223" s="286">
        <f t="shared" si="63"/>
        <v>0</v>
      </c>
      <c r="D223" s="134"/>
      <c r="E223" s="285"/>
      <c r="F223" s="443">
        <f t="shared" si="81"/>
        <v>0</v>
      </c>
      <c r="G223" s="134"/>
      <c r="H223" s="135"/>
      <c r="I223" s="284">
        <f t="shared" si="82"/>
        <v>0</v>
      </c>
      <c r="J223" s="134"/>
      <c r="K223" s="285"/>
      <c r="L223" s="443">
        <f t="shared" si="83"/>
        <v>0</v>
      </c>
      <c r="M223" s="134"/>
      <c r="N223" s="285"/>
      <c r="O223" s="475">
        <f t="shared" si="84"/>
        <v>0</v>
      </c>
      <c r="P223" s="443"/>
      <c r="R223" s="53"/>
      <c r="S223" s="53"/>
    </row>
    <row r="224" spans="1:19" ht="14.25" hidden="1" customHeight="1" x14ac:dyDescent="0.25">
      <c r="A224" s="76">
        <v>5236</v>
      </c>
      <c r="B224" s="127" t="s">
        <v>240</v>
      </c>
      <c r="C224" s="286">
        <f t="shared" si="63"/>
        <v>0</v>
      </c>
      <c r="D224" s="134"/>
      <c r="E224" s="285"/>
      <c r="F224" s="443">
        <f t="shared" si="81"/>
        <v>0</v>
      </c>
      <c r="G224" s="134"/>
      <c r="H224" s="135"/>
      <c r="I224" s="284">
        <f t="shared" si="82"/>
        <v>0</v>
      </c>
      <c r="J224" s="134"/>
      <c r="K224" s="285"/>
      <c r="L224" s="443">
        <f t="shared" si="83"/>
        <v>0</v>
      </c>
      <c r="M224" s="134"/>
      <c r="N224" s="285"/>
      <c r="O224" s="475">
        <f t="shared" si="84"/>
        <v>0</v>
      </c>
      <c r="P224" s="443"/>
      <c r="R224" s="53"/>
      <c r="S224" s="53"/>
    </row>
    <row r="225" spans="1:19" ht="14.25" hidden="1" customHeight="1" x14ac:dyDescent="0.25">
      <c r="A225" s="76">
        <v>5237</v>
      </c>
      <c r="B225" s="127" t="s">
        <v>241</v>
      </c>
      <c r="C225" s="286">
        <f t="shared" si="63"/>
        <v>0</v>
      </c>
      <c r="D225" s="134"/>
      <c r="E225" s="285"/>
      <c r="F225" s="443">
        <f t="shared" si="81"/>
        <v>0</v>
      </c>
      <c r="G225" s="134"/>
      <c r="H225" s="135"/>
      <c r="I225" s="284">
        <f t="shared" si="82"/>
        <v>0</v>
      </c>
      <c r="J225" s="134"/>
      <c r="K225" s="285"/>
      <c r="L225" s="443">
        <f>J225+K225</f>
        <v>0</v>
      </c>
      <c r="M225" s="134"/>
      <c r="N225" s="285"/>
      <c r="O225" s="475">
        <f t="shared" si="84"/>
        <v>0</v>
      </c>
      <c r="P225" s="443"/>
      <c r="Q225" s="7"/>
      <c r="R225" s="53"/>
      <c r="S225" s="53"/>
    </row>
    <row r="226" spans="1:19" ht="24" x14ac:dyDescent="0.25">
      <c r="A226" s="76">
        <v>5238</v>
      </c>
      <c r="B226" s="127" t="s">
        <v>242</v>
      </c>
      <c r="C226" s="286">
        <f t="shared" si="63"/>
        <v>2995</v>
      </c>
      <c r="D226" s="134"/>
      <c r="E226" s="285"/>
      <c r="F226" s="443">
        <f t="shared" si="81"/>
        <v>0</v>
      </c>
      <c r="G226" s="134"/>
      <c r="H226" s="135"/>
      <c r="I226" s="284">
        <f t="shared" si="82"/>
        <v>0</v>
      </c>
      <c r="J226" s="134">
        <v>2995</v>
      </c>
      <c r="K226" s="283"/>
      <c r="L226" s="474">
        <f>J226+K226</f>
        <v>2995</v>
      </c>
      <c r="M226" s="134"/>
      <c r="N226" s="285"/>
      <c r="O226" s="475">
        <f t="shared" si="84"/>
        <v>0</v>
      </c>
      <c r="P226" s="484"/>
      <c r="Q226" s="494"/>
      <c r="R226" s="53"/>
      <c r="S226" s="53"/>
    </row>
    <row r="227" spans="1:19" ht="24" x14ac:dyDescent="0.25">
      <c r="A227" s="76">
        <v>5239</v>
      </c>
      <c r="B227" s="127" t="s">
        <v>243</v>
      </c>
      <c r="C227" s="286">
        <f t="shared" si="63"/>
        <v>335</v>
      </c>
      <c r="D227" s="134"/>
      <c r="E227" s="285"/>
      <c r="F227" s="443">
        <f t="shared" si="81"/>
        <v>0</v>
      </c>
      <c r="G227" s="134"/>
      <c r="H227" s="135"/>
      <c r="I227" s="284">
        <f t="shared" si="82"/>
        <v>0</v>
      </c>
      <c r="J227" s="134">
        <v>335</v>
      </c>
      <c r="K227" s="283"/>
      <c r="L227" s="474">
        <f t="shared" si="83"/>
        <v>335</v>
      </c>
      <c r="M227" s="134"/>
      <c r="N227" s="285"/>
      <c r="O227" s="475">
        <f t="shared" si="84"/>
        <v>0</v>
      </c>
      <c r="P227" s="443"/>
      <c r="Q227" s="7"/>
      <c r="R227" s="53"/>
      <c r="S227" s="53"/>
    </row>
    <row r="228" spans="1:19" ht="24" hidden="1" x14ac:dyDescent="0.25">
      <c r="A228" s="276">
        <v>5240</v>
      </c>
      <c r="B228" s="127" t="s">
        <v>244</v>
      </c>
      <c r="C228" s="286">
        <f t="shared" si="63"/>
        <v>0</v>
      </c>
      <c r="D228" s="134"/>
      <c r="E228" s="285"/>
      <c r="F228" s="443">
        <f t="shared" si="81"/>
        <v>0</v>
      </c>
      <c r="G228" s="134"/>
      <c r="H228" s="135"/>
      <c r="I228" s="284">
        <f t="shared" si="82"/>
        <v>0</v>
      </c>
      <c r="J228" s="134"/>
      <c r="K228" s="285"/>
      <c r="L228" s="443">
        <f t="shared" si="83"/>
        <v>0</v>
      </c>
      <c r="M228" s="134"/>
      <c r="N228" s="285"/>
      <c r="O228" s="475">
        <f t="shared" si="84"/>
        <v>0</v>
      </c>
      <c r="P228" s="443"/>
      <c r="R228" s="53"/>
      <c r="S228" s="53"/>
    </row>
    <row r="229" spans="1:19" hidden="1" x14ac:dyDescent="0.25">
      <c r="A229" s="276">
        <v>5250</v>
      </c>
      <c r="B229" s="127" t="s">
        <v>245</v>
      </c>
      <c r="C229" s="286">
        <f t="shared" si="63"/>
        <v>0</v>
      </c>
      <c r="D229" s="134"/>
      <c r="E229" s="285"/>
      <c r="F229" s="443">
        <f t="shared" si="81"/>
        <v>0</v>
      </c>
      <c r="G229" s="134"/>
      <c r="H229" s="135"/>
      <c r="I229" s="284">
        <f t="shared" si="82"/>
        <v>0</v>
      </c>
      <c r="J229" s="134"/>
      <c r="K229" s="285"/>
      <c r="L229" s="443">
        <f t="shared" si="83"/>
        <v>0</v>
      </c>
      <c r="M229" s="134"/>
      <c r="N229" s="285"/>
      <c r="O229" s="475">
        <f t="shared" si="84"/>
        <v>0</v>
      </c>
      <c r="P229" s="443"/>
      <c r="R229" s="53"/>
      <c r="S229" s="53"/>
    </row>
    <row r="230" spans="1:19" hidden="1" x14ac:dyDescent="0.25">
      <c r="A230" s="276">
        <v>5260</v>
      </c>
      <c r="B230" s="127" t="s">
        <v>246</v>
      </c>
      <c r="C230" s="286">
        <f t="shared" si="63"/>
        <v>0</v>
      </c>
      <c r="D230" s="277">
        <f t="shared" ref="D230:O230" si="85">SUM(D231)</f>
        <v>0</v>
      </c>
      <c r="E230" s="282">
        <f t="shared" si="85"/>
        <v>0</v>
      </c>
      <c r="F230" s="136">
        <f t="shared" si="85"/>
        <v>0</v>
      </c>
      <c r="G230" s="277">
        <f t="shared" si="85"/>
        <v>0</v>
      </c>
      <c r="H230" s="280">
        <f t="shared" si="85"/>
        <v>0</v>
      </c>
      <c r="I230" s="281">
        <f t="shared" si="85"/>
        <v>0</v>
      </c>
      <c r="J230" s="277">
        <f t="shared" si="85"/>
        <v>0</v>
      </c>
      <c r="K230" s="282">
        <f t="shared" si="85"/>
        <v>0</v>
      </c>
      <c r="L230" s="136">
        <f t="shared" si="85"/>
        <v>0</v>
      </c>
      <c r="M230" s="277">
        <f t="shared" si="85"/>
        <v>0</v>
      </c>
      <c r="N230" s="282">
        <f t="shared" si="85"/>
        <v>0</v>
      </c>
      <c r="O230" s="286">
        <f t="shared" si="85"/>
        <v>0</v>
      </c>
      <c r="P230" s="136"/>
      <c r="R230" s="53"/>
      <c r="S230" s="53"/>
    </row>
    <row r="231" spans="1:19" ht="24" hidden="1" x14ac:dyDescent="0.25">
      <c r="A231" s="76">
        <v>5269</v>
      </c>
      <c r="B231" s="127" t="s">
        <v>247</v>
      </c>
      <c r="C231" s="286">
        <f t="shared" si="63"/>
        <v>0</v>
      </c>
      <c r="D231" s="134"/>
      <c r="E231" s="285"/>
      <c r="F231" s="443">
        <f>D231+E231</f>
        <v>0</v>
      </c>
      <c r="G231" s="134"/>
      <c r="H231" s="135"/>
      <c r="I231" s="284">
        <f>G231+H231</f>
        <v>0</v>
      </c>
      <c r="J231" s="134"/>
      <c r="K231" s="285"/>
      <c r="L231" s="443">
        <f>J231+K231</f>
        <v>0</v>
      </c>
      <c r="M231" s="134"/>
      <c r="N231" s="285"/>
      <c r="O231" s="475">
        <f>N231+M231</f>
        <v>0</v>
      </c>
      <c r="P231" s="443"/>
      <c r="R231" s="53"/>
      <c r="S231" s="53"/>
    </row>
    <row r="232" spans="1:19" ht="24" hidden="1" x14ac:dyDescent="0.25">
      <c r="A232" s="254">
        <v>5270</v>
      </c>
      <c r="B232" s="179" t="s">
        <v>248</v>
      </c>
      <c r="C232" s="310">
        <f t="shared" si="63"/>
        <v>0</v>
      </c>
      <c r="D232" s="287"/>
      <c r="E232" s="291"/>
      <c r="F232" s="476">
        <f>D232+E232</f>
        <v>0</v>
      </c>
      <c r="G232" s="287"/>
      <c r="H232" s="289"/>
      <c r="I232" s="290">
        <f>G232+H232</f>
        <v>0</v>
      </c>
      <c r="J232" s="287"/>
      <c r="K232" s="291"/>
      <c r="L232" s="476">
        <f>J232+K232</f>
        <v>0</v>
      </c>
      <c r="M232" s="287"/>
      <c r="N232" s="291"/>
      <c r="O232" s="478">
        <f>N232+M232</f>
        <v>0</v>
      </c>
      <c r="P232" s="476"/>
      <c r="R232" s="53"/>
      <c r="S232" s="53"/>
    </row>
    <row r="233" spans="1:19" hidden="1" x14ac:dyDescent="0.25">
      <c r="A233" s="237">
        <v>6000</v>
      </c>
      <c r="B233" s="237" t="s">
        <v>249</v>
      </c>
      <c r="C233" s="465">
        <f t="shared" si="63"/>
        <v>0</v>
      </c>
      <c r="D233" s="466">
        <f t="shared" ref="D233:O233" si="86">D234+D254+D261</f>
        <v>0</v>
      </c>
      <c r="E233" s="467">
        <f t="shared" si="86"/>
        <v>0</v>
      </c>
      <c r="F233" s="468">
        <f t="shared" si="86"/>
        <v>0</v>
      </c>
      <c r="G233" s="466">
        <f t="shared" si="86"/>
        <v>0</v>
      </c>
      <c r="H233" s="469">
        <f t="shared" si="86"/>
        <v>0</v>
      </c>
      <c r="I233" s="470">
        <f t="shared" si="86"/>
        <v>0</v>
      </c>
      <c r="J233" s="466">
        <f t="shared" si="86"/>
        <v>0</v>
      </c>
      <c r="K233" s="467">
        <f t="shared" si="86"/>
        <v>0</v>
      </c>
      <c r="L233" s="468">
        <f t="shared" si="86"/>
        <v>0</v>
      </c>
      <c r="M233" s="239">
        <f t="shared" si="86"/>
        <v>0</v>
      </c>
      <c r="N233" s="245">
        <f t="shared" si="86"/>
        <v>0</v>
      </c>
      <c r="O233" s="320">
        <f t="shared" si="86"/>
        <v>0</v>
      </c>
      <c r="P233" s="243"/>
      <c r="R233" s="53"/>
      <c r="S233" s="53"/>
    </row>
    <row r="234" spans="1:19" ht="14.25" hidden="1" customHeight="1" x14ac:dyDescent="0.25">
      <c r="A234" s="160">
        <v>6200</v>
      </c>
      <c r="B234" s="321" t="s">
        <v>250</v>
      </c>
      <c r="C234" s="335">
        <f t="shared" si="63"/>
        <v>0</v>
      </c>
      <c r="D234" s="334">
        <f t="shared" ref="D234:O234" si="87">SUM(D235,D236,D238,D241,D247,D248,D249)</f>
        <v>0</v>
      </c>
      <c r="E234" s="251">
        <f t="shared" si="87"/>
        <v>0</v>
      </c>
      <c r="F234" s="252">
        <f t="shared" si="87"/>
        <v>0</v>
      </c>
      <c r="G234" s="334">
        <f t="shared" si="87"/>
        <v>0</v>
      </c>
      <c r="H234" s="336">
        <f t="shared" si="87"/>
        <v>0</v>
      </c>
      <c r="I234" s="250">
        <f t="shared" si="87"/>
        <v>0</v>
      </c>
      <c r="J234" s="334">
        <f t="shared" si="87"/>
        <v>0</v>
      </c>
      <c r="K234" s="251">
        <f t="shared" si="87"/>
        <v>0</v>
      </c>
      <c r="L234" s="252">
        <f t="shared" si="87"/>
        <v>0</v>
      </c>
      <c r="M234" s="334">
        <f t="shared" si="87"/>
        <v>0</v>
      </c>
      <c r="N234" s="251">
        <f t="shared" si="87"/>
        <v>0</v>
      </c>
      <c r="O234" s="335">
        <f t="shared" si="87"/>
        <v>0</v>
      </c>
      <c r="P234" s="252"/>
      <c r="R234" s="53"/>
      <c r="S234" s="53"/>
    </row>
    <row r="235" spans="1:19" ht="24" hidden="1" x14ac:dyDescent="0.25">
      <c r="A235" s="294">
        <v>6220</v>
      </c>
      <c r="B235" s="116" t="s">
        <v>251</v>
      </c>
      <c r="C235" s="263">
        <f t="shared" si="63"/>
        <v>0</v>
      </c>
      <c r="D235" s="123"/>
      <c r="E235" s="262"/>
      <c r="F235" s="442">
        <f>D235+E235</f>
        <v>0</v>
      </c>
      <c r="G235" s="123"/>
      <c r="H235" s="124"/>
      <c r="I235" s="264">
        <f>G235+H235</f>
        <v>0</v>
      </c>
      <c r="J235" s="123"/>
      <c r="K235" s="262"/>
      <c r="L235" s="442">
        <f>J235+K235</f>
        <v>0</v>
      </c>
      <c r="M235" s="123"/>
      <c r="N235" s="262"/>
      <c r="O235" s="473">
        <f>N235+M235</f>
        <v>0</v>
      </c>
      <c r="P235" s="442"/>
      <c r="R235" s="53"/>
      <c r="S235" s="53"/>
    </row>
    <row r="236" spans="1:19" hidden="1" x14ac:dyDescent="0.25">
      <c r="A236" s="276">
        <v>6230</v>
      </c>
      <c r="B236" s="127" t="s">
        <v>252</v>
      </c>
      <c r="C236" s="286">
        <f t="shared" si="63"/>
        <v>0</v>
      </c>
      <c r="D236" s="277">
        <f t="shared" ref="D236:O236" si="88">SUM(D237)</f>
        <v>0</v>
      </c>
      <c r="E236" s="282">
        <f t="shared" si="88"/>
        <v>0</v>
      </c>
      <c r="F236" s="136">
        <f t="shared" si="88"/>
        <v>0</v>
      </c>
      <c r="G236" s="277">
        <f t="shared" si="88"/>
        <v>0</v>
      </c>
      <c r="H236" s="280">
        <f t="shared" si="88"/>
        <v>0</v>
      </c>
      <c r="I236" s="281">
        <f t="shared" si="88"/>
        <v>0</v>
      </c>
      <c r="J236" s="277">
        <f t="shared" si="88"/>
        <v>0</v>
      </c>
      <c r="K236" s="282">
        <f t="shared" si="88"/>
        <v>0</v>
      </c>
      <c r="L236" s="136">
        <f t="shared" si="88"/>
        <v>0</v>
      </c>
      <c r="M236" s="277">
        <f t="shared" si="88"/>
        <v>0</v>
      </c>
      <c r="N236" s="282">
        <f t="shared" si="88"/>
        <v>0</v>
      </c>
      <c r="O236" s="286">
        <f t="shared" si="88"/>
        <v>0</v>
      </c>
      <c r="P236" s="136"/>
      <c r="R236" s="53"/>
      <c r="S236" s="53"/>
    </row>
    <row r="237" spans="1:19" ht="24" hidden="1" x14ac:dyDescent="0.25">
      <c r="A237" s="76">
        <v>6239</v>
      </c>
      <c r="B237" s="116" t="s">
        <v>253</v>
      </c>
      <c r="C237" s="286">
        <f t="shared" si="63"/>
        <v>0</v>
      </c>
      <c r="D237" s="123"/>
      <c r="E237" s="262"/>
      <c r="F237" s="442">
        <f>D237+E237</f>
        <v>0</v>
      </c>
      <c r="G237" s="123"/>
      <c r="H237" s="124"/>
      <c r="I237" s="264">
        <f>G237+H237</f>
        <v>0</v>
      </c>
      <c r="J237" s="123"/>
      <c r="K237" s="262"/>
      <c r="L237" s="442">
        <f>J237+K237</f>
        <v>0</v>
      </c>
      <c r="M237" s="123"/>
      <c r="N237" s="262"/>
      <c r="O237" s="473">
        <f>N237+M237</f>
        <v>0</v>
      </c>
      <c r="P237" s="442"/>
      <c r="R237" s="53"/>
      <c r="S237" s="53"/>
    </row>
    <row r="238" spans="1:19" ht="24" hidden="1" x14ac:dyDescent="0.25">
      <c r="A238" s="276">
        <v>6240</v>
      </c>
      <c r="B238" s="127" t="s">
        <v>254</v>
      </c>
      <c r="C238" s="286">
        <f t="shared" si="63"/>
        <v>0</v>
      </c>
      <c r="D238" s="277">
        <f t="shared" ref="D238:O238" si="89">SUM(D239:D240)</f>
        <v>0</v>
      </c>
      <c r="E238" s="282">
        <f t="shared" si="89"/>
        <v>0</v>
      </c>
      <c r="F238" s="136">
        <f t="shared" si="89"/>
        <v>0</v>
      </c>
      <c r="G238" s="277">
        <f t="shared" si="89"/>
        <v>0</v>
      </c>
      <c r="H238" s="280">
        <f t="shared" si="89"/>
        <v>0</v>
      </c>
      <c r="I238" s="281">
        <f t="shared" si="89"/>
        <v>0</v>
      </c>
      <c r="J238" s="277">
        <f t="shared" si="89"/>
        <v>0</v>
      </c>
      <c r="K238" s="282">
        <f t="shared" si="89"/>
        <v>0</v>
      </c>
      <c r="L238" s="136">
        <f t="shared" si="89"/>
        <v>0</v>
      </c>
      <c r="M238" s="277">
        <f t="shared" si="89"/>
        <v>0</v>
      </c>
      <c r="N238" s="282">
        <f t="shared" si="89"/>
        <v>0</v>
      </c>
      <c r="O238" s="286">
        <f t="shared" si="89"/>
        <v>0</v>
      </c>
      <c r="P238" s="136"/>
      <c r="R238" s="53"/>
      <c r="S238" s="53"/>
    </row>
    <row r="239" spans="1:19" hidden="1" x14ac:dyDescent="0.25">
      <c r="A239" s="76">
        <v>6241</v>
      </c>
      <c r="B239" s="127" t="s">
        <v>255</v>
      </c>
      <c r="C239" s="286">
        <f t="shared" si="63"/>
        <v>0</v>
      </c>
      <c r="D239" s="134"/>
      <c r="E239" s="285"/>
      <c r="F239" s="443">
        <f>D239+E239</f>
        <v>0</v>
      </c>
      <c r="G239" s="134"/>
      <c r="H239" s="135"/>
      <c r="I239" s="284">
        <f>G239+H239</f>
        <v>0</v>
      </c>
      <c r="J239" s="134"/>
      <c r="K239" s="285"/>
      <c r="L239" s="443">
        <f>J239+K239</f>
        <v>0</v>
      </c>
      <c r="M239" s="134"/>
      <c r="N239" s="285"/>
      <c r="O239" s="475">
        <f>N239+M239</f>
        <v>0</v>
      </c>
      <c r="P239" s="443"/>
      <c r="R239" s="53"/>
      <c r="S239" s="53"/>
    </row>
    <row r="240" spans="1:19" hidden="1" x14ac:dyDescent="0.25">
      <c r="A240" s="76">
        <v>6242</v>
      </c>
      <c r="B240" s="127" t="s">
        <v>256</v>
      </c>
      <c r="C240" s="286">
        <f t="shared" si="63"/>
        <v>0</v>
      </c>
      <c r="D240" s="134"/>
      <c r="E240" s="285"/>
      <c r="F240" s="443">
        <f>D240+E240</f>
        <v>0</v>
      </c>
      <c r="G240" s="134"/>
      <c r="H240" s="135"/>
      <c r="I240" s="284">
        <f>G240+H240</f>
        <v>0</v>
      </c>
      <c r="J240" s="134"/>
      <c r="K240" s="285"/>
      <c r="L240" s="443">
        <f>J240+K240</f>
        <v>0</v>
      </c>
      <c r="M240" s="134"/>
      <c r="N240" s="285"/>
      <c r="O240" s="475">
        <f>N240+M240</f>
        <v>0</v>
      </c>
      <c r="P240" s="443"/>
      <c r="R240" s="53"/>
      <c r="S240" s="53"/>
    </row>
    <row r="241" spans="1:19" ht="25.5" hidden="1" customHeight="1" x14ac:dyDescent="0.25">
      <c r="A241" s="276">
        <v>6250</v>
      </c>
      <c r="B241" s="127" t="s">
        <v>257</v>
      </c>
      <c r="C241" s="286">
        <f t="shared" si="63"/>
        <v>0</v>
      </c>
      <c r="D241" s="277">
        <f t="shared" ref="D241:O241" si="90">SUM(D242:D246)</f>
        <v>0</v>
      </c>
      <c r="E241" s="282">
        <f t="shared" si="90"/>
        <v>0</v>
      </c>
      <c r="F241" s="136">
        <f t="shared" si="90"/>
        <v>0</v>
      </c>
      <c r="G241" s="277">
        <f t="shared" si="90"/>
        <v>0</v>
      </c>
      <c r="H241" s="280">
        <f t="shared" si="90"/>
        <v>0</v>
      </c>
      <c r="I241" s="281">
        <f t="shared" si="90"/>
        <v>0</v>
      </c>
      <c r="J241" s="277">
        <f t="shared" si="90"/>
        <v>0</v>
      </c>
      <c r="K241" s="282">
        <f t="shared" si="90"/>
        <v>0</v>
      </c>
      <c r="L241" s="136">
        <f t="shared" si="90"/>
        <v>0</v>
      </c>
      <c r="M241" s="277">
        <f t="shared" si="90"/>
        <v>0</v>
      </c>
      <c r="N241" s="282">
        <f t="shared" si="90"/>
        <v>0</v>
      </c>
      <c r="O241" s="286">
        <f t="shared" si="90"/>
        <v>0</v>
      </c>
      <c r="P241" s="136"/>
      <c r="R241" s="53"/>
      <c r="S241" s="53"/>
    </row>
    <row r="242" spans="1:19" ht="14.25" hidden="1" customHeight="1" x14ac:dyDescent="0.25">
      <c r="A242" s="76">
        <v>6252</v>
      </c>
      <c r="B242" s="127" t="s">
        <v>258</v>
      </c>
      <c r="C242" s="286">
        <f t="shared" si="63"/>
        <v>0</v>
      </c>
      <c r="D242" s="134"/>
      <c r="E242" s="285"/>
      <c r="F242" s="443">
        <f t="shared" ref="F242:F248" si="91">D242+E242</f>
        <v>0</v>
      </c>
      <c r="G242" s="134"/>
      <c r="H242" s="135"/>
      <c r="I242" s="284">
        <f t="shared" ref="I242:I248" si="92">G242+H242</f>
        <v>0</v>
      </c>
      <c r="J242" s="134"/>
      <c r="K242" s="285"/>
      <c r="L242" s="443">
        <f t="shared" ref="L242:L248" si="93">J242+K242</f>
        <v>0</v>
      </c>
      <c r="M242" s="134"/>
      <c r="N242" s="285"/>
      <c r="O242" s="475">
        <f t="shared" ref="O242:O248" si="94">N242+M242</f>
        <v>0</v>
      </c>
      <c r="P242" s="443"/>
      <c r="R242" s="53"/>
      <c r="S242" s="53"/>
    </row>
    <row r="243" spans="1:19" ht="14.25" hidden="1" customHeight="1" x14ac:dyDescent="0.25">
      <c r="A243" s="76">
        <v>6253</v>
      </c>
      <c r="B243" s="127" t="s">
        <v>259</v>
      </c>
      <c r="C243" s="286">
        <f t="shared" si="63"/>
        <v>0</v>
      </c>
      <c r="D243" s="134"/>
      <c r="E243" s="285"/>
      <c r="F243" s="443">
        <f t="shared" si="91"/>
        <v>0</v>
      </c>
      <c r="G243" s="134"/>
      <c r="H243" s="135"/>
      <c r="I243" s="284">
        <f t="shared" si="92"/>
        <v>0</v>
      </c>
      <c r="J243" s="134"/>
      <c r="K243" s="285"/>
      <c r="L243" s="443">
        <f t="shared" si="93"/>
        <v>0</v>
      </c>
      <c r="M243" s="134"/>
      <c r="N243" s="285"/>
      <c r="O243" s="475">
        <f t="shared" si="94"/>
        <v>0</v>
      </c>
      <c r="P243" s="443"/>
      <c r="R243" s="53"/>
      <c r="S243" s="53"/>
    </row>
    <row r="244" spans="1:19" ht="24" hidden="1" x14ac:dyDescent="0.25">
      <c r="A244" s="76">
        <v>6254</v>
      </c>
      <c r="B244" s="127" t="s">
        <v>260</v>
      </c>
      <c r="C244" s="286">
        <f t="shared" si="63"/>
        <v>0</v>
      </c>
      <c r="D244" s="134"/>
      <c r="E244" s="285"/>
      <c r="F244" s="443">
        <f t="shared" si="91"/>
        <v>0</v>
      </c>
      <c r="G244" s="134"/>
      <c r="H244" s="135"/>
      <c r="I244" s="284">
        <f t="shared" si="92"/>
        <v>0</v>
      </c>
      <c r="J244" s="134"/>
      <c r="K244" s="285"/>
      <c r="L244" s="443">
        <f t="shared" si="93"/>
        <v>0</v>
      </c>
      <c r="M244" s="134"/>
      <c r="N244" s="285"/>
      <c r="O244" s="475">
        <f t="shared" si="94"/>
        <v>0</v>
      </c>
      <c r="P244" s="443"/>
      <c r="R244" s="53"/>
      <c r="S244" s="53"/>
    </row>
    <row r="245" spans="1:19" ht="24" hidden="1" x14ac:dyDescent="0.25">
      <c r="A245" s="76">
        <v>6255</v>
      </c>
      <c r="B245" s="127" t="s">
        <v>261</v>
      </c>
      <c r="C245" s="286">
        <f t="shared" ref="C245:C299" si="95">SUM(F245,I245,L245,O245)</f>
        <v>0</v>
      </c>
      <c r="D245" s="134"/>
      <c r="E245" s="285"/>
      <c r="F245" s="443">
        <f t="shared" si="91"/>
        <v>0</v>
      </c>
      <c r="G245" s="134"/>
      <c r="H245" s="135"/>
      <c r="I245" s="284">
        <f t="shared" si="92"/>
        <v>0</v>
      </c>
      <c r="J245" s="134"/>
      <c r="K245" s="285"/>
      <c r="L245" s="443">
        <f t="shared" si="93"/>
        <v>0</v>
      </c>
      <c r="M245" s="134"/>
      <c r="N245" s="285"/>
      <c r="O245" s="475">
        <f t="shared" si="94"/>
        <v>0</v>
      </c>
      <c r="P245" s="443"/>
      <c r="R245" s="53"/>
      <c r="S245" s="53"/>
    </row>
    <row r="246" spans="1:19" hidden="1" x14ac:dyDescent="0.25">
      <c r="A246" s="76">
        <v>6259</v>
      </c>
      <c r="B246" s="127" t="s">
        <v>262</v>
      </c>
      <c r="C246" s="286">
        <f t="shared" si="95"/>
        <v>0</v>
      </c>
      <c r="D246" s="134"/>
      <c r="E246" s="285"/>
      <c r="F246" s="443">
        <f t="shared" si="91"/>
        <v>0</v>
      </c>
      <c r="G246" s="134"/>
      <c r="H246" s="135"/>
      <c r="I246" s="284">
        <f t="shared" si="92"/>
        <v>0</v>
      </c>
      <c r="J246" s="134"/>
      <c r="K246" s="285"/>
      <c r="L246" s="443">
        <f t="shared" si="93"/>
        <v>0</v>
      </c>
      <c r="M246" s="134"/>
      <c r="N246" s="285"/>
      <c r="O246" s="475">
        <f t="shared" si="94"/>
        <v>0</v>
      </c>
      <c r="P246" s="443"/>
      <c r="R246" s="53"/>
      <c r="S246" s="53"/>
    </row>
    <row r="247" spans="1:19" ht="24" hidden="1" x14ac:dyDescent="0.25">
      <c r="A247" s="276">
        <v>6260</v>
      </c>
      <c r="B247" s="127" t="s">
        <v>263</v>
      </c>
      <c r="C247" s="286">
        <f t="shared" si="95"/>
        <v>0</v>
      </c>
      <c r="D247" s="134"/>
      <c r="E247" s="285"/>
      <c r="F247" s="443">
        <f t="shared" si="91"/>
        <v>0</v>
      </c>
      <c r="G247" s="134"/>
      <c r="H247" s="135"/>
      <c r="I247" s="284">
        <f t="shared" si="92"/>
        <v>0</v>
      </c>
      <c r="J247" s="134"/>
      <c r="K247" s="285"/>
      <c r="L247" s="443">
        <f t="shared" si="93"/>
        <v>0</v>
      </c>
      <c r="M247" s="134"/>
      <c r="N247" s="285"/>
      <c r="O247" s="475">
        <f t="shared" si="94"/>
        <v>0</v>
      </c>
      <c r="P247" s="443"/>
      <c r="R247" s="53"/>
      <c r="S247" s="53"/>
    </row>
    <row r="248" spans="1:19" hidden="1" x14ac:dyDescent="0.25">
      <c r="A248" s="276">
        <v>6270</v>
      </c>
      <c r="B248" s="127" t="s">
        <v>264</v>
      </c>
      <c r="C248" s="286">
        <f t="shared" si="95"/>
        <v>0</v>
      </c>
      <c r="D248" s="134"/>
      <c r="E248" s="285"/>
      <c r="F248" s="443">
        <f t="shared" si="91"/>
        <v>0</v>
      </c>
      <c r="G248" s="134"/>
      <c r="H248" s="135"/>
      <c r="I248" s="284">
        <f t="shared" si="92"/>
        <v>0</v>
      </c>
      <c r="J248" s="134"/>
      <c r="K248" s="285"/>
      <c r="L248" s="443">
        <f t="shared" si="93"/>
        <v>0</v>
      </c>
      <c r="M248" s="134"/>
      <c r="N248" s="285"/>
      <c r="O248" s="475">
        <f t="shared" si="94"/>
        <v>0</v>
      </c>
      <c r="P248" s="443"/>
      <c r="R248" s="53"/>
      <c r="S248" s="53"/>
    </row>
    <row r="249" spans="1:19" ht="24" hidden="1" x14ac:dyDescent="0.25">
      <c r="A249" s="294">
        <v>6290</v>
      </c>
      <c r="B249" s="116" t="s">
        <v>265</v>
      </c>
      <c r="C249" s="330">
        <f t="shared" si="95"/>
        <v>0</v>
      </c>
      <c r="D249" s="297">
        <f t="shared" ref="D249:O249" si="96">SUM(D250:D253)</f>
        <v>0</v>
      </c>
      <c r="E249" s="301">
        <f t="shared" si="96"/>
        <v>0</v>
      </c>
      <c r="F249" s="125">
        <f t="shared" si="96"/>
        <v>0</v>
      </c>
      <c r="G249" s="297">
        <f t="shared" si="96"/>
        <v>0</v>
      </c>
      <c r="H249" s="299">
        <f t="shared" si="96"/>
        <v>0</v>
      </c>
      <c r="I249" s="300">
        <f t="shared" si="96"/>
        <v>0</v>
      </c>
      <c r="J249" s="297">
        <f t="shared" si="96"/>
        <v>0</v>
      </c>
      <c r="K249" s="301">
        <f t="shared" si="96"/>
        <v>0</v>
      </c>
      <c r="L249" s="125">
        <f t="shared" si="96"/>
        <v>0</v>
      </c>
      <c r="M249" s="490">
        <f t="shared" si="96"/>
        <v>0</v>
      </c>
      <c r="N249" s="301">
        <f t="shared" si="96"/>
        <v>0</v>
      </c>
      <c r="O249" s="263">
        <f t="shared" si="96"/>
        <v>0</v>
      </c>
      <c r="P249" s="125"/>
      <c r="R249" s="53"/>
      <c r="S249" s="53"/>
    </row>
    <row r="250" spans="1:19" hidden="1" x14ac:dyDescent="0.25">
      <c r="A250" s="76">
        <v>6291</v>
      </c>
      <c r="B250" s="127" t="s">
        <v>266</v>
      </c>
      <c r="C250" s="286">
        <f t="shared" si="95"/>
        <v>0</v>
      </c>
      <c r="D250" s="134"/>
      <c r="E250" s="285"/>
      <c r="F250" s="443">
        <f>D250+E250</f>
        <v>0</v>
      </c>
      <c r="G250" s="134"/>
      <c r="H250" s="135"/>
      <c r="I250" s="284">
        <f>G250+H250</f>
        <v>0</v>
      </c>
      <c r="J250" s="134"/>
      <c r="K250" s="285"/>
      <c r="L250" s="443">
        <f>J250+K250</f>
        <v>0</v>
      </c>
      <c r="M250" s="134"/>
      <c r="N250" s="285"/>
      <c r="O250" s="475">
        <f>N250+M250</f>
        <v>0</v>
      </c>
      <c r="P250" s="443"/>
      <c r="R250" s="53"/>
      <c r="S250" s="53"/>
    </row>
    <row r="251" spans="1:19" hidden="1" x14ac:dyDescent="0.25">
      <c r="A251" s="76">
        <v>6292</v>
      </c>
      <c r="B251" s="127" t="s">
        <v>267</v>
      </c>
      <c r="C251" s="286">
        <f t="shared" si="95"/>
        <v>0</v>
      </c>
      <c r="D251" s="134"/>
      <c r="E251" s="285"/>
      <c r="F251" s="443">
        <f>D251+E251</f>
        <v>0</v>
      </c>
      <c r="G251" s="134"/>
      <c r="H251" s="135"/>
      <c r="I251" s="284">
        <f>G251+H251</f>
        <v>0</v>
      </c>
      <c r="J251" s="134"/>
      <c r="K251" s="285"/>
      <c r="L251" s="443">
        <f>J251+K251</f>
        <v>0</v>
      </c>
      <c r="M251" s="134"/>
      <c r="N251" s="285"/>
      <c r="O251" s="475">
        <f>N251+M251</f>
        <v>0</v>
      </c>
      <c r="P251" s="443"/>
      <c r="R251" s="53"/>
      <c r="S251" s="53"/>
    </row>
    <row r="252" spans="1:19" ht="72" hidden="1" x14ac:dyDescent="0.25">
      <c r="A252" s="76">
        <v>6296</v>
      </c>
      <c r="B252" s="127" t="s">
        <v>268</v>
      </c>
      <c r="C252" s="286">
        <f t="shared" si="95"/>
        <v>0</v>
      </c>
      <c r="D252" s="134"/>
      <c r="E252" s="285"/>
      <c r="F252" s="443">
        <f>D252+E252</f>
        <v>0</v>
      </c>
      <c r="G252" s="134"/>
      <c r="H252" s="135"/>
      <c r="I252" s="284">
        <f>G252+H252</f>
        <v>0</v>
      </c>
      <c r="J252" s="134"/>
      <c r="K252" s="285"/>
      <c r="L252" s="443">
        <f>J252+K252</f>
        <v>0</v>
      </c>
      <c r="M252" s="134"/>
      <c r="N252" s="285"/>
      <c r="O252" s="475">
        <f>N252+M252</f>
        <v>0</v>
      </c>
      <c r="P252" s="443"/>
      <c r="R252" s="53"/>
      <c r="S252" s="53"/>
    </row>
    <row r="253" spans="1:19" ht="39.75" hidden="1" customHeight="1" x14ac:dyDescent="0.25">
      <c r="A253" s="76">
        <v>6299</v>
      </c>
      <c r="B253" s="127" t="s">
        <v>269</v>
      </c>
      <c r="C253" s="286">
        <f t="shared" si="95"/>
        <v>0</v>
      </c>
      <c r="D253" s="134"/>
      <c r="E253" s="285"/>
      <c r="F253" s="443">
        <f>D253+E253</f>
        <v>0</v>
      </c>
      <c r="G253" s="134"/>
      <c r="H253" s="135"/>
      <c r="I253" s="284">
        <f>G253+H253</f>
        <v>0</v>
      </c>
      <c r="J253" s="134"/>
      <c r="K253" s="285"/>
      <c r="L253" s="443">
        <f>J253+K253</f>
        <v>0</v>
      </c>
      <c r="M253" s="134"/>
      <c r="N253" s="285"/>
      <c r="O253" s="475">
        <f>N253+M253</f>
        <v>0</v>
      </c>
      <c r="P253" s="443"/>
      <c r="R253" s="53"/>
      <c r="S253" s="53"/>
    </row>
    <row r="254" spans="1:19" hidden="1" x14ac:dyDescent="0.25">
      <c r="A254" s="99">
        <v>6300</v>
      </c>
      <c r="B254" s="247" t="s">
        <v>270</v>
      </c>
      <c r="C254" s="313">
        <f t="shared" si="95"/>
        <v>0</v>
      </c>
      <c r="D254" s="112">
        <f t="shared" ref="D254:O254" si="97">SUM(D255,D259,D260)</f>
        <v>0</v>
      </c>
      <c r="E254" s="293">
        <f t="shared" si="97"/>
        <v>0</v>
      </c>
      <c r="F254" s="114">
        <f t="shared" si="97"/>
        <v>0</v>
      </c>
      <c r="G254" s="112">
        <f t="shared" si="97"/>
        <v>0</v>
      </c>
      <c r="H254" s="113">
        <f t="shared" si="97"/>
        <v>0</v>
      </c>
      <c r="I254" s="292">
        <f t="shared" si="97"/>
        <v>0</v>
      </c>
      <c r="J254" s="112">
        <f t="shared" si="97"/>
        <v>0</v>
      </c>
      <c r="K254" s="293">
        <f t="shared" si="97"/>
        <v>0</v>
      </c>
      <c r="L254" s="114">
        <f t="shared" si="97"/>
        <v>0</v>
      </c>
      <c r="M254" s="360">
        <f t="shared" si="97"/>
        <v>0</v>
      </c>
      <c r="N254" s="293">
        <f t="shared" si="97"/>
        <v>0</v>
      </c>
      <c r="O254" s="313">
        <f t="shared" si="97"/>
        <v>0</v>
      </c>
      <c r="P254" s="114"/>
      <c r="R254" s="53"/>
      <c r="S254" s="53"/>
    </row>
    <row r="255" spans="1:19" ht="24" hidden="1" x14ac:dyDescent="0.25">
      <c r="A255" s="294">
        <v>6320</v>
      </c>
      <c r="B255" s="116" t="s">
        <v>271</v>
      </c>
      <c r="C255" s="330">
        <f t="shared" si="95"/>
        <v>0</v>
      </c>
      <c r="D255" s="297">
        <f t="shared" ref="D255:O255" si="98">SUM(D256:D258)</f>
        <v>0</v>
      </c>
      <c r="E255" s="301">
        <f t="shared" si="98"/>
        <v>0</v>
      </c>
      <c r="F255" s="125">
        <f t="shared" si="98"/>
        <v>0</v>
      </c>
      <c r="G255" s="297">
        <f t="shared" si="98"/>
        <v>0</v>
      </c>
      <c r="H255" s="299">
        <f t="shared" si="98"/>
        <v>0</v>
      </c>
      <c r="I255" s="300">
        <f t="shared" si="98"/>
        <v>0</v>
      </c>
      <c r="J255" s="297">
        <f t="shared" si="98"/>
        <v>0</v>
      </c>
      <c r="K255" s="301">
        <f t="shared" si="98"/>
        <v>0</v>
      </c>
      <c r="L255" s="125">
        <f t="shared" si="98"/>
        <v>0</v>
      </c>
      <c r="M255" s="297">
        <f t="shared" si="98"/>
        <v>0</v>
      </c>
      <c r="N255" s="301">
        <f t="shared" si="98"/>
        <v>0</v>
      </c>
      <c r="O255" s="263">
        <f t="shared" si="98"/>
        <v>0</v>
      </c>
      <c r="P255" s="125"/>
      <c r="R255" s="53"/>
      <c r="S255" s="53"/>
    </row>
    <row r="256" spans="1:19" hidden="1" x14ac:dyDescent="0.25">
      <c r="A256" s="76">
        <v>6322</v>
      </c>
      <c r="B256" s="127" t="s">
        <v>272</v>
      </c>
      <c r="C256" s="286">
        <f t="shared" si="95"/>
        <v>0</v>
      </c>
      <c r="D256" s="134"/>
      <c r="E256" s="285"/>
      <c r="F256" s="443">
        <f>D256+E256</f>
        <v>0</v>
      </c>
      <c r="G256" s="134"/>
      <c r="H256" s="135"/>
      <c r="I256" s="284">
        <f>G256+H256</f>
        <v>0</v>
      </c>
      <c r="J256" s="134"/>
      <c r="K256" s="285"/>
      <c r="L256" s="443">
        <f>J256+K256</f>
        <v>0</v>
      </c>
      <c r="M256" s="134"/>
      <c r="N256" s="285"/>
      <c r="O256" s="475">
        <f>N256+M256</f>
        <v>0</v>
      </c>
      <c r="P256" s="443"/>
      <c r="R256" s="53"/>
      <c r="S256" s="53"/>
    </row>
    <row r="257" spans="1:19" ht="24" hidden="1" x14ac:dyDescent="0.25">
      <c r="A257" s="76">
        <v>6323</v>
      </c>
      <c r="B257" s="127" t="s">
        <v>273</v>
      </c>
      <c r="C257" s="286">
        <f t="shared" si="95"/>
        <v>0</v>
      </c>
      <c r="D257" s="134"/>
      <c r="E257" s="285"/>
      <c r="F257" s="443">
        <f>D257+E257</f>
        <v>0</v>
      </c>
      <c r="G257" s="134"/>
      <c r="H257" s="135"/>
      <c r="I257" s="284">
        <f>G257+H257</f>
        <v>0</v>
      </c>
      <c r="J257" s="134"/>
      <c r="K257" s="285"/>
      <c r="L257" s="443">
        <f>J257+K257</f>
        <v>0</v>
      </c>
      <c r="M257" s="134"/>
      <c r="N257" s="285"/>
      <c r="O257" s="475">
        <f>N257+M257</f>
        <v>0</v>
      </c>
      <c r="P257" s="443"/>
      <c r="R257" s="53"/>
      <c r="S257" s="53"/>
    </row>
    <row r="258" spans="1:19" ht="24" hidden="1" x14ac:dyDescent="0.25">
      <c r="A258" s="66">
        <v>6324</v>
      </c>
      <c r="B258" s="116" t="s">
        <v>274</v>
      </c>
      <c r="C258" s="263">
        <f t="shared" si="95"/>
        <v>0</v>
      </c>
      <c r="D258" s="123"/>
      <c r="E258" s="262"/>
      <c r="F258" s="442">
        <f>D258+E258</f>
        <v>0</v>
      </c>
      <c r="G258" s="123"/>
      <c r="H258" s="124"/>
      <c r="I258" s="264">
        <f>G258+H258</f>
        <v>0</v>
      </c>
      <c r="J258" s="123"/>
      <c r="K258" s="262"/>
      <c r="L258" s="442">
        <f>J258+K258</f>
        <v>0</v>
      </c>
      <c r="M258" s="123"/>
      <c r="N258" s="262"/>
      <c r="O258" s="473">
        <f>N258+M258</f>
        <v>0</v>
      </c>
      <c r="P258" s="442"/>
      <c r="R258" s="53"/>
      <c r="S258" s="53"/>
    </row>
    <row r="259" spans="1:19" ht="24" hidden="1" x14ac:dyDescent="0.25">
      <c r="A259" s="344">
        <v>6330</v>
      </c>
      <c r="B259" s="345" t="s">
        <v>275</v>
      </c>
      <c r="C259" s="330">
        <f t="shared" si="95"/>
        <v>0</v>
      </c>
      <c r="D259" s="328"/>
      <c r="E259" s="329"/>
      <c r="F259" s="491">
        <f>D259+E259</f>
        <v>0</v>
      </c>
      <c r="G259" s="328"/>
      <c r="H259" s="331"/>
      <c r="I259" s="332">
        <f>G259+H259</f>
        <v>0</v>
      </c>
      <c r="J259" s="328"/>
      <c r="K259" s="329"/>
      <c r="L259" s="491">
        <f>J259+K259</f>
        <v>0</v>
      </c>
      <c r="M259" s="328"/>
      <c r="N259" s="329"/>
      <c r="O259" s="492">
        <f>N259+M259</f>
        <v>0</v>
      </c>
      <c r="P259" s="491"/>
      <c r="R259" s="53"/>
      <c r="S259" s="53"/>
    </row>
    <row r="260" spans="1:19" hidden="1" x14ac:dyDescent="0.25">
      <c r="A260" s="276">
        <v>6360</v>
      </c>
      <c r="B260" s="127" t="s">
        <v>276</v>
      </c>
      <c r="C260" s="286">
        <f t="shared" si="95"/>
        <v>0</v>
      </c>
      <c r="D260" s="134"/>
      <c r="E260" s="285"/>
      <c r="F260" s="443">
        <f>D260+E260</f>
        <v>0</v>
      </c>
      <c r="G260" s="134"/>
      <c r="H260" s="135"/>
      <c r="I260" s="284">
        <f>G260+H260</f>
        <v>0</v>
      </c>
      <c r="J260" s="134"/>
      <c r="K260" s="285"/>
      <c r="L260" s="443">
        <f>J260+K260</f>
        <v>0</v>
      </c>
      <c r="M260" s="134"/>
      <c r="N260" s="285"/>
      <c r="O260" s="475">
        <f>N260+M260</f>
        <v>0</v>
      </c>
      <c r="P260" s="443"/>
      <c r="R260" s="53"/>
      <c r="S260" s="53"/>
    </row>
    <row r="261" spans="1:19" ht="36" hidden="1" x14ac:dyDescent="0.25">
      <c r="A261" s="99">
        <v>6400</v>
      </c>
      <c r="B261" s="247" t="s">
        <v>277</v>
      </c>
      <c r="C261" s="313">
        <f t="shared" si="95"/>
        <v>0</v>
      </c>
      <c r="D261" s="112">
        <f t="shared" ref="D261:O261" si="99">SUM(D262,D266)</f>
        <v>0</v>
      </c>
      <c r="E261" s="293">
        <f t="shared" si="99"/>
        <v>0</v>
      </c>
      <c r="F261" s="114">
        <f t="shared" si="99"/>
        <v>0</v>
      </c>
      <c r="G261" s="112">
        <f t="shared" si="99"/>
        <v>0</v>
      </c>
      <c r="H261" s="113">
        <f t="shared" si="99"/>
        <v>0</v>
      </c>
      <c r="I261" s="292">
        <f t="shared" si="99"/>
        <v>0</v>
      </c>
      <c r="J261" s="112">
        <f t="shared" si="99"/>
        <v>0</v>
      </c>
      <c r="K261" s="293">
        <f t="shared" si="99"/>
        <v>0</v>
      </c>
      <c r="L261" s="114">
        <f t="shared" si="99"/>
        <v>0</v>
      </c>
      <c r="M261" s="360">
        <f t="shared" si="99"/>
        <v>0</v>
      </c>
      <c r="N261" s="293">
        <f t="shared" si="99"/>
        <v>0</v>
      </c>
      <c r="O261" s="313">
        <f t="shared" si="99"/>
        <v>0</v>
      </c>
      <c r="P261" s="114"/>
      <c r="R261" s="53"/>
      <c r="S261" s="53"/>
    </row>
    <row r="262" spans="1:19" ht="24" hidden="1" x14ac:dyDescent="0.25">
      <c r="A262" s="294">
        <v>6410</v>
      </c>
      <c r="B262" s="116" t="s">
        <v>278</v>
      </c>
      <c r="C262" s="263">
        <f t="shared" si="95"/>
        <v>0</v>
      </c>
      <c r="D262" s="297">
        <f t="shared" ref="D262:O262" si="100">SUM(D263:D265)</f>
        <v>0</v>
      </c>
      <c r="E262" s="301">
        <f t="shared" si="100"/>
        <v>0</v>
      </c>
      <c r="F262" s="125">
        <f t="shared" si="100"/>
        <v>0</v>
      </c>
      <c r="G262" s="297">
        <f t="shared" si="100"/>
        <v>0</v>
      </c>
      <c r="H262" s="299">
        <f t="shared" si="100"/>
        <v>0</v>
      </c>
      <c r="I262" s="300">
        <f t="shared" si="100"/>
        <v>0</v>
      </c>
      <c r="J262" s="297">
        <f t="shared" si="100"/>
        <v>0</v>
      </c>
      <c r="K262" s="301">
        <f t="shared" si="100"/>
        <v>0</v>
      </c>
      <c r="L262" s="125">
        <f t="shared" si="100"/>
        <v>0</v>
      </c>
      <c r="M262" s="308">
        <f t="shared" si="100"/>
        <v>0</v>
      </c>
      <c r="N262" s="301">
        <f t="shared" si="100"/>
        <v>0</v>
      </c>
      <c r="O262" s="263">
        <f t="shared" si="100"/>
        <v>0</v>
      </c>
      <c r="P262" s="125"/>
      <c r="R262" s="53"/>
      <c r="S262" s="53"/>
    </row>
    <row r="263" spans="1:19" hidden="1" x14ac:dyDescent="0.25">
      <c r="A263" s="76">
        <v>6411</v>
      </c>
      <c r="B263" s="346" t="s">
        <v>279</v>
      </c>
      <c r="C263" s="286">
        <f t="shared" si="95"/>
        <v>0</v>
      </c>
      <c r="D263" s="134"/>
      <c r="E263" s="285"/>
      <c r="F263" s="443">
        <f>D263+E263</f>
        <v>0</v>
      </c>
      <c r="G263" s="134"/>
      <c r="H263" s="135"/>
      <c r="I263" s="284">
        <f>G263+H263</f>
        <v>0</v>
      </c>
      <c r="J263" s="134"/>
      <c r="K263" s="285"/>
      <c r="L263" s="443">
        <f>J263+K263</f>
        <v>0</v>
      </c>
      <c r="M263" s="134"/>
      <c r="N263" s="285"/>
      <c r="O263" s="475">
        <f>N263+M263</f>
        <v>0</v>
      </c>
      <c r="P263" s="443"/>
      <c r="R263" s="53"/>
      <c r="S263" s="53"/>
    </row>
    <row r="264" spans="1:19" ht="36" hidden="1" x14ac:dyDescent="0.25">
      <c r="A264" s="76">
        <v>6412</v>
      </c>
      <c r="B264" s="127" t="s">
        <v>280</v>
      </c>
      <c r="C264" s="286">
        <f t="shared" si="95"/>
        <v>0</v>
      </c>
      <c r="D264" s="134"/>
      <c r="E264" s="285"/>
      <c r="F264" s="443">
        <f>D264+E264</f>
        <v>0</v>
      </c>
      <c r="G264" s="134"/>
      <c r="H264" s="135"/>
      <c r="I264" s="284">
        <f>G264+H264</f>
        <v>0</v>
      </c>
      <c r="J264" s="134"/>
      <c r="K264" s="285"/>
      <c r="L264" s="443">
        <f>J264+K264</f>
        <v>0</v>
      </c>
      <c r="M264" s="134"/>
      <c r="N264" s="285"/>
      <c r="O264" s="475">
        <f>N264+M264</f>
        <v>0</v>
      </c>
      <c r="P264" s="443"/>
      <c r="R264" s="53"/>
      <c r="S264" s="53"/>
    </row>
    <row r="265" spans="1:19" ht="36" hidden="1" x14ac:dyDescent="0.25">
      <c r="A265" s="76">
        <v>6419</v>
      </c>
      <c r="B265" s="127" t="s">
        <v>281</v>
      </c>
      <c r="C265" s="286">
        <f t="shared" si="95"/>
        <v>0</v>
      </c>
      <c r="D265" s="134"/>
      <c r="E265" s="285"/>
      <c r="F265" s="443">
        <f>D265+E265</f>
        <v>0</v>
      </c>
      <c r="G265" s="134"/>
      <c r="H265" s="135"/>
      <c r="I265" s="284">
        <f>G265+H265</f>
        <v>0</v>
      </c>
      <c r="J265" s="134"/>
      <c r="K265" s="285"/>
      <c r="L265" s="443">
        <f>J265+K265</f>
        <v>0</v>
      </c>
      <c r="M265" s="134"/>
      <c r="N265" s="285"/>
      <c r="O265" s="475">
        <f>N265+M265</f>
        <v>0</v>
      </c>
      <c r="P265" s="443"/>
      <c r="R265" s="53"/>
      <c r="S265" s="53"/>
    </row>
    <row r="266" spans="1:19" ht="36" hidden="1" x14ac:dyDescent="0.25">
      <c r="A266" s="276">
        <v>6420</v>
      </c>
      <c r="B266" s="127" t="s">
        <v>282</v>
      </c>
      <c r="C266" s="286">
        <f t="shared" si="95"/>
        <v>0</v>
      </c>
      <c r="D266" s="277">
        <f t="shared" ref="D266:O266" si="101">SUM(D267:D270)</f>
        <v>0</v>
      </c>
      <c r="E266" s="282">
        <f t="shared" si="101"/>
        <v>0</v>
      </c>
      <c r="F266" s="136">
        <f t="shared" si="101"/>
        <v>0</v>
      </c>
      <c r="G266" s="277">
        <f t="shared" si="101"/>
        <v>0</v>
      </c>
      <c r="H266" s="280">
        <f t="shared" si="101"/>
        <v>0</v>
      </c>
      <c r="I266" s="281">
        <f t="shared" si="101"/>
        <v>0</v>
      </c>
      <c r="J266" s="277">
        <f t="shared" si="101"/>
        <v>0</v>
      </c>
      <c r="K266" s="282">
        <f t="shared" si="101"/>
        <v>0</v>
      </c>
      <c r="L266" s="136">
        <f t="shared" si="101"/>
        <v>0</v>
      </c>
      <c r="M266" s="277">
        <f t="shared" si="101"/>
        <v>0</v>
      </c>
      <c r="N266" s="282">
        <f t="shared" si="101"/>
        <v>0</v>
      </c>
      <c r="O266" s="286">
        <f t="shared" si="101"/>
        <v>0</v>
      </c>
      <c r="P266" s="136"/>
      <c r="R266" s="53"/>
      <c r="S266" s="53"/>
    </row>
    <row r="267" spans="1:19" hidden="1" x14ac:dyDescent="0.25">
      <c r="A267" s="76">
        <v>6421</v>
      </c>
      <c r="B267" s="127" t="s">
        <v>283</v>
      </c>
      <c r="C267" s="286">
        <f t="shared" si="95"/>
        <v>0</v>
      </c>
      <c r="D267" s="134"/>
      <c r="E267" s="285"/>
      <c r="F267" s="443">
        <f>D267+E267</f>
        <v>0</v>
      </c>
      <c r="G267" s="134"/>
      <c r="H267" s="135"/>
      <c r="I267" s="284">
        <f>G267+H267</f>
        <v>0</v>
      </c>
      <c r="J267" s="134"/>
      <c r="K267" s="285"/>
      <c r="L267" s="443">
        <f>J267+K267</f>
        <v>0</v>
      </c>
      <c r="M267" s="134"/>
      <c r="N267" s="285"/>
      <c r="O267" s="475">
        <f>N267+M267</f>
        <v>0</v>
      </c>
      <c r="P267" s="443"/>
      <c r="R267" s="53"/>
      <c r="S267" s="53"/>
    </row>
    <row r="268" spans="1:19" hidden="1" x14ac:dyDescent="0.25">
      <c r="A268" s="76">
        <v>6422</v>
      </c>
      <c r="B268" s="127" t="s">
        <v>284</v>
      </c>
      <c r="C268" s="286">
        <f t="shared" si="95"/>
        <v>0</v>
      </c>
      <c r="D268" s="134"/>
      <c r="E268" s="285"/>
      <c r="F268" s="443">
        <f>D268+E268</f>
        <v>0</v>
      </c>
      <c r="G268" s="134"/>
      <c r="H268" s="135"/>
      <c r="I268" s="284">
        <f>G268+H268</f>
        <v>0</v>
      </c>
      <c r="J268" s="134"/>
      <c r="K268" s="285"/>
      <c r="L268" s="443">
        <f>J268+K268</f>
        <v>0</v>
      </c>
      <c r="M268" s="134"/>
      <c r="N268" s="285"/>
      <c r="O268" s="475">
        <f>N268+M268</f>
        <v>0</v>
      </c>
      <c r="P268" s="443"/>
      <c r="R268" s="53"/>
      <c r="S268" s="53"/>
    </row>
    <row r="269" spans="1:19" ht="24" hidden="1" x14ac:dyDescent="0.25">
      <c r="A269" s="76">
        <v>6423</v>
      </c>
      <c r="B269" s="127" t="s">
        <v>285</v>
      </c>
      <c r="C269" s="286">
        <f t="shared" si="95"/>
        <v>0</v>
      </c>
      <c r="D269" s="134"/>
      <c r="E269" s="285"/>
      <c r="F269" s="443">
        <f>D269+E269</f>
        <v>0</v>
      </c>
      <c r="G269" s="134"/>
      <c r="H269" s="135"/>
      <c r="I269" s="284">
        <f>G269+H269</f>
        <v>0</v>
      </c>
      <c r="J269" s="134"/>
      <c r="K269" s="285"/>
      <c r="L269" s="443">
        <f>J269+K269</f>
        <v>0</v>
      </c>
      <c r="M269" s="134"/>
      <c r="N269" s="285"/>
      <c r="O269" s="475">
        <f>N269+M269</f>
        <v>0</v>
      </c>
      <c r="P269" s="443"/>
      <c r="R269" s="53"/>
      <c r="S269" s="53"/>
    </row>
    <row r="270" spans="1:19" ht="36" hidden="1" x14ac:dyDescent="0.25">
      <c r="A270" s="76">
        <v>6424</v>
      </c>
      <c r="B270" s="127" t="s">
        <v>286</v>
      </c>
      <c r="C270" s="286">
        <f t="shared" si="95"/>
        <v>0</v>
      </c>
      <c r="D270" s="134"/>
      <c r="E270" s="285"/>
      <c r="F270" s="443">
        <f>D270+E270</f>
        <v>0</v>
      </c>
      <c r="G270" s="134"/>
      <c r="H270" s="135"/>
      <c r="I270" s="284">
        <f>G270+H270</f>
        <v>0</v>
      </c>
      <c r="J270" s="134"/>
      <c r="K270" s="285"/>
      <c r="L270" s="443">
        <f>J270+K270</f>
        <v>0</v>
      </c>
      <c r="M270" s="134"/>
      <c r="N270" s="285"/>
      <c r="O270" s="475">
        <f>N270+M270</f>
        <v>0</v>
      </c>
      <c r="P270" s="443"/>
      <c r="Q270" s="358"/>
      <c r="R270" s="53"/>
      <c r="S270" s="53"/>
    </row>
    <row r="271" spans="1:19" ht="36" hidden="1" x14ac:dyDescent="0.25">
      <c r="A271" s="347">
        <v>7000</v>
      </c>
      <c r="B271" s="347" t="s">
        <v>287</v>
      </c>
      <c r="C271" s="495">
        <f t="shared" si="95"/>
        <v>0</v>
      </c>
      <c r="D271" s="496">
        <f t="shared" ref="D271:O271" si="102">SUM(D272,D282)</f>
        <v>0</v>
      </c>
      <c r="E271" s="497">
        <f t="shared" si="102"/>
        <v>0</v>
      </c>
      <c r="F271" s="498">
        <f t="shared" si="102"/>
        <v>0</v>
      </c>
      <c r="G271" s="496">
        <f t="shared" si="102"/>
        <v>0</v>
      </c>
      <c r="H271" s="499">
        <f t="shared" si="102"/>
        <v>0</v>
      </c>
      <c r="I271" s="500">
        <f t="shared" si="102"/>
        <v>0</v>
      </c>
      <c r="J271" s="496">
        <f t="shared" si="102"/>
        <v>0</v>
      </c>
      <c r="K271" s="497">
        <f t="shared" si="102"/>
        <v>0</v>
      </c>
      <c r="L271" s="498">
        <f t="shared" si="102"/>
        <v>0</v>
      </c>
      <c r="M271" s="501">
        <f t="shared" si="102"/>
        <v>0</v>
      </c>
      <c r="N271" s="407">
        <f t="shared" si="102"/>
        <v>0</v>
      </c>
      <c r="O271" s="408">
        <f t="shared" si="102"/>
        <v>0</v>
      </c>
      <c r="P271" s="353"/>
      <c r="R271" s="53"/>
      <c r="S271" s="53"/>
    </row>
    <row r="272" spans="1:19" ht="24" hidden="1" x14ac:dyDescent="0.25">
      <c r="A272" s="99">
        <v>7200</v>
      </c>
      <c r="B272" s="247" t="s">
        <v>288</v>
      </c>
      <c r="C272" s="313">
        <f t="shared" si="95"/>
        <v>0</v>
      </c>
      <c r="D272" s="112">
        <f t="shared" ref="D272:O272" si="103">SUM(D273,D274,D277,D278,D281)</f>
        <v>0</v>
      </c>
      <c r="E272" s="293">
        <f t="shared" si="103"/>
        <v>0</v>
      </c>
      <c r="F272" s="114">
        <f t="shared" si="103"/>
        <v>0</v>
      </c>
      <c r="G272" s="112">
        <f t="shared" si="103"/>
        <v>0</v>
      </c>
      <c r="H272" s="113">
        <f t="shared" si="103"/>
        <v>0</v>
      </c>
      <c r="I272" s="292">
        <f t="shared" si="103"/>
        <v>0</v>
      </c>
      <c r="J272" s="112">
        <f t="shared" si="103"/>
        <v>0</v>
      </c>
      <c r="K272" s="293">
        <f t="shared" si="103"/>
        <v>0</v>
      </c>
      <c r="L272" s="114">
        <f t="shared" si="103"/>
        <v>0</v>
      </c>
      <c r="M272" s="334">
        <f t="shared" si="103"/>
        <v>0</v>
      </c>
      <c r="N272" s="293">
        <f t="shared" si="103"/>
        <v>0</v>
      </c>
      <c r="O272" s="313">
        <f t="shared" si="103"/>
        <v>0</v>
      </c>
      <c r="P272" s="114"/>
      <c r="R272" s="53"/>
      <c r="S272" s="53"/>
    </row>
    <row r="273" spans="1:19" ht="24" hidden="1" x14ac:dyDescent="0.25">
      <c r="A273" s="294">
        <v>7210</v>
      </c>
      <c r="B273" s="116" t="s">
        <v>289</v>
      </c>
      <c r="C273" s="263">
        <f t="shared" si="95"/>
        <v>0</v>
      </c>
      <c r="D273" s="123"/>
      <c r="E273" s="262"/>
      <c r="F273" s="442">
        <f>D273+E273</f>
        <v>0</v>
      </c>
      <c r="G273" s="123"/>
      <c r="H273" s="124"/>
      <c r="I273" s="264">
        <f>G273+H273</f>
        <v>0</v>
      </c>
      <c r="J273" s="123"/>
      <c r="K273" s="262"/>
      <c r="L273" s="442">
        <f>J273+K273</f>
        <v>0</v>
      </c>
      <c r="M273" s="123"/>
      <c r="N273" s="262"/>
      <c r="O273" s="473">
        <f>N273+M273</f>
        <v>0</v>
      </c>
      <c r="P273" s="442"/>
      <c r="R273" s="53"/>
      <c r="S273" s="53"/>
    </row>
    <row r="274" spans="1:19" s="358" customFormat="1" ht="36" hidden="1" x14ac:dyDescent="0.25">
      <c r="A274" s="276">
        <v>7220</v>
      </c>
      <c r="B274" s="127" t="s">
        <v>290</v>
      </c>
      <c r="C274" s="286">
        <f t="shared" si="95"/>
        <v>0</v>
      </c>
      <c r="D274" s="277">
        <f t="shared" ref="D274:O274" si="104">SUM(D275:D276)</f>
        <v>0</v>
      </c>
      <c r="E274" s="282">
        <f t="shared" si="104"/>
        <v>0</v>
      </c>
      <c r="F274" s="136">
        <f t="shared" si="104"/>
        <v>0</v>
      </c>
      <c r="G274" s="277">
        <f t="shared" si="104"/>
        <v>0</v>
      </c>
      <c r="H274" s="280">
        <f t="shared" si="104"/>
        <v>0</v>
      </c>
      <c r="I274" s="281">
        <f t="shared" si="104"/>
        <v>0</v>
      </c>
      <c r="J274" s="277">
        <f t="shared" si="104"/>
        <v>0</v>
      </c>
      <c r="K274" s="282">
        <f t="shared" si="104"/>
        <v>0</v>
      </c>
      <c r="L274" s="136">
        <f t="shared" si="104"/>
        <v>0</v>
      </c>
      <c r="M274" s="277">
        <f t="shared" si="104"/>
        <v>0</v>
      </c>
      <c r="N274" s="282">
        <f t="shared" si="104"/>
        <v>0</v>
      </c>
      <c r="O274" s="286">
        <f t="shared" si="104"/>
        <v>0</v>
      </c>
      <c r="P274" s="136"/>
      <c r="R274" s="53"/>
      <c r="S274" s="53"/>
    </row>
    <row r="275" spans="1:19" s="358" customFormat="1" ht="36" hidden="1" x14ac:dyDescent="0.25">
      <c r="A275" s="76">
        <v>7221</v>
      </c>
      <c r="B275" s="127" t="s">
        <v>291</v>
      </c>
      <c r="C275" s="286">
        <f t="shared" si="95"/>
        <v>0</v>
      </c>
      <c r="D275" s="134"/>
      <c r="E275" s="285"/>
      <c r="F275" s="443">
        <f>D275+E275</f>
        <v>0</v>
      </c>
      <c r="G275" s="134"/>
      <c r="H275" s="135"/>
      <c r="I275" s="284">
        <f>G275+H275</f>
        <v>0</v>
      </c>
      <c r="J275" s="134"/>
      <c r="K275" s="285"/>
      <c r="L275" s="443">
        <f>J275+K275</f>
        <v>0</v>
      </c>
      <c r="M275" s="134"/>
      <c r="N275" s="285"/>
      <c r="O275" s="475">
        <f>N275+M275</f>
        <v>0</v>
      </c>
      <c r="P275" s="443"/>
      <c r="R275" s="53"/>
      <c r="S275" s="53"/>
    </row>
    <row r="276" spans="1:19" s="358" customFormat="1" ht="36" hidden="1" x14ac:dyDescent="0.25">
      <c r="A276" s="76">
        <v>7222</v>
      </c>
      <c r="B276" s="127" t="s">
        <v>292</v>
      </c>
      <c r="C276" s="286">
        <f t="shared" si="95"/>
        <v>0</v>
      </c>
      <c r="D276" s="134"/>
      <c r="E276" s="285"/>
      <c r="F276" s="443">
        <f>D276+E276</f>
        <v>0</v>
      </c>
      <c r="G276" s="134"/>
      <c r="H276" s="135"/>
      <c r="I276" s="284">
        <f>G276+H276</f>
        <v>0</v>
      </c>
      <c r="J276" s="134"/>
      <c r="K276" s="285"/>
      <c r="L276" s="443">
        <f>J276+K276</f>
        <v>0</v>
      </c>
      <c r="M276" s="134"/>
      <c r="N276" s="285"/>
      <c r="O276" s="475">
        <f>N276+M276</f>
        <v>0</v>
      </c>
      <c r="P276" s="443"/>
      <c r="R276" s="53"/>
      <c r="S276" s="53"/>
    </row>
    <row r="277" spans="1:19" ht="24" hidden="1" x14ac:dyDescent="0.25">
      <c r="A277" s="276">
        <v>7230</v>
      </c>
      <c r="B277" s="127" t="s">
        <v>293</v>
      </c>
      <c r="C277" s="286">
        <f t="shared" si="95"/>
        <v>0</v>
      </c>
      <c r="D277" s="134"/>
      <c r="E277" s="285"/>
      <c r="F277" s="443">
        <f>D277+E277</f>
        <v>0</v>
      </c>
      <c r="G277" s="134"/>
      <c r="H277" s="135"/>
      <c r="I277" s="284">
        <f>G277+H277</f>
        <v>0</v>
      </c>
      <c r="J277" s="134"/>
      <c r="K277" s="285"/>
      <c r="L277" s="443">
        <f>J277+K277</f>
        <v>0</v>
      </c>
      <c r="M277" s="134"/>
      <c r="N277" s="285"/>
      <c r="O277" s="475">
        <f>N277+M277</f>
        <v>0</v>
      </c>
      <c r="P277" s="443"/>
      <c r="R277" s="53"/>
      <c r="S277" s="53"/>
    </row>
    <row r="278" spans="1:19" ht="24" hidden="1" x14ac:dyDescent="0.25">
      <c r="A278" s="276">
        <v>7240</v>
      </c>
      <c r="B278" s="127" t="s">
        <v>294</v>
      </c>
      <c r="C278" s="286">
        <f t="shared" si="95"/>
        <v>0</v>
      </c>
      <c r="D278" s="277">
        <f t="shared" ref="D278:O278" si="105">SUM(D279:D280)</f>
        <v>0</v>
      </c>
      <c r="E278" s="282">
        <f t="shared" si="105"/>
        <v>0</v>
      </c>
      <c r="F278" s="136">
        <f t="shared" si="105"/>
        <v>0</v>
      </c>
      <c r="G278" s="277">
        <f t="shared" si="105"/>
        <v>0</v>
      </c>
      <c r="H278" s="280">
        <f t="shared" si="105"/>
        <v>0</v>
      </c>
      <c r="I278" s="281">
        <f t="shared" si="105"/>
        <v>0</v>
      </c>
      <c r="J278" s="277">
        <f t="shared" si="105"/>
        <v>0</v>
      </c>
      <c r="K278" s="282">
        <f t="shared" si="105"/>
        <v>0</v>
      </c>
      <c r="L278" s="136">
        <f t="shared" si="105"/>
        <v>0</v>
      </c>
      <c r="M278" s="277">
        <f t="shared" si="105"/>
        <v>0</v>
      </c>
      <c r="N278" s="282">
        <f t="shared" si="105"/>
        <v>0</v>
      </c>
      <c r="O278" s="286">
        <f t="shared" si="105"/>
        <v>0</v>
      </c>
      <c r="P278" s="136"/>
      <c r="R278" s="53"/>
      <c r="S278" s="53"/>
    </row>
    <row r="279" spans="1:19" ht="48" hidden="1" x14ac:dyDescent="0.25">
      <c r="A279" s="76">
        <v>7245</v>
      </c>
      <c r="B279" s="127" t="s">
        <v>295</v>
      </c>
      <c r="C279" s="286">
        <f t="shared" si="95"/>
        <v>0</v>
      </c>
      <c r="D279" s="134"/>
      <c r="E279" s="285"/>
      <c r="F279" s="443">
        <f>D279+E279</f>
        <v>0</v>
      </c>
      <c r="G279" s="134"/>
      <c r="H279" s="135"/>
      <c r="I279" s="284">
        <f>G279+H279</f>
        <v>0</v>
      </c>
      <c r="J279" s="134"/>
      <c r="K279" s="285"/>
      <c r="L279" s="443">
        <f>J279+K279</f>
        <v>0</v>
      </c>
      <c r="M279" s="134"/>
      <c r="N279" s="285"/>
      <c r="O279" s="475">
        <f>N279+M279</f>
        <v>0</v>
      </c>
      <c r="P279" s="443"/>
      <c r="R279" s="53"/>
      <c r="S279" s="53"/>
    </row>
    <row r="280" spans="1:19" ht="96" hidden="1" x14ac:dyDescent="0.25">
      <c r="A280" s="76">
        <v>7246</v>
      </c>
      <c r="B280" s="127" t="s">
        <v>296</v>
      </c>
      <c r="C280" s="286">
        <f t="shared" si="95"/>
        <v>0</v>
      </c>
      <c r="D280" s="134"/>
      <c r="E280" s="285"/>
      <c r="F280" s="443">
        <f>D280+E280</f>
        <v>0</v>
      </c>
      <c r="G280" s="134"/>
      <c r="H280" s="135"/>
      <c r="I280" s="284">
        <f>G280+H280</f>
        <v>0</v>
      </c>
      <c r="J280" s="134"/>
      <c r="K280" s="285"/>
      <c r="L280" s="443">
        <f>J280+K280</f>
        <v>0</v>
      </c>
      <c r="M280" s="134"/>
      <c r="N280" s="285"/>
      <c r="O280" s="475">
        <f>N280+M280</f>
        <v>0</v>
      </c>
      <c r="P280" s="443"/>
      <c r="R280" s="53"/>
      <c r="S280" s="53"/>
    </row>
    <row r="281" spans="1:19" ht="24" hidden="1" x14ac:dyDescent="0.25">
      <c r="A281" s="344">
        <v>7260</v>
      </c>
      <c r="B281" s="116" t="s">
        <v>297</v>
      </c>
      <c r="C281" s="263">
        <f t="shared" si="95"/>
        <v>0</v>
      </c>
      <c r="D281" s="123"/>
      <c r="E281" s="262"/>
      <c r="F281" s="442">
        <f>D281+E281</f>
        <v>0</v>
      </c>
      <c r="G281" s="123"/>
      <c r="H281" s="124"/>
      <c r="I281" s="264">
        <f>G281+H281</f>
        <v>0</v>
      </c>
      <c r="J281" s="123"/>
      <c r="K281" s="262"/>
      <c r="L281" s="442">
        <f>J281+K281</f>
        <v>0</v>
      </c>
      <c r="M281" s="123"/>
      <c r="N281" s="262"/>
      <c r="O281" s="473">
        <f>N281+M281</f>
        <v>0</v>
      </c>
      <c r="P281" s="442"/>
      <c r="R281" s="53"/>
      <c r="S281" s="53"/>
    </row>
    <row r="282" spans="1:19" hidden="1" x14ac:dyDescent="0.25">
      <c r="A282" s="169">
        <v>7700</v>
      </c>
      <c r="B282" s="502" t="s">
        <v>298</v>
      </c>
      <c r="C282" s="316">
        <f t="shared" si="95"/>
        <v>0</v>
      </c>
      <c r="D282" s="360">
        <f t="shared" ref="D282:O282" si="106">D283</f>
        <v>0</v>
      </c>
      <c r="E282" s="304">
        <f t="shared" si="106"/>
        <v>0</v>
      </c>
      <c r="F282" s="305">
        <f t="shared" si="106"/>
        <v>0</v>
      </c>
      <c r="G282" s="360">
        <f t="shared" si="106"/>
        <v>0</v>
      </c>
      <c r="H282" s="361">
        <f t="shared" si="106"/>
        <v>0</v>
      </c>
      <c r="I282" s="303">
        <f t="shared" si="106"/>
        <v>0</v>
      </c>
      <c r="J282" s="360">
        <f t="shared" si="106"/>
        <v>0</v>
      </c>
      <c r="K282" s="304">
        <f t="shared" si="106"/>
        <v>0</v>
      </c>
      <c r="L282" s="305">
        <f t="shared" si="106"/>
        <v>0</v>
      </c>
      <c r="M282" s="360">
        <f t="shared" si="106"/>
        <v>0</v>
      </c>
      <c r="N282" s="304">
        <f t="shared" si="106"/>
        <v>0</v>
      </c>
      <c r="O282" s="316">
        <f t="shared" si="106"/>
        <v>0</v>
      </c>
      <c r="P282" s="305"/>
      <c r="R282" s="53"/>
      <c r="S282" s="53"/>
    </row>
    <row r="283" spans="1:19" hidden="1" x14ac:dyDescent="0.25">
      <c r="A283" s="254">
        <v>7720</v>
      </c>
      <c r="B283" s="116" t="s">
        <v>299</v>
      </c>
      <c r="C283" s="364">
        <f t="shared" si="95"/>
        <v>0</v>
      </c>
      <c r="D283" s="149"/>
      <c r="E283" s="363"/>
      <c r="F283" s="445">
        <f>D283+E283</f>
        <v>0</v>
      </c>
      <c r="G283" s="149"/>
      <c r="H283" s="150"/>
      <c r="I283" s="365">
        <f>G283+H283</f>
        <v>0</v>
      </c>
      <c r="J283" s="149"/>
      <c r="K283" s="363"/>
      <c r="L283" s="445">
        <f>J283+K283</f>
        <v>0</v>
      </c>
      <c r="M283" s="149"/>
      <c r="N283" s="363"/>
      <c r="O283" s="503">
        <f>N283+M283</f>
        <v>0</v>
      </c>
      <c r="P283" s="445"/>
      <c r="R283" s="53"/>
      <c r="S283" s="53"/>
    </row>
    <row r="284" spans="1:19" hidden="1" x14ac:dyDescent="0.25">
      <c r="A284" s="346"/>
      <c r="B284" s="127" t="s">
        <v>300</v>
      </c>
      <c r="C284" s="286">
        <f t="shared" si="95"/>
        <v>0</v>
      </c>
      <c r="D284" s="277">
        <f t="shared" ref="D284:O284" si="107">SUM(D285:D286)</f>
        <v>0</v>
      </c>
      <c r="E284" s="282">
        <f t="shared" si="107"/>
        <v>0</v>
      </c>
      <c r="F284" s="136">
        <f t="shared" si="107"/>
        <v>0</v>
      </c>
      <c r="G284" s="277">
        <f t="shared" si="107"/>
        <v>0</v>
      </c>
      <c r="H284" s="280">
        <f t="shared" si="107"/>
        <v>0</v>
      </c>
      <c r="I284" s="281">
        <f t="shared" si="107"/>
        <v>0</v>
      </c>
      <c r="J284" s="277">
        <f t="shared" si="107"/>
        <v>0</v>
      </c>
      <c r="K284" s="282">
        <f t="shared" si="107"/>
        <v>0</v>
      </c>
      <c r="L284" s="136">
        <f t="shared" si="107"/>
        <v>0</v>
      </c>
      <c r="M284" s="277">
        <f t="shared" si="107"/>
        <v>0</v>
      </c>
      <c r="N284" s="282">
        <f t="shared" si="107"/>
        <v>0</v>
      </c>
      <c r="O284" s="286">
        <f t="shared" si="107"/>
        <v>0</v>
      </c>
      <c r="P284" s="136"/>
      <c r="R284" s="53"/>
      <c r="S284" s="53"/>
    </row>
    <row r="285" spans="1:19" hidden="1" x14ac:dyDescent="0.25">
      <c r="A285" s="346" t="s">
        <v>301</v>
      </c>
      <c r="B285" s="76" t="s">
        <v>302</v>
      </c>
      <c r="C285" s="286">
        <f t="shared" si="95"/>
        <v>0</v>
      </c>
      <c r="D285" s="134"/>
      <c r="E285" s="285"/>
      <c r="F285" s="443">
        <f>D285+E285</f>
        <v>0</v>
      </c>
      <c r="G285" s="134"/>
      <c r="H285" s="135"/>
      <c r="I285" s="284">
        <f>G285+H285</f>
        <v>0</v>
      </c>
      <c r="J285" s="134"/>
      <c r="K285" s="285"/>
      <c r="L285" s="443">
        <f>J285+K285</f>
        <v>0</v>
      </c>
      <c r="M285" s="134"/>
      <c r="N285" s="285"/>
      <c r="O285" s="475">
        <f>N285+M285</f>
        <v>0</v>
      </c>
      <c r="P285" s="485"/>
      <c r="R285" s="53"/>
      <c r="S285" s="53"/>
    </row>
    <row r="286" spans="1:19" ht="24" hidden="1" x14ac:dyDescent="0.25">
      <c r="A286" s="346" t="s">
        <v>303</v>
      </c>
      <c r="B286" s="367" t="s">
        <v>304</v>
      </c>
      <c r="C286" s="263">
        <f t="shared" si="95"/>
        <v>0</v>
      </c>
      <c r="D286" s="123"/>
      <c r="E286" s="262"/>
      <c r="F286" s="442">
        <f>D286+E286</f>
        <v>0</v>
      </c>
      <c r="G286" s="123"/>
      <c r="H286" s="124"/>
      <c r="I286" s="264">
        <f>G286+H286</f>
        <v>0</v>
      </c>
      <c r="J286" s="123"/>
      <c r="K286" s="262"/>
      <c r="L286" s="442">
        <f>J286+K286</f>
        <v>0</v>
      </c>
      <c r="M286" s="123"/>
      <c r="N286" s="262"/>
      <c r="O286" s="473">
        <f>N286+M286</f>
        <v>0</v>
      </c>
      <c r="P286" s="442"/>
      <c r="R286" s="53"/>
      <c r="S286" s="53"/>
    </row>
    <row r="287" spans="1:19" ht="12.75" thickBot="1" x14ac:dyDescent="0.3">
      <c r="A287" s="504"/>
      <c r="B287" s="504" t="s">
        <v>305</v>
      </c>
      <c r="C287" s="505">
        <f t="shared" si="95"/>
        <v>322246</v>
      </c>
      <c r="D287" s="506">
        <f t="shared" ref="D287:O287" si="108">SUM(D284,D271,D233,D198,D190,D176,D78,D56)</f>
        <v>199715</v>
      </c>
      <c r="E287" s="507">
        <f t="shared" si="108"/>
        <v>0</v>
      </c>
      <c r="F287" s="508">
        <f t="shared" si="108"/>
        <v>199715</v>
      </c>
      <c r="G287" s="506">
        <f t="shared" si="108"/>
        <v>0</v>
      </c>
      <c r="H287" s="509">
        <f t="shared" si="108"/>
        <v>0</v>
      </c>
      <c r="I287" s="510">
        <f t="shared" si="108"/>
        <v>0</v>
      </c>
      <c r="J287" s="506">
        <f>SUM(J284,J271,J233,J198,J190,J176,J78,J56)</f>
        <v>122531</v>
      </c>
      <c r="K287" s="511">
        <f t="shared" si="108"/>
        <v>0</v>
      </c>
      <c r="L287" s="512">
        <f t="shared" si="108"/>
        <v>122531</v>
      </c>
      <c r="M287" s="506">
        <f t="shared" si="108"/>
        <v>0</v>
      </c>
      <c r="N287" s="507">
        <f t="shared" si="108"/>
        <v>0</v>
      </c>
      <c r="O287" s="505">
        <f t="shared" si="108"/>
        <v>0</v>
      </c>
      <c r="P287" s="508"/>
      <c r="R287" s="53"/>
      <c r="S287" s="53"/>
    </row>
    <row r="288" spans="1:19" s="41" customFormat="1" ht="13.5" hidden="1" thickTop="1" thickBot="1" x14ac:dyDescent="0.3">
      <c r="A288" s="1612" t="s">
        <v>306</v>
      </c>
      <c r="B288" s="1613"/>
      <c r="C288" s="513">
        <f>SUM(F288,I288,L288,O288)</f>
        <v>0</v>
      </c>
      <c r="D288" s="514">
        <f t="shared" ref="D288:I288" si="109">SUM(D28,D29,D45)-D54</f>
        <v>0</v>
      </c>
      <c r="E288" s="515">
        <f t="shared" si="109"/>
        <v>0</v>
      </c>
      <c r="F288" s="516">
        <f t="shared" si="109"/>
        <v>0</v>
      </c>
      <c r="G288" s="514">
        <f t="shared" si="109"/>
        <v>0</v>
      </c>
      <c r="H288" s="517">
        <f t="shared" si="109"/>
        <v>0</v>
      </c>
      <c r="I288" s="518">
        <f t="shared" si="109"/>
        <v>0</v>
      </c>
      <c r="J288" s="514">
        <f>(J30+J46)-J54</f>
        <v>0</v>
      </c>
      <c r="K288" s="515">
        <f>(K30+K46)-K54</f>
        <v>0</v>
      </c>
      <c r="L288" s="516">
        <f>(L30+L46)-L54</f>
        <v>0</v>
      </c>
      <c r="M288" s="514">
        <f>M48-M54</f>
        <v>0</v>
      </c>
      <c r="N288" s="515">
        <f>N48-N54</f>
        <v>0</v>
      </c>
      <c r="O288" s="513">
        <f>O48-O54</f>
        <v>0</v>
      </c>
      <c r="P288" s="516"/>
      <c r="R288" s="53"/>
      <c r="S288" s="53"/>
    </row>
    <row r="289" spans="1:19" s="41" customFormat="1" ht="12.75" hidden="1" thickTop="1" x14ac:dyDescent="0.25">
      <c r="A289" s="1614" t="s">
        <v>307</v>
      </c>
      <c r="B289" s="1615"/>
      <c r="C289" s="400">
        <f>SUM(F289,I289,L289,O289)</f>
        <v>0</v>
      </c>
      <c r="D289" s="519">
        <f t="shared" ref="D289:O289" si="110">SUM(D290,D291)-D298+D299</f>
        <v>0</v>
      </c>
      <c r="E289" s="520">
        <f t="shared" si="110"/>
        <v>0</v>
      </c>
      <c r="F289" s="521">
        <f t="shared" si="110"/>
        <v>0</v>
      </c>
      <c r="G289" s="519">
        <f t="shared" si="110"/>
        <v>0</v>
      </c>
      <c r="H289" s="522">
        <f t="shared" si="110"/>
        <v>0</v>
      </c>
      <c r="I289" s="523">
        <f t="shared" si="110"/>
        <v>0</v>
      </c>
      <c r="J289" s="519">
        <f>SUM(J290,J291)-J298+J299</f>
        <v>0</v>
      </c>
      <c r="K289" s="520">
        <f t="shared" si="110"/>
        <v>0</v>
      </c>
      <c r="L289" s="521">
        <f t="shared" si="110"/>
        <v>0</v>
      </c>
      <c r="M289" s="519">
        <f t="shared" si="110"/>
        <v>0</v>
      </c>
      <c r="N289" s="520">
        <f t="shared" si="110"/>
        <v>0</v>
      </c>
      <c r="O289" s="400">
        <f t="shared" si="110"/>
        <v>0</v>
      </c>
      <c r="P289" s="521"/>
      <c r="R289" s="53"/>
      <c r="S289" s="53"/>
    </row>
    <row r="290" spans="1:19" s="41" customFormat="1" ht="13.5" hidden="1" thickTop="1" thickBot="1" x14ac:dyDescent="0.3">
      <c r="A290" s="209" t="s">
        <v>308</v>
      </c>
      <c r="B290" s="209" t="s">
        <v>309</v>
      </c>
      <c r="C290" s="463">
        <f t="shared" si="95"/>
        <v>0</v>
      </c>
      <c r="D290" s="211">
        <f t="shared" ref="D290:O290" si="111">D25-D284</f>
        <v>0</v>
      </c>
      <c r="E290" s="217">
        <f t="shared" si="111"/>
        <v>0</v>
      </c>
      <c r="F290" s="215">
        <f t="shared" si="111"/>
        <v>0</v>
      </c>
      <c r="G290" s="211">
        <f t="shared" si="111"/>
        <v>0</v>
      </c>
      <c r="H290" s="214">
        <f t="shared" si="111"/>
        <v>0</v>
      </c>
      <c r="I290" s="216">
        <f t="shared" si="111"/>
        <v>0</v>
      </c>
      <c r="J290" s="211">
        <f>J25-J284</f>
        <v>0</v>
      </c>
      <c r="K290" s="217">
        <f t="shared" si="111"/>
        <v>0</v>
      </c>
      <c r="L290" s="215">
        <f t="shared" si="111"/>
        <v>0</v>
      </c>
      <c r="M290" s="211">
        <f t="shared" si="111"/>
        <v>0</v>
      </c>
      <c r="N290" s="217">
        <f t="shared" si="111"/>
        <v>0</v>
      </c>
      <c r="O290" s="463">
        <f t="shared" si="111"/>
        <v>0</v>
      </c>
      <c r="P290" s="215"/>
      <c r="R290" s="53"/>
      <c r="S290" s="53"/>
    </row>
    <row r="291" spans="1:19" s="41" customFormat="1" ht="12.75" hidden="1" thickTop="1" x14ac:dyDescent="0.25">
      <c r="A291" s="524" t="s">
        <v>310</v>
      </c>
      <c r="B291" s="524" t="s">
        <v>311</v>
      </c>
      <c r="C291" s="400">
        <f t="shared" si="95"/>
        <v>0</v>
      </c>
      <c r="D291" s="519">
        <f t="shared" ref="D291:O291" si="112">SUM(D292,D294,D296)-SUM(D293,D295,D297)</f>
        <v>0</v>
      </c>
      <c r="E291" s="520">
        <f t="shared" si="112"/>
        <v>0</v>
      </c>
      <c r="F291" s="521">
        <f t="shared" si="112"/>
        <v>0</v>
      </c>
      <c r="G291" s="519">
        <f t="shared" si="112"/>
        <v>0</v>
      </c>
      <c r="H291" s="522">
        <f t="shared" si="112"/>
        <v>0</v>
      </c>
      <c r="I291" s="523">
        <f t="shared" si="112"/>
        <v>0</v>
      </c>
      <c r="J291" s="519">
        <f t="shared" si="112"/>
        <v>0</v>
      </c>
      <c r="K291" s="520">
        <f t="shared" si="112"/>
        <v>0</v>
      </c>
      <c r="L291" s="521">
        <f t="shared" si="112"/>
        <v>0</v>
      </c>
      <c r="M291" s="519">
        <f t="shared" si="112"/>
        <v>0</v>
      </c>
      <c r="N291" s="520">
        <f t="shared" si="112"/>
        <v>0</v>
      </c>
      <c r="O291" s="400">
        <f t="shared" si="112"/>
        <v>0</v>
      </c>
      <c r="P291" s="521"/>
      <c r="R291" s="53"/>
      <c r="S291" s="53"/>
    </row>
    <row r="292" spans="1:19" ht="12.75" hidden="1" thickTop="1" x14ac:dyDescent="0.25">
      <c r="A292" s="366" t="s">
        <v>312</v>
      </c>
      <c r="B292" s="190" t="s">
        <v>313</v>
      </c>
      <c r="C292" s="364">
        <f t="shared" si="95"/>
        <v>0</v>
      </c>
      <c r="D292" s="149"/>
      <c r="E292" s="363"/>
      <c r="F292" s="445">
        <f t="shared" ref="F292:F299" si="113">D292+E292</f>
        <v>0</v>
      </c>
      <c r="G292" s="149"/>
      <c r="H292" s="150"/>
      <c r="I292" s="365">
        <f t="shared" ref="I292:I299" si="114">G292+H292</f>
        <v>0</v>
      </c>
      <c r="J292" s="149"/>
      <c r="K292" s="363"/>
      <c r="L292" s="445">
        <f t="shared" ref="L292:L299" si="115">J292+K292</f>
        <v>0</v>
      </c>
      <c r="M292" s="149"/>
      <c r="N292" s="363"/>
      <c r="O292" s="503">
        <f t="shared" ref="O292:O299" si="116">N292+M292</f>
        <v>0</v>
      </c>
      <c r="P292" s="445"/>
      <c r="R292" s="53"/>
      <c r="S292" s="53"/>
    </row>
    <row r="293" spans="1:19" ht="24.75" hidden="1" thickTop="1" x14ac:dyDescent="0.25">
      <c r="A293" s="346" t="s">
        <v>314</v>
      </c>
      <c r="B293" s="75" t="s">
        <v>315</v>
      </c>
      <c r="C293" s="286">
        <f t="shared" si="95"/>
        <v>0</v>
      </c>
      <c r="D293" s="134"/>
      <c r="E293" s="285"/>
      <c r="F293" s="443">
        <f t="shared" si="113"/>
        <v>0</v>
      </c>
      <c r="G293" s="134"/>
      <c r="H293" s="135"/>
      <c r="I293" s="284">
        <f t="shared" si="114"/>
        <v>0</v>
      </c>
      <c r="J293" s="134"/>
      <c r="K293" s="285"/>
      <c r="L293" s="443">
        <f t="shared" si="115"/>
        <v>0</v>
      </c>
      <c r="M293" s="134"/>
      <c r="N293" s="285"/>
      <c r="O293" s="475">
        <f t="shared" si="116"/>
        <v>0</v>
      </c>
      <c r="P293" s="443"/>
      <c r="R293" s="53"/>
      <c r="S293" s="53"/>
    </row>
    <row r="294" spans="1:19" ht="12.75" hidden="1" thickTop="1" x14ac:dyDescent="0.25">
      <c r="A294" s="346" t="s">
        <v>316</v>
      </c>
      <c r="B294" s="75" t="s">
        <v>317</v>
      </c>
      <c r="C294" s="286">
        <f t="shared" si="95"/>
        <v>0</v>
      </c>
      <c r="D294" s="134"/>
      <c r="E294" s="285"/>
      <c r="F294" s="443">
        <f t="shared" si="113"/>
        <v>0</v>
      </c>
      <c r="G294" s="134"/>
      <c r="H294" s="135"/>
      <c r="I294" s="284">
        <f t="shared" si="114"/>
        <v>0</v>
      </c>
      <c r="J294" s="134"/>
      <c r="K294" s="285"/>
      <c r="L294" s="443">
        <f t="shared" si="115"/>
        <v>0</v>
      </c>
      <c r="M294" s="134"/>
      <c r="N294" s="285"/>
      <c r="O294" s="475">
        <f t="shared" si="116"/>
        <v>0</v>
      </c>
      <c r="P294" s="443"/>
      <c r="R294" s="53"/>
      <c r="S294" s="53"/>
    </row>
    <row r="295" spans="1:19" ht="24.75" hidden="1" thickTop="1" x14ac:dyDescent="0.25">
      <c r="A295" s="346" t="s">
        <v>318</v>
      </c>
      <c r="B295" s="75" t="s">
        <v>319</v>
      </c>
      <c r="C295" s="286">
        <f t="shared" si="95"/>
        <v>0</v>
      </c>
      <c r="D295" s="134"/>
      <c r="E295" s="285"/>
      <c r="F295" s="443">
        <f t="shared" si="113"/>
        <v>0</v>
      </c>
      <c r="G295" s="134"/>
      <c r="H295" s="135"/>
      <c r="I295" s="284">
        <f t="shared" si="114"/>
        <v>0</v>
      </c>
      <c r="J295" s="134"/>
      <c r="K295" s="285"/>
      <c r="L295" s="443">
        <f t="shared" si="115"/>
        <v>0</v>
      </c>
      <c r="M295" s="134"/>
      <c r="N295" s="285"/>
      <c r="O295" s="475">
        <f t="shared" si="116"/>
        <v>0</v>
      </c>
      <c r="P295" s="443"/>
      <c r="R295" s="53"/>
      <c r="S295" s="53"/>
    </row>
    <row r="296" spans="1:19" ht="12.75" hidden="1" thickTop="1" x14ac:dyDescent="0.25">
      <c r="A296" s="346" t="s">
        <v>320</v>
      </c>
      <c r="B296" s="75" t="s">
        <v>321</v>
      </c>
      <c r="C296" s="286">
        <f t="shared" si="95"/>
        <v>0</v>
      </c>
      <c r="D296" s="134"/>
      <c r="E296" s="285"/>
      <c r="F296" s="443">
        <f t="shared" si="113"/>
        <v>0</v>
      </c>
      <c r="G296" s="134"/>
      <c r="H296" s="135"/>
      <c r="I296" s="284">
        <f t="shared" si="114"/>
        <v>0</v>
      </c>
      <c r="J296" s="134"/>
      <c r="K296" s="285"/>
      <c r="L296" s="443">
        <f t="shared" si="115"/>
        <v>0</v>
      </c>
      <c r="M296" s="134"/>
      <c r="N296" s="285"/>
      <c r="O296" s="475">
        <f t="shared" si="116"/>
        <v>0</v>
      </c>
      <c r="P296" s="443"/>
      <c r="R296" s="53"/>
      <c r="S296" s="53"/>
    </row>
    <row r="297" spans="1:19" ht="24.75" hidden="1" thickTop="1" x14ac:dyDescent="0.25">
      <c r="A297" s="389" t="s">
        <v>322</v>
      </c>
      <c r="B297" s="390" t="s">
        <v>323</v>
      </c>
      <c r="C297" s="330">
        <f t="shared" si="95"/>
        <v>0</v>
      </c>
      <c r="D297" s="328"/>
      <c r="E297" s="329"/>
      <c r="F297" s="491">
        <f t="shared" si="113"/>
        <v>0</v>
      </c>
      <c r="G297" s="328"/>
      <c r="H297" s="331"/>
      <c r="I297" s="332">
        <f t="shared" si="114"/>
        <v>0</v>
      </c>
      <c r="J297" s="328"/>
      <c r="K297" s="329"/>
      <c r="L297" s="491">
        <f t="shared" si="115"/>
        <v>0</v>
      </c>
      <c r="M297" s="328"/>
      <c r="N297" s="329"/>
      <c r="O297" s="492">
        <f t="shared" si="116"/>
        <v>0</v>
      </c>
      <c r="P297" s="491"/>
      <c r="R297" s="53"/>
      <c r="S297" s="53"/>
    </row>
    <row r="298" spans="1:19" s="41" customFormat="1" ht="13.5" hidden="1" thickTop="1" thickBot="1" x14ac:dyDescent="0.3">
      <c r="A298" s="525" t="s">
        <v>324</v>
      </c>
      <c r="B298" s="525" t="s">
        <v>325</v>
      </c>
      <c r="C298" s="513">
        <f t="shared" si="95"/>
        <v>0</v>
      </c>
      <c r="D298" s="526"/>
      <c r="E298" s="527"/>
      <c r="F298" s="528">
        <f t="shared" si="113"/>
        <v>0</v>
      </c>
      <c r="G298" s="526"/>
      <c r="H298" s="529"/>
      <c r="I298" s="530">
        <f t="shared" si="114"/>
        <v>0</v>
      </c>
      <c r="J298" s="526"/>
      <c r="K298" s="527"/>
      <c r="L298" s="528">
        <f t="shared" si="115"/>
        <v>0</v>
      </c>
      <c r="M298" s="526"/>
      <c r="N298" s="527"/>
      <c r="O298" s="531">
        <f t="shared" si="116"/>
        <v>0</v>
      </c>
      <c r="P298" s="528"/>
      <c r="R298" s="53"/>
      <c r="S298" s="53"/>
    </row>
    <row r="299" spans="1:19" s="41" customFormat="1" ht="48.75" hidden="1" thickTop="1" x14ac:dyDescent="0.25">
      <c r="A299" s="524" t="s">
        <v>326</v>
      </c>
      <c r="B299" s="396" t="s">
        <v>327</v>
      </c>
      <c r="C299" s="400">
        <f t="shared" si="95"/>
        <v>0</v>
      </c>
      <c r="D299" s="311"/>
      <c r="E299" s="312"/>
      <c r="F299" s="488">
        <f t="shared" si="113"/>
        <v>0</v>
      </c>
      <c r="G299" s="311"/>
      <c r="H299" s="314"/>
      <c r="I299" s="315">
        <f t="shared" si="114"/>
        <v>0</v>
      </c>
      <c r="J299" s="311"/>
      <c r="K299" s="312"/>
      <c r="L299" s="488">
        <f t="shared" si="115"/>
        <v>0</v>
      </c>
      <c r="M299" s="311"/>
      <c r="N299" s="312"/>
      <c r="O299" s="489">
        <f t="shared" si="116"/>
        <v>0</v>
      </c>
      <c r="P299" s="532"/>
      <c r="R299" s="53"/>
      <c r="S299" s="53"/>
    </row>
    <row r="300" spans="1:19" ht="12.75" thickTop="1" x14ac:dyDescent="0.2">
      <c r="A300" s="533" t="s">
        <v>328</v>
      </c>
      <c r="B300" s="402"/>
      <c r="C300" s="402"/>
      <c r="D300" s="402"/>
      <c r="E300" s="402"/>
      <c r="F300" s="402"/>
      <c r="G300" s="402"/>
      <c r="H300" s="402"/>
      <c r="I300" s="402"/>
      <c r="J300" s="402"/>
      <c r="K300" s="402"/>
      <c r="L300" s="402"/>
      <c r="M300" s="402"/>
      <c r="N300" s="402"/>
      <c r="O300" s="402"/>
      <c r="P300" s="403"/>
      <c r="Q300" s="7"/>
    </row>
    <row r="301" spans="1:19" x14ac:dyDescent="0.2">
      <c r="A301" s="534" t="s">
        <v>350</v>
      </c>
      <c r="B301" s="535"/>
      <c r="C301" s="535"/>
      <c r="D301" s="535"/>
      <c r="E301" s="535"/>
      <c r="F301" s="535"/>
      <c r="G301" s="535"/>
      <c r="H301" s="535"/>
      <c r="I301" s="535"/>
      <c r="J301" s="535"/>
      <c r="K301" s="535"/>
      <c r="L301" s="535"/>
      <c r="M301" s="535"/>
      <c r="N301" s="535"/>
      <c r="O301" s="535"/>
      <c r="P301" s="536"/>
      <c r="Q301" s="7"/>
    </row>
    <row r="302" spans="1:19" x14ac:dyDescent="0.25">
      <c r="A302" s="537" t="s">
        <v>351</v>
      </c>
      <c r="B302" s="535"/>
      <c r="C302" s="535"/>
      <c r="D302" s="535"/>
      <c r="E302" s="535"/>
      <c r="F302" s="535"/>
      <c r="G302" s="535"/>
      <c r="H302" s="535"/>
      <c r="I302" s="535"/>
      <c r="J302" s="535"/>
      <c r="K302" s="535"/>
      <c r="L302" s="535"/>
      <c r="M302" s="535"/>
      <c r="N302" s="535"/>
      <c r="O302" s="535"/>
      <c r="P302" s="536"/>
      <c r="Q302" s="7"/>
    </row>
    <row r="303" spans="1:19" ht="12.75" thickBot="1" x14ac:dyDescent="0.3">
      <c r="A303" s="538"/>
      <c r="B303" s="539"/>
      <c r="C303" s="539"/>
      <c r="D303" s="539"/>
      <c r="E303" s="539"/>
      <c r="F303" s="539"/>
      <c r="G303" s="539"/>
      <c r="H303" s="539"/>
      <c r="I303" s="539"/>
      <c r="J303" s="539"/>
      <c r="K303" s="539"/>
      <c r="L303" s="539"/>
      <c r="M303" s="539"/>
      <c r="N303" s="539"/>
      <c r="O303" s="539"/>
      <c r="P303" s="540"/>
      <c r="Q303" s="7"/>
    </row>
    <row r="304" spans="1:19" x14ac:dyDescent="0.25">
      <c r="A304" s="5"/>
      <c r="B304" s="5"/>
      <c r="C304" s="5"/>
      <c r="D304" s="5"/>
      <c r="E304" s="5"/>
      <c r="F304" s="5"/>
      <c r="G304" s="5"/>
      <c r="H304" s="5"/>
      <c r="I304" s="5"/>
      <c r="J304" s="5"/>
      <c r="K304" s="5"/>
      <c r="L304" s="5"/>
      <c r="M304" s="5"/>
      <c r="N304" s="5"/>
      <c r="O304" s="541"/>
      <c r="P304" s="541"/>
    </row>
    <row r="305" spans="1:16" x14ac:dyDescent="0.25">
      <c r="A305" s="5"/>
      <c r="B305" s="5"/>
      <c r="C305" s="5"/>
      <c r="D305" s="5"/>
      <c r="E305" s="5"/>
      <c r="F305" s="5"/>
      <c r="G305" s="5"/>
      <c r="H305" s="5"/>
      <c r="I305" s="5"/>
      <c r="J305" s="5"/>
      <c r="K305" s="5"/>
      <c r="L305" s="5"/>
      <c r="M305" s="5"/>
      <c r="N305" s="5"/>
      <c r="O305" s="5"/>
      <c r="P305" s="5"/>
    </row>
  </sheetData>
  <sheetProtection algorithmName="SHA-512" hashValue="ilyXckX1kQqKDpKDKHJZhwmfxhWoqwx1aqeDFd6uhWFzppbFql+2Kr17uwhAnL8BSSiRdfsdstF4kdwXr5JWTg==" saltValue="RjmuF3+pWbKavQZltBbbsQ==" spinCount="100000" sheet="1" objects="1" scenarios="1"/>
  <autoFilter ref="C22:O302">
    <filterColumn colId="0">
      <filters blank="1">
        <filter val="1 053"/>
        <filter val="1 100"/>
        <filter val="1 170"/>
        <filter val="1 200"/>
        <filter val="1 201"/>
        <filter val="1 511"/>
        <filter val="1 977"/>
        <filter val="10 628"/>
        <filter val="10 645"/>
        <filter val="11 986"/>
        <filter val="12 691"/>
        <filter val="122 531"/>
        <filter val="123 290"/>
        <filter val="128 192"/>
        <filter val="13 953"/>
        <filter val="142 357"/>
        <filter val="15 821"/>
        <filter val="156"/>
        <filter val="17 588"/>
        <filter val="17 744"/>
        <filter val="18 968"/>
        <filter val="182"/>
        <filter val="191 410"/>
        <filter val="199 715"/>
        <filter val="2 179"/>
        <filter val="2 995"/>
        <filter val="22 633"/>
        <filter val="23 267"/>
        <filter val="268"/>
        <filter val="3 147"/>
        <filter val="3 260"/>
        <filter val="3 266"/>
        <filter val="3 655"/>
        <filter val="3 682"/>
        <filter val="30 068"/>
        <filter val="314 700"/>
        <filter val="322 246"/>
        <filter val="33 232"/>
        <filter val="335"/>
        <filter val="37 431"/>
        <filter val="4 216"/>
        <filter val="4 755"/>
        <filter val="49 053"/>
        <filter val="52"/>
        <filter val="6 070"/>
        <filter val="630"/>
        <filter val="666"/>
        <filter val="683"/>
        <filter val="7 271"/>
        <filter val="7 311"/>
        <filter val="7 546"/>
        <filter val="750"/>
        <filter val="785"/>
        <filter val="8 720"/>
        <filter val="82 913"/>
        <filter val="857"/>
        <filter val="95"/>
      </filters>
    </filterColumn>
  </autoFilter>
  <mergeCells count="32">
    <mergeCell ref="A288:B288"/>
    <mergeCell ref="A289:B289"/>
    <mergeCell ref="H20:H21"/>
    <mergeCell ref="I20:I21"/>
    <mergeCell ref="J20:J21"/>
    <mergeCell ref="C17:P17"/>
    <mergeCell ref="A19:A21"/>
    <mergeCell ref="B19:B21"/>
    <mergeCell ref="C19:O19"/>
    <mergeCell ref="P19:P21"/>
    <mergeCell ref="C20:C21"/>
    <mergeCell ref="D20:D21"/>
    <mergeCell ref="E20:E21"/>
    <mergeCell ref="F20:F21"/>
    <mergeCell ref="G20:G21"/>
    <mergeCell ref="N20:N21"/>
    <mergeCell ref="O20:O21"/>
    <mergeCell ref="K20:K21"/>
    <mergeCell ref="L20:L21"/>
    <mergeCell ref="M20:M21"/>
    <mergeCell ref="C16:P16"/>
    <mergeCell ref="A4:P4"/>
    <mergeCell ref="C6:P6"/>
    <mergeCell ref="C7:P7"/>
    <mergeCell ref="C8:P8"/>
    <mergeCell ref="C9:P9"/>
    <mergeCell ref="C10:P10"/>
    <mergeCell ref="C11:P11"/>
    <mergeCell ref="C12:P12"/>
    <mergeCell ref="C13:P13"/>
    <mergeCell ref="C14:P14"/>
    <mergeCell ref="C15:P15"/>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74.pielikums Jūrmalas pilsētas domes
2017.gada 30.janvāra saistošajiem noteikumiem Nr.10
(Protokols Nr.4, 1.punkts)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21"/>
  <sheetViews>
    <sheetView view="pageLayout" zoomScaleNormal="90" workbookViewId="0">
      <selection activeCell="T6" sqref="T6"/>
    </sheetView>
  </sheetViews>
  <sheetFormatPr defaultRowHeight="12" outlineLevelCol="1" x14ac:dyDescent="0.25"/>
  <cols>
    <col min="1" max="1" width="10.85546875" style="1" customWidth="1"/>
    <col min="2" max="2" width="31.140625"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517</v>
      </c>
    </row>
    <row r="2" spans="1:17" x14ac:dyDescent="0.25">
      <c r="B2" s="2"/>
      <c r="C2" s="2"/>
      <c r="D2" s="2"/>
      <c r="E2" s="2"/>
      <c r="F2" s="2"/>
      <c r="G2" s="2"/>
      <c r="H2" s="2"/>
      <c r="I2" s="2"/>
      <c r="J2" s="2"/>
      <c r="K2" s="2"/>
      <c r="L2" s="2"/>
      <c r="M2" s="3"/>
      <c r="N2" s="3"/>
      <c r="O2" s="4"/>
    </row>
    <row r="3" spans="1:17" x14ac:dyDescent="0.25">
      <c r="A3" s="1589"/>
      <c r="B3" s="1590"/>
      <c r="C3" s="1590"/>
      <c r="D3" s="1590"/>
      <c r="E3" s="1590"/>
      <c r="F3" s="1590"/>
      <c r="G3" s="1590"/>
      <c r="H3" s="1590"/>
      <c r="I3" s="1590"/>
      <c r="J3" s="1590"/>
      <c r="K3" s="1590"/>
      <c r="L3" s="1590"/>
      <c r="M3" s="1590"/>
      <c r="N3" s="1590"/>
      <c r="O3" s="1590"/>
      <c r="P3" s="1591"/>
      <c r="Q3" s="7"/>
    </row>
    <row r="4" spans="1:17" ht="15.75" x14ac:dyDescent="0.25">
      <c r="A4" s="1560" t="s">
        <v>1</v>
      </c>
      <c r="B4" s="1561"/>
      <c r="C4" s="1561"/>
      <c r="D4" s="1561"/>
      <c r="E4" s="1561"/>
      <c r="F4" s="1561"/>
      <c r="G4" s="1561"/>
      <c r="H4" s="1561"/>
      <c r="I4" s="1561"/>
      <c r="J4" s="1561"/>
      <c r="K4" s="1561"/>
      <c r="L4" s="1561"/>
      <c r="M4" s="1561"/>
      <c r="N4" s="1561"/>
      <c r="O4" s="1561"/>
      <c r="P4" s="1561"/>
      <c r="Q4" s="7"/>
    </row>
    <row r="5" spans="1:17" ht="15.75" x14ac:dyDescent="0.25">
      <c r="A5" s="653"/>
      <c r="B5" s="654"/>
      <c r="C5" s="654"/>
      <c r="D5" s="654"/>
      <c r="E5" s="654"/>
      <c r="F5" s="654"/>
      <c r="G5" s="654"/>
      <c r="H5" s="654"/>
      <c r="I5" s="654"/>
      <c r="J5" s="654"/>
      <c r="K5" s="654"/>
      <c r="L5" s="654"/>
      <c r="M5" s="654"/>
      <c r="N5" s="654"/>
      <c r="O5" s="654"/>
      <c r="P5" s="654"/>
      <c r="Q5" s="7"/>
    </row>
    <row r="6" spans="1:17" ht="12.75" x14ac:dyDescent="0.25">
      <c r="A6" s="13" t="s">
        <v>2</v>
      </c>
      <c r="B6" s="14"/>
      <c r="C6" s="1555" t="s">
        <v>501</v>
      </c>
      <c r="D6" s="1555"/>
      <c r="E6" s="1555"/>
      <c r="F6" s="1555"/>
      <c r="G6" s="1555"/>
      <c r="H6" s="1555"/>
      <c r="I6" s="1555"/>
      <c r="J6" s="1555"/>
      <c r="K6" s="1555"/>
      <c r="L6" s="1555"/>
      <c r="M6" s="1555"/>
      <c r="N6" s="1555"/>
      <c r="O6" s="1555"/>
      <c r="P6" s="1555"/>
      <c r="Q6" s="7"/>
    </row>
    <row r="7" spans="1:17" ht="12.75" x14ac:dyDescent="0.25">
      <c r="A7" s="13" t="s">
        <v>4</v>
      </c>
      <c r="B7" s="14"/>
      <c r="C7" s="1555" t="s">
        <v>502</v>
      </c>
      <c r="D7" s="1555"/>
      <c r="E7" s="1555"/>
      <c r="F7" s="1555"/>
      <c r="G7" s="1555"/>
      <c r="H7" s="1555"/>
      <c r="I7" s="1555"/>
      <c r="J7" s="1555"/>
      <c r="K7" s="1555"/>
      <c r="L7" s="1555"/>
      <c r="M7" s="1555"/>
      <c r="N7" s="1555"/>
      <c r="O7" s="1555"/>
      <c r="P7" s="1555"/>
      <c r="Q7" s="7"/>
    </row>
    <row r="8" spans="1:17" x14ac:dyDescent="0.25">
      <c r="A8" s="8" t="s">
        <v>6</v>
      </c>
      <c r="B8" s="9"/>
      <c r="C8" s="1553" t="s">
        <v>503</v>
      </c>
      <c r="D8" s="1553"/>
      <c r="E8" s="1553"/>
      <c r="F8" s="1553"/>
      <c r="G8" s="1553"/>
      <c r="H8" s="1553"/>
      <c r="I8" s="1553"/>
      <c r="J8" s="1553"/>
      <c r="K8" s="1553"/>
      <c r="L8" s="1553"/>
      <c r="M8" s="1553"/>
      <c r="N8" s="1553"/>
      <c r="O8" s="1553"/>
      <c r="P8" s="1553"/>
      <c r="Q8" s="7"/>
    </row>
    <row r="9" spans="1:17" x14ac:dyDescent="0.25">
      <c r="A9" s="8" t="s">
        <v>8</v>
      </c>
      <c r="B9" s="9"/>
      <c r="C9" s="1553" t="s">
        <v>518</v>
      </c>
      <c r="D9" s="1553"/>
      <c r="E9" s="1553"/>
      <c r="F9" s="1553"/>
      <c r="G9" s="1553"/>
      <c r="H9" s="1553"/>
      <c r="I9" s="1553"/>
      <c r="J9" s="1553"/>
      <c r="K9" s="1553"/>
      <c r="L9" s="1553"/>
      <c r="M9" s="1553"/>
      <c r="N9" s="1553"/>
      <c r="O9" s="1553"/>
      <c r="P9" s="1553"/>
      <c r="Q9" s="7"/>
    </row>
    <row r="10" spans="1:17" x14ac:dyDescent="0.25">
      <c r="A10" s="8" t="s">
        <v>10</v>
      </c>
      <c r="B10" s="9"/>
      <c r="C10" s="1555" t="s">
        <v>519</v>
      </c>
      <c r="D10" s="1555"/>
      <c r="E10" s="1555"/>
      <c r="F10" s="1555"/>
      <c r="G10" s="1555"/>
      <c r="H10" s="1555"/>
      <c r="I10" s="1555"/>
      <c r="J10" s="1555"/>
      <c r="K10" s="1555"/>
      <c r="L10" s="1555"/>
      <c r="M10" s="1555"/>
      <c r="N10" s="1555"/>
      <c r="O10" s="1555"/>
      <c r="P10" s="1555"/>
      <c r="Q10" s="7"/>
    </row>
    <row r="11" spans="1:17" x14ac:dyDescent="0.25">
      <c r="A11" s="8" t="s">
        <v>12</v>
      </c>
      <c r="B11" s="9"/>
      <c r="C11" s="1555"/>
      <c r="D11" s="1555"/>
      <c r="E11" s="1555"/>
      <c r="F11" s="1555"/>
      <c r="G11" s="1555"/>
      <c r="H11" s="1555"/>
      <c r="I11" s="1555"/>
      <c r="J11" s="1555"/>
      <c r="K11" s="1555"/>
      <c r="L11" s="1555"/>
      <c r="M11" s="1555"/>
      <c r="N11" s="1555"/>
      <c r="O11" s="1555"/>
      <c r="P11" s="1555"/>
      <c r="Q11" s="7"/>
    </row>
    <row r="12" spans="1:17" x14ac:dyDescent="0.25">
      <c r="A12" s="15" t="s">
        <v>14</v>
      </c>
      <c r="B12" s="9"/>
      <c r="C12" s="16"/>
      <c r="D12" s="16"/>
      <c r="E12" s="16"/>
      <c r="F12" s="16"/>
      <c r="G12" s="16"/>
      <c r="H12" s="16"/>
      <c r="I12" s="16"/>
      <c r="J12" s="16"/>
      <c r="K12" s="16"/>
      <c r="L12" s="16"/>
      <c r="M12" s="16"/>
      <c r="N12" s="16"/>
      <c r="O12" s="16"/>
      <c r="P12" s="624"/>
      <c r="Q12" s="7"/>
    </row>
    <row r="13" spans="1:17" x14ac:dyDescent="0.25">
      <c r="A13" s="8"/>
      <c r="B13" s="9" t="s">
        <v>15</v>
      </c>
      <c r="C13" s="1553" t="s">
        <v>510</v>
      </c>
      <c r="D13" s="1553"/>
      <c r="E13" s="1553"/>
      <c r="F13" s="1553"/>
      <c r="G13" s="1553"/>
      <c r="H13" s="1553"/>
      <c r="I13" s="1553"/>
      <c r="J13" s="1553"/>
      <c r="K13" s="1553"/>
      <c r="L13" s="1553"/>
      <c r="M13" s="1553"/>
      <c r="N13" s="1553"/>
      <c r="O13" s="1553"/>
      <c r="P13" s="1553"/>
      <c r="Q13" s="7"/>
    </row>
    <row r="14" spans="1:17" x14ac:dyDescent="0.25">
      <c r="A14" s="8"/>
      <c r="B14" s="9" t="s">
        <v>17</v>
      </c>
      <c r="C14" s="1553"/>
      <c r="D14" s="1553"/>
      <c r="E14" s="1553"/>
      <c r="F14" s="1553"/>
      <c r="G14" s="1553"/>
      <c r="H14" s="1553"/>
      <c r="I14" s="1553"/>
      <c r="J14" s="1553"/>
      <c r="K14" s="1553"/>
      <c r="L14" s="1553"/>
      <c r="M14" s="1553"/>
      <c r="N14" s="1553"/>
      <c r="O14" s="1553"/>
      <c r="P14" s="1553"/>
      <c r="Q14" s="7"/>
    </row>
    <row r="15" spans="1:17" x14ac:dyDescent="0.25">
      <c r="A15" s="8"/>
      <c r="B15" s="9" t="s">
        <v>19</v>
      </c>
      <c r="C15" s="1553"/>
      <c r="D15" s="1553"/>
      <c r="E15" s="1553"/>
      <c r="F15" s="1553"/>
      <c r="G15" s="1553"/>
      <c r="H15" s="1553"/>
      <c r="I15" s="1553"/>
      <c r="J15" s="1553"/>
      <c r="K15" s="1553"/>
      <c r="L15" s="1553"/>
      <c r="M15" s="1553"/>
      <c r="N15" s="1553"/>
      <c r="O15" s="1553"/>
      <c r="P15" s="1553"/>
      <c r="Q15" s="7"/>
    </row>
    <row r="16" spans="1:17" x14ac:dyDescent="0.25">
      <c r="A16" s="8"/>
      <c r="B16" s="9" t="s">
        <v>20</v>
      </c>
      <c r="C16" s="1553"/>
      <c r="D16" s="1553"/>
      <c r="E16" s="1553"/>
      <c r="F16" s="1553"/>
      <c r="G16" s="1553"/>
      <c r="H16" s="1553"/>
      <c r="I16" s="1553"/>
      <c r="J16" s="1553"/>
      <c r="K16" s="1553"/>
      <c r="L16" s="1553"/>
      <c r="M16" s="1553"/>
      <c r="N16" s="1553"/>
      <c r="O16" s="1553"/>
      <c r="P16" s="1553"/>
      <c r="Q16" s="7"/>
    </row>
    <row r="17" spans="1:18" x14ac:dyDescent="0.25">
      <c r="A17" s="8"/>
      <c r="B17" s="9" t="s">
        <v>22</v>
      </c>
      <c r="C17" s="1553"/>
      <c r="D17" s="1553"/>
      <c r="E17" s="1553"/>
      <c r="F17" s="1553"/>
      <c r="G17" s="1553"/>
      <c r="H17" s="1553"/>
      <c r="I17" s="1553"/>
      <c r="J17" s="1553"/>
      <c r="K17" s="1553"/>
      <c r="L17" s="1553"/>
      <c r="M17" s="1553"/>
      <c r="N17" s="1553"/>
      <c r="O17" s="1553"/>
      <c r="P17" s="1553"/>
      <c r="Q17" s="7"/>
    </row>
    <row r="18" spans="1:18" x14ac:dyDescent="0.25">
      <c r="A18" s="18"/>
      <c r="B18" s="19"/>
      <c r="C18" s="1569"/>
      <c r="D18" s="1569"/>
      <c r="E18" s="1569"/>
      <c r="F18" s="1569"/>
      <c r="G18" s="1569"/>
      <c r="H18" s="1569"/>
      <c r="I18" s="1569"/>
      <c r="J18" s="1569"/>
      <c r="K18" s="1569"/>
      <c r="L18" s="1569"/>
      <c r="M18" s="1569"/>
      <c r="N18" s="1569"/>
      <c r="O18" s="1569"/>
      <c r="P18" s="1569"/>
      <c r="Q18" s="7"/>
    </row>
    <row r="19" spans="1:18"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18"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18" s="21" customFormat="1" ht="70.5" customHeight="1" thickBot="1" x14ac:dyDescent="0.3">
      <c r="A21" s="1573"/>
      <c r="B21" s="1576"/>
      <c r="C21" s="1581"/>
      <c r="D21" s="1566"/>
      <c r="E21" s="1568"/>
      <c r="F21" s="1564"/>
      <c r="G21" s="1566"/>
      <c r="H21" s="1568"/>
      <c r="I21" s="1564"/>
      <c r="J21" s="1566"/>
      <c r="K21" s="1568"/>
      <c r="L21" s="1564"/>
      <c r="M21" s="1566"/>
      <c r="N21" s="1568"/>
      <c r="O21" s="1564"/>
      <c r="P21" s="1576"/>
    </row>
    <row r="22" spans="1:18" s="21" customFormat="1" ht="9" thickTop="1" x14ac:dyDescent="0.25">
      <c r="A22" s="22" t="s">
        <v>40</v>
      </c>
      <c r="B22" s="22">
        <v>2</v>
      </c>
      <c r="C22" s="22">
        <v>3</v>
      </c>
      <c r="D22" s="24">
        <v>4</v>
      </c>
      <c r="E22" s="29">
        <v>5</v>
      </c>
      <c r="F22" s="27">
        <v>4</v>
      </c>
      <c r="G22" s="24">
        <v>7</v>
      </c>
      <c r="H22" s="26">
        <v>8</v>
      </c>
      <c r="I22" s="27">
        <v>5</v>
      </c>
      <c r="J22" s="24">
        <v>10</v>
      </c>
      <c r="K22" s="28">
        <v>11</v>
      </c>
      <c r="L22" s="27">
        <v>6</v>
      </c>
      <c r="M22" s="28">
        <v>13</v>
      </c>
      <c r="N22" s="29">
        <v>14</v>
      </c>
      <c r="O22" s="27">
        <v>7</v>
      </c>
      <c r="P22" s="27">
        <v>16</v>
      </c>
    </row>
    <row r="23" spans="1:18" s="41" customFormat="1" x14ac:dyDescent="0.25">
      <c r="A23" s="30"/>
      <c r="B23" s="31" t="s">
        <v>41</v>
      </c>
      <c r="C23" s="35"/>
      <c r="D23" s="33"/>
      <c r="E23" s="39"/>
      <c r="F23" s="37"/>
      <c r="G23" s="33"/>
      <c r="H23" s="36"/>
      <c r="I23" s="37"/>
      <c r="J23" s="33"/>
      <c r="K23" s="38"/>
      <c r="L23" s="37"/>
      <c r="M23" s="38"/>
      <c r="N23" s="39"/>
      <c r="O23" s="37"/>
      <c r="P23" s="40"/>
    </row>
    <row r="24" spans="1:18" s="41" customFormat="1" ht="12.75" thickBot="1" x14ac:dyDescent="0.3">
      <c r="A24" s="42"/>
      <c r="B24" s="43" t="s">
        <v>42</v>
      </c>
      <c r="C24" s="47">
        <f>F24+I24+L24+O24</f>
        <v>1748750</v>
      </c>
      <c r="D24" s="45">
        <f>SUM(D25,D28,D29,D45,D46)</f>
        <v>1739844</v>
      </c>
      <c r="E24" s="51">
        <f>SUM(E25,E28,E29,E45,E46)</f>
        <v>8906</v>
      </c>
      <c r="F24" s="49">
        <f t="shared" ref="F24:F29" si="0">D24+E24</f>
        <v>1748750</v>
      </c>
      <c r="G24" s="45">
        <f>SUM(G25,G28,G46)</f>
        <v>0</v>
      </c>
      <c r="H24" s="48">
        <f>SUM(H25,H28,H46)</f>
        <v>0</v>
      </c>
      <c r="I24" s="49">
        <f>G24+H24</f>
        <v>0</v>
      </c>
      <c r="J24" s="45">
        <f>SUM(J25,J30,J46)</f>
        <v>0</v>
      </c>
      <c r="K24" s="48">
        <f>SUM(K25,K30,K46)</f>
        <v>0</v>
      </c>
      <c r="L24" s="49">
        <f>J24+K24</f>
        <v>0</v>
      </c>
      <c r="M24" s="50">
        <f>SUM(M25,M48)</f>
        <v>0</v>
      </c>
      <c r="N24" s="51">
        <f>SUM(N25,N48)</f>
        <v>0</v>
      </c>
      <c r="O24" s="49">
        <f>M24+N24</f>
        <v>0</v>
      </c>
      <c r="P24" s="52"/>
      <c r="R24" s="53"/>
    </row>
    <row r="25" spans="1:18" ht="12.75" hidden="1" thickTop="1" x14ac:dyDescent="0.25">
      <c r="A25" s="54"/>
      <c r="B25" s="55" t="s">
        <v>43</v>
      </c>
      <c r="C25" s="59">
        <f>F25+I25+L25+O25</f>
        <v>0</v>
      </c>
      <c r="D25" s="57">
        <f>SUM(D26:D27)</f>
        <v>0</v>
      </c>
      <c r="E25" s="63">
        <f>SUM(E26:E27)</f>
        <v>0</v>
      </c>
      <c r="F25" s="61">
        <f t="shared" si="0"/>
        <v>0</v>
      </c>
      <c r="G25" s="57">
        <f>SUM(G26:G27)</f>
        <v>0</v>
      </c>
      <c r="H25" s="60">
        <f>SUM(H26:H27)</f>
        <v>0</v>
      </c>
      <c r="I25" s="61">
        <f>G25+H25</f>
        <v>0</v>
      </c>
      <c r="J25" s="57">
        <f>SUM(J26:J27)</f>
        <v>0</v>
      </c>
      <c r="K25" s="60">
        <f>SUM(K26:K27)</f>
        <v>0</v>
      </c>
      <c r="L25" s="61">
        <f>J25+K25</f>
        <v>0</v>
      </c>
      <c r="M25" s="62">
        <f>SUM(M26:M27)</f>
        <v>0</v>
      </c>
      <c r="N25" s="63">
        <f>SUM(N26:N27)</f>
        <v>0</v>
      </c>
      <c r="O25" s="61">
        <f>M25+N25</f>
        <v>0</v>
      </c>
      <c r="P25" s="64"/>
      <c r="R25" s="53"/>
    </row>
    <row r="26" spans="1:18" ht="12.75" hidden="1" thickTop="1" x14ac:dyDescent="0.25">
      <c r="A26" s="65"/>
      <c r="B26" s="66" t="s">
        <v>44</v>
      </c>
      <c r="C26" s="625">
        <f>F26+I26+L26+O26</f>
        <v>0</v>
      </c>
      <c r="D26" s="68"/>
      <c r="E26" s="69"/>
      <c r="F26" s="72">
        <f t="shared" si="0"/>
        <v>0</v>
      </c>
      <c r="G26" s="68"/>
      <c r="H26" s="71"/>
      <c r="I26" s="72">
        <f>G26+H26</f>
        <v>0</v>
      </c>
      <c r="J26" s="68"/>
      <c r="K26" s="71"/>
      <c r="L26" s="72">
        <f>J26+K26</f>
        <v>0</v>
      </c>
      <c r="M26" s="73"/>
      <c r="N26" s="69"/>
      <c r="O26" s="72">
        <f>M26+N26</f>
        <v>0</v>
      </c>
      <c r="P26" s="74"/>
      <c r="R26" s="53"/>
    </row>
    <row r="27" spans="1:18" ht="12.75" hidden="1" thickTop="1" x14ac:dyDescent="0.25">
      <c r="A27" s="75"/>
      <c r="B27" s="76" t="s">
        <v>45</v>
      </c>
      <c r="C27" s="80">
        <f>F27+I27+L27+O27</f>
        <v>0</v>
      </c>
      <c r="D27" s="78"/>
      <c r="E27" s="84"/>
      <c r="F27" s="82">
        <f t="shared" si="0"/>
        <v>0</v>
      </c>
      <c r="G27" s="78"/>
      <c r="H27" s="81"/>
      <c r="I27" s="82">
        <f>G27+H27</f>
        <v>0</v>
      </c>
      <c r="J27" s="78"/>
      <c r="K27" s="81"/>
      <c r="L27" s="82">
        <f>J27+K27</f>
        <v>0</v>
      </c>
      <c r="M27" s="83"/>
      <c r="N27" s="84"/>
      <c r="O27" s="82">
        <f>M27+N27</f>
        <v>0</v>
      </c>
      <c r="P27" s="85"/>
      <c r="R27" s="53"/>
    </row>
    <row r="28" spans="1:18" s="41" customFormat="1" ht="25.5" thickTop="1" thickBot="1" x14ac:dyDescent="0.3">
      <c r="A28" s="86">
        <v>19300</v>
      </c>
      <c r="B28" s="86" t="s">
        <v>46</v>
      </c>
      <c r="C28" s="90">
        <f>SUM(F28,I28)</f>
        <v>1748750</v>
      </c>
      <c r="D28" s="88">
        <v>1739844</v>
      </c>
      <c r="E28" s="434">
        <f>E54</f>
        <v>8906</v>
      </c>
      <c r="F28" s="92">
        <f>D28+E28</f>
        <v>1748750</v>
      </c>
      <c r="G28" s="88"/>
      <c r="H28" s="91"/>
      <c r="I28" s="92">
        <f>G28+H28</f>
        <v>0</v>
      </c>
      <c r="J28" s="93" t="s">
        <v>47</v>
      </c>
      <c r="K28" s="94" t="s">
        <v>47</v>
      </c>
      <c r="L28" s="95" t="s">
        <v>47</v>
      </c>
      <c r="M28" s="96" t="s">
        <v>47</v>
      </c>
      <c r="N28" s="97" t="s">
        <v>47</v>
      </c>
      <c r="O28" s="95" t="s">
        <v>47</v>
      </c>
      <c r="P28" s="98"/>
      <c r="R28" s="53"/>
    </row>
    <row r="29" spans="1:18" s="41" customFormat="1" ht="41.25" hidden="1" customHeight="1" thickTop="1" x14ac:dyDescent="0.25">
      <c r="A29" s="99"/>
      <c r="B29" s="99" t="s">
        <v>48</v>
      </c>
      <c r="C29" s="249">
        <f>F29</f>
        <v>0</v>
      </c>
      <c r="D29" s="101"/>
      <c r="E29" s="102"/>
      <c r="F29" s="177">
        <f t="shared" si="0"/>
        <v>0</v>
      </c>
      <c r="G29" s="104" t="s">
        <v>47</v>
      </c>
      <c r="H29" s="105" t="s">
        <v>47</v>
      </c>
      <c r="I29" s="106" t="s">
        <v>47</v>
      </c>
      <c r="J29" s="104" t="s">
        <v>47</v>
      </c>
      <c r="K29" s="105" t="s">
        <v>47</v>
      </c>
      <c r="L29" s="106" t="s">
        <v>47</v>
      </c>
      <c r="M29" s="107" t="s">
        <v>47</v>
      </c>
      <c r="N29" s="108" t="s">
        <v>47</v>
      </c>
      <c r="O29" s="106" t="s">
        <v>47</v>
      </c>
      <c r="P29" s="109"/>
      <c r="R29" s="53"/>
    </row>
    <row r="30" spans="1:18" s="41" customFormat="1" ht="24.75" hidden="1" thickTop="1" x14ac:dyDescent="0.25">
      <c r="A30" s="99">
        <v>21300</v>
      </c>
      <c r="B30" s="99" t="s">
        <v>49</v>
      </c>
      <c r="C30" s="249">
        <f t="shared" ref="C30:C44" si="1">L30</f>
        <v>0</v>
      </c>
      <c r="D30" s="104" t="s">
        <v>47</v>
      </c>
      <c r="E30" s="108" t="s">
        <v>47</v>
      </c>
      <c r="F30" s="106" t="s">
        <v>47</v>
      </c>
      <c r="G30" s="104" t="s">
        <v>47</v>
      </c>
      <c r="H30" s="105" t="s">
        <v>47</v>
      </c>
      <c r="I30" s="106" t="s">
        <v>47</v>
      </c>
      <c r="J30" s="112">
        <f>SUM(J31,J35,J37,J40)</f>
        <v>0</v>
      </c>
      <c r="K30" s="113">
        <f>SUM(K31,K35,K37,K40)</f>
        <v>0</v>
      </c>
      <c r="L30" s="114">
        <f t="shared" ref="L30:L44" si="2">J30+K30</f>
        <v>0</v>
      </c>
      <c r="M30" s="107" t="s">
        <v>47</v>
      </c>
      <c r="N30" s="108" t="s">
        <v>47</v>
      </c>
      <c r="O30" s="106" t="s">
        <v>47</v>
      </c>
      <c r="P30" s="109"/>
      <c r="R30" s="53"/>
    </row>
    <row r="31" spans="1:18" s="41" customFormat="1" ht="12.75" hidden="1" thickTop="1" x14ac:dyDescent="0.25">
      <c r="A31" s="115">
        <v>21350</v>
      </c>
      <c r="B31" s="99" t="s">
        <v>50</v>
      </c>
      <c r="C31" s="249">
        <f t="shared" si="1"/>
        <v>0</v>
      </c>
      <c r="D31" s="104" t="s">
        <v>47</v>
      </c>
      <c r="E31" s="108" t="s">
        <v>47</v>
      </c>
      <c r="F31" s="106" t="s">
        <v>47</v>
      </c>
      <c r="G31" s="104" t="s">
        <v>47</v>
      </c>
      <c r="H31" s="105" t="s">
        <v>47</v>
      </c>
      <c r="I31" s="106" t="s">
        <v>47</v>
      </c>
      <c r="J31" s="112">
        <f>SUM(J32:J34)</f>
        <v>0</v>
      </c>
      <c r="K31" s="113">
        <f>SUM(K32:K34)</f>
        <v>0</v>
      </c>
      <c r="L31" s="114">
        <f t="shared" si="2"/>
        <v>0</v>
      </c>
      <c r="M31" s="107" t="s">
        <v>47</v>
      </c>
      <c r="N31" s="108" t="s">
        <v>47</v>
      </c>
      <c r="O31" s="106" t="s">
        <v>47</v>
      </c>
      <c r="P31" s="109"/>
      <c r="R31" s="53"/>
    </row>
    <row r="32" spans="1:18" ht="12.75" hidden="1" thickTop="1" x14ac:dyDescent="0.25">
      <c r="A32" s="65">
        <v>21351</v>
      </c>
      <c r="B32" s="116" t="s">
        <v>51</v>
      </c>
      <c r="C32" s="296">
        <f t="shared" si="1"/>
        <v>0</v>
      </c>
      <c r="D32" s="118" t="s">
        <v>47</v>
      </c>
      <c r="E32" s="119" t="s">
        <v>47</v>
      </c>
      <c r="F32" s="122" t="s">
        <v>47</v>
      </c>
      <c r="G32" s="118" t="s">
        <v>47</v>
      </c>
      <c r="H32" s="121" t="s">
        <v>47</v>
      </c>
      <c r="I32" s="122" t="s">
        <v>47</v>
      </c>
      <c r="J32" s="123"/>
      <c r="K32" s="124"/>
      <c r="L32" s="125">
        <f t="shared" si="2"/>
        <v>0</v>
      </c>
      <c r="M32" s="126" t="s">
        <v>47</v>
      </c>
      <c r="N32" s="119" t="s">
        <v>47</v>
      </c>
      <c r="O32" s="122" t="s">
        <v>47</v>
      </c>
      <c r="P32" s="74"/>
      <c r="R32" s="53"/>
    </row>
    <row r="33" spans="1:18" ht="12.75" hidden="1" thickTop="1" x14ac:dyDescent="0.25">
      <c r="A33" s="75">
        <v>21352</v>
      </c>
      <c r="B33" s="127" t="s">
        <v>52</v>
      </c>
      <c r="C33" s="279">
        <f t="shared" si="1"/>
        <v>0</v>
      </c>
      <c r="D33" s="129" t="s">
        <v>47</v>
      </c>
      <c r="E33" s="138" t="s">
        <v>47</v>
      </c>
      <c r="F33" s="133" t="s">
        <v>47</v>
      </c>
      <c r="G33" s="129" t="s">
        <v>47</v>
      </c>
      <c r="H33" s="132" t="s">
        <v>47</v>
      </c>
      <c r="I33" s="133" t="s">
        <v>47</v>
      </c>
      <c r="J33" s="134"/>
      <c r="K33" s="135"/>
      <c r="L33" s="136">
        <f t="shared" si="2"/>
        <v>0</v>
      </c>
      <c r="M33" s="137" t="s">
        <v>47</v>
      </c>
      <c r="N33" s="138" t="s">
        <v>47</v>
      </c>
      <c r="O33" s="133" t="s">
        <v>47</v>
      </c>
      <c r="P33" s="85"/>
      <c r="R33" s="53"/>
    </row>
    <row r="34" spans="1:18" ht="24.75" hidden="1" thickTop="1" x14ac:dyDescent="0.25">
      <c r="A34" s="75">
        <v>21359</v>
      </c>
      <c r="B34" s="127" t="s">
        <v>53</v>
      </c>
      <c r="C34" s="279">
        <f t="shared" si="1"/>
        <v>0</v>
      </c>
      <c r="D34" s="129" t="s">
        <v>47</v>
      </c>
      <c r="E34" s="138" t="s">
        <v>47</v>
      </c>
      <c r="F34" s="133" t="s">
        <v>47</v>
      </c>
      <c r="G34" s="129" t="s">
        <v>47</v>
      </c>
      <c r="H34" s="132" t="s">
        <v>47</v>
      </c>
      <c r="I34" s="133" t="s">
        <v>47</v>
      </c>
      <c r="J34" s="134"/>
      <c r="K34" s="135"/>
      <c r="L34" s="136">
        <f t="shared" si="2"/>
        <v>0</v>
      </c>
      <c r="M34" s="137" t="s">
        <v>47</v>
      </c>
      <c r="N34" s="138" t="s">
        <v>47</v>
      </c>
      <c r="O34" s="133" t="s">
        <v>47</v>
      </c>
      <c r="P34" s="85"/>
      <c r="R34" s="53"/>
    </row>
    <row r="35" spans="1:18" s="41" customFormat="1" ht="24.75" hidden="1" thickTop="1" x14ac:dyDescent="0.25">
      <c r="A35" s="115">
        <v>21370</v>
      </c>
      <c r="B35" s="99" t="s">
        <v>54</v>
      </c>
      <c r="C35" s="249">
        <f t="shared" si="1"/>
        <v>0</v>
      </c>
      <c r="D35" s="104" t="s">
        <v>47</v>
      </c>
      <c r="E35" s="108" t="s">
        <v>47</v>
      </c>
      <c r="F35" s="106" t="s">
        <v>47</v>
      </c>
      <c r="G35" s="104" t="s">
        <v>47</v>
      </c>
      <c r="H35" s="105" t="s">
        <v>47</v>
      </c>
      <c r="I35" s="106" t="s">
        <v>47</v>
      </c>
      <c r="J35" s="112">
        <f>SUM(J36)</f>
        <v>0</v>
      </c>
      <c r="K35" s="113">
        <f>SUM(K36)</f>
        <v>0</v>
      </c>
      <c r="L35" s="114">
        <f t="shared" si="2"/>
        <v>0</v>
      </c>
      <c r="M35" s="107" t="s">
        <v>47</v>
      </c>
      <c r="N35" s="108" t="s">
        <v>47</v>
      </c>
      <c r="O35" s="106" t="s">
        <v>47</v>
      </c>
      <c r="P35" s="109"/>
      <c r="R35" s="53"/>
    </row>
    <row r="36" spans="1:18" ht="36.75" hidden="1" thickTop="1" x14ac:dyDescent="0.25">
      <c r="A36" s="141">
        <v>21379</v>
      </c>
      <c r="B36" s="142" t="s">
        <v>55</v>
      </c>
      <c r="C36" s="362">
        <f t="shared" si="1"/>
        <v>0</v>
      </c>
      <c r="D36" s="144" t="s">
        <v>47</v>
      </c>
      <c r="E36" s="145" t="s">
        <v>47</v>
      </c>
      <c r="F36" s="148" t="s">
        <v>47</v>
      </c>
      <c r="G36" s="144" t="s">
        <v>47</v>
      </c>
      <c r="H36" s="147" t="s">
        <v>47</v>
      </c>
      <c r="I36" s="148" t="s">
        <v>47</v>
      </c>
      <c r="J36" s="149"/>
      <c r="K36" s="150"/>
      <c r="L36" s="151">
        <f t="shared" si="2"/>
        <v>0</v>
      </c>
      <c r="M36" s="152" t="s">
        <v>47</v>
      </c>
      <c r="N36" s="145" t="s">
        <v>47</v>
      </c>
      <c r="O36" s="148" t="s">
        <v>47</v>
      </c>
      <c r="P36" s="153"/>
      <c r="R36" s="53"/>
    </row>
    <row r="37" spans="1:18" s="41" customFormat="1" ht="12.75" hidden="1" thickTop="1" x14ac:dyDescent="0.25">
      <c r="A37" s="115">
        <v>21380</v>
      </c>
      <c r="B37" s="99" t="s">
        <v>56</v>
      </c>
      <c r="C37" s="249">
        <f t="shared" si="1"/>
        <v>0</v>
      </c>
      <c r="D37" s="104" t="s">
        <v>47</v>
      </c>
      <c r="E37" s="108" t="s">
        <v>47</v>
      </c>
      <c r="F37" s="106" t="s">
        <v>47</v>
      </c>
      <c r="G37" s="104" t="s">
        <v>47</v>
      </c>
      <c r="H37" s="105" t="s">
        <v>47</v>
      </c>
      <c r="I37" s="106" t="s">
        <v>47</v>
      </c>
      <c r="J37" s="112">
        <f>SUM(J38:J39)</f>
        <v>0</v>
      </c>
      <c r="K37" s="113">
        <f>SUM(K38:K39)</f>
        <v>0</v>
      </c>
      <c r="L37" s="114">
        <f t="shared" si="2"/>
        <v>0</v>
      </c>
      <c r="M37" s="107" t="s">
        <v>47</v>
      </c>
      <c r="N37" s="108" t="s">
        <v>47</v>
      </c>
      <c r="O37" s="106" t="s">
        <v>47</v>
      </c>
      <c r="P37" s="109"/>
      <c r="R37" s="53"/>
    </row>
    <row r="38" spans="1:18" ht="12.75" hidden="1" thickTop="1" x14ac:dyDescent="0.25">
      <c r="A38" s="66">
        <v>21381</v>
      </c>
      <c r="B38" s="116" t="s">
        <v>57</v>
      </c>
      <c r="C38" s="296">
        <f t="shared" si="1"/>
        <v>0</v>
      </c>
      <c r="D38" s="118" t="s">
        <v>47</v>
      </c>
      <c r="E38" s="119" t="s">
        <v>47</v>
      </c>
      <c r="F38" s="122" t="s">
        <v>47</v>
      </c>
      <c r="G38" s="118" t="s">
        <v>47</v>
      </c>
      <c r="H38" s="121" t="s">
        <v>47</v>
      </c>
      <c r="I38" s="122" t="s">
        <v>47</v>
      </c>
      <c r="J38" s="123"/>
      <c r="K38" s="124"/>
      <c r="L38" s="125">
        <f t="shared" si="2"/>
        <v>0</v>
      </c>
      <c r="M38" s="126" t="s">
        <v>47</v>
      </c>
      <c r="N38" s="119" t="s">
        <v>47</v>
      </c>
      <c r="O38" s="122" t="s">
        <v>47</v>
      </c>
      <c r="P38" s="74"/>
      <c r="R38" s="53"/>
    </row>
    <row r="39" spans="1:18" ht="24.75" hidden="1" thickTop="1" x14ac:dyDescent="0.25">
      <c r="A39" s="76">
        <v>21383</v>
      </c>
      <c r="B39" s="127" t="s">
        <v>58</v>
      </c>
      <c r="C39" s="279">
        <f t="shared" si="1"/>
        <v>0</v>
      </c>
      <c r="D39" s="129" t="s">
        <v>47</v>
      </c>
      <c r="E39" s="138" t="s">
        <v>47</v>
      </c>
      <c r="F39" s="133" t="s">
        <v>47</v>
      </c>
      <c r="G39" s="129" t="s">
        <v>47</v>
      </c>
      <c r="H39" s="132" t="s">
        <v>47</v>
      </c>
      <c r="I39" s="133" t="s">
        <v>47</v>
      </c>
      <c r="J39" s="134"/>
      <c r="K39" s="135"/>
      <c r="L39" s="136">
        <f t="shared" si="2"/>
        <v>0</v>
      </c>
      <c r="M39" s="137" t="s">
        <v>47</v>
      </c>
      <c r="N39" s="138" t="s">
        <v>47</v>
      </c>
      <c r="O39" s="133" t="s">
        <v>47</v>
      </c>
      <c r="P39" s="85"/>
      <c r="R39" s="53"/>
    </row>
    <row r="40" spans="1:18" s="41" customFormat="1" ht="24.75" hidden="1" thickTop="1" x14ac:dyDescent="0.25">
      <c r="A40" s="115">
        <v>21390</v>
      </c>
      <c r="B40" s="99" t="s">
        <v>59</v>
      </c>
      <c r="C40" s="249">
        <f t="shared" si="1"/>
        <v>0</v>
      </c>
      <c r="D40" s="104" t="s">
        <v>47</v>
      </c>
      <c r="E40" s="108" t="s">
        <v>47</v>
      </c>
      <c r="F40" s="106" t="s">
        <v>47</v>
      </c>
      <c r="G40" s="104" t="s">
        <v>47</v>
      </c>
      <c r="H40" s="105" t="s">
        <v>47</v>
      </c>
      <c r="I40" s="106" t="s">
        <v>47</v>
      </c>
      <c r="J40" s="112">
        <f>SUM(J41:J44)</f>
        <v>0</v>
      </c>
      <c r="K40" s="113">
        <f>SUM(K41:K44)</f>
        <v>0</v>
      </c>
      <c r="L40" s="114">
        <f t="shared" si="2"/>
        <v>0</v>
      </c>
      <c r="M40" s="107" t="s">
        <v>47</v>
      </c>
      <c r="N40" s="108" t="s">
        <v>47</v>
      </c>
      <c r="O40" s="106" t="s">
        <v>47</v>
      </c>
      <c r="P40" s="109"/>
      <c r="R40" s="53"/>
    </row>
    <row r="41" spans="1:18" ht="24.75" hidden="1" thickTop="1" x14ac:dyDescent="0.25">
      <c r="A41" s="66">
        <v>21391</v>
      </c>
      <c r="B41" s="116" t="s">
        <v>60</v>
      </c>
      <c r="C41" s="296">
        <f t="shared" si="1"/>
        <v>0</v>
      </c>
      <c r="D41" s="118" t="s">
        <v>47</v>
      </c>
      <c r="E41" s="119" t="s">
        <v>47</v>
      </c>
      <c r="F41" s="122" t="s">
        <v>47</v>
      </c>
      <c r="G41" s="118" t="s">
        <v>47</v>
      </c>
      <c r="H41" s="121" t="s">
        <v>47</v>
      </c>
      <c r="I41" s="122" t="s">
        <v>47</v>
      </c>
      <c r="J41" s="123"/>
      <c r="K41" s="124"/>
      <c r="L41" s="125">
        <f t="shared" si="2"/>
        <v>0</v>
      </c>
      <c r="M41" s="126" t="s">
        <v>47</v>
      </c>
      <c r="N41" s="119" t="s">
        <v>47</v>
      </c>
      <c r="O41" s="122" t="s">
        <v>47</v>
      </c>
      <c r="P41" s="74"/>
      <c r="R41" s="53"/>
    </row>
    <row r="42" spans="1:18" ht="12.75" hidden="1" thickTop="1" x14ac:dyDescent="0.25">
      <c r="A42" s="76">
        <v>21393</v>
      </c>
      <c r="B42" s="127" t="s">
        <v>61</v>
      </c>
      <c r="C42" s="279">
        <f t="shared" si="1"/>
        <v>0</v>
      </c>
      <c r="D42" s="129" t="s">
        <v>47</v>
      </c>
      <c r="E42" s="138" t="s">
        <v>47</v>
      </c>
      <c r="F42" s="133" t="s">
        <v>47</v>
      </c>
      <c r="G42" s="129" t="s">
        <v>47</v>
      </c>
      <c r="H42" s="132" t="s">
        <v>47</v>
      </c>
      <c r="I42" s="133" t="s">
        <v>47</v>
      </c>
      <c r="J42" s="134"/>
      <c r="K42" s="135"/>
      <c r="L42" s="136">
        <f t="shared" si="2"/>
        <v>0</v>
      </c>
      <c r="M42" s="137" t="s">
        <v>47</v>
      </c>
      <c r="N42" s="138" t="s">
        <v>47</v>
      </c>
      <c r="O42" s="133" t="s">
        <v>47</v>
      </c>
      <c r="P42" s="85"/>
      <c r="R42" s="53"/>
    </row>
    <row r="43" spans="1:18" ht="12.75" hidden="1" thickTop="1" x14ac:dyDescent="0.25">
      <c r="A43" s="76">
        <v>21395</v>
      </c>
      <c r="B43" s="127" t="s">
        <v>62</v>
      </c>
      <c r="C43" s="279">
        <f t="shared" si="1"/>
        <v>0</v>
      </c>
      <c r="D43" s="129" t="s">
        <v>47</v>
      </c>
      <c r="E43" s="138" t="s">
        <v>47</v>
      </c>
      <c r="F43" s="133" t="s">
        <v>47</v>
      </c>
      <c r="G43" s="129" t="s">
        <v>47</v>
      </c>
      <c r="H43" s="132" t="s">
        <v>47</v>
      </c>
      <c r="I43" s="133" t="s">
        <v>47</v>
      </c>
      <c r="J43" s="134"/>
      <c r="K43" s="135"/>
      <c r="L43" s="136">
        <f t="shared" si="2"/>
        <v>0</v>
      </c>
      <c r="M43" s="137" t="s">
        <v>47</v>
      </c>
      <c r="N43" s="138" t="s">
        <v>47</v>
      </c>
      <c r="O43" s="133" t="s">
        <v>47</v>
      </c>
      <c r="P43" s="85"/>
      <c r="R43" s="53"/>
    </row>
    <row r="44" spans="1:18" ht="12.75" hidden="1" thickTop="1" x14ac:dyDescent="0.25">
      <c r="A44" s="76">
        <v>21399</v>
      </c>
      <c r="B44" s="127" t="s">
        <v>63</v>
      </c>
      <c r="C44" s="279">
        <f t="shared" si="1"/>
        <v>0</v>
      </c>
      <c r="D44" s="129" t="s">
        <v>47</v>
      </c>
      <c r="E44" s="138" t="s">
        <v>47</v>
      </c>
      <c r="F44" s="133" t="s">
        <v>47</v>
      </c>
      <c r="G44" s="129" t="s">
        <v>47</v>
      </c>
      <c r="H44" s="132" t="s">
        <v>47</v>
      </c>
      <c r="I44" s="133" t="s">
        <v>47</v>
      </c>
      <c r="J44" s="134"/>
      <c r="K44" s="135"/>
      <c r="L44" s="136">
        <f t="shared" si="2"/>
        <v>0</v>
      </c>
      <c r="M44" s="137" t="s">
        <v>47</v>
      </c>
      <c r="N44" s="138" t="s">
        <v>47</v>
      </c>
      <c r="O44" s="133" t="s">
        <v>47</v>
      </c>
      <c r="P44" s="85"/>
      <c r="R44" s="53"/>
    </row>
    <row r="45" spans="1:18" s="41" customFormat="1" ht="24.75" hidden="1" thickTop="1" x14ac:dyDescent="0.25">
      <c r="A45" s="115">
        <v>21420</v>
      </c>
      <c r="B45" s="99" t="s">
        <v>64</v>
      </c>
      <c r="C45" s="634">
        <f>F45</f>
        <v>0</v>
      </c>
      <c r="D45" s="157"/>
      <c r="E45" s="158"/>
      <c r="F45" s="177">
        <f>D45+E45</f>
        <v>0</v>
      </c>
      <c r="G45" s="104" t="s">
        <v>47</v>
      </c>
      <c r="H45" s="105" t="s">
        <v>47</v>
      </c>
      <c r="I45" s="106" t="s">
        <v>47</v>
      </c>
      <c r="J45" s="104" t="s">
        <v>47</v>
      </c>
      <c r="K45" s="105" t="s">
        <v>47</v>
      </c>
      <c r="L45" s="106" t="s">
        <v>47</v>
      </c>
      <c r="M45" s="107" t="s">
        <v>47</v>
      </c>
      <c r="N45" s="108" t="s">
        <v>47</v>
      </c>
      <c r="O45" s="106" t="s">
        <v>47</v>
      </c>
      <c r="P45" s="109"/>
      <c r="R45" s="53"/>
    </row>
    <row r="46" spans="1:18" s="41" customFormat="1" ht="24.75" hidden="1" thickTop="1" x14ac:dyDescent="0.25">
      <c r="A46" s="159">
        <v>21490</v>
      </c>
      <c r="B46" s="160" t="s">
        <v>65</v>
      </c>
      <c r="C46" s="634">
        <f>F46+I46+L46</f>
        <v>0</v>
      </c>
      <c r="D46" s="161">
        <f>D47</f>
        <v>0</v>
      </c>
      <c r="E46" s="162">
        <f>E47</f>
        <v>0</v>
      </c>
      <c r="F46" s="165">
        <f>D46+E46</f>
        <v>0</v>
      </c>
      <c r="G46" s="161">
        <f>G47</f>
        <v>0</v>
      </c>
      <c r="H46" s="164">
        <f t="shared" ref="H46:K46" si="3">H47</f>
        <v>0</v>
      </c>
      <c r="I46" s="165">
        <f>G46+H46</f>
        <v>0</v>
      </c>
      <c r="J46" s="161">
        <f>J47</f>
        <v>0</v>
      </c>
      <c r="K46" s="164">
        <f t="shared" si="3"/>
        <v>0</v>
      </c>
      <c r="L46" s="165">
        <f>J46+K46</f>
        <v>0</v>
      </c>
      <c r="M46" s="107" t="s">
        <v>47</v>
      </c>
      <c r="N46" s="108" t="s">
        <v>47</v>
      </c>
      <c r="O46" s="106" t="s">
        <v>47</v>
      </c>
      <c r="P46" s="109"/>
      <c r="R46" s="53"/>
    </row>
    <row r="47" spans="1:18" s="41" customFormat="1" ht="24.75" hidden="1" thickTop="1" x14ac:dyDescent="0.25">
      <c r="A47" s="76">
        <v>21499</v>
      </c>
      <c r="B47" s="127" t="s">
        <v>66</v>
      </c>
      <c r="C47" s="638">
        <f>F47+I47+L47</f>
        <v>0</v>
      </c>
      <c r="D47" s="68"/>
      <c r="E47" s="69"/>
      <c r="F47" s="72">
        <f>D47+E47</f>
        <v>0</v>
      </c>
      <c r="G47" s="167"/>
      <c r="H47" s="71"/>
      <c r="I47" s="72">
        <f>G47+H47</f>
        <v>0</v>
      </c>
      <c r="J47" s="68"/>
      <c r="K47" s="71"/>
      <c r="L47" s="72">
        <f>J47+K47</f>
        <v>0</v>
      </c>
      <c r="M47" s="152" t="s">
        <v>47</v>
      </c>
      <c r="N47" s="145" t="s">
        <v>47</v>
      </c>
      <c r="O47" s="148" t="s">
        <v>47</v>
      </c>
      <c r="P47" s="153"/>
      <c r="R47" s="53"/>
    </row>
    <row r="48" spans="1:18" ht="12.75" hidden="1" thickTop="1" x14ac:dyDescent="0.25">
      <c r="A48" s="168">
        <v>23000</v>
      </c>
      <c r="B48" s="169" t="s">
        <v>67</v>
      </c>
      <c r="C48" s="634">
        <f>O48</f>
        <v>0</v>
      </c>
      <c r="D48" s="170" t="s">
        <v>47</v>
      </c>
      <c r="E48" s="171" t="s">
        <v>47</v>
      </c>
      <c r="F48" s="174" t="s">
        <v>47</v>
      </c>
      <c r="G48" s="170" t="s">
        <v>47</v>
      </c>
      <c r="H48" s="173" t="s">
        <v>47</v>
      </c>
      <c r="I48" s="174" t="s">
        <v>47</v>
      </c>
      <c r="J48" s="170" t="s">
        <v>47</v>
      </c>
      <c r="K48" s="173" t="s">
        <v>47</v>
      </c>
      <c r="L48" s="174" t="s">
        <v>47</v>
      </c>
      <c r="M48" s="175">
        <f>SUM(M49:M50)</f>
        <v>0</v>
      </c>
      <c r="N48" s="176">
        <f>SUM(N49:N50)</f>
        <v>0</v>
      </c>
      <c r="O48" s="177">
        <f>M48+N48</f>
        <v>0</v>
      </c>
      <c r="P48" s="109"/>
      <c r="R48" s="53"/>
    </row>
    <row r="49" spans="1:18" ht="24.75" hidden="1" thickTop="1" x14ac:dyDescent="0.25">
      <c r="A49" s="178">
        <v>23410</v>
      </c>
      <c r="B49" s="179" t="s">
        <v>68</v>
      </c>
      <c r="C49" s="194">
        <f>O49</f>
        <v>0</v>
      </c>
      <c r="D49" s="181" t="s">
        <v>47</v>
      </c>
      <c r="E49" s="182" t="s">
        <v>47</v>
      </c>
      <c r="F49" s="185" t="s">
        <v>47</v>
      </c>
      <c r="G49" s="181" t="s">
        <v>47</v>
      </c>
      <c r="H49" s="184" t="s">
        <v>47</v>
      </c>
      <c r="I49" s="185" t="s">
        <v>47</v>
      </c>
      <c r="J49" s="181" t="s">
        <v>47</v>
      </c>
      <c r="K49" s="184" t="s">
        <v>47</v>
      </c>
      <c r="L49" s="185" t="s">
        <v>47</v>
      </c>
      <c r="M49" s="186"/>
      <c r="N49" s="187"/>
      <c r="O49" s="188">
        <f>M49+N49</f>
        <v>0</v>
      </c>
      <c r="P49" s="189"/>
      <c r="R49" s="53"/>
    </row>
    <row r="50" spans="1:18" ht="24.75" hidden="1" thickTop="1" x14ac:dyDescent="0.25">
      <c r="A50" s="178">
        <v>23510</v>
      </c>
      <c r="B50" s="179" t="s">
        <v>69</v>
      </c>
      <c r="C50" s="194">
        <f>O50</f>
        <v>0</v>
      </c>
      <c r="D50" s="181" t="s">
        <v>47</v>
      </c>
      <c r="E50" s="182" t="s">
        <v>47</v>
      </c>
      <c r="F50" s="185" t="s">
        <v>47</v>
      </c>
      <c r="G50" s="181" t="s">
        <v>47</v>
      </c>
      <c r="H50" s="184" t="s">
        <v>47</v>
      </c>
      <c r="I50" s="185" t="s">
        <v>47</v>
      </c>
      <c r="J50" s="181" t="s">
        <v>47</v>
      </c>
      <c r="K50" s="184" t="s">
        <v>47</v>
      </c>
      <c r="L50" s="185" t="s">
        <v>47</v>
      </c>
      <c r="M50" s="186"/>
      <c r="N50" s="187"/>
      <c r="O50" s="188">
        <f>M50+N50</f>
        <v>0</v>
      </c>
      <c r="P50" s="189"/>
      <c r="R50" s="53"/>
    </row>
    <row r="51" spans="1:18" ht="12.75" thickTop="1" x14ac:dyDescent="0.25">
      <c r="A51" s="190"/>
      <c r="B51" s="179"/>
      <c r="C51" s="257"/>
      <c r="D51" s="192"/>
      <c r="E51" s="689"/>
      <c r="F51" s="188"/>
      <c r="G51" s="192"/>
      <c r="H51" s="195"/>
      <c r="I51" s="185"/>
      <c r="J51" s="196"/>
      <c r="K51" s="197"/>
      <c r="L51" s="188"/>
      <c r="M51" s="186"/>
      <c r="N51" s="187"/>
      <c r="O51" s="188"/>
      <c r="P51" s="189"/>
      <c r="R51" s="53"/>
    </row>
    <row r="52" spans="1:18" s="41" customFormat="1" x14ac:dyDescent="0.25">
      <c r="A52" s="198"/>
      <c r="B52" s="199" t="s">
        <v>70</v>
      </c>
      <c r="C52" s="640"/>
      <c r="D52" s="201"/>
      <c r="E52" s="207"/>
      <c r="F52" s="690"/>
      <c r="G52" s="201"/>
      <c r="H52" s="204"/>
      <c r="I52" s="205"/>
      <c r="J52" s="201"/>
      <c r="K52" s="204"/>
      <c r="L52" s="205"/>
      <c r="M52" s="206"/>
      <c r="N52" s="207"/>
      <c r="O52" s="205"/>
      <c r="P52" s="208"/>
      <c r="R52" s="53"/>
    </row>
    <row r="53" spans="1:18" s="41" customFormat="1" ht="12.75" thickBot="1" x14ac:dyDescent="0.3">
      <c r="A53" s="209"/>
      <c r="B53" s="42" t="s">
        <v>71</v>
      </c>
      <c r="C53" s="213">
        <f t="shared" ref="C53:C116" si="4">F53+I53+L53+O53</f>
        <v>1748750</v>
      </c>
      <c r="D53" s="211">
        <f>SUM(D54,D284)</f>
        <v>1739844</v>
      </c>
      <c r="E53" s="217">
        <f>SUM(E54,E284)</f>
        <v>8906</v>
      </c>
      <c r="F53" s="215">
        <f t="shared" ref="F53:F117" si="5">D53+E53</f>
        <v>1748750</v>
      </c>
      <c r="G53" s="211">
        <f>SUM(G54,G284)</f>
        <v>0</v>
      </c>
      <c r="H53" s="214">
        <f>SUM(H54,H284)</f>
        <v>0</v>
      </c>
      <c r="I53" s="215">
        <f t="shared" ref="I53:I117" si="6">G53+H53</f>
        <v>0</v>
      </c>
      <c r="J53" s="211">
        <f>SUM(J54,J284)</f>
        <v>0</v>
      </c>
      <c r="K53" s="214">
        <f>SUM(K54,K284)</f>
        <v>0</v>
      </c>
      <c r="L53" s="215">
        <f t="shared" ref="L53:L117" si="7">J53+K53</f>
        <v>0</v>
      </c>
      <c r="M53" s="216">
        <f>SUM(M54,M284)</f>
        <v>0</v>
      </c>
      <c r="N53" s="217">
        <f>SUM(N54,N284)</f>
        <v>0</v>
      </c>
      <c r="O53" s="215">
        <f t="shared" ref="O53:O117" si="8">M53+N53</f>
        <v>0</v>
      </c>
      <c r="P53" s="52"/>
      <c r="R53" s="53"/>
    </row>
    <row r="54" spans="1:18" s="41" customFormat="1" ht="36.75" thickTop="1" x14ac:dyDescent="0.25">
      <c r="A54" s="218"/>
      <c r="B54" s="219" t="s">
        <v>72</v>
      </c>
      <c r="C54" s="223">
        <f t="shared" si="4"/>
        <v>1748750</v>
      </c>
      <c r="D54" s="221">
        <f>SUM(D55,D197)</f>
        <v>1739844</v>
      </c>
      <c r="E54" s="227">
        <f>SUM(E55,E197)</f>
        <v>8906</v>
      </c>
      <c r="F54" s="225">
        <f t="shared" si="5"/>
        <v>1748750</v>
      </c>
      <c r="G54" s="221">
        <f>SUM(G55,G197)</f>
        <v>0</v>
      </c>
      <c r="H54" s="224">
        <f>SUM(H55,H197)</f>
        <v>0</v>
      </c>
      <c r="I54" s="225">
        <f t="shared" si="6"/>
        <v>0</v>
      </c>
      <c r="J54" s="221">
        <f>SUM(J55,J197)</f>
        <v>0</v>
      </c>
      <c r="K54" s="224">
        <f>SUM(K55,K197)</f>
        <v>0</v>
      </c>
      <c r="L54" s="225">
        <f t="shared" si="7"/>
        <v>0</v>
      </c>
      <c r="M54" s="226">
        <f>SUM(M55,M197)</f>
        <v>0</v>
      </c>
      <c r="N54" s="227">
        <f>SUM(N55,N197)</f>
        <v>0</v>
      </c>
      <c r="O54" s="225">
        <f t="shared" si="8"/>
        <v>0</v>
      </c>
      <c r="P54" s="228"/>
      <c r="R54" s="53"/>
    </row>
    <row r="55" spans="1:18" s="41" customFormat="1" ht="24" x14ac:dyDescent="0.25">
      <c r="A55" s="35"/>
      <c r="B55" s="30" t="s">
        <v>73</v>
      </c>
      <c r="C55" s="232">
        <f t="shared" si="4"/>
        <v>1680007</v>
      </c>
      <c r="D55" s="230">
        <f>SUM(D56,D78,D176,D190)</f>
        <v>1673311</v>
      </c>
      <c r="E55" s="235">
        <f>SUM(E56,E78,E176,E190)</f>
        <v>6696</v>
      </c>
      <c r="F55" s="234">
        <f t="shared" si="5"/>
        <v>1680007</v>
      </c>
      <c r="G55" s="230">
        <f>SUM(G56,G78,G176,G190)</f>
        <v>0</v>
      </c>
      <c r="H55" s="233">
        <f>SUM(H56,H78,H176,H190)</f>
        <v>0</v>
      </c>
      <c r="I55" s="234">
        <f t="shared" si="6"/>
        <v>0</v>
      </c>
      <c r="J55" s="230">
        <f>SUM(J56,J78,J176,J190)</f>
        <v>0</v>
      </c>
      <c r="K55" s="233">
        <f>SUM(K56,K78,K176,K190)</f>
        <v>0</v>
      </c>
      <c r="L55" s="234">
        <f t="shared" si="7"/>
        <v>0</v>
      </c>
      <c r="M55" s="53">
        <f>SUM(M56,M78,M176,M190)</f>
        <v>0</v>
      </c>
      <c r="N55" s="235">
        <f>SUM(N56,N78,N176,N190)</f>
        <v>0</v>
      </c>
      <c r="O55" s="234">
        <f t="shared" si="8"/>
        <v>0</v>
      </c>
      <c r="P55" s="236"/>
      <c r="R55" s="53"/>
    </row>
    <row r="56" spans="1:18" s="41" customFormat="1" x14ac:dyDescent="0.25">
      <c r="A56" s="237">
        <v>1000</v>
      </c>
      <c r="B56" s="237" t="s">
        <v>74</v>
      </c>
      <c r="C56" s="241">
        <f t="shared" si="4"/>
        <v>5209</v>
      </c>
      <c r="D56" s="239">
        <f>SUM(D57,D70)</f>
        <v>0</v>
      </c>
      <c r="E56" s="245">
        <f>SUM(E57,E70)</f>
        <v>5209</v>
      </c>
      <c r="F56" s="243">
        <f t="shared" si="5"/>
        <v>5209</v>
      </c>
      <c r="G56" s="239">
        <f>SUM(G57,G70)</f>
        <v>0</v>
      </c>
      <c r="H56" s="242">
        <f>SUM(H57,H70)</f>
        <v>0</v>
      </c>
      <c r="I56" s="243">
        <f t="shared" si="6"/>
        <v>0</v>
      </c>
      <c r="J56" s="239">
        <f>SUM(J57,J70)</f>
        <v>0</v>
      </c>
      <c r="K56" s="242">
        <f>SUM(K57,K70)</f>
        <v>0</v>
      </c>
      <c r="L56" s="243">
        <f t="shared" si="7"/>
        <v>0</v>
      </c>
      <c r="M56" s="244">
        <f>SUM(M57,M70)</f>
        <v>0</v>
      </c>
      <c r="N56" s="245">
        <f>SUM(N57,N70)</f>
        <v>0</v>
      </c>
      <c r="O56" s="243">
        <f t="shared" si="8"/>
        <v>0</v>
      </c>
      <c r="P56" s="246"/>
      <c r="R56" s="53"/>
    </row>
    <row r="57" spans="1:18" x14ac:dyDescent="0.25">
      <c r="A57" s="99">
        <v>1100</v>
      </c>
      <c r="B57" s="247" t="s">
        <v>75</v>
      </c>
      <c r="C57" s="249">
        <f t="shared" si="4"/>
        <v>5209</v>
      </c>
      <c r="D57" s="112">
        <f>SUM(D58,D61,D69)</f>
        <v>0</v>
      </c>
      <c r="E57" s="293">
        <f>SUM(E58,E61,E69)</f>
        <v>5209</v>
      </c>
      <c r="F57" s="114">
        <f t="shared" si="5"/>
        <v>5209</v>
      </c>
      <c r="G57" s="112">
        <f>SUM(G58,G61,G69)</f>
        <v>0</v>
      </c>
      <c r="H57" s="113">
        <f>SUM(H58,H61,H69)</f>
        <v>0</v>
      </c>
      <c r="I57" s="114">
        <f t="shared" si="6"/>
        <v>0</v>
      </c>
      <c r="J57" s="112">
        <f>SUM(J58,J61,J69)</f>
        <v>0</v>
      </c>
      <c r="K57" s="113">
        <f>SUM(K58,K61,K69)</f>
        <v>0</v>
      </c>
      <c r="L57" s="114">
        <f t="shared" si="7"/>
        <v>0</v>
      </c>
      <c r="M57" s="250">
        <f>SUM(M58,M61,M69)</f>
        <v>0</v>
      </c>
      <c r="N57" s="251">
        <f>SUM(N58,N61,N69)</f>
        <v>0</v>
      </c>
      <c r="O57" s="252">
        <f t="shared" si="8"/>
        <v>0</v>
      </c>
      <c r="P57" s="253"/>
      <c r="R57" s="53"/>
    </row>
    <row r="58" spans="1:18" hidden="1" x14ac:dyDescent="0.25">
      <c r="A58" s="254">
        <v>1110</v>
      </c>
      <c r="B58" s="179" t="s">
        <v>76</v>
      </c>
      <c r="C58" s="257">
        <f t="shared" si="4"/>
        <v>0</v>
      </c>
      <c r="D58" s="255">
        <f>SUM(D59:D60)</f>
        <v>0</v>
      </c>
      <c r="E58" s="261">
        <f>SUM(E59:E60)</f>
        <v>0</v>
      </c>
      <c r="F58" s="259">
        <f t="shared" si="5"/>
        <v>0</v>
      </c>
      <c r="G58" s="255">
        <f>SUM(G59:G60)</f>
        <v>0</v>
      </c>
      <c r="H58" s="258">
        <f>SUM(H59:H60)</f>
        <v>0</v>
      </c>
      <c r="I58" s="259">
        <f t="shared" si="6"/>
        <v>0</v>
      </c>
      <c r="J58" s="255">
        <f>SUM(J59:J60)</f>
        <v>0</v>
      </c>
      <c r="K58" s="258">
        <f>SUM(K59:K60)</f>
        <v>0</v>
      </c>
      <c r="L58" s="259">
        <f t="shared" si="7"/>
        <v>0</v>
      </c>
      <c r="M58" s="260">
        <f>SUM(M59:M60)</f>
        <v>0</v>
      </c>
      <c r="N58" s="261">
        <f>SUM(N59:N60)</f>
        <v>0</v>
      </c>
      <c r="O58" s="259">
        <f t="shared" si="8"/>
        <v>0</v>
      </c>
      <c r="P58" s="189"/>
      <c r="R58" s="53"/>
    </row>
    <row r="59" spans="1:18" hidden="1" x14ac:dyDescent="0.25">
      <c r="A59" s="66">
        <v>1111</v>
      </c>
      <c r="B59" s="116" t="s">
        <v>77</v>
      </c>
      <c r="C59" s="296">
        <f t="shared" si="4"/>
        <v>0</v>
      </c>
      <c r="D59" s="123">
        <v>0</v>
      </c>
      <c r="E59" s="262"/>
      <c r="F59" s="125">
        <f t="shared" si="5"/>
        <v>0</v>
      </c>
      <c r="G59" s="123"/>
      <c r="H59" s="124"/>
      <c r="I59" s="125">
        <f t="shared" si="6"/>
        <v>0</v>
      </c>
      <c r="J59" s="123"/>
      <c r="K59" s="124"/>
      <c r="L59" s="125">
        <f t="shared" si="7"/>
        <v>0</v>
      </c>
      <c r="M59" s="264"/>
      <c r="N59" s="262"/>
      <c r="O59" s="125">
        <f t="shared" si="8"/>
        <v>0</v>
      </c>
      <c r="P59" s="74"/>
      <c r="R59" s="53"/>
    </row>
    <row r="60" spans="1:18" hidden="1" x14ac:dyDescent="0.25">
      <c r="A60" s="76">
        <v>1119</v>
      </c>
      <c r="B60" s="127" t="s">
        <v>78</v>
      </c>
      <c r="C60" s="279">
        <f t="shared" si="4"/>
        <v>0</v>
      </c>
      <c r="D60" s="134">
        <v>0</v>
      </c>
      <c r="E60" s="285"/>
      <c r="F60" s="136">
        <f t="shared" si="5"/>
        <v>0</v>
      </c>
      <c r="G60" s="134"/>
      <c r="H60" s="135"/>
      <c r="I60" s="136">
        <f t="shared" si="6"/>
        <v>0</v>
      </c>
      <c r="J60" s="134"/>
      <c r="K60" s="135"/>
      <c r="L60" s="136">
        <f t="shared" si="7"/>
        <v>0</v>
      </c>
      <c r="M60" s="284"/>
      <c r="N60" s="285"/>
      <c r="O60" s="136">
        <f t="shared" si="8"/>
        <v>0</v>
      </c>
      <c r="P60" s="85"/>
      <c r="R60" s="53"/>
    </row>
    <row r="61" spans="1:18" hidden="1" x14ac:dyDescent="0.25">
      <c r="A61" s="276">
        <v>1140</v>
      </c>
      <c r="B61" s="127" t="s">
        <v>79</v>
      </c>
      <c r="C61" s="279">
        <f t="shared" si="4"/>
        <v>0</v>
      </c>
      <c r="D61" s="277">
        <f>SUM(D62:D68)</f>
        <v>0</v>
      </c>
      <c r="E61" s="282">
        <f>SUM(E62:E68)</f>
        <v>0</v>
      </c>
      <c r="F61" s="136">
        <f>D61+E61</f>
        <v>0</v>
      </c>
      <c r="G61" s="277">
        <f>SUM(G62:G68)</f>
        <v>0</v>
      </c>
      <c r="H61" s="280">
        <f>SUM(H62:H68)</f>
        <v>0</v>
      </c>
      <c r="I61" s="136">
        <f t="shared" si="6"/>
        <v>0</v>
      </c>
      <c r="J61" s="277">
        <f>SUM(J62:J68)</f>
        <v>0</v>
      </c>
      <c r="K61" s="280">
        <f>SUM(K62:K68)</f>
        <v>0</v>
      </c>
      <c r="L61" s="136">
        <f t="shared" si="7"/>
        <v>0</v>
      </c>
      <c r="M61" s="281">
        <f>SUM(M62:M68)</f>
        <v>0</v>
      </c>
      <c r="N61" s="282">
        <f>SUM(N62:N68)</f>
        <v>0</v>
      </c>
      <c r="O61" s="136">
        <f t="shared" si="8"/>
        <v>0</v>
      </c>
      <c r="P61" s="85"/>
      <c r="R61" s="53"/>
    </row>
    <row r="62" spans="1:18" hidden="1" x14ac:dyDescent="0.25">
      <c r="A62" s="76">
        <v>1141</v>
      </c>
      <c r="B62" s="127" t="s">
        <v>80</v>
      </c>
      <c r="C62" s="279">
        <f t="shared" si="4"/>
        <v>0</v>
      </c>
      <c r="D62" s="134">
        <v>0</v>
      </c>
      <c r="E62" s="285"/>
      <c r="F62" s="136">
        <f t="shared" si="5"/>
        <v>0</v>
      </c>
      <c r="G62" s="134"/>
      <c r="H62" s="135"/>
      <c r="I62" s="136">
        <f t="shared" si="6"/>
        <v>0</v>
      </c>
      <c r="J62" s="134"/>
      <c r="K62" s="135"/>
      <c r="L62" s="136">
        <f t="shared" si="7"/>
        <v>0</v>
      </c>
      <c r="M62" s="284"/>
      <c r="N62" s="285"/>
      <c r="O62" s="136">
        <f t="shared" si="8"/>
        <v>0</v>
      </c>
      <c r="P62" s="85"/>
      <c r="R62" s="53"/>
    </row>
    <row r="63" spans="1:18" ht="24" hidden="1" x14ac:dyDescent="0.25">
      <c r="A63" s="76">
        <v>1142</v>
      </c>
      <c r="B63" s="127" t="s">
        <v>81</v>
      </c>
      <c r="C63" s="279">
        <f t="shared" si="4"/>
        <v>0</v>
      </c>
      <c r="D63" s="134">
        <v>0</v>
      </c>
      <c r="E63" s="285"/>
      <c r="F63" s="136">
        <f t="shared" si="5"/>
        <v>0</v>
      </c>
      <c r="G63" s="134"/>
      <c r="H63" s="135"/>
      <c r="I63" s="136">
        <f t="shared" si="6"/>
        <v>0</v>
      </c>
      <c r="J63" s="134"/>
      <c r="K63" s="135"/>
      <c r="L63" s="136">
        <f t="shared" si="7"/>
        <v>0</v>
      </c>
      <c r="M63" s="284"/>
      <c r="N63" s="285"/>
      <c r="O63" s="136">
        <f t="shared" si="8"/>
        <v>0</v>
      </c>
      <c r="P63" s="85"/>
      <c r="R63" s="53"/>
    </row>
    <row r="64" spans="1:18" ht="24" hidden="1" x14ac:dyDescent="0.25">
      <c r="A64" s="76">
        <v>1145</v>
      </c>
      <c r="B64" s="127" t="s">
        <v>82</v>
      </c>
      <c r="C64" s="279">
        <f t="shared" si="4"/>
        <v>0</v>
      </c>
      <c r="D64" s="134">
        <v>0</v>
      </c>
      <c r="E64" s="285"/>
      <c r="F64" s="136">
        <f t="shared" si="5"/>
        <v>0</v>
      </c>
      <c r="G64" s="134"/>
      <c r="H64" s="135"/>
      <c r="I64" s="136">
        <f t="shared" si="6"/>
        <v>0</v>
      </c>
      <c r="J64" s="134"/>
      <c r="K64" s="135"/>
      <c r="L64" s="136">
        <f t="shared" si="7"/>
        <v>0</v>
      </c>
      <c r="M64" s="284"/>
      <c r="N64" s="285"/>
      <c r="O64" s="136">
        <f t="shared" si="8"/>
        <v>0</v>
      </c>
      <c r="P64" s="85"/>
      <c r="R64" s="53"/>
    </row>
    <row r="65" spans="1:18" ht="24" hidden="1" x14ac:dyDescent="0.25">
      <c r="A65" s="76">
        <v>1146</v>
      </c>
      <c r="B65" s="127" t="s">
        <v>83</v>
      </c>
      <c r="C65" s="279">
        <f t="shared" si="4"/>
        <v>0</v>
      </c>
      <c r="D65" s="134">
        <v>0</v>
      </c>
      <c r="E65" s="285"/>
      <c r="F65" s="136">
        <f t="shared" si="5"/>
        <v>0</v>
      </c>
      <c r="G65" s="134"/>
      <c r="H65" s="135"/>
      <c r="I65" s="136">
        <f t="shared" si="6"/>
        <v>0</v>
      </c>
      <c r="J65" s="134"/>
      <c r="K65" s="135"/>
      <c r="L65" s="136">
        <f t="shared" si="7"/>
        <v>0</v>
      </c>
      <c r="M65" s="284"/>
      <c r="N65" s="285"/>
      <c r="O65" s="136">
        <f t="shared" si="8"/>
        <v>0</v>
      </c>
      <c r="P65" s="85"/>
      <c r="R65" s="53"/>
    </row>
    <row r="66" spans="1:18" hidden="1" x14ac:dyDescent="0.25">
      <c r="A66" s="76">
        <v>1147</v>
      </c>
      <c r="B66" s="127" t="s">
        <v>84</v>
      </c>
      <c r="C66" s="279">
        <f t="shared" si="4"/>
        <v>0</v>
      </c>
      <c r="D66" s="134">
        <v>0</v>
      </c>
      <c r="E66" s="285"/>
      <c r="F66" s="136">
        <f t="shared" si="5"/>
        <v>0</v>
      </c>
      <c r="G66" s="134"/>
      <c r="H66" s="135"/>
      <c r="I66" s="136">
        <f t="shared" si="6"/>
        <v>0</v>
      </c>
      <c r="J66" s="134"/>
      <c r="K66" s="135"/>
      <c r="L66" s="136">
        <f t="shared" si="7"/>
        <v>0</v>
      </c>
      <c r="M66" s="284"/>
      <c r="N66" s="285"/>
      <c r="O66" s="136">
        <f t="shared" si="8"/>
        <v>0</v>
      </c>
      <c r="P66" s="85"/>
      <c r="R66" s="53"/>
    </row>
    <row r="67" spans="1:18" hidden="1" x14ac:dyDescent="0.25">
      <c r="A67" s="76">
        <v>1148</v>
      </c>
      <c r="B67" s="127" t="s">
        <v>85</v>
      </c>
      <c r="C67" s="279">
        <f t="shared" si="4"/>
        <v>0</v>
      </c>
      <c r="D67" s="134">
        <v>0</v>
      </c>
      <c r="E67" s="285"/>
      <c r="F67" s="136">
        <f t="shared" si="5"/>
        <v>0</v>
      </c>
      <c r="G67" s="134"/>
      <c r="H67" s="135"/>
      <c r="I67" s="136">
        <f t="shared" si="6"/>
        <v>0</v>
      </c>
      <c r="J67" s="134"/>
      <c r="K67" s="135"/>
      <c r="L67" s="136">
        <f t="shared" si="7"/>
        <v>0</v>
      </c>
      <c r="M67" s="284"/>
      <c r="N67" s="285"/>
      <c r="O67" s="136">
        <f t="shared" si="8"/>
        <v>0</v>
      </c>
      <c r="P67" s="85"/>
      <c r="R67" s="53"/>
    </row>
    <row r="68" spans="1:18" ht="24" hidden="1" x14ac:dyDescent="0.25">
      <c r="A68" s="76">
        <v>1149</v>
      </c>
      <c r="B68" s="127" t="s">
        <v>86</v>
      </c>
      <c r="C68" s="279">
        <f t="shared" si="4"/>
        <v>0</v>
      </c>
      <c r="D68" s="134">
        <v>0</v>
      </c>
      <c r="E68" s="285"/>
      <c r="F68" s="136">
        <f t="shared" si="5"/>
        <v>0</v>
      </c>
      <c r="G68" s="134"/>
      <c r="H68" s="135"/>
      <c r="I68" s="136">
        <f t="shared" si="6"/>
        <v>0</v>
      </c>
      <c r="J68" s="134"/>
      <c r="K68" s="135"/>
      <c r="L68" s="136">
        <f t="shared" si="7"/>
        <v>0</v>
      </c>
      <c r="M68" s="284"/>
      <c r="N68" s="285"/>
      <c r="O68" s="136">
        <f t="shared" si="8"/>
        <v>0</v>
      </c>
      <c r="P68" s="85"/>
      <c r="R68" s="53"/>
    </row>
    <row r="69" spans="1:18" ht="36" x14ac:dyDescent="0.25">
      <c r="A69" s="254">
        <v>1150</v>
      </c>
      <c r="B69" s="179" t="s">
        <v>87</v>
      </c>
      <c r="C69" s="279">
        <f t="shared" si="4"/>
        <v>5209</v>
      </c>
      <c r="D69" s="287">
        <v>0</v>
      </c>
      <c r="E69" s="291">
        <v>5209</v>
      </c>
      <c r="F69" s="259">
        <f t="shared" si="5"/>
        <v>5209</v>
      </c>
      <c r="G69" s="287"/>
      <c r="H69" s="289"/>
      <c r="I69" s="259">
        <f t="shared" si="6"/>
        <v>0</v>
      </c>
      <c r="J69" s="287"/>
      <c r="K69" s="289"/>
      <c r="L69" s="259">
        <f t="shared" si="7"/>
        <v>0</v>
      </c>
      <c r="M69" s="290"/>
      <c r="N69" s="291"/>
      <c r="O69" s="259">
        <f t="shared" si="8"/>
        <v>0</v>
      </c>
      <c r="P69" s="189"/>
      <c r="R69" s="53"/>
    </row>
    <row r="70" spans="1:18" ht="36" hidden="1" x14ac:dyDescent="0.25">
      <c r="A70" s="99">
        <v>1200</v>
      </c>
      <c r="B70" s="247" t="s">
        <v>88</v>
      </c>
      <c r="C70" s="249">
        <f t="shared" si="4"/>
        <v>0</v>
      </c>
      <c r="D70" s="112">
        <f>SUM(D71:D72)</f>
        <v>0</v>
      </c>
      <c r="E70" s="293">
        <f>SUM(E71:E72)</f>
        <v>0</v>
      </c>
      <c r="F70" s="114">
        <f>D70+E70</f>
        <v>0</v>
      </c>
      <c r="G70" s="112">
        <f>SUM(G71:G72)</f>
        <v>0</v>
      </c>
      <c r="H70" s="113">
        <f>SUM(H71:H72)</f>
        <v>0</v>
      </c>
      <c r="I70" s="114">
        <f t="shared" si="6"/>
        <v>0</v>
      </c>
      <c r="J70" s="112">
        <f>SUM(J71:J72)</f>
        <v>0</v>
      </c>
      <c r="K70" s="113">
        <f>SUM(K71:K72)</f>
        <v>0</v>
      </c>
      <c r="L70" s="114">
        <f t="shared" si="7"/>
        <v>0</v>
      </c>
      <c r="M70" s="292">
        <f>SUM(M71:M72)</f>
        <v>0</v>
      </c>
      <c r="N70" s="293">
        <f>SUM(N71:N72)</f>
        <v>0</v>
      </c>
      <c r="O70" s="114">
        <f t="shared" si="8"/>
        <v>0</v>
      </c>
      <c r="P70" s="109"/>
      <c r="R70" s="53"/>
    </row>
    <row r="71" spans="1:18" ht="24" hidden="1" x14ac:dyDescent="0.25">
      <c r="A71" s="656">
        <v>1210</v>
      </c>
      <c r="B71" s="116" t="s">
        <v>89</v>
      </c>
      <c r="C71" s="296">
        <f t="shared" si="4"/>
        <v>0</v>
      </c>
      <c r="D71" s="123">
        <v>0</v>
      </c>
      <c r="E71" s="262"/>
      <c r="F71" s="125">
        <f t="shared" si="5"/>
        <v>0</v>
      </c>
      <c r="G71" s="123"/>
      <c r="H71" s="124"/>
      <c r="I71" s="125">
        <f t="shared" si="6"/>
        <v>0</v>
      </c>
      <c r="J71" s="123"/>
      <c r="K71" s="124"/>
      <c r="L71" s="125">
        <f t="shared" si="7"/>
        <v>0</v>
      </c>
      <c r="M71" s="264"/>
      <c r="N71" s="262"/>
      <c r="O71" s="125">
        <f t="shared" si="8"/>
        <v>0</v>
      </c>
      <c r="P71" s="74"/>
      <c r="R71" s="53"/>
    </row>
    <row r="72" spans="1:18" ht="24" hidden="1" x14ac:dyDescent="0.25">
      <c r="A72" s="276">
        <v>1220</v>
      </c>
      <c r="B72" s="127" t="s">
        <v>90</v>
      </c>
      <c r="C72" s="279">
        <f t="shared" si="4"/>
        <v>0</v>
      </c>
      <c r="D72" s="277">
        <f>SUM(D73:D77)</f>
        <v>0</v>
      </c>
      <c r="E72" s="282">
        <f>SUM(E73:E77)</f>
        <v>0</v>
      </c>
      <c r="F72" s="136">
        <f t="shared" si="5"/>
        <v>0</v>
      </c>
      <c r="G72" s="277">
        <f>SUM(G73:G77)</f>
        <v>0</v>
      </c>
      <c r="H72" s="280">
        <f>SUM(H73:H77)</f>
        <v>0</v>
      </c>
      <c r="I72" s="136">
        <f t="shared" si="6"/>
        <v>0</v>
      </c>
      <c r="J72" s="277">
        <f>SUM(J73:J77)</f>
        <v>0</v>
      </c>
      <c r="K72" s="280">
        <f>SUM(K73:K77)</f>
        <v>0</v>
      </c>
      <c r="L72" s="136">
        <f t="shared" si="7"/>
        <v>0</v>
      </c>
      <c r="M72" s="281">
        <f>SUM(M73:M77)</f>
        <v>0</v>
      </c>
      <c r="N72" s="282">
        <f>SUM(N73:N77)</f>
        <v>0</v>
      </c>
      <c r="O72" s="136">
        <f t="shared" si="8"/>
        <v>0</v>
      </c>
      <c r="P72" s="85"/>
      <c r="R72" s="53"/>
    </row>
    <row r="73" spans="1:18" ht="48" hidden="1" x14ac:dyDescent="0.25">
      <c r="A73" s="76">
        <v>1221</v>
      </c>
      <c r="B73" s="127" t="s">
        <v>91</v>
      </c>
      <c r="C73" s="279">
        <f t="shared" si="4"/>
        <v>0</v>
      </c>
      <c r="D73" s="134">
        <v>0</v>
      </c>
      <c r="E73" s="285"/>
      <c r="F73" s="136">
        <f t="shared" si="5"/>
        <v>0</v>
      </c>
      <c r="G73" s="134"/>
      <c r="H73" s="135"/>
      <c r="I73" s="136">
        <f t="shared" si="6"/>
        <v>0</v>
      </c>
      <c r="J73" s="134"/>
      <c r="K73" s="135"/>
      <c r="L73" s="136">
        <f t="shared" si="7"/>
        <v>0</v>
      </c>
      <c r="M73" s="284"/>
      <c r="N73" s="285"/>
      <c r="O73" s="136">
        <f t="shared" si="8"/>
        <v>0</v>
      </c>
      <c r="P73" s="85"/>
      <c r="R73" s="53"/>
    </row>
    <row r="74" spans="1:18" hidden="1" x14ac:dyDescent="0.25">
      <c r="A74" s="76">
        <v>1223</v>
      </c>
      <c r="B74" s="127" t="s">
        <v>92</v>
      </c>
      <c r="C74" s="279">
        <f t="shared" si="4"/>
        <v>0</v>
      </c>
      <c r="D74" s="134">
        <v>0</v>
      </c>
      <c r="E74" s="285"/>
      <c r="F74" s="136">
        <f t="shared" si="5"/>
        <v>0</v>
      </c>
      <c r="G74" s="134"/>
      <c r="H74" s="135"/>
      <c r="I74" s="136">
        <f t="shared" si="6"/>
        <v>0</v>
      </c>
      <c r="J74" s="134"/>
      <c r="K74" s="135"/>
      <c r="L74" s="136">
        <f t="shared" si="7"/>
        <v>0</v>
      </c>
      <c r="M74" s="284"/>
      <c r="N74" s="285"/>
      <c r="O74" s="136">
        <f t="shared" si="8"/>
        <v>0</v>
      </c>
      <c r="P74" s="85"/>
      <c r="R74" s="53"/>
    </row>
    <row r="75" spans="1:18" hidden="1" x14ac:dyDescent="0.25">
      <c r="A75" s="76">
        <v>1225</v>
      </c>
      <c r="B75" s="127" t="s">
        <v>93</v>
      </c>
      <c r="C75" s="279">
        <f t="shared" si="4"/>
        <v>0</v>
      </c>
      <c r="D75" s="134">
        <v>0</v>
      </c>
      <c r="E75" s="285"/>
      <c r="F75" s="136">
        <f t="shared" si="5"/>
        <v>0</v>
      </c>
      <c r="G75" s="134"/>
      <c r="H75" s="135"/>
      <c r="I75" s="136">
        <f t="shared" si="6"/>
        <v>0</v>
      </c>
      <c r="J75" s="134"/>
      <c r="K75" s="135"/>
      <c r="L75" s="136">
        <f t="shared" si="7"/>
        <v>0</v>
      </c>
      <c r="M75" s="284"/>
      <c r="N75" s="285"/>
      <c r="O75" s="136">
        <f t="shared" si="8"/>
        <v>0</v>
      </c>
      <c r="P75" s="85"/>
      <c r="R75" s="53"/>
    </row>
    <row r="76" spans="1:18" ht="24" hidden="1" x14ac:dyDescent="0.25">
      <c r="A76" s="76">
        <v>1227</v>
      </c>
      <c r="B76" s="127" t="s">
        <v>94</v>
      </c>
      <c r="C76" s="279">
        <f t="shared" si="4"/>
        <v>0</v>
      </c>
      <c r="D76" s="134">
        <v>0</v>
      </c>
      <c r="E76" s="285"/>
      <c r="F76" s="136">
        <f t="shared" si="5"/>
        <v>0</v>
      </c>
      <c r="G76" s="134"/>
      <c r="H76" s="135"/>
      <c r="I76" s="136">
        <f t="shared" si="6"/>
        <v>0</v>
      </c>
      <c r="J76" s="134"/>
      <c r="K76" s="135"/>
      <c r="L76" s="136">
        <f t="shared" si="7"/>
        <v>0</v>
      </c>
      <c r="M76" s="284"/>
      <c r="N76" s="285"/>
      <c r="O76" s="136">
        <f t="shared" si="8"/>
        <v>0</v>
      </c>
      <c r="P76" s="85"/>
      <c r="R76" s="53"/>
    </row>
    <row r="77" spans="1:18" ht="48" hidden="1" x14ac:dyDescent="0.25">
      <c r="A77" s="76">
        <v>1228</v>
      </c>
      <c r="B77" s="127" t="s">
        <v>95</v>
      </c>
      <c r="C77" s="279">
        <f t="shared" si="4"/>
        <v>0</v>
      </c>
      <c r="D77" s="134">
        <v>0</v>
      </c>
      <c r="E77" s="285"/>
      <c r="F77" s="136">
        <f t="shared" si="5"/>
        <v>0</v>
      </c>
      <c r="G77" s="134"/>
      <c r="H77" s="135"/>
      <c r="I77" s="136">
        <f t="shared" si="6"/>
        <v>0</v>
      </c>
      <c r="J77" s="134"/>
      <c r="K77" s="135"/>
      <c r="L77" s="136">
        <f t="shared" si="7"/>
        <v>0</v>
      </c>
      <c r="M77" s="284"/>
      <c r="N77" s="285"/>
      <c r="O77" s="136">
        <f t="shared" si="8"/>
        <v>0</v>
      </c>
      <c r="P77" s="85"/>
      <c r="R77" s="53"/>
    </row>
    <row r="78" spans="1:18" x14ac:dyDescent="0.25">
      <c r="A78" s="237">
        <v>2000</v>
      </c>
      <c r="B78" s="237" t="s">
        <v>96</v>
      </c>
      <c r="C78" s="241">
        <f t="shared" si="4"/>
        <v>1674798</v>
      </c>
      <c r="D78" s="239">
        <f>SUM(D79,D86,D133,D167,D168,D175)</f>
        <v>1673311</v>
      </c>
      <c r="E78" s="245">
        <f>SUM(E79,E86,E133,E167,E168,E175)</f>
        <v>1487</v>
      </c>
      <c r="F78" s="243">
        <f t="shared" si="5"/>
        <v>1674798</v>
      </c>
      <c r="G78" s="239">
        <f>SUM(G79,G86,G133,G167,G168,G175)</f>
        <v>0</v>
      </c>
      <c r="H78" s="242">
        <f>SUM(H79,H86,H133,H167,H168,H175)</f>
        <v>0</v>
      </c>
      <c r="I78" s="243">
        <f t="shared" si="6"/>
        <v>0</v>
      </c>
      <c r="J78" s="239">
        <f>SUM(J79,J86,J133,J167,J168,J175)</f>
        <v>0</v>
      </c>
      <c r="K78" s="242">
        <f>SUM(K79,K86,K133,K167,K168,K175)</f>
        <v>0</v>
      </c>
      <c r="L78" s="243">
        <f t="shared" si="7"/>
        <v>0</v>
      </c>
      <c r="M78" s="244">
        <f>SUM(M79,M86,M133,M167,M168,M175)</f>
        <v>0</v>
      </c>
      <c r="N78" s="245">
        <f>SUM(N79,N86,N133,N167,N168,N175)</f>
        <v>0</v>
      </c>
      <c r="O78" s="243">
        <f t="shared" si="8"/>
        <v>0</v>
      </c>
      <c r="P78" s="246"/>
      <c r="R78" s="53"/>
    </row>
    <row r="79" spans="1:18" ht="24" hidden="1" x14ac:dyDescent="0.25">
      <c r="A79" s="99">
        <v>2100</v>
      </c>
      <c r="B79" s="247" t="s">
        <v>97</v>
      </c>
      <c r="C79" s="249">
        <f t="shared" si="4"/>
        <v>0</v>
      </c>
      <c r="D79" s="112">
        <f>SUM(D80,D83)</f>
        <v>0</v>
      </c>
      <c r="E79" s="293">
        <f>SUM(E80,E83)</f>
        <v>0</v>
      </c>
      <c r="F79" s="114">
        <f t="shared" si="5"/>
        <v>0</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c r="R79" s="53"/>
    </row>
    <row r="80" spans="1:18" ht="24" hidden="1" x14ac:dyDescent="0.25">
      <c r="A80" s="656">
        <v>2110</v>
      </c>
      <c r="B80" s="116" t="s">
        <v>98</v>
      </c>
      <c r="C80" s="296">
        <f t="shared" si="4"/>
        <v>0</v>
      </c>
      <c r="D80" s="297">
        <f>SUM(D81:D82)</f>
        <v>0</v>
      </c>
      <c r="E80" s="301">
        <f>SUM(E81:E82)</f>
        <v>0</v>
      </c>
      <c r="F80" s="125">
        <f t="shared" si="5"/>
        <v>0</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c r="R80" s="53"/>
    </row>
    <row r="81" spans="1:18" hidden="1" x14ac:dyDescent="0.25">
      <c r="A81" s="76">
        <v>2111</v>
      </c>
      <c r="B81" s="127" t="s">
        <v>99</v>
      </c>
      <c r="C81" s="279">
        <f t="shared" si="4"/>
        <v>0</v>
      </c>
      <c r="D81" s="134">
        <v>0</v>
      </c>
      <c r="E81" s="285"/>
      <c r="F81" s="136">
        <f t="shared" si="5"/>
        <v>0</v>
      </c>
      <c r="G81" s="134"/>
      <c r="H81" s="135"/>
      <c r="I81" s="136">
        <f t="shared" si="6"/>
        <v>0</v>
      </c>
      <c r="J81" s="134"/>
      <c r="K81" s="135"/>
      <c r="L81" s="136">
        <f t="shared" si="7"/>
        <v>0</v>
      </c>
      <c r="M81" s="284"/>
      <c r="N81" s="285"/>
      <c r="O81" s="136">
        <f t="shared" si="8"/>
        <v>0</v>
      </c>
      <c r="P81" s="85"/>
      <c r="R81" s="53"/>
    </row>
    <row r="82" spans="1:18" ht="24" hidden="1" x14ac:dyDescent="0.25">
      <c r="A82" s="76">
        <v>2112</v>
      </c>
      <c r="B82" s="127" t="s">
        <v>100</v>
      </c>
      <c r="C82" s="279">
        <f t="shared" si="4"/>
        <v>0</v>
      </c>
      <c r="D82" s="134">
        <v>0</v>
      </c>
      <c r="E82" s="285"/>
      <c r="F82" s="136">
        <f t="shared" si="5"/>
        <v>0</v>
      </c>
      <c r="G82" s="134"/>
      <c r="H82" s="135"/>
      <c r="I82" s="136">
        <f t="shared" si="6"/>
        <v>0</v>
      </c>
      <c r="J82" s="134"/>
      <c r="K82" s="135"/>
      <c r="L82" s="136">
        <f t="shared" si="7"/>
        <v>0</v>
      </c>
      <c r="M82" s="284"/>
      <c r="N82" s="285"/>
      <c r="O82" s="136">
        <f t="shared" si="8"/>
        <v>0</v>
      </c>
      <c r="P82" s="85"/>
      <c r="R82" s="53"/>
    </row>
    <row r="83" spans="1:18" ht="24" hidden="1" x14ac:dyDescent="0.25">
      <c r="A83" s="276">
        <v>2120</v>
      </c>
      <c r="B83" s="127" t="s">
        <v>101</v>
      </c>
      <c r="C83" s="279">
        <f t="shared" si="4"/>
        <v>0</v>
      </c>
      <c r="D83" s="277">
        <f>SUM(D84:D85)</f>
        <v>0</v>
      </c>
      <c r="E83" s="282">
        <f>SUM(E84:E85)</f>
        <v>0</v>
      </c>
      <c r="F83" s="13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c r="R83" s="53"/>
    </row>
    <row r="84" spans="1:18" hidden="1" x14ac:dyDescent="0.25">
      <c r="A84" s="76">
        <v>2121</v>
      </c>
      <c r="B84" s="127" t="s">
        <v>99</v>
      </c>
      <c r="C84" s="279">
        <f t="shared" si="4"/>
        <v>0</v>
      </c>
      <c r="D84" s="134">
        <v>0</v>
      </c>
      <c r="E84" s="285"/>
      <c r="F84" s="136">
        <f t="shared" si="5"/>
        <v>0</v>
      </c>
      <c r="G84" s="134"/>
      <c r="H84" s="135"/>
      <c r="I84" s="136">
        <f t="shared" si="6"/>
        <v>0</v>
      </c>
      <c r="J84" s="134"/>
      <c r="K84" s="135"/>
      <c r="L84" s="136">
        <f t="shared" si="7"/>
        <v>0</v>
      </c>
      <c r="M84" s="284"/>
      <c r="N84" s="285"/>
      <c r="O84" s="136">
        <f t="shared" si="8"/>
        <v>0</v>
      </c>
      <c r="P84" s="85"/>
      <c r="R84" s="53"/>
    </row>
    <row r="85" spans="1:18" ht="24" hidden="1" x14ac:dyDescent="0.25">
      <c r="A85" s="76">
        <v>2122</v>
      </c>
      <c r="B85" s="127" t="s">
        <v>100</v>
      </c>
      <c r="C85" s="279">
        <f t="shared" si="4"/>
        <v>0</v>
      </c>
      <c r="D85" s="134">
        <v>0</v>
      </c>
      <c r="E85" s="285"/>
      <c r="F85" s="136">
        <f t="shared" si="5"/>
        <v>0</v>
      </c>
      <c r="G85" s="134"/>
      <c r="H85" s="135"/>
      <c r="I85" s="136">
        <f t="shared" si="6"/>
        <v>0</v>
      </c>
      <c r="J85" s="134"/>
      <c r="K85" s="135"/>
      <c r="L85" s="136">
        <f t="shared" si="7"/>
        <v>0</v>
      </c>
      <c r="M85" s="284"/>
      <c r="N85" s="285"/>
      <c r="O85" s="136">
        <f t="shared" si="8"/>
        <v>0</v>
      </c>
      <c r="P85" s="85"/>
      <c r="R85" s="53"/>
    </row>
    <row r="86" spans="1:18" x14ac:dyDescent="0.25">
      <c r="A86" s="99">
        <v>2200</v>
      </c>
      <c r="B86" s="247" t="s">
        <v>102</v>
      </c>
      <c r="C86" s="302">
        <f t="shared" si="4"/>
        <v>1638198</v>
      </c>
      <c r="D86" s="112">
        <f>SUM(D87,D92,D98,D106,D115,D119,D125,D131)</f>
        <v>1635040</v>
      </c>
      <c r="E86" s="293">
        <f>SUM(E87,E92,E98,E106,E115,E119,E125,E131)</f>
        <v>3158</v>
      </c>
      <c r="F86" s="114">
        <f t="shared" si="5"/>
        <v>1638198</v>
      </c>
      <c r="G86" s="112">
        <f>SUM(G87,G92,G98,G106,G115,G119,G125,G131)</f>
        <v>0</v>
      </c>
      <c r="H86" s="113">
        <f>SUM(H87,H92,H98,H106,H115,H119,H125,H131)</f>
        <v>0</v>
      </c>
      <c r="I86" s="114">
        <f t="shared" si="6"/>
        <v>0</v>
      </c>
      <c r="J86" s="112">
        <f>SUM(J87,J92,J98,J106,J115,J119,J125,J131)</f>
        <v>0</v>
      </c>
      <c r="K86" s="113">
        <f>SUM(K87,K92,K98,K106,K115,K119,K125,K131)</f>
        <v>0</v>
      </c>
      <c r="L86" s="114">
        <f t="shared" si="7"/>
        <v>0</v>
      </c>
      <c r="M86" s="303">
        <f>SUM(M87,M92,M98,M106,M115,M119,M125,M131)</f>
        <v>0</v>
      </c>
      <c r="N86" s="304">
        <f>SUM(N87,N92,N98,N106,N115,N119,N125,N131)</f>
        <v>0</v>
      </c>
      <c r="O86" s="305">
        <f t="shared" si="8"/>
        <v>0</v>
      </c>
      <c r="P86" s="306"/>
      <c r="R86" s="53"/>
    </row>
    <row r="87" spans="1:18" hidden="1" x14ac:dyDescent="0.25">
      <c r="A87" s="254">
        <v>2210</v>
      </c>
      <c r="B87" s="179" t="s">
        <v>103</v>
      </c>
      <c r="C87" s="257">
        <f t="shared" si="4"/>
        <v>0</v>
      </c>
      <c r="D87" s="255">
        <f>SUM(D88:D91)</f>
        <v>0</v>
      </c>
      <c r="E87" s="261">
        <f>SUM(E88:E91)</f>
        <v>0</v>
      </c>
      <c r="F87" s="259">
        <f t="shared" si="5"/>
        <v>0</v>
      </c>
      <c r="G87" s="255">
        <f>SUM(G88:G91)</f>
        <v>0</v>
      </c>
      <c r="H87" s="258">
        <f>SUM(H88:H91)</f>
        <v>0</v>
      </c>
      <c r="I87" s="259">
        <f t="shared" si="6"/>
        <v>0</v>
      </c>
      <c r="J87" s="255">
        <f>SUM(J88:J91)</f>
        <v>0</v>
      </c>
      <c r="K87" s="258">
        <f>SUM(K88:K91)</f>
        <v>0</v>
      </c>
      <c r="L87" s="259">
        <f t="shared" si="7"/>
        <v>0</v>
      </c>
      <c r="M87" s="260">
        <f>SUM(M88:M91)</f>
        <v>0</v>
      </c>
      <c r="N87" s="261">
        <f>SUM(N88:N91)</f>
        <v>0</v>
      </c>
      <c r="O87" s="259">
        <f t="shared" si="8"/>
        <v>0</v>
      </c>
      <c r="P87" s="189"/>
      <c r="R87" s="53"/>
    </row>
    <row r="88" spans="1:18" ht="24" hidden="1" x14ac:dyDescent="0.25">
      <c r="A88" s="66">
        <v>2211</v>
      </c>
      <c r="B88" s="116" t="s">
        <v>104</v>
      </c>
      <c r="C88" s="279">
        <f t="shared" si="4"/>
        <v>0</v>
      </c>
      <c r="D88" s="123">
        <v>0</v>
      </c>
      <c r="E88" s="262"/>
      <c r="F88" s="125">
        <f t="shared" si="5"/>
        <v>0</v>
      </c>
      <c r="G88" s="123"/>
      <c r="H88" s="124"/>
      <c r="I88" s="125">
        <f t="shared" si="6"/>
        <v>0</v>
      </c>
      <c r="J88" s="123"/>
      <c r="K88" s="124"/>
      <c r="L88" s="125">
        <f t="shared" si="7"/>
        <v>0</v>
      </c>
      <c r="M88" s="264"/>
      <c r="N88" s="262"/>
      <c r="O88" s="125">
        <f t="shared" si="8"/>
        <v>0</v>
      </c>
      <c r="P88" s="74"/>
      <c r="R88" s="53"/>
    </row>
    <row r="89" spans="1:18" ht="36" hidden="1" x14ac:dyDescent="0.25">
      <c r="A89" s="76">
        <v>2212</v>
      </c>
      <c r="B89" s="127" t="s">
        <v>105</v>
      </c>
      <c r="C89" s="279">
        <f t="shared" si="4"/>
        <v>0</v>
      </c>
      <c r="D89" s="134">
        <v>0</v>
      </c>
      <c r="E89" s="285"/>
      <c r="F89" s="136">
        <f t="shared" si="5"/>
        <v>0</v>
      </c>
      <c r="G89" s="134"/>
      <c r="H89" s="135"/>
      <c r="I89" s="136">
        <f t="shared" si="6"/>
        <v>0</v>
      </c>
      <c r="J89" s="134"/>
      <c r="K89" s="135"/>
      <c r="L89" s="136">
        <f t="shared" si="7"/>
        <v>0</v>
      </c>
      <c r="M89" s="284"/>
      <c r="N89" s="285"/>
      <c r="O89" s="136">
        <f t="shared" si="8"/>
        <v>0</v>
      </c>
      <c r="P89" s="85"/>
      <c r="R89" s="53"/>
    </row>
    <row r="90" spans="1:18" ht="24" hidden="1" x14ac:dyDescent="0.25">
      <c r="A90" s="76">
        <v>2214</v>
      </c>
      <c r="B90" s="127" t="s">
        <v>106</v>
      </c>
      <c r="C90" s="279">
        <f t="shared" si="4"/>
        <v>0</v>
      </c>
      <c r="D90" s="134">
        <v>0</v>
      </c>
      <c r="E90" s="285"/>
      <c r="F90" s="136">
        <f t="shared" si="5"/>
        <v>0</v>
      </c>
      <c r="G90" s="134"/>
      <c r="H90" s="135"/>
      <c r="I90" s="136">
        <f t="shared" si="6"/>
        <v>0</v>
      </c>
      <c r="J90" s="134"/>
      <c r="K90" s="135"/>
      <c r="L90" s="136">
        <f t="shared" si="7"/>
        <v>0</v>
      </c>
      <c r="M90" s="284"/>
      <c r="N90" s="285"/>
      <c r="O90" s="136">
        <f t="shared" si="8"/>
        <v>0</v>
      </c>
      <c r="P90" s="85"/>
      <c r="R90" s="53"/>
    </row>
    <row r="91" spans="1:18" hidden="1" x14ac:dyDescent="0.25">
      <c r="A91" s="76">
        <v>2219</v>
      </c>
      <c r="B91" s="127" t="s">
        <v>107</v>
      </c>
      <c r="C91" s="279">
        <f t="shared" si="4"/>
        <v>0</v>
      </c>
      <c r="D91" s="134">
        <v>0</v>
      </c>
      <c r="E91" s="285"/>
      <c r="F91" s="136">
        <f t="shared" si="5"/>
        <v>0</v>
      </c>
      <c r="G91" s="134"/>
      <c r="H91" s="135"/>
      <c r="I91" s="136">
        <f t="shared" si="6"/>
        <v>0</v>
      </c>
      <c r="J91" s="134"/>
      <c r="K91" s="135"/>
      <c r="L91" s="136">
        <f t="shared" si="7"/>
        <v>0</v>
      </c>
      <c r="M91" s="284"/>
      <c r="N91" s="285"/>
      <c r="O91" s="136">
        <f t="shared" si="8"/>
        <v>0</v>
      </c>
      <c r="P91" s="85"/>
      <c r="R91" s="53"/>
    </row>
    <row r="92" spans="1:18" ht="24" x14ac:dyDescent="0.25">
      <c r="A92" s="276">
        <v>2220</v>
      </c>
      <c r="B92" s="127" t="s">
        <v>108</v>
      </c>
      <c r="C92" s="279">
        <f t="shared" si="4"/>
        <v>40</v>
      </c>
      <c r="D92" s="277">
        <f>SUM(D93:D97)</f>
        <v>40</v>
      </c>
      <c r="E92" s="282">
        <f>SUM(E93:E97)</f>
        <v>0</v>
      </c>
      <c r="F92" s="136">
        <f t="shared" si="5"/>
        <v>40</v>
      </c>
      <c r="G92" s="277">
        <f>SUM(G93:G97)</f>
        <v>0</v>
      </c>
      <c r="H92" s="280">
        <f>SUM(H93:H97)</f>
        <v>0</v>
      </c>
      <c r="I92" s="136">
        <f t="shared" si="6"/>
        <v>0</v>
      </c>
      <c r="J92" s="277">
        <f>SUM(J93:J97)</f>
        <v>0</v>
      </c>
      <c r="K92" s="280">
        <f>SUM(K93:K97)</f>
        <v>0</v>
      </c>
      <c r="L92" s="136">
        <f t="shared" si="7"/>
        <v>0</v>
      </c>
      <c r="M92" s="281">
        <f>SUM(M93:M97)</f>
        <v>0</v>
      </c>
      <c r="N92" s="282">
        <f>SUM(N93:N97)</f>
        <v>0</v>
      </c>
      <c r="O92" s="136">
        <f t="shared" si="8"/>
        <v>0</v>
      </c>
      <c r="P92" s="85"/>
      <c r="R92" s="53"/>
    </row>
    <row r="93" spans="1:18" hidden="1" x14ac:dyDescent="0.25">
      <c r="A93" s="76">
        <v>2221</v>
      </c>
      <c r="B93" s="127" t="s">
        <v>109</v>
      </c>
      <c r="C93" s="279">
        <f t="shared" si="4"/>
        <v>0</v>
      </c>
      <c r="D93" s="134">
        <v>0</v>
      </c>
      <c r="E93" s="285"/>
      <c r="F93" s="136">
        <f t="shared" si="5"/>
        <v>0</v>
      </c>
      <c r="G93" s="134"/>
      <c r="H93" s="135"/>
      <c r="I93" s="136">
        <f t="shared" si="6"/>
        <v>0</v>
      </c>
      <c r="J93" s="134"/>
      <c r="K93" s="135"/>
      <c r="L93" s="136">
        <f t="shared" si="7"/>
        <v>0</v>
      </c>
      <c r="M93" s="284"/>
      <c r="N93" s="285"/>
      <c r="O93" s="136">
        <f t="shared" si="8"/>
        <v>0</v>
      </c>
      <c r="P93" s="85"/>
      <c r="R93" s="53"/>
    </row>
    <row r="94" spans="1:18" hidden="1" x14ac:dyDescent="0.25">
      <c r="A94" s="76">
        <v>2222</v>
      </c>
      <c r="B94" s="127" t="s">
        <v>110</v>
      </c>
      <c r="C94" s="279">
        <f t="shared" si="4"/>
        <v>0</v>
      </c>
      <c r="D94" s="134">
        <v>0</v>
      </c>
      <c r="E94" s="285"/>
      <c r="F94" s="136">
        <f t="shared" si="5"/>
        <v>0</v>
      </c>
      <c r="G94" s="134"/>
      <c r="H94" s="135"/>
      <c r="I94" s="136">
        <f t="shared" si="6"/>
        <v>0</v>
      </c>
      <c r="J94" s="134"/>
      <c r="K94" s="135"/>
      <c r="L94" s="136">
        <f t="shared" si="7"/>
        <v>0</v>
      </c>
      <c r="M94" s="284"/>
      <c r="N94" s="285"/>
      <c r="O94" s="136">
        <f t="shared" si="8"/>
        <v>0</v>
      </c>
      <c r="P94" s="85"/>
      <c r="R94" s="53"/>
    </row>
    <row r="95" spans="1:18" x14ac:dyDescent="0.25">
      <c r="A95" s="76">
        <v>2223</v>
      </c>
      <c r="B95" s="127" t="s">
        <v>111</v>
      </c>
      <c r="C95" s="279">
        <f t="shared" si="4"/>
        <v>40</v>
      </c>
      <c r="D95" s="134">
        <v>40</v>
      </c>
      <c r="E95" s="285"/>
      <c r="F95" s="136">
        <f t="shared" si="5"/>
        <v>40</v>
      </c>
      <c r="G95" s="134"/>
      <c r="H95" s="135"/>
      <c r="I95" s="136">
        <f t="shared" si="6"/>
        <v>0</v>
      </c>
      <c r="J95" s="134"/>
      <c r="K95" s="135"/>
      <c r="L95" s="136">
        <f t="shared" si="7"/>
        <v>0</v>
      </c>
      <c r="M95" s="284"/>
      <c r="N95" s="285"/>
      <c r="O95" s="136">
        <f t="shared" si="8"/>
        <v>0</v>
      </c>
      <c r="P95" s="85"/>
      <c r="R95" s="53"/>
    </row>
    <row r="96" spans="1:18" ht="48" hidden="1" x14ac:dyDescent="0.25">
      <c r="A96" s="76">
        <v>2224</v>
      </c>
      <c r="B96" s="127" t="s">
        <v>112</v>
      </c>
      <c r="C96" s="279">
        <f t="shared" si="4"/>
        <v>0</v>
      </c>
      <c r="D96" s="134">
        <v>0</v>
      </c>
      <c r="E96" s="285"/>
      <c r="F96" s="136">
        <f t="shared" si="5"/>
        <v>0</v>
      </c>
      <c r="G96" s="134"/>
      <c r="H96" s="135"/>
      <c r="I96" s="136">
        <f t="shared" si="6"/>
        <v>0</v>
      </c>
      <c r="J96" s="134"/>
      <c r="K96" s="135"/>
      <c r="L96" s="136">
        <f t="shared" si="7"/>
        <v>0</v>
      </c>
      <c r="M96" s="284"/>
      <c r="N96" s="285"/>
      <c r="O96" s="136">
        <f t="shared" si="8"/>
        <v>0</v>
      </c>
      <c r="P96" s="85"/>
      <c r="R96" s="53"/>
    </row>
    <row r="97" spans="1:18" ht="24" hidden="1" x14ac:dyDescent="0.25">
      <c r="A97" s="76">
        <v>2229</v>
      </c>
      <c r="B97" s="127" t="s">
        <v>113</v>
      </c>
      <c r="C97" s="279">
        <f t="shared" si="4"/>
        <v>0</v>
      </c>
      <c r="D97" s="134">
        <v>0</v>
      </c>
      <c r="E97" s="285"/>
      <c r="F97" s="136">
        <f t="shared" si="5"/>
        <v>0</v>
      </c>
      <c r="G97" s="134"/>
      <c r="H97" s="135"/>
      <c r="I97" s="136">
        <f t="shared" si="6"/>
        <v>0</v>
      </c>
      <c r="J97" s="134"/>
      <c r="K97" s="135"/>
      <c r="L97" s="136">
        <f t="shared" si="7"/>
        <v>0</v>
      </c>
      <c r="M97" s="284"/>
      <c r="N97" s="285"/>
      <c r="O97" s="136">
        <f t="shared" si="8"/>
        <v>0</v>
      </c>
      <c r="P97" s="85"/>
      <c r="R97" s="53"/>
    </row>
    <row r="98" spans="1:18" ht="36" x14ac:dyDescent="0.25">
      <c r="A98" s="276">
        <v>2230</v>
      </c>
      <c r="B98" s="127" t="s">
        <v>114</v>
      </c>
      <c r="C98" s="279">
        <f t="shared" si="4"/>
        <v>6440</v>
      </c>
      <c r="D98" s="277">
        <f>SUM(D99:D105)</f>
        <v>6440</v>
      </c>
      <c r="E98" s="282">
        <f>SUM(E99:E105)</f>
        <v>0</v>
      </c>
      <c r="F98" s="136">
        <f t="shared" si="5"/>
        <v>6440</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c r="R98" s="53"/>
    </row>
    <row r="99" spans="1:18" ht="24" x14ac:dyDescent="0.25">
      <c r="A99" s="76">
        <v>2231</v>
      </c>
      <c r="B99" s="127" t="s">
        <v>115</v>
      </c>
      <c r="C99" s="279">
        <f t="shared" si="4"/>
        <v>6052</v>
      </c>
      <c r="D99" s="134">
        <v>6052</v>
      </c>
      <c r="E99" s="285"/>
      <c r="F99" s="136">
        <f t="shared" si="5"/>
        <v>6052</v>
      </c>
      <c r="G99" s="134"/>
      <c r="H99" s="135"/>
      <c r="I99" s="136">
        <f t="shared" si="6"/>
        <v>0</v>
      </c>
      <c r="J99" s="134"/>
      <c r="K99" s="135"/>
      <c r="L99" s="136">
        <f t="shared" si="7"/>
        <v>0</v>
      </c>
      <c r="M99" s="284"/>
      <c r="N99" s="285"/>
      <c r="O99" s="136">
        <f t="shared" si="8"/>
        <v>0</v>
      </c>
      <c r="P99" s="85"/>
      <c r="R99" s="53"/>
    </row>
    <row r="100" spans="1:18" ht="24" x14ac:dyDescent="0.25">
      <c r="A100" s="76">
        <v>2232</v>
      </c>
      <c r="B100" s="127" t="s">
        <v>116</v>
      </c>
      <c r="C100" s="279">
        <f t="shared" si="4"/>
        <v>388</v>
      </c>
      <c r="D100" s="134">
        <v>388</v>
      </c>
      <c r="E100" s="285"/>
      <c r="F100" s="136">
        <f t="shared" si="5"/>
        <v>388</v>
      </c>
      <c r="G100" s="134"/>
      <c r="H100" s="135"/>
      <c r="I100" s="136">
        <f t="shared" si="6"/>
        <v>0</v>
      </c>
      <c r="J100" s="134"/>
      <c r="K100" s="135"/>
      <c r="L100" s="136">
        <f t="shared" si="7"/>
        <v>0</v>
      </c>
      <c r="M100" s="284"/>
      <c r="N100" s="285"/>
      <c r="O100" s="136">
        <f t="shared" si="8"/>
        <v>0</v>
      </c>
      <c r="P100" s="85"/>
      <c r="R100" s="53"/>
    </row>
    <row r="101" spans="1:18" hidden="1" x14ac:dyDescent="0.25">
      <c r="A101" s="66">
        <v>2233</v>
      </c>
      <c r="B101" s="116" t="s">
        <v>117</v>
      </c>
      <c r="C101" s="279">
        <f t="shared" si="4"/>
        <v>0</v>
      </c>
      <c r="D101" s="123">
        <v>0</v>
      </c>
      <c r="E101" s="262"/>
      <c r="F101" s="125">
        <f t="shared" si="5"/>
        <v>0</v>
      </c>
      <c r="G101" s="123"/>
      <c r="H101" s="124"/>
      <c r="I101" s="125">
        <f t="shared" si="6"/>
        <v>0</v>
      </c>
      <c r="J101" s="123"/>
      <c r="K101" s="124"/>
      <c r="L101" s="125">
        <f t="shared" si="7"/>
        <v>0</v>
      </c>
      <c r="M101" s="264"/>
      <c r="N101" s="262"/>
      <c r="O101" s="125">
        <f t="shared" si="8"/>
        <v>0</v>
      </c>
      <c r="P101" s="74"/>
      <c r="R101" s="53"/>
    </row>
    <row r="102" spans="1:18" ht="24" hidden="1" x14ac:dyDescent="0.25">
      <c r="A102" s="76">
        <v>2234</v>
      </c>
      <c r="B102" s="127" t="s">
        <v>118</v>
      </c>
      <c r="C102" s="279">
        <f t="shared" si="4"/>
        <v>0</v>
      </c>
      <c r="D102" s="134">
        <v>0</v>
      </c>
      <c r="E102" s="285"/>
      <c r="F102" s="136">
        <f t="shared" si="5"/>
        <v>0</v>
      </c>
      <c r="G102" s="134"/>
      <c r="H102" s="135"/>
      <c r="I102" s="136">
        <f t="shared" si="6"/>
        <v>0</v>
      </c>
      <c r="J102" s="134"/>
      <c r="K102" s="135"/>
      <c r="L102" s="136">
        <f t="shared" si="7"/>
        <v>0</v>
      </c>
      <c r="M102" s="284"/>
      <c r="N102" s="285"/>
      <c r="O102" s="136">
        <f t="shared" si="8"/>
        <v>0</v>
      </c>
      <c r="P102" s="85"/>
      <c r="R102" s="53"/>
    </row>
    <row r="103" spans="1:18" ht="24" hidden="1" x14ac:dyDescent="0.25">
      <c r="A103" s="76">
        <v>2235</v>
      </c>
      <c r="B103" s="127" t="s">
        <v>119</v>
      </c>
      <c r="C103" s="279">
        <f t="shared" si="4"/>
        <v>0</v>
      </c>
      <c r="D103" s="134">
        <v>0</v>
      </c>
      <c r="E103" s="285"/>
      <c r="F103" s="136">
        <f t="shared" si="5"/>
        <v>0</v>
      </c>
      <c r="G103" s="134"/>
      <c r="H103" s="135"/>
      <c r="I103" s="136">
        <f t="shared" si="6"/>
        <v>0</v>
      </c>
      <c r="J103" s="134"/>
      <c r="K103" s="135"/>
      <c r="L103" s="136">
        <f t="shared" si="7"/>
        <v>0</v>
      </c>
      <c r="M103" s="284"/>
      <c r="N103" s="285"/>
      <c r="O103" s="136">
        <f t="shared" si="8"/>
        <v>0</v>
      </c>
      <c r="P103" s="85"/>
      <c r="R103" s="53"/>
    </row>
    <row r="104" spans="1:18" hidden="1" x14ac:dyDescent="0.25">
      <c r="A104" s="76">
        <v>2236</v>
      </c>
      <c r="B104" s="127" t="s">
        <v>120</v>
      </c>
      <c r="C104" s="279">
        <f t="shared" si="4"/>
        <v>0</v>
      </c>
      <c r="D104" s="134">
        <v>0</v>
      </c>
      <c r="E104" s="285"/>
      <c r="F104" s="136">
        <f t="shared" si="5"/>
        <v>0</v>
      </c>
      <c r="G104" s="134"/>
      <c r="H104" s="135"/>
      <c r="I104" s="136">
        <f t="shared" si="6"/>
        <v>0</v>
      </c>
      <c r="J104" s="134"/>
      <c r="K104" s="135"/>
      <c r="L104" s="136">
        <f t="shared" si="7"/>
        <v>0</v>
      </c>
      <c r="M104" s="284"/>
      <c r="N104" s="285"/>
      <c r="O104" s="136">
        <f t="shared" si="8"/>
        <v>0</v>
      </c>
      <c r="P104" s="85"/>
      <c r="R104" s="53"/>
    </row>
    <row r="105" spans="1:18" hidden="1" x14ac:dyDescent="0.25">
      <c r="A105" s="76">
        <v>2239</v>
      </c>
      <c r="B105" s="127" t="s">
        <v>121</v>
      </c>
      <c r="C105" s="279">
        <f t="shared" si="4"/>
        <v>0</v>
      </c>
      <c r="D105" s="134">
        <v>0</v>
      </c>
      <c r="E105" s="285"/>
      <c r="F105" s="136">
        <f t="shared" si="5"/>
        <v>0</v>
      </c>
      <c r="G105" s="134"/>
      <c r="H105" s="135"/>
      <c r="I105" s="136">
        <f t="shared" si="6"/>
        <v>0</v>
      </c>
      <c r="J105" s="134"/>
      <c r="K105" s="135"/>
      <c r="L105" s="136">
        <f t="shared" si="7"/>
        <v>0</v>
      </c>
      <c r="M105" s="284"/>
      <c r="N105" s="285"/>
      <c r="O105" s="136">
        <f t="shared" si="8"/>
        <v>0</v>
      </c>
      <c r="P105" s="85"/>
      <c r="R105" s="53"/>
    </row>
    <row r="106" spans="1:18" ht="24" x14ac:dyDescent="0.25">
      <c r="A106" s="276">
        <v>2240</v>
      </c>
      <c r="B106" s="127" t="s">
        <v>122</v>
      </c>
      <c r="C106" s="279">
        <f t="shared" si="4"/>
        <v>150</v>
      </c>
      <c r="D106" s="277">
        <f>SUM(D107:D114)</f>
        <v>150</v>
      </c>
      <c r="E106" s="282">
        <f>SUM(E107:E114)</f>
        <v>0</v>
      </c>
      <c r="F106" s="136">
        <f t="shared" si="5"/>
        <v>150</v>
      </c>
      <c r="G106" s="277">
        <f>SUM(G107:G114)</f>
        <v>0</v>
      </c>
      <c r="H106" s="280">
        <f>SUM(H107:H114)</f>
        <v>0</v>
      </c>
      <c r="I106" s="136">
        <f t="shared" si="6"/>
        <v>0</v>
      </c>
      <c r="J106" s="277">
        <f>SUM(J107:J114)</f>
        <v>0</v>
      </c>
      <c r="K106" s="280">
        <f>SUM(K107:K114)</f>
        <v>0</v>
      </c>
      <c r="L106" s="136">
        <f t="shared" si="7"/>
        <v>0</v>
      </c>
      <c r="M106" s="281">
        <f>SUM(M107:M114)</f>
        <v>0</v>
      </c>
      <c r="N106" s="282">
        <f>SUM(N107:N114)</f>
        <v>0</v>
      </c>
      <c r="O106" s="136">
        <f t="shared" si="8"/>
        <v>0</v>
      </c>
      <c r="P106" s="85"/>
      <c r="R106" s="53"/>
    </row>
    <row r="107" spans="1:18" hidden="1" x14ac:dyDescent="0.25">
      <c r="A107" s="76">
        <v>2241</v>
      </c>
      <c r="B107" s="127" t="s">
        <v>123</v>
      </c>
      <c r="C107" s="279">
        <f t="shared" si="4"/>
        <v>0</v>
      </c>
      <c r="D107" s="134">
        <v>0</v>
      </c>
      <c r="E107" s="285"/>
      <c r="F107" s="136">
        <f t="shared" si="5"/>
        <v>0</v>
      </c>
      <c r="G107" s="134"/>
      <c r="H107" s="135"/>
      <c r="I107" s="136">
        <f t="shared" si="6"/>
        <v>0</v>
      </c>
      <c r="J107" s="134"/>
      <c r="K107" s="135"/>
      <c r="L107" s="136">
        <f t="shared" si="7"/>
        <v>0</v>
      </c>
      <c r="M107" s="284"/>
      <c r="N107" s="285"/>
      <c r="O107" s="136">
        <f t="shared" si="8"/>
        <v>0</v>
      </c>
      <c r="P107" s="85"/>
      <c r="R107" s="53"/>
    </row>
    <row r="108" spans="1:18" hidden="1" x14ac:dyDescent="0.25">
      <c r="A108" s="76">
        <v>2242</v>
      </c>
      <c r="B108" s="127" t="s">
        <v>124</v>
      </c>
      <c r="C108" s="279">
        <f t="shared" si="4"/>
        <v>0</v>
      </c>
      <c r="D108" s="134">
        <v>0</v>
      </c>
      <c r="E108" s="285"/>
      <c r="F108" s="136">
        <f t="shared" si="5"/>
        <v>0</v>
      </c>
      <c r="G108" s="134"/>
      <c r="H108" s="135"/>
      <c r="I108" s="136">
        <f t="shared" si="6"/>
        <v>0</v>
      </c>
      <c r="J108" s="134"/>
      <c r="K108" s="135"/>
      <c r="L108" s="136">
        <f t="shared" si="7"/>
        <v>0</v>
      </c>
      <c r="M108" s="284"/>
      <c r="N108" s="285"/>
      <c r="O108" s="136">
        <f t="shared" si="8"/>
        <v>0</v>
      </c>
      <c r="P108" s="85"/>
      <c r="R108" s="53"/>
    </row>
    <row r="109" spans="1:18" ht="24" hidden="1" x14ac:dyDescent="0.25">
      <c r="A109" s="76">
        <v>2243</v>
      </c>
      <c r="B109" s="127" t="s">
        <v>125</v>
      </c>
      <c r="C109" s="279">
        <f t="shared" si="4"/>
        <v>0</v>
      </c>
      <c r="D109" s="134">
        <v>0</v>
      </c>
      <c r="E109" s="285"/>
      <c r="F109" s="136">
        <f t="shared" si="5"/>
        <v>0</v>
      </c>
      <c r="G109" s="134"/>
      <c r="H109" s="135"/>
      <c r="I109" s="136">
        <f t="shared" si="6"/>
        <v>0</v>
      </c>
      <c r="J109" s="134"/>
      <c r="K109" s="135"/>
      <c r="L109" s="136">
        <f t="shared" si="7"/>
        <v>0</v>
      </c>
      <c r="M109" s="284"/>
      <c r="N109" s="285"/>
      <c r="O109" s="136">
        <f t="shared" si="8"/>
        <v>0</v>
      </c>
      <c r="P109" s="85"/>
      <c r="R109" s="53"/>
    </row>
    <row r="110" spans="1:18" hidden="1" x14ac:dyDescent="0.25">
      <c r="A110" s="76">
        <v>2244</v>
      </c>
      <c r="B110" s="127" t="s">
        <v>126</v>
      </c>
      <c r="C110" s="279">
        <f t="shared" si="4"/>
        <v>0</v>
      </c>
      <c r="D110" s="134">
        <v>0</v>
      </c>
      <c r="E110" s="285"/>
      <c r="F110" s="136">
        <f t="shared" si="5"/>
        <v>0</v>
      </c>
      <c r="G110" s="134"/>
      <c r="H110" s="135"/>
      <c r="I110" s="136">
        <f t="shared" si="6"/>
        <v>0</v>
      </c>
      <c r="J110" s="134"/>
      <c r="K110" s="135"/>
      <c r="L110" s="136">
        <f t="shared" si="7"/>
        <v>0</v>
      </c>
      <c r="M110" s="284"/>
      <c r="N110" s="285"/>
      <c r="O110" s="136">
        <f t="shared" si="8"/>
        <v>0</v>
      </c>
      <c r="P110" s="85"/>
      <c r="R110" s="53"/>
    </row>
    <row r="111" spans="1:18" ht="24" hidden="1" x14ac:dyDescent="0.25">
      <c r="A111" s="76">
        <v>2246</v>
      </c>
      <c r="B111" s="127" t="s">
        <v>127</v>
      </c>
      <c r="C111" s="279">
        <f t="shared" si="4"/>
        <v>0</v>
      </c>
      <c r="D111" s="134">
        <v>0</v>
      </c>
      <c r="E111" s="285"/>
      <c r="F111" s="136">
        <f t="shared" si="5"/>
        <v>0</v>
      </c>
      <c r="G111" s="134"/>
      <c r="H111" s="135"/>
      <c r="I111" s="136">
        <f t="shared" si="6"/>
        <v>0</v>
      </c>
      <c r="J111" s="134"/>
      <c r="K111" s="135"/>
      <c r="L111" s="136">
        <f t="shared" si="7"/>
        <v>0</v>
      </c>
      <c r="M111" s="284"/>
      <c r="N111" s="285"/>
      <c r="O111" s="136">
        <f t="shared" si="8"/>
        <v>0</v>
      </c>
      <c r="P111" s="85"/>
      <c r="R111" s="53"/>
    </row>
    <row r="112" spans="1:18" x14ac:dyDescent="0.25">
      <c r="A112" s="76">
        <v>2247</v>
      </c>
      <c r="B112" s="127" t="s">
        <v>128</v>
      </c>
      <c r="C112" s="279">
        <f t="shared" si="4"/>
        <v>150</v>
      </c>
      <c r="D112" s="134">
        <v>150</v>
      </c>
      <c r="E112" s="285"/>
      <c r="F112" s="136">
        <f t="shared" si="5"/>
        <v>150</v>
      </c>
      <c r="G112" s="134"/>
      <c r="H112" s="135"/>
      <c r="I112" s="136">
        <f t="shared" si="6"/>
        <v>0</v>
      </c>
      <c r="J112" s="134"/>
      <c r="K112" s="135"/>
      <c r="L112" s="136">
        <f t="shared" si="7"/>
        <v>0</v>
      </c>
      <c r="M112" s="284"/>
      <c r="N112" s="285"/>
      <c r="O112" s="136">
        <f t="shared" si="8"/>
        <v>0</v>
      </c>
      <c r="P112" s="85"/>
      <c r="R112" s="53"/>
    </row>
    <row r="113" spans="1:18" ht="24" hidden="1" x14ac:dyDescent="0.25">
      <c r="A113" s="76">
        <v>2248</v>
      </c>
      <c r="B113" s="127" t="s">
        <v>129</v>
      </c>
      <c r="C113" s="279">
        <f t="shared" si="4"/>
        <v>0</v>
      </c>
      <c r="D113" s="134">
        <v>0</v>
      </c>
      <c r="E113" s="285"/>
      <c r="F113" s="136">
        <f t="shared" si="5"/>
        <v>0</v>
      </c>
      <c r="G113" s="134"/>
      <c r="H113" s="135"/>
      <c r="I113" s="136">
        <f t="shared" si="6"/>
        <v>0</v>
      </c>
      <c r="J113" s="134"/>
      <c r="K113" s="135"/>
      <c r="L113" s="136">
        <f t="shared" si="7"/>
        <v>0</v>
      </c>
      <c r="M113" s="284"/>
      <c r="N113" s="285"/>
      <c r="O113" s="136">
        <f t="shared" si="8"/>
        <v>0</v>
      </c>
      <c r="P113" s="85"/>
      <c r="R113" s="53"/>
    </row>
    <row r="114" spans="1:18" ht="24" hidden="1" x14ac:dyDescent="0.25">
      <c r="A114" s="76">
        <v>2249</v>
      </c>
      <c r="B114" s="127" t="s">
        <v>130</v>
      </c>
      <c r="C114" s="279">
        <f t="shared" si="4"/>
        <v>0</v>
      </c>
      <c r="D114" s="134">
        <v>0</v>
      </c>
      <c r="E114" s="285"/>
      <c r="F114" s="136">
        <f t="shared" si="5"/>
        <v>0</v>
      </c>
      <c r="G114" s="134"/>
      <c r="H114" s="135"/>
      <c r="I114" s="136">
        <f t="shared" si="6"/>
        <v>0</v>
      </c>
      <c r="J114" s="134"/>
      <c r="K114" s="135"/>
      <c r="L114" s="136">
        <f t="shared" si="7"/>
        <v>0</v>
      </c>
      <c r="M114" s="284"/>
      <c r="N114" s="285"/>
      <c r="O114" s="136">
        <f t="shared" si="8"/>
        <v>0</v>
      </c>
      <c r="P114" s="85"/>
      <c r="R114" s="53"/>
    </row>
    <row r="115" spans="1:18" hidden="1" x14ac:dyDescent="0.25">
      <c r="A115" s="276">
        <v>2250</v>
      </c>
      <c r="B115" s="127" t="s">
        <v>131</v>
      </c>
      <c r="C115" s="279">
        <f t="shared" si="4"/>
        <v>0</v>
      </c>
      <c r="D115" s="277">
        <f>SUM(D116:D118)</f>
        <v>0</v>
      </c>
      <c r="E115" s="282">
        <f>SUM(E116:E118)</f>
        <v>0</v>
      </c>
      <c r="F115" s="136">
        <f t="shared" si="5"/>
        <v>0</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c r="R115" s="53"/>
    </row>
    <row r="116" spans="1:18" hidden="1" x14ac:dyDescent="0.25">
      <c r="A116" s="76">
        <v>2251</v>
      </c>
      <c r="B116" s="127" t="s">
        <v>132</v>
      </c>
      <c r="C116" s="279">
        <f t="shared" si="4"/>
        <v>0</v>
      </c>
      <c r="D116" s="134">
        <v>0</v>
      </c>
      <c r="E116" s="285"/>
      <c r="F116" s="136">
        <f t="shared" si="5"/>
        <v>0</v>
      </c>
      <c r="G116" s="134"/>
      <c r="H116" s="135"/>
      <c r="I116" s="136">
        <f t="shared" si="6"/>
        <v>0</v>
      </c>
      <c r="J116" s="134"/>
      <c r="K116" s="135"/>
      <c r="L116" s="136">
        <f t="shared" si="7"/>
        <v>0</v>
      </c>
      <c r="M116" s="284"/>
      <c r="N116" s="285"/>
      <c r="O116" s="136">
        <f t="shared" si="8"/>
        <v>0</v>
      </c>
      <c r="P116" s="85"/>
      <c r="R116" s="53"/>
    </row>
    <row r="117" spans="1:18" ht="24" hidden="1" x14ac:dyDescent="0.25">
      <c r="A117" s="76">
        <v>2252</v>
      </c>
      <c r="B117" s="127" t="s">
        <v>133</v>
      </c>
      <c r="C117" s="279">
        <f t="shared" ref="C117:C181" si="9">F117+I117+L117+O117</f>
        <v>0</v>
      </c>
      <c r="D117" s="134">
        <v>0</v>
      </c>
      <c r="E117" s="285"/>
      <c r="F117" s="136">
        <f t="shared" si="5"/>
        <v>0</v>
      </c>
      <c r="G117" s="134"/>
      <c r="H117" s="135"/>
      <c r="I117" s="136">
        <f t="shared" si="6"/>
        <v>0</v>
      </c>
      <c r="J117" s="134"/>
      <c r="K117" s="135"/>
      <c r="L117" s="136">
        <f t="shared" si="7"/>
        <v>0</v>
      </c>
      <c r="M117" s="284"/>
      <c r="N117" s="285"/>
      <c r="O117" s="136">
        <f t="shared" si="8"/>
        <v>0</v>
      </c>
      <c r="P117" s="85"/>
      <c r="R117" s="53"/>
    </row>
    <row r="118" spans="1:18" ht="24" hidden="1" x14ac:dyDescent="0.25">
      <c r="A118" s="76">
        <v>2259</v>
      </c>
      <c r="B118" s="127" t="s">
        <v>134</v>
      </c>
      <c r="C118" s="279">
        <f t="shared" si="9"/>
        <v>0</v>
      </c>
      <c r="D118" s="134">
        <v>0</v>
      </c>
      <c r="E118" s="285"/>
      <c r="F118" s="136">
        <f t="shared" ref="F118:F182" si="10">D118+E118</f>
        <v>0</v>
      </c>
      <c r="G118" s="134"/>
      <c r="H118" s="135"/>
      <c r="I118" s="136">
        <f t="shared" ref="I118:I182" si="11">G118+H118</f>
        <v>0</v>
      </c>
      <c r="J118" s="134"/>
      <c r="K118" s="135"/>
      <c r="L118" s="136">
        <f t="shared" ref="L118:L182" si="12">J118+K118</f>
        <v>0</v>
      </c>
      <c r="M118" s="284"/>
      <c r="N118" s="285"/>
      <c r="O118" s="136">
        <f t="shared" ref="O118:O182" si="13">M118+N118</f>
        <v>0</v>
      </c>
      <c r="P118" s="85"/>
      <c r="R118" s="53"/>
    </row>
    <row r="119" spans="1:18" x14ac:dyDescent="0.25">
      <c r="A119" s="276">
        <v>2260</v>
      </c>
      <c r="B119" s="127" t="s">
        <v>135</v>
      </c>
      <c r="C119" s="279">
        <f t="shared" si="9"/>
        <v>23641</v>
      </c>
      <c r="D119" s="277">
        <f>SUM(D120:D124)</f>
        <v>24663</v>
      </c>
      <c r="E119" s="282">
        <f>SUM(E120:E124)</f>
        <v>-1022</v>
      </c>
      <c r="F119" s="136">
        <f t="shared" si="10"/>
        <v>23641</v>
      </c>
      <c r="G119" s="277">
        <f>SUM(G120:G124)</f>
        <v>0</v>
      </c>
      <c r="H119" s="280">
        <f>SUM(H120:H124)</f>
        <v>0</v>
      </c>
      <c r="I119" s="136">
        <f t="shared" si="11"/>
        <v>0</v>
      </c>
      <c r="J119" s="277">
        <f>SUM(J120:J124)</f>
        <v>0</v>
      </c>
      <c r="K119" s="280">
        <f>SUM(K120:K124)</f>
        <v>0</v>
      </c>
      <c r="L119" s="136">
        <f t="shared" si="12"/>
        <v>0</v>
      </c>
      <c r="M119" s="281">
        <f>SUM(M120:M124)</f>
        <v>0</v>
      </c>
      <c r="N119" s="282">
        <f>SUM(N120:N124)</f>
        <v>0</v>
      </c>
      <c r="O119" s="136">
        <f t="shared" si="13"/>
        <v>0</v>
      </c>
      <c r="P119" s="85"/>
      <c r="R119" s="53"/>
    </row>
    <row r="120" spans="1:18" x14ac:dyDescent="0.25">
      <c r="A120" s="76">
        <v>2261</v>
      </c>
      <c r="B120" s="127" t="s">
        <v>136</v>
      </c>
      <c r="C120" s="279">
        <f t="shared" si="9"/>
        <v>10782</v>
      </c>
      <c r="D120" s="134">
        <f>12082-1300</f>
        <v>10782</v>
      </c>
      <c r="E120" s="285"/>
      <c r="F120" s="136">
        <f t="shared" si="10"/>
        <v>10782</v>
      </c>
      <c r="G120" s="134"/>
      <c r="H120" s="135"/>
      <c r="I120" s="136">
        <f t="shared" si="11"/>
        <v>0</v>
      </c>
      <c r="J120" s="134"/>
      <c r="K120" s="135"/>
      <c r="L120" s="136">
        <f t="shared" si="12"/>
        <v>0</v>
      </c>
      <c r="M120" s="284"/>
      <c r="N120" s="285"/>
      <c r="O120" s="136">
        <f t="shared" si="13"/>
        <v>0</v>
      </c>
      <c r="P120" s="85"/>
      <c r="R120" s="53"/>
    </row>
    <row r="121" spans="1:18" x14ac:dyDescent="0.25">
      <c r="A121" s="76">
        <v>2262</v>
      </c>
      <c r="B121" s="127" t="s">
        <v>137</v>
      </c>
      <c r="C121" s="279">
        <f t="shared" si="9"/>
        <v>7325</v>
      </c>
      <c r="D121" s="134">
        <f>11528-1000</f>
        <v>10528</v>
      </c>
      <c r="E121" s="285">
        <f>-600-2603</f>
        <v>-3203</v>
      </c>
      <c r="F121" s="136">
        <f t="shared" si="10"/>
        <v>7325</v>
      </c>
      <c r="G121" s="134"/>
      <c r="H121" s="135"/>
      <c r="I121" s="136">
        <f t="shared" si="11"/>
        <v>0</v>
      </c>
      <c r="J121" s="134"/>
      <c r="K121" s="135"/>
      <c r="L121" s="136">
        <f t="shared" si="12"/>
        <v>0</v>
      </c>
      <c r="M121" s="284"/>
      <c r="N121" s="285"/>
      <c r="O121" s="136">
        <f t="shared" si="13"/>
        <v>0</v>
      </c>
      <c r="P121" s="85"/>
      <c r="R121" s="53"/>
    </row>
    <row r="122" spans="1:18" hidden="1" x14ac:dyDescent="0.25">
      <c r="A122" s="76">
        <v>2263</v>
      </c>
      <c r="B122" s="127" t="s">
        <v>138</v>
      </c>
      <c r="C122" s="279">
        <f t="shared" si="9"/>
        <v>0</v>
      </c>
      <c r="D122" s="134">
        <v>0</v>
      </c>
      <c r="E122" s="285"/>
      <c r="F122" s="136">
        <f t="shared" si="10"/>
        <v>0</v>
      </c>
      <c r="G122" s="134"/>
      <c r="H122" s="135"/>
      <c r="I122" s="136">
        <f t="shared" si="11"/>
        <v>0</v>
      </c>
      <c r="J122" s="134"/>
      <c r="K122" s="135"/>
      <c r="L122" s="136">
        <f t="shared" si="12"/>
        <v>0</v>
      </c>
      <c r="M122" s="284"/>
      <c r="N122" s="285"/>
      <c r="O122" s="136">
        <f t="shared" si="13"/>
        <v>0</v>
      </c>
      <c r="P122" s="85"/>
      <c r="R122" s="53"/>
    </row>
    <row r="123" spans="1:18" ht="24" x14ac:dyDescent="0.25">
      <c r="A123" s="76">
        <v>2264</v>
      </c>
      <c r="B123" s="127" t="s">
        <v>139</v>
      </c>
      <c r="C123" s="279">
        <f t="shared" si="9"/>
        <v>5534</v>
      </c>
      <c r="D123" s="134">
        <f>3403-50</f>
        <v>3353</v>
      </c>
      <c r="E123" s="285">
        <v>2181</v>
      </c>
      <c r="F123" s="136">
        <f t="shared" si="10"/>
        <v>5534</v>
      </c>
      <c r="G123" s="134"/>
      <c r="H123" s="135"/>
      <c r="I123" s="136">
        <f t="shared" si="11"/>
        <v>0</v>
      </c>
      <c r="J123" s="134"/>
      <c r="K123" s="135"/>
      <c r="L123" s="136">
        <f t="shared" si="12"/>
        <v>0</v>
      </c>
      <c r="M123" s="284"/>
      <c r="N123" s="285"/>
      <c r="O123" s="136">
        <f t="shared" si="13"/>
        <v>0</v>
      </c>
      <c r="P123" s="85"/>
      <c r="R123" s="53"/>
    </row>
    <row r="124" spans="1:18" hidden="1" x14ac:dyDescent="0.25">
      <c r="A124" s="76">
        <v>2269</v>
      </c>
      <c r="B124" s="127" t="s">
        <v>140</v>
      </c>
      <c r="C124" s="279">
        <f t="shared" si="9"/>
        <v>0</v>
      </c>
      <c r="D124" s="134">
        <v>0</v>
      </c>
      <c r="E124" s="285"/>
      <c r="F124" s="136">
        <f t="shared" si="10"/>
        <v>0</v>
      </c>
      <c r="G124" s="134"/>
      <c r="H124" s="135"/>
      <c r="I124" s="136">
        <f t="shared" si="11"/>
        <v>0</v>
      </c>
      <c r="J124" s="134"/>
      <c r="K124" s="135"/>
      <c r="L124" s="136">
        <f t="shared" si="12"/>
        <v>0</v>
      </c>
      <c r="M124" s="284"/>
      <c r="N124" s="285"/>
      <c r="O124" s="136">
        <f t="shared" si="13"/>
        <v>0</v>
      </c>
      <c r="P124" s="85"/>
      <c r="R124" s="53"/>
    </row>
    <row r="125" spans="1:18" x14ac:dyDescent="0.25">
      <c r="A125" s="276">
        <v>2270</v>
      </c>
      <c r="B125" s="127" t="s">
        <v>141</v>
      </c>
      <c r="C125" s="279">
        <f t="shared" si="9"/>
        <v>1607927</v>
      </c>
      <c r="D125" s="277">
        <f>SUM(D126:D130)</f>
        <v>1603747</v>
      </c>
      <c r="E125" s="282">
        <f>SUM(E126:E130)</f>
        <v>4180</v>
      </c>
      <c r="F125" s="136">
        <f t="shared" si="10"/>
        <v>1607927</v>
      </c>
      <c r="G125" s="277">
        <f>SUM(G126:G130)</f>
        <v>0</v>
      </c>
      <c r="H125" s="280">
        <f>SUM(H126:H130)</f>
        <v>0</v>
      </c>
      <c r="I125" s="136">
        <f t="shared" si="11"/>
        <v>0</v>
      </c>
      <c r="J125" s="277">
        <f>SUM(J126:J130)</f>
        <v>0</v>
      </c>
      <c r="K125" s="280">
        <f>SUM(K126:K130)</f>
        <v>0</v>
      </c>
      <c r="L125" s="136">
        <f t="shared" si="12"/>
        <v>0</v>
      </c>
      <c r="M125" s="281">
        <f>SUM(M126:M130)</f>
        <v>0</v>
      </c>
      <c r="N125" s="282">
        <f>SUM(N126:N130)</f>
        <v>0</v>
      </c>
      <c r="O125" s="136">
        <f t="shared" si="13"/>
        <v>0</v>
      </c>
      <c r="P125" s="85"/>
      <c r="R125" s="53"/>
    </row>
    <row r="126" spans="1:18" hidden="1" x14ac:dyDescent="0.25">
      <c r="A126" s="76">
        <v>2272</v>
      </c>
      <c r="B126" s="5" t="s">
        <v>142</v>
      </c>
      <c r="C126" s="279">
        <f t="shared" si="9"/>
        <v>0</v>
      </c>
      <c r="D126" s="134">
        <v>0</v>
      </c>
      <c r="E126" s="285"/>
      <c r="F126" s="136">
        <f t="shared" si="10"/>
        <v>0</v>
      </c>
      <c r="G126" s="134"/>
      <c r="H126" s="135"/>
      <c r="I126" s="136">
        <f t="shared" si="11"/>
        <v>0</v>
      </c>
      <c r="J126" s="134"/>
      <c r="K126" s="135"/>
      <c r="L126" s="136">
        <f t="shared" si="12"/>
        <v>0</v>
      </c>
      <c r="M126" s="284"/>
      <c r="N126" s="285"/>
      <c r="O126" s="136">
        <f t="shared" si="13"/>
        <v>0</v>
      </c>
      <c r="P126" s="85"/>
      <c r="R126" s="53"/>
    </row>
    <row r="127" spans="1:18" ht="24" x14ac:dyDescent="0.25">
      <c r="A127" s="76">
        <v>2275</v>
      </c>
      <c r="B127" s="127" t="s">
        <v>143</v>
      </c>
      <c r="C127" s="279">
        <f t="shared" si="9"/>
        <v>786</v>
      </c>
      <c r="D127" s="134">
        <f>24819-24033</f>
        <v>786</v>
      </c>
      <c r="E127" s="285"/>
      <c r="F127" s="136">
        <f t="shared" si="10"/>
        <v>786</v>
      </c>
      <c r="G127" s="134"/>
      <c r="H127" s="135"/>
      <c r="I127" s="136">
        <f t="shared" si="11"/>
        <v>0</v>
      </c>
      <c r="J127" s="134"/>
      <c r="K127" s="135"/>
      <c r="L127" s="136">
        <f t="shared" si="12"/>
        <v>0</v>
      </c>
      <c r="M127" s="284"/>
      <c r="N127" s="285"/>
      <c r="O127" s="136">
        <f t="shared" si="13"/>
        <v>0</v>
      </c>
      <c r="P127" s="85"/>
      <c r="R127" s="53"/>
    </row>
    <row r="128" spans="1:18" ht="24" hidden="1" x14ac:dyDescent="0.25">
      <c r="A128" s="76">
        <v>2276</v>
      </c>
      <c r="B128" s="127" t="s">
        <v>144</v>
      </c>
      <c r="C128" s="279">
        <f t="shared" si="9"/>
        <v>0</v>
      </c>
      <c r="D128" s="134">
        <v>0</v>
      </c>
      <c r="E128" s="285"/>
      <c r="F128" s="136">
        <f t="shared" si="10"/>
        <v>0</v>
      </c>
      <c r="G128" s="134"/>
      <c r="H128" s="135"/>
      <c r="I128" s="136">
        <f t="shared" si="11"/>
        <v>0</v>
      </c>
      <c r="J128" s="134"/>
      <c r="K128" s="135"/>
      <c r="L128" s="136">
        <f t="shared" si="12"/>
        <v>0</v>
      </c>
      <c r="M128" s="284"/>
      <c r="N128" s="285"/>
      <c r="O128" s="136">
        <f t="shared" si="13"/>
        <v>0</v>
      </c>
      <c r="P128" s="85"/>
      <c r="R128" s="53"/>
    </row>
    <row r="129" spans="1:18" ht="24" hidden="1" x14ac:dyDescent="0.25">
      <c r="A129" s="76">
        <v>2278</v>
      </c>
      <c r="B129" s="127" t="s">
        <v>145</v>
      </c>
      <c r="C129" s="279">
        <f t="shared" si="9"/>
        <v>0</v>
      </c>
      <c r="D129" s="134">
        <v>0</v>
      </c>
      <c r="E129" s="285"/>
      <c r="F129" s="136">
        <f t="shared" si="10"/>
        <v>0</v>
      </c>
      <c r="G129" s="134"/>
      <c r="H129" s="135"/>
      <c r="I129" s="136">
        <f t="shared" si="11"/>
        <v>0</v>
      </c>
      <c r="J129" s="134"/>
      <c r="K129" s="135"/>
      <c r="L129" s="136">
        <f t="shared" si="12"/>
        <v>0</v>
      </c>
      <c r="M129" s="284"/>
      <c r="N129" s="285"/>
      <c r="O129" s="136">
        <f t="shared" si="13"/>
        <v>0</v>
      </c>
      <c r="P129" s="85"/>
      <c r="R129" s="53"/>
    </row>
    <row r="130" spans="1:18" ht="24" x14ac:dyDescent="0.25">
      <c r="A130" s="76">
        <v>2279</v>
      </c>
      <c r="B130" s="127" t="s">
        <v>146</v>
      </c>
      <c r="C130" s="279">
        <f t="shared" si="9"/>
        <v>1607141</v>
      </c>
      <c r="D130" s="134">
        <f>1599961+3000</f>
        <v>1602961</v>
      </c>
      <c r="E130" s="285">
        <v>4180</v>
      </c>
      <c r="F130" s="136">
        <f t="shared" si="10"/>
        <v>1607141</v>
      </c>
      <c r="G130" s="134"/>
      <c r="H130" s="135"/>
      <c r="I130" s="136">
        <f t="shared" si="11"/>
        <v>0</v>
      </c>
      <c r="J130" s="134"/>
      <c r="K130" s="135"/>
      <c r="L130" s="136">
        <f t="shared" si="12"/>
        <v>0</v>
      </c>
      <c r="M130" s="284"/>
      <c r="N130" s="285"/>
      <c r="O130" s="136">
        <f t="shared" si="13"/>
        <v>0</v>
      </c>
      <c r="P130" s="691"/>
      <c r="R130" s="53"/>
    </row>
    <row r="131" spans="1:18" ht="24" hidden="1" x14ac:dyDescent="0.25">
      <c r="A131" s="656">
        <v>2280</v>
      </c>
      <c r="B131" s="116" t="s">
        <v>147</v>
      </c>
      <c r="C131" s="279">
        <f t="shared" si="9"/>
        <v>0</v>
      </c>
      <c r="D131" s="297">
        <f>SUM(D132)</f>
        <v>0</v>
      </c>
      <c r="E131" s="301">
        <f t="shared" ref="E131:N131" si="14">SUM(E132)</f>
        <v>0</v>
      </c>
      <c r="F131" s="125">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c r="R131" s="53"/>
    </row>
    <row r="132" spans="1:18" ht="24" hidden="1" x14ac:dyDescent="0.25">
      <c r="A132" s="76">
        <v>2283</v>
      </c>
      <c r="B132" s="127" t="s">
        <v>148</v>
      </c>
      <c r="C132" s="279">
        <f t="shared" si="9"/>
        <v>0</v>
      </c>
      <c r="D132" s="134">
        <v>0</v>
      </c>
      <c r="E132" s="285"/>
      <c r="F132" s="136">
        <f t="shared" si="10"/>
        <v>0</v>
      </c>
      <c r="G132" s="134"/>
      <c r="H132" s="135"/>
      <c r="I132" s="136">
        <f t="shared" si="11"/>
        <v>0</v>
      </c>
      <c r="J132" s="134"/>
      <c r="K132" s="135"/>
      <c r="L132" s="136">
        <f t="shared" si="12"/>
        <v>0</v>
      </c>
      <c r="M132" s="284"/>
      <c r="N132" s="285"/>
      <c r="O132" s="136">
        <f t="shared" si="13"/>
        <v>0</v>
      </c>
      <c r="P132" s="85"/>
      <c r="R132" s="53"/>
    </row>
    <row r="133" spans="1:18" ht="36" x14ac:dyDescent="0.25">
      <c r="A133" s="99">
        <v>2300</v>
      </c>
      <c r="B133" s="247" t="s">
        <v>149</v>
      </c>
      <c r="C133" s="249">
        <f t="shared" si="9"/>
        <v>36600</v>
      </c>
      <c r="D133" s="112">
        <f>SUM(D134,D139,D143,D144,D147,D154,D162,D163,D166)</f>
        <v>38271</v>
      </c>
      <c r="E133" s="293">
        <f>SUM(E134,E139,E143,E144,E147,E154,E162,E163,E166)</f>
        <v>-1671</v>
      </c>
      <c r="F133" s="114">
        <f t="shared" si="10"/>
        <v>36600</v>
      </c>
      <c r="G133" s="112">
        <f>SUM(G134,G139,G143,G144,G147,G154,G162,G163,G166)</f>
        <v>0</v>
      </c>
      <c r="H133" s="113">
        <f>SUM(H134,H139,H143,H144,H147,H154,H162,H163,H166)</f>
        <v>0</v>
      </c>
      <c r="I133" s="114">
        <f t="shared" si="11"/>
        <v>0</v>
      </c>
      <c r="J133" s="112">
        <f>SUM(J134,J139,J143,J144,J147,J154,J162,J163,J166)</f>
        <v>0</v>
      </c>
      <c r="K133" s="113">
        <f>SUM(K134,K139,K143,K144,K147,K154,K162,K163,K166)</f>
        <v>0</v>
      </c>
      <c r="L133" s="114">
        <f t="shared" si="12"/>
        <v>0</v>
      </c>
      <c r="M133" s="292">
        <f>SUM(M134,M139,M143,M144,M147,M154,M162,M163,M166)</f>
        <v>0</v>
      </c>
      <c r="N133" s="293">
        <f>SUM(N134,N139,N143,N144,N147,N154,N162,N163,N166)</f>
        <v>0</v>
      </c>
      <c r="O133" s="114">
        <f t="shared" si="13"/>
        <v>0</v>
      </c>
      <c r="P133" s="109"/>
      <c r="R133" s="53"/>
    </row>
    <row r="134" spans="1:18" ht="24" x14ac:dyDescent="0.25">
      <c r="A134" s="656">
        <v>2310</v>
      </c>
      <c r="B134" s="116" t="s">
        <v>150</v>
      </c>
      <c r="C134" s="296">
        <f t="shared" si="9"/>
        <v>10477</v>
      </c>
      <c r="D134" s="308">
        <f>SUM(D135:D138)</f>
        <v>11612</v>
      </c>
      <c r="E134" s="301">
        <f>SUM(E135:E138)</f>
        <v>-1135</v>
      </c>
      <c r="F134" s="125">
        <f t="shared" si="10"/>
        <v>10477</v>
      </c>
      <c r="G134" s="297">
        <f>SUM(G135:G138)</f>
        <v>0</v>
      </c>
      <c r="H134" s="299">
        <f>SUM(H135:H138)</f>
        <v>0</v>
      </c>
      <c r="I134" s="125">
        <f t="shared" si="11"/>
        <v>0</v>
      </c>
      <c r="J134" s="297">
        <f>SUM(J135:J138)</f>
        <v>0</v>
      </c>
      <c r="K134" s="299">
        <f>SUM(K135:K138)</f>
        <v>0</v>
      </c>
      <c r="L134" s="125">
        <f t="shared" si="12"/>
        <v>0</v>
      </c>
      <c r="M134" s="300">
        <f>SUM(M135:M138)</f>
        <v>0</v>
      </c>
      <c r="N134" s="301">
        <f>SUM(N135:N138)</f>
        <v>0</v>
      </c>
      <c r="O134" s="125">
        <f t="shared" si="13"/>
        <v>0</v>
      </c>
      <c r="P134" s="74"/>
      <c r="R134" s="53"/>
    </row>
    <row r="135" spans="1:18" x14ac:dyDescent="0.25">
      <c r="A135" s="76">
        <v>2311</v>
      </c>
      <c r="B135" s="127" t="s">
        <v>151</v>
      </c>
      <c r="C135" s="279">
        <f t="shared" si="9"/>
        <v>153</v>
      </c>
      <c r="D135" s="134">
        <v>153</v>
      </c>
      <c r="E135" s="285"/>
      <c r="F135" s="136">
        <f t="shared" si="10"/>
        <v>153</v>
      </c>
      <c r="G135" s="134"/>
      <c r="H135" s="135"/>
      <c r="I135" s="136">
        <f t="shared" si="11"/>
        <v>0</v>
      </c>
      <c r="J135" s="134"/>
      <c r="K135" s="135"/>
      <c r="L135" s="136">
        <f t="shared" si="12"/>
        <v>0</v>
      </c>
      <c r="M135" s="284"/>
      <c r="N135" s="285"/>
      <c r="O135" s="136">
        <f t="shared" si="13"/>
        <v>0</v>
      </c>
      <c r="P135" s="85"/>
      <c r="R135" s="53"/>
    </row>
    <row r="136" spans="1:18" x14ac:dyDescent="0.25">
      <c r="A136" s="76">
        <v>2312</v>
      </c>
      <c r="B136" s="127" t="s">
        <v>152</v>
      </c>
      <c r="C136" s="279">
        <f t="shared" si="9"/>
        <v>250</v>
      </c>
      <c r="D136" s="134">
        <v>250</v>
      </c>
      <c r="E136" s="285"/>
      <c r="F136" s="136">
        <f t="shared" si="10"/>
        <v>250</v>
      </c>
      <c r="G136" s="134"/>
      <c r="H136" s="135"/>
      <c r="I136" s="136">
        <f t="shared" si="11"/>
        <v>0</v>
      </c>
      <c r="J136" s="134"/>
      <c r="K136" s="135"/>
      <c r="L136" s="136">
        <f t="shared" si="12"/>
        <v>0</v>
      </c>
      <c r="M136" s="284"/>
      <c r="N136" s="285"/>
      <c r="O136" s="136">
        <f t="shared" si="13"/>
        <v>0</v>
      </c>
      <c r="P136" s="85"/>
      <c r="R136" s="53"/>
    </row>
    <row r="137" spans="1:18" hidden="1" x14ac:dyDescent="0.25">
      <c r="A137" s="76">
        <v>2313</v>
      </c>
      <c r="B137" s="127" t="s">
        <v>153</v>
      </c>
      <c r="C137" s="279">
        <f t="shared" si="9"/>
        <v>0</v>
      </c>
      <c r="D137" s="134">
        <v>0</v>
      </c>
      <c r="E137" s="285"/>
      <c r="F137" s="136">
        <f t="shared" si="10"/>
        <v>0</v>
      </c>
      <c r="G137" s="134"/>
      <c r="H137" s="135"/>
      <c r="I137" s="136">
        <f t="shared" si="11"/>
        <v>0</v>
      </c>
      <c r="J137" s="134"/>
      <c r="K137" s="135"/>
      <c r="L137" s="136">
        <f t="shared" si="12"/>
        <v>0</v>
      </c>
      <c r="M137" s="284"/>
      <c r="N137" s="285"/>
      <c r="O137" s="136">
        <f t="shared" si="13"/>
        <v>0</v>
      </c>
      <c r="P137" s="85"/>
      <c r="R137" s="53"/>
    </row>
    <row r="138" spans="1:18" ht="24" x14ac:dyDescent="0.25">
      <c r="A138" s="76">
        <v>2314</v>
      </c>
      <c r="B138" s="127" t="s">
        <v>154</v>
      </c>
      <c r="C138" s="279">
        <f t="shared" si="9"/>
        <v>10074</v>
      </c>
      <c r="D138" s="134">
        <f>11609-400</f>
        <v>11209</v>
      </c>
      <c r="E138" s="285">
        <v>-1135</v>
      </c>
      <c r="F138" s="136">
        <f t="shared" si="10"/>
        <v>10074</v>
      </c>
      <c r="G138" s="134"/>
      <c r="H138" s="135"/>
      <c r="I138" s="136">
        <f t="shared" si="11"/>
        <v>0</v>
      </c>
      <c r="J138" s="134"/>
      <c r="K138" s="135"/>
      <c r="L138" s="136">
        <f t="shared" si="12"/>
        <v>0</v>
      </c>
      <c r="M138" s="284"/>
      <c r="N138" s="285"/>
      <c r="O138" s="136">
        <f t="shared" si="13"/>
        <v>0</v>
      </c>
      <c r="P138" s="85"/>
      <c r="R138" s="53"/>
    </row>
    <row r="139" spans="1:18" x14ac:dyDescent="0.25">
      <c r="A139" s="276">
        <v>2320</v>
      </c>
      <c r="B139" s="127" t="s">
        <v>155</v>
      </c>
      <c r="C139" s="279">
        <f t="shared" si="9"/>
        <v>215</v>
      </c>
      <c r="D139" s="277">
        <f>SUM(D140:D142)</f>
        <v>215</v>
      </c>
      <c r="E139" s="282">
        <f>SUM(E140:E142)</f>
        <v>0</v>
      </c>
      <c r="F139" s="136">
        <f t="shared" si="10"/>
        <v>215</v>
      </c>
      <c r="G139" s="277">
        <f>SUM(G140:G142)</f>
        <v>0</v>
      </c>
      <c r="H139" s="280">
        <f>SUM(H140:H142)</f>
        <v>0</v>
      </c>
      <c r="I139" s="136">
        <f t="shared" si="11"/>
        <v>0</v>
      </c>
      <c r="J139" s="277">
        <f>SUM(J140:J142)</f>
        <v>0</v>
      </c>
      <c r="K139" s="280">
        <f>SUM(K140:K142)</f>
        <v>0</v>
      </c>
      <c r="L139" s="136">
        <f t="shared" si="12"/>
        <v>0</v>
      </c>
      <c r="M139" s="281">
        <f>SUM(M140:M142)</f>
        <v>0</v>
      </c>
      <c r="N139" s="282">
        <f>SUM(N140:N142)</f>
        <v>0</v>
      </c>
      <c r="O139" s="136">
        <f t="shared" si="13"/>
        <v>0</v>
      </c>
      <c r="P139" s="85"/>
      <c r="R139" s="53"/>
    </row>
    <row r="140" spans="1:18" hidden="1" x14ac:dyDescent="0.25">
      <c r="A140" s="76">
        <v>2321</v>
      </c>
      <c r="B140" s="127" t="s">
        <v>156</v>
      </c>
      <c r="C140" s="279">
        <f t="shared" si="9"/>
        <v>0</v>
      </c>
      <c r="D140" s="134">
        <v>0</v>
      </c>
      <c r="E140" s="285"/>
      <c r="F140" s="136">
        <f t="shared" si="10"/>
        <v>0</v>
      </c>
      <c r="G140" s="134"/>
      <c r="H140" s="135"/>
      <c r="I140" s="136">
        <f t="shared" si="11"/>
        <v>0</v>
      </c>
      <c r="J140" s="134"/>
      <c r="K140" s="135"/>
      <c r="L140" s="136">
        <f t="shared" si="12"/>
        <v>0</v>
      </c>
      <c r="M140" s="284"/>
      <c r="N140" s="285"/>
      <c r="O140" s="136">
        <f t="shared" si="13"/>
        <v>0</v>
      </c>
      <c r="P140" s="85"/>
      <c r="R140" s="53"/>
    </row>
    <row r="141" spans="1:18" x14ac:dyDescent="0.25">
      <c r="A141" s="76">
        <v>2322</v>
      </c>
      <c r="B141" s="127" t="s">
        <v>157</v>
      </c>
      <c r="C141" s="279">
        <f t="shared" si="9"/>
        <v>215</v>
      </c>
      <c r="D141" s="134">
        <f>465-250</f>
        <v>215</v>
      </c>
      <c r="E141" s="285"/>
      <c r="F141" s="136">
        <f t="shared" si="10"/>
        <v>215</v>
      </c>
      <c r="G141" s="134"/>
      <c r="H141" s="135"/>
      <c r="I141" s="136">
        <f t="shared" si="11"/>
        <v>0</v>
      </c>
      <c r="J141" s="134"/>
      <c r="K141" s="135"/>
      <c r="L141" s="136">
        <f t="shared" si="12"/>
        <v>0</v>
      </c>
      <c r="M141" s="284"/>
      <c r="N141" s="285"/>
      <c r="O141" s="136">
        <f t="shared" si="13"/>
        <v>0</v>
      </c>
      <c r="P141" s="85"/>
      <c r="R141" s="53"/>
    </row>
    <row r="142" spans="1:18" hidden="1" x14ac:dyDescent="0.25">
      <c r="A142" s="76">
        <v>2329</v>
      </c>
      <c r="B142" s="127" t="s">
        <v>158</v>
      </c>
      <c r="C142" s="279">
        <f t="shared" si="9"/>
        <v>0</v>
      </c>
      <c r="D142" s="134">
        <v>0</v>
      </c>
      <c r="E142" s="285">
        <v>0</v>
      </c>
      <c r="F142" s="136">
        <f t="shared" si="10"/>
        <v>0</v>
      </c>
      <c r="G142" s="134"/>
      <c r="H142" s="135"/>
      <c r="I142" s="136">
        <f t="shared" si="11"/>
        <v>0</v>
      </c>
      <c r="J142" s="134"/>
      <c r="K142" s="135"/>
      <c r="L142" s="136">
        <f t="shared" si="12"/>
        <v>0</v>
      </c>
      <c r="M142" s="284"/>
      <c r="N142" s="285"/>
      <c r="O142" s="136">
        <f t="shared" si="13"/>
        <v>0</v>
      </c>
      <c r="P142" s="85"/>
      <c r="R142" s="53"/>
    </row>
    <row r="143" spans="1:18" hidden="1" x14ac:dyDescent="0.25">
      <c r="A143" s="276">
        <v>2330</v>
      </c>
      <c r="B143" s="127" t="s">
        <v>159</v>
      </c>
      <c r="C143" s="279">
        <f t="shared" si="9"/>
        <v>0</v>
      </c>
      <c r="D143" s="134">
        <v>0</v>
      </c>
      <c r="E143" s="285"/>
      <c r="F143" s="136">
        <f t="shared" si="10"/>
        <v>0</v>
      </c>
      <c r="G143" s="134"/>
      <c r="H143" s="135"/>
      <c r="I143" s="136">
        <f t="shared" si="11"/>
        <v>0</v>
      </c>
      <c r="J143" s="134"/>
      <c r="K143" s="135"/>
      <c r="L143" s="136">
        <f t="shared" si="12"/>
        <v>0</v>
      </c>
      <c r="M143" s="284"/>
      <c r="N143" s="285"/>
      <c r="O143" s="136">
        <f t="shared" si="13"/>
        <v>0</v>
      </c>
      <c r="P143" s="85"/>
      <c r="R143" s="53"/>
    </row>
    <row r="144" spans="1:18" ht="36" hidden="1" x14ac:dyDescent="0.25">
      <c r="A144" s="276">
        <v>2340</v>
      </c>
      <c r="B144" s="127" t="s">
        <v>160</v>
      </c>
      <c r="C144" s="279">
        <f t="shared" si="9"/>
        <v>0</v>
      </c>
      <c r="D144" s="277">
        <f>SUM(D145:D146)</f>
        <v>0</v>
      </c>
      <c r="E144" s="282">
        <f>SUM(E145:E146)</f>
        <v>0</v>
      </c>
      <c r="F144" s="136">
        <f t="shared" si="10"/>
        <v>0</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c r="R144" s="53"/>
    </row>
    <row r="145" spans="1:18" hidden="1" x14ac:dyDescent="0.25">
      <c r="A145" s="76">
        <v>2341</v>
      </c>
      <c r="B145" s="127" t="s">
        <v>161</v>
      </c>
      <c r="C145" s="279">
        <f t="shared" si="9"/>
        <v>0</v>
      </c>
      <c r="D145" s="134">
        <v>0</v>
      </c>
      <c r="E145" s="285"/>
      <c r="F145" s="136">
        <f t="shared" si="10"/>
        <v>0</v>
      </c>
      <c r="G145" s="134"/>
      <c r="H145" s="135"/>
      <c r="I145" s="136">
        <f t="shared" si="11"/>
        <v>0</v>
      </c>
      <c r="J145" s="134"/>
      <c r="K145" s="135"/>
      <c r="L145" s="136">
        <f t="shared" si="12"/>
        <v>0</v>
      </c>
      <c r="M145" s="284"/>
      <c r="N145" s="285"/>
      <c r="O145" s="136">
        <f t="shared" si="13"/>
        <v>0</v>
      </c>
      <c r="P145" s="85"/>
      <c r="R145" s="53"/>
    </row>
    <row r="146" spans="1:18" ht="24" hidden="1" x14ac:dyDescent="0.25">
      <c r="A146" s="76">
        <v>2344</v>
      </c>
      <c r="B146" s="127" t="s">
        <v>162</v>
      </c>
      <c r="C146" s="279">
        <f t="shared" si="9"/>
        <v>0</v>
      </c>
      <c r="D146" s="134">
        <v>0</v>
      </c>
      <c r="E146" s="285"/>
      <c r="F146" s="136">
        <f t="shared" si="10"/>
        <v>0</v>
      </c>
      <c r="G146" s="134"/>
      <c r="H146" s="135"/>
      <c r="I146" s="136">
        <f t="shared" si="11"/>
        <v>0</v>
      </c>
      <c r="J146" s="134"/>
      <c r="K146" s="135"/>
      <c r="L146" s="136">
        <f t="shared" si="12"/>
        <v>0</v>
      </c>
      <c r="M146" s="284"/>
      <c r="N146" s="285"/>
      <c r="O146" s="136">
        <f t="shared" si="13"/>
        <v>0</v>
      </c>
      <c r="P146" s="85"/>
      <c r="R146" s="53"/>
    </row>
    <row r="147" spans="1:18" ht="24" hidden="1" x14ac:dyDescent="0.25">
      <c r="A147" s="254">
        <v>2350</v>
      </c>
      <c r="B147" s="179" t="s">
        <v>163</v>
      </c>
      <c r="C147" s="279">
        <f t="shared" si="9"/>
        <v>0</v>
      </c>
      <c r="D147" s="255">
        <f>SUM(D148:D153)</f>
        <v>0</v>
      </c>
      <c r="E147" s="261">
        <f>SUM(E148:E153)</f>
        <v>0</v>
      </c>
      <c r="F147" s="259">
        <f t="shared" si="10"/>
        <v>0</v>
      </c>
      <c r="G147" s="255">
        <f>SUM(G148:G153)</f>
        <v>0</v>
      </c>
      <c r="H147" s="258">
        <f>SUM(H148:H153)</f>
        <v>0</v>
      </c>
      <c r="I147" s="259">
        <f t="shared" si="11"/>
        <v>0</v>
      </c>
      <c r="J147" s="255">
        <f>SUM(J148:J153)</f>
        <v>0</v>
      </c>
      <c r="K147" s="258">
        <f>SUM(K148:K153)</f>
        <v>0</v>
      </c>
      <c r="L147" s="259">
        <f t="shared" si="12"/>
        <v>0</v>
      </c>
      <c r="M147" s="260">
        <f>SUM(M148:M153)</f>
        <v>0</v>
      </c>
      <c r="N147" s="261">
        <f>SUM(N148:N153)</f>
        <v>0</v>
      </c>
      <c r="O147" s="259">
        <f t="shared" si="13"/>
        <v>0</v>
      </c>
      <c r="P147" s="189"/>
      <c r="R147" s="53"/>
    </row>
    <row r="148" spans="1:18" hidden="1" x14ac:dyDescent="0.25">
      <c r="A148" s="66">
        <v>2351</v>
      </c>
      <c r="B148" s="116" t="s">
        <v>164</v>
      </c>
      <c r="C148" s="279">
        <f t="shared" si="9"/>
        <v>0</v>
      </c>
      <c r="D148" s="123">
        <v>0</v>
      </c>
      <c r="E148" s="262"/>
      <c r="F148" s="125">
        <f t="shared" si="10"/>
        <v>0</v>
      </c>
      <c r="G148" s="123"/>
      <c r="H148" s="124"/>
      <c r="I148" s="125">
        <f t="shared" si="11"/>
        <v>0</v>
      </c>
      <c r="J148" s="123"/>
      <c r="K148" s="124"/>
      <c r="L148" s="125">
        <f t="shared" si="12"/>
        <v>0</v>
      </c>
      <c r="M148" s="264"/>
      <c r="N148" s="262"/>
      <c r="O148" s="125">
        <f t="shared" si="13"/>
        <v>0</v>
      </c>
      <c r="P148" s="74"/>
      <c r="R148" s="53"/>
    </row>
    <row r="149" spans="1:18" hidden="1" x14ac:dyDescent="0.25">
      <c r="A149" s="76">
        <v>2352</v>
      </c>
      <c r="B149" s="127" t="s">
        <v>165</v>
      </c>
      <c r="C149" s="279">
        <f t="shared" si="9"/>
        <v>0</v>
      </c>
      <c r="D149" s="134">
        <v>0</v>
      </c>
      <c r="E149" s="285"/>
      <c r="F149" s="136">
        <f t="shared" si="10"/>
        <v>0</v>
      </c>
      <c r="G149" s="134"/>
      <c r="H149" s="135"/>
      <c r="I149" s="136">
        <f t="shared" si="11"/>
        <v>0</v>
      </c>
      <c r="J149" s="134"/>
      <c r="K149" s="135"/>
      <c r="L149" s="136">
        <f t="shared" si="12"/>
        <v>0</v>
      </c>
      <c r="M149" s="284"/>
      <c r="N149" s="285"/>
      <c r="O149" s="136">
        <f t="shared" si="13"/>
        <v>0</v>
      </c>
      <c r="P149" s="85"/>
      <c r="R149" s="53"/>
    </row>
    <row r="150" spans="1:18" ht="24" hidden="1" x14ac:dyDescent="0.25">
      <c r="A150" s="76">
        <v>2353</v>
      </c>
      <c r="B150" s="127" t="s">
        <v>166</v>
      </c>
      <c r="C150" s="279">
        <f t="shared" si="9"/>
        <v>0</v>
      </c>
      <c r="D150" s="134">
        <v>0</v>
      </c>
      <c r="E150" s="285"/>
      <c r="F150" s="136">
        <f t="shared" si="10"/>
        <v>0</v>
      </c>
      <c r="G150" s="134"/>
      <c r="H150" s="135"/>
      <c r="I150" s="136">
        <f t="shared" si="11"/>
        <v>0</v>
      </c>
      <c r="J150" s="134"/>
      <c r="K150" s="135"/>
      <c r="L150" s="136">
        <f t="shared" si="12"/>
        <v>0</v>
      </c>
      <c r="M150" s="284"/>
      <c r="N150" s="285"/>
      <c r="O150" s="136">
        <f t="shared" si="13"/>
        <v>0</v>
      </c>
      <c r="P150" s="85"/>
      <c r="R150" s="53"/>
    </row>
    <row r="151" spans="1:18" ht="24" hidden="1" x14ac:dyDescent="0.25">
      <c r="A151" s="76">
        <v>2354</v>
      </c>
      <c r="B151" s="127" t="s">
        <v>167</v>
      </c>
      <c r="C151" s="279">
        <f t="shared" si="9"/>
        <v>0</v>
      </c>
      <c r="D151" s="134">
        <v>0</v>
      </c>
      <c r="E151" s="285"/>
      <c r="F151" s="136">
        <f t="shared" si="10"/>
        <v>0</v>
      </c>
      <c r="G151" s="134"/>
      <c r="H151" s="135"/>
      <c r="I151" s="136">
        <f t="shared" si="11"/>
        <v>0</v>
      </c>
      <c r="J151" s="134"/>
      <c r="K151" s="135"/>
      <c r="L151" s="136">
        <f t="shared" si="12"/>
        <v>0</v>
      </c>
      <c r="M151" s="284"/>
      <c r="N151" s="285"/>
      <c r="O151" s="136">
        <f t="shared" si="13"/>
        <v>0</v>
      </c>
      <c r="P151" s="85"/>
      <c r="R151" s="53"/>
    </row>
    <row r="152" spans="1:18" ht="24" hidden="1" x14ac:dyDescent="0.25">
      <c r="A152" s="76">
        <v>2355</v>
      </c>
      <c r="B152" s="127" t="s">
        <v>168</v>
      </c>
      <c r="C152" s="279">
        <f t="shared" si="9"/>
        <v>0</v>
      </c>
      <c r="D152" s="134">
        <v>0</v>
      </c>
      <c r="E152" s="285"/>
      <c r="F152" s="136">
        <f t="shared" si="10"/>
        <v>0</v>
      </c>
      <c r="G152" s="134"/>
      <c r="H152" s="135"/>
      <c r="I152" s="136">
        <f t="shared" si="11"/>
        <v>0</v>
      </c>
      <c r="J152" s="134"/>
      <c r="K152" s="135"/>
      <c r="L152" s="136">
        <f t="shared" si="12"/>
        <v>0</v>
      </c>
      <c r="M152" s="284"/>
      <c r="N152" s="285"/>
      <c r="O152" s="136">
        <f t="shared" si="13"/>
        <v>0</v>
      </c>
      <c r="P152" s="85"/>
      <c r="R152" s="53"/>
    </row>
    <row r="153" spans="1:18" ht="24" hidden="1" x14ac:dyDescent="0.25">
      <c r="A153" s="76">
        <v>2359</v>
      </c>
      <c r="B153" s="127" t="s">
        <v>169</v>
      </c>
      <c r="C153" s="279">
        <f t="shared" si="9"/>
        <v>0</v>
      </c>
      <c r="D153" s="134">
        <v>0</v>
      </c>
      <c r="E153" s="285"/>
      <c r="F153" s="136">
        <f t="shared" si="10"/>
        <v>0</v>
      </c>
      <c r="G153" s="134"/>
      <c r="H153" s="135"/>
      <c r="I153" s="136">
        <f t="shared" si="11"/>
        <v>0</v>
      </c>
      <c r="J153" s="134"/>
      <c r="K153" s="135"/>
      <c r="L153" s="136">
        <f t="shared" si="12"/>
        <v>0</v>
      </c>
      <c r="M153" s="284"/>
      <c r="N153" s="285"/>
      <c r="O153" s="136">
        <f t="shared" si="13"/>
        <v>0</v>
      </c>
      <c r="P153" s="85"/>
      <c r="R153" s="53"/>
    </row>
    <row r="154" spans="1:18" ht="24" x14ac:dyDescent="0.25">
      <c r="A154" s="276">
        <v>2360</v>
      </c>
      <c r="B154" s="127" t="s">
        <v>170</v>
      </c>
      <c r="C154" s="279">
        <f t="shared" si="9"/>
        <v>25908</v>
      </c>
      <c r="D154" s="277">
        <f>SUM(D155:D161)</f>
        <v>26444</v>
      </c>
      <c r="E154" s="282">
        <f>SUM(E155:E161)</f>
        <v>-536</v>
      </c>
      <c r="F154" s="136">
        <f t="shared" si="10"/>
        <v>25908</v>
      </c>
      <c r="G154" s="277">
        <f>SUM(G155:G161)</f>
        <v>0</v>
      </c>
      <c r="H154" s="280">
        <f>SUM(H155:H161)</f>
        <v>0</v>
      </c>
      <c r="I154" s="136">
        <f t="shared" si="11"/>
        <v>0</v>
      </c>
      <c r="J154" s="277">
        <f>SUM(J155:J161)</f>
        <v>0</v>
      </c>
      <c r="K154" s="280">
        <f>SUM(K155:K161)</f>
        <v>0</v>
      </c>
      <c r="L154" s="136">
        <f t="shared" si="12"/>
        <v>0</v>
      </c>
      <c r="M154" s="281">
        <f>SUM(M155:M161)</f>
        <v>0</v>
      </c>
      <c r="N154" s="282">
        <f>SUM(N155:N161)</f>
        <v>0</v>
      </c>
      <c r="O154" s="136">
        <f t="shared" si="13"/>
        <v>0</v>
      </c>
      <c r="P154" s="85"/>
      <c r="R154" s="53"/>
    </row>
    <row r="155" spans="1:18" x14ac:dyDescent="0.25">
      <c r="A155" s="75">
        <v>2361</v>
      </c>
      <c r="B155" s="127" t="s">
        <v>171</v>
      </c>
      <c r="C155" s="279">
        <f t="shared" si="9"/>
        <v>19313</v>
      </c>
      <c r="D155" s="134">
        <f>16482+3367</f>
        <v>19849</v>
      </c>
      <c r="E155" s="285">
        <v>-536</v>
      </c>
      <c r="F155" s="136">
        <f t="shared" si="10"/>
        <v>19313</v>
      </c>
      <c r="G155" s="134"/>
      <c r="H155" s="135"/>
      <c r="I155" s="136">
        <f t="shared" si="11"/>
        <v>0</v>
      </c>
      <c r="J155" s="134"/>
      <c r="K155" s="135"/>
      <c r="L155" s="136">
        <f t="shared" si="12"/>
        <v>0</v>
      </c>
      <c r="M155" s="284"/>
      <c r="N155" s="285"/>
      <c r="O155" s="136">
        <f t="shared" si="13"/>
        <v>0</v>
      </c>
      <c r="P155" s="85"/>
      <c r="R155" s="53"/>
    </row>
    <row r="156" spans="1:18" ht="24" hidden="1" x14ac:dyDescent="0.25">
      <c r="A156" s="75">
        <v>2362</v>
      </c>
      <c r="B156" s="127" t="s">
        <v>172</v>
      </c>
      <c r="C156" s="279">
        <f t="shared" si="9"/>
        <v>0</v>
      </c>
      <c r="D156" s="134">
        <v>0</v>
      </c>
      <c r="E156" s="285"/>
      <c r="F156" s="136">
        <f t="shared" si="10"/>
        <v>0</v>
      </c>
      <c r="G156" s="134"/>
      <c r="H156" s="135"/>
      <c r="I156" s="136">
        <f t="shared" si="11"/>
        <v>0</v>
      </c>
      <c r="J156" s="134"/>
      <c r="K156" s="135"/>
      <c r="L156" s="136">
        <f t="shared" si="12"/>
        <v>0</v>
      </c>
      <c r="M156" s="284"/>
      <c r="N156" s="285"/>
      <c r="O156" s="136">
        <f t="shared" si="13"/>
        <v>0</v>
      </c>
      <c r="P156" s="85"/>
      <c r="R156" s="53"/>
    </row>
    <row r="157" spans="1:18" x14ac:dyDescent="0.25">
      <c r="A157" s="75">
        <v>2363</v>
      </c>
      <c r="B157" s="127" t="s">
        <v>173</v>
      </c>
      <c r="C157" s="279">
        <f t="shared" si="9"/>
        <v>6595</v>
      </c>
      <c r="D157" s="134">
        <f>7595-1000</f>
        <v>6595</v>
      </c>
      <c r="E157" s="285"/>
      <c r="F157" s="136">
        <f t="shared" si="10"/>
        <v>6595</v>
      </c>
      <c r="G157" s="134"/>
      <c r="H157" s="135"/>
      <c r="I157" s="136">
        <f t="shared" si="11"/>
        <v>0</v>
      </c>
      <c r="J157" s="134"/>
      <c r="K157" s="135"/>
      <c r="L157" s="136">
        <f t="shared" si="12"/>
        <v>0</v>
      </c>
      <c r="M157" s="284"/>
      <c r="N157" s="285"/>
      <c r="O157" s="136">
        <f t="shared" si="13"/>
        <v>0</v>
      </c>
      <c r="P157" s="85"/>
      <c r="R157" s="53"/>
    </row>
    <row r="158" spans="1:18" hidden="1" x14ac:dyDescent="0.25">
      <c r="A158" s="75">
        <v>2364</v>
      </c>
      <c r="B158" s="127" t="s">
        <v>174</v>
      </c>
      <c r="C158" s="279">
        <f t="shared" si="9"/>
        <v>0</v>
      </c>
      <c r="D158" s="134">
        <v>0</v>
      </c>
      <c r="E158" s="285"/>
      <c r="F158" s="136">
        <f t="shared" si="10"/>
        <v>0</v>
      </c>
      <c r="G158" s="134"/>
      <c r="H158" s="135"/>
      <c r="I158" s="136">
        <f t="shared" si="11"/>
        <v>0</v>
      </c>
      <c r="J158" s="134"/>
      <c r="K158" s="135"/>
      <c r="L158" s="136">
        <f t="shared" si="12"/>
        <v>0</v>
      </c>
      <c r="M158" s="284"/>
      <c r="N158" s="285"/>
      <c r="O158" s="136">
        <f t="shared" si="13"/>
        <v>0</v>
      </c>
      <c r="P158" s="85"/>
      <c r="R158" s="53"/>
    </row>
    <row r="159" spans="1:18" hidden="1" x14ac:dyDescent="0.25">
      <c r="A159" s="75">
        <v>2365</v>
      </c>
      <c r="B159" s="127" t="s">
        <v>175</v>
      </c>
      <c r="C159" s="279">
        <f t="shared" si="9"/>
        <v>0</v>
      </c>
      <c r="D159" s="134">
        <v>0</v>
      </c>
      <c r="E159" s="285"/>
      <c r="F159" s="136">
        <f t="shared" si="10"/>
        <v>0</v>
      </c>
      <c r="G159" s="134"/>
      <c r="H159" s="135"/>
      <c r="I159" s="136">
        <f t="shared" si="11"/>
        <v>0</v>
      </c>
      <c r="J159" s="134"/>
      <c r="K159" s="135"/>
      <c r="L159" s="136">
        <f t="shared" si="12"/>
        <v>0</v>
      </c>
      <c r="M159" s="284"/>
      <c r="N159" s="285"/>
      <c r="O159" s="136">
        <f t="shared" si="13"/>
        <v>0</v>
      </c>
      <c r="P159" s="85"/>
      <c r="R159" s="53"/>
    </row>
    <row r="160" spans="1:18" ht="36" hidden="1" x14ac:dyDescent="0.25">
      <c r="A160" s="75">
        <v>2366</v>
      </c>
      <c r="B160" s="127" t="s">
        <v>176</v>
      </c>
      <c r="C160" s="279">
        <f t="shared" si="9"/>
        <v>0</v>
      </c>
      <c r="D160" s="134">
        <v>0</v>
      </c>
      <c r="E160" s="285"/>
      <c r="F160" s="136">
        <f t="shared" si="10"/>
        <v>0</v>
      </c>
      <c r="G160" s="134"/>
      <c r="H160" s="135"/>
      <c r="I160" s="136">
        <f t="shared" si="11"/>
        <v>0</v>
      </c>
      <c r="J160" s="134"/>
      <c r="K160" s="135"/>
      <c r="L160" s="136">
        <f t="shared" si="12"/>
        <v>0</v>
      </c>
      <c r="M160" s="284"/>
      <c r="N160" s="285"/>
      <c r="O160" s="136">
        <f t="shared" si="13"/>
        <v>0</v>
      </c>
      <c r="P160" s="85"/>
      <c r="R160" s="53"/>
    </row>
    <row r="161" spans="1:18" ht="48" hidden="1" x14ac:dyDescent="0.25">
      <c r="A161" s="75">
        <v>2369</v>
      </c>
      <c r="B161" s="127" t="s">
        <v>177</v>
      </c>
      <c r="C161" s="279">
        <f t="shared" si="9"/>
        <v>0</v>
      </c>
      <c r="D161" s="134">
        <v>0</v>
      </c>
      <c r="E161" s="285"/>
      <c r="F161" s="136">
        <f t="shared" si="10"/>
        <v>0</v>
      </c>
      <c r="G161" s="134"/>
      <c r="H161" s="135"/>
      <c r="I161" s="136">
        <f t="shared" si="11"/>
        <v>0</v>
      </c>
      <c r="J161" s="134"/>
      <c r="K161" s="135"/>
      <c r="L161" s="136">
        <f t="shared" si="12"/>
        <v>0</v>
      </c>
      <c r="M161" s="284"/>
      <c r="N161" s="285"/>
      <c r="O161" s="136">
        <f t="shared" si="13"/>
        <v>0</v>
      </c>
      <c r="P161" s="85"/>
      <c r="R161" s="53"/>
    </row>
    <row r="162" spans="1:18" hidden="1" x14ac:dyDescent="0.25">
      <c r="A162" s="254">
        <v>2370</v>
      </c>
      <c r="B162" s="179" t="s">
        <v>178</v>
      </c>
      <c r="C162" s="279">
        <f t="shared" si="9"/>
        <v>0</v>
      </c>
      <c r="D162" s="287">
        <v>0</v>
      </c>
      <c r="E162" s="291"/>
      <c r="F162" s="259">
        <f t="shared" si="10"/>
        <v>0</v>
      </c>
      <c r="G162" s="287"/>
      <c r="H162" s="289"/>
      <c r="I162" s="259">
        <f t="shared" si="11"/>
        <v>0</v>
      </c>
      <c r="J162" s="287"/>
      <c r="K162" s="289"/>
      <c r="L162" s="259">
        <f t="shared" si="12"/>
        <v>0</v>
      </c>
      <c r="M162" s="290"/>
      <c r="N162" s="291"/>
      <c r="O162" s="259">
        <f t="shared" si="13"/>
        <v>0</v>
      </c>
      <c r="P162" s="189"/>
      <c r="R162" s="53"/>
    </row>
    <row r="163" spans="1:18" hidden="1" x14ac:dyDescent="0.25">
      <c r="A163" s="254">
        <v>2380</v>
      </c>
      <c r="B163" s="179" t="s">
        <v>179</v>
      </c>
      <c r="C163" s="279">
        <f t="shared" si="9"/>
        <v>0</v>
      </c>
      <c r="D163" s="255">
        <f>SUM(D164:D165)</f>
        <v>0</v>
      </c>
      <c r="E163" s="261">
        <f>SUM(E164:E165)</f>
        <v>0</v>
      </c>
      <c r="F163" s="259">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row>
    <row r="164" spans="1:18" hidden="1" x14ac:dyDescent="0.25">
      <c r="A164" s="65">
        <v>2381</v>
      </c>
      <c r="B164" s="116" t="s">
        <v>180</v>
      </c>
      <c r="C164" s="279">
        <f t="shared" si="9"/>
        <v>0</v>
      </c>
      <c r="D164" s="123">
        <v>0</v>
      </c>
      <c r="E164" s="262"/>
      <c r="F164" s="125">
        <f t="shared" si="10"/>
        <v>0</v>
      </c>
      <c r="G164" s="123"/>
      <c r="H164" s="124"/>
      <c r="I164" s="125">
        <f t="shared" si="11"/>
        <v>0</v>
      </c>
      <c r="J164" s="123"/>
      <c r="K164" s="124"/>
      <c r="L164" s="125">
        <f t="shared" si="12"/>
        <v>0</v>
      </c>
      <c r="M164" s="264"/>
      <c r="N164" s="262"/>
      <c r="O164" s="125">
        <f t="shared" si="13"/>
        <v>0</v>
      </c>
      <c r="P164" s="74"/>
      <c r="R164" s="53"/>
    </row>
    <row r="165" spans="1:18" ht="24" hidden="1" x14ac:dyDescent="0.25">
      <c r="A165" s="75">
        <v>2389</v>
      </c>
      <c r="B165" s="127" t="s">
        <v>181</v>
      </c>
      <c r="C165" s="279">
        <f t="shared" si="9"/>
        <v>0</v>
      </c>
      <c r="D165" s="134">
        <v>0</v>
      </c>
      <c r="E165" s="285"/>
      <c r="F165" s="136">
        <f t="shared" si="10"/>
        <v>0</v>
      </c>
      <c r="G165" s="134"/>
      <c r="H165" s="135"/>
      <c r="I165" s="136">
        <f t="shared" si="11"/>
        <v>0</v>
      </c>
      <c r="J165" s="134"/>
      <c r="K165" s="135"/>
      <c r="L165" s="136">
        <f t="shared" si="12"/>
        <v>0</v>
      </c>
      <c r="M165" s="284"/>
      <c r="N165" s="285"/>
      <c r="O165" s="136">
        <f t="shared" si="13"/>
        <v>0</v>
      </c>
      <c r="P165" s="85"/>
      <c r="R165" s="53"/>
    </row>
    <row r="166" spans="1:18" hidden="1" x14ac:dyDescent="0.25">
      <c r="A166" s="254">
        <v>2390</v>
      </c>
      <c r="B166" s="179" t="s">
        <v>182</v>
      </c>
      <c r="C166" s="279">
        <f t="shared" si="9"/>
        <v>0</v>
      </c>
      <c r="D166" s="287">
        <v>0</v>
      </c>
      <c r="E166" s="291"/>
      <c r="F166" s="259">
        <f t="shared" si="10"/>
        <v>0</v>
      </c>
      <c r="G166" s="287"/>
      <c r="H166" s="289"/>
      <c r="I166" s="259">
        <f t="shared" si="11"/>
        <v>0</v>
      </c>
      <c r="J166" s="287"/>
      <c r="K166" s="289"/>
      <c r="L166" s="259">
        <f t="shared" si="12"/>
        <v>0</v>
      </c>
      <c r="M166" s="290"/>
      <c r="N166" s="291"/>
      <c r="O166" s="259">
        <f t="shared" si="13"/>
        <v>0</v>
      </c>
      <c r="P166" s="189"/>
      <c r="R166" s="53"/>
    </row>
    <row r="167" spans="1:18" hidden="1" x14ac:dyDescent="0.25">
      <c r="A167" s="99">
        <v>2400</v>
      </c>
      <c r="B167" s="247" t="s">
        <v>183</v>
      </c>
      <c r="C167" s="249">
        <f t="shared" si="9"/>
        <v>0</v>
      </c>
      <c r="D167" s="311">
        <v>0</v>
      </c>
      <c r="E167" s="312"/>
      <c r="F167" s="114">
        <f t="shared" si="10"/>
        <v>0</v>
      </c>
      <c r="G167" s="311"/>
      <c r="H167" s="314"/>
      <c r="I167" s="114">
        <f t="shared" si="11"/>
        <v>0</v>
      </c>
      <c r="J167" s="311"/>
      <c r="K167" s="314"/>
      <c r="L167" s="114">
        <f t="shared" si="12"/>
        <v>0</v>
      </c>
      <c r="M167" s="315"/>
      <c r="N167" s="312"/>
      <c r="O167" s="114">
        <f t="shared" si="13"/>
        <v>0</v>
      </c>
      <c r="P167" s="109"/>
      <c r="R167" s="53"/>
    </row>
    <row r="168" spans="1:18" ht="24" hidden="1" x14ac:dyDescent="0.25">
      <c r="A168" s="99">
        <v>2500</v>
      </c>
      <c r="B168" s="247" t="s">
        <v>184</v>
      </c>
      <c r="C168" s="249">
        <f t="shared" si="9"/>
        <v>0</v>
      </c>
      <c r="D168" s="112">
        <f>SUM(D169,D174)</f>
        <v>0</v>
      </c>
      <c r="E168" s="293">
        <f>SUM(E169,E174)</f>
        <v>0</v>
      </c>
      <c r="F168" s="114">
        <f t="shared" si="10"/>
        <v>0</v>
      </c>
      <c r="G168" s="112">
        <f>SUM(G169,G174)</f>
        <v>0</v>
      </c>
      <c r="H168" s="113">
        <f t="shared" ref="H168" si="17">SUM(H169,H174)</f>
        <v>0</v>
      </c>
      <c r="I168" s="114">
        <f t="shared" si="11"/>
        <v>0</v>
      </c>
      <c r="J168" s="112">
        <f>SUM(J169,J174)</f>
        <v>0</v>
      </c>
      <c r="K168" s="113">
        <f t="shared" ref="K168" si="18">SUM(K169,K174)</f>
        <v>0</v>
      </c>
      <c r="L168" s="114">
        <f t="shared" si="12"/>
        <v>0</v>
      </c>
      <c r="M168" s="250">
        <f t="shared" ref="M168:N168" si="19">SUM(M169,M174)</f>
        <v>0</v>
      </c>
      <c r="N168" s="251">
        <f t="shared" si="19"/>
        <v>0</v>
      </c>
      <c r="O168" s="252">
        <f t="shared" si="13"/>
        <v>0</v>
      </c>
      <c r="P168" s="253"/>
      <c r="R168" s="53"/>
    </row>
    <row r="169" spans="1:18" hidden="1" x14ac:dyDescent="0.25">
      <c r="A169" s="656">
        <v>2510</v>
      </c>
      <c r="B169" s="116" t="s">
        <v>185</v>
      </c>
      <c r="C169" s="296">
        <f t="shared" si="9"/>
        <v>0</v>
      </c>
      <c r="D169" s="297">
        <f>SUM(D170:D173)</f>
        <v>0</v>
      </c>
      <c r="E169" s="301">
        <f>SUM(E170:E173)</f>
        <v>0</v>
      </c>
      <c r="F169" s="125">
        <f t="shared" si="10"/>
        <v>0</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c r="R169" s="53"/>
    </row>
    <row r="170" spans="1:18" ht="24" hidden="1" x14ac:dyDescent="0.25">
      <c r="A170" s="76">
        <v>2512</v>
      </c>
      <c r="B170" s="127" t="s">
        <v>186</v>
      </c>
      <c r="C170" s="279">
        <f t="shared" si="9"/>
        <v>0</v>
      </c>
      <c r="D170" s="134">
        <v>0</v>
      </c>
      <c r="E170" s="285"/>
      <c r="F170" s="136">
        <f t="shared" si="10"/>
        <v>0</v>
      </c>
      <c r="G170" s="134"/>
      <c r="H170" s="135"/>
      <c r="I170" s="136">
        <f t="shared" si="11"/>
        <v>0</v>
      </c>
      <c r="J170" s="134"/>
      <c r="K170" s="135"/>
      <c r="L170" s="136">
        <f t="shared" si="12"/>
        <v>0</v>
      </c>
      <c r="M170" s="284"/>
      <c r="N170" s="285"/>
      <c r="O170" s="136">
        <f t="shared" si="13"/>
        <v>0</v>
      </c>
      <c r="P170" s="85"/>
      <c r="R170" s="53"/>
    </row>
    <row r="171" spans="1:18" ht="36" hidden="1" x14ac:dyDescent="0.25">
      <c r="A171" s="76">
        <v>2513</v>
      </c>
      <c r="B171" s="127" t="s">
        <v>187</v>
      </c>
      <c r="C171" s="279">
        <f t="shared" si="9"/>
        <v>0</v>
      </c>
      <c r="D171" s="134">
        <v>0</v>
      </c>
      <c r="E171" s="285"/>
      <c r="F171" s="136">
        <f t="shared" si="10"/>
        <v>0</v>
      </c>
      <c r="G171" s="134"/>
      <c r="H171" s="135"/>
      <c r="I171" s="136">
        <f t="shared" si="11"/>
        <v>0</v>
      </c>
      <c r="J171" s="134"/>
      <c r="K171" s="135"/>
      <c r="L171" s="136">
        <f t="shared" si="12"/>
        <v>0</v>
      </c>
      <c r="M171" s="284"/>
      <c r="N171" s="285"/>
      <c r="O171" s="136">
        <f t="shared" si="13"/>
        <v>0</v>
      </c>
      <c r="P171" s="85"/>
      <c r="R171" s="53"/>
    </row>
    <row r="172" spans="1:18" ht="24" hidden="1" x14ac:dyDescent="0.25">
      <c r="A172" s="76">
        <v>2515</v>
      </c>
      <c r="B172" s="127" t="s">
        <v>188</v>
      </c>
      <c r="C172" s="279">
        <f t="shared" si="9"/>
        <v>0</v>
      </c>
      <c r="D172" s="134">
        <v>0</v>
      </c>
      <c r="E172" s="285"/>
      <c r="F172" s="136">
        <f t="shared" si="10"/>
        <v>0</v>
      </c>
      <c r="G172" s="134"/>
      <c r="H172" s="135"/>
      <c r="I172" s="136">
        <f t="shared" si="11"/>
        <v>0</v>
      </c>
      <c r="J172" s="134"/>
      <c r="K172" s="135"/>
      <c r="L172" s="136">
        <f t="shared" si="12"/>
        <v>0</v>
      </c>
      <c r="M172" s="284"/>
      <c r="N172" s="285"/>
      <c r="O172" s="136">
        <f t="shared" si="13"/>
        <v>0</v>
      </c>
      <c r="P172" s="85"/>
      <c r="R172" s="53"/>
    </row>
    <row r="173" spans="1:18" ht="24" hidden="1" x14ac:dyDescent="0.25">
      <c r="A173" s="76">
        <v>2519</v>
      </c>
      <c r="B173" s="127" t="s">
        <v>189</v>
      </c>
      <c r="C173" s="279">
        <f t="shared" si="9"/>
        <v>0</v>
      </c>
      <c r="D173" s="134">
        <v>0</v>
      </c>
      <c r="E173" s="285"/>
      <c r="F173" s="136">
        <f t="shared" si="10"/>
        <v>0</v>
      </c>
      <c r="G173" s="134"/>
      <c r="H173" s="135"/>
      <c r="I173" s="136">
        <f t="shared" si="11"/>
        <v>0</v>
      </c>
      <c r="J173" s="134"/>
      <c r="K173" s="135"/>
      <c r="L173" s="136">
        <f t="shared" si="12"/>
        <v>0</v>
      </c>
      <c r="M173" s="284"/>
      <c r="N173" s="285"/>
      <c r="O173" s="136">
        <f t="shared" si="13"/>
        <v>0</v>
      </c>
      <c r="P173" s="85"/>
      <c r="R173" s="53"/>
    </row>
    <row r="174" spans="1:18" hidden="1" x14ac:dyDescent="0.25">
      <c r="A174" s="276">
        <v>2520</v>
      </c>
      <c r="B174" s="127" t="s">
        <v>190</v>
      </c>
      <c r="C174" s="279">
        <f t="shared" si="9"/>
        <v>0</v>
      </c>
      <c r="D174" s="134">
        <v>0</v>
      </c>
      <c r="E174" s="285"/>
      <c r="F174" s="136">
        <f t="shared" si="10"/>
        <v>0</v>
      </c>
      <c r="G174" s="134"/>
      <c r="H174" s="135"/>
      <c r="I174" s="136">
        <f t="shared" si="11"/>
        <v>0</v>
      </c>
      <c r="J174" s="134"/>
      <c r="K174" s="135"/>
      <c r="L174" s="136">
        <f t="shared" si="12"/>
        <v>0</v>
      </c>
      <c r="M174" s="284"/>
      <c r="N174" s="285"/>
      <c r="O174" s="136">
        <f t="shared" si="13"/>
        <v>0</v>
      </c>
      <c r="P174" s="85"/>
      <c r="R174" s="53"/>
    </row>
    <row r="175" spans="1:18" s="319" customFormat="1" ht="36" hidden="1" x14ac:dyDescent="0.25">
      <c r="A175" s="31">
        <v>2800</v>
      </c>
      <c r="B175" s="116" t="s">
        <v>191</v>
      </c>
      <c r="C175" s="296">
        <f t="shared" si="9"/>
        <v>0</v>
      </c>
      <c r="D175" s="68">
        <v>0</v>
      </c>
      <c r="E175" s="69"/>
      <c r="F175" s="72">
        <f t="shared" si="10"/>
        <v>0</v>
      </c>
      <c r="G175" s="68"/>
      <c r="H175" s="71"/>
      <c r="I175" s="72">
        <f t="shared" si="11"/>
        <v>0</v>
      </c>
      <c r="J175" s="68"/>
      <c r="K175" s="71"/>
      <c r="L175" s="72">
        <f t="shared" si="12"/>
        <v>0</v>
      </c>
      <c r="M175" s="73"/>
      <c r="N175" s="69"/>
      <c r="O175" s="72">
        <f t="shared" si="13"/>
        <v>0</v>
      </c>
      <c r="P175" s="74"/>
      <c r="R175" s="53"/>
    </row>
    <row r="176" spans="1:18" hidden="1" x14ac:dyDescent="0.25">
      <c r="A176" s="237">
        <v>3000</v>
      </c>
      <c r="B176" s="237" t="s">
        <v>192</v>
      </c>
      <c r="C176" s="241">
        <f t="shared" si="9"/>
        <v>0</v>
      </c>
      <c r="D176" s="239">
        <f>SUM(D177,D187)</f>
        <v>0</v>
      </c>
      <c r="E176" s="245">
        <f>SUM(E177,E187)</f>
        <v>0</v>
      </c>
      <c r="F176" s="243">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row>
    <row r="177" spans="1:18" ht="24" hidden="1" x14ac:dyDescent="0.25">
      <c r="A177" s="99">
        <v>3200</v>
      </c>
      <c r="B177" s="321" t="s">
        <v>193</v>
      </c>
      <c r="C177" s="249">
        <f t="shared" si="9"/>
        <v>0</v>
      </c>
      <c r="D177" s="112">
        <f>SUM(D178,D182)</f>
        <v>0</v>
      </c>
      <c r="E177" s="293">
        <f>SUM(E178,E182)</f>
        <v>0</v>
      </c>
      <c r="F177" s="114">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c r="R177" s="53"/>
    </row>
    <row r="178" spans="1:18" ht="36" hidden="1" x14ac:dyDescent="0.25">
      <c r="A178" s="656">
        <v>3260</v>
      </c>
      <c r="B178" s="116" t="s">
        <v>194</v>
      </c>
      <c r="C178" s="296">
        <f t="shared" si="9"/>
        <v>0</v>
      </c>
      <c r="D178" s="297">
        <f>SUM(D179:D181)</f>
        <v>0</v>
      </c>
      <c r="E178" s="301">
        <f>SUM(E179:E181)</f>
        <v>0</v>
      </c>
      <c r="F178" s="125">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row>
    <row r="179" spans="1:18" ht="24" hidden="1" x14ac:dyDescent="0.25">
      <c r="A179" s="76">
        <v>3261</v>
      </c>
      <c r="B179" s="127" t="s">
        <v>195</v>
      </c>
      <c r="C179" s="279">
        <f t="shared" si="9"/>
        <v>0</v>
      </c>
      <c r="D179" s="134">
        <v>0</v>
      </c>
      <c r="E179" s="285"/>
      <c r="F179" s="136">
        <f t="shared" si="10"/>
        <v>0</v>
      </c>
      <c r="G179" s="134"/>
      <c r="H179" s="135"/>
      <c r="I179" s="136">
        <f t="shared" si="11"/>
        <v>0</v>
      </c>
      <c r="J179" s="134"/>
      <c r="K179" s="135"/>
      <c r="L179" s="136">
        <f t="shared" si="12"/>
        <v>0</v>
      </c>
      <c r="M179" s="284"/>
      <c r="N179" s="285"/>
      <c r="O179" s="136">
        <f t="shared" si="13"/>
        <v>0</v>
      </c>
      <c r="P179" s="85"/>
      <c r="R179" s="53"/>
    </row>
    <row r="180" spans="1:18" ht="36" hidden="1" x14ac:dyDescent="0.25">
      <c r="A180" s="76">
        <v>3262</v>
      </c>
      <c r="B180" s="127" t="s">
        <v>196</v>
      </c>
      <c r="C180" s="279">
        <f t="shared" si="9"/>
        <v>0</v>
      </c>
      <c r="D180" s="134">
        <v>0</v>
      </c>
      <c r="E180" s="285"/>
      <c r="F180" s="136">
        <f t="shared" si="10"/>
        <v>0</v>
      </c>
      <c r="G180" s="134"/>
      <c r="H180" s="135"/>
      <c r="I180" s="136">
        <f t="shared" si="11"/>
        <v>0</v>
      </c>
      <c r="J180" s="134"/>
      <c r="K180" s="135"/>
      <c r="L180" s="136">
        <f t="shared" si="12"/>
        <v>0</v>
      </c>
      <c r="M180" s="284"/>
      <c r="N180" s="285"/>
      <c r="O180" s="136">
        <f t="shared" si="13"/>
        <v>0</v>
      </c>
      <c r="P180" s="85"/>
      <c r="R180" s="53"/>
    </row>
    <row r="181" spans="1:18" ht="24" hidden="1" x14ac:dyDescent="0.25">
      <c r="A181" s="76">
        <v>3263</v>
      </c>
      <c r="B181" s="127" t="s">
        <v>197</v>
      </c>
      <c r="C181" s="279">
        <f t="shared" si="9"/>
        <v>0</v>
      </c>
      <c r="D181" s="134">
        <v>0</v>
      </c>
      <c r="E181" s="285"/>
      <c r="F181" s="136">
        <f t="shared" si="10"/>
        <v>0</v>
      </c>
      <c r="G181" s="134"/>
      <c r="H181" s="135"/>
      <c r="I181" s="136">
        <f t="shared" si="11"/>
        <v>0</v>
      </c>
      <c r="J181" s="134"/>
      <c r="K181" s="135"/>
      <c r="L181" s="136">
        <f t="shared" si="12"/>
        <v>0</v>
      </c>
      <c r="M181" s="284"/>
      <c r="N181" s="285"/>
      <c r="O181" s="136">
        <f t="shared" si="13"/>
        <v>0</v>
      </c>
      <c r="P181" s="85"/>
      <c r="R181" s="53"/>
    </row>
    <row r="182" spans="1:18" ht="84" hidden="1" x14ac:dyDescent="0.25">
      <c r="A182" s="656">
        <v>3290</v>
      </c>
      <c r="B182" s="116" t="s">
        <v>198</v>
      </c>
      <c r="C182" s="279">
        <f t="shared" ref="C182:C258" si="26">F182+I182+L182+O182</f>
        <v>0</v>
      </c>
      <c r="D182" s="297">
        <f>SUM(D183:D186)</f>
        <v>0</v>
      </c>
      <c r="E182" s="301">
        <f>SUM(E183:E186)</f>
        <v>0</v>
      </c>
      <c r="F182" s="125">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c r="R182" s="53"/>
    </row>
    <row r="183" spans="1:18" ht="60" hidden="1" x14ac:dyDescent="0.25">
      <c r="A183" s="76">
        <v>3291</v>
      </c>
      <c r="B183" s="127" t="s">
        <v>199</v>
      </c>
      <c r="C183" s="279">
        <f t="shared" si="26"/>
        <v>0</v>
      </c>
      <c r="D183" s="134">
        <v>0</v>
      </c>
      <c r="E183" s="285"/>
      <c r="F183" s="136">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c r="R183" s="53"/>
    </row>
    <row r="184" spans="1:18" ht="72" hidden="1" x14ac:dyDescent="0.25">
      <c r="A184" s="76">
        <v>3292</v>
      </c>
      <c r="B184" s="127" t="s">
        <v>200</v>
      </c>
      <c r="C184" s="279">
        <f t="shared" si="26"/>
        <v>0</v>
      </c>
      <c r="D184" s="134">
        <v>0</v>
      </c>
      <c r="E184" s="285"/>
      <c r="F184" s="136">
        <f t="shared" si="30"/>
        <v>0</v>
      </c>
      <c r="G184" s="134"/>
      <c r="H184" s="135"/>
      <c r="I184" s="136">
        <f t="shared" si="31"/>
        <v>0</v>
      </c>
      <c r="J184" s="134"/>
      <c r="K184" s="135"/>
      <c r="L184" s="136">
        <f t="shared" si="32"/>
        <v>0</v>
      </c>
      <c r="M184" s="284"/>
      <c r="N184" s="285"/>
      <c r="O184" s="136">
        <f t="shared" si="33"/>
        <v>0</v>
      </c>
      <c r="P184" s="85"/>
      <c r="R184" s="53"/>
    </row>
    <row r="185" spans="1:18" ht="60" hidden="1" x14ac:dyDescent="0.25">
      <c r="A185" s="76">
        <v>3293</v>
      </c>
      <c r="B185" s="127" t="s">
        <v>201</v>
      </c>
      <c r="C185" s="279">
        <f t="shared" si="26"/>
        <v>0</v>
      </c>
      <c r="D185" s="134">
        <v>0</v>
      </c>
      <c r="E185" s="285"/>
      <c r="F185" s="136">
        <f t="shared" si="30"/>
        <v>0</v>
      </c>
      <c r="G185" s="134"/>
      <c r="H185" s="135"/>
      <c r="I185" s="136">
        <f t="shared" si="31"/>
        <v>0</v>
      </c>
      <c r="J185" s="134"/>
      <c r="K185" s="135"/>
      <c r="L185" s="136">
        <f t="shared" si="32"/>
        <v>0</v>
      </c>
      <c r="M185" s="284"/>
      <c r="N185" s="285"/>
      <c r="O185" s="136">
        <f t="shared" si="33"/>
        <v>0</v>
      </c>
      <c r="P185" s="85"/>
      <c r="R185" s="53"/>
    </row>
    <row r="186" spans="1:18" ht="48" hidden="1" x14ac:dyDescent="0.25">
      <c r="A186" s="326">
        <v>3294</v>
      </c>
      <c r="B186" s="127" t="s">
        <v>202</v>
      </c>
      <c r="C186" s="647">
        <f t="shared" si="26"/>
        <v>0</v>
      </c>
      <c r="D186" s="328">
        <v>0</v>
      </c>
      <c r="E186" s="329"/>
      <c r="F186" s="324">
        <f t="shared" si="30"/>
        <v>0</v>
      </c>
      <c r="G186" s="328"/>
      <c r="H186" s="331"/>
      <c r="I186" s="324">
        <f t="shared" si="31"/>
        <v>0</v>
      </c>
      <c r="J186" s="328"/>
      <c r="K186" s="331"/>
      <c r="L186" s="324">
        <f t="shared" si="32"/>
        <v>0</v>
      </c>
      <c r="M186" s="332"/>
      <c r="N186" s="329"/>
      <c r="O186" s="324">
        <f t="shared" si="33"/>
        <v>0</v>
      </c>
      <c r="P186" s="325"/>
      <c r="R186" s="53"/>
    </row>
    <row r="187" spans="1:18" ht="48" hidden="1" x14ac:dyDescent="0.25">
      <c r="A187" s="160">
        <v>3300</v>
      </c>
      <c r="B187" s="321" t="s">
        <v>203</v>
      </c>
      <c r="C187" s="648">
        <f t="shared" si="26"/>
        <v>0</v>
      </c>
      <c r="D187" s="334">
        <f>SUM(D188:D189)</f>
        <v>0</v>
      </c>
      <c r="E187" s="251">
        <f>SUM(E188:E189)</f>
        <v>0</v>
      </c>
      <c r="F187" s="252">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c r="R187" s="53"/>
    </row>
    <row r="188" spans="1:18" ht="48" hidden="1" x14ac:dyDescent="0.25">
      <c r="A188" s="178">
        <v>3310</v>
      </c>
      <c r="B188" s="179" t="s">
        <v>204</v>
      </c>
      <c r="C188" s="257">
        <f t="shared" si="26"/>
        <v>0</v>
      </c>
      <c r="D188" s="287">
        <v>0</v>
      </c>
      <c r="E188" s="291"/>
      <c r="F188" s="259">
        <f t="shared" si="30"/>
        <v>0</v>
      </c>
      <c r="G188" s="287"/>
      <c r="H188" s="289"/>
      <c r="I188" s="259">
        <f t="shared" si="31"/>
        <v>0</v>
      </c>
      <c r="J188" s="287"/>
      <c r="K188" s="289"/>
      <c r="L188" s="259">
        <f t="shared" si="32"/>
        <v>0</v>
      </c>
      <c r="M188" s="290"/>
      <c r="N188" s="291"/>
      <c r="O188" s="259">
        <f t="shared" si="33"/>
        <v>0</v>
      </c>
      <c r="P188" s="189"/>
      <c r="R188" s="53"/>
    </row>
    <row r="189" spans="1:18" ht="48" hidden="1" x14ac:dyDescent="0.25">
      <c r="A189" s="66">
        <v>3320</v>
      </c>
      <c r="B189" s="116" t="s">
        <v>205</v>
      </c>
      <c r="C189" s="296">
        <f t="shared" si="26"/>
        <v>0</v>
      </c>
      <c r="D189" s="123">
        <v>0</v>
      </c>
      <c r="E189" s="262"/>
      <c r="F189" s="125">
        <f t="shared" si="30"/>
        <v>0</v>
      </c>
      <c r="G189" s="123"/>
      <c r="H189" s="124"/>
      <c r="I189" s="125">
        <f t="shared" si="31"/>
        <v>0</v>
      </c>
      <c r="J189" s="123"/>
      <c r="K189" s="124"/>
      <c r="L189" s="125">
        <f t="shared" si="32"/>
        <v>0</v>
      </c>
      <c r="M189" s="264"/>
      <c r="N189" s="262"/>
      <c r="O189" s="125">
        <f t="shared" si="33"/>
        <v>0</v>
      </c>
      <c r="P189" s="74"/>
      <c r="R189" s="53"/>
    </row>
    <row r="190" spans="1:18" hidden="1" x14ac:dyDescent="0.25">
      <c r="A190" s="337">
        <v>4000</v>
      </c>
      <c r="B190" s="237" t="s">
        <v>206</v>
      </c>
      <c r="C190" s="241">
        <f t="shared" si="26"/>
        <v>0</v>
      </c>
      <c r="D190" s="239">
        <f>SUM(D191,D194)</f>
        <v>0</v>
      </c>
      <c r="E190" s="245">
        <f>SUM(E191,E194)</f>
        <v>0</v>
      </c>
      <c r="F190" s="243">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c r="R190" s="53"/>
    </row>
    <row r="191" spans="1:18" ht="24" hidden="1" x14ac:dyDescent="0.25">
      <c r="A191" s="338">
        <v>4200</v>
      </c>
      <c r="B191" s="247" t="s">
        <v>207</v>
      </c>
      <c r="C191" s="249">
        <f t="shared" si="26"/>
        <v>0</v>
      </c>
      <c r="D191" s="112">
        <f>SUM(D192,D193)</f>
        <v>0</v>
      </c>
      <c r="E191" s="293">
        <f>SUM(E192,E193)</f>
        <v>0</v>
      </c>
      <c r="F191" s="114">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c r="R191" s="53"/>
    </row>
    <row r="192" spans="1:18" ht="36" hidden="1" x14ac:dyDescent="0.25">
      <c r="A192" s="656">
        <v>4240</v>
      </c>
      <c r="B192" s="116" t="s">
        <v>208</v>
      </c>
      <c r="C192" s="296">
        <f t="shared" si="26"/>
        <v>0</v>
      </c>
      <c r="D192" s="123">
        <v>0</v>
      </c>
      <c r="E192" s="262"/>
      <c r="F192" s="125">
        <f t="shared" si="30"/>
        <v>0</v>
      </c>
      <c r="G192" s="123"/>
      <c r="H192" s="124"/>
      <c r="I192" s="125">
        <f t="shared" si="31"/>
        <v>0</v>
      </c>
      <c r="J192" s="123"/>
      <c r="K192" s="124"/>
      <c r="L192" s="125">
        <f t="shared" si="32"/>
        <v>0</v>
      </c>
      <c r="M192" s="264"/>
      <c r="N192" s="262"/>
      <c r="O192" s="125">
        <f t="shared" si="33"/>
        <v>0</v>
      </c>
      <c r="P192" s="74"/>
      <c r="R192" s="53"/>
    </row>
    <row r="193" spans="1:18" ht="24" hidden="1" x14ac:dyDescent="0.25">
      <c r="A193" s="276">
        <v>4250</v>
      </c>
      <c r="B193" s="127" t="s">
        <v>209</v>
      </c>
      <c r="C193" s="279">
        <f t="shared" si="26"/>
        <v>0</v>
      </c>
      <c r="D193" s="134">
        <v>0</v>
      </c>
      <c r="E193" s="285"/>
      <c r="F193" s="136">
        <f t="shared" si="30"/>
        <v>0</v>
      </c>
      <c r="G193" s="134"/>
      <c r="H193" s="135"/>
      <c r="I193" s="136">
        <f t="shared" si="31"/>
        <v>0</v>
      </c>
      <c r="J193" s="134"/>
      <c r="K193" s="135"/>
      <c r="L193" s="136">
        <f t="shared" si="32"/>
        <v>0</v>
      </c>
      <c r="M193" s="284"/>
      <c r="N193" s="285"/>
      <c r="O193" s="136">
        <f t="shared" si="33"/>
        <v>0</v>
      </c>
      <c r="P193" s="85"/>
      <c r="R193" s="53"/>
    </row>
    <row r="194" spans="1:18" hidden="1" x14ac:dyDescent="0.25">
      <c r="A194" s="99">
        <v>4300</v>
      </c>
      <c r="B194" s="247" t="s">
        <v>210</v>
      </c>
      <c r="C194" s="249">
        <f t="shared" si="26"/>
        <v>0</v>
      </c>
      <c r="D194" s="112">
        <f>SUM(D195)</f>
        <v>0</v>
      </c>
      <c r="E194" s="293">
        <f>SUM(E195)</f>
        <v>0</v>
      </c>
      <c r="F194" s="114">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c r="R194" s="53"/>
    </row>
    <row r="195" spans="1:18" ht="24" hidden="1" x14ac:dyDescent="0.25">
      <c r="A195" s="656">
        <v>4310</v>
      </c>
      <c r="B195" s="116" t="s">
        <v>211</v>
      </c>
      <c r="C195" s="296">
        <f t="shared" si="26"/>
        <v>0</v>
      </c>
      <c r="D195" s="297">
        <f>SUM(D196:D196)</f>
        <v>0</v>
      </c>
      <c r="E195" s="301">
        <f>SUM(E196:E196)</f>
        <v>0</v>
      </c>
      <c r="F195" s="125">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c r="R195" s="53"/>
    </row>
    <row r="196" spans="1:18" ht="36" hidden="1" x14ac:dyDescent="0.25">
      <c r="A196" s="76">
        <v>4311</v>
      </c>
      <c r="B196" s="127" t="s">
        <v>212</v>
      </c>
      <c r="C196" s="279">
        <f t="shared" si="26"/>
        <v>0</v>
      </c>
      <c r="D196" s="134">
        <v>0</v>
      </c>
      <c r="E196" s="285"/>
      <c r="F196" s="136">
        <f t="shared" si="30"/>
        <v>0</v>
      </c>
      <c r="G196" s="134"/>
      <c r="H196" s="135"/>
      <c r="I196" s="136">
        <f t="shared" si="31"/>
        <v>0</v>
      </c>
      <c r="J196" s="134"/>
      <c r="K196" s="135"/>
      <c r="L196" s="136">
        <f t="shared" si="32"/>
        <v>0</v>
      </c>
      <c r="M196" s="284"/>
      <c r="N196" s="285"/>
      <c r="O196" s="136">
        <f t="shared" si="33"/>
        <v>0</v>
      </c>
      <c r="P196" s="85"/>
      <c r="R196" s="53"/>
    </row>
    <row r="197" spans="1:18" s="41" customFormat="1" x14ac:dyDescent="0.25">
      <c r="A197" s="339"/>
      <c r="B197" s="31" t="s">
        <v>213</v>
      </c>
      <c r="C197" s="232">
        <f t="shared" si="26"/>
        <v>68743</v>
      </c>
      <c r="D197" s="230">
        <f>SUM(D198,D233,D271)</f>
        <v>66533</v>
      </c>
      <c r="E197" s="235">
        <f>SUM(E198,E233,E271)</f>
        <v>2210</v>
      </c>
      <c r="F197" s="234">
        <f t="shared" si="30"/>
        <v>68743</v>
      </c>
      <c r="G197" s="230">
        <f>SUM(G198,G233,G271)</f>
        <v>0</v>
      </c>
      <c r="H197" s="233">
        <f>SUM(H198,H233,H271)</f>
        <v>0</v>
      </c>
      <c r="I197" s="234">
        <f t="shared" si="31"/>
        <v>0</v>
      </c>
      <c r="J197" s="230">
        <f>SUM(J198,J233,J271)</f>
        <v>0</v>
      </c>
      <c r="K197" s="233">
        <f>SUM(K198,K233,K271)</f>
        <v>0</v>
      </c>
      <c r="L197" s="234">
        <f t="shared" si="32"/>
        <v>0</v>
      </c>
      <c r="M197" s="340">
        <f>SUM(M198,M233,M271)</f>
        <v>0</v>
      </c>
      <c r="N197" s="341">
        <f>SUM(N198,N233,N271)</f>
        <v>0</v>
      </c>
      <c r="O197" s="342">
        <f t="shared" si="33"/>
        <v>0</v>
      </c>
      <c r="P197" s="343"/>
      <c r="R197" s="53"/>
    </row>
    <row r="198" spans="1:18" x14ac:dyDescent="0.25">
      <c r="A198" s="237">
        <v>5000</v>
      </c>
      <c r="B198" s="237" t="s">
        <v>214</v>
      </c>
      <c r="C198" s="241">
        <f>F198+I198+L198+O198</f>
        <v>1500</v>
      </c>
      <c r="D198" s="239">
        <f>D199+D207</f>
        <v>1500</v>
      </c>
      <c r="E198" s="245">
        <f>E199+E207</f>
        <v>0</v>
      </c>
      <c r="F198" s="243">
        <f t="shared" si="30"/>
        <v>1500</v>
      </c>
      <c r="G198" s="239">
        <f>G199+G207</f>
        <v>0</v>
      </c>
      <c r="H198" s="242">
        <f>H199+H207</f>
        <v>0</v>
      </c>
      <c r="I198" s="243">
        <f t="shared" si="31"/>
        <v>0</v>
      </c>
      <c r="J198" s="239">
        <f>J199+J207</f>
        <v>0</v>
      </c>
      <c r="K198" s="242">
        <f>K199+K207</f>
        <v>0</v>
      </c>
      <c r="L198" s="243">
        <f t="shared" si="32"/>
        <v>0</v>
      </c>
      <c r="M198" s="244">
        <f>M199+M207</f>
        <v>0</v>
      </c>
      <c r="N198" s="245">
        <f>N199+N207</f>
        <v>0</v>
      </c>
      <c r="O198" s="243">
        <f t="shared" si="33"/>
        <v>0</v>
      </c>
      <c r="P198" s="246"/>
      <c r="R198" s="53"/>
    </row>
    <row r="199" spans="1:18" hidden="1" x14ac:dyDescent="0.25">
      <c r="A199" s="99">
        <v>5100</v>
      </c>
      <c r="B199" s="247" t="s">
        <v>215</v>
      </c>
      <c r="C199" s="249">
        <f t="shared" si="26"/>
        <v>0</v>
      </c>
      <c r="D199" s="112">
        <f>D200+D201+D204+D205+D206</f>
        <v>0</v>
      </c>
      <c r="E199" s="293">
        <f>E200+E201+E204+E205+E206</f>
        <v>0</v>
      </c>
      <c r="F199" s="114">
        <f t="shared" si="30"/>
        <v>0</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c r="R199" s="53"/>
    </row>
    <row r="200" spans="1:18" hidden="1" x14ac:dyDescent="0.25">
      <c r="A200" s="656">
        <v>5110</v>
      </c>
      <c r="B200" s="116" t="s">
        <v>216</v>
      </c>
      <c r="C200" s="296">
        <f t="shared" si="26"/>
        <v>0</v>
      </c>
      <c r="D200" s="123">
        <v>0</v>
      </c>
      <c r="E200" s="262"/>
      <c r="F200" s="125">
        <f t="shared" si="30"/>
        <v>0</v>
      </c>
      <c r="G200" s="123"/>
      <c r="H200" s="124"/>
      <c r="I200" s="125">
        <f t="shared" si="31"/>
        <v>0</v>
      </c>
      <c r="J200" s="123"/>
      <c r="K200" s="124"/>
      <c r="L200" s="125">
        <f t="shared" si="32"/>
        <v>0</v>
      </c>
      <c r="M200" s="264"/>
      <c r="N200" s="262"/>
      <c r="O200" s="125">
        <f t="shared" si="33"/>
        <v>0</v>
      </c>
      <c r="P200" s="74"/>
      <c r="R200" s="53"/>
    </row>
    <row r="201" spans="1:18" ht="24" hidden="1" x14ac:dyDescent="0.25">
      <c r="A201" s="276">
        <v>5120</v>
      </c>
      <c r="B201" s="127" t="s">
        <v>217</v>
      </c>
      <c r="C201" s="279">
        <f t="shared" si="26"/>
        <v>0</v>
      </c>
      <c r="D201" s="277">
        <f>D202+D203</f>
        <v>0</v>
      </c>
      <c r="E201" s="282">
        <f>E202+E203</f>
        <v>0</v>
      </c>
      <c r="F201" s="136">
        <f t="shared" si="30"/>
        <v>0</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c r="R201" s="53"/>
    </row>
    <row r="202" spans="1:18" hidden="1" x14ac:dyDescent="0.25">
      <c r="A202" s="76">
        <v>5121</v>
      </c>
      <c r="B202" s="127" t="s">
        <v>218</v>
      </c>
      <c r="C202" s="279">
        <f t="shared" si="26"/>
        <v>0</v>
      </c>
      <c r="D202" s="134">
        <v>0</v>
      </c>
      <c r="E202" s="285"/>
      <c r="F202" s="136">
        <f t="shared" si="30"/>
        <v>0</v>
      </c>
      <c r="G202" s="134"/>
      <c r="H202" s="135"/>
      <c r="I202" s="136">
        <f t="shared" si="31"/>
        <v>0</v>
      </c>
      <c r="J202" s="134"/>
      <c r="K202" s="135"/>
      <c r="L202" s="136">
        <f t="shared" si="32"/>
        <v>0</v>
      </c>
      <c r="M202" s="284"/>
      <c r="N202" s="285"/>
      <c r="O202" s="136">
        <f t="shared" si="33"/>
        <v>0</v>
      </c>
      <c r="P202" s="85"/>
      <c r="R202" s="53"/>
    </row>
    <row r="203" spans="1:18" ht="24" hidden="1" x14ac:dyDescent="0.25">
      <c r="A203" s="76">
        <v>5129</v>
      </c>
      <c r="B203" s="127" t="s">
        <v>219</v>
      </c>
      <c r="C203" s="279">
        <f t="shared" si="26"/>
        <v>0</v>
      </c>
      <c r="D203" s="134">
        <v>0</v>
      </c>
      <c r="E203" s="285"/>
      <c r="F203" s="136">
        <f t="shared" si="30"/>
        <v>0</v>
      </c>
      <c r="G203" s="134"/>
      <c r="H203" s="135"/>
      <c r="I203" s="136">
        <f t="shared" si="31"/>
        <v>0</v>
      </c>
      <c r="J203" s="134"/>
      <c r="K203" s="135"/>
      <c r="L203" s="136">
        <f t="shared" si="32"/>
        <v>0</v>
      </c>
      <c r="M203" s="284"/>
      <c r="N203" s="285"/>
      <c r="O203" s="136">
        <f t="shared" si="33"/>
        <v>0</v>
      </c>
      <c r="P203" s="85"/>
      <c r="R203" s="53"/>
    </row>
    <row r="204" spans="1:18" hidden="1" x14ac:dyDescent="0.25">
      <c r="A204" s="276">
        <v>5130</v>
      </c>
      <c r="B204" s="127" t="s">
        <v>220</v>
      </c>
      <c r="C204" s="279">
        <f t="shared" si="26"/>
        <v>0</v>
      </c>
      <c r="D204" s="134">
        <v>0</v>
      </c>
      <c r="E204" s="285"/>
      <c r="F204" s="136">
        <f t="shared" si="30"/>
        <v>0</v>
      </c>
      <c r="G204" s="134"/>
      <c r="H204" s="135"/>
      <c r="I204" s="136">
        <f t="shared" si="31"/>
        <v>0</v>
      </c>
      <c r="J204" s="134"/>
      <c r="K204" s="135"/>
      <c r="L204" s="136">
        <f t="shared" si="32"/>
        <v>0</v>
      </c>
      <c r="M204" s="284"/>
      <c r="N204" s="285"/>
      <c r="O204" s="136">
        <f t="shared" si="33"/>
        <v>0</v>
      </c>
      <c r="P204" s="85"/>
      <c r="R204" s="53"/>
    </row>
    <row r="205" spans="1:18" hidden="1" x14ac:dyDescent="0.25">
      <c r="A205" s="276">
        <v>5140</v>
      </c>
      <c r="B205" s="127" t="s">
        <v>221</v>
      </c>
      <c r="C205" s="279">
        <f t="shared" si="26"/>
        <v>0</v>
      </c>
      <c r="D205" s="134">
        <v>0</v>
      </c>
      <c r="E205" s="285"/>
      <c r="F205" s="136">
        <f t="shared" si="30"/>
        <v>0</v>
      </c>
      <c r="G205" s="134"/>
      <c r="H205" s="135"/>
      <c r="I205" s="136">
        <f t="shared" si="31"/>
        <v>0</v>
      </c>
      <c r="J205" s="134"/>
      <c r="K205" s="135"/>
      <c r="L205" s="136">
        <f t="shared" si="32"/>
        <v>0</v>
      </c>
      <c r="M205" s="284"/>
      <c r="N205" s="285"/>
      <c r="O205" s="136">
        <f t="shared" si="33"/>
        <v>0</v>
      </c>
      <c r="P205" s="85"/>
      <c r="R205" s="53"/>
    </row>
    <row r="206" spans="1:18" ht="24" hidden="1" x14ac:dyDescent="0.25">
      <c r="A206" s="276">
        <v>5170</v>
      </c>
      <c r="B206" s="127" t="s">
        <v>222</v>
      </c>
      <c r="C206" s="279">
        <f t="shared" si="26"/>
        <v>0</v>
      </c>
      <c r="D206" s="134">
        <v>0</v>
      </c>
      <c r="E206" s="285"/>
      <c r="F206" s="136">
        <f t="shared" si="30"/>
        <v>0</v>
      </c>
      <c r="G206" s="134"/>
      <c r="H206" s="135"/>
      <c r="I206" s="136">
        <f t="shared" si="31"/>
        <v>0</v>
      </c>
      <c r="J206" s="134"/>
      <c r="K206" s="135"/>
      <c r="L206" s="136">
        <f t="shared" si="32"/>
        <v>0</v>
      </c>
      <c r="M206" s="284"/>
      <c r="N206" s="285"/>
      <c r="O206" s="136">
        <f t="shared" si="33"/>
        <v>0</v>
      </c>
      <c r="P206" s="85"/>
      <c r="R206" s="53"/>
    </row>
    <row r="207" spans="1:18" x14ac:dyDescent="0.25">
      <c r="A207" s="99">
        <v>5200</v>
      </c>
      <c r="B207" s="247" t="s">
        <v>223</v>
      </c>
      <c r="C207" s="249">
        <f t="shared" si="26"/>
        <v>1500</v>
      </c>
      <c r="D207" s="112">
        <f>D208+D218+D219+D228+D229+D230+D232</f>
        <v>1500</v>
      </c>
      <c r="E207" s="293">
        <f>E208+E218+E219+E228+E229+E230+E232</f>
        <v>0</v>
      </c>
      <c r="F207" s="114">
        <f t="shared" si="30"/>
        <v>1500</v>
      </c>
      <c r="G207" s="112">
        <f>G208+G218+G219+G228+G229+G230+G232</f>
        <v>0</v>
      </c>
      <c r="H207" s="113">
        <f>H208+H218+H219+H228+H229+H230+H232</f>
        <v>0</v>
      </c>
      <c r="I207" s="114">
        <f t="shared" si="31"/>
        <v>0</v>
      </c>
      <c r="J207" s="112">
        <f>J208+J218+J219+J228+J229+J230+J232</f>
        <v>0</v>
      </c>
      <c r="K207" s="113">
        <f>K208+K218+K219+K228+K229+K230+K232</f>
        <v>0</v>
      </c>
      <c r="L207" s="114">
        <f t="shared" si="32"/>
        <v>0</v>
      </c>
      <c r="M207" s="292">
        <f>M208+M218+M219+M228+M229+M230+M232</f>
        <v>0</v>
      </c>
      <c r="N207" s="293">
        <f>N208+N218+N219+N228+N229+N230+N232</f>
        <v>0</v>
      </c>
      <c r="O207" s="114">
        <f t="shared" si="33"/>
        <v>0</v>
      </c>
      <c r="P207" s="109"/>
      <c r="R207" s="53"/>
    </row>
    <row r="208" spans="1:18" hidden="1" x14ac:dyDescent="0.25">
      <c r="A208" s="254">
        <v>5210</v>
      </c>
      <c r="B208" s="179" t="s">
        <v>224</v>
      </c>
      <c r="C208" s="257">
        <f t="shared" si="26"/>
        <v>0</v>
      </c>
      <c r="D208" s="255">
        <f>SUM(D209:D217)</f>
        <v>0</v>
      </c>
      <c r="E208" s="261">
        <f>SUM(E209:E217)</f>
        <v>0</v>
      </c>
      <c r="F208" s="259">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c r="R208" s="53"/>
    </row>
    <row r="209" spans="1:18" hidden="1" x14ac:dyDescent="0.25">
      <c r="A209" s="66">
        <v>5211</v>
      </c>
      <c r="B209" s="116" t="s">
        <v>225</v>
      </c>
      <c r="C209" s="279">
        <f t="shared" si="26"/>
        <v>0</v>
      </c>
      <c r="D209" s="123">
        <v>0</v>
      </c>
      <c r="E209" s="262"/>
      <c r="F209" s="125">
        <f t="shared" si="30"/>
        <v>0</v>
      </c>
      <c r="G209" s="123"/>
      <c r="H209" s="124"/>
      <c r="I209" s="125">
        <f t="shared" si="31"/>
        <v>0</v>
      </c>
      <c r="J209" s="123"/>
      <c r="K209" s="124"/>
      <c r="L209" s="125">
        <f t="shared" si="32"/>
        <v>0</v>
      </c>
      <c r="M209" s="264"/>
      <c r="N209" s="262"/>
      <c r="O209" s="125">
        <f t="shared" si="33"/>
        <v>0</v>
      </c>
      <c r="P209" s="74"/>
      <c r="R209" s="53"/>
    </row>
    <row r="210" spans="1:18" hidden="1" x14ac:dyDescent="0.25">
      <c r="A210" s="76">
        <v>5212</v>
      </c>
      <c r="B210" s="127" t="s">
        <v>226</v>
      </c>
      <c r="C210" s="279">
        <f t="shared" si="26"/>
        <v>0</v>
      </c>
      <c r="D210" s="134">
        <v>0</v>
      </c>
      <c r="E210" s="285"/>
      <c r="F210" s="136">
        <f t="shared" si="30"/>
        <v>0</v>
      </c>
      <c r="G210" s="134"/>
      <c r="H210" s="135"/>
      <c r="I210" s="136">
        <f t="shared" si="31"/>
        <v>0</v>
      </c>
      <c r="J210" s="134"/>
      <c r="K210" s="135"/>
      <c r="L210" s="136">
        <f t="shared" si="32"/>
        <v>0</v>
      </c>
      <c r="M210" s="284"/>
      <c r="N210" s="285"/>
      <c r="O210" s="136">
        <f t="shared" si="33"/>
        <v>0</v>
      </c>
      <c r="P210" s="85"/>
      <c r="R210" s="53"/>
    </row>
    <row r="211" spans="1:18" hidden="1" x14ac:dyDescent="0.25">
      <c r="A211" s="76">
        <v>5213</v>
      </c>
      <c r="B211" s="127" t="s">
        <v>227</v>
      </c>
      <c r="C211" s="279">
        <f t="shared" si="26"/>
        <v>0</v>
      </c>
      <c r="D211" s="134">
        <v>0</v>
      </c>
      <c r="E211" s="285"/>
      <c r="F211" s="136">
        <f t="shared" si="30"/>
        <v>0</v>
      </c>
      <c r="G211" s="134"/>
      <c r="H211" s="135"/>
      <c r="I211" s="136">
        <f t="shared" si="31"/>
        <v>0</v>
      </c>
      <c r="J211" s="134"/>
      <c r="K211" s="135"/>
      <c r="L211" s="136">
        <f t="shared" si="32"/>
        <v>0</v>
      </c>
      <c r="M211" s="284"/>
      <c r="N211" s="285"/>
      <c r="O211" s="136">
        <f t="shared" si="33"/>
        <v>0</v>
      </c>
      <c r="P211" s="85"/>
      <c r="R211" s="53"/>
    </row>
    <row r="212" spans="1:18" hidden="1" x14ac:dyDescent="0.25">
      <c r="A212" s="76">
        <v>5214</v>
      </c>
      <c r="B212" s="127" t="s">
        <v>228</v>
      </c>
      <c r="C212" s="279">
        <f t="shared" si="26"/>
        <v>0</v>
      </c>
      <c r="D212" s="134">
        <v>0</v>
      </c>
      <c r="E212" s="285"/>
      <c r="F212" s="136">
        <f t="shared" si="30"/>
        <v>0</v>
      </c>
      <c r="G212" s="134"/>
      <c r="H212" s="135"/>
      <c r="I212" s="136">
        <f t="shared" si="31"/>
        <v>0</v>
      </c>
      <c r="J212" s="134"/>
      <c r="K212" s="135"/>
      <c r="L212" s="136">
        <f t="shared" si="32"/>
        <v>0</v>
      </c>
      <c r="M212" s="284"/>
      <c r="N212" s="285"/>
      <c r="O212" s="136">
        <f t="shared" si="33"/>
        <v>0</v>
      </c>
      <c r="P212" s="85"/>
      <c r="R212" s="53"/>
    </row>
    <row r="213" spans="1:18" hidden="1" x14ac:dyDescent="0.25">
      <c r="A213" s="76">
        <v>5215</v>
      </c>
      <c r="B213" s="127" t="s">
        <v>229</v>
      </c>
      <c r="C213" s="279">
        <f t="shared" si="26"/>
        <v>0</v>
      </c>
      <c r="D213" s="134">
        <v>0</v>
      </c>
      <c r="E213" s="285"/>
      <c r="F213" s="136">
        <f t="shared" si="30"/>
        <v>0</v>
      </c>
      <c r="G213" s="134"/>
      <c r="H213" s="135"/>
      <c r="I213" s="136">
        <f t="shared" si="31"/>
        <v>0</v>
      </c>
      <c r="J213" s="134"/>
      <c r="K213" s="135"/>
      <c r="L213" s="136">
        <f t="shared" si="32"/>
        <v>0</v>
      </c>
      <c r="M213" s="284"/>
      <c r="N213" s="285"/>
      <c r="O213" s="136">
        <f t="shared" si="33"/>
        <v>0</v>
      </c>
      <c r="P213" s="85"/>
      <c r="R213" s="53"/>
    </row>
    <row r="214" spans="1:18" hidden="1" x14ac:dyDescent="0.25">
      <c r="A214" s="76">
        <v>5216</v>
      </c>
      <c r="B214" s="127" t="s">
        <v>230</v>
      </c>
      <c r="C214" s="279">
        <f t="shared" si="26"/>
        <v>0</v>
      </c>
      <c r="D214" s="134">
        <v>0</v>
      </c>
      <c r="E214" s="285"/>
      <c r="F214" s="136">
        <f t="shared" si="30"/>
        <v>0</v>
      </c>
      <c r="G214" s="134"/>
      <c r="H214" s="135"/>
      <c r="I214" s="136">
        <f t="shared" si="31"/>
        <v>0</v>
      </c>
      <c r="J214" s="134"/>
      <c r="K214" s="135"/>
      <c r="L214" s="136">
        <f t="shared" si="32"/>
        <v>0</v>
      </c>
      <c r="M214" s="284"/>
      <c r="N214" s="285"/>
      <c r="O214" s="136">
        <f t="shared" si="33"/>
        <v>0</v>
      </c>
      <c r="P214" s="85"/>
      <c r="R214" s="53"/>
    </row>
    <row r="215" spans="1:18" hidden="1" x14ac:dyDescent="0.25">
      <c r="A215" s="76">
        <v>5217</v>
      </c>
      <c r="B215" s="127" t="s">
        <v>231</v>
      </c>
      <c r="C215" s="279">
        <f t="shared" si="26"/>
        <v>0</v>
      </c>
      <c r="D215" s="134">
        <v>0</v>
      </c>
      <c r="E215" s="285"/>
      <c r="F215" s="136">
        <f t="shared" si="30"/>
        <v>0</v>
      </c>
      <c r="G215" s="134"/>
      <c r="H215" s="135"/>
      <c r="I215" s="136">
        <f t="shared" si="31"/>
        <v>0</v>
      </c>
      <c r="J215" s="134"/>
      <c r="K215" s="135"/>
      <c r="L215" s="136">
        <f t="shared" si="32"/>
        <v>0</v>
      </c>
      <c r="M215" s="284"/>
      <c r="N215" s="285"/>
      <c r="O215" s="136">
        <f t="shared" si="33"/>
        <v>0</v>
      </c>
      <c r="P215" s="85"/>
      <c r="R215" s="53"/>
    </row>
    <row r="216" spans="1:18" hidden="1" x14ac:dyDescent="0.25">
      <c r="A216" s="76">
        <v>5218</v>
      </c>
      <c r="B216" s="127" t="s">
        <v>232</v>
      </c>
      <c r="C216" s="279">
        <f t="shared" si="26"/>
        <v>0</v>
      </c>
      <c r="D216" s="134">
        <v>0</v>
      </c>
      <c r="E216" s="285"/>
      <c r="F216" s="136">
        <f t="shared" si="30"/>
        <v>0</v>
      </c>
      <c r="G216" s="134"/>
      <c r="H216" s="135"/>
      <c r="I216" s="136">
        <f t="shared" si="31"/>
        <v>0</v>
      </c>
      <c r="J216" s="134"/>
      <c r="K216" s="135"/>
      <c r="L216" s="136">
        <f t="shared" si="32"/>
        <v>0</v>
      </c>
      <c r="M216" s="284"/>
      <c r="N216" s="285"/>
      <c r="O216" s="136">
        <f t="shared" si="33"/>
        <v>0</v>
      </c>
      <c r="P216" s="85"/>
      <c r="R216" s="53"/>
    </row>
    <row r="217" spans="1:18" hidden="1" x14ac:dyDescent="0.25">
      <c r="A217" s="76">
        <v>5219</v>
      </c>
      <c r="B217" s="127" t="s">
        <v>233</v>
      </c>
      <c r="C217" s="279">
        <f t="shared" si="26"/>
        <v>0</v>
      </c>
      <c r="D217" s="134">
        <v>0</v>
      </c>
      <c r="E217" s="285"/>
      <c r="F217" s="136">
        <f t="shared" si="30"/>
        <v>0</v>
      </c>
      <c r="G217" s="134"/>
      <c r="H217" s="135"/>
      <c r="I217" s="136">
        <f t="shared" si="31"/>
        <v>0</v>
      </c>
      <c r="J217" s="134"/>
      <c r="K217" s="135"/>
      <c r="L217" s="136">
        <f t="shared" si="32"/>
        <v>0</v>
      </c>
      <c r="M217" s="284"/>
      <c r="N217" s="285"/>
      <c r="O217" s="136">
        <f t="shared" si="33"/>
        <v>0</v>
      </c>
      <c r="P217" s="85"/>
      <c r="R217" s="53"/>
    </row>
    <row r="218" spans="1:18" hidden="1" x14ac:dyDescent="0.25">
      <c r="A218" s="276">
        <v>5220</v>
      </c>
      <c r="B218" s="127" t="s">
        <v>234</v>
      </c>
      <c r="C218" s="279">
        <f t="shared" si="26"/>
        <v>0</v>
      </c>
      <c r="D218" s="134">
        <v>0</v>
      </c>
      <c r="E218" s="285"/>
      <c r="F218" s="136">
        <f t="shared" si="30"/>
        <v>0</v>
      </c>
      <c r="G218" s="134"/>
      <c r="H218" s="135"/>
      <c r="I218" s="136">
        <f t="shared" si="31"/>
        <v>0</v>
      </c>
      <c r="J218" s="134"/>
      <c r="K218" s="135"/>
      <c r="L218" s="136">
        <f t="shared" si="32"/>
        <v>0</v>
      </c>
      <c r="M218" s="284"/>
      <c r="N218" s="285"/>
      <c r="O218" s="136">
        <f t="shared" si="33"/>
        <v>0</v>
      </c>
      <c r="P218" s="85"/>
      <c r="R218" s="53"/>
    </row>
    <row r="219" spans="1:18" x14ac:dyDescent="0.25">
      <c r="A219" s="276">
        <v>5230</v>
      </c>
      <c r="B219" s="127" t="s">
        <v>235</v>
      </c>
      <c r="C219" s="279">
        <f t="shared" si="26"/>
        <v>1500</v>
      </c>
      <c r="D219" s="277">
        <f>SUM(D220:D227)</f>
        <v>1500</v>
      </c>
      <c r="E219" s="282">
        <f>SUM(E220:E227)</f>
        <v>0</v>
      </c>
      <c r="F219" s="136">
        <f t="shared" si="30"/>
        <v>1500</v>
      </c>
      <c r="G219" s="277">
        <f>SUM(G220:G227)</f>
        <v>0</v>
      </c>
      <c r="H219" s="280">
        <f>SUM(H220:H227)</f>
        <v>0</v>
      </c>
      <c r="I219" s="136">
        <f t="shared" si="31"/>
        <v>0</v>
      </c>
      <c r="J219" s="277">
        <f>SUM(J220:J227)</f>
        <v>0</v>
      </c>
      <c r="K219" s="280">
        <f>SUM(K220:K227)</f>
        <v>0</v>
      </c>
      <c r="L219" s="136">
        <f t="shared" si="32"/>
        <v>0</v>
      </c>
      <c r="M219" s="281">
        <f>SUM(M220:M227)</f>
        <v>0</v>
      </c>
      <c r="N219" s="282">
        <f>SUM(N220:N227)</f>
        <v>0</v>
      </c>
      <c r="O219" s="136">
        <f t="shared" si="33"/>
        <v>0</v>
      </c>
      <c r="P219" s="85"/>
      <c r="R219" s="53"/>
    </row>
    <row r="220" spans="1:18" hidden="1" x14ac:dyDescent="0.25">
      <c r="A220" s="76">
        <v>5231</v>
      </c>
      <c r="B220" s="127" t="s">
        <v>236</v>
      </c>
      <c r="C220" s="279">
        <f t="shared" si="26"/>
        <v>0</v>
      </c>
      <c r="D220" s="134">
        <v>0</v>
      </c>
      <c r="E220" s="285"/>
      <c r="F220" s="136">
        <f t="shared" si="30"/>
        <v>0</v>
      </c>
      <c r="G220" s="134"/>
      <c r="H220" s="135"/>
      <c r="I220" s="136">
        <f t="shared" si="31"/>
        <v>0</v>
      </c>
      <c r="J220" s="134"/>
      <c r="K220" s="135"/>
      <c r="L220" s="136">
        <f t="shared" si="32"/>
        <v>0</v>
      </c>
      <c r="M220" s="284"/>
      <c r="N220" s="285"/>
      <c r="O220" s="136">
        <f t="shared" si="33"/>
        <v>0</v>
      </c>
      <c r="P220" s="85"/>
      <c r="R220" s="53"/>
    </row>
    <row r="221" spans="1:18" hidden="1" x14ac:dyDescent="0.25">
      <c r="A221" s="76">
        <v>5232</v>
      </c>
      <c r="B221" s="127" t="s">
        <v>237</v>
      </c>
      <c r="C221" s="279">
        <f t="shared" si="26"/>
        <v>0</v>
      </c>
      <c r="D221" s="134">
        <v>0</v>
      </c>
      <c r="E221" s="285"/>
      <c r="F221" s="136">
        <f t="shared" si="30"/>
        <v>0</v>
      </c>
      <c r="G221" s="134"/>
      <c r="H221" s="135"/>
      <c r="I221" s="136">
        <f t="shared" si="31"/>
        <v>0</v>
      </c>
      <c r="J221" s="134"/>
      <c r="K221" s="135"/>
      <c r="L221" s="136">
        <f t="shared" si="32"/>
        <v>0</v>
      </c>
      <c r="M221" s="284"/>
      <c r="N221" s="285"/>
      <c r="O221" s="136">
        <f t="shared" si="33"/>
        <v>0</v>
      </c>
      <c r="P221" s="85"/>
      <c r="R221" s="53"/>
    </row>
    <row r="222" spans="1:18" hidden="1" x14ac:dyDescent="0.25">
      <c r="A222" s="76">
        <v>5233</v>
      </c>
      <c r="B222" s="127" t="s">
        <v>238</v>
      </c>
      <c r="C222" s="279">
        <f t="shared" si="26"/>
        <v>0</v>
      </c>
      <c r="D222" s="134">
        <v>0</v>
      </c>
      <c r="E222" s="285"/>
      <c r="F222" s="136">
        <f t="shared" si="30"/>
        <v>0</v>
      </c>
      <c r="G222" s="134"/>
      <c r="H222" s="135"/>
      <c r="I222" s="136">
        <f t="shared" si="31"/>
        <v>0</v>
      </c>
      <c r="J222" s="134"/>
      <c r="K222" s="135"/>
      <c r="L222" s="136">
        <f t="shared" si="32"/>
        <v>0</v>
      </c>
      <c r="M222" s="284"/>
      <c r="N222" s="285"/>
      <c r="O222" s="136">
        <f t="shared" si="33"/>
        <v>0</v>
      </c>
      <c r="P222" s="85"/>
      <c r="R222" s="53"/>
    </row>
    <row r="223" spans="1:18" x14ac:dyDescent="0.25">
      <c r="A223" s="76">
        <v>5234</v>
      </c>
      <c r="B223" s="127" t="s">
        <v>239</v>
      </c>
      <c r="C223" s="279">
        <f t="shared" si="26"/>
        <v>1500</v>
      </c>
      <c r="D223" s="134">
        <v>1500</v>
      </c>
      <c r="E223" s="285"/>
      <c r="F223" s="136">
        <f t="shared" si="30"/>
        <v>1500</v>
      </c>
      <c r="G223" s="134"/>
      <c r="H223" s="135"/>
      <c r="I223" s="136">
        <f t="shared" si="31"/>
        <v>0</v>
      </c>
      <c r="J223" s="134"/>
      <c r="K223" s="135"/>
      <c r="L223" s="136">
        <f t="shared" si="32"/>
        <v>0</v>
      </c>
      <c r="M223" s="284"/>
      <c r="N223" s="285"/>
      <c r="O223" s="136">
        <f t="shared" si="33"/>
        <v>0</v>
      </c>
      <c r="P223" s="85"/>
      <c r="R223" s="53"/>
    </row>
    <row r="224" spans="1:18" hidden="1" x14ac:dyDescent="0.25">
      <c r="A224" s="76">
        <v>5236</v>
      </c>
      <c r="B224" s="127" t="s">
        <v>240</v>
      </c>
      <c r="C224" s="279">
        <f t="shared" si="26"/>
        <v>0</v>
      </c>
      <c r="D224" s="134">
        <v>0</v>
      </c>
      <c r="E224" s="285"/>
      <c r="F224" s="136">
        <f t="shared" si="30"/>
        <v>0</v>
      </c>
      <c r="G224" s="134"/>
      <c r="H224" s="135"/>
      <c r="I224" s="136">
        <f t="shared" si="31"/>
        <v>0</v>
      </c>
      <c r="J224" s="134"/>
      <c r="K224" s="135"/>
      <c r="L224" s="136">
        <f t="shared" si="32"/>
        <v>0</v>
      </c>
      <c r="M224" s="284"/>
      <c r="N224" s="285"/>
      <c r="O224" s="136">
        <f t="shared" si="33"/>
        <v>0</v>
      </c>
      <c r="P224" s="85"/>
      <c r="R224" s="53"/>
    </row>
    <row r="225" spans="1:18" hidden="1" x14ac:dyDescent="0.25">
      <c r="A225" s="76">
        <v>5237</v>
      </c>
      <c r="B225" s="127" t="s">
        <v>241</v>
      </c>
      <c r="C225" s="279">
        <f t="shared" si="26"/>
        <v>0</v>
      </c>
      <c r="D225" s="134">
        <v>0</v>
      </c>
      <c r="E225" s="285"/>
      <c r="F225" s="136">
        <f t="shared" si="30"/>
        <v>0</v>
      </c>
      <c r="G225" s="134"/>
      <c r="H225" s="135"/>
      <c r="I225" s="136">
        <f t="shared" si="31"/>
        <v>0</v>
      </c>
      <c r="J225" s="134"/>
      <c r="K225" s="135"/>
      <c r="L225" s="136">
        <f t="shared" si="32"/>
        <v>0</v>
      </c>
      <c r="M225" s="284"/>
      <c r="N225" s="285"/>
      <c r="O225" s="136">
        <f t="shared" si="33"/>
        <v>0</v>
      </c>
      <c r="P225" s="85"/>
      <c r="R225" s="53"/>
    </row>
    <row r="226" spans="1:18" hidden="1" x14ac:dyDescent="0.25">
      <c r="A226" s="76">
        <v>5238</v>
      </c>
      <c r="B226" s="127" t="s">
        <v>242</v>
      </c>
      <c r="C226" s="279">
        <f t="shared" si="26"/>
        <v>0</v>
      </c>
      <c r="D226" s="134">
        <v>0</v>
      </c>
      <c r="E226" s="285"/>
      <c r="F226" s="136">
        <f t="shared" si="30"/>
        <v>0</v>
      </c>
      <c r="G226" s="134"/>
      <c r="H226" s="135"/>
      <c r="I226" s="136">
        <f t="shared" si="31"/>
        <v>0</v>
      </c>
      <c r="J226" s="134"/>
      <c r="K226" s="135"/>
      <c r="L226" s="136">
        <f t="shared" si="32"/>
        <v>0</v>
      </c>
      <c r="M226" s="284"/>
      <c r="N226" s="285"/>
      <c r="O226" s="136">
        <f t="shared" si="33"/>
        <v>0</v>
      </c>
      <c r="P226" s="85"/>
      <c r="R226" s="53"/>
    </row>
    <row r="227" spans="1:18" hidden="1" x14ac:dyDescent="0.25">
      <c r="A227" s="76">
        <v>5239</v>
      </c>
      <c r="B227" s="127" t="s">
        <v>243</v>
      </c>
      <c r="C227" s="279">
        <f t="shared" si="26"/>
        <v>0</v>
      </c>
      <c r="D227" s="134">
        <v>0</v>
      </c>
      <c r="E227" s="285"/>
      <c r="F227" s="136">
        <f t="shared" si="30"/>
        <v>0</v>
      </c>
      <c r="G227" s="134"/>
      <c r="H227" s="135"/>
      <c r="I227" s="136">
        <f t="shared" si="31"/>
        <v>0</v>
      </c>
      <c r="J227" s="134"/>
      <c r="K227" s="135"/>
      <c r="L227" s="136">
        <f t="shared" si="32"/>
        <v>0</v>
      </c>
      <c r="M227" s="284"/>
      <c r="N227" s="285"/>
      <c r="O227" s="136">
        <f t="shared" si="33"/>
        <v>0</v>
      </c>
      <c r="P227" s="85"/>
      <c r="R227" s="53"/>
    </row>
    <row r="228" spans="1:18" ht="24" hidden="1" x14ac:dyDescent="0.25">
      <c r="A228" s="276">
        <v>5240</v>
      </c>
      <c r="B228" s="127" t="s">
        <v>244</v>
      </c>
      <c r="C228" s="279">
        <f t="shared" si="26"/>
        <v>0</v>
      </c>
      <c r="D228" s="134">
        <v>0</v>
      </c>
      <c r="E228" s="285"/>
      <c r="F228" s="136">
        <f t="shared" si="30"/>
        <v>0</v>
      </c>
      <c r="G228" s="134"/>
      <c r="H228" s="135"/>
      <c r="I228" s="136">
        <f t="shared" si="31"/>
        <v>0</v>
      </c>
      <c r="J228" s="134"/>
      <c r="K228" s="135"/>
      <c r="L228" s="136">
        <f t="shared" si="32"/>
        <v>0</v>
      </c>
      <c r="M228" s="284"/>
      <c r="N228" s="285"/>
      <c r="O228" s="136">
        <f t="shared" si="33"/>
        <v>0</v>
      </c>
      <c r="P228" s="85"/>
      <c r="R228" s="53"/>
    </row>
    <row r="229" spans="1:18" hidden="1" x14ac:dyDescent="0.25">
      <c r="A229" s="276">
        <v>5250</v>
      </c>
      <c r="B229" s="127" t="s">
        <v>245</v>
      </c>
      <c r="C229" s="279">
        <f t="shared" si="26"/>
        <v>0</v>
      </c>
      <c r="D229" s="134">
        <v>0</v>
      </c>
      <c r="E229" s="285"/>
      <c r="F229" s="136">
        <f t="shared" si="30"/>
        <v>0</v>
      </c>
      <c r="G229" s="134"/>
      <c r="H229" s="135"/>
      <c r="I229" s="136">
        <f t="shared" si="31"/>
        <v>0</v>
      </c>
      <c r="J229" s="134"/>
      <c r="K229" s="135"/>
      <c r="L229" s="136">
        <f t="shared" si="32"/>
        <v>0</v>
      </c>
      <c r="M229" s="284"/>
      <c r="N229" s="285"/>
      <c r="O229" s="136">
        <f t="shared" si="33"/>
        <v>0</v>
      </c>
      <c r="P229" s="85"/>
      <c r="R229" s="53"/>
    </row>
    <row r="230" spans="1:18" hidden="1" x14ac:dyDescent="0.25">
      <c r="A230" s="276">
        <v>5260</v>
      </c>
      <c r="B230" s="127" t="s">
        <v>246</v>
      </c>
      <c r="C230" s="279">
        <f t="shared" si="26"/>
        <v>0</v>
      </c>
      <c r="D230" s="277">
        <f>SUM(D231)</f>
        <v>0</v>
      </c>
      <c r="E230" s="282">
        <f>SUM(E231)</f>
        <v>0</v>
      </c>
      <c r="F230" s="136">
        <f t="shared" si="30"/>
        <v>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c r="R230" s="53"/>
    </row>
    <row r="231" spans="1:18" ht="24" hidden="1" x14ac:dyDescent="0.25">
      <c r="A231" s="76">
        <v>5269</v>
      </c>
      <c r="B231" s="127" t="s">
        <v>247</v>
      </c>
      <c r="C231" s="279">
        <f t="shared" si="26"/>
        <v>0</v>
      </c>
      <c r="D231" s="134">
        <v>0</v>
      </c>
      <c r="E231" s="285"/>
      <c r="F231" s="136">
        <f t="shared" si="30"/>
        <v>0</v>
      </c>
      <c r="G231" s="134"/>
      <c r="H231" s="135"/>
      <c r="I231" s="136">
        <f t="shared" si="31"/>
        <v>0</v>
      </c>
      <c r="J231" s="134"/>
      <c r="K231" s="135"/>
      <c r="L231" s="136">
        <f t="shared" si="32"/>
        <v>0</v>
      </c>
      <c r="M231" s="284"/>
      <c r="N231" s="285"/>
      <c r="O231" s="136">
        <f t="shared" si="33"/>
        <v>0</v>
      </c>
      <c r="P231" s="85"/>
      <c r="R231" s="53"/>
    </row>
    <row r="232" spans="1:18" ht="24" hidden="1" x14ac:dyDescent="0.25">
      <c r="A232" s="254">
        <v>5270</v>
      </c>
      <c r="B232" s="179" t="s">
        <v>248</v>
      </c>
      <c r="C232" s="302">
        <f t="shared" si="26"/>
        <v>0</v>
      </c>
      <c r="D232" s="287">
        <v>0</v>
      </c>
      <c r="E232" s="291"/>
      <c r="F232" s="259">
        <f t="shared" si="30"/>
        <v>0</v>
      </c>
      <c r="G232" s="287"/>
      <c r="H232" s="289"/>
      <c r="I232" s="259">
        <f t="shared" si="31"/>
        <v>0</v>
      </c>
      <c r="J232" s="287"/>
      <c r="K232" s="289"/>
      <c r="L232" s="259">
        <f t="shared" si="32"/>
        <v>0</v>
      </c>
      <c r="M232" s="290"/>
      <c r="N232" s="291"/>
      <c r="O232" s="259">
        <f t="shared" si="33"/>
        <v>0</v>
      </c>
      <c r="P232" s="189"/>
      <c r="R232" s="53"/>
    </row>
    <row r="233" spans="1:18" x14ac:dyDescent="0.25">
      <c r="A233" s="237">
        <v>6000</v>
      </c>
      <c r="B233" s="237" t="s">
        <v>249</v>
      </c>
      <c r="C233" s="241">
        <f t="shared" si="26"/>
        <v>67243</v>
      </c>
      <c r="D233" s="239">
        <f>D234+D254+D261</f>
        <v>65033</v>
      </c>
      <c r="E233" s="245">
        <f>E234+E254+E261</f>
        <v>2210</v>
      </c>
      <c r="F233" s="243">
        <f t="shared" si="30"/>
        <v>67243</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c r="R233" s="53"/>
    </row>
    <row r="234" spans="1:18" hidden="1" x14ac:dyDescent="0.25">
      <c r="A234" s="160">
        <v>6200</v>
      </c>
      <c r="B234" s="321" t="s">
        <v>250</v>
      </c>
      <c r="C234" s="648">
        <f>F234+I234+L234+O234</f>
        <v>0</v>
      </c>
      <c r="D234" s="334">
        <f>SUM(D235,D236,D238,D241,D247,D248,D249)</f>
        <v>0</v>
      </c>
      <c r="E234" s="251">
        <f>SUM(E235,E236,E238,E241,E247,E248,E249)</f>
        <v>0</v>
      </c>
      <c r="F234" s="252">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c r="R234" s="53"/>
    </row>
    <row r="235" spans="1:18" ht="24" hidden="1" x14ac:dyDescent="0.25">
      <c r="A235" s="656">
        <v>6220</v>
      </c>
      <c r="B235" s="116" t="s">
        <v>251</v>
      </c>
      <c r="C235" s="296">
        <f t="shared" si="26"/>
        <v>0</v>
      </c>
      <c r="D235" s="123">
        <v>0</v>
      </c>
      <c r="E235" s="262"/>
      <c r="F235" s="125">
        <f t="shared" si="30"/>
        <v>0</v>
      </c>
      <c r="G235" s="123"/>
      <c r="H235" s="124"/>
      <c r="I235" s="125">
        <f t="shared" si="31"/>
        <v>0</v>
      </c>
      <c r="J235" s="123"/>
      <c r="K235" s="124"/>
      <c r="L235" s="125">
        <f t="shared" si="32"/>
        <v>0</v>
      </c>
      <c r="M235" s="264"/>
      <c r="N235" s="262"/>
      <c r="O235" s="125">
        <f t="shared" si="33"/>
        <v>0</v>
      </c>
      <c r="P235" s="74"/>
      <c r="R235" s="53"/>
    </row>
    <row r="236" spans="1:18" hidden="1" x14ac:dyDescent="0.25">
      <c r="A236" s="276">
        <v>6230</v>
      </c>
      <c r="B236" s="127" t="s">
        <v>252</v>
      </c>
      <c r="C236" s="279">
        <f t="shared" si="26"/>
        <v>0</v>
      </c>
      <c r="D236" s="277">
        <f>SUM(D237)</f>
        <v>0</v>
      </c>
      <c r="E236" s="282">
        <f>SUM(E237)</f>
        <v>0</v>
      </c>
      <c r="F236" s="13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c r="R236" s="53"/>
    </row>
    <row r="237" spans="1:18" hidden="1" x14ac:dyDescent="0.25">
      <c r="A237" s="76">
        <v>6239</v>
      </c>
      <c r="B237" s="116" t="s">
        <v>253</v>
      </c>
      <c r="C237" s="279">
        <f t="shared" si="26"/>
        <v>0</v>
      </c>
      <c r="D237" s="134">
        <v>0</v>
      </c>
      <c r="E237" s="285"/>
      <c r="F237" s="136">
        <f t="shared" si="30"/>
        <v>0</v>
      </c>
      <c r="G237" s="134"/>
      <c r="H237" s="135"/>
      <c r="I237" s="136">
        <f t="shared" si="31"/>
        <v>0</v>
      </c>
      <c r="J237" s="134"/>
      <c r="K237" s="135"/>
      <c r="L237" s="136">
        <f t="shared" si="32"/>
        <v>0</v>
      </c>
      <c r="M237" s="284"/>
      <c r="N237" s="285"/>
      <c r="O237" s="136">
        <f t="shared" si="33"/>
        <v>0</v>
      </c>
      <c r="P237" s="85"/>
      <c r="R237" s="53"/>
    </row>
    <row r="238" spans="1:18" ht="24" hidden="1" x14ac:dyDescent="0.25">
      <c r="A238" s="276">
        <v>6240</v>
      </c>
      <c r="B238" s="127" t="s">
        <v>254</v>
      </c>
      <c r="C238" s="279">
        <f t="shared" si="26"/>
        <v>0</v>
      </c>
      <c r="D238" s="277">
        <f>SUM(D239:D240)</f>
        <v>0</v>
      </c>
      <c r="E238" s="282">
        <f>SUM(E239:E240)</f>
        <v>0</v>
      </c>
      <c r="F238" s="13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c r="R238" s="53"/>
    </row>
    <row r="239" spans="1:18" hidden="1" x14ac:dyDescent="0.25">
      <c r="A239" s="76">
        <v>6241</v>
      </c>
      <c r="B239" s="127" t="s">
        <v>255</v>
      </c>
      <c r="C239" s="279">
        <f t="shared" si="26"/>
        <v>0</v>
      </c>
      <c r="D239" s="134">
        <v>0</v>
      </c>
      <c r="E239" s="285"/>
      <c r="F239" s="136">
        <f t="shared" si="30"/>
        <v>0</v>
      </c>
      <c r="G239" s="134"/>
      <c r="H239" s="135"/>
      <c r="I239" s="136">
        <f t="shared" si="31"/>
        <v>0</v>
      </c>
      <c r="J239" s="134"/>
      <c r="K239" s="135"/>
      <c r="L239" s="136">
        <f t="shared" si="32"/>
        <v>0</v>
      </c>
      <c r="M239" s="284"/>
      <c r="N239" s="285"/>
      <c r="O239" s="136">
        <f t="shared" si="33"/>
        <v>0</v>
      </c>
      <c r="P239" s="85"/>
      <c r="R239" s="53"/>
    </row>
    <row r="240" spans="1:18" hidden="1" x14ac:dyDescent="0.25">
      <c r="A240" s="76">
        <v>6242</v>
      </c>
      <c r="B240" s="127" t="s">
        <v>256</v>
      </c>
      <c r="C240" s="279">
        <f t="shared" si="26"/>
        <v>0</v>
      </c>
      <c r="D240" s="134">
        <v>0</v>
      </c>
      <c r="E240" s="285"/>
      <c r="F240" s="136">
        <f t="shared" si="30"/>
        <v>0</v>
      </c>
      <c r="G240" s="134"/>
      <c r="H240" s="135"/>
      <c r="I240" s="136">
        <f t="shared" si="31"/>
        <v>0</v>
      </c>
      <c r="J240" s="134"/>
      <c r="K240" s="135"/>
      <c r="L240" s="136">
        <f t="shared" si="32"/>
        <v>0</v>
      </c>
      <c r="M240" s="284"/>
      <c r="N240" s="285"/>
      <c r="O240" s="136">
        <f t="shared" si="33"/>
        <v>0</v>
      </c>
      <c r="P240" s="85"/>
      <c r="R240" s="53"/>
    </row>
    <row r="241" spans="1:18" ht="24" hidden="1" x14ac:dyDescent="0.25">
      <c r="A241" s="276">
        <v>6250</v>
      </c>
      <c r="B241" s="127" t="s">
        <v>257</v>
      </c>
      <c r="C241" s="279">
        <f t="shared" si="26"/>
        <v>0</v>
      </c>
      <c r="D241" s="277">
        <f>SUM(D242:D246)</f>
        <v>0</v>
      </c>
      <c r="E241" s="282">
        <f>SUM(E242:E246)</f>
        <v>0</v>
      </c>
      <c r="F241" s="13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c r="R241" s="53"/>
    </row>
    <row r="242" spans="1:18" hidden="1" x14ac:dyDescent="0.25">
      <c r="A242" s="76">
        <v>6252</v>
      </c>
      <c r="B242" s="127" t="s">
        <v>258</v>
      </c>
      <c r="C242" s="279">
        <f t="shared" si="26"/>
        <v>0</v>
      </c>
      <c r="D242" s="134">
        <v>0</v>
      </c>
      <c r="E242" s="285"/>
      <c r="F242" s="136">
        <f t="shared" si="30"/>
        <v>0</v>
      </c>
      <c r="G242" s="134"/>
      <c r="H242" s="135"/>
      <c r="I242" s="136">
        <f t="shared" si="31"/>
        <v>0</v>
      </c>
      <c r="J242" s="134"/>
      <c r="K242" s="135"/>
      <c r="L242" s="136">
        <f t="shared" si="32"/>
        <v>0</v>
      </c>
      <c r="M242" s="284"/>
      <c r="N242" s="285"/>
      <c r="O242" s="136">
        <f t="shared" si="33"/>
        <v>0</v>
      </c>
      <c r="P242" s="85"/>
      <c r="R242" s="53"/>
    </row>
    <row r="243" spans="1:18" hidden="1" x14ac:dyDescent="0.25">
      <c r="A243" s="76">
        <v>6253</v>
      </c>
      <c r="B243" s="127" t="s">
        <v>259</v>
      </c>
      <c r="C243" s="279">
        <f t="shared" si="26"/>
        <v>0</v>
      </c>
      <c r="D243" s="134">
        <v>0</v>
      </c>
      <c r="E243" s="285"/>
      <c r="F243" s="136">
        <f t="shared" si="30"/>
        <v>0</v>
      </c>
      <c r="G243" s="134"/>
      <c r="H243" s="135"/>
      <c r="I243" s="136">
        <f t="shared" si="31"/>
        <v>0</v>
      </c>
      <c r="J243" s="134"/>
      <c r="K243" s="135"/>
      <c r="L243" s="136">
        <f t="shared" si="32"/>
        <v>0</v>
      </c>
      <c r="M243" s="284"/>
      <c r="N243" s="285"/>
      <c r="O243" s="136">
        <f t="shared" si="33"/>
        <v>0</v>
      </c>
      <c r="P243" s="85"/>
      <c r="R243" s="53"/>
    </row>
    <row r="244" spans="1:18" ht="24" hidden="1" x14ac:dyDescent="0.25">
      <c r="A244" s="76">
        <v>6254</v>
      </c>
      <c r="B244" s="127" t="s">
        <v>260</v>
      </c>
      <c r="C244" s="279">
        <f t="shared" si="26"/>
        <v>0</v>
      </c>
      <c r="D244" s="134">
        <v>0</v>
      </c>
      <c r="E244" s="285"/>
      <c r="F244" s="136">
        <f t="shared" si="30"/>
        <v>0</v>
      </c>
      <c r="G244" s="134"/>
      <c r="H244" s="135"/>
      <c r="I244" s="136">
        <f t="shared" si="31"/>
        <v>0</v>
      </c>
      <c r="J244" s="134"/>
      <c r="K244" s="135"/>
      <c r="L244" s="136">
        <f t="shared" si="32"/>
        <v>0</v>
      </c>
      <c r="M244" s="284"/>
      <c r="N244" s="285"/>
      <c r="O244" s="136">
        <f t="shared" si="33"/>
        <v>0</v>
      </c>
      <c r="P244" s="85"/>
      <c r="R244" s="53"/>
    </row>
    <row r="245" spans="1:18" ht="24" hidden="1" x14ac:dyDescent="0.25">
      <c r="A245" s="76">
        <v>6255</v>
      </c>
      <c r="B245" s="127" t="s">
        <v>261</v>
      </c>
      <c r="C245" s="279">
        <f t="shared" si="26"/>
        <v>0</v>
      </c>
      <c r="D245" s="134">
        <v>0</v>
      </c>
      <c r="E245" s="285"/>
      <c r="F245" s="136">
        <f t="shared" si="30"/>
        <v>0</v>
      </c>
      <c r="G245" s="134"/>
      <c r="H245" s="135"/>
      <c r="I245" s="136">
        <f t="shared" si="31"/>
        <v>0</v>
      </c>
      <c r="J245" s="134"/>
      <c r="K245" s="135"/>
      <c r="L245" s="136">
        <f t="shared" si="32"/>
        <v>0</v>
      </c>
      <c r="M245" s="284"/>
      <c r="N245" s="285"/>
      <c r="O245" s="136">
        <f t="shared" si="33"/>
        <v>0</v>
      </c>
      <c r="P245" s="85"/>
      <c r="R245" s="53"/>
    </row>
    <row r="246" spans="1:18" hidden="1" x14ac:dyDescent="0.25">
      <c r="A246" s="76">
        <v>6259</v>
      </c>
      <c r="B246" s="127" t="s">
        <v>262</v>
      </c>
      <c r="C246" s="279">
        <f t="shared" si="26"/>
        <v>0</v>
      </c>
      <c r="D246" s="134">
        <v>0</v>
      </c>
      <c r="E246" s="285"/>
      <c r="F246" s="136">
        <f t="shared" si="30"/>
        <v>0</v>
      </c>
      <c r="G246" s="134"/>
      <c r="H246" s="135"/>
      <c r="I246" s="136">
        <f t="shared" si="31"/>
        <v>0</v>
      </c>
      <c r="J246" s="134"/>
      <c r="K246" s="135"/>
      <c r="L246" s="136">
        <f t="shared" si="32"/>
        <v>0</v>
      </c>
      <c r="M246" s="284"/>
      <c r="N246" s="285"/>
      <c r="O246" s="136">
        <f t="shared" si="33"/>
        <v>0</v>
      </c>
      <c r="P246" s="85"/>
      <c r="R246" s="53"/>
    </row>
    <row r="247" spans="1:18" ht="24" hidden="1" x14ac:dyDescent="0.25">
      <c r="A247" s="276">
        <v>6260</v>
      </c>
      <c r="B247" s="127" t="s">
        <v>263</v>
      </c>
      <c r="C247" s="279">
        <f t="shared" si="26"/>
        <v>0</v>
      </c>
      <c r="D247" s="134">
        <v>0</v>
      </c>
      <c r="E247" s="285"/>
      <c r="F247" s="136">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c r="R247" s="53"/>
    </row>
    <row r="248" spans="1:18" hidden="1" x14ac:dyDescent="0.25">
      <c r="A248" s="276">
        <v>6270</v>
      </c>
      <c r="B248" s="127" t="s">
        <v>264</v>
      </c>
      <c r="C248" s="279">
        <f t="shared" si="26"/>
        <v>0</v>
      </c>
      <c r="D248" s="134">
        <v>0</v>
      </c>
      <c r="E248" s="285"/>
      <c r="F248" s="136">
        <f t="shared" si="37"/>
        <v>0</v>
      </c>
      <c r="G248" s="134"/>
      <c r="H248" s="135"/>
      <c r="I248" s="136">
        <f t="shared" si="38"/>
        <v>0</v>
      </c>
      <c r="J248" s="134"/>
      <c r="K248" s="135"/>
      <c r="L248" s="136">
        <f t="shared" si="39"/>
        <v>0</v>
      </c>
      <c r="M248" s="284"/>
      <c r="N248" s="285"/>
      <c r="O248" s="136">
        <f t="shared" si="40"/>
        <v>0</v>
      </c>
      <c r="P248" s="85"/>
      <c r="R248" s="53"/>
    </row>
    <row r="249" spans="1:18" hidden="1" x14ac:dyDescent="0.25">
      <c r="A249" s="656">
        <v>6290</v>
      </c>
      <c r="B249" s="116" t="s">
        <v>265</v>
      </c>
      <c r="C249" s="279">
        <f t="shared" si="26"/>
        <v>0</v>
      </c>
      <c r="D249" s="297">
        <f>SUM(D250:D253)</f>
        <v>0</v>
      </c>
      <c r="E249" s="301">
        <f>SUM(E250:E253)</f>
        <v>0</v>
      </c>
      <c r="F249" s="125">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c r="R249" s="53"/>
    </row>
    <row r="250" spans="1:18" hidden="1" x14ac:dyDescent="0.25">
      <c r="A250" s="76">
        <v>6291</v>
      </c>
      <c r="B250" s="127" t="s">
        <v>266</v>
      </c>
      <c r="C250" s="279">
        <f t="shared" si="26"/>
        <v>0</v>
      </c>
      <c r="D250" s="134">
        <v>0</v>
      </c>
      <c r="E250" s="285"/>
      <c r="F250" s="136">
        <f t="shared" si="37"/>
        <v>0</v>
      </c>
      <c r="G250" s="134"/>
      <c r="H250" s="135"/>
      <c r="I250" s="136">
        <f t="shared" si="38"/>
        <v>0</v>
      </c>
      <c r="J250" s="134"/>
      <c r="K250" s="135"/>
      <c r="L250" s="136">
        <f t="shared" si="39"/>
        <v>0</v>
      </c>
      <c r="M250" s="284"/>
      <c r="N250" s="285"/>
      <c r="O250" s="136">
        <f t="shared" si="40"/>
        <v>0</v>
      </c>
      <c r="P250" s="85"/>
      <c r="R250" s="53"/>
    </row>
    <row r="251" spans="1:18" hidden="1" x14ac:dyDescent="0.25">
      <c r="A251" s="76">
        <v>6292</v>
      </c>
      <c r="B251" s="127" t="s">
        <v>267</v>
      </c>
      <c r="C251" s="279">
        <f t="shared" si="26"/>
        <v>0</v>
      </c>
      <c r="D251" s="134">
        <v>0</v>
      </c>
      <c r="E251" s="285"/>
      <c r="F251" s="136">
        <f t="shared" si="37"/>
        <v>0</v>
      </c>
      <c r="G251" s="134"/>
      <c r="H251" s="135"/>
      <c r="I251" s="136">
        <f t="shared" si="38"/>
        <v>0</v>
      </c>
      <c r="J251" s="134"/>
      <c r="K251" s="135"/>
      <c r="L251" s="136">
        <f t="shared" si="39"/>
        <v>0</v>
      </c>
      <c r="M251" s="284"/>
      <c r="N251" s="285"/>
      <c r="O251" s="136">
        <f t="shared" si="40"/>
        <v>0</v>
      </c>
      <c r="P251" s="85"/>
      <c r="R251" s="53"/>
    </row>
    <row r="252" spans="1:18" ht="72" hidden="1" x14ac:dyDescent="0.25">
      <c r="A252" s="76">
        <v>6296</v>
      </c>
      <c r="B252" s="127" t="s">
        <v>268</v>
      </c>
      <c r="C252" s="279">
        <f t="shared" si="26"/>
        <v>0</v>
      </c>
      <c r="D252" s="134">
        <v>0</v>
      </c>
      <c r="E252" s="285"/>
      <c r="F252" s="136">
        <f t="shared" si="37"/>
        <v>0</v>
      </c>
      <c r="G252" s="134"/>
      <c r="H252" s="135"/>
      <c r="I252" s="136">
        <f t="shared" si="38"/>
        <v>0</v>
      </c>
      <c r="J252" s="134"/>
      <c r="K252" s="135"/>
      <c r="L252" s="136">
        <f t="shared" si="39"/>
        <v>0</v>
      </c>
      <c r="M252" s="284"/>
      <c r="N252" s="285"/>
      <c r="O252" s="136">
        <f t="shared" si="40"/>
        <v>0</v>
      </c>
      <c r="P252" s="85"/>
      <c r="R252" s="53"/>
    </row>
    <row r="253" spans="1:18" ht="36" hidden="1" x14ac:dyDescent="0.25">
      <c r="A253" s="76">
        <v>6299</v>
      </c>
      <c r="B253" s="127" t="s">
        <v>269</v>
      </c>
      <c r="C253" s="279">
        <f t="shared" si="26"/>
        <v>0</v>
      </c>
      <c r="D253" s="134">
        <v>0</v>
      </c>
      <c r="E253" s="285"/>
      <c r="F253" s="136">
        <f t="shared" si="37"/>
        <v>0</v>
      </c>
      <c r="G253" s="134"/>
      <c r="H253" s="135"/>
      <c r="I253" s="136">
        <f t="shared" si="38"/>
        <v>0</v>
      </c>
      <c r="J253" s="134"/>
      <c r="K253" s="135"/>
      <c r="L253" s="136">
        <f t="shared" si="39"/>
        <v>0</v>
      </c>
      <c r="M253" s="284"/>
      <c r="N253" s="285"/>
      <c r="O253" s="136">
        <f t="shared" si="40"/>
        <v>0</v>
      </c>
      <c r="P253" s="85"/>
      <c r="R253" s="53"/>
    </row>
    <row r="254" spans="1:18" hidden="1" x14ac:dyDescent="0.25">
      <c r="A254" s="99">
        <v>6300</v>
      </c>
      <c r="B254" s="247" t="s">
        <v>270</v>
      </c>
      <c r="C254" s="249">
        <f t="shared" si="26"/>
        <v>0</v>
      </c>
      <c r="D254" s="112">
        <f>SUM(D255,D259,D260)</f>
        <v>0</v>
      </c>
      <c r="E254" s="293">
        <f>SUM(E255,E259,E260)</f>
        <v>0</v>
      </c>
      <c r="F254" s="114">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c r="R254" s="53"/>
    </row>
    <row r="255" spans="1:18" ht="24" hidden="1" x14ac:dyDescent="0.25">
      <c r="A255" s="656">
        <v>6320</v>
      </c>
      <c r="B255" s="116" t="s">
        <v>271</v>
      </c>
      <c r="C255" s="647">
        <f t="shared" si="26"/>
        <v>0</v>
      </c>
      <c r="D255" s="297">
        <f>SUM(D256:D258)</f>
        <v>0</v>
      </c>
      <c r="E255" s="301">
        <f>SUM(E256:E258)</f>
        <v>0</v>
      </c>
      <c r="F255" s="125">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c r="R255" s="53"/>
    </row>
    <row r="256" spans="1:18" hidden="1" x14ac:dyDescent="0.25">
      <c r="A256" s="76">
        <v>6322</v>
      </c>
      <c r="B256" s="127" t="s">
        <v>272</v>
      </c>
      <c r="C256" s="279">
        <f t="shared" si="26"/>
        <v>0</v>
      </c>
      <c r="D256" s="134">
        <v>0</v>
      </c>
      <c r="E256" s="285"/>
      <c r="F256" s="136">
        <f t="shared" si="37"/>
        <v>0</v>
      </c>
      <c r="G256" s="134"/>
      <c r="H256" s="135"/>
      <c r="I256" s="136">
        <f t="shared" si="38"/>
        <v>0</v>
      </c>
      <c r="J256" s="134"/>
      <c r="K256" s="135"/>
      <c r="L256" s="136">
        <f t="shared" si="39"/>
        <v>0</v>
      </c>
      <c r="M256" s="284"/>
      <c r="N256" s="285"/>
      <c r="O256" s="136">
        <f t="shared" si="40"/>
        <v>0</v>
      </c>
      <c r="P256" s="85"/>
      <c r="R256" s="53"/>
    </row>
    <row r="257" spans="1:18" ht="24" hidden="1" x14ac:dyDescent="0.25">
      <c r="A257" s="76">
        <v>6323</v>
      </c>
      <c r="B257" s="127" t="s">
        <v>273</v>
      </c>
      <c r="C257" s="279">
        <f t="shared" si="26"/>
        <v>0</v>
      </c>
      <c r="D257" s="134">
        <v>0</v>
      </c>
      <c r="E257" s="285"/>
      <c r="F257" s="136">
        <f t="shared" si="37"/>
        <v>0</v>
      </c>
      <c r="G257" s="134"/>
      <c r="H257" s="135"/>
      <c r="I257" s="136">
        <f t="shared" si="38"/>
        <v>0</v>
      </c>
      <c r="J257" s="134"/>
      <c r="K257" s="135"/>
      <c r="L257" s="136">
        <f t="shared" si="39"/>
        <v>0</v>
      </c>
      <c r="M257" s="284"/>
      <c r="N257" s="285"/>
      <c r="O257" s="136">
        <f t="shared" si="40"/>
        <v>0</v>
      </c>
      <c r="P257" s="85"/>
      <c r="R257" s="53"/>
    </row>
    <row r="258" spans="1:18" ht="24" hidden="1" x14ac:dyDescent="0.25">
      <c r="A258" s="66">
        <v>6324</v>
      </c>
      <c r="B258" s="116" t="s">
        <v>274</v>
      </c>
      <c r="C258" s="279">
        <f t="shared" si="26"/>
        <v>0</v>
      </c>
      <c r="D258" s="123">
        <v>0</v>
      </c>
      <c r="E258" s="262"/>
      <c r="F258" s="125">
        <f t="shared" si="37"/>
        <v>0</v>
      </c>
      <c r="G258" s="123"/>
      <c r="H258" s="124"/>
      <c r="I258" s="125">
        <f t="shared" si="38"/>
        <v>0</v>
      </c>
      <c r="J258" s="123"/>
      <c r="K258" s="124"/>
      <c r="L258" s="125">
        <f t="shared" si="39"/>
        <v>0</v>
      </c>
      <c r="M258" s="264"/>
      <c r="N258" s="262"/>
      <c r="O258" s="125">
        <f t="shared" si="40"/>
        <v>0</v>
      </c>
      <c r="P258" s="74"/>
      <c r="R258" s="53"/>
    </row>
    <row r="259" spans="1:18" ht="24" hidden="1" x14ac:dyDescent="0.25">
      <c r="A259" s="344">
        <v>6330</v>
      </c>
      <c r="B259" s="345" t="s">
        <v>275</v>
      </c>
      <c r="C259" s="279">
        <f t="shared" ref="C259:C286" si="50">F259+I259+L259+O259</f>
        <v>0</v>
      </c>
      <c r="D259" s="328">
        <v>0</v>
      </c>
      <c r="E259" s="329"/>
      <c r="F259" s="324">
        <f t="shared" si="37"/>
        <v>0</v>
      </c>
      <c r="G259" s="328"/>
      <c r="H259" s="331"/>
      <c r="I259" s="324">
        <f t="shared" si="38"/>
        <v>0</v>
      </c>
      <c r="J259" s="328"/>
      <c r="K259" s="331"/>
      <c r="L259" s="324">
        <f t="shared" si="39"/>
        <v>0</v>
      </c>
      <c r="M259" s="332"/>
      <c r="N259" s="329"/>
      <c r="O259" s="324">
        <f t="shared" si="40"/>
        <v>0</v>
      </c>
      <c r="P259" s="325"/>
      <c r="R259" s="53"/>
    </row>
    <row r="260" spans="1:18" hidden="1" x14ac:dyDescent="0.25">
      <c r="A260" s="276">
        <v>6360</v>
      </c>
      <c r="B260" s="127" t="s">
        <v>276</v>
      </c>
      <c r="C260" s="279">
        <f t="shared" si="50"/>
        <v>0</v>
      </c>
      <c r="D260" s="134">
        <v>0</v>
      </c>
      <c r="E260" s="285"/>
      <c r="F260" s="136">
        <f t="shared" si="37"/>
        <v>0</v>
      </c>
      <c r="G260" s="134"/>
      <c r="H260" s="135"/>
      <c r="I260" s="136">
        <f t="shared" si="38"/>
        <v>0</v>
      </c>
      <c r="J260" s="134"/>
      <c r="K260" s="135"/>
      <c r="L260" s="136">
        <f t="shared" si="39"/>
        <v>0</v>
      </c>
      <c r="M260" s="284"/>
      <c r="N260" s="285"/>
      <c r="O260" s="136">
        <f t="shared" si="40"/>
        <v>0</v>
      </c>
      <c r="P260" s="85"/>
      <c r="R260" s="53"/>
    </row>
    <row r="261" spans="1:18" ht="24" x14ac:dyDescent="0.25">
      <c r="A261" s="99">
        <v>6400</v>
      </c>
      <c r="B261" s="247" t="s">
        <v>277</v>
      </c>
      <c r="C261" s="249">
        <f t="shared" si="50"/>
        <v>67243</v>
      </c>
      <c r="D261" s="112">
        <f>SUM(D262,D266)</f>
        <v>65033</v>
      </c>
      <c r="E261" s="293">
        <f>SUM(E262,E266)</f>
        <v>2210</v>
      </c>
      <c r="F261" s="114">
        <f t="shared" si="37"/>
        <v>67243</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c r="R261" s="53"/>
    </row>
    <row r="262" spans="1:18" ht="24" hidden="1" x14ac:dyDescent="0.25">
      <c r="A262" s="656">
        <v>6410</v>
      </c>
      <c r="B262" s="116" t="s">
        <v>278</v>
      </c>
      <c r="C262" s="296">
        <f t="shared" si="50"/>
        <v>0</v>
      </c>
      <c r="D262" s="297">
        <f>SUM(D263:D265)</f>
        <v>0</v>
      </c>
      <c r="E262" s="301">
        <f>SUM(E263:E265)</f>
        <v>0</v>
      </c>
      <c r="F262" s="125">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c r="R262" s="53"/>
    </row>
    <row r="263" spans="1:18" hidden="1" x14ac:dyDescent="0.25">
      <c r="A263" s="76">
        <v>6411</v>
      </c>
      <c r="B263" s="346" t="s">
        <v>279</v>
      </c>
      <c r="C263" s="279">
        <f t="shared" si="50"/>
        <v>0</v>
      </c>
      <c r="D263" s="134">
        <v>0</v>
      </c>
      <c r="E263" s="285"/>
      <c r="F263" s="136">
        <f t="shared" si="37"/>
        <v>0</v>
      </c>
      <c r="G263" s="134"/>
      <c r="H263" s="135"/>
      <c r="I263" s="136">
        <f t="shared" si="38"/>
        <v>0</v>
      </c>
      <c r="J263" s="134"/>
      <c r="K263" s="135"/>
      <c r="L263" s="136">
        <f t="shared" si="39"/>
        <v>0</v>
      </c>
      <c r="M263" s="284"/>
      <c r="N263" s="285"/>
      <c r="O263" s="136">
        <f t="shared" si="40"/>
        <v>0</v>
      </c>
      <c r="P263" s="85"/>
      <c r="R263" s="53"/>
    </row>
    <row r="264" spans="1:18" ht="36" hidden="1" x14ac:dyDescent="0.25">
      <c r="A264" s="76">
        <v>6412</v>
      </c>
      <c r="B264" s="127" t="s">
        <v>280</v>
      </c>
      <c r="C264" s="279">
        <f t="shared" si="50"/>
        <v>0</v>
      </c>
      <c r="D264" s="134">
        <v>0</v>
      </c>
      <c r="E264" s="285"/>
      <c r="F264" s="136">
        <f t="shared" si="37"/>
        <v>0</v>
      </c>
      <c r="G264" s="134"/>
      <c r="H264" s="135"/>
      <c r="I264" s="136">
        <f t="shared" si="38"/>
        <v>0</v>
      </c>
      <c r="J264" s="134"/>
      <c r="K264" s="135"/>
      <c r="L264" s="136">
        <f t="shared" si="39"/>
        <v>0</v>
      </c>
      <c r="M264" s="284"/>
      <c r="N264" s="285"/>
      <c r="O264" s="136">
        <f t="shared" si="40"/>
        <v>0</v>
      </c>
      <c r="P264" s="85"/>
      <c r="R264" s="53"/>
    </row>
    <row r="265" spans="1:18" ht="36" hidden="1" x14ac:dyDescent="0.25">
      <c r="A265" s="76">
        <v>6419</v>
      </c>
      <c r="B265" s="127" t="s">
        <v>281</v>
      </c>
      <c r="C265" s="279">
        <f t="shared" si="50"/>
        <v>0</v>
      </c>
      <c r="D265" s="134">
        <v>0</v>
      </c>
      <c r="E265" s="285"/>
      <c r="F265" s="136">
        <f t="shared" si="37"/>
        <v>0</v>
      </c>
      <c r="G265" s="134"/>
      <c r="H265" s="135"/>
      <c r="I265" s="136">
        <f t="shared" si="38"/>
        <v>0</v>
      </c>
      <c r="J265" s="134"/>
      <c r="K265" s="135"/>
      <c r="L265" s="136">
        <f t="shared" si="39"/>
        <v>0</v>
      </c>
      <c r="M265" s="284"/>
      <c r="N265" s="285"/>
      <c r="O265" s="136">
        <f t="shared" si="40"/>
        <v>0</v>
      </c>
      <c r="P265" s="85"/>
      <c r="R265" s="53"/>
    </row>
    <row r="266" spans="1:18" ht="36" x14ac:dyDescent="0.25">
      <c r="A266" s="276">
        <v>6420</v>
      </c>
      <c r="B266" s="127" t="s">
        <v>282</v>
      </c>
      <c r="C266" s="279">
        <f t="shared" si="50"/>
        <v>67243</v>
      </c>
      <c r="D266" s="277">
        <f>SUM(D267:D270)</f>
        <v>65033</v>
      </c>
      <c r="E266" s="282">
        <f>SUM(E267:E270)</f>
        <v>2210</v>
      </c>
      <c r="F266" s="136">
        <f t="shared" si="37"/>
        <v>67243</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c r="R266" s="53"/>
    </row>
    <row r="267" spans="1:18" hidden="1" x14ac:dyDescent="0.25">
      <c r="A267" s="76">
        <v>6421</v>
      </c>
      <c r="B267" s="127" t="s">
        <v>283</v>
      </c>
      <c r="C267" s="279">
        <f t="shared" si="50"/>
        <v>0</v>
      </c>
      <c r="D267" s="134">
        <v>0</v>
      </c>
      <c r="E267" s="285"/>
      <c r="F267" s="136">
        <f t="shared" si="37"/>
        <v>0</v>
      </c>
      <c r="G267" s="134"/>
      <c r="H267" s="135"/>
      <c r="I267" s="136">
        <f t="shared" si="38"/>
        <v>0</v>
      </c>
      <c r="J267" s="134"/>
      <c r="K267" s="135"/>
      <c r="L267" s="136">
        <f t="shared" si="39"/>
        <v>0</v>
      </c>
      <c r="M267" s="284"/>
      <c r="N267" s="285"/>
      <c r="O267" s="136">
        <f t="shared" si="40"/>
        <v>0</v>
      </c>
      <c r="P267" s="85"/>
      <c r="R267" s="53"/>
    </row>
    <row r="268" spans="1:18" x14ac:dyDescent="0.25">
      <c r="A268" s="76">
        <v>6422</v>
      </c>
      <c r="B268" s="127" t="s">
        <v>284</v>
      </c>
      <c r="C268" s="279">
        <f t="shared" si="50"/>
        <v>67243</v>
      </c>
      <c r="D268" s="134">
        <f>40000+25033</f>
        <v>65033</v>
      </c>
      <c r="E268" s="285">
        <v>2210</v>
      </c>
      <c r="F268" s="136">
        <f t="shared" si="37"/>
        <v>67243</v>
      </c>
      <c r="G268" s="134"/>
      <c r="H268" s="135"/>
      <c r="I268" s="136">
        <f t="shared" si="38"/>
        <v>0</v>
      </c>
      <c r="J268" s="134"/>
      <c r="K268" s="135"/>
      <c r="L268" s="136">
        <f t="shared" si="39"/>
        <v>0</v>
      </c>
      <c r="M268" s="284"/>
      <c r="N268" s="285"/>
      <c r="O268" s="136">
        <f t="shared" si="40"/>
        <v>0</v>
      </c>
      <c r="P268" s="85"/>
      <c r="R268" s="53"/>
    </row>
    <row r="269" spans="1:18" hidden="1" x14ac:dyDescent="0.25">
      <c r="A269" s="76">
        <v>6423</v>
      </c>
      <c r="B269" s="127" t="s">
        <v>285</v>
      </c>
      <c r="C269" s="279">
        <f t="shared" si="50"/>
        <v>0</v>
      </c>
      <c r="D269" s="134">
        <v>0</v>
      </c>
      <c r="E269" s="285"/>
      <c r="F269" s="136">
        <f t="shared" si="37"/>
        <v>0</v>
      </c>
      <c r="G269" s="134"/>
      <c r="H269" s="135"/>
      <c r="I269" s="136">
        <f t="shared" si="38"/>
        <v>0</v>
      </c>
      <c r="J269" s="134"/>
      <c r="K269" s="135"/>
      <c r="L269" s="136">
        <f t="shared" si="39"/>
        <v>0</v>
      </c>
      <c r="M269" s="284"/>
      <c r="N269" s="285"/>
      <c r="O269" s="136">
        <f t="shared" si="40"/>
        <v>0</v>
      </c>
      <c r="P269" s="85"/>
      <c r="R269" s="53"/>
    </row>
    <row r="270" spans="1:18" ht="24" hidden="1" x14ac:dyDescent="0.25">
      <c r="A270" s="76">
        <v>6424</v>
      </c>
      <c r="B270" s="127" t="s">
        <v>286</v>
      </c>
      <c r="C270" s="279">
        <f t="shared" si="50"/>
        <v>0</v>
      </c>
      <c r="D270" s="134">
        <v>0</v>
      </c>
      <c r="E270" s="285"/>
      <c r="F270" s="136">
        <f t="shared" si="37"/>
        <v>0</v>
      </c>
      <c r="G270" s="134"/>
      <c r="H270" s="135"/>
      <c r="I270" s="136">
        <f t="shared" si="38"/>
        <v>0</v>
      </c>
      <c r="J270" s="134"/>
      <c r="K270" s="135"/>
      <c r="L270" s="136">
        <f t="shared" si="39"/>
        <v>0</v>
      </c>
      <c r="M270" s="284"/>
      <c r="N270" s="285"/>
      <c r="O270" s="136">
        <f t="shared" si="40"/>
        <v>0</v>
      </c>
      <c r="P270" s="85"/>
      <c r="R270" s="53"/>
    </row>
    <row r="271" spans="1:18" ht="36" hidden="1" x14ac:dyDescent="0.25">
      <c r="A271" s="347">
        <v>7000</v>
      </c>
      <c r="B271" s="347" t="s">
        <v>287</v>
      </c>
      <c r="C271" s="351">
        <f t="shared" si="50"/>
        <v>0</v>
      </c>
      <c r="D271" s="349">
        <f>SUM(D272,D282)</f>
        <v>0</v>
      </c>
      <c r="E271" s="407">
        <f>SUM(E272,E282)</f>
        <v>0</v>
      </c>
      <c r="F271" s="353">
        <f t="shared" si="37"/>
        <v>0</v>
      </c>
      <c r="G271" s="349">
        <f>SUM(G272,G282)</f>
        <v>0</v>
      </c>
      <c r="H271" s="352">
        <f>SUM(H272,H282)</f>
        <v>0</v>
      </c>
      <c r="I271" s="353">
        <f t="shared" si="38"/>
        <v>0</v>
      </c>
      <c r="J271" s="349">
        <f>SUM(J272,J282)</f>
        <v>0</v>
      </c>
      <c r="K271" s="352">
        <f>SUM(K272,K282)</f>
        <v>0</v>
      </c>
      <c r="L271" s="353">
        <f t="shared" si="39"/>
        <v>0</v>
      </c>
      <c r="M271" s="354">
        <f>SUM(M272,M282)</f>
        <v>0</v>
      </c>
      <c r="N271" s="355">
        <f>SUM(N272,N282)</f>
        <v>0</v>
      </c>
      <c r="O271" s="356">
        <f t="shared" si="40"/>
        <v>0</v>
      </c>
      <c r="P271" s="357"/>
      <c r="R271" s="53"/>
    </row>
    <row r="272" spans="1:18" ht="24" hidden="1" x14ac:dyDescent="0.25">
      <c r="A272" s="99">
        <v>7200</v>
      </c>
      <c r="B272" s="247" t="s">
        <v>288</v>
      </c>
      <c r="C272" s="249">
        <f t="shared" si="50"/>
        <v>0</v>
      </c>
      <c r="D272" s="112">
        <f>SUM(D273,D274,D277,D278,D281)</f>
        <v>0</v>
      </c>
      <c r="E272" s="293">
        <f>SUM(E273,E274,E277,E278,E281)</f>
        <v>0</v>
      </c>
      <c r="F272" s="114">
        <f t="shared" si="37"/>
        <v>0</v>
      </c>
      <c r="G272" s="112">
        <f>SUM(G273,G274,G277,G278,G281)</f>
        <v>0</v>
      </c>
      <c r="H272" s="113">
        <f>SUM(H273,H274,H277,H278,H281)</f>
        <v>0</v>
      </c>
      <c r="I272" s="114">
        <f t="shared" si="38"/>
        <v>0</v>
      </c>
      <c r="J272" s="112">
        <f>SUM(J273,J274,J277,J278,J281)</f>
        <v>0</v>
      </c>
      <c r="K272" s="113">
        <f>SUM(K273,K274,K277,K278,K281)</f>
        <v>0</v>
      </c>
      <c r="L272" s="114">
        <f t="shared" si="39"/>
        <v>0</v>
      </c>
      <c r="M272" s="250">
        <f>SUM(M273,M274,M277,M278,M281)</f>
        <v>0</v>
      </c>
      <c r="N272" s="251">
        <f>SUM(N273,N274,N277,N278,N281)</f>
        <v>0</v>
      </c>
      <c r="O272" s="252">
        <f t="shared" si="40"/>
        <v>0</v>
      </c>
      <c r="P272" s="253"/>
      <c r="R272" s="53"/>
    </row>
    <row r="273" spans="1:18" ht="24" hidden="1" x14ac:dyDescent="0.25">
      <c r="A273" s="656">
        <v>7210</v>
      </c>
      <c r="B273" s="116" t="s">
        <v>289</v>
      </c>
      <c r="C273" s="296">
        <f t="shared" si="50"/>
        <v>0</v>
      </c>
      <c r="D273" s="123">
        <v>0</v>
      </c>
      <c r="E273" s="262"/>
      <c r="F273" s="125">
        <f t="shared" si="37"/>
        <v>0</v>
      </c>
      <c r="G273" s="123"/>
      <c r="H273" s="124"/>
      <c r="I273" s="125">
        <f t="shared" si="38"/>
        <v>0</v>
      </c>
      <c r="J273" s="123"/>
      <c r="K273" s="124"/>
      <c r="L273" s="125">
        <f t="shared" si="39"/>
        <v>0</v>
      </c>
      <c r="M273" s="264"/>
      <c r="N273" s="262"/>
      <c r="O273" s="125">
        <f t="shared" si="40"/>
        <v>0</v>
      </c>
      <c r="P273" s="74"/>
      <c r="R273" s="53"/>
    </row>
    <row r="274" spans="1:18" s="358" customFormat="1" ht="36" hidden="1" x14ac:dyDescent="0.25">
      <c r="A274" s="276">
        <v>7220</v>
      </c>
      <c r="B274" s="127" t="s">
        <v>290</v>
      </c>
      <c r="C274" s="279">
        <f t="shared" si="50"/>
        <v>0</v>
      </c>
      <c r="D274" s="277">
        <f>SUM(D275:D276)</f>
        <v>0</v>
      </c>
      <c r="E274" s="282">
        <f>SUM(E275:E276)</f>
        <v>0</v>
      </c>
      <c r="F274" s="13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c r="R274" s="53"/>
    </row>
    <row r="275" spans="1:18" s="358" customFormat="1" ht="36" hidden="1" x14ac:dyDescent="0.25">
      <c r="A275" s="76">
        <v>7221</v>
      </c>
      <c r="B275" s="127" t="s">
        <v>291</v>
      </c>
      <c r="C275" s="279">
        <f t="shared" si="50"/>
        <v>0</v>
      </c>
      <c r="D275" s="134">
        <v>0</v>
      </c>
      <c r="E275" s="285"/>
      <c r="F275" s="136">
        <f t="shared" si="37"/>
        <v>0</v>
      </c>
      <c r="G275" s="134"/>
      <c r="H275" s="135"/>
      <c r="I275" s="136">
        <f t="shared" si="38"/>
        <v>0</v>
      </c>
      <c r="J275" s="134"/>
      <c r="K275" s="135"/>
      <c r="L275" s="136">
        <f t="shared" si="39"/>
        <v>0</v>
      </c>
      <c r="M275" s="284"/>
      <c r="N275" s="285"/>
      <c r="O275" s="136">
        <f t="shared" si="40"/>
        <v>0</v>
      </c>
      <c r="P275" s="85"/>
      <c r="R275" s="53"/>
    </row>
    <row r="276" spans="1:18" s="358" customFormat="1" ht="36" hidden="1" x14ac:dyDescent="0.25">
      <c r="A276" s="76">
        <v>7222</v>
      </c>
      <c r="B276" s="127" t="s">
        <v>292</v>
      </c>
      <c r="C276" s="279">
        <f t="shared" si="50"/>
        <v>0</v>
      </c>
      <c r="D276" s="134">
        <v>0</v>
      </c>
      <c r="E276" s="285"/>
      <c r="F276" s="136">
        <f t="shared" si="37"/>
        <v>0</v>
      </c>
      <c r="G276" s="134"/>
      <c r="H276" s="135"/>
      <c r="I276" s="136">
        <f t="shared" si="38"/>
        <v>0</v>
      </c>
      <c r="J276" s="134"/>
      <c r="K276" s="135"/>
      <c r="L276" s="136">
        <f t="shared" si="39"/>
        <v>0</v>
      </c>
      <c r="M276" s="284"/>
      <c r="N276" s="285"/>
      <c r="O276" s="136">
        <f t="shared" si="40"/>
        <v>0</v>
      </c>
      <c r="P276" s="85"/>
      <c r="R276" s="53"/>
    </row>
    <row r="277" spans="1:18" s="358" customFormat="1" ht="24" hidden="1" x14ac:dyDescent="0.25">
      <c r="A277" s="276">
        <v>7230</v>
      </c>
      <c r="B277" s="127" t="s">
        <v>293</v>
      </c>
      <c r="C277" s="279">
        <f t="shared" si="50"/>
        <v>0</v>
      </c>
      <c r="D277" s="134">
        <v>0</v>
      </c>
      <c r="E277" s="285"/>
      <c r="F277" s="136">
        <f t="shared" si="37"/>
        <v>0</v>
      </c>
      <c r="G277" s="134"/>
      <c r="H277" s="135"/>
      <c r="I277" s="136">
        <f t="shared" si="38"/>
        <v>0</v>
      </c>
      <c r="J277" s="134"/>
      <c r="K277" s="135"/>
      <c r="L277" s="136">
        <f t="shared" si="39"/>
        <v>0</v>
      </c>
      <c r="M277" s="284"/>
      <c r="N277" s="285"/>
      <c r="O277" s="136">
        <f>M277+N277</f>
        <v>0</v>
      </c>
      <c r="P277" s="85"/>
      <c r="R277" s="53"/>
    </row>
    <row r="278" spans="1:18" ht="24" hidden="1" x14ac:dyDescent="0.25">
      <c r="A278" s="276">
        <v>7240</v>
      </c>
      <c r="B278" s="127" t="s">
        <v>294</v>
      </c>
      <c r="C278" s="279">
        <f t="shared" si="50"/>
        <v>0</v>
      </c>
      <c r="D278" s="277">
        <f>SUM(D279:D280)</f>
        <v>0</v>
      </c>
      <c r="E278" s="282">
        <f>SUM(E279:E280)</f>
        <v>0</v>
      </c>
      <c r="F278" s="13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c r="R278" s="53"/>
    </row>
    <row r="279" spans="1:18" ht="48" hidden="1" x14ac:dyDescent="0.25">
      <c r="A279" s="76">
        <v>7245</v>
      </c>
      <c r="B279" s="127" t="s">
        <v>295</v>
      </c>
      <c r="C279" s="279">
        <f t="shared" si="50"/>
        <v>0</v>
      </c>
      <c r="D279" s="134">
        <v>0</v>
      </c>
      <c r="E279" s="285"/>
      <c r="F279" s="136">
        <f t="shared" si="37"/>
        <v>0</v>
      </c>
      <c r="G279" s="134"/>
      <c r="H279" s="135"/>
      <c r="I279" s="136">
        <f t="shared" si="38"/>
        <v>0</v>
      </c>
      <c r="J279" s="134"/>
      <c r="K279" s="135"/>
      <c r="L279" s="136">
        <f t="shared" si="39"/>
        <v>0</v>
      </c>
      <c r="M279" s="284"/>
      <c r="N279" s="285"/>
      <c r="O279" s="136">
        <f t="shared" ref="O279:O282" si="57">M279+N279</f>
        <v>0</v>
      </c>
      <c r="P279" s="85"/>
      <c r="R279" s="53"/>
    </row>
    <row r="280" spans="1:18" ht="84" hidden="1" x14ac:dyDescent="0.25">
      <c r="A280" s="76">
        <v>7246</v>
      </c>
      <c r="B280" s="127" t="s">
        <v>296</v>
      </c>
      <c r="C280" s="279">
        <f t="shared" si="50"/>
        <v>0</v>
      </c>
      <c r="D280" s="134">
        <v>0</v>
      </c>
      <c r="E280" s="285"/>
      <c r="F280" s="136">
        <f t="shared" si="37"/>
        <v>0</v>
      </c>
      <c r="G280" s="134"/>
      <c r="H280" s="135"/>
      <c r="I280" s="136">
        <f t="shared" si="38"/>
        <v>0</v>
      </c>
      <c r="J280" s="134"/>
      <c r="K280" s="135"/>
      <c r="L280" s="136">
        <f t="shared" si="39"/>
        <v>0</v>
      </c>
      <c r="M280" s="284"/>
      <c r="N280" s="285"/>
      <c r="O280" s="136">
        <f t="shared" si="57"/>
        <v>0</v>
      </c>
      <c r="P280" s="85"/>
      <c r="R280" s="53"/>
    </row>
    <row r="281" spans="1:18" ht="24" hidden="1" x14ac:dyDescent="0.25">
      <c r="A281" s="276">
        <v>7260</v>
      </c>
      <c r="B281" s="127" t="s">
        <v>297</v>
      </c>
      <c r="C281" s="279">
        <f t="shared" si="50"/>
        <v>0</v>
      </c>
      <c r="D281" s="123">
        <v>0</v>
      </c>
      <c r="E281" s="262"/>
      <c r="F281" s="125">
        <f t="shared" si="37"/>
        <v>0</v>
      </c>
      <c r="G281" s="123"/>
      <c r="H281" s="124"/>
      <c r="I281" s="125">
        <f t="shared" si="38"/>
        <v>0</v>
      </c>
      <c r="J281" s="123"/>
      <c r="K281" s="124"/>
      <c r="L281" s="125">
        <f t="shared" si="39"/>
        <v>0</v>
      </c>
      <c r="M281" s="264"/>
      <c r="N281" s="262"/>
      <c r="O281" s="125">
        <f t="shared" si="57"/>
        <v>0</v>
      </c>
      <c r="P281" s="74"/>
      <c r="R281" s="53"/>
    </row>
    <row r="282" spans="1:18" hidden="1" x14ac:dyDescent="0.25">
      <c r="A282" s="99">
        <v>7700</v>
      </c>
      <c r="B282" s="247" t="s">
        <v>298</v>
      </c>
      <c r="C282" s="302">
        <f t="shared" si="50"/>
        <v>0</v>
      </c>
      <c r="D282" s="360">
        <f>D283</f>
        <v>0</v>
      </c>
      <c r="E282" s="304">
        <f>SUM(E283)</f>
        <v>0</v>
      </c>
      <c r="F282" s="305">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c r="R282" s="53"/>
    </row>
    <row r="283" spans="1:18" hidden="1" x14ac:dyDescent="0.25">
      <c r="A283" s="141">
        <v>7720</v>
      </c>
      <c r="B283" s="142" t="s">
        <v>299</v>
      </c>
      <c r="C283" s="362">
        <f t="shared" si="50"/>
        <v>0</v>
      </c>
      <c r="D283" s="149">
        <v>0</v>
      </c>
      <c r="E283" s="363"/>
      <c r="F283" s="151">
        <f t="shared" si="37"/>
        <v>0</v>
      </c>
      <c r="G283" s="149"/>
      <c r="H283" s="150"/>
      <c r="I283" s="151">
        <f t="shared" si="38"/>
        <v>0</v>
      </c>
      <c r="J283" s="149"/>
      <c r="K283" s="150"/>
      <c r="L283" s="151">
        <f t="shared" si="39"/>
        <v>0</v>
      </c>
      <c r="M283" s="365"/>
      <c r="N283" s="363"/>
      <c r="O283" s="151">
        <f>M283+N283</f>
        <v>0</v>
      </c>
      <c r="P283" s="153"/>
      <c r="R283" s="53"/>
    </row>
    <row r="284" spans="1:18" hidden="1" x14ac:dyDescent="0.25">
      <c r="A284" s="366"/>
      <c r="B284" s="179" t="s">
        <v>300</v>
      </c>
      <c r="C284" s="296">
        <f t="shared" si="50"/>
        <v>0</v>
      </c>
      <c r="D284" s="255">
        <f>SUM(D285:D286)</f>
        <v>0</v>
      </c>
      <c r="E284" s="261">
        <f>SUM(E285:E286)</f>
        <v>0</v>
      </c>
      <c r="F284" s="259">
        <f t="shared" si="37"/>
        <v>0</v>
      </c>
      <c r="G284" s="255">
        <f>SUM(G285:G286)</f>
        <v>0</v>
      </c>
      <c r="H284" s="258">
        <f>SUM(H285:H286)</f>
        <v>0</v>
      </c>
      <c r="I284" s="259">
        <f t="shared" si="38"/>
        <v>0</v>
      </c>
      <c r="J284" s="255">
        <f>SUM(J285:J286)</f>
        <v>0</v>
      </c>
      <c r="K284" s="258">
        <f>SUM(K285:K286)</f>
        <v>0</v>
      </c>
      <c r="L284" s="259">
        <f t="shared" si="39"/>
        <v>0</v>
      </c>
      <c r="M284" s="260">
        <f>SUM(M285:M286)</f>
        <v>0</v>
      </c>
      <c r="N284" s="261">
        <f>SUM(N285:N286)</f>
        <v>0</v>
      </c>
      <c r="O284" s="259">
        <f t="shared" ref="O284:O299" si="58">M284+N284</f>
        <v>0</v>
      </c>
      <c r="P284" s="189"/>
      <c r="R284" s="53"/>
    </row>
    <row r="285" spans="1:18" hidden="1" x14ac:dyDescent="0.25">
      <c r="A285" s="346" t="s">
        <v>301</v>
      </c>
      <c r="B285" s="76" t="s">
        <v>302</v>
      </c>
      <c r="C285" s="279">
        <f t="shared" si="50"/>
        <v>0</v>
      </c>
      <c r="D285" s="134"/>
      <c r="E285" s="285"/>
      <c r="F285" s="136">
        <f t="shared" si="37"/>
        <v>0</v>
      </c>
      <c r="G285" s="134"/>
      <c r="H285" s="135"/>
      <c r="I285" s="136">
        <f t="shared" si="38"/>
        <v>0</v>
      </c>
      <c r="J285" s="134"/>
      <c r="K285" s="135"/>
      <c r="L285" s="136">
        <f t="shared" si="39"/>
        <v>0</v>
      </c>
      <c r="M285" s="284"/>
      <c r="N285" s="285"/>
      <c r="O285" s="136">
        <f t="shared" si="58"/>
        <v>0</v>
      </c>
      <c r="P285" s="85"/>
      <c r="R285" s="53"/>
    </row>
    <row r="286" spans="1:18" hidden="1" x14ac:dyDescent="0.25">
      <c r="A286" s="346" t="s">
        <v>303</v>
      </c>
      <c r="B286" s="367" t="s">
        <v>304</v>
      </c>
      <c r="C286" s="296">
        <f t="shared" si="50"/>
        <v>0</v>
      </c>
      <c r="D286" s="123"/>
      <c r="E286" s="262"/>
      <c r="F286" s="125">
        <f t="shared" si="37"/>
        <v>0</v>
      </c>
      <c r="G286" s="123"/>
      <c r="H286" s="124"/>
      <c r="I286" s="125">
        <f t="shared" si="38"/>
        <v>0</v>
      </c>
      <c r="J286" s="123"/>
      <c r="K286" s="124"/>
      <c r="L286" s="125">
        <f t="shared" si="39"/>
        <v>0</v>
      </c>
      <c r="M286" s="264"/>
      <c r="N286" s="262"/>
      <c r="O286" s="125">
        <f t="shared" si="58"/>
        <v>0</v>
      </c>
      <c r="P286" s="74"/>
      <c r="R286" s="53"/>
    </row>
    <row r="287" spans="1:18" x14ac:dyDescent="0.25">
      <c r="A287" s="368"/>
      <c r="B287" s="369" t="s">
        <v>305</v>
      </c>
      <c r="C287" s="373">
        <f>SUM(C284,C271,C233,C198,C190,C176,C78,C56)</f>
        <v>1748750</v>
      </c>
      <c r="D287" s="371">
        <f>SUM(D284,D271,D233,D198,D190,D176,D78,D56)</f>
        <v>1739844</v>
      </c>
      <c r="E287" s="692">
        <f>SUM(E284,E271,E233,E198,E190,E176,E78,E56)</f>
        <v>8906</v>
      </c>
      <c r="F287" s="375">
        <f t="shared" si="37"/>
        <v>1748750</v>
      </c>
      <c r="G287" s="371">
        <f>SUM(G284,G271,G233,G198,G190,G176,G78,G56)</f>
        <v>0</v>
      </c>
      <c r="H287" s="374">
        <f>SUM(H284,H271,H233,H198,H190,H176,H78,H56)</f>
        <v>0</v>
      </c>
      <c r="I287" s="375">
        <f t="shared" si="38"/>
        <v>0</v>
      </c>
      <c r="J287" s="371">
        <f>SUM(J284,J271,J233,J198,J190,J176,J78,J56)</f>
        <v>0</v>
      </c>
      <c r="K287" s="374">
        <f>SUM(K284,K271,K233,K198,K190,K176,K78,K56)</f>
        <v>0</v>
      </c>
      <c r="L287" s="375">
        <f t="shared" si="39"/>
        <v>0</v>
      </c>
      <c r="M287" s="250">
        <f>SUM(M284,M271,M233,M198,M190,M176,M78,M56)</f>
        <v>0</v>
      </c>
      <c r="N287" s="251">
        <f>SUM(N284,N271,N233,N198,N190,N176,N78,N56)</f>
        <v>0</v>
      </c>
      <c r="O287" s="252">
        <f t="shared" si="58"/>
        <v>0</v>
      </c>
      <c r="P287" s="253"/>
      <c r="R287" s="53"/>
    </row>
    <row r="288" spans="1:18" hidden="1" x14ac:dyDescent="0.25">
      <c r="A288" s="376" t="s">
        <v>306</v>
      </c>
      <c r="B288" s="377"/>
      <c r="C288" s="381">
        <f t="shared" ref="C288" si="59">F288+I288+L288+O288</f>
        <v>0</v>
      </c>
      <c r="D288" s="379">
        <f>SUM(D28,D29,D45)-D54</f>
        <v>0</v>
      </c>
      <c r="E288" s="384">
        <f>SUM(E28,E29,E45)-E54</f>
        <v>0</v>
      </c>
      <c r="F288" s="383">
        <f t="shared" si="37"/>
        <v>0</v>
      </c>
      <c r="G288" s="379">
        <f>SUM(G28,G29,G45)-G54</f>
        <v>0</v>
      </c>
      <c r="H288" s="382">
        <f>SUM(H28,H29,H45)-H54</f>
        <v>0</v>
      </c>
      <c r="I288" s="383">
        <f t="shared" si="38"/>
        <v>0</v>
      </c>
      <c r="J288" s="379">
        <f>(J30+J46)-J54</f>
        <v>0</v>
      </c>
      <c r="K288" s="382">
        <f>(K30+K46)-K54</f>
        <v>0</v>
      </c>
      <c r="L288" s="383">
        <f t="shared" si="39"/>
        <v>0</v>
      </c>
      <c r="M288" s="378">
        <f>M48-M54</f>
        <v>0</v>
      </c>
      <c r="N288" s="384">
        <f>N48-N54</f>
        <v>0</v>
      </c>
      <c r="O288" s="383">
        <f t="shared" si="58"/>
        <v>0</v>
      </c>
      <c r="P288" s="385"/>
      <c r="R288" s="53"/>
    </row>
    <row r="289" spans="1:18" s="41" customFormat="1" hidden="1" x14ac:dyDescent="0.25">
      <c r="A289" s="376" t="s">
        <v>307</v>
      </c>
      <c r="B289" s="377"/>
      <c r="C289" s="381">
        <f>SUM(C290,C291)-C298+C299</f>
        <v>0</v>
      </c>
      <c r="D289" s="379">
        <f>SUM(D290,D291)-D298+D299</f>
        <v>0</v>
      </c>
      <c r="E289" s="384">
        <f>SUM(E290,E291)-E298+E299</f>
        <v>0</v>
      </c>
      <c r="F289" s="383">
        <f t="shared" si="37"/>
        <v>0</v>
      </c>
      <c r="G289" s="379">
        <f>SUM(G290,G291)-G298+G299</f>
        <v>0</v>
      </c>
      <c r="H289" s="382">
        <f>SUM(H290,H291)-H298+H299</f>
        <v>0</v>
      </c>
      <c r="I289" s="383">
        <f t="shared" si="38"/>
        <v>0</v>
      </c>
      <c r="J289" s="379">
        <f>SUM(J290,J291)-J298+J299</f>
        <v>0</v>
      </c>
      <c r="K289" s="382">
        <f>SUM(K290,K291)-K298+K299</f>
        <v>0</v>
      </c>
      <c r="L289" s="383">
        <f t="shared" si="39"/>
        <v>0</v>
      </c>
      <c r="M289" s="378">
        <f>SUM(M290,M291)-M298+M299</f>
        <v>0</v>
      </c>
      <c r="N289" s="384">
        <f>SUM(N290,N291)-N298+N299</f>
        <v>0</v>
      </c>
      <c r="O289" s="383">
        <f t="shared" si="58"/>
        <v>0</v>
      </c>
      <c r="P289" s="385"/>
      <c r="R289" s="53"/>
    </row>
    <row r="290" spans="1:18" s="41" customFormat="1" hidden="1" x14ac:dyDescent="0.25">
      <c r="A290" s="386" t="s">
        <v>308</v>
      </c>
      <c r="B290" s="386" t="s">
        <v>309</v>
      </c>
      <c r="C290" s="381">
        <f>C25-C284</f>
        <v>0</v>
      </c>
      <c r="D290" s="379">
        <f>D25-D284</f>
        <v>0</v>
      </c>
      <c r="E290" s="384">
        <f>E25-E284</f>
        <v>0</v>
      </c>
      <c r="F290" s="383">
        <f t="shared" si="37"/>
        <v>0</v>
      </c>
      <c r="G290" s="379">
        <f>G25-G284</f>
        <v>0</v>
      </c>
      <c r="H290" s="382">
        <f>H25-H284</f>
        <v>0</v>
      </c>
      <c r="I290" s="383">
        <f t="shared" si="38"/>
        <v>0</v>
      </c>
      <c r="J290" s="379">
        <f>J25-J284</f>
        <v>0</v>
      </c>
      <c r="K290" s="382">
        <f>K25-K284</f>
        <v>0</v>
      </c>
      <c r="L290" s="383">
        <f t="shared" si="39"/>
        <v>0</v>
      </c>
      <c r="M290" s="378">
        <f>M25-M284</f>
        <v>0</v>
      </c>
      <c r="N290" s="384">
        <f>N25-N284</f>
        <v>0</v>
      </c>
      <c r="O290" s="383">
        <f t="shared" si="58"/>
        <v>0</v>
      </c>
      <c r="P290" s="385"/>
      <c r="R290" s="53"/>
    </row>
    <row r="291" spans="1:18" s="41" customFormat="1" hidden="1" x14ac:dyDescent="0.25">
      <c r="A291" s="387" t="s">
        <v>310</v>
      </c>
      <c r="B291" s="387" t="s">
        <v>311</v>
      </c>
      <c r="C291" s="381">
        <f>SUM(C292,C294,C296)-SUM(C293,C295,C297)</f>
        <v>0</v>
      </c>
      <c r="D291" s="379">
        <f>SUM(D292,D294,D296)-SUM(D293,D295,D297)</f>
        <v>0</v>
      </c>
      <c r="E291" s="384">
        <f t="shared" ref="E291" si="60">SUM(E292,E294,E296)-SUM(E293,E295,E297)</f>
        <v>0</v>
      </c>
      <c r="F291" s="383">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c r="R291" s="53"/>
    </row>
    <row r="292" spans="1:18" s="41" customFormat="1" hidden="1" x14ac:dyDescent="0.25">
      <c r="A292" s="366" t="s">
        <v>312</v>
      </c>
      <c r="B292" s="190" t="s">
        <v>313</v>
      </c>
      <c r="C292" s="362">
        <f t="shared" ref="C292:C299" si="64">F292+I292+L292+O292</f>
        <v>0</v>
      </c>
      <c r="D292" s="149"/>
      <c r="E292" s="363"/>
      <c r="F292" s="151">
        <f t="shared" si="37"/>
        <v>0</v>
      </c>
      <c r="G292" s="149"/>
      <c r="H292" s="150"/>
      <c r="I292" s="151">
        <f t="shared" si="38"/>
        <v>0</v>
      </c>
      <c r="J292" s="149"/>
      <c r="K292" s="150"/>
      <c r="L292" s="151">
        <f t="shared" si="39"/>
        <v>0</v>
      </c>
      <c r="M292" s="365"/>
      <c r="N292" s="363"/>
      <c r="O292" s="151">
        <f t="shared" si="58"/>
        <v>0</v>
      </c>
      <c r="P292" s="153"/>
      <c r="R292" s="53"/>
    </row>
    <row r="293" spans="1:18" hidden="1" x14ac:dyDescent="0.25">
      <c r="A293" s="346" t="s">
        <v>314</v>
      </c>
      <c r="B293" s="75" t="s">
        <v>315</v>
      </c>
      <c r="C293" s="279">
        <f t="shared" si="64"/>
        <v>0</v>
      </c>
      <c r="D293" s="134"/>
      <c r="E293" s="285"/>
      <c r="F293" s="136">
        <f t="shared" si="37"/>
        <v>0</v>
      </c>
      <c r="G293" s="134"/>
      <c r="H293" s="135"/>
      <c r="I293" s="136">
        <f t="shared" si="38"/>
        <v>0</v>
      </c>
      <c r="J293" s="134"/>
      <c r="K293" s="135"/>
      <c r="L293" s="136">
        <f t="shared" si="39"/>
        <v>0</v>
      </c>
      <c r="M293" s="284"/>
      <c r="N293" s="285"/>
      <c r="O293" s="136">
        <f t="shared" si="58"/>
        <v>0</v>
      </c>
      <c r="P293" s="85"/>
      <c r="R293" s="53"/>
    </row>
    <row r="294" spans="1:18" hidden="1" x14ac:dyDescent="0.25">
      <c r="A294" s="346" t="s">
        <v>316</v>
      </c>
      <c r="B294" s="75" t="s">
        <v>317</v>
      </c>
      <c r="C294" s="279">
        <f t="shared" si="64"/>
        <v>0</v>
      </c>
      <c r="D294" s="134"/>
      <c r="E294" s="285"/>
      <c r="F294" s="136">
        <f t="shared" si="37"/>
        <v>0</v>
      </c>
      <c r="G294" s="134"/>
      <c r="H294" s="135"/>
      <c r="I294" s="136">
        <f t="shared" si="38"/>
        <v>0</v>
      </c>
      <c r="J294" s="134"/>
      <c r="K294" s="135"/>
      <c r="L294" s="136">
        <f t="shared" si="39"/>
        <v>0</v>
      </c>
      <c r="M294" s="284"/>
      <c r="N294" s="285"/>
      <c r="O294" s="136">
        <f t="shared" si="58"/>
        <v>0</v>
      </c>
      <c r="P294" s="85"/>
      <c r="R294" s="53"/>
    </row>
    <row r="295" spans="1:18" ht="24" hidden="1" x14ac:dyDescent="0.25">
      <c r="A295" s="346" t="s">
        <v>318</v>
      </c>
      <c r="B295" s="75" t="s">
        <v>319</v>
      </c>
      <c r="C295" s="279">
        <f t="shared" si="64"/>
        <v>0</v>
      </c>
      <c r="D295" s="134"/>
      <c r="E295" s="285"/>
      <c r="F295" s="136">
        <f t="shared" si="37"/>
        <v>0</v>
      </c>
      <c r="G295" s="134"/>
      <c r="H295" s="135"/>
      <c r="I295" s="136">
        <f t="shared" si="38"/>
        <v>0</v>
      </c>
      <c r="J295" s="134"/>
      <c r="K295" s="135"/>
      <c r="L295" s="136">
        <f t="shared" si="39"/>
        <v>0</v>
      </c>
      <c r="M295" s="284"/>
      <c r="N295" s="285"/>
      <c r="O295" s="136">
        <f t="shared" si="58"/>
        <v>0</v>
      </c>
      <c r="P295" s="85"/>
      <c r="R295" s="53"/>
    </row>
    <row r="296" spans="1:18" hidden="1" x14ac:dyDescent="0.25">
      <c r="A296" s="346" t="s">
        <v>320</v>
      </c>
      <c r="B296" s="75" t="s">
        <v>321</v>
      </c>
      <c r="C296" s="279">
        <f t="shared" si="64"/>
        <v>0</v>
      </c>
      <c r="D296" s="134"/>
      <c r="E296" s="285"/>
      <c r="F296" s="136">
        <f t="shared" si="37"/>
        <v>0</v>
      </c>
      <c r="G296" s="134"/>
      <c r="H296" s="135"/>
      <c r="I296" s="136">
        <f t="shared" si="38"/>
        <v>0</v>
      </c>
      <c r="J296" s="134"/>
      <c r="K296" s="135"/>
      <c r="L296" s="136">
        <f t="shared" si="39"/>
        <v>0</v>
      </c>
      <c r="M296" s="284"/>
      <c r="N296" s="285"/>
      <c r="O296" s="136">
        <f t="shared" si="58"/>
        <v>0</v>
      </c>
      <c r="P296" s="85"/>
      <c r="R296" s="53"/>
    </row>
    <row r="297" spans="1:18" hidden="1" x14ac:dyDescent="0.25">
      <c r="A297" s="389" t="s">
        <v>322</v>
      </c>
      <c r="B297" s="390" t="s">
        <v>323</v>
      </c>
      <c r="C297" s="647">
        <f t="shared" si="64"/>
        <v>0</v>
      </c>
      <c r="D297" s="328"/>
      <c r="E297" s="329"/>
      <c r="F297" s="324">
        <f t="shared" si="37"/>
        <v>0</v>
      </c>
      <c r="G297" s="328"/>
      <c r="H297" s="331"/>
      <c r="I297" s="324">
        <f t="shared" si="38"/>
        <v>0</v>
      </c>
      <c r="J297" s="328"/>
      <c r="K297" s="331"/>
      <c r="L297" s="324">
        <f t="shared" si="39"/>
        <v>0</v>
      </c>
      <c r="M297" s="332"/>
      <c r="N297" s="329"/>
      <c r="O297" s="324">
        <f t="shared" si="58"/>
        <v>0</v>
      </c>
      <c r="P297" s="325"/>
      <c r="R297" s="53"/>
    </row>
    <row r="298" spans="1:18" hidden="1" x14ac:dyDescent="0.25">
      <c r="A298" s="387" t="s">
        <v>324</v>
      </c>
      <c r="B298" s="387" t="s">
        <v>325</v>
      </c>
      <c r="C298" s="381">
        <f t="shared" si="64"/>
        <v>0</v>
      </c>
      <c r="D298" s="392"/>
      <c r="E298" s="393"/>
      <c r="F298" s="383">
        <f t="shared" si="37"/>
        <v>0</v>
      </c>
      <c r="G298" s="392"/>
      <c r="H298" s="394"/>
      <c r="I298" s="383">
        <f t="shared" si="38"/>
        <v>0</v>
      </c>
      <c r="J298" s="392"/>
      <c r="K298" s="394"/>
      <c r="L298" s="383">
        <f t="shared" si="39"/>
        <v>0</v>
      </c>
      <c r="M298" s="395"/>
      <c r="N298" s="393"/>
      <c r="O298" s="383">
        <f t="shared" si="58"/>
        <v>0</v>
      </c>
      <c r="P298" s="385"/>
      <c r="R298" s="53"/>
    </row>
    <row r="299" spans="1:18" s="41" customFormat="1" ht="36" hidden="1" x14ac:dyDescent="0.25">
      <c r="A299" s="387" t="s">
        <v>326</v>
      </c>
      <c r="B299" s="396" t="s">
        <v>327</v>
      </c>
      <c r="C299" s="651">
        <f t="shared" si="64"/>
        <v>0</v>
      </c>
      <c r="D299" s="398"/>
      <c r="E299" s="399"/>
      <c r="F299" s="521">
        <f t="shared" si="37"/>
        <v>0</v>
      </c>
      <c r="G299" s="392"/>
      <c r="H299" s="394"/>
      <c r="I299" s="383">
        <f t="shared" si="38"/>
        <v>0</v>
      </c>
      <c r="J299" s="392"/>
      <c r="K299" s="394"/>
      <c r="L299" s="383">
        <f t="shared" si="39"/>
        <v>0</v>
      </c>
      <c r="M299" s="395"/>
      <c r="N299" s="393"/>
      <c r="O299" s="383">
        <f t="shared" si="58"/>
        <v>0</v>
      </c>
      <c r="P299" s="385"/>
      <c r="R299" s="53"/>
    </row>
    <row r="300" spans="1:18"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18" x14ac:dyDescent="0.25">
      <c r="A301" s="693"/>
      <c r="B301" s="694"/>
      <c r="C301" s="694"/>
      <c r="D301" s="694"/>
      <c r="E301" s="694"/>
      <c r="F301" s="694"/>
      <c r="G301" s="694"/>
      <c r="H301" s="694"/>
      <c r="I301" s="694"/>
      <c r="J301" s="694"/>
      <c r="K301" s="694"/>
      <c r="L301" s="694"/>
      <c r="M301" s="694"/>
      <c r="N301" s="694"/>
      <c r="O301" s="694"/>
      <c r="P301" s="695"/>
      <c r="Q301" s="7"/>
    </row>
    <row r="302" spans="1:18" x14ac:dyDescent="0.25">
      <c r="A302" s="5"/>
      <c r="B302" s="5"/>
      <c r="C302" s="5"/>
      <c r="D302" s="5"/>
      <c r="E302" s="5"/>
      <c r="F302" s="5"/>
      <c r="G302" s="5"/>
      <c r="H302" s="5"/>
      <c r="I302" s="5"/>
      <c r="J302" s="5"/>
      <c r="K302" s="5"/>
      <c r="L302" s="5"/>
      <c r="M302" s="5"/>
      <c r="N302" s="5"/>
      <c r="O302" s="5"/>
    </row>
    <row r="303" spans="1:18" x14ac:dyDescent="0.25">
      <c r="A303" s="5"/>
      <c r="B303" s="5"/>
      <c r="C303" s="5"/>
      <c r="D303" s="5"/>
      <c r="E303" s="5"/>
      <c r="F303" s="5"/>
      <c r="G303" s="5"/>
      <c r="H303" s="5"/>
      <c r="I303" s="5"/>
      <c r="J303" s="5"/>
      <c r="K303" s="5"/>
      <c r="L303" s="5"/>
      <c r="M303" s="5"/>
      <c r="N303" s="5"/>
      <c r="O303" s="5"/>
    </row>
    <row r="304" spans="1:18"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zNEtuhtJo0Ctd/tx+wMWlwB6tXIAH011rlLdvCOqXVGJy9TaXXNaYCXzAOS0vgl3tEht9XpmbyXdTBe1Tmaq0A==" saltValue="9FJbsmE4j/NThfSqpQrW1Q==" spinCount="100000" sheet="1" objects="1" scenarios="1" formatCells="0" formatColumns="0" formatRows="0"/>
  <autoFilter ref="A22:P300">
    <filterColumn colId="2">
      <filters blank="1">
        <filter val="1 500"/>
        <filter val="1 607 141"/>
        <filter val="1 607 927"/>
        <filter val="1 638 198"/>
        <filter val="1 674 798"/>
        <filter val="1 680 007"/>
        <filter val="1 748 750"/>
        <filter val="10 074"/>
        <filter val="10 477"/>
        <filter val="10 782"/>
        <filter val="150"/>
        <filter val="153"/>
        <filter val="19 313"/>
        <filter val="215"/>
        <filter val="23 641"/>
        <filter val="25 908"/>
        <filter val="250"/>
        <filter val="36 600"/>
        <filter val="388"/>
        <filter val="40"/>
        <filter val="5 209"/>
        <filter val="5 534"/>
        <filter val="6 052"/>
        <filter val="6 440"/>
        <filter val="6 595"/>
        <filter val="67 243"/>
        <filter val="68 743"/>
        <filter val="7 325"/>
        <filter val="786"/>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75.pielikums Jūrmalas pilsētas domes
2017.gada 30.janvāra saistošajiem noteikumiem Nr.10
(Protokols Nr.4, 1.punkts)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21"/>
  <sheetViews>
    <sheetView view="pageLayout" zoomScaleNormal="90" workbookViewId="0">
      <selection activeCell="T10" sqref="T9:T10"/>
    </sheetView>
  </sheetViews>
  <sheetFormatPr defaultRowHeight="12" outlineLevelCol="1" x14ac:dyDescent="0.25"/>
  <cols>
    <col min="1" max="1" width="10.85546875" style="1" customWidth="1"/>
    <col min="2" max="2" width="31.140625"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517</v>
      </c>
    </row>
    <row r="2" spans="1:17" x14ac:dyDescent="0.25">
      <c r="B2" s="2"/>
      <c r="C2" s="2"/>
      <c r="D2" s="2"/>
      <c r="E2" s="2"/>
      <c r="F2" s="2"/>
      <c r="G2" s="2"/>
      <c r="H2" s="2"/>
      <c r="I2" s="2"/>
      <c r="J2" s="2"/>
      <c r="K2" s="2"/>
      <c r="L2" s="2"/>
      <c r="M2" s="3"/>
      <c r="N2" s="3"/>
      <c r="O2" s="4"/>
    </row>
    <row r="3" spans="1:17" x14ac:dyDescent="0.25">
      <c r="A3" s="1589"/>
      <c r="B3" s="1590"/>
      <c r="C3" s="1590"/>
      <c r="D3" s="1590"/>
      <c r="E3" s="1590"/>
      <c r="F3" s="1590"/>
      <c r="G3" s="1590"/>
      <c r="H3" s="1590"/>
      <c r="I3" s="1590"/>
      <c r="J3" s="1590"/>
      <c r="K3" s="1590"/>
      <c r="L3" s="1590"/>
      <c r="M3" s="1590"/>
      <c r="N3" s="1590"/>
      <c r="O3" s="1590"/>
      <c r="P3" s="1591"/>
      <c r="Q3" s="7"/>
    </row>
    <row r="4" spans="1:17" ht="15.75" x14ac:dyDescent="0.25">
      <c r="A4" s="1560" t="s">
        <v>1</v>
      </c>
      <c r="B4" s="1561"/>
      <c r="C4" s="1561"/>
      <c r="D4" s="1561"/>
      <c r="E4" s="1561"/>
      <c r="F4" s="1561"/>
      <c r="G4" s="1561"/>
      <c r="H4" s="1561"/>
      <c r="I4" s="1561"/>
      <c r="J4" s="1561"/>
      <c r="K4" s="1561"/>
      <c r="L4" s="1561"/>
      <c r="M4" s="1561"/>
      <c r="N4" s="1561"/>
      <c r="O4" s="1561"/>
      <c r="P4" s="1561"/>
      <c r="Q4" s="7"/>
    </row>
    <row r="5" spans="1:17" ht="15.75" x14ac:dyDescent="0.25">
      <c r="A5" s="653"/>
      <c r="B5" s="654"/>
      <c r="C5" s="654"/>
      <c r="D5" s="654"/>
      <c r="E5" s="654"/>
      <c r="F5" s="654"/>
      <c r="G5" s="654"/>
      <c r="H5" s="654"/>
      <c r="I5" s="654"/>
      <c r="J5" s="654"/>
      <c r="K5" s="654"/>
      <c r="L5" s="654"/>
      <c r="M5" s="654"/>
      <c r="N5" s="654"/>
      <c r="O5" s="654"/>
      <c r="P5" s="654"/>
      <c r="Q5" s="7"/>
    </row>
    <row r="6" spans="1:17" ht="12.75" x14ac:dyDescent="0.25">
      <c r="A6" s="13" t="s">
        <v>2</v>
      </c>
      <c r="B6" s="14"/>
      <c r="C6" s="1555" t="s">
        <v>501</v>
      </c>
      <c r="D6" s="1555"/>
      <c r="E6" s="1555"/>
      <c r="F6" s="1555"/>
      <c r="G6" s="1555"/>
      <c r="H6" s="1555"/>
      <c r="I6" s="1555"/>
      <c r="J6" s="1555"/>
      <c r="K6" s="1555"/>
      <c r="L6" s="1555"/>
      <c r="M6" s="1555"/>
      <c r="N6" s="1555"/>
      <c r="O6" s="1555"/>
      <c r="P6" s="1555"/>
      <c r="Q6" s="7"/>
    </row>
    <row r="7" spans="1:17" ht="12.75" x14ac:dyDescent="0.25">
      <c r="A7" s="13" t="s">
        <v>4</v>
      </c>
      <c r="B7" s="14"/>
      <c r="C7" s="1555" t="s">
        <v>502</v>
      </c>
      <c r="D7" s="1555"/>
      <c r="E7" s="1555"/>
      <c r="F7" s="1555"/>
      <c r="G7" s="1555"/>
      <c r="H7" s="1555"/>
      <c r="I7" s="1555"/>
      <c r="J7" s="1555"/>
      <c r="K7" s="1555"/>
      <c r="L7" s="1555"/>
      <c r="M7" s="1555"/>
      <c r="N7" s="1555"/>
      <c r="O7" s="1555"/>
      <c r="P7" s="1555"/>
      <c r="Q7" s="7"/>
    </row>
    <row r="8" spans="1:17" x14ac:dyDescent="0.25">
      <c r="A8" s="8" t="s">
        <v>6</v>
      </c>
      <c r="B8" s="9"/>
      <c r="C8" s="1553" t="s">
        <v>503</v>
      </c>
      <c r="D8" s="1553"/>
      <c r="E8" s="1553"/>
      <c r="F8" s="1553"/>
      <c r="G8" s="1553"/>
      <c r="H8" s="1553"/>
      <c r="I8" s="1553"/>
      <c r="J8" s="1553"/>
      <c r="K8" s="1553"/>
      <c r="L8" s="1553"/>
      <c r="M8" s="1553"/>
      <c r="N8" s="1553"/>
      <c r="O8" s="1553"/>
      <c r="P8" s="1553"/>
      <c r="Q8" s="7"/>
    </row>
    <row r="9" spans="1:17" x14ac:dyDescent="0.25">
      <c r="A9" s="8" t="s">
        <v>8</v>
      </c>
      <c r="B9" s="9"/>
      <c r="C9" s="1553" t="s">
        <v>518</v>
      </c>
      <c r="D9" s="1553"/>
      <c r="E9" s="1553"/>
      <c r="F9" s="1553"/>
      <c r="G9" s="1553"/>
      <c r="H9" s="1553"/>
      <c r="I9" s="1553"/>
      <c r="J9" s="1553"/>
      <c r="K9" s="1553"/>
      <c r="L9" s="1553"/>
      <c r="M9" s="1553"/>
      <c r="N9" s="1553"/>
      <c r="O9" s="1553"/>
      <c r="P9" s="1553"/>
      <c r="Q9" s="7"/>
    </row>
    <row r="10" spans="1:17" x14ac:dyDescent="0.25">
      <c r="A10" s="8" t="s">
        <v>10</v>
      </c>
      <c r="B10" s="9"/>
      <c r="C10" s="1555" t="s">
        <v>519</v>
      </c>
      <c r="D10" s="1555"/>
      <c r="E10" s="1555"/>
      <c r="F10" s="1555"/>
      <c r="G10" s="1555"/>
      <c r="H10" s="1555"/>
      <c r="I10" s="1555"/>
      <c r="J10" s="1555"/>
      <c r="K10" s="1555"/>
      <c r="L10" s="1555"/>
      <c r="M10" s="1555"/>
      <c r="N10" s="1555"/>
      <c r="O10" s="1555"/>
      <c r="P10" s="1555"/>
      <c r="Q10" s="7"/>
    </row>
    <row r="11" spans="1:17" x14ac:dyDescent="0.25">
      <c r="A11" s="8" t="s">
        <v>12</v>
      </c>
      <c r="B11" s="9"/>
      <c r="C11" s="1555"/>
      <c r="D11" s="1555"/>
      <c r="E11" s="1555"/>
      <c r="F11" s="1555"/>
      <c r="G11" s="1555"/>
      <c r="H11" s="1555"/>
      <c r="I11" s="1555"/>
      <c r="J11" s="1555"/>
      <c r="K11" s="1555"/>
      <c r="L11" s="1555"/>
      <c r="M11" s="1555"/>
      <c r="N11" s="1555"/>
      <c r="O11" s="1555"/>
      <c r="P11" s="1555"/>
      <c r="Q11" s="7"/>
    </row>
    <row r="12" spans="1:17" x14ac:dyDescent="0.25">
      <c r="A12" s="15" t="s">
        <v>14</v>
      </c>
      <c r="B12" s="9"/>
      <c r="C12" s="16"/>
      <c r="D12" s="16"/>
      <c r="E12" s="16"/>
      <c r="F12" s="16"/>
      <c r="G12" s="16"/>
      <c r="H12" s="16"/>
      <c r="I12" s="16"/>
      <c r="J12" s="16"/>
      <c r="K12" s="16"/>
      <c r="L12" s="16"/>
      <c r="M12" s="16"/>
      <c r="N12" s="16"/>
      <c r="O12" s="16"/>
      <c r="P12" s="624"/>
      <c r="Q12" s="7"/>
    </row>
    <row r="13" spans="1:17" x14ac:dyDescent="0.25">
      <c r="A13" s="8"/>
      <c r="B13" s="9" t="s">
        <v>15</v>
      </c>
      <c r="C13" s="1553" t="s">
        <v>510</v>
      </c>
      <c r="D13" s="1553"/>
      <c r="E13" s="1553"/>
      <c r="F13" s="1553"/>
      <c r="G13" s="1553"/>
      <c r="H13" s="1553"/>
      <c r="I13" s="1553"/>
      <c r="J13" s="1553"/>
      <c r="K13" s="1553"/>
      <c r="L13" s="1553"/>
      <c r="M13" s="1553"/>
      <c r="N13" s="1553"/>
      <c r="O13" s="1553"/>
      <c r="P13" s="1553"/>
      <c r="Q13" s="7"/>
    </row>
    <row r="14" spans="1:17" x14ac:dyDescent="0.25">
      <c r="A14" s="8"/>
      <c r="B14" s="9" t="s">
        <v>17</v>
      </c>
      <c r="C14" s="1553"/>
      <c r="D14" s="1553"/>
      <c r="E14" s="1553"/>
      <c r="F14" s="1553"/>
      <c r="G14" s="1553"/>
      <c r="H14" s="1553"/>
      <c r="I14" s="1553"/>
      <c r="J14" s="1553"/>
      <c r="K14" s="1553"/>
      <c r="L14" s="1553"/>
      <c r="M14" s="1553"/>
      <c r="N14" s="1553"/>
      <c r="O14" s="1553"/>
      <c r="P14" s="1553"/>
      <c r="Q14" s="7"/>
    </row>
    <row r="15" spans="1:17" x14ac:dyDescent="0.25">
      <c r="A15" s="8"/>
      <c r="B15" s="9" t="s">
        <v>19</v>
      </c>
      <c r="C15" s="1553"/>
      <c r="D15" s="1553"/>
      <c r="E15" s="1553"/>
      <c r="F15" s="1553"/>
      <c r="G15" s="1553"/>
      <c r="H15" s="1553"/>
      <c r="I15" s="1553"/>
      <c r="J15" s="1553"/>
      <c r="K15" s="1553"/>
      <c r="L15" s="1553"/>
      <c r="M15" s="1553"/>
      <c r="N15" s="1553"/>
      <c r="O15" s="1553"/>
      <c r="P15" s="1553"/>
      <c r="Q15" s="7"/>
    </row>
    <row r="16" spans="1:17" x14ac:dyDescent="0.25">
      <c r="A16" s="8"/>
      <c r="B16" s="9" t="s">
        <v>20</v>
      </c>
      <c r="C16" s="1553"/>
      <c r="D16" s="1553"/>
      <c r="E16" s="1553"/>
      <c r="F16" s="1553"/>
      <c r="G16" s="1553"/>
      <c r="H16" s="1553"/>
      <c r="I16" s="1553"/>
      <c r="J16" s="1553"/>
      <c r="K16" s="1553"/>
      <c r="L16" s="1553"/>
      <c r="M16" s="1553"/>
      <c r="N16" s="1553"/>
      <c r="O16" s="1553"/>
      <c r="P16" s="1553"/>
      <c r="Q16" s="7"/>
    </row>
    <row r="17" spans="1:18" x14ac:dyDescent="0.25">
      <c r="A17" s="8"/>
      <c r="B17" s="9" t="s">
        <v>22</v>
      </c>
      <c r="C17" s="1553"/>
      <c r="D17" s="1553"/>
      <c r="E17" s="1553"/>
      <c r="F17" s="1553"/>
      <c r="G17" s="1553"/>
      <c r="H17" s="1553"/>
      <c r="I17" s="1553"/>
      <c r="J17" s="1553"/>
      <c r="K17" s="1553"/>
      <c r="L17" s="1553"/>
      <c r="M17" s="1553"/>
      <c r="N17" s="1553"/>
      <c r="O17" s="1553"/>
      <c r="P17" s="1553"/>
      <c r="Q17" s="7"/>
    </row>
    <row r="18" spans="1:18" x14ac:dyDescent="0.25">
      <c r="A18" s="18"/>
      <c r="B18" s="19"/>
      <c r="C18" s="1569"/>
      <c r="D18" s="1569"/>
      <c r="E18" s="1569"/>
      <c r="F18" s="1569"/>
      <c r="G18" s="1569"/>
      <c r="H18" s="1569"/>
      <c r="I18" s="1569"/>
      <c r="J18" s="1569"/>
      <c r="K18" s="1569"/>
      <c r="L18" s="1569"/>
      <c r="M18" s="1569"/>
      <c r="N18" s="1569"/>
      <c r="O18" s="1569"/>
      <c r="P18" s="1569"/>
      <c r="Q18" s="7"/>
    </row>
    <row r="19" spans="1:18"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18"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18" s="21" customFormat="1" ht="70.5" customHeight="1" thickBot="1" x14ac:dyDescent="0.3">
      <c r="A21" s="1573"/>
      <c r="B21" s="1576"/>
      <c r="C21" s="1581"/>
      <c r="D21" s="1566"/>
      <c r="E21" s="1568"/>
      <c r="F21" s="1564"/>
      <c r="G21" s="1566"/>
      <c r="H21" s="1568"/>
      <c r="I21" s="1564"/>
      <c r="J21" s="1566"/>
      <c r="K21" s="1568"/>
      <c r="L21" s="1564"/>
      <c r="M21" s="1566"/>
      <c r="N21" s="1568"/>
      <c r="O21" s="1564"/>
      <c r="P21" s="1576"/>
    </row>
    <row r="22" spans="1:18" s="21" customFormat="1" ht="9" thickTop="1" x14ac:dyDescent="0.25">
      <c r="A22" s="22" t="s">
        <v>40</v>
      </c>
      <c r="B22" s="22">
        <v>2</v>
      </c>
      <c r="C22" s="22">
        <v>3</v>
      </c>
      <c r="D22" s="24">
        <v>4</v>
      </c>
      <c r="E22" s="29">
        <v>5</v>
      </c>
      <c r="F22" s="27">
        <v>4</v>
      </c>
      <c r="G22" s="24">
        <v>7</v>
      </c>
      <c r="H22" s="26">
        <v>8</v>
      </c>
      <c r="I22" s="27">
        <v>5</v>
      </c>
      <c r="J22" s="24">
        <v>10</v>
      </c>
      <c r="K22" s="28">
        <v>11</v>
      </c>
      <c r="L22" s="27">
        <v>6</v>
      </c>
      <c r="M22" s="28">
        <v>13</v>
      </c>
      <c r="N22" s="29">
        <v>14</v>
      </c>
      <c r="O22" s="27">
        <v>7</v>
      </c>
      <c r="P22" s="27">
        <v>16</v>
      </c>
    </row>
    <row r="23" spans="1:18" s="41" customFormat="1" x14ac:dyDescent="0.25">
      <c r="A23" s="30"/>
      <c r="B23" s="31" t="s">
        <v>41</v>
      </c>
      <c r="C23" s="35"/>
      <c r="D23" s="33"/>
      <c r="E23" s="39"/>
      <c r="F23" s="37"/>
      <c r="G23" s="33"/>
      <c r="H23" s="36"/>
      <c r="I23" s="37"/>
      <c r="J23" s="33"/>
      <c r="K23" s="38"/>
      <c r="L23" s="37"/>
      <c r="M23" s="38"/>
      <c r="N23" s="39"/>
      <c r="O23" s="37"/>
      <c r="P23" s="40"/>
    </row>
    <row r="24" spans="1:18" s="41" customFormat="1" ht="12.75" thickBot="1" x14ac:dyDescent="0.3">
      <c r="A24" s="42"/>
      <c r="B24" s="43" t="s">
        <v>42</v>
      </c>
      <c r="C24" s="47">
        <f>F24+I24+L24+O24</f>
        <v>1748750</v>
      </c>
      <c r="D24" s="45">
        <f>SUM(D25,D28,D29,D45,D46)</f>
        <v>1748750</v>
      </c>
      <c r="E24" s="51">
        <f>SUM(E25,E28,E29,E45,E46)</f>
        <v>0</v>
      </c>
      <c r="F24" s="49">
        <f t="shared" ref="F24:F29" si="0">D24+E24</f>
        <v>1748750</v>
      </c>
      <c r="G24" s="45">
        <f>SUM(G25,G28,G46)</f>
        <v>0</v>
      </c>
      <c r="H24" s="48">
        <f>SUM(H25,H28,H46)</f>
        <v>0</v>
      </c>
      <c r="I24" s="49">
        <f>G24+H24</f>
        <v>0</v>
      </c>
      <c r="J24" s="45">
        <f>SUM(J25,J30,J46)</f>
        <v>0</v>
      </c>
      <c r="K24" s="48">
        <f>SUM(K25,K30,K46)</f>
        <v>0</v>
      </c>
      <c r="L24" s="49">
        <f>J24+K24</f>
        <v>0</v>
      </c>
      <c r="M24" s="50">
        <f>SUM(M25,M48)</f>
        <v>0</v>
      </c>
      <c r="N24" s="51">
        <f>SUM(N25,N48)</f>
        <v>0</v>
      </c>
      <c r="O24" s="49">
        <f>M24+N24</f>
        <v>0</v>
      </c>
      <c r="P24" s="52"/>
      <c r="R24" s="53"/>
    </row>
    <row r="25" spans="1:18" ht="12.75" hidden="1" thickTop="1" x14ac:dyDescent="0.25">
      <c r="A25" s="54"/>
      <c r="B25" s="55" t="s">
        <v>43</v>
      </c>
      <c r="C25" s="59">
        <f>F25+I25+L25+O25</f>
        <v>0</v>
      </c>
      <c r="D25" s="57">
        <f>SUM(D26:D27)</f>
        <v>0</v>
      </c>
      <c r="E25" s="63">
        <f>SUM(E26:E27)</f>
        <v>0</v>
      </c>
      <c r="F25" s="61">
        <f t="shared" si="0"/>
        <v>0</v>
      </c>
      <c r="G25" s="57">
        <f>SUM(G26:G27)</f>
        <v>0</v>
      </c>
      <c r="H25" s="60">
        <f>SUM(H26:H27)</f>
        <v>0</v>
      </c>
      <c r="I25" s="61">
        <f>G25+H25</f>
        <v>0</v>
      </c>
      <c r="J25" s="57">
        <f>SUM(J26:J27)</f>
        <v>0</v>
      </c>
      <c r="K25" s="60">
        <f>SUM(K26:K27)</f>
        <v>0</v>
      </c>
      <c r="L25" s="61">
        <f>J25+K25</f>
        <v>0</v>
      </c>
      <c r="M25" s="62">
        <f>SUM(M26:M27)</f>
        <v>0</v>
      </c>
      <c r="N25" s="63">
        <f>SUM(N26:N27)</f>
        <v>0</v>
      </c>
      <c r="O25" s="61">
        <f>M25+N25</f>
        <v>0</v>
      </c>
      <c r="P25" s="64"/>
      <c r="R25" s="53"/>
    </row>
    <row r="26" spans="1:18" ht="12.75" hidden="1" thickTop="1" x14ac:dyDescent="0.25">
      <c r="A26" s="65"/>
      <c r="B26" s="66" t="s">
        <v>44</v>
      </c>
      <c r="C26" s="625">
        <f>F26+I26+L26+O26</f>
        <v>0</v>
      </c>
      <c r="D26" s="68"/>
      <c r="E26" s="69"/>
      <c r="F26" s="72">
        <f t="shared" si="0"/>
        <v>0</v>
      </c>
      <c r="G26" s="68"/>
      <c r="H26" s="71"/>
      <c r="I26" s="72">
        <f>G26+H26</f>
        <v>0</v>
      </c>
      <c r="J26" s="68"/>
      <c r="K26" s="71"/>
      <c r="L26" s="72">
        <f>J26+K26</f>
        <v>0</v>
      </c>
      <c r="M26" s="73"/>
      <c r="N26" s="69"/>
      <c r="O26" s="72">
        <f>M26+N26</f>
        <v>0</v>
      </c>
      <c r="P26" s="74"/>
      <c r="R26" s="53"/>
    </row>
    <row r="27" spans="1:18" ht="12.75" hidden="1" thickTop="1" x14ac:dyDescent="0.25">
      <c r="A27" s="75"/>
      <c r="B27" s="76" t="s">
        <v>45</v>
      </c>
      <c r="C27" s="80">
        <f>F27+I27+L27+O27</f>
        <v>0</v>
      </c>
      <c r="D27" s="78"/>
      <c r="E27" s="84"/>
      <c r="F27" s="82">
        <f t="shared" si="0"/>
        <v>0</v>
      </c>
      <c r="G27" s="78"/>
      <c r="H27" s="81"/>
      <c r="I27" s="82">
        <f>G27+H27</f>
        <v>0</v>
      </c>
      <c r="J27" s="78"/>
      <c r="K27" s="81"/>
      <c r="L27" s="82">
        <f>J27+K27</f>
        <v>0</v>
      </c>
      <c r="M27" s="83"/>
      <c r="N27" s="84"/>
      <c r="O27" s="82">
        <f>M27+N27</f>
        <v>0</v>
      </c>
      <c r="P27" s="85"/>
      <c r="R27" s="53"/>
    </row>
    <row r="28" spans="1:18" s="41" customFormat="1" ht="25.5" thickTop="1" thickBot="1" x14ac:dyDescent="0.3">
      <c r="A28" s="86">
        <v>19300</v>
      </c>
      <c r="B28" s="86" t="s">
        <v>46</v>
      </c>
      <c r="C28" s="90">
        <f>SUM(F28,I28)</f>
        <v>1748750</v>
      </c>
      <c r="D28" s="88">
        <v>1748750</v>
      </c>
      <c r="E28" s="434"/>
      <c r="F28" s="92">
        <f>D28+E28</f>
        <v>1748750</v>
      </c>
      <c r="G28" s="88"/>
      <c r="H28" s="91"/>
      <c r="I28" s="92">
        <f>G28+H28</f>
        <v>0</v>
      </c>
      <c r="J28" s="93" t="s">
        <v>47</v>
      </c>
      <c r="K28" s="94" t="s">
        <v>47</v>
      </c>
      <c r="L28" s="95" t="s">
        <v>47</v>
      </c>
      <c r="M28" s="96" t="s">
        <v>47</v>
      </c>
      <c r="N28" s="97" t="s">
        <v>47</v>
      </c>
      <c r="O28" s="95" t="s">
        <v>47</v>
      </c>
      <c r="P28" s="98"/>
      <c r="R28" s="53"/>
    </row>
    <row r="29" spans="1:18" s="41" customFormat="1" ht="41.25" hidden="1" customHeight="1" thickTop="1" x14ac:dyDescent="0.25">
      <c r="A29" s="99"/>
      <c r="B29" s="99" t="s">
        <v>48</v>
      </c>
      <c r="C29" s="249">
        <f>F29</f>
        <v>0</v>
      </c>
      <c r="D29" s="101"/>
      <c r="E29" s="102"/>
      <c r="F29" s="177">
        <f t="shared" si="0"/>
        <v>0</v>
      </c>
      <c r="G29" s="104" t="s">
        <v>47</v>
      </c>
      <c r="H29" s="105" t="s">
        <v>47</v>
      </c>
      <c r="I29" s="106" t="s">
        <v>47</v>
      </c>
      <c r="J29" s="104" t="s">
        <v>47</v>
      </c>
      <c r="K29" s="105" t="s">
        <v>47</v>
      </c>
      <c r="L29" s="106" t="s">
        <v>47</v>
      </c>
      <c r="M29" s="107" t="s">
        <v>47</v>
      </c>
      <c r="N29" s="108" t="s">
        <v>47</v>
      </c>
      <c r="O29" s="106" t="s">
        <v>47</v>
      </c>
      <c r="P29" s="109"/>
      <c r="R29" s="53"/>
    </row>
    <row r="30" spans="1:18" s="41" customFormat="1" ht="24.75" hidden="1" thickTop="1" x14ac:dyDescent="0.25">
      <c r="A30" s="99">
        <v>21300</v>
      </c>
      <c r="B30" s="99" t="s">
        <v>49</v>
      </c>
      <c r="C30" s="249">
        <f t="shared" ref="C30:C44" si="1">L30</f>
        <v>0</v>
      </c>
      <c r="D30" s="104" t="s">
        <v>47</v>
      </c>
      <c r="E30" s="108" t="s">
        <v>47</v>
      </c>
      <c r="F30" s="106" t="s">
        <v>47</v>
      </c>
      <c r="G30" s="104" t="s">
        <v>47</v>
      </c>
      <c r="H30" s="105" t="s">
        <v>47</v>
      </c>
      <c r="I30" s="106" t="s">
        <v>47</v>
      </c>
      <c r="J30" s="112">
        <f>SUM(J31,J35,J37,J40)</f>
        <v>0</v>
      </c>
      <c r="K30" s="113">
        <f>SUM(K31,K35,K37,K40)</f>
        <v>0</v>
      </c>
      <c r="L30" s="114">
        <f t="shared" ref="L30:L44" si="2">J30+K30</f>
        <v>0</v>
      </c>
      <c r="M30" s="107" t="s">
        <v>47</v>
      </c>
      <c r="N30" s="108" t="s">
        <v>47</v>
      </c>
      <c r="O30" s="106" t="s">
        <v>47</v>
      </c>
      <c r="P30" s="109"/>
      <c r="R30" s="53"/>
    </row>
    <row r="31" spans="1:18" s="41" customFormat="1" ht="12.75" hidden="1" thickTop="1" x14ac:dyDescent="0.25">
      <c r="A31" s="115">
        <v>21350</v>
      </c>
      <c r="B31" s="99" t="s">
        <v>50</v>
      </c>
      <c r="C31" s="249">
        <f t="shared" si="1"/>
        <v>0</v>
      </c>
      <c r="D31" s="104" t="s">
        <v>47</v>
      </c>
      <c r="E31" s="108" t="s">
        <v>47</v>
      </c>
      <c r="F31" s="106" t="s">
        <v>47</v>
      </c>
      <c r="G31" s="104" t="s">
        <v>47</v>
      </c>
      <c r="H31" s="105" t="s">
        <v>47</v>
      </c>
      <c r="I31" s="106" t="s">
        <v>47</v>
      </c>
      <c r="J31" s="112">
        <f>SUM(J32:J34)</f>
        <v>0</v>
      </c>
      <c r="K31" s="113">
        <f>SUM(K32:K34)</f>
        <v>0</v>
      </c>
      <c r="L31" s="114">
        <f t="shared" si="2"/>
        <v>0</v>
      </c>
      <c r="M31" s="107" t="s">
        <v>47</v>
      </c>
      <c r="N31" s="108" t="s">
        <v>47</v>
      </c>
      <c r="O31" s="106" t="s">
        <v>47</v>
      </c>
      <c r="P31" s="109"/>
      <c r="R31" s="53"/>
    </row>
    <row r="32" spans="1:18" ht="12.75" hidden="1" thickTop="1" x14ac:dyDescent="0.25">
      <c r="A32" s="65">
        <v>21351</v>
      </c>
      <c r="B32" s="116" t="s">
        <v>51</v>
      </c>
      <c r="C32" s="296">
        <f t="shared" si="1"/>
        <v>0</v>
      </c>
      <c r="D32" s="118" t="s">
        <v>47</v>
      </c>
      <c r="E32" s="119" t="s">
        <v>47</v>
      </c>
      <c r="F32" s="122" t="s">
        <v>47</v>
      </c>
      <c r="G32" s="118" t="s">
        <v>47</v>
      </c>
      <c r="H32" s="121" t="s">
        <v>47</v>
      </c>
      <c r="I32" s="122" t="s">
        <v>47</v>
      </c>
      <c r="J32" s="123"/>
      <c r="K32" s="124"/>
      <c r="L32" s="125">
        <f t="shared" si="2"/>
        <v>0</v>
      </c>
      <c r="M32" s="126" t="s">
        <v>47</v>
      </c>
      <c r="N32" s="119" t="s">
        <v>47</v>
      </c>
      <c r="O32" s="122" t="s">
        <v>47</v>
      </c>
      <c r="P32" s="74"/>
      <c r="R32" s="53"/>
    </row>
    <row r="33" spans="1:18" ht="12.75" hidden="1" thickTop="1" x14ac:dyDescent="0.25">
      <c r="A33" s="75">
        <v>21352</v>
      </c>
      <c r="B33" s="127" t="s">
        <v>52</v>
      </c>
      <c r="C33" s="279">
        <f t="shared" si="1"/>
        <v>0</v>
      </c>
      <c r="D33" s="129" t="s">
        <v>47</v>
      </c>
      <c r="E33" s="138" t="s">
        <v>47</v>
      </c>
      <c r="F33" s="133" t="s">
        <v>47</v>
      </c>
      <c r="G33" s="129" t="s">
        <v>47</v>
      </c>
      <c r="H33" s="132" t="s">
        <v>47</v>
      </c>
      <c r="I33" s="133" t="s">
        <v>47</v>
      </c>
      <c r="J33" s="134"/>
      <c r="K33" s="135"/>
      <c r="L33" s="136">
        <f t="shared" si="2"/>
        <v>0</v>
      </c>
      <c r="M33" s="137" t="s">
        <v>47</v>
      </c>
      <c r="N33" s="138" t="s">
        <v>47</v>
      </c>
      <c r="O33" s="133" t="s">
        <v>47</v>
      </c>
      <c r="P33" s="85"/>
      <c r="R33" s="53"/>
    </row>
    <row r="34" spans="1:18" ht="24.75" hidden="1" thickTop="1" x14ac:dyDescent="0.25">
      <c r="A34" s="75">
        <v>21359</v>
      </c>
      <c r="B34" s="127" t="s">
        <v>53</v>
      </c>
      <c r="C34" s="279">
        <f t="shared" si="1"/>
        <v>0</v>
      </c>
      <c r="D34" s="129" t="s">
        <v>47</v>
      </c>
      <c r="E34" s="138" t="s">
        <v>47</v>
      </c>
      <c r="F34" s="133" t="s">
        <v>47</v>
      </c>
      <c r="G34" s="129" t="s">
        <v>47</v>
      </c>
      <c r="H34" s="132" t="s">
        <v>47</v>
      </c>
      <c r="I34" s="133" t="s">
        <v>47</v>
      </c>
      <c r="J34" s="134"/>
      <c r="K34" s="135"/>
      <c r="L34" s="136">
        <f t="shared" si="2"/>
        <v>0</v>
      </c>
      <c r="M34" s="137" t="s">
        <v>47</v>
      </c>
      <c r="N34" s="138" t="s">
        <v>47</v>
      </c>
      <c r="O34" s="133" t="s">
        <v>47</v>
      </c>
      <c r="P34" s="85"/>
      <c r="R34" s="53"/>
    </row>
    <row r="35" spans="1:18" s="41" customFormat="1" ht="24.75" hidden="1" thickTop="1" x14ac:dyDescent="0.25">
      <c r="A35" s="115">
        <v>21370</v>
      </c>
      <c r="B35" s="99" t="s">
        <v>54</v>
      </c>
      <c r="C35" s="249">
        <f t="shared" si="1"/>
        <v>0</v>
      </c>
      <c r="D35" s="104" t="s">
        <v>47</v>
      </c>
      <c r="E35" s="108" t="s">
        <v>47</v>
      </c>
      <c r="F35" s="106" t="s">
        <v>47</v>
      </c>
      <c r="G35" s="104" t="s">
        <v>47</v>
      </c>
      <c r="H35" s="105" t="s">
        <v>47</v>
      </c>
      <c r="I35" s="106" t="s">
        <v>47</v>
      </c>
      <c r="J35" s="112">
        <f>SUM(J36)</f>
        <v>0</v>
      </c>
      <c r="K35" s="113">
        <f>SUM(K36)</f>
        <v>0</v>
      </c>
      <c r="L35" s="114">
        <f t="shared" si="2"/>
        <v>0</v>
      </c>
      <c r="M35" s="107" t="s">
        <v>47</v>
      </c>
      <c r="N35" s="108" t="s">
        <v>47</v>
      </c>
      <c r="O35" s="106" t="s">
        <v>47</v>
      </c>
      <c r="P35" s="109"/>
      <c r="R35" s="53"/>
    </row>
    <row r="36" spans="1:18" ht="36.75" hidden="1" thickTop="1" x14ac:dyDescent="0.25">
      <c r="A36" s="141">
        <v>21379</v>
      </c>
      <c r="B36" s="142" t="s">
        <v>55</v>
      </c>
      <c r="C36" s="362">
        <f t="shared" si="1"/>
        <v>0</v>
      </c>
      <c r="D36" s="144" t="s">
        <v>47</v>
      </c>
      <c r="E36" s="145" t="s">
        <v>47</v>
      </c>
      <c r="F36" s="148" t="s">
        <v>47</v>
      </c>
      <c r="G36" s="144" t="s">
        <v>47</v>
      </c>
      <c r="H36" s="147" t="s">
        <v>47</v>
      </c>
      <c r="I36" s="148" t="s">
        <v>47</v>
      </c>
      <c r="J36" s="149"/>
      <c r="K36" s="150"/>
      <c r="L36" s="151">
        <f t="shared" si="2"/>
        <v>0</v>
      </c>
      <c r="M36" s="152" t="s">
        <v>47</v>
      </c>
      <c r="N36" s="145" t="s">
        <v>47</v>
      </c>
      <c r="O36" s="148" t="s">
        <v>47</v>
      </c>
      <c r="P36" s="153"/>
      <c r="R36" s="53"/>
    </row>
    <row r="37" spans="1:18" s="41" customFormat="1" ht="12.75" hidden="1" thickTop="1" x14ac:dyDescent="0.25">
      <c r="A37" s="115">
        <v>21380</v>
      </c>
      <c r="B37" s="99" t="s">
        <v>56</v>
      </c>
      <c r="C37" s="249">
        <f t="shared" si="1"/>
        <v>0</v>
      </c>
      <c r="D37" s="104" t="s">
        <v>47</v>
      </c>
      <c r="E37" s="108" t="s">
        <v>47</v>
      </c>
      <c r="F37" s="106" t="s">
        <v>47</v>
      </c>
      <c r="G37" s="104" t="s">
        <v>47</v>
      </c>
      <c r="H37" s="105" t="s">
        <v>47</v>
      </c>
      <c r="I37" s="106" t="s">
        <v>47</v>
      </c>
      <c r="J37" s="112">
        <f>SUM(J38:J39)</f>
        <v>0</v>
      </c>
      <c r="K37" s="113">
        <f>SUM(K38:K39)</f>
        <v>0</v>
      </c>
      <c r="L37" s="114">
        <f t="shared" si="2"/>
        <v>0</v>
      </c>
      <c r="M37" s="107" t="s">
        <v>47</v>
      </c>
      <c r="N37" s="108" t="s">
        <v>47</v>
      </c>
      <c r="O37" s="106" t="s">
        <v>47</v>
      </c>
      <c r="P37" s="109"/>
      <c r="R37" s="53"/>
    </row>
    <row r="38" spans="1:18" ht="12.75" hidden="1" thickTop="1" x14ac:dyDescent="0.25">
      <c r="A38" s="66">
        <v>21381</v>
      </c>
      <c r="B38" s="116" t="s">
        <v>57</v>
      </c>
      <c r="C38" s="296">
        <f t="shared" si="1"/>
        <v>0</v>
      </c>
      <c r="D38" s="118" t="s">
        <v>47</v>
      </c>
      <c r="E38" s="119" t="s">
        <v>47</v>
      </c>
      <c r="F38" s="122" t="s">
        <v>47</v>
      </c>
      <c r="G38" s="118" t="s">
        <v>47</v>
      </c>
      <c r="H38" s="121" t="s">
        <v>47</v>
      </c>
      <c r="I38" s="122" t="s">
        <v>47</v>
      </c>
      <c r="J38" s="123"/>
      <c r="K38" s="124"/>
      <c r="L38" s="125">
        <f t="shared" si="2"/>
        <v>0</v>
      </c>
      <c r="M38" s="126" t="s">
        <v>47</v>
      </c>
      <c r="N38" s="119" t="s">
        <v>47</v>
      </c>
      <c r="O38" s="122" t="s">
        <v>47</v>
      </c>
      <c r="P38" s="74"/>
      <c r="R38" s="53"/>
    </row>
    <row r="39" spans="1:18" ht="24.75" hidden="1" thickTop="1" x14ac:dyDescent="0.25">
      <c r="A39" s="76">
        <v>21383</v>
      </c>
      <c r="B39" s="127" t="s">
        <v>58</v>
      </c>
      <c r="C39" s="279">
        <f t="shared" si="1"/>
        <v>0</v>
      </c>
      <c r="D39" s="129" t="s">
        <v>47</v>
      </c>
      <c r="E39" s="138" t="s">
        <v>47</v>
      </c>
      <c r="F39" s="133" t="s">
        <v>47</v>
      </c>
      <c r="G39" s="129" t="s">
        <v>47</v>
      </c>
      <c r="H39" s="132" t="s">
        <v>47</v>
      </c>
      <c r="I39" s="133" t="s">
        <v>47</v>
      </c>
      <c r="J39" s="134"/>
      <c r="K39" s="135"/>
      <c r="L39" s="136">
        <f t="shared" si="2"/>
        <v>0</v>
      </c>
      <c r="M39" s="137" t="s">
        <v>47</v>
      </c>
      <c r="N39" s="138" t="s">
        <v>47</v>
      </c>
      <c r="O39" s="133" t="s">
        <v>47</v>
      </c>
      <c r="P39" s="85"/>
      <c r="R39" s="53"/>
    </row>
    <row r="40" spans="1:18" s="41" customFormat="1" ht="24.75" hidden="1" thickTop="1" x14ac:dyDescent="0.25">
      <c r="A40" s="115">
        <v>21390</v>
      </c>
      <c r="B40" s="99" t="s">
        <v>59</v>
      </c>
      <c r="C40" s="249">
        <f t="shared" si="1"/>
        <v>0</v>
      </c>
      <c r="D40" s="104" t="s">
        <v>47</v>
      </c>
      <c r="E40" s="108" t="s">
        <v>47</v>
      </c>
      <c r="F40" s="106" t="s">
        <v>47</v>
      </c>
      <c r="G40" s="104" t="s">
        <v>47</v>
      </c>
      <c r="H40" s="105" t="s">
        <v>47</v>
      </c>
      <c r="I40" s="106" t="s">
        <v>47</v>
      </c>
      <c r="J40" s="112">
        <f>SUM(J41:J44)</f>
        <v>0</v>
      </c>
      <c r="K40" s="113">
        <f>SUM(K41:K44)</f>
        <v>0</v>
      </c>
      <c r="L40" s="114">
        <f t="shared" si="2"/>
        <v>0</v>
      </c>
      <c r="M40" s="107" t="s">
        <v>47</v>
      </c>
      <c r="N40" s="108" t="s">
        <v>47</v>
      </c>
      <c r="O40" s="106" t="s">
        <v>47</v>
      </c>
      <c r="P40" s="109"/>
      <c r="R40" s="53"/>
    </row>
    <row r="41" spans="1:18" ht="24.75" hidden="1" thickTop="1" x14ac:dyDescent="0.25">
      <c r="A41" s="66">
        <v>21391</v>
      </c>
      <c r="B41" s="116" t="s">
        <v>60</v>
      </c>
      <c r="C41" s="296">
        <f t="shared" si="1"/>
        <v>0</v>
      </c>
      <c r="D41" s="118" t="s">
        <v>47</v>
      </c>
      <c r="E41" s="119" t="s">
        <v>47</v>
      </c>
      <c r="F41" s="122" t="s">
        <v>47</v>
      </c>
      <c r="G41" s="118" t="s">
        <v>47</v>
      </c>
      <c r="H41" s="121" t="s">
        <v>47</v>
      </c>
      <c r="I41" s="122" t="s">
        <v>47</v>
      </c>
      <c r="J41" s="123"/>
      <c r="K41" s="124"/>
      <c r="L41" s="125">
        <f t="shared" si="2"/>
        <v>0</v>
      </c>
      <c r="M41" s="126" t="s">
        <v>47</v>
      </c>
      <c r="N41" s="119" t="s">
        <v>47</v>
      </c>
      <c r="O41" s="122" t="s">
        <v>47</v>
      </c>
      <c r="P41" s="74"/>
      <c r="R41" s="53"/>
    </row>
    <row r="42" spans="1:18" ht="12.75" hidden="1" thickTop="1" x14ac:dyDescent="0.25">
      <c r="A42" s="76">
        <v>21393</v>
      </c>
      <c r="B42" s="127" t="s">
        <v>61</v>
      </c>
      <c r="C42" s="279">
        <f t="shared" si="1"/>
        <v>0</v>
      </c>
      <c r="D42" s="129" t="s">
        <v>47</v>
      </c>
      <c r="E42" s="138" t="s">
        <v>47</v>
      </c>
      <c r="F42" s="133" t="s">
        <v>47</v>
      </c>
      <c r="G42" s="129" t="s">
        <v>47</v>
      </c>
      <c r="H42" s="132" t="s">
        <v>47</v>
      </c>
      <c r="I42" s="133" t="s">
        <v>47</v>
      </c>
      <c r="J42" s="134"/>
      <c r="K42" s="135"/>
      <c r="L42" s="136">
        <f t="shared" si="2"/>
        <v>0</v>
      </c>
      <c r="M42" s="137" t="s">
        <v>47</v>
      </c>
      <c r="N42" s="138" t="s">
        <v>47</v>
      </c>
      <c r="O42" s="133" t="s">
        <v>47</v>
      </c>
      <c r="P42" s="85"/>
      <c r="R42" s="53"/>
    </row>
    <row r="43" spans="1:18" ht="12.75" hidden="1" thickTop="1" x14ac:dyDescent="0.25">
      <c r="A43" s="76">
        <v>21395</v>
      </c>
      <c r="B43" s="127" t="s">
        <v>62</v>
      </c>
      <c r="C43" s="279">
        <f t="shared" si="1"/>
        <v>0</v>
      </c>
      <c r="D43" s="129" t="s">
        <v>47</v>
      </c>
      <c r="E43" s="138" t="s">
        <v>47</v>
      </c>
      <c r="F43" s="133" t="s">
        <v>47</v>
      </c>
      <c r="G43" s="129" t="s">
        <v>47</v>
      </c>
      <c r="H43" s="132" t="s">
        <v>47</v>
      </c>
      <c r="I43" s="133" t="s">
        <v>47</v>
      </c>
      <c r="J43" s="134"/>
      <c r="K43" s="135"/>
      <c r="L43" s="136">
        <f t="shared" si="2"/>
        <v>0</v>
      </c>
      <c r="M43" s="137" t="s">
        <v>47</v>
      </c>
      <c r="N43" s="138" t="s">
        <v>47</v>
      </c>
      <c r="O43" s="133" t="s">
        <v>47</v>
      </c>
      <c r="P43" s="85"/>
      <c r="R43" s="53"/>
    </row>
    <row r="44" spans="1:18" ht="12.75" hidden="1" thickTop="1" x14ac:dyDescent="0.25">
      <c r="A44" s="76">
        <v>21399</v>
      </c>
      <c r="B44" s="127" t="s">
        <v>63</v>
      </c>
      <c r="C44" s="279">
        <f t="shared" si="1"/>
        <v>0</v>
      </c>
      <c r="D44" s="129" t="s">
        <v>47</v>
      </c>
      <c r="E44" s="138" t="s">
        <v>47</v>
      </c>
      <c r="F44" s="133" t="s">
        <v>47</v>
      </c>
      <c r="G44" s="129" t="s">
        <v>47</v>
      </c>
      <c r="H44" s="132" t="s">
        <v>47</v>
      </c>
      <c r="I44" s="133" t="s">
        <v>47</v>
      </c>
      <c r="J44" s="134"/>
      <c r="K44" s="135"/>
      <c r="L44" s="136">
        <f t="shared" si="2"/>
        <v>0</v>
      </c>
      <c r="M44" s="137" t="s">
        <v>47</v>
      </c>
      <c r="N44" s="138" t="s">
        <v>47</v>
      </c>
      <c r="O44" s="133" t="s">
        <v>47</v>
      </c>
      <c r="P44" s="85"/>
      <c r="R44" s="53"/>
    </row>
    <row r="45" spans="1:18" s="41" customFormat="1" ht="24.75" hidden="1" thickTop="1" x14ac:dyDescent="0.25">
      <c r="A45" s="115">
        <v>21420</v>
      </c>
      <c r="B45" s="99" t="s">
        <v>64</v>
      </c>
      <c r="C45" s="634">
        <f>F45</f>
        <v>0</v>
      </c>
      <c r="D45" s="157"/>
      <c r="E45" s="158"/>
      <c r="F45" s="177">
        <f>D45+E45</f>
        <v>0</v>
      </c>
      <c r="G45" s="104" t="s">
        <v>47</v>
      </c>
      <c r="H45" s="105" t="s">
        <v>47</v>
      </c>
      <c r="I45" s="106" t="s">
        <v>47</v>
      </c>
      <c r="J45" s="104" t="s">
        <v>47</v>
      </c>
      <c r="K45" s="105" t="s">
        <v>47</v>
      </c>
      <c r="L45" s="106" t="s">
        <v>47</v>
      </c>
      <c r="M45" s="107" t="s">
        <v>47</v>
      </c>
      <c r="N45" s="108" t="s">
        <v>47</v>
      </c>
      <c r="O45" s="106" t="s">
        <v>47</v>
      </c>
      <c r="P45" s="109"/>
      <c r="R45" s="53"/>
    </row>
    <row r="46" spans="1:18" s="41" customFormat="1" ht="24.75" hidden="1" thickTop="1" x14ac:dyDescent="0.25">
      <c r="A46" s="159">
        <v>21490</v>
      </c>
      <c r="B46" s="160" t="s">
        <v>65</v>
      </c>
      <c r="C46" s="634">
        <f>F46+I46+L46</f>
        <v>0</v>
      </c>
      <c r="D46" s="161">
        <f>D47</f>
        <v>0</v>
      </c>
      <c r="E46" s="162">
        <f>E47</f>
        <v>0</v>
      </c>
      <c r="F46" s="165">
        <f>D46+E46</f>
        <v>0</v>
      </c>
      <c r="G46" s="161">
        <f>G47</f>
        <v>0</v>
      </c>
      <c r="H46" s="164">
        <f t="shared" ref="H46:K46" si="3">H47</f>
        <v>0</v>
      </c>
      <c r="I46" s="165">
        <f>G46+H46</f>
        <v>0</v>
      </c>
      <c r="J46" s="161">
        <f>J47</f>
        <v>0</v>
      </c>
      <c r="K46" s="164">
        <f t="shared" si="3"/>
        <v>0</v>
      </c>
      <c r="L46" s="165">
        <f>J46+K46</f>
        <v>0</v>
      </c>
      <c r="M46" s="107" t="s">
        <v>47</v>
      </c>
      <c r="N46" s="108" t="s">
        <v>47</v>
      </c>
      <c r="O46" s="106" t="s">
        <v>47</v>
      </c>
      <c r="P46" s="109"/>
      <c r="R46" s="53"/>
    </row>
    <row r="47" spans="1:18" s="41" customFormat="1" ht="24.75" hidden="1" thickTop="1" x14ac:dyDescent="0.25">
      <c r="A47" s="76">
        <v>21499</v>
      </c>
      <c r="B47" s="127" t="s">
        <v>66</v>
      </c>
      <c r="C47" s="638">
        <f>F47+I47+L47</f>
        <v>0</v>
      </c>
      <c r="D47" s="68"/>
      <c r="E47" s="69"/>
      <c r="F47" s="72">
        <f>D47+E47</f>
        <v>0</v>
      </c>
      <c r="G47" s="167"/>
      <c r="H47" s="71"/>
      <c r="I47" s="72">
        <f>G47+H47</f>
        <v>0</v>
      </c>
      <c r="J47" s="68"/>
      <c r="K47" s="71"/>
      <c r="L47" s="72">
        <f>J47+K47</f>
        <v>0</v>
      </c>
      <c r="M47" s="152" t="s">
        <v>47</v>
      </c>
      <c r="N47" s="145" t="s">
        <v>47</v>
      </c>
      <c r="O47" s="148" t="s">
        <v>47</v>
      </c>
      <c r="P47" s="153"/>
      <c r="R47" s="53"/>
    </row>
    <row r="48" spans="1:18" ht="12.75" hidden="1" thickTop="1" x14ac:dyDescent="0.25">
      <c r="A48" s="168">
        <v>23000</v>
      </c>
      <c r="B48" s="169" t="s">
        <v>67</v>
      </c>
      <c r="C48" s="634">
        <f>O48</f>
        <v>0</v>
      </c>
      <c r="D48" s="170" t="s">
        <v>47</v>
      </c>
      <c r="E48" s="171" t="s">
        <v>47</v>
      </c>
      <c r="F48" s="174" t="s">
        <v>47</v>
      </c>
      <c r="G48" s="170" t="s">
        <v>47</v>
      </c>
      <c r="H48" s="173" t="s">
        <v>47</v>
      </c>
      <c r="I48" s="174" t="s">
        <v>47</v>
      </c>
      <c r="J48" s="170" t="s">
        <v>47</v>
      </c>
      <c r="K48" s="173" t="s">
        <v>47</v>
      </c>
      <c r="L48" s="174" t="s">
        <v>47</v>
      </c>
      <c r="M48" s="175">
        <f>SUM(M49:M50)</f>
        <v>0</v>
      </c>
      <c r="N48" s="176">
        <f>SUM(N49:N50)</f>
        <v>0</v>
      </c>
      <c r="O48" s="177">
        <f>M48+N48</f>
        <v>0</v>
      </c>
      <c r="P48" s="109"/>
      <c r="R48" s="53"/>
    </row>
    <row r="49" spans="1:18" ht="24.75" hidden="1" thickTop="1" x14ac:dyDescent="0.25">
      <c r="A49" s="178">
        <v>23410</v>
      </c>
      <c r="B49" s="179" t="s">
        <v>68</v>
      </c>
      <c r="C49" s="194">
        <f>O49</f>
        <v>0</v>
      </c>
      <c r="D49" s="181" t="s">
        <v>47</v>
      </c>
      <c r="E49" s="182" t="s">
        <v>47</v>
      </c>
      <c r="F49" s="185" t="s">
        <v>47</v>
      </c>
      <c r="G49" s="181" t="s">
        <v>47</v>
      </c>
      <c r="H49" s="184" t="s">
        <v>47</v>
      </c>
      <c r="I49" s="185" t="s">
        <v>47</v>
      </c>
      <c r="J49" s="181" t="s">
        <v>47</v>
      </c>
      <c r="K49" s="184" t="s">
        <v>47</v>
      </c>
      <c r="L49" s="185" t="s">
        <v>47</v>
      </c>
      <c r="M49" s="186"/>
      <c r="N49" s="187"/>
      <c r="O49" s="188">
        <f>M49+N49</f>
        <v>0</v>
      </c>
      <c r="P49" s="189"/>
      <c r="R49" s="53"/>
    </row>
    <row r="50" spans="1:18" ht="24.75" hidden="1" thickTop="1" x14ac:dyDescent="0.25">
      <c r="A50" s="178">
        <v>23510</v>
      </c>
      <c r="B50" s="179" t="s">
        <v>69</v>
      </c>
      <c r="C50" s="194">
        <f>O50</f>
        <v>0</v>
      </c>
      <c r="D50" s="181" t="s">
        <v>47</v>
      </c>
      <c r="E50" s="182" t="s">
        <v>47</v>
      </c>
      <c r="F50" s="185" t="s">
        <v>47</v>
      </c>
      <c r="G50" s="181" t="s">
        <v>47</v>
      </c>
      <c r="H50" s="184" t="s">
        <v>47</v>
      </c>
      <c r="I50" s="185" t="s">
        <v>47</v>
      </c>
      <c r="J50" s="181" t="s">
        <v>47</v>
      </c>
      <c r="K50" s="184" t="s">
        <v>47</v>
      </c>
      <c r="L50" s="185" t="s">
        <v>47</v>
      </c>
      <c r="M50" s="186"/>
      <c r="N50" s="187"/>
      <c r="O50" s="188">
        <f>M50+N50</f>
        <v>0</v>
      </c>
      <c r="P50" s="189"/>
      <c r="R50" s="53"/>
    </row>
    <row r="51" spans="1:18" ht="12.75" thickTop="1" x14ac:dyDescent="0.25">
      <c r="A51" s="190"/>
      <c r="B51" s="179"/>
      <c r="C51" s="257"/>
      <c r="D51" s="192"/>
      <c r="E51" s="689"/>
      <c r="F51" s="188"/>
      <c r="G51" s="192"/>
      <c r="H51" s="195"/>
      <c r="I51" s="185"/>
      <c r="J51" s="196"/>
      <c r="K51" s="197"/>
      <c r="L51" s="188"/>
      <c r="M51" s="186"/>
      <c r="N51" s="187"/>
      <c r="O51" s="188"/>
      <c r="P51" s="189"/>
      <c r="R51" s="53"/>
    </row>
    <row r="52" spans="1:18" s="41" customFormat="1" x14ac:dyDescent="0.25">
      <c r="A52" s="198"/>
      <c r="B52" s="199" t="s">
        <v>70</v>
      </c>
      <c r="C52" s="640"/>
      <c r="D52" s="201"/>
      <c r="E52" s="207"/>
      <c r="F52" s="690"/>
      <c r="G52" s="201"/>
      <c r="H52" s="204"/>
      <c r="I52" s="205"/>
      <c r="J52" s="201"/>
      <c r="K52" s="204"/>
      <c r="L52" s="205"/>
      <c r="M52" s="206"/>
      <c r="N52" s="207"/>
      <c r="O52" s="205"/>
      <c r="P52" s="208"/>
      <c r="R52" s="53"/>
    </row>
    <row r="53" spans="1:18" s="41" customFormat="1" ht="12.75" thickBot="1" x14ac:dyDescent="0.3">
      <c r="A53" s="209"/>
      <c r="B53" s="42" t="s">
        <v>71</v>
      </c>
      <c r="C53" s="213">
        <f t="shared" ref="C53:C116" si="4">F53+I53+L53+O53</f>
        <v>1748750</v>
      </c>
      <c r="D53" s="211">
        <f>SUM(D54,D284)</f>
        <v>1748750</v>
      </c>
      <c r="E53" s="217">
        <f>SUM(E54,E284)</f>
        <v>0</v>
      </c>
      <c r="F53" s="215">
        <f t="shared" ref="F53:F117" si="5">D53+E53</f>
        <v>1748750</v>
      </c>
      <c r="G53" s="211">
        <f>SUM(G54,G284)</f>
        <v>0</v>
      </c>
      <c r="H53" s="214">
        <f>SUM(H54,H284)</f>
        <v>0</v>
      </c>
      <c r="I53" s="215">
        <f t="shared" ref="I53:I117" si="6">G53+H53</f>
        <v>0</v>
      </c>
      <c r="J53" s="211">
        <f>SUM(J54,J284)</f>
        <v>0</v>
      </c>
      <c r="K53" s="214">
        <f>SUM(K54,K284)</f>
        <v>0</v>
      </c>
      <c r="L53" s="215">
        <f t="shared" ref="L53:L117" si="7">J53+K53</f>
        <v>0</v>
      </c>
      <c r="M53" s="216">
        <f>SUM(M54,M284)</f>
        <v>0</v>
      </c>
      <c r="N53" s="217">
        <f>SUM(N54,N284)</f>
        <v>0</v>
      </c>
      <c r="O53" s="215">
        <f t="shared" ref="O53:O117" si="8">M53+N53</f>
        <v>0</v>
      </c>
      <c r="P53" s="52"/>
      <c r="R53" s="53"/>
    </row>
    <row r="54" spans="1:18" s="41" customFormat="1" ht="36.75" thickTop="1" x14ac:dyDescent="0.25">
      <c r="A54" s="218"/>
      <c r="B54" s="219" t="s">
        <v>72</v>
      </c>
      <c r="C54" s="223">
        <f t="shared" si="4"/>
        <v>1748750</v>
      </c>
      <c r="D54" s="221">
        <f>SUM(D55,D197)</f>
        <v>1748750</v>
      </c>
      <c r="E54" s="227">
        <f>SUM(E55,E197)</f>
        <v>0</v>
      </c>
      <c r="F54" s="225">
        <f t="shared" si="5"/>
        <v>1748750</v>
      </c>
      <c r="G54" s="221">
        <f>SUM(G55,G197)</f>
        <v>0</v>
      </c>
      <c r="H54" s="224">
        <f>SUM(H55,H197)</f>
        <v>0</v>
      </c>
      <c r="I54" s="225">
        <f t="shared" si="6"/>
        <v>0</v>
      </c>
      <c r="J54" s="221">
        <f>SUM(J55,J197)</f>
        <v>0</v>
      </c>
      <c r="K54" s="224">
        <f>SUM(K55,K197)</f>
        <v>0</v>
      </c>
      <c r="L54" s="225">
        <f t="shared" si="7"/>
        <v>0</v>
      </c>
      <c r="M54" s="226">
        <f>SUM(M55,M197)</f>
        <v>0</v>
      </c>
      <c r="N54" s="227">
        <f>SUM(N55,N197)</f>
        <v>0</v>
      </c>
      <c r="O54" s="225">
        <f t="shared" si="8"/>
        <v>0</v>
      </c>
      <c r="P54" s="228"/>
      <c r="R54" s="53"/>
    </row>
    <row r="55" spans="1:18" s="41" customFormat="1" ht="24" x14ac:dyDescent="0.25">
      <c r="A55" s="35"/>
      <c r="B55" s="30" t="s">
        <v>73</v>
      </c>
      <c r="C55" s="232">
        <f t="shared" si="4"/>
        <v>1680007</v>
      </c>
      <c r="D55" s="230">
        <f>SUM(D56,D78,D176,D190)</f>
        <v>1680007</v>
      </c>
      <c r="E55" s="235">
        <f>SUM(E56,E78,E176,E190)</f>
        <v>0</v>
      </c>
      <c r="F55" s="234">
        <f t="shared" si="5"/>
        <v>1680007</v>
      </c>
      <c r="G55" s="230">
        <f>SUM(G56,G78,G176,G190)</f>
        <v>0</v>
      </c>
      <c r="H55" s="233">
        <f>SUM(H56,H78,H176,H190)</f>
        <v>0</v>
      </c>
      <c r="I55" s="234">
        <f t="shared" si="6"/>
        <v>0</v>
      </c>
      <c r="J55" s="230">
        <f>SUM(J56,J78,J176,J190)</f>
        <v>0</v>
      </c>
      <c r="K55" s="233">
        <f>SUM(K56,K78,K176,K190)</f>
        <v>0</v>
      </c>
      <c r="L55" s="234">
        <f t="shared" si="7"/>
        <v>0</v>
      </c>
      <c r="M55" s="53">
        <f>SUM(M56,M78,M176,M190)</f>
        <v>0</v>
      </c>
      <c r="N55" s="235">
        <f>SUM(N56,N78,N176,N190)</f>
        <v>0</v>
      </c>
      <c r="O55" s="234">
        <f t="shared" si="8"/>
        <v>0</v>
      </c>
      <c r="P55" s="236"/>
      <c r="R55" s="53"/>
    </row>
    <row r="56" spans="1:18" s="41" customFormat="1" x14ac:dyDescent="0.25">
      <c r="A56" s="237">
        <v>1000</v>
      </c>
      <c r="B56" s="237" t="s">
        <v>74</v>
      </c>
      <c r="C56" s="241">
        <f t="shared" si="4"/>
        <v>3914</v>
      </c>
      <c r="D56" s="239">
        <f>SUM(D57,D70)</f>
        <v>5209</v>
      </c>
      <c r="E56" s="245">
        <f>SUM(E57,E70)</f>
        <v>-1295</v>
      </c>
      <c r="F56" s="243">
        <f t="shared" si="5"/>
        <v>3914</v>
      </c>
      <c r="G56" s="239">
        <f>SUM(G57,G70)</f>
        <v>0</v>
      </c>
      <c r="H56" s="242">
        <f>SUM(H57,H70)</f>
        <v>0</v>
      </c>
      <c r="I56" s="243">
        <f t="shared" si="6"/>
        <v>0</v>
      </c>
      <c r="J56" s="239">
        <f>SUM(J57,J70)</f>
        <v>0</v>
      </c>
      <c r="K56" s="242">
        <f>SUM(K57,K70)</f>
        <v>0</v>
      </c>
      <c r="L56" s="243">
        <f t="shared" si="7"/>
        <v>0</v>
      </c>
      <c r="M56" s="244">
        <f>SUM(M57,M70)</f>
        <v>0</v>
      </c>
      <c r="N56" s="245">
        <f>SUM(N57,N70)</f>
        <v>0</v>
      </c>
      <c r="O56" s="243">
        <f t="shared" si="8"/>
        <v>0</v>
      </c>
      <c r="P56" s="246"/>
      <c r="R56" s="53"/>
    </row>
    <row r="57" spans="1:18" x14ac:dyDescent="0.25">
      <c r="A57" s="99">
        <v>1100</v>
      </c>
      <c r="B57" s="247" t="s">
        <v>75</v>
      </c>
      <c r="C57" s="249">
        <f t="shared" si="4"/>
        <v>3914</v>
      </c>
      <c r="D57" s="112">
        <f>SUM(D58,D61,D69)</f>
        <v>5209</v>
      </c>
      <c r="E57" s="293">
        <f>SUM(E58,E61,E69)</f>
        <v>-1295</v>
      </c>
      <c r="F57" s="114">
        <f t="shared" si="5"/>
        <v>3914</v>
      </c>
      <c r="G57" s="112">
        <f>SUM(G58,G61,G69)</f>
        <v>0</v>
      </c>
      <c r="H57" s="113">
        <f>SUM(H58,H61,H69)</f>
        <v>0</v>
      </c>
      <c r="I57" s="114">
        <f t="shared" si="6"/>
        <v>0</v>
      </c>
      <c r="J57" s="112">
        <f>SUM(J58,J61,J69)</f>
        <v>0</v>
      </c>
      <c r="K57" s="113">
        <f>SUM(K58,K61,K69)</f>
        <v>0</v>
      </c>
      <c r="L57" s="114">
        <f t="shared" si="7"/>
        <v>0</v>
      </c>
      <c r="M57" s="250">
        <f>SUM(M58,M61,M69)</f>
        <v>0</v>
      </c>
      <c r="N57" s="251">
        <f>SUM(N58,N61,N69)</f>
        <v>0</v>
      </c>
      <c r="O57" s="252">
        <f t="shared" si="8"/>
        <v>0</v>
      </c>
      <c r="P57" s="253"/>
      <c r="R57" s="53"/>
    </row>
    <row r="58" spans="1:18" hidden="1" x14ac:dyDescent="0.25">
      <c r="A58" s="254">
        <v>1110</v>
      </c>
      <c r="B58" s="179" t="s">
        <v>76</v>
      </c>
      <c r="C58" s="257">
        <f t="shared" si="4"/>
        <v>0</v>
      </c>
      <c r="D58" s="255">
        <f>SUM(D59:D60)</f>
        <v>0</v>
      </c>
      <c r="E58" s="261">
        <f>SUM(E59:E60)</f>
        <v>0</v>
      </c>
      <c r="F58" s="259">
        <f t="shared" si="5"/>
        <v>0</v>
      </c>
      <c r="G58" s="255">
        <f>SUM(G59:G60)</f>
        <v>0</v>
      </c>
      <c r="H58" s="258">
        <f>SUM(H59:H60)</f>
        <v>0</v>
      </c>
      <c r="I58" s="259">
        <f t="shared" si="6"/>
        <v>0</v>
      </c>
      <c r="J58" s="255">
        <f>SUM(J59:J60)</f>
        <v>0</v>
      </c>
      <c r="K58" s="258">
        <f>SUM(K59:K60)</f>
        <v>0</v>
      </c>
      <c r="L58" s="259">
        <f t="shared" si="7"/>
        <v>0</v>
      </c>
      <c r="M58" s="260">
        <f>SUM(M59:M60)</f>
        <v>0</v>
      </c>
      <c r="N58" s="261">
        <f>SUM(N59:N60)</f>
        <v>0</v>
      </c>
      <c r="O58" s="259">
        <f t="shared" si="8"/>
        <v>0</v>
      </c>
      <c r="P58" s="189"/>
      <c r="R58" s="53"/>
    </row>
    <row r="59" spans="1:18" hidden="1" x14ac:dyDescent="0.25">
      <c r="A59" s="66">
        <v>1111</v>
      </c>
      <c r="B59" s="116" t="s">
        <v>77</v>
      </c>
      <c r="C59" s="296">
        <f t="shared" si="4"/>
        <v>0</v>
      </c>
      <c r="D59" s="123">
        <v>0</v>
      </c>
      <c r="E59" s="262"/>
      <c r="F59" s="125">
        <f t="shared" si="5"/>
        <v>0</v>
      </c>
      <c r="G59" s="123"/>
      <c r="H59" s="124"/>
      <c r="I59" s="125">
        <f t="shared" si="6"/>
        <v>0</v>
      </c>
      <c r="J59" s="123"/>
      <c r="K59" s="124"/>
      <c r="L59" s="125">
        <f t="shared" si="7"/>
        <v>0</v>
      </c>
      <c r="M59" s="264"/>
      <c r="N59" s="262"/>
      <c r="O59" s="125">
        <f t="shared" si="8"/>
        <v>0</v>
      </c>
      <c r="P59" s="74"/>
      <c r="R59" s="53"/>
    </row>
    <row r="60" spans="1:18" hidden="1" x14ac:dyDescent="0.25">
      <c r="A60" s="76">
        <v>1119</v>
      </c>
      <c r="B60" s="127" t="s">
        <v>78</v>
      </c>
      <c r="C60" s="279">
        <f t="shared" si="4"/>
        <v>0</v>
      </c>
      <c r="D60" s="134">
        <v>0</v>
      </c>
      <c r="E60" s="285"/>
      <c r="F60" s="136">
        <f t="shared" si="5"/>
        <v>0</v>
      </c>
      <c r="G60" s="134"/>
      <c r="H60" s="135"/>
      <c r="I60" s="136">
        <f t="shared" si="6"/>
        <v>0</v>
      </c>
      <c r="J60" s="134"/>
      <c r="K60" s="135"/>
      <c r="L60" s="136">
        <f t="shared" si="7"/>
        <v>0</v>
      </c>
      <c r="M60" s="284"/>
      <c r="N60" s="285"/>
      <c r="O60" s="136">
        <f t="shared" si="8"/>
        <v>0</v>
      </c>
      <c r="P60" s="85"/>
      <c r="R60" s="53"/>
    </row>
    <row r="61" spans="1:18" hidden="1" x14ac:dyDescent="0.25">
      <c r="A61" s="276">
        <v>1140</v>
      </c>
      <c r="B61" s="127" t="s">
        <v>79</v>
      </c>
      <c r="C61" s="279">
        <f t="shared" si="4"/>
        <v>0</v>
      </c>
      <c r="D61" s="277">
        <f>SUM(D62:D68)</f>
        <v>0</v>
      </c>
      <c r="E61" s="282">
        <f>SUM(E62:E68)</f>
        <v>0</v>
      </c>
      <c r="F61" s="136">
        <f>D61+E61</f>
        <v>0</v>
      </c>
      <c r="G61" s="277">
        <f>SUM(G62:G68)</f>
        <v>0</v>
      </c>
      <c r="H61" s="280">
        <f>SUM(H62:H68)</f>
        <v>0</v>
      </c>
      <c r="I61" s="136">
        <f t="shared" si="6"/>
        <v>0</v>
      </c>
      <c r="J61" s="277">
        <f>SUM(J62:J68)</f>
        <v>0</v>
      </c>
      <c r="K61" s="280">
        <f>SUM(K62:K68)</f>
        <v>0</v>
      </c>
      <c r="L61" s="136">
        <f t="shared" si="7"/>
        <v>0</v>
      </c>
      <c r="M61" s="281">
        <f>SUM(M62:M68)</f>
        <v>0</v>
      </c>
      <c r="N61" s="282">
        <f>SUM(N62:N68)</f>
        <v>0</v>
      </c>
      <c r="O61" s="136">
        <f t="shared" si="8"/>
        <v>0</v>
      </c>
      <c r="P61" s="85"/>
      <c r="R61" s="53"/>
    </row>
    <row r="62" spans="1:18" hidden="1" x14ac:dyDescent="0.25">
      <c r="A62" s="76">
        <v>1141</v>
      </c>
      <c r="B62" s="127" t="s">
        <v>80</v>
      </c>
      <c r="C62" s="279">
        <f t="shared" si="4"/>
        <v>0</v>
      </c>
      <c r="D62" s="134">
        <v>0</v>
      </c>
      <c r="E62" s="285"/>
      <c r="F62" s="136">
        <f t="shared" si="5"/>
        <v>0</v>
      </c>
      <c r="G62" s="134"/>
      <c r="H62" s="135"/>
      <c r="I62" s="136">
        <f t="shared" si="6"/>
        <v>0</v>
      </c>
      <c r="J62" s="134"/>
      <c r="K62" s="135"/>
      <c r="L62" s="136">
        <f t="shared" si="7"/>
        <v>0</v>
      </c>
      <c r="M62" s="284"/>
      <c r="N62" s="285"/>
      <c r="O62" s="136">
        <f t="shared" si="8"/>
        <v>0</v>
      </c>
      <c r="P62" s="85"/>
      <c r="R62" s="53"/>
    </row>
    <row r="63" spans="1:18" ht="24" hidden="1" x14ac:dyDescent="0.25">
      <c r="A63" s="76">
        <v>1142</v>
      </c>
      <c r="B63" s="127" t="s">
        <v>81</v>
      </c>
      <c r="C63" s="279">
        <f t="shared" si="4"/>
        <v>0</v>
      </c>
      <c r="D63" s="134">
        <v>0</v>
      </c>
      <c r="E63" s="285"/>
      <c r="F63" s="136">
        <f t="shared" si="5"/>
        <v>0</v>
      </c>
      <c r="G63" s="134"/>
      <c r="H63" s="135"/>
      <c r="I63" s="136">
        <f t="shared" si="6"/>
        <v>0</v>
      </c>
      <c r="J63" s="134"/>
      <c r="K63" s="135"/>
      <c r="L63" s="136">
        <f t="shared" si="7"/>
        <v>0</v>
      </c>
      <c r="M63" s="284"/>
      <c r="N63" s="285"/>
      <c r="O63" s="136">
        <f t="shared" si="8"/>
        <v>0</v>
      </c>
      <c r="P63" s="85"/>
      <c r="R63" s="53"/>
    </row>
    <row r="64" spans="1:18" ht="24" hidden="1" x14ac:dyDescent="0.25">
      <c r="A64" s="76">
        <v>1145</v>
      </c>
      <c r="B64" s="127" t="s">
        <v>82</v>
      </c>
      <c r="C64" s="279">
        <f t="shared" si="4"/>
        <v>0</v>
      </c>
      <c r="D64" s="134">
        <v>0</v>
      </c>
      <c r="E64" s="285"/>
      <c r="F64" s="136">
        <f t="shared" si="5"/>
        <v>0</v>
      </c>
      <c r="G64" s="134"/>
      <c r="H64" s="135"/>
      <c r="I64" s="136">
        <f t="shared" si="6"/>
        <v>0</v>
      </c>
      <c r="J64" s="134"/>
      <c r="K64" s="135"/>
      <c r="L64" s="136">
        <f t="shared" si="7"/>
        <v>0</v>
      </c>
      <c r="M64" s="284"/>
      <c r="N64" s="285"/>
      <c r="O64" s="136">
        <f t="shared" si="8"/>
        <v>0</v>
      </c>
      <c r="P64" s="85"/>
      <c r="R64" s="53"/>
    </row>
    <row r="65" spans="1:18" ht="24" hidden="1" x14ac:dyDescent="0.25">
      <c r="A65" s="76">
        <v>1146</v>
      </c>
      <c r="B65" s="127" t="s">
        <v>83</v>
      </c>
      <c r="C65" s="279">
        <f t="shared" si="4"/>
        <v>0</v>
      </c>
      <c r="D65" s="134">
        <v>0</v>
      </c>
      <c r="E65" s="285"/>
      <c r="F65" s="136">
        <f t="shared" si="5"/>
        <v>0</v>
      </c>
      <c r="G65" s="134"/>
      <c r="H65" s="135"/>
      <c r="I65" s="136">
        <f t="shared" si="6"/>
        <v>0</v>
      </c>
      <c r="J65" s="134"/>
      <c r="K65" s="135"/>
      <c r="L65" s="136">
        <f t="shared" si="7"/>
        <v>0</v>
      </c>
      <c r="M65" s="284"/>
      <c r="N65" s="285"/>
      <c r="O65" s="136">
        <f t="shared" si="8"/>
        <v>0</v>
      </c>
      <c r="P65" s="85"/>
      <c r="R65" s="53"/>
    </row>
    <row r="66" spans="1:18" hidden="1" x14ac:dyDescent="0.25">
      <c r="A66" s="76">
        <v>1147</v>
      </c>
      <c r="B66" s="127" t="s">
        <v>84</v>
      </c>
      <c r="C66" s="279">
        <f t="shared" si="4"/>
        <v>0</v>
      </c>
      <c r="D66" s="134">
        <v>0</v>
      </c>
      <c r="E66" s="285"/>
      <c r="F66" s="136">
        <f t="shared" si="5"/>
        <v>0</v>
      </c>
      <c r="G66" s="134"/>
      <c r="H66" s="135"/>
      <c r="I66" s="136">
        <f t="shared" si="6"/>
        <v>0</v>
      </c>
      <c r="J66" s="134"/>
      <c r="K66" s="135"/>
      <c r="L66" s="136">
        <f t="shared" si="7"/>
        <v>0</v>
      </c>
      <c r="M66" s="284"/>
      <c r="N66" s="285"/>
      <c r="O66" s="136">
        <f t="shared" si="8"/>
        <v>0</v>
      </c>
      <c r="P66" s="85"/>
      <c r="R66" s="53"/>
    </row>
    <row r="67" spans="1:18" hidden="1" x14ac:dyDescent="0.25">
      <c r="A67" s="76">
        <v>1148</v>
      </c>
      <c r="B67" s="127" t="s">
        <v>85</v>
      </c>
      <c r="C67" s="279">
        <f t="shared" si="4"/>
        <v>0</v>
      </c>
      <c r="D67" s="134">
        <v>0</v>
      </c>
      <c r="E67" s="285"/>
      <c r="F67" s="136">
        <f t="shared" si="5"/>
        <v>0</v>
      </c>
      <c r="G67" s="134"/>
      <c r="H67" s="135"/>
      <c r="I67" s="136">
        <f t="shared" si="6"/>
        <v>0</v>
      </c>
      <c r="J67" s="134"/>
      <c r="K67" s="135"/>
      <c r="L67" s="136">
        <f t="shared" si="7"/>
        <v>0</v>
      </c>
      <c r="M67" s="284"/>
      <c r="N67" s="285"/>
      <c r="O67" s="136">
        <f t="shared" si="8"/>
        <v>0</v>
      </c>
      <c r="P67" s="85"/>
      <c r="R67" s="53"/>
    </row>
    <row r="68" spans="1:18" ht="24" hidden="1" x14ac:dyDescent="0.25">
      <c r="A68" s="76">
        <v>1149</v>
      </c>
      <c r="B68" s="127" t="s">
        <v>86</v>
      </c>
      <c r="C68" s="279">
        <f t="shared" si="4"/>
        <v>0</v>
      </c>
      <c r="D68" s="134">
        <v>0</v>
      </c>
      <c r="E68" s="285"/>
      <c r="F68" s="136">
        <f t="shared" si="5"/>
        <v>0</v>
      </c>
      <c r="G68" s="134"/>
      <c r="H68" s="135"/>
      <c r="I68" s="136">
        <f t="shared" si="6"/>
        <v>0</v>
      </c>
      <c r="J68" s="134"/>
      <c r="K68" s="135"/>
      <c r="L68" s="136">
        <f t="shared" si="7"/>
        <v>0</v>
      </c>
      <c r="M68" s="284"/>
      <c r="N68" s="285"/>
      <c r="O68" s="136">
        <f t="shared" si="8"/>
        <v>0</v>
      </c>
      <c r="P68" s="85"/>
      <c r="R68" s="53"/>
    </row>
    <row r="69" spans="1:18" ht="36" x14ac:dyDescent="0.25">
      <c r="A69" s="254">
        <v>1150</v>
      </c>
      <c r="B69" s="179" t="s">
        <v>87</v>
      </c>
      <c r="C69" s="279">
        <f t="shared" si="4"/>
        <v>3914</v>
      </c>
      <c r="D69" s="287">
        <v>5209</v>
      </c>
      <c r="E69" s="291">
        <v>-1295</v>
      </c>
      <c r="F69" s="259">
        <f t="shared" si="5"/>
        <v>3914</v>
      </c>
      <c r="G69" s="287"/>
      <c r="H69" s="289"/>
      <c r="I69" s="259">
        <f t="shared" si="6"/>
        <v>0</v>
      </c>
      <c r="J69" s="287"/>
      <c r="K69" s="289"/>
      <c r="L69" s="259">
        <f t="shared" si="7"/>
        <v>0</v>
      </c>
      <c r="M69" s="290"/>
      <c r="N69" s="291"/>
      <c r="O69" s="259">
        <f t="shared" si="8"/>
        <v>0</v>
      </c>
      <c r="P69" s="189"/>
      <c r="R69" s="53"/>
    </row>
    <row r="70" spans="1:18" ht="36" hidden="1" x14ac:dyDescent="0.25">
      <c r="A70" s="99">
        <v>1200</v>
      </c>
      <c r="B70" s="247" t="s">
        <v>88</v>
      </c>
      <c r="C70" s="249">
        <f t="shared" si="4"/>
        <v>0</v>
      </c>
      <c r="D70" s="112">
        <f>SUM(D71:D72)</f>
        <v>0</v>
      </c>
      <c r="E70" s="293">
        <f>SUM(E71:E72)</f>
        <v>0</v>
      </c>
      <c r="F70" s="114">
        <f>D70+E70</f>
        <v>0</v>
      </c>
      <c r="G70" s="112">
        <f>SUM(G71:G72)</f>
        <v>0</v>
      </c>
      <c r="H70" s="113">
        <f>SUM(H71:H72)</f>
        <v>0</v>
      </c>
      <c r="I70" s="114">
        <f t="shared" si="6"/>
        <v>0</v>
      </c>
      <c r="J70" s="112">
        <f>SUM(J71:J72)</f>
        <v>0</v>
      </c>
      <c r="K70" s="113">
        <f>SUM(K71:K72)</f>
        <v>0</v>
      </c>
      <c r="L70" s="114">
        <f t="shared" si="7"/>
        <v>0</v>
      </c>
      <c r="M70" s="292">
        <f>SUM(M71:M72)</f>
        <v>0</v>
      </c>
      <c r="N70" s="293">
        <f>SUM(N71:N72)</f>
        <v>0</v>
      </c>
      <c r="O70" s="114">
        <f t="shared" si="8"/>
        <v>0</v>
      </c>
      <c r="P70" s="109"/>
      <c r="R70" s="53"/>
    </row>
    <row r="71" spans="1:18" ht="24" hidden="1" x14ac:dyDescent="0.25">
      <c r="A71" s="656">
        <v>1210</v>
      </c>
      <c r="B71" s="116" t="s">
        <v>89</v>
      </c>
      <c r="C71" s="296">
        <f t="shared" si="4"/>
        <v>0</v>
      </c>
      <c r="D71" s="123">
        <v>0</v>
      </c>
      <c r="E71" s="262"/>
      <c r="F71" s="125">
        <f t="shared" si="5"/>
        <v>0</v>
      </c>
      <c r="G71" s="123"/>
      <c r="H71" s="124"/>
      <c r="I71" s="125">
        <f t="shared" si="6"/>
        <v>0</v>
      </c>
      <c r="J71" s="123"/>
      <c r="K71" s="124"/>
      <c r="L71" s="125">
        <f t="shared" si="7"/>
        <v>0</v>
      </c>
      <c r="M71" s="264"/>
      <c r="N71" s="262"/>
      <c r="O71" s="125">
        <f t="shared" si="8"/>
        <v>0</v>
      </c>
      <c r="P71" s="74"/>
      <c r="R71" s="53"/>
    </row>
    <row r="72" spans="1:18" ht="24" hidden="1" x14ac:dyDescent="0.25">
      <c r="A72" s="276">
        <v>1220</v>
      </c>
      <c r="B72" s="127" t="s">
        <v>90</v>
      </c>
      <c r="C72" s="279">
        <f t="shared" si="4"/>
        <v>0</v>
      </c>
      <c r="D72" s="277">
        <f>SUM(D73:D77)</f>
        <v>0</v>
      </c>
      <c r="E72" s="282">
        <f>SUM(E73:E77)</f>
        <v>0</v>
      </c>
      <c r="F72" s="136">
        <f t="shared" si="5"/>
        <v>0</v>
      </c>
      <c r="G72" s="277">
        <f>SUM(G73:G77)</f>
        <v>0</v>
      </c>
      <c r="H72" s="280">
        <f>SUM(H73:H77)</f>
        <v>0</v>
      </c>
      <c r="I72" s="136">
        <f t="shared" si="6"/>
        <v>0</v>
      </c>
      <c r="J72" s="277">
        <f>SUM(J73:J77)</f>
        <v>0</v>
      </c>
      <c r="K72" s="280">
        <f>SUM(K73:K77)</f>
        <v>0</v>
      </c>
      <c r="L72" s="136">
        <f t="shared" si="7"/>
        <v>0</v>
      </c>
      <c r="M72" s="281">
        <f>SUM(M73:M77)</f>
        <v>0</v>
      </c>
      <c r="N72" s="282">
        <f>SUM(N73:N77)</f>
        <v>0</v>
      </c>
      <c r="O72" s="136">
        <f t="shared" si="8"/>
        <v>0</v>
      </c>
      <c r="P72" s="85"/>
      <c r="R72" s="53"/>
    </row>
    <row r="73" spans="1:18" ht="48" hidden="1" x14ac:dyDescent="0.25">
      <c r="A73" s="76">
        <v>1221</v>
      </c>
      <c r="B73" s="127" t="s">
        <v>91</v>
      </c>
      <c r="C73" s="279">
        <f t="shared" si="4"/>
        <v>0</v>
      </c>
      <c r="D73" s="134">
        <v>0</v>
      </c>
      <c r="E73" s="285"/>
      <c r="F73" s="136">
        <f t="shared" si="5"/>
        <v>0</v>
      </c>
      <c r="G73" s="134"/>
      <c r="H73" s="135"/>
      <c r="I73" s="136">
        <f t="shared" si="6"/>
        <v>0</v>
      </c>
      <c r="J73" s="134"/>
      <c r="K73" s="135"/>
      <c r="L73" s="136">
        <f t="shared" si="7"/>
        <v>0</v>
      </c>
      <c r="M73" s="284"/>
      <c r="N73" s="285"/>
      <c r="O73" s="136">
        <f t="shared" si="8"/>
        <v>0</v>
      </c>
      <c r="P73" s="85"/>
      <c r="R73" s="53"/>
    </row>
    <row r="74" spans="1:18" hidden="1" x14ac:dyDescent="0.25">
      <c r="A74" s="76">
        <v>1223</v>
      </c>
      <c r="B74" s="127" t="s">
        <v>92</v>
      </c>
      <c r="C74" s="279">
        <f t="shared" si="4"/>
        <v>0</v>
      </c>
      <c r="D74" s="134">
        <v>0</v>
      </c>
      <c r="E74" s="285"/>
      <c r="F74" s="136">
        <f t="shared" si="5"/>
        <v>0</v>
      </c>
      <c r="G74" s="134"/>
      <c r="H74" s="135"/>
      <c r="I74" s="136">
        <f t="shared" si="6"/>
        <v>0</v>
      </c>
      <c r="J74" s="134"/>
      <c r="K74" s="135"/>
      <c r="L74" s="136">
        <f t="shared" si="7"/>
        <v>0</v>
      </c>
      <c r="M74" s="284"/>
      <c r="N74" s="285"/>
      <c r="O74" s="136">
        <f t="shared" si="8"/>
        <v>0</v>
      </c>
      <c r="P74" s="85"/>
      <c r="R74" s="53"/>
    </row>
    <row r="75" spans="1:18" hidden="1" x14ac:dyDescent="0.25">
      <c r="A75" s="76">
        <v>1225</v>
      </c>
      <c r="B75" s="127" t="s">
        <v>93</v>
      </c>
      <c r="C75" s="279">
        <f t="shared" si="4"/>
        <v>0</v>
      </c>
      <c r="D75" s="134">
        <v>0</v>
      </c>
      <c r="E75" s="285"/>
      <c r="F75" s="136">
        <f t="shared" si="5"/>
        <v>0</v>
      </c>
      <c r="G75" s="134"/>
      <c r="H75" s="135"/>
      <c r="I75" s="136">
        <f t="shared" si="6"/>
        <v>0</v>
      </c>
      <c r="J75" s="134"/>
      <c r="K75" s="135"/>
      <c r="L75" s="136">
        <f t="shared" si="7"/>
        <v>0</v>
      </c>
      <c r="M75" s="284"/>
      <c r="N75" s="285"/>
      <c r="O75" s="136">
        <f t="shared" si="8"/>
        <v>0</v>
      </c>
      <c r="P75" s="85"/>
      <c r="R75" s="53"/>
    </row>
    <row r="76" spans="1:18" ht="24" hidden="1" x14ac:dyDescent="0.25">
      <c r="A76" s="76">
        <v>1227</v>
      </c>
      <c r="B76" s="127" t="s">
        <v>94</v>
      </c>
      <c r="C76" s="279">
        <f t="shared" si="4"/>
        <v>0</v>
      </c>
      <c r="D76" s="134">
        <v>0</v>
      </c>
      <c r="E76" s="285"/>
      <c r="F76" s="136">
        <f t="shared" si="5"/>
        <v>0</v>
      </c>
      <c r="G76" s="134"/>
      <c r="H76" s="135"/>
      <c r="I76" s="136">
        <f t="shared" si="6"/>
        <v>0</v>
      </c>
      <c r="J76" s="134"/>
      <c r="K76" s="135"/>
      <c r="L76" s="136">
        <f t="shared" si="7"/>
        <v>0</v>
      </c>
      <c r="M76" s="284"/>
      <c r="N76" s="285"/>
      <c r="O76" s="136">
        <f t="shared" si="8"/>
        <v>0</v>
      </c>
      <c r="P76" s="85"/>
      <c r="R76" s="53"/>
    </row>
    <row r="77" spans="1:18" ht="48" hidden="1" x14ac:dyDescent="0.25">
      <c r="A77" s="76">
        <v>1228</v>
      </c>
      <c r="B77" s="127" t="s">
        <v>95</v>
      </c>
      <c r="C77" s="279">
        <f t="shared" si="4"/>
        <v>0</v>
      </c>
      <c r="D77" s="134">
        <v>0</v>
      </c>
      <c r="E77" s="285"/>
      <c r="F77" s="136">
        <f t="shared" si="5"/>
        <v>0</v>
      </c>
      <c r="G77" s="134"/>
      <c r="H77" s="135"/>
      <c r="I77" s="136">
        <f t="shared" si="6"/>
        <v>0</v>
      </c>
      <c r="J77" s="134"/>
      <c r="K77" s="135"/>
      <c r="L77" s="136">
        <f t="shared" si="7"/>
        <v>0</v>
      </c>
      <c r="M77" s="284"/>
      <c r="N77" s="285"/>
      <c r="O77" s="136">
        <f t="shared" si="8"/>
        <v>0</v>
      </c>
      <c r="P77" s="85"/>
      <c r="R77" s="53"/>
    </row>
    <row r="78" spans="1:18" x14ac:dyDescent="0.25">
      <c r="A78" s="237">
        <v>2000</v>
      </c>
      <c r="B78" s="237" t="s">
        <v>96</v>
      </c>
      <c r="C78" s="241">
        <f t="shared" si="4"/>
        <v>1676093</v>
      </c>
      <c r="D78" s="239">
        <f>SUM(D79,D86,D133,D167,D168,D175)</f>
        <v>1674798</v>
      </c>
      <c r="E78" s="245">
        <f>SUM(E79,E86,E133,E167,E168,E175)</f>
        <v>1295</v>
      </c>
      <c r="F78" s="243">
        <f t="shared" si="5"/>
        <v>1676093</v>
      </c>
      <c r="G78" s="239">
        <f>SUM(G79,G86,G133,G167,G168,G175)</f>
        <v>0</v>
      </c>
      <c r="H78" s="242">
        <f>SUM(H79,H86,H133,H167,H168,H175)</f>
        <v>0</v>
      </c>
      <c r="I78" s="243">
        <f t="shared" si="6"/>
        <v>0</v>
      </c>
      <c r="J78" s="239">
        <f>SUM(J79,J86,J133,J167,J168,J175)</f>
        <v>0</v>
      </c>
      <c r="K78" s="242">
        <f>SUM(K79,K86,K133,K167,K168,K175)</f>
        <v>0</v>
      </c>
      <c r="L78" s="243">
        <f t="shared" si="7"/>
        <v>0</v>
      </c>
      <c r="M78" s="244">
        <f>SUM(M79,M86,M133,M167,M168,M175)</f>
        <v>0</v>
      </c>
      <c r="N78" s="245">
        <f>SUM(N79,N86,N133,N167,N168,N175)</f>
        <v>0</v>
      </c>
      <c r="O78" s="243">
        <f t="shared" si="8"/>
        <v>0</v>
      </c>
      <c r="P78" s="246"/>
      <c r="R78" s="53"/>
    </row>
    <row r="79" spans="1:18" ht="24" hidden="1" x14ac:dyDescent="0.25">
      <c r="A79" s="99">
        <v>2100</v>
      </c>
      <c r="B79" s="247" t="s">
        <v>97</v>
      </c>
      <c r="C79" s="249">
        <f t="shared" si="4"/>
        <v>0</v>
      </c>
      <c r="D79" s="112">
        <f>SUM(D80,D83)</f>
        <v>0</v>
      </c>
      <c r="E79" s="293">
        <f>SUM(E80,E83)</f>
        <v>0</v>
      </c>
      <c r="F79" s="114">
        <f t="shared" si="5"/>
        <v>0</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c r="R79" s="53"/>
    </row>
    <row r="80" spans="1:18" ht="24" hidden="1" x14ac:dyDescent="0.25">
      <c r="A80" s="656">
        <v>2110</v>
      </c>
      <c r="B80" s="116" t="s">
        <v>98</v>
      </c>
      <c r="C80" s="296">
        <f t="shared" si="4"/>
        <v>0</v>
      </c>
      <c r="D80" s="297">
        <f>SUM(D81:D82)</f>
        <v>0</v>
      </c>
      <c r="E80" s="301">
        <f>SUM(E81:E82)</f>
        <v>0</v>
      </c>
      <c r="F80" s="125">
        <f t="shared" si="5"/>
        <v>0</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c r="R80" s="53"/>
    </row>
    <row r="81" spans="1:18" hidden="1" x14ac:dyDescent="0.25">
      <c r="A81" s="76">
        <v>2111</v>
      </c>
      <c r="B81" s="127" t="s">
        <v>99</v>
      </c>
      <c r="C81" s="279">
        <f t="shared" si="4"/>
        <v>0</v>
      </c>
      <c r="D81" s="134">
        <v>0</v>
      </c>
      <c r="E81" s="285"/>
      <c r="F81" s="136">
        <f t="shared" si="5"/>
        <v>0</v>
      </c>
      <c r="G81" s="134"/>
      <c r="H81" s="135"/>
      <c r="I81" s="136">
        <f t="shared" si="6"/>
        <v>0</v>
      </c>
      <c r="J81" s="134"/>
      <c r="K81" s="135"/>
      <c r="L81" s="136">
        <f t="shared" si="7"/>
        <v>0</v>
      </c>
      <c r="M81" s="284"/>
      <c r="N81" s="285"/>
      <c r="O81" s="136">
        <f t="shared" si="8"/>
        <v>0</v>
      </c>
      <c r="P81" s="85"/>
      <c r="R81" s="53"/>
    </row>
    <row r="82" spans="1:18" ht="24" hidden="1" x14ac:dyDescent="0.25">
      <c r="A82" s="76">
        <v>2112</v>
      </c>
      <c r="B82" s="127" t="s">
        <v>100</v>
      </c>
      <c r="C82" s="279">
        <f t="shared" si="4"/>
        <v>0</v>
      </c>
      <c r="D82" s="134">
        <v>0</v>
      </c>
      <c r="E82" s="285"/>
      <c r="F82" s="136">
        <f t="shared" si="5"/>
        <v>0</v>
      </c>
      <c r="G82" s="134"/>
      <c r="H82" s="135"/>
      <c r="I82" s="136">
        <f t="shared" si="6"/>
        <v>0</v>
      </c>
      <c r="J82" s="134"/>
      <c r="K82" s="135"/>
      <c r="L82" s="136">
        <f t="shared" si="7"/>
        <v>0</v>
      </c>
      <c r="M82" s="284"/>
      <c r="N82" s="285"/>
      <c r="O82" s="136">
        <f t="shared" si="8"/>
        <v>0</v>
      </c>
      <c r="P82" s="85"/>
      <c r="R82" s="53"/>
    </row>
    <row r="83" spans="1:18" ht="24" hidden="1" x14ac:dyDescent="0.25">
      <c r="A83" s="276">
        <v>2120</v>
      </c>
      <c r="B83" s="127" t="s">
        <v>101</v>
      </c>
      <c r="C83" s="279">
        <f t="shared" si="4"/>
        <v>0</v>
      </c>
      <c r="D83" s="277">
        <f>SUM(D84:D85)</f>
        <v>0</v>
      </c>
      <c r="E83" s="282">
        <f>SUM(E84:E85)</f>
        <v>0</v>
      </c>
      <c r="F83" s="13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c r="R83" s="53"/>
    </row>
    <row r="84" spans="1:18" hidden="1" x14ac:dyDescent="0.25">
      <c r="A84" s="76">
        <v>2121</v>
      </c>
      <c r="B84" s="127" t="s">
        <v>99</v>
      </c>
      <c r="C84" s="279">
        <f t="shared" si="4"/>
        <v>0</v>
      </c>
      <c r="D84" s="134">
        <v>0</v>
      </c>
      <c r="E84" s="285"/>
      <c r="F84" s="136">
        <f t="shared" si="5"/>
        <v>0</v>
      </c>
      <c r="G84" s="134"/>
      <c r="H84" s="135"/>
      <c r="I84" s="136">
        <f t="shared" si="6"/>
        <v>0</v>
      </c>
      <c r="J84" s="134"/>
      <c r="K84" s="135"/>
      <c r="L84" s="136">
        <f t="shared" si="7"/>
        <v>0</v>
      </c>
      <c r="M84" s="284"/>
      <c r="N84" s="285"/>
      <c r="O84" s="136">
        <f t="shared" si="8"/>
        <v>0</v>
      </c>
      <c r="P84" s="85"/>
      <c r="R84" s="53"/>
    </row>
    <row r="85" spans="1:18" ht="24" hidden="1" x14ac:dyDescent="0.25">
      <c r="A85" s="76">
        <v>2122</v>
      </c>
      <c r="B85" s="127" t="s">
        <v>100</v>
      </c>
      <c r="C85" s="279">
        <f t="shared" si="4"/>
        <v>0</v>
      </c>
      <c r="D85" s="134">
        <v>0</v>
      </c>
      <c r="E85" s="285"/>
      <c r="F85" s="136">
        <f t="shared" si="5"/>
        <v>0</v>
      </c>
      <c r="G85" s="134"/>
      <c r="H85" s="135"/>
      <c r="I85" s="136">
        <f t="shared" si="6"/>
        <v>0</v>
      </c>
      <c r="J85" s="134"/>
      <c r="K85" s="135"/>
      <c r="L85" s="136">
        <f t="shared" si="7"/>
        <v>0</v>
      </c>
      <c r="M85" s="284"/>
      <c r="N85" s="285"/>
      <c r="O85" s="136">
        <f t="shared" si="8"/>
        <v>0</v>
      </c>
      <c r="P85" s="85"/>
      <c r="R85" s="53"/>
    </row>
    <row r="86" spans="1:18" x14ac:dyDescent="0.25">
      <c r="A86" s="99">
        <v>2200</v>
      </c>
      <c r="B86" s="247" t="s">
        <v>102</v>
      </c>
      <c r="C86" s="302">
        <f t="shared" si="4"/>
        <v>1639493</v>
      </c>
      <c r="D86" s="112">
        <f>SUM(D87,D92,D98,D106,D115,D119,D125,D131)</f>
        <v>1638198</v>
      </c>
      <c r="E86" s="293">
        <f>SUM(E87,E92,E98,E106,E115,E119,E125,E131)</f>
        <v>1295</v>
      </c>
      <c r="F86" s="114">
        <f t="shared" si="5"/>
        <v>1639493</v>
      </c>
      <c r="G86" s="112">
        <f>SUM(G87,G92,G98,G106,G115,G119,G125,G131)</f>
        <v>0</v>
      </c>
      <c r="H86" s="113">
        <f>SUM(H87,H92,H98,H106,H115,H119,H125,H131)</f>
        <v>0</v>
      </c>
      <c r="I86" s="114">
        <f t="shared" si="6"/>
        <v>0</v>
      </c>
      <c r="J86" s="112">
        <f>SUM(J87,J92,J98,J106,J115,J119,J125,J131)</f>
        <v>0</v>
      </c>
      <c r="K86" s="113">
        <f>SUM(K87,K92,K98,K106,K115,K119,K125,K131)</f>
        <v>0</v>
      </c>
      <c r="L86" s="114">
        <f t="shared" si="7"/>
        <v>0</v>
      </c>
      <c r="M86" s="303">
        <f>SUM(M87,M92,M98,M106,M115,M119,M125,M131)</f>
        <v>0</v>
      </c>
      <c r="N86" s="304">
        <f>SUM(N87,N92,N98,N106,N115,N119,N125,N131)</f>
        <v>0</v>
      </c>
      <c r="O86" s="305">
        <f t="shared" si="8"/>
        <v>0</v>
      </c>
      <c r="P86" s="306"/>
      <c r="R86" s="53"/>
    </row>
    <row r="87" spans="1:18" hidden="1" x14ac:dyDescent="0.25">
      <c r="A87" s="254">
        <v>2210</v>
      </c>
      <c r="B87" s="179" t="s">
        <v>103</v>
      </c>
      <c r="C87" s="257">
        <f t="shared" si="4"/>
        <v>0</v>
      </c>
      <c r="D87" s="255">
        <f>SUM(D88:D91)</f>
        <v>0</v>
      </c>
      <c r="E87" s="261">
        <f>SUM(E88:E91)</f>
        <v>0</v>
      </c>
      <c r="F87" s="259">
        <f t="shared" si="5"/>
        <v>0</v>
      </c>
      <c r="G87" s="255">
        <f>SUM(G88:G91)</f>
        <v>0</v>
      </c>
      <c r="H87" s="258">
        <f>SUM(H88:H91)</f>
        <v>0</v>
      </c>
      <c r="I87" s="259">
        <f t="shared" si="6"/>
        <v>0</v>
      </c>
      <c r="J87" s="255">
        <f>SUM(J88:J91)</f>
        <v>0</v>
      </c>
      <c r="K87" s="258">
        <f>SUM(K88:K91)</f>
        <v>0</v>
      </c>
      <c r="L87" s="259">
        <f t="shared" si="7"/>
        <v>0</v>
      </c>
      <c r="M87" s="260">
        <f>SUM(M88:M91)</f>
        <v>0</v>
      </c>
      <c r="N87" s="261">
        <f>SUM(N88:N91)</f>
        <v>0</v>
      </c>
      <c r="O87" s="259">
        <f t="shared" si="8"/>
        <v>0</v>
      </c>
      <c r="P87" s="189"/>
      <c r="R87" s="53"/>
    </row>
    <row r="88" spans="1:18" ht="24" hidden="1" x14ac:dyDescent="0.25">
      <c r="A88" s="66">
        <v>2211</v>
      </c>
      <c r="B88" s="116" t="s">
        <v>104</v>
      </c>
      <c r="C88" s="279">
        <f t="shared" si="4"/>
        <v>0</v>
      </c>
      <c r="D88" s="123">
        <v>0</v>
      </c>
      <c r="E88" s="262"/>
      <c r="F88" s="125">
        <f t="shared" si="5"/>
        <v>0</v>
      </c>
      <c r="G88" s="123"/>
      <c r="H88" s="124"/>
      <c r="I88" s="125">
        <f t="shared" si="6"/>
        <v>0</v>
      </c>
      <c r="J88" s="123"/>
      <c r="K88" s="124"/>
      <c r="L88" s="125">
        <f t="shared" si="7"/>
        <v>0</v>
      </c>
      <c r="M88" s="264"/>
      <c r="N88" s="262"/>
      <c r="O88" s="125">
        <f t="shared" si="8"/>
        <v>0</v>
      </c>
      <c r="P88" s="74"/>
      <c r="R88" s="53"/>
    </row>
    <row r="89" spans="1:18" ht="36" hidden="1" x14ac:dyDescent="0.25">
      <c r="A89" s="76">
        <v>2212</v>
      </c>
      <c r="B89" s="127" t="s">
        <v>105</v>
      </c>
      <c r="C89" s="279">
        <f t="shared" si="4"/>
        <v>0</v>
      </c>
      <c r="D89" s="134">
        <v>0</v>
      </c>
      <c r="E89" s="285"/>
      <c r="F89" s="136">
        <f t="shared" si="5"/>
        <v>0</v>
      </c>
      <c r="G89" s="134"/>
      <c r="H89" s="135"/>
      <c r="I89" s="136">
        <f t="shared" si="6"/>
        <v>0</v>
      </c>
      <c r="J89" s="134"/>
      <c r="K89" s="135"/>
      <c r="L89" s="136">
        <f t="shared" si="7"/>
        <v>0</v>
      </c>
      <c r="M89" s="284"/>
      <c r="N89" s="285"/>
      <c r="O89" s="136">
        <f t="shared" si="8"/>
        <v>0</v>
      </c>
      <c r="P89" s="85"/>
      <c r="R89" s="53"/>
    </row>
    <row r="90" spans="1:18" ht="24" hidden="1" x14ac:dyDescent="0.25">
      <c r="A90" s="76">
        <v>2214</v>
      </c>
      <c r="B90" s="127" t="s">
        <v>106</v>
      </c>
      <c r="C90" s="279">
        <f t="shared" si="4"/>
        <v>0</v>
      </c>
      <c r="D90" s="134">
        <v>0</v>
      </c>
      <c r="E90" s="285"/>
      <c r="F90" s="136">
        <f t="shared" si="5"/>
        <v>0</v>
      </c>
      <c r="G90" s="134"/>
      <c r="H90" s="135"/>
      <c r="I90" s="136">
        <f t="shared" si="6"/>
        <v>0</v>
      </c>
      <c r="J90" s="134"/>
      <c r="K90" s="135"/>
      <c r="L90" s="136">
        <f t="shared" si="7"/>
        <v>0</v>
      </c>
      <c r="M90" s="284"/>
      <c r="N90" s="285"/>
      <c r="O90" s="136">
        <f t="shared" si="8"/>
        <v>0</v>
      </c>
      <c r="P90" s="85"/>
      <c r="R90" s="53"/>
    </row>
    <row r="91" spans="1:18" hidden="1" x14ac:dyDescent="0.25">
      <c r="A91" s="76">
        <v>2219</v>
      </c>
      <c r="B91" s="127" t="s">
        <v>107</v>
      </c>
      <c r="C91" s="279">
        <f t="shared" si="4"/>
        <v>0</v>
      </c>
      <c r="D91" s="134">
        <v>0</v>
      </c>
      <c r="E91" s="285"/>
      <c r="F91" s="136">
        <f t="shared" si="5"/>
        <v>0</v>
      </c>
      <c r="G91" s="134"/>
      <c r="H91" s="135"/>
      <c r="I91" s="136">
        <f t="shared" si="6"/>
        <v>0</v>
      </c>
      <c r="J91" s="134"/>
      <c r="K91" s="135"/>
      <c r="L91" s="136">
        <f t="shared" si="7"/>
        <v>0</v>
      </c>
      <c r="M91" s="284"/>
      <c r="N91" s="285"/>
      <c r="O91" s="136">
        <f t="shared" si="8"/>
        <v>0</v>
      </c>
      <c r="P91" s="85"/>
      <c r="R91" s="53"/>
    </row>
    <row r="92" spans="1:18" ht="24" x14ac:dyDescent="0.25">
      <c r="A92" s="276">
        <v>2220</v>
      </c>
      <c r="B92" s="127" t="s">
        <v>108</v>
      </c>
      <c r="C92" s="279">
        <f t="shared" si="4"/>
        <v>40</v>
      </c>
      <c r="D92" s="277">
        <f>SUM(D93:D97)</f>
        <v>40</v>
      </c>
      <c r="E92" s="282">
        <f>SUM(E93:E97)</f>
        <v>0</v>
      </c>
      <c r="F92" s="136">
        <f t="shared" si="5"/>
        <v>40</v>
      </c>
      <c r="G92" s="277">
        <f>SUM(G93:G97)</f>
        <v>0</v>
      </c>
      <c r="H92" s="280">
        <f>SUM(H93:H97)</f>
        <v>0</v>
      </c>
      <c r="I92" s="136">
        <f t="shared" si="6"/>
        <v>0</v>
      </c>
      <c r="J92" s="277">
        <f>SUM(J93:J97)</f>
        <v>0</v>
      </c>
      <c r="K92" s="280">
        <f>SUM(K93:K97)</f>
        <v>0</v>
      </c>
      <c r="L92" s="136">
        <f t="shared" si="7"/>
        <v>0</v>
      </c>
      <c r="M92" s="281">
        <f>SUM(M93:M97)</f>
        <v>0</v>
      </c>
      <c r="N92" s="282">
        <f>SUM(N93:N97)</f>
        <v>0</v>
      </c>
      <c r="O92" s="136">
        <f t="shared" si="8"/>
        <v>0</v>
      </c>
      <c r="P92" s="85"/>
      <c r="R92" s="53"/>
    </row>
    <row r="93" spans="1:18" hidden="1" x14ac:dyDescent="0.25">
      <c r="A93" s="76">
        <v>2221</v>
      </c>
      <c r="B93" s="127" t="s">
        <v>109</v>
      </c>
      <c r="C93" s="279">
        <f t="shared" si="4"/>
        <v>0</v>
      </c>
      <c r="D93" s="134">
        <v>0</v>
      </c>
      <c r="E93" s="285"/>
      <c r="F93" s="136">
        <f t="shared" si="5"/>
        <v>0</v>
      </c>
      <c r="G93" s="134"/>
      <c r="H93" s="135"/>
      <c r="I93" s="136">
        <f t="shared" si="6"/>
        <v>0</v>
      </c>
      <c r="J93" s="134"/>
      <c r="K93" s="135"/>
      <c r="L93" s="136">
        <f t="shared" si="7"/>
        <v>0</v>
      </c>
      <c r="M93" s="284"/>
      <c r="N93" s="285"/>
      <c r="O93" s="136">
        <f t="shared" si="8"/>
        <v>0</v>
      </c>
      <c r="P93" s="85"/>
      <c r="R93" s="53"/>
    </row>
    <row r="94" spans="1:18" hidden="1" x14ac:dyDescent="0.25">
      <c r="A94" s="76">
        <v>2222</v>
      </c>
      <c r="B94" s="127" t="s">
        <v>110</v>
      </c>
      <c r="C94" s="279">
        <f t="shared" si="4"/>
        <v>0</v>
      </c>
      <c r="D94" s="134">
        <v>0</v>
      </c>
      <c r="E94" s="285"/>
      <c r="F94" s="136">
        <f t="shared" si="5"/>
        <v>0</v>
      </c>
      <c r="G94" s="134"/>
      <c r="H94" s="135"/>
      <c r="I94" s="136">
        <f t="shared" si="6"/>
        <v>0</v>
      </c>
      <c r="J94" s="134"/>
      <c r="K94" s="135"/>
      <c r="L94" s="136">
        <f t="shared" si="7"/>
        <v>0</v>
      </c>
      <c r="M94" s="284"/>
      <c r="N94" s="285"/>
      <c r="O94" s="136">
        <f t="shared" si="8"/>
        <v>0</v>
      </c>
      <c r="P94" s="85"/>
      <c r="R94" s="53"/>
    </row>
    <row r="95" spans="1:18" x14ac:dyDescent="0.25">
      <c r="A95" s="76">
        <v>2223</v>
      </c>
      <c r="B95" s="127" t="s">
        <v>111</v>
      </c>
      <c r="C95" s="279">
        <f t="shared" si="4"/>
        <v>40</v>
      </c>
      <c r="D95" s="134">
        <v>40</v>
      </c>
      <c r="E95" s="285"/>
      <c r="F95" s="136">
        <f t="shared" si="5"/>
        <v>40</v>
      </c>
      <c r="G95" s="134"/>
      <c r="H95" s="135"/>
      <c r="I95" s="136">
        <f t="shared" si="6"/>
        <v>0</v>
      </c>
      <c r="J95" s="134"/>
      <c r="K95" s="135"/>
      <c r="L95" s="136">
        <f t="shared" si="7"/>
        <v>0</v>
      </c>
      <c r="M95" s="284"/>
      <c r="N95" s="285"/>
      <c r="O95" s="136">
        <f t="shared" si="8"/>
        <v>0</v>
      </c>
      <c r="P95" s="85"/>
      <c r="R95" s="53"/>
    </row>
    <row r="96" spans="1:18" ht="48" hidden="1" x14ac:dyDescent="0.25">
      <c r="A96" s="76">
        <v>2224</v>
      </c>
      <c r="B96" s="127" t="s">
        <v>112</v>
      </c>
      <c r="C96" s="279">
        <f t="shared" si="4"/>
        <v>0</v>
      </c>
      <c r="D96" s="134">
        <v>0</v>
      </c>
      <c r="E96" s="285"/>
      <c r="F96" s="136">
        <f t="shared" si="5"/>
        <v>0</v>
      </c>
      <c r="G96" s="134"/>
      <c r="H96" s="135"/>
      <c r="I96" s="136">
        <f t="shared" si="6"/>
        <v>0</v>
      </c>
      <c r="J96" s="134"/>
      <c r="K96" s="135"/>
      <c r="L96" s="136">
        <f t="shared" si="7"/>
        <v>0</v>
      </c>
      <c r="M96" s="284"/>
      <c r="N96" s="285"/>
      <c r="O96" s="136">
        <f t="shared" si="8"/>
        <v>0</v>
      </c>
      <c r="P96" s="85"/>
      <c r="R96" s="53"/>
    </row>
    <row r="97" spans="1:18" ht="24" hidden="1" x14ac:dyDescent="0.25">
      <c r="A97" s="76">
        <v>2229</v>
      </c>
      <c r="B97" s="127" t="s">
        <v>113</v>
      </c>
      <c r="C97" s="279">
        <f t="shared" si="4"/>
        <v>0</v>
      </c>
      <c r="D97" s="134">
        <v>0</v>
      </c>
      <c r="E97" s="285"/>
      <c r="F97" s="136">
        <f t="shared" si="5"/>
        <v>0</v>
      </c>
      <c r="G97" s="134"/>
      <c r="H97" s="135"/>
      <c r="I97" s="136">
        <f t="shared" si="6"/>
        <v>0</v>
      </c>
      <c r="J97" s="134"/>
      <c r="K97" s="135"/>
      <c r="L97" s="136">
        <f t="shared" si="7"/>
        <v>0</v>
      </c>
      <c r="M97" s="284"/>
      <c r="N97" s="285"/>
      <c r="O97" s="136">
        <f t="shared" si="8"/>
        <v>0</v>
      </c>
      <c r="P97" s="85"/>
      <c r="R97" s="53"/>
    </row>
    <row r="98" spans="1:18" ht="36" x14ac:dyDescent="0.25">
      <c r="A98" s="276">
        <v>2230</v>
      </c>
      <c r="B98" s="127" t="s">
        <v>114</v>
      </c>
      <c r="C98" s="279">
        <f t="shared" si="4"/>
        <v>6440</v>
      </c>
      <c r="D98" s="277">
        <f>SUM(D99:D105)</f>
        <v>6440</v>
      </c>
      <c r="E98" s="282">
        <f>SUM(E99:E105)</f>
        <v>0</v>
      </c>
      <c r="F98" s="136">
        <f t="shared" si="5"/>
        <v>6440</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c r="R98" s="53"/>
    </row>
    <row r="99" spans="1:18" ht="24" x14ac:dyDescent="0.25">
      <c r="A99" s="76">
        <v>2231</v>
      </c>
      <c r="B99" s="127" t="s">
        <v>115</v>
      </c>
      <c r="C99" s="279">
        <f t="shared" si="4"/>
        <v>6052</v>
      </c>
      <c r="D99" s="134">
        <v>6052</v>
      </c>
      <c r="E99" s="285"/>
      <c r="F99" s="136">
        <f t="shared" si="5"/>
        <v>6052</v>
      </c>
      <c r="G99" s="134"/>
      <c r="H99" s="135"/>
      <c r="I99" s="136">
        <f t="shared" si="6"/>
        <v>0</v>
      </c>
      <c r="J99" s="134"/>
      <c r="K99" s="135"/>
      <c r="L99" s="136">
        <f t="shared" si="7"/>
        <v>0</v>
      </c>
      <c r="M99" s="284"/>
      <c r="N99" s="285"/>
      <c r="O99" s="136">
        <f t="shared" si="8"/>
        <v>0</v>
      </c>
      <c r="P99" s="85"/>
      <c r="R99" s="53"/>
    </row>
    <row r="100" spans="1:18" ht="24" x14ac:dyDescent="0.25">
      <c r="A100" s="76">
        <v>2232</v>
      </c>
      <c r="B100" s="127" t="s">
        <v>116</v>
      </c>
      <c r="C100" s="279">
        <f t="shared" si="4"/>
        <v>388</v>
      </c>
      <c r="D100" s="134">
        <v>388</v>
      </c>
      <c r="E100" s="285"/>
      <c r="F100" s="136">
        <f t="shared" si="5"/>
        <v>388</v>
      </c>
      <c r="G100" s="134"/>
      <c r="H100" s="135"/>
      <c r="I100" s="136">
        <f t="shared" si="6"/>
        <v>0</v>
      </c>
      <c r="J100" s="134"/>
      <c r="K100" s="135"/>
      <c r="L100" s="136">
        <f t="shared" si="7"/>
        <v>0</v>
      </c>
      <c r="M100" s="284"/>
      <c r="N100" s="285"/>
      <c r="O100" s="136">
        <f t="shared" si="8"/>
        <v>0</v>
      </c>
      <c r="P100" s="85"/>
      <c r="R100" s="53"/>
    </row>
    <row r="101" spans="1:18" hidden="1" x14ac:dyDescent="0.25">
      <c r="A101" s="66">
        <v>2233</v>
      </c>
      <c r="B101" s="116" t="s">
        <v>117</v>
      </c>
      <c r="C101" s="279">
        <f t="shared" si="4"/>
        <v>0</v>
      </c>
      <c r="D101" s="123">
        <v>0</v>
      </c>
      <c r="E101" s="262"/>
      <c r="F101" s="125">
        <f t="shared" si="5"/>
        <v>0</v>
      </c>
      <c r="G101" s="123"/>
      <c r="H101" s="124"/>
      <c r="I101" s="125">
        <f t="shared" si="6"/>
        <v>0</v>
      </c>
      <c r="J101" s="123"/>
      <c r="K101" s="124"/>
      <c r="L101" s="125">
        <f t="shared" si="7"/>
        <v>0</v>
      </c>
      <c r="M101" s="264"/>
      <c r="N101" s="262"/>
      <c r="O101" s="125">
        <f t="shared" si="8"/>
        <v>0</v>
      </c>
      <c r="P101" s="74"/>
      <c r="R101" s="53"/>
    </row>
    <row r="102" spans="1:18" ht="24" hidden="1" x14ac:dyDescent="0.25">
      <c r="A102" s="76">
        <v>2234</v>
      </c>
      <c r="B102" s="127" t="s">
        <v>118</v>
      </c>
      <c r="C102" s="279">
        <f t="shared" si="4"/>
        <v>0</v>
      </c>
      <c r="D102" s="134">
        <v>0</v>
      </c>
      <c r="E102" s="285"/>
      <c r="F102" s="136">
        <f t="shared" si="5"/>
        <v>0</v>
      </c>
      <c r="G102" s="134"/>
      <c r="H102" s="135"/>
      <c r="I102" s="136">
        <f t="shared" si="6"/>
        <v>0</v>
      </c>
      <c r="J102" s="134"/>
      <c r="K102" s="135"/>
      <c r="L102" s="136">
        <f t="shared" si="7"/>
        <v>0</v>
      </c>
      <c r="M102" s="284"/>
      <c r="N102" s="285"/>
      <c r="O102" s="136">
        <f t="shared" si="8"/>
        <v>0</v>
      </c>
      <c r="P102" s="85"/>
      <c r="R102" s="53"/>
    </row>
    <row r="103" spans="1:18" ht="24" hidden="1" x14ac:dyDescent="0.25">
      <c r="A103" s="76">
        <v>2235</v>
      </c>
      <c r="B103" s="127" t="s">
        <v>119</v>
      </c>
      <c r="C103" s="279">
        <f t="shared" si="4"/>
        <v>0</v>
      </c>
      <c r="D103" s="134">
        <v>0</v>
      </c>
      <c r="E103" s="285"/>
      <c r="F103" s="136">
        <f t="shared" si="5"/>
        <v>0</v>
      </c>
      <c r="G103" s="134"/>
      <c r="H103" s="135"/>
      <c r="I103" s="136">
        <f t="shared" si="6"/>
        <v>0</v>
      </c>
      <c r="J103" s="134"/>
      <c r="K103" s="135"/>
      <c r="L103" s="136">
        <f t="shared" si="7"/>
        <v>0</v>
      </c>
      <c r="M103" s="284"/>
      <c r="N103" s="285"/>
      <c r="O103" s="136">
        <f t="shared" si="8"/>
        <v>0</v>
      </c>
      <c r="P103" s="85"/>
      <c r="R103" s="53"/>
    </row>
    <row r="104" spans="1:18" hidden="1" x14ac:dyDescent="0.25">
      <c r="A104" s="76">
        <v>2236</v>
      </c>
      <c r="B104" s="127" t="s">
        <v>120</v>
      </c>
      <c r="C104" s="279">
        <f t="shared" si="4"/>
        <v>0</v>
      </c>
      <c r="D104" s="134">
        <v>0</v>
      </c>
      <c r="E104" s="285"/>
      <c r="F104" s="136">
        <f t="shared" si="5"/>
        <v>0</v>
      </c>
      <c r="G104" s="134"/>
      <c r="H104" s="135"/>
      <c r="I104" s="136">
        <f t="shared" si="6"/>
        <v>0</v>
      </c>
      <c r="J104" s="134"/>
      <c r="K104" s="135"/>
      <c r="L104" s="136">
        <f t="shared" si="7"/>
        <v>0</v>
      </c>
      <c r="M104" s="284"/>
      <c r="N104" s="285"/>
      <c r="O104" s="136">
        <f t="shared" si="8"/>
        <v>0</v>
      </c>
      <c r="P104" s="85"/>
      <c r="R104" s="53"/>
    </row>
    <row r="105" spans="1:18" hidden="1" x14ac:dyDescent="0.25">
      <c r="A105" s="76">
        <v>2239</v>
      </c>
      <c r="B105" s="127" t="s">
        <v>121</v>
      </c>
      <c r="C105" s="279">
        <f t="shared" si="4"/>
        <v>0</v>
      </c>
      <c r="D105" s="134">
        <v>0</v>
      </c>
      <c r="E105" s="285"/>
      <c r="F105" s="136">
        <f t="shared" si="5"/>
        <v>0</v>
      </c>
      <c r="G105" s="134"/>
      <c r="H105" s="135"/>
      <c r="I105" s="136">
        <f t="shared" si="6"/>
        <v>0</v>
      </c>
      <c r="J105" s="134"/>
      <c r="K105" s="135"/>
      <c r="L105" s="136">
        <f t="shared" si="7"/>
        <v>0</v>
      </c>
      <c r="M105" s="284"/>
      <c r="N105" s="285"/>
      <c r="O105" s="136">
        <f t="shared" si="8"/>
        <v>0</v>
      </c>
      <c r="P105" s="85"/>
      <c r="R105" s="53"/>
    </row>
    <row r="106" spans="1:18" ht="24" x14ac:dyDescent="0.25">
      <c r="A106" s="276">
        <v>2240</v>
      </c>
      <c r="B106" s="127" t="s">
        <v>122</v>
      </c>
      <c r="C106" s="279">
        <f t="shared" si="4"/>
        <v>150</v>
      </c>
      <c r="D106" s="277">
        <f>SUM(D107:D114)</f>
        <v>150</v>
      </c>
      <c r="E106" s="282">
        <f>SUM(E107:E114)</f>
        <v>0</v>
      </c>
      <c r="F106" s="136">
        <f t="shared" si="5"/>
        <v>150</v>
      </c>
      <c r="G106" s="277">
        <f>SUM(G107:G114)</f>
        <v>0</v>
      </c>
      <c r="H106" s="280">
        <f>SUM(H107:H114)</f>
        <v>0</v>
      </c>
      <c r="I106" s="136">
        <f t="shared" si="6"/>
        <v>0</v>
      </c>
      <c r="J106" s="277">
        <f>SUM(J107:J114)</f>
        <v>0</v>
      </c>
      <c r="K106" s="280">
        <f>SUM(K107:K114)</f>
        <v>0</v>
      </c>
      <c r="L106" s="136">
        <f t="shared" si="7"/>
        <v>0</v>
      </c>
      <c r="M106" s="281">
        <f>SUM(M107:M114)</f>
        <v>0</v>
      </c>
      <c r="N106" s="282">
        <f>SUM(N107:N114)</f>
        <v>0</v>
      </c>
      <c r="O106" s="136">
        <f t="shared" si="8"/>
        <v>0</v>
      </c>
      <c r="P106" s="85"/>
      <c r="R106" s="53"/>
    </row>
    <row r="107" spans="1:18" hidden="1" x14ac:dyDescent="0.25">
      <c r="A107" s="76">
        <v>2241</v>
      </c>
      <c r="B107" s="127" t="s">
        <v>123</v>
      </c>
      <c r="C107" s="279">
        <f t="shared" si="4"/>
        <v>0</v>
      </c>
      <c r="D107" s="134">
        <v>0</v>
      </c>
      <c r="E107" s="285"/>
      <c r="F107" s="136">
        <f t="shared" si="5"/>
        <v>0</v>
      </c>
      <c r="G107" s="134"/>
      <c r="H107" s="135"/>
      <c r="I107" s="136">
        <f t="shared" si="6"/>
        <v>0</v>
      </c>
      <c r="J107" s="134"/>
      <c r="K107" s="135"/>
      <c r="L107" s="136">
        <f t="shared" si="7"/>
        <v>0</v>
      </c>
      <c r="M107" s="284"/>
      <c r="N107" s="285"/>
      <c r="O107" s="136">
        <f t="shared" si="8"/>
        <v>0</v>
      </c>
      <c r="P107" s="85"/>
      <c r="R107" s="53"/>
    </row>
    <row r="108" spans="1:18" hidden="1" x14ac:dyDescent="0.25">
      <c r="A108" s="76">
        <v>2242</v>
      </c>
      <c r="B108" s="127" t="s">
        <v>124</v>
      </c>
      <c r="C108" s="279">
        <f t="shared" si="4"/>
        <v>0</v>
      </c>
      <c r="D108" s="134">
        <v>0</v>
      </c>
      <c r="E108" s="285"/>
      <c r="F108" s="136">
        <f t="shared" si="5"/>
        <v>0</v>
      </c>
      <c r="G108" s="134"/>
      <c r="H108" s="135"/>
      <c r="I108" s="136">
        <f t="shared" si="6"/>
        <v>0</v>
      </c>
      <c r="J108" s="134"/>
      <c r="K108" s="135"/>
      <c r="L108" s="136">
        <f t="shared" si="7"/>
        <v>0</v>
      </c>
      <c r="M108" s="284"/>
      <c r="N108" s="285"/>
      <c r="O108" s="136">
        <f t="shared" si="8"/>
        <v>0</v>
      </c>
      <c r="P108" s="85"/>
      <c r="R108" s="53"/>
    </row>
    <row r="109" spans="1:18" ht="24" hidden="1" x14ac:dyDescent="0.25">
      <c r="A109" s="76">
        <v>2243</v>
      </c>
      <c r="B109" s="127" t="s">
        <v>125</v>
      </c>
      <c r="C109" s="279">
        <f t="shared" si="4"/>
        <v>0</v>
      </c>
      <c r="D109" s="134">
        <v>0</v>
      </c>
      <c r="E109" s="285"/>
      <c r="F109" s="136">
        <f t="shared" si="5"/>
        <v>0</v>
      </c>
      <c r="G109" s="134"/>
      <c r="H109" s="135"/>
      <c r="I109" s="136">
        <f t="shared" si="6"/>
        <v>0</v>
      </c>
      <c r="J109" s="134"/>
      <c r="K109" s="135"/>
      <c r="L109" s="136">
        <f t="shared" si="7"/>
        <v>0</v>
      </c>
      <c r="M109" s="284"/>
      <c r="N109" s="285"/>
      <c r="O109" s="136">
        <f t="shared" si="8"/>
        <v>0</v>
      </c>
      <c r="P109" s="85"/>
      <c r="R109" s="53"/>
    </row>
    <row r="110" spans="1:18" hidden="1" x14ac:dyDescent="0.25">
      <c r="A110" s="76">
        <v>2244</v>
      </c>
      <c r="B110" s="127" t="s">
        <v>126</v>
      </c>
      <c r="C110" s="279">
        <f t="shared" si="4"/>
        <v>0</v>
      </c>
      <c r="D110" s="134">
        <v>0</v>
      </c>
      <c r="E110" s="285"/>
      <c r="F110" s="136">
        <f t="shared" si="5"/>
        <v>0</v>
      </c>
      <c r="G110" s="134"/>
      <c r="H110" s="135"/>
      <c r="I110" s="136">
        <f t="shared" si="6"/>
        <v>0</v>
      </c>
      <c r="J110" s="134"/>
      <c r="K110" s="135"/>
      <c r="L110" s="136">
        <f t="shared" si="7"/>
        <v>0</v>
      </c>
      <c r="M110" s="284"/>
      <c r="N110" s="285"/>
      <c r="O110" s="136">
        <f t="shared" si="8"/>
        <v>0</v>
      </c>
      <c r="P110" s="85"/>
      <c r="R110" s="53"/>
    </row>
    <row r="111" spans="1:18" ht="24" hidden="1" x14ac:dyDescent="0.25">
      <c r="A111" s="76">
        <v>2246</v>
      </c>
      <c r="B111" s="127" t="s">
        <v>127</v>
      </c>
      <c r="C111" s="279">
        <f t="shared" si="4"/>
        <v>0</v>
      </c>
      <c r="D111" s="134">
        <v>0</v>
      </c>
      <c r="E111" s="285"/>
      <c r="F111" s="136">
        <f t="shared" si="5"/>
        <v>0</v>
      </c>
      <c r="G111" s="134"/>
      <c r="H111" s="135"/>
      <c r="I111" s="136">
        <f t="shared" si="6"/>
        <v>0</v>
      </c>
      <c r="J111" s="134"/>
      <c r="K111" s="135"/>
      <c r="L111" s="136">
        <f t="shared" si="7"/>
        <v>0</v>
      </c>
      <c r="M111" s="284"/>
      <c r="N111" s="285"/>
      <c r="O111" s="136">
        <f t="shared" si="8"/>
        <v>0</v>
      </c>
      <c r="P111" s="85"/>
      <c r="R111" s="53"/>
    </row>
    <row r="112" spans="1:18" x14ac:dyDescent="0.25">
      <c r="A112" s="76">
        <v>2247</v>
      </c>
      <c r="B112" s="127" t="s">
        <v>128</v>
      </c>
      <c r="C112" s="279">
        <f t="shared" si="4"/>
        <v>150</v>
      </c>
      <c r="D112" s="134">
        <v>150</v>
      </c>
      <c r="E112" s="285"/>
      <c r="F112" s="136">
        <f t="shared" si="5"/>
        <v>150</v>
      </c>
      <c r="G112" s="134"/>
      <c r="H112" s="135"/>
      <c r="I112" s="136">
        <f t="shared" si="6"/>
        <v>0</v>
      </c>
      <c r="J112" s="134"/>
      <c r="K112" s="135"/>
      <c r="L112" s="136">
        <f t="shared" si="7"/>
        <v>0</v>
      </c>
      <c r="M112" s="284"/>
      <c r="N112" s="285"/>
      <c r="O112" s="136">
        <f t="shared" si="8"/>
        <v>0</v>
      </c>
      <c r="P112" s="85"/>
      <c r="R112" s="53"/>
    </row>
    <row r="113" spans="1:18" ht="24" hidden="1" x14ac:dyDescent="0.25">
      <c r="A113" s="76">
        <v>2248</v>
      </c>
      <c r="B113" s="127" t="s">
        <v>129</v>
      </c>
      <c r="C113" s="279">
        <f t="shared" si="4"/>
        <v>0</v>
      </c>
      <c r="D113" s="134">
        <v>0</v>
      </c>
      <c r="E113" s="285"/>
      <c r="F113" s="136">
        <f t="shared" si="5"/>
        <v>0</v>
      </c>
      <c r="G113" s="134"/>
      <c r="H113" s="135"/>
      <c r="I113" s="136">
        <f t="shared" si="6"/>
        <v>0</v>
      </c>
      <c r="J113" s="134"/>
      <c r="K113" s="135"/>
      <c r="L113" s="136">
        <f t="shared" si="7"/>
        <v>0</v>
      </c>
      <c r="M113" s="284"/>
      <c r="N113" s="285"/>
      <c r="O113" s="136">
        <f t="shared" si="8"/>
        <v>0</v>
      </c>
      <c r="P113" s="85"/>
      <c r="R113" s="53"/>
    </row>
    <row r="114" spans="1:18" ht="24" hidden="1" x14ac:dyDescent="0.25">
      <c r="A114" s="76">
        <v>2249</v>
      </c>
      <c r="B114" s="127" t="s">
        <v>130</v>
      </c>
      <c r="C114" s="279">
        <f t="shared" si="4"/>
        <v>0</v>
      </c>
      <c r="D114" s="134">
        <v>0</v>
      </c>
      <c r="E114" s="285"/>
      <c r="F114" s="136">
        <f t="shared" si="5"/>
        <v>0</v>
      </c>
      <c r="G114" s="134"/>
      <c r="H114" s="135"/>
      <c r="I114" s="136">
        <f t="shared" si="6"/>
        <v>0</v>
      </c>
      <c r="J114" s="134"/>
      <c r="K114" s="135"/>
      <c r="L114" s="136">
        <f t="shared" si="7"/>
        <v>0</v>
      </c>
      <c r="M114" s="284"/>
      <c r="N114" s="285"/>
      <c r="O114" s="136">
        <f t="shared" si="8"/>
        <v>0</v>
      </c>
      <c r="P114" s="85"/>
      <c r="R114" s="53"/>
    </row>
    <row r="115" spans="1:18" hidden="1" x14ac:dyDescent="0.25">
      <c r="A115" s="276">
        <v>2250</v>
      </c>
      <c r="B115" s="127" t="s">
        <v>131</v>
      </c>
      <c r="C115" s="279">
        <f t="shared" si="4"/>
        <v>0</v>
      </c>
      <c r="D115" s="277">
        <f>SUM(D116:D118)</f>
        <v>0</v>
      </c>
      <c r="E115" s="282">
        <f>SUM(E116:E118)</f>
        <v>0</v>
      </c>
      <c r="F115" s="136">
        <f t="shared" si="5"/>
        <v>0</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c r="R115" s="53"/>
    </row>
    <row r="116" spans="1:18" hidden="1" x14ac:dyDescent="0.25">
      <c r="A116" s="76">
        <v>2251</v>
      </c>
      <c r="B116" s="127" t="s">
        <v>132</v>
      </c>
      <c r="C116" s="279">
        <f t="shared" si="4"/>
        <v>0</v>
      </c>
      <c r="D116" s="134">
        <v>0</v>
      </c>
      <c r="E116" s="285"/>
      <c r="F116" s="136">
        <f t="shared" si="5"/>
        <v>0</v>
      </c>
      <c r="G116" s="134"/>
      <c r="H116" s="135"/>
      <c r="I116" s="136">
        <f t="shared" si="6"/>
        <v>0</v>
      </c>
      <c r="J116" s="134"/>
      <c r="K116" s="135"/>
      <c r="L116" s="136">
        <f t="shared" si="7"/>
        <v>0</v>
      </c>
      <c r="M116" s="284"/>
      <c r="N116" s="285"/>
      <c r="O116" s="136">
        <f t="shared" si="8"/>
        <v>0</v>
      </c>
      <c r="P116" s="85"/>
      <c r="R116" s="53"/>
    </row>
    <row r="117" spans="1:18" ht="24" hidden="1" x14ac:dyDescent="0.25">
      <c r="A117" s="76">
        <v>2252</v>
      </c>
      <c r="B117" s="127" t="s">
        <v>133</v>
      </c>
      <c r="C117" s="279">
        <f t="shared" ref="C117:C181" si="9">F117+I117+L117+O117</f>
        <v>0</v>
      </c>
      <c r="D117" s="134">
        <v>0</v>
      </c>
      <c r="E117" s="285"/>
      <c r="F117" s="136">
        <f t="shared" si="5"/>
        <v>0</v>
      </c>
      <c r="G117" s="134"/>
      <c r="H117" s="135"/>
      <c r="I117" s="136">
        <f t="shared" si="6"/>
        <v>0</v>
      </c>
      <c r="J117" s="134"/>
      <c r="K117" s="135"/>
      <c r="L117" s="136">
        <f t="shared" si="7"/>
        <v>0</v>
      </c>
      <c r="M117" s="284"/>
      <c r="N117" s="285"/>
      <c r="O117" s="136">
        <f t="shared" si="8"/>
        <v>0</v>
      </c>
      <c r="P117" s="85"/>
      <c r="R117" s="53"/>
    </row>
    <row r="118" spans="1:18" ht="24" hidden="1" x14ac:dyDescent="0.25">
      <c r="A118" s="76">
        <v>2259</v>
      </c>
      <c r="B118" s="127" t="s">
        <v>134</v>
      </c>
      <c r="C118" s="279">
        <f t="shared" si="9"/>
        <v>0</v>
      </c>
      <c r="D118" s="134">
        <v>0</v>
      </c>
      <c r="E118" s="285"/>
      <c r="F118" s="136">
        <f t="shared" ref="F118:F182" si="10">D118+E118</f>
        <v>0</v>
      </c>
      <c r="G118" s="134"/>
      <c r="H118" s="135"/>
      <c r="I118" s="136">
        <f t="shared" ref="I118:I182" si="11">G118+H118</f>
        <v>0</v>
      </c>
      <c r="J118" s="134"/>
      <c r="K118" s="135"/>
      <c r="L118" s="136">
        <f t="shared" ref="L118:L182" si="12">J118+K118</f>
        <v>0</v>
      </c>
      <c r="M118" s="284"/>
      <c r="N118" s="285"/>
      <c r="O118" s="136">
        <f t="shared" ref="O118:O182" si="13">M118+N118</f>
        <v>0</v>
      </c>
      <c r="P118" s="85"/>
      <c r="R118" s="53"/>
    </row>
    <row r="119" spans="1:18" x14ac:dyDescent="0.25">
      <c r="A119" s="276">
        <v>2260</v>
      </c>
      <c r="B119" s="127" t="s">
        <v>135</v>
      </c>
      <c r="C119" s="279">
        <f t="shared" si="9"/>
        <v>23641</v>
      </c>
      <c r="D119" s="277">
        <f>SUM(D120:D124)</f>
        <v>23641</v>
      </c>
      <c r="E119" s="282">
        <f>SUM(E120:E124)</f>
        <v>0</v>
      </c>
      <c r="F119" s="136">
        <f t="shared" si="10"/>
        <v>23641</v>
      </c>
      <c r="G119" s="277">
        <f>SUM(G120:G124)</f>
        <v>0</v>
      </c>
      <c r="H119" s="280">
        <f>SUM(H120:H124)</f>
        <v>0</v>
      </c>
      <c r="I119" s="136">
        <f t="shared" si="11"/>
        <v>0</v>
      </c>
      <c r="J119" s="277">
        <f>SUM(J120:J124)</f>
        <v>0</v>
      </c>
      <c r="K119" s="280">
        <f>SUM(K120:K124)</f>
        <v>0</v>
      </c>
      <c r="L119" s="136">
        <f t="shared" si="12"/>
        <v>0</v>
      </c>
      <c r="M119" s="281">
        <f>SUM(M120:M124)</f>
        <v>0</v>
      </c>
      <c r="N119" s="282">
        <f>SUM(N120:N124)</f>
        <v>0</v>
      </c>
      <c r="O119" s="136">
        <f t="shared" si="13"/>
        <v>0</v>
      </c>
      <c r="P119" s="85"/>
      <c r="R119" s="53"/>
    </row>
    <row r="120" spans="1:18" x14ac:dyDescent="0.25">
      <c r="A120" s="76">
        <v>2261</v>
      </c>
      <c r="B120" s="127" t="s">
        <v>136</v>
      </c>
      <c r="C120" s="279">
        <f t="shared" si="9"/>
        <v>10782</v>
      </c>
      <c r="D120" s="134">
        <f>12082-1300</f>
        <v>10782</v>
      </c>
      <c r="E120" s="285"/>
      <c r="F120" s="136">
        <f t="shared" si="10"/>
        <v>10782</v>
      </c>
      <c r="G120" s="134"/>
      <c r="H120" s="135"/>
      <c r="I120" s="136">
        <f t="shared" si="11"/>
        <v>0</v>
      </c>
      <c r="J120" s="134"/>
      <c r="K120" s="135"/>
      <c r="L120" s="136">
        <f t="shared" si="12"/>
        <v>0</v>
      </c>
      <c r="M120" s="284"/>
      <c r="N120" s="285"/>
      <c r="O120" s="136">
        <f t="shared" si="13"/>
        <v>0</v>
      </c>
      <c r="P120" s="85"/>
      <c r="R120" s="53"/>
    </row>
    <row r="121" spans="1:18" x14ac:dyDescent="0.25">
      <c r="A121" s="76">
        <v>2262</v>
      </c>
      <c r="B121" s="127" t="s">
        <v>137</v>
      </c>
      <c r="C121" s="279">
        <f t="shared" si="9"/>
        <v>7325</v>
      </c>
      <c r="D121" s="134">
        <v>7325</v>
      </c>
      <c r="E121" s="285"/>
      <c r="F121" s="136">
        <f t="shared" si="10"/>
        <v>7325</v>
      </c>
      <c r="G121" s="134"/>
      <c r="H121" s="135"/>
      <c r="I121" s="136">
        <f t="shared" si="11"/>
        <v>0</v>
      </c>
      <c r="J121" s="134"/>
      <c r="K121" s="135"/>
      <c r="L121" s="136">
        <f t="shared" si="12"/>
        <v>0</v>
      </c>
      <c r="M121" s="284"/>
      <c r="N121" s="285"/>
      <c r="O121" s="136">
        <f t="shared" si="13"/>
        <v>0</v>
      </c>
      <c r="P121" s="85"/>
      <c r="R121" s="53"/>
    </row>
    <row r="122" spans="1:18" hidden="1" x14ac:dyDescent="0.25">
      <c r="A122" s="76">
        <v>2263</v>
      </c>
      <c r="B122" s="127" t="s">
        <v>138</v>
      </c>
      <c r="C122" s="279">
        <f t="shared" si="9"/>
        <v>0</v>
      </c>
      <c r="D122" s="134">
        <v>0</v>
      </c>
      <c r="E122" s="285"/>
      <c r="F122" s="136">
        <f t="shared" si="10"/>
        <v>0</v>
      </c>
      <c r="G122" s="134"/>
      <c r="H122" s="135"/>
      <c r="I122" s="136">
        <f t="shared" si="11"/>
        <v>0</v>
      </c>
      <c r="J122" s="134"/>
      <c r="K122" s="135"/>
      <c r="L122" s="136">
        <f t="shared" si="12"/>
        <v>0</v>
      </c>
      <c r="M122" s="284"/>
      <c r="N122" s="285"/>
      <c r="O122" s="136">
        <f t="shared" si="13"/>
        <v>0</v>
      </c>
      <c r="P122" s="85"/>
      <c r="R122" s="53"/>
    </row>
    <row r="123" spans="1:18" ht="24" x14ac:dyDescent="0.25">
      <c r="A123" s="76">
        <v>2264</v>
      </c>
      <c r="B123" s="127" t="s">
        <v>139</v>
      </c>
      <c r="C123" s="279">
        <f t="shared" si="9"/>
        <v>5534</v>
      </c>
      <c r="D123" s="134">
        <v>5534</v>
      </c>
      <c r="E123" s="285"/>
      <c r="F123" s="136">
        <f t="shared" si="10"/>
        <v>5534</v>
      </c>
      <c r="G123" s="134"/>
      <c r="H123" s="135"/>
      <c r="I123" s="136">
        <f t="shared" si="11"/>
        <v>0</v>
      </c>
      <c r="J123" s="134"/>
      <c r="K123" s="135"/>
      <c r="L123" s="136">
        <f t="shared" si="12"/>
        <v>0</v>
      </c>
      <c r="M123" s="284"/>
      <c r="N123" s="285"/>
      <c r="O123" s="136">
        <f t="shared" si="13"/>
        <v>0</v>
      </c>
      <c r="P123" s="85"/>
      <c r="R123" s="53"/>
    </row>
    <row r="124" spans="1:18" hidden="1" x14ac:dyDescent="0.25">
      <c r="A124" s="76">
        <v>2269</v>
      </c>
      <c r="B124" s="127" t="s">
        <v>140</v>
      </c>
      <c r="C124" s="279">
        <f t="shared" si="9"/>
        <v>0</v>
      </c>
      <c r="D124" s="134">
        <v>0</v>
      </c>
      <c r="E124" s="285"/>
      <c r="F124" s="136">
        <f t="shared" si="10"/>
        <v>0</v>
      </c>
      <c r="G124" s="134"/>
      <c r="H124" s="135"/>
      <c r="I124" s="136">
        <f t="shared" si="11"/>
        <v>0</v>
      </c>
      <c r="J124" s="134"/>
      <c r="K124" s="135"/>
      <c r="L124" s="136">
        <f t="shared" si="12"/>
        <v>0</v>
      </c>
      <c r="M124" s="284"/>
      <c r="N124" s="285"/>
      <c r="O124" s="136">
        <f t="shared" si="13"/>
        <v>0</v>
      </c>
      <c r="P124" s="85"/>
      <c r="R124" s="53"/>
    </row>
    <row r="125" spans="1:18" x14ac:dyDescent="0.25">
      <c r="A125" s="276">
        <v>2270</v>
      </c>
      <c r="B125" s="127" t="s">
        <v>141</v>
      </c>
      <c r="C125" s="279">
        <f t="shared" si="9"/>
        <v>1609222</v>
      </c>
      <c r="D125" s="277">
        <f>SUM(D126:D130)</f>
        <v>1607927</v>
      </c>
      <c r="E125" s="282">
        <f>SUM(E126:E130)</f>
        <v>1295</v>
      </c>
      <c r="F125" s="136">
        <f t="shared" si="10"/>
        <v>1609222</v>
      </c>
      <c r="G125" s="277">
        <f>SUM(G126:G130)</f>
        <v>0</v>
      </c>
      <c r="H125" s="280">
        <f>SUM(H126:H130)</f>
        <v>0</v>
      </c>
      <c r="I125" s="136">
        <f t="shared" si="11"/>
        <v>0</v>
      </c>
      <c r="J125" s="277">
        <f>SUM(J126:J130)</f>
        <v>0</v>
      </c>
      <c r="K125" s="280">
        <f>SUM(K126:K130)</f>
        <v>0</v>
      </c>
      <c r="L125" s="136">
        <f t="shared" si="12"/>
        <v>0</v>
      </c>
      <c r="M125" s="281">
        <f>SUM(M126:M130)</f>
        <v>0</v>
      </c>
      <c r="N125" s="282">
        <f>SUM(N126:N130)</f>
        <v>0</v>
      </c>
      <c r="O125" s="136">
        <f t="shared" si="13"/>
        <v>0</v>
      </c>
      <c r="P125" s="85"/>
      <c r="R125" s="53"/>
    </row>
    <row r="126" spans="1:18" hidden="1" x14ac:dyDescent="0.25">
      <c r="A126" s="76">
        <v>2272</v>
      </c>
      <c r="B126" s="5" t="s">
        <v>142</v>
      </c>
      <c r="C126" s="279">
        <f t="shared" si="9"/>
        <v>0</v>
      </c>
      <c r="D126" s="134">
        <v>0</v>
      </c>
      <c r="E126" s="285"/>
      <c r="F126" s="136">
        <f t="shared" si="10"/>
        <v>0</v>
      </c>
      <c r="G126" s="134"/>
      <c r="H126" s="135"/>
      <c r="I126" s="136">
        <f t="shared" si="11"/>
        <v>0</v>
      </c>
      <c r="J126" s="134"/>
      <c r="K126" s="135"/>
      <c r="L126" s="136">
        <f t="shared" si="12"/>
        <v>0</v>
      </c>
      <c r="M126" s="284"/>
      <c r="N126" s="285"/>
      <c r="O126" s="136">
        <f t="shared" si="13"/>
        <v>0</v>
      </c>
      <c r="P126" s="85"/>
      <c r="R126" s="53"/>
    </row>
    <row r="127" spans="1:18" ht="24" x14ac:dyDescent="0.25">
      <c r="A127" s="76">
        <v>2275</v>
      </c>
      <c r="B127" s="127" t="s">
        <v>143</v>
      </c>
      <c r="C127" s="279">
        <f t="shared" si="9"/>
        <v>786</v>
      </c>
      <c r="D127" s="134">
        <f>24819-24033</f>
        <v>786</v>
      </c>
      <c r="E127" s="285"/>
      <c r="F127" s="136">
        <f t="shared" si="10"/>
        <v>786</v>
      </c>
      <c r="G127" s="134"/>
      <c r="H127" s="135"/>
      <c r="I127" s="136">
        <f t="shared" si="11"/>
        <v>0</v>
      </c>
      <c r="J127" s="134"/>
      <c r="K127" s="135"/>
      <c r="L127" s="136">
        <f t="shared" si="12"/>
        <v>0</v>
      </c>
      <c r="M127" s="284"/>
      <c r="N127" s="285"/>
      <c r="O127" s="136">
        <f t="shared" si="13"/>
        <v>0</v>
      </c>
      <c r="P127" s="85"/>
      <c r="R127" s="53"/>
    </row>
    <row r="128" spans="1:18" ht="24" hidden="1" x14ac:dyDescent="0.25">
      <c r="A128" s="76">
        <v>2276</v>
      </c>
      <c r="B128" s="127" t="s">
        <v>144</v>
      </c>
      <c r="C128" s="279">
        <f t="shared" si="9"/>
        <v>0</v>
      </c>
      <c r="D128" s="134">
        <v>0</v>
      </c>
      <c r="E128" s="285"/>
      <c r="F128" s="136">
        <f t="shared" si="10"/>
        <v>0</v>
      </c>
      <c r="G128" s="134"/>
      <c r="H128" s="135"/>
      <c r="I128" s="136">
        <f t="shared" si="11"/>
        <v>0</v>
      </c>
      <c r="J128" s="134"/>
      <c r="K128" s="135"/>
      <c r="L128" s="136">
        <f t="shared" si="12"/>
        <v>0</v>
      </c>
      <c r="M128" s="284"/>
      <c r="N128" s="285"/>
      <c r="O128" s="136">
        <f t="shared" si="13"/>
        <v>0</v>
      </c>
      <c r="P128" s="85"/>
      <c r="R128" s="53"/>
    </row>
    <row r="129" spans="1:18" ht="24" hidden="1" x14ac:dyDescent="0.25">
      <c r="A129" s="76">
        <v>2278</v>
      </c>
      <c r="B129" s="127" t="s">
        <v>145</v>
      </c>
      <c r="C129" s="279">
        <f t="shared" si="9"/>
        <v>0</v>
      </c>
      <c r="D129" s="134">
        <v>0</v>
      </c>
      <c r="E129" s="285"/>
      <c r="F129" s="136">
        <f t="shared" si="10"/>
        <v>0</v>
      </c>
      <c r="G129" s="134"/>
      <c r="H129" s="135"/>
      <c r="I129" s="136">
        <f t="shared" si="11"/>
        <v>0</v>
      </c>
      <c r="J129" s="134"/>
      <c r="K129" s="135"/>
      <c r="L129" s="136">
        <f t="shared" si="12"/>
        <v>0</v>
      </c>
      <c r="M129" s="284"/>
      <c r="N129" s="285"/>
      <c r="O129" s="136">
        <f t="shared" si="13"/>
        <v>0</v>
      </c>
      <c r="P129" s="85"/>
      <c r="R129" s="53"/>
    </row>
    <row r="130" spans="1:18" ht="24" x14ac:dyDescent="0.25">
      <c r="A130" s="76">
        <v>2279</v>
      </c>
      <c r="B130" s="127" t="s">
        <v>146</v>
      </c>
      <c r="C130" s="279">
        <f t="shared" si="9"/>
        <v>1608436</v>
      </c>
      <c r="D130" s="134">
        <v>1607141</v>
      </c>
      <c r="E130" s="285">
        <v>1295</v>
      </c>
      <c r="F130" s="136">
        <f t="shared" si="10"/>
        <v>1608436</v>
      </c>
      <c r="G130" s="134"/>
      <c r="H130" s="135"/>
      <c r="I130" s="136">
        <f t="shared" si="11"/>
        <v>0</v>
      </c>
      <c r="J130" s="134"/>
      <c r="K130" s="135"/>
      <c r="L130" s="136">
        <f t="shared" si="12"/>
        <v>0</v>
      </c>
      <c r="M130" s="284"/>
      <c r="N130" s="285"/>
      <c r="O130" s="136">
        <f t="shared" si="13"/>
        <v>0</v>
      </c>
      <c r="P130" s="565" t="s">
        <v>529</v>
      </c>
      <c r="R130" s="53"/>
    </row>
    <row r="131" spans="1:18" ht="24" hidden="1" x14ac:dyDescent="0.25">
      <c r="A131" s="656">
        <v>2280</v>
      </c>
      <c r="B131" s="116" t="s">
        <v>147</v>
      </c>
      <c r="C131" s="279">
        <f t="shared" si="9"/>
        <v>0</v>
      </c>
      <c r="D131" s="297">
        <f>SUM(D132)</f>
        <v>0</v>
      </c>
      <c r="E131" s="301">
        <f t="shared" ref="E131:N131" si="14">SUM(E132)</f>
        <v>0</v>
      </c>
      <c r="F131" s="125">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c r="R131" s="53"/>
    </row>
    <row r="132" spans="1:18" ht="24" hidden="1" x14ac:dyDescent="0.25">
      <c r="A132" s="76">
        <v>2283</v>
      </c>
      <c r="B132" s="127" t="s">
        <v>148</v>
      </c>
      <c r="C132" s="279">
        <f t="shared" si="9"/>
        <v>0</v>
      </c>
      <c r="D132" s="134">
        <v>0</v>
      </c>
      <c r="E132" s="285"/>
      <c r="F132" s="136">
        <f t="shared" si="10"/>
        <v>0</v>
      </c>
      <c r="G132" s="134"/>
      <c r="H132" s="135"/>
      <c r="I132" s="136">
        <f t="shared" si="11"/>
        <v>0</v>
      </c>
      <c r="J132" s="134"/>
      <c r="K132" s="135"/>
      <c r="L132" s="136">
        <f t="shared" si="12"/>
        <v>0</v>
      </c>
      <c r="M132" s="284"/>
      <c r="N132" s="285"/>
      <c r="O132" s="136">
        <f t="shared" si="13"/>
        <v>0</v>
      </c>
      <c r="P132" s="85"/>
      <c r="R132" s="53"/>
    </row>
    <row r="133" spans="1:18" ht="36" x14ac:dyDescent="0.25">
      <c r="A133" s="99">
        <v>2300</v>
      </c>
      <c r="B133" s="247" t="s">
        <v>149</v>
      </c>
      <c r="C133" s="249">
        <f t="shared" si="9"/>
        <v>36600</v>
      </c>
      <c r="D133" s="112">
        <f>SUM(D134,D139,D143,D144,D147,D154,D162,D163,D166)</f>
        <v>36600</v>
      </c>
      <c r="E133" s="293">
        <f>SUM(E134,E139,E143,E144,E147,E154,E162,E163,E166)</f>
        <v>0</v>
      </c>
      <c r="F133" s="114">
        <f t="shared" si="10"/>
        <v>36600</v>
      </c>
      <c r="G133" s="112">
        <f>SUM(G134,G139,G143,G144,G147,G154,G162,G163,G166)</f>
        <v>0</v>
      </c>
      <c r="H133" s="113">
        <f>SUM(H134,H139,H143,H144,H147,H154,H162,H163,H166)</f>
        <v>0</v>
      </c>
      <c r="I133" s="114">
        <f t="shared" si="11"/>
        <v>0</v>
      </c>
      <c r="J133" s="112">
        <f>SUM(J134,J139,J143,J144,J147,J154,J162,J163,J166)</f>
        <v>0</v>
      </c>
      <c r="K133" s="113">
        <f>SUM(K134,K139,K143,K144,K147,K154,K162,K163,K166)</f>
        <v>0</v>
      </c>
      <c r="L133" s="114">
        <f t="shared" si="12"/>
        <v>0</v>
      </c>
      <c r="M133" s="292">
        <f>SUM(M134,M139,M143,M144,M147,M154,M162,M163,M166)</f>
        <v>0</v>
      </c>
      <c r="N133" s="293">
        <f>SUM(N134,N139,N143,N144,N147,N154,N162,N163,N166)</f>
        <v>0</v>
      </c>
      <c r="O133" s="114">
        <f t="shared" si="13"/>
        <v>0</v>
      </c>
      <c r="P133" s="109"/>
      <c r="R133" s="53"/>
    </row>
    <row r="134" spans="1:18" ht="24" x14ac:dyDescent="0.25">
      <c r="A134" s="656">
        <v>2310</v>
      </c>
      <c r="B134" s="116" t="s">
        <v>150</v>
      </c>
      <c r="C134" s="296">
        <f t="shared" si="9"/>
        <v>10477</v>
      </c>
      <c r="D134" s="308">
        <f>SUM(D135:D138)</f>
        <v>10477</v>
      </c>
      <c r="E134" s="301">
        <f>SUM(E135:E138)</f>
        <v>0</v>
      </c>
      <c r="F134" s="125">
        <f t="shared" si="10"/>
        <v>10477</v>
      </c>
      <c r="G134" s="297">
        <f>SUM(G135:G138)</f>
        <v>0</v>
      </c>
      <c r="H134" s="299">
        <f>SUM(H135:H138)</f>
        <v>0</v>
      </c>
      <c r="I134" s="125">
        <f t="shared" si="11"/>
        <v>0</v>
      </c>
      <c r="J134" s="297">
        <f>SUM(J135:J138)</f>
        <v>0</v>
      </c>
      <c r="K134" s="299">
        <f>SUM(K135:K138)</f>
        <v>0</v>
      </c>
      <c r="L134" s="125">
        <f t="shared" si="12"/>
        <v>0</v>
      </c>
      <c r="M134" s="300">
        <f>SUM(M135:M138)</f>
        <v>0</v>
      </c>
      <c r="N134" s="301">
        <f>SUM(N135:N138)</f>
        <v>0</v>
      </c>
      <c r="O134" s="125">
        <f t="shared" si="13"/>
        <v>0</v>
      </c>
      <c r="P134" s="74"/>
      <c r="R134" s="53"/>
    </row>
    <row r="135" spans="1:18" x14ac:dyDescent="0.25">
      <c r="A135" s="76">
        <v>2311</v>
      </c>
      <c r="B135" s="127" t="s">
        <v>151</v>
      </c>
      <c r="C135" s="279">
        <f t="shared" si="9"/>
        <v>153</v>
      </c>
      <c r="D135" s="134">
        <v>153</v>
      </c>
      <c r="E135" s="285"/>
      <c r="F135" s="136">
        <f t="shared" si="10"/>
        <v>153</v>
      </c>
      <c r="G135" s="134"/>
      <c r="H135" s="135"/>
      <c r="I135" s="136">
        <f t="shared" si="11"/>
        <v>0</v>
      </c>
      <c r="J135" s="134"/>
      <c r="K135" s="135"/>
      <c r="L135" s="136">
        <f t="shared" si="12"/>
        <v>0</v>
      </c>
      <c r="M135" s="284"/>
      <c r="N135" s="285"/>
      <c r="O135" s="136">
        <f t="shared" si="13"/>
        <v>0</v>
      </c>
      <c r="P135" s="85"/>
      <c r="R135" s="53"/>
    </row>
    <row r="136" spans="1:18" x14ac:dyDescent="0.25">
      <c r="A136" s="76">
        <v>2312</v>
      </c>
      <c r="B136" s="127" t="s">
        <v>152</v>
      </c>
      <c r="C136" s="279">
        <f t="shared" si="9"/>
        <v>250</v>
      </c>
      <c r="D136" s="134">
        <v>250</v>
      </c>
      <c r="E136" s="285"/>
      <c r="F136" s="136">
        <f t="shared" si="10"/>
        <v>250</v>
      </c>
      <c r="G136" s="134"/>
      <c r="H136" s="135"/>
      <c r="I136" s="136">
        <f t="shared" si="11"/>
        <v>0</v>
      </c>
      <c r="J136" s="134"/>
      <c r="K136" s="135"/>
      <c r="L136" s="136">
        <f t="shared" si="12"/>
        <v>0</v>
      </c>
      <c r="M136" s="284"/>
      <c r="N136" s="285"/>
      <c r="O136" s="136">
        <f t="shared" si="13"/>
        <v>0</v>
      </c>
      <c r="P136" s="85"/>
      <c r="R136" s="53"/>
    </row>
    <row r="137" spans="1:18" hidden="1" x14ac:dyDescent="0.25">
      <c r="A137" s="76">
        <v>2313</v>
      </c>
      <c r="B137" s="127" t="s">
        <v>153</v>
      </c>
      <c r="C137" s="279">
        <f t="shared" si="9"/>
        <v>0</v>
      </c>
      <c r="D137" s="134">
        <v>0</v>
      </c>
      <c r="E137" s="285"/>
      <c r="F137" s="136">
        <f t="shared" si="10"/>
        <v>0</v>
      </c>
      <c r="G137" s="134"/>
      <c r="H137" s="135"/>
      <c r="I137" s="136">
        <f t="shared" si="11"/>
        <v>0</v>
      </c>
      <c r="J137" s="134"/>
      <c r="K137" s="135"/>
      <c r="L137" s="136">
        <f t="shared" si="12"/>
        <v>0</v>
      </c>
      <c r="M137" s="284"/>
      <c r="N137" s="285"/>
      <c r="O137" s="136">
        <f t="shared" si="13"/>
        <v>0</v>
      </c>
      <c r="P137" s="85"/>
      <c r="R137" s="53"/>
    </row>
    <row r="138" spans="1:18" ht="24" x14ac:dyDescent="0.25">
      <c r="A138" s="76">
        <v>2314</v>
      </c>
      <c r="B138" s="127" t="s">
        <v>154</v>
      </c>
      <c r="C138" s="279">
        <f t="shared" si="9"/>
        <v>10074</v>
      </c>
      <c r="D138" s="134">
        <v>10074</v>
      </c>
      <c r="E138" s="285"/>
      <c r="F138" s="136">
        <f t="shared" si="10"/>
        <v>10074</v>
      </c>
      <c r="G138" s="134"/>
      <c r="H138" s="135"/>
      <c r="I138" s="136">
        <f t="shared" si="11"/>
        <v>0</v>
      </c>
      <c r="J138" s="134"/>
      <c r="K138" s="135"/>
      <c r="L138" s="136">
        <f t="shared" si="12"/>
        <v>0</v>
      </c>
      <c r="M138" s="284"/>
      <c r="N138" s="285"/>
      <c r="O138" s="136">
        <f t="shared" si="13"/>
        <v>0</v>
      </c>
      <c r="P138" s="85"/>
      <c r="R138" s="53"/>
    </row>
    <row r="139" spans="1:18" x14ac:dyDescent="0.25">
      <c r="A139" s="276">
        <v>2320</v>
      </c>
      <c r="B139" s="127" t="s">
        <v>155</v>
      </c>
      <c r="C139" s="279">
        <f t="shared" si="9"/>
        <v>215</v>
      </c>
      <c r="D139" s="277">
        <f>SUM(D140:D142)</f>
        <v>215</v>
      </c>
      <c r="E139" s="282">
        <f>SUM(E140:E142)</f>
        <v>0</v>
      </c>
      <c r="F139" s="136">
        <f t="shared" si="10"/>
        <v>215</v>
      </c>
      <c r="G139" s="277">
        <f>SUM(G140:G142)</f>
        <v>0</v>
      </c>
      <c r="H139" s="280">
        <f>SUM(H140:H142)</f>
        <v>0</v>
      </c>
      <c r="I139" s="136">
        <f t="shared" si="11"/>
        <v>0</v>
      </c>
      <c r="J139" s="277">
        <f>SUM(J140:J142)</f>
        <v>0</v>
      </c>
      <c r="K139" s="280">
        <f>SUM(K140:K142)</f>
        <v>0</v>
      </c>
      <c r="L139" s="136">
        <f t="shared" si="12"/>
        <v>0</v>
      </c>
      <c r="M139" s="281">
        <f>SUM(M140:M142)</f>
        <v>0</v>
      </c>
      <c r="N139" s="282">
        <f>SUM(N140:N142)</f>
        <v>0</v>
      </c>
      <c r="O139" s="136">
        <f t="shared" si="13"/>
        <v>0</v>
      </c>
      <c r="P139" s="85"/>
      <c r="R139" s="53"/>
    </row>
    <row r="140" spans="1:18" hidden="1" x14ac:dyDescent="0.25">
      <c r="A140" s="76">
        <v>2321</v>
      </c>
      <c r="B140" s="127" t="s">
        <v>156</v>
      </c>
      <c r="C140" s="279">
        <f t="shared" si="9"/>
        <v>0</v>
      </c>
      <c r="D140" s="134">
        <v>0</v>
      </c>
      <c r="E140" s="285"/>
      <c r="F140" s="136">
        <f t="shared" si="10"/>
        <v>0</v>
      </c>
      <c r="G140" s="134"/>
      <c r="H140" s="135"/>
      <c r="I140" s="136">
        <f t="shared" si="11"/>
        <v>0</v>
      </c>
      <c r="J140" s="134"/>
      <c r="K140" s="135"/>
      <c r="L140" s="136">
        <f t="shared" si="12"/>
        <v>0</v>
      </c>
      <c r="M140" s="284"/>
      <c r="N140" s="285"/>
      <c r="O140" s="136">
        <f t="shared" si="13"/>
        <v>0</v>
      </c>
      <c r="P140" s="85"/>
      <c r="R140" s="53"/>
    </row>
    <row r="141" spans="1:18" x14ac:dyDescent="0.25">
      <c r="A141" s="76">
        <v>2322</v>
      </c>
      <c r="B141" s="127" t="s">
        <v>157</v>
      </c>
      <c r="C141" s="279">
        <f t="shared" si="9"/>
        <v>215</v>
      </c>
      <c r="D141" s="134">
        <f>465-250</f>
        <v>215</v>
      </c>
      <c r="E141" s="285"/>
      <c r="F141" s="136">
        <f t="shared" si="10"/>
        <v>215</v>
      </c>
      <c r="G141" s="134"/>
      <c r="H141" s="135"/>
      <c r="I141" s="136">
        <f t="shared" si="11"/>
        <v>0</v>
      </c>
      <c r="J141" s="134"/>
      <c r="K141" s="135"/>
      <c r="L141" s="136">
        <f t="shared" si="12"/>
        <v>0</v>
      </c>
      <c r="M141" s="284"/>
      <c r="N141" s="285"/>
      <c r="O141" s="136">
        <f t="shared" si="13"/>
        <v>0</v>
      </c>
      <c r="P141" s="85"/>
      <c r="R141" s="53"/>
    </row>
    <row r="142" spans="1:18" hidden="1" x14ac:dyDescent="0.25">
      <c r="A142" s="76">
        <v>2329</v>
      </c>
      <c r="B142" s="127" t="s">
        <v>158</v>
      </c>
      <c r="C142" s="279">
        <f t="shared" si="9"/>
        <v>0</v>
      </c>
      <c r="D142" s="134">
        <v>0</v>
      </c>
      <c r="E142" s="285">
        <v>0</v>
      </c>
      <c r="F142" s="136">
        <f t="shared" si="10"/>
        <v>0</v>
      </c>
      <c r="G142" s="134"/>
      <c r="H142" s="135"/>
      <c r="I142" s="136">
        <f t="shared" si="11"/>
        <v>0</v>
      </c>
      <c r="J142" s="134"/>
      <c r="K142" s="135"/>
      <c r="L142" s="136">
        <f t="shared" si="12"/>
        <v>0</v>
      </c>
      <c r="M142" s="284"/>
      <c r="N142" s="285"/>
      <c r="O142" s="136">
        <f t="shared" si="13"/>
        <v>0</v>
      </c>
      <c r="P142" s="85"/>
      <c r="R142" s="53"/>
    </row>
    <row r="143" spans="1:18" hidden="1" x14ac:dyDescent="0.25">
      <c r="A143" s="276">
        <v>2330</v>
      </c>
      <c r="B143" s="127" t="s">
        <v>159</v>
      </c>
      <c r="C143" s="279">
        <f t="shared" si="9"/>
        <v>0</v>
      </c>
      <c r="D143" s="134">
        <v>0</v>
      </c>
      <c r="E143" s="285"/>
      <c r="F143" s="136">
        <f t="shared" si="10"/>
        <v>0</v>
      </c>
      <c r="G143" s="134"/>
      <c r="H143" s="135"/>
      <c r="I143" s="136">
        <f t="shared" si="11"/>
        <v>0</v>
      </c>
      <c r="J143" s="134"/>
      <c r="K143" s="135"/>
      <c r="L143" s="136">
        <f t="shared" si="12"/>
        <v>0</v>
      </c>
      <c r="M143" s="284"/>
      <c r="N143" s="285"/>
      <c r="O143" s="136">
        <f t="shared" si="13"/>
        <v>0</v>
      </c>
      <c r="P143" s="85"/>
      <c r="R143" s="53"/>
    </row>
    <row r="144" spans="1:18" ht="36" hidden="1" x14ac:dyDescent="0.25">
      <c r="A144" s="276">
        <v>2340</v>
      </c>
      <c r="B144" s="127" t="s">
        <v>160</v>
      </c>
      <c r="C144" s="279">
        <f t="shared" si="9"/>
        <v>0</v>
      </c>
      <c r="D144" s="277">
        <f>SUM(D145:D146)</f>
        <v>0</v>
      </c>
      <c r="E144" s="282">
        <f>SUM(E145:E146)</f>
        <v>0</v>
      </c>
      <c r="F144" s="136">
        <f t="shared" si="10"/>
        <v>0</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c r="R144" s="53"/>
    </row>
    <row r="145" spans="1:18" hidden="1" x14ac:dyDescent="0.25">
      <c r="A145" s="76">
        <v>2341</v>
      </c>
      <c r="B145" s="127" t="s">
        <v>161</v>
      </c>
      <c r="C145" s="279">
        <f t="shared" si="9"/>
        <v>0</v>
      </c>
      <c r="D145" s="134">
        <v>0</v>
      </c>
      <c r="E145" s="285"/>
      <c r="F145" s="136">
        <f t="shared" si="10"/>
        <v>0</v>
      </c>
      <c r="G145" s="134"/>
      <c r="H145" s="135"/>
      <c r="I145" s="136">
        <f t="shared" si="11"/>
        <v>0</v>
      </c>
      <c r="J145" s="134"/>
      <c r="K145" s="135"/>
      <c r="L145" s="136">
        <f t="shared" si="12"/>
        <v>0</v>
      </c>
      <c r="M145" s="284"/>
      <c r="N145" s="285"/>
      <c r="O145" s="136">
        <f t="shared" si="13"/>
        <v>0</v>
      </c>
      <c r="P145" s="85"/>
      <c r="R145" s="53"/>
    </row>
    <row r="146" spans="1:18" ht="24" hidden="1" x14ac:dyDescent="0.25">
      <c r="A146" s="76">
        <v>2344</v>
      </c>
      <c r="B146" s="127" t="s">
        <v>162</v>
      </c>
      <c r="C146" s="279">
        <f t="shared" si="9"/>
        <v>0</v>
      </c>
      <c r="D146" s="134">
        <v>0</v>
      </c>
      <c r="E146" s="285"/>
      <c r="F146" s="136">
        <f t="shared" si="10"/>
        <v>0</v>
      </c>
      <c r="G146" s="134"/>
      <c r="H146" s="135"/>
      <c r="I146" s="136">
        <f t="shared" si="11"/>
        <v>0</v>
      </c>
      <c r="J146" s="134"/>
      <c r="K146" s="135"/>
      <c r="L146" s="136">
        <f t="shared" si="12"/>
        <v>0</v>
      </c>
      <c r="M146" s="284"/>
      <c r="N146" s="285"/>
      <c r="O146" s="136">
        <f t="shared" si="13"/>
        <v>0</v>
      </c>
      <c r="P146" s="85"/>
      <c r="R146" s="53"/>
    </row>
    <row r="147" spans="1:18" ht="24" hidden="1" x14ac:dyDescent="0.25">
      <c r="A147" s="254">
        <v>2350</v>
      </c>
      <c r="B147" s="179" t="s">
        <v>163</v>
      </c>
      <c r="C147" s="279">
        <f t="shared" si="9"/>
        <v>0</v>
      </c>
      <c r="D147" s="255">
        <f>SUM(D148:D153)</f>
        <v>0</v>
      </c>
      <c r="E147" s="261">
        <f>SUM(E148:E153)</f>
        <v>0</v>
      </c>
      <c r="F147" s="259">
        <f t="shared" si="10"/>
        <v>0</v>
      </c>
      <c r="G147" s="255">
        <f>SUM(G148:G153)</f>
        <v>0</v>
      </c>
      <c r="H147" s="258">
        <f>SUM(H148:H153)</f>
        <v>0</v>
      </c>
      <c r="I147" s="259">
        <f t="shared" si="11"/>
        <v>0</v>
      </c>
      <c r="J147" s="255">
        <f>SUM(J148:J153)</f>
        <v>0</v>
      </c>
      <c r="K147" s="258">
        <f>SUM(K148:K153)</f>
        <v>0</v>
      </c>
      <c r="L147" s="259">
        <f t="shared" si="12"/>
        <v>0</v>
      </c>
      <c r="M147" s="260">
        <f>SUM(M148:M153)</f>
        <v>0</v>
      </c>
      <c r="N147" s="261">
        <f>SUM(N148:N153)</f>
        <v>0</v>
      </c>
      <c r="O147" s="259">
        <f t="shared" si="13"/>
        <v>0</v>
      </c>
      <c r="P147" s="189"/>
      <c r="R147" s="53"/>
    </row>
    <row r="148" spans="1:18" hidden="1" x14ac:dyDescent="0.25">
      <c r="A148" s="66">
        <v>2351</v>
      </c>
      <c r="B148" s="116" t="s">
        <v>164</v>
      </c>
      <c r="C148" s="279">
        <f t="shared" si="9"/>
        <v>0</v>
      </c>
      <c r="D148" s="123">
        <v>0</v>
      </c>
      <c r="E148" s="262"/>
      <c r="F148" s="125">
        <f t="shared" si="10"/>
        <v>0</v>
      </c>
      <c r="G148" s="123"/>
      <c r="H148" s="124"/>
      <c r="I148" s="125">
        <f t="shared" si="11"/>
        <v>0</v>
      </c>
      <c r="J148" s="123"/>
      <c r="K148" s="124"/>
      <c r="L148" s="125">
        <f t="shared" si="12"/>
        <v>0</v>
      </c>
      <c r="M148" s="264"/>
      <c r="N148" s="262"/>
      <c r="O148" s="125">
        <f t="shared" si="13"/>
        <v>0</v>
      </c>
      <c r="P148" s="74"/>
      <c r="R148" s="53"/>
    </row>
    <row r="149" spans="1:18" hidden="1" x14ac:dyDescent="0.25">
      <c r="A149" s="76">
        <v>2352</v>
      </c>
      <c r="B149" s="127" t="s">
        <v>165</v>
      </c>
      <c r="C149" s="279">
        <f t="shared" si="9"/>
        <v>0</v>
      </c>
      <c r="D149" s="134">
        <v>0</v>
      </c>
      <c r="E149" s="285"/>
      <c r="F149" s="136">
        <f t="shared" si="10"/>
        <v>0</v>
      </c>
      <c r="G149" s="134"/>
      <c r="H149" s="135"/>
      <c r="I149" s="136">
        <f t="shared" si="11"/>
        <v>0</v>
      </c>
      <c r="J149" s="134"/>
      <c r="K149" s="135"/>
      <c r="L149" s="136">
        <f t="shared" si="12"/>
        <v>0</v>
      </c>
      <c r="M149" s="284"/>
      <c r="N149" s="285"/>
      <c r="O149" s="136">
        <f t="shared" si="13"/>
        <v>0</v>
      </c>
      <c r="P149" s="85"/>
      <c r="R149" s="53"/>
    </row>
    <row r="150" spans="1:18" ht="24" hidden="1" x14ac:dyDescent="0.25">
      <c r="A150" s="76">
        <v>2353</v>
      </c>
      <c r="B150" s="127" t="s">
        <v>166</v>
      </c>
      <c r="C150" s="279">
        <f t="shared" si="9"/>
        <v>0</v>
      </c>
      <c r="D150" s="134">
        <v>0</v>
      </c>
      <c r="E150" s="285"/>
      <c r="F150" s="136">
        <f t="shared" si="10"/>
        <v>0</v>
      </c>
      <c r="G150" s="134"/>
      <c r="H150" s="135"/>
      <c r="I150" s="136">
        <f t="shared" si="11"/>
        <v>0</v>
      </c>
      <c r="J150" s="134"/>
      <c r="K150" s="135"/>
      <c r="L150" s="136">
        <f t="shared" si="12"/>
        <v>0</v>
      </c>
      <c r="M150" s="284"/>
      <c r="N150" s="285"/>
      <c r="O150" s="136">
        <f t="shared" si="13"/>
        <v>0</v>
      </c>
      <c r="P150" s="85"/>
      <c r="R150" s="53"/>
    </row>
    <row r="151" spans="1:18" ht="24" hidden="1" x14ac:dyDescent="0.25">
      <c r="A151" s="76">
        <v>2354</v>
      </c>
      <c r="B151" s="127" t="s">
        <v>167</v>
      </c>
      <c r="C151" s="279">
        <f t="shared" si="9"/>
        <v>0</v>
      </c>
      <c r="D151" s="134">
        <v>0</v>
      </c>
      <c r="E151" s="285"/>
      <c r="F151" s="136">
        <f t="shared" si="10"/>
        <v>0</v>
      </c>
      <c r="G151" s="134"/>
      <c r="H151" s="135"/>
      <c r="I151" s="136">
        <f t="shared" si="11"/>
        <v>0</v>
      </c>
      <c r="J151" s="134"/>
      <c r="K151" s="135"/>
      <c r="L151" s="136">
        <f t="shared" si="12"/>
        <v>0</v>
      </c>
      <c r="M151" s="284"/>
      <c r="N151" s="285"/>
      <c r="O151" s="136">
        <f t="shared" si="13"/>
        <v>0</v>
      </c>
      <c r="P151" s="85"/>
      <c r="R151" s="53"/>
    </row>
    <row r="152" spans="1:18" ht="24" hidden="1" x14ac:dyDescent="0.25">
      <c r="A152" s="76">
        <v>2355</v>
      </c>
      <c r="B152" s="127" t="s">
        <v>168</v>
      </c>
      <c r="C152" s="279">
        <f t="shared" si="9"/>
        <v>0</v>
      </c>
      <c r="D152" s="134">
        <v>0</v>
      </c>
      <c r="E152" s="285"/>
      <c r="F152" s="136">
        <f t="shared" si="10"/>
        <v>0</v>
      </c>
      <c r="G152" s="134"/>
      <c r="H152" s="135"/>
      <c r="I152" s="136">
        <f t="shared" si="11"/>
        <v>0</v>
      </c>
      <c r="J152" s="134"/>
      <c r="K152" s="135"/>
      <c r="L152" s="136">
        <f t="shared" si="12"/>
        <v>0</v>
      </c>
      <c r="M152" s="284"/>
      <c r="N152" s="285"/>
      <c r="O152" s="136">
        <f t="shared" si="13"/>
        <v>0</v>
      </c>
      <c r="P152" s="85"/>
      <c r="R152" s="53"/>
    </row>
    <row r="153" spans="1:18" ht="24" hidden="1" x14ac:dyDescent="0.25">
      <c r="A153" s="76">
        <v>2359</v>
      </c>
      <c r="B153" s="127" t="s">
        <v>169</v>
      </c>
      <c r="C153" s="279">
        <f t="shared" si="9"/>
        <v>0</v>
      </c>
      <c r="D153" s="134">
        <v>0</v>
      </c>
      <c r="E153" s="285"/>
      <c r="F153" s="136">
        <f t="shared" si="10"/>
        <v>0</v>
      </c>
      <c r="G153" s="134"/>
      <c r="H153" s="135"/>
      <c r="I153" s="136">
        <f t="shared" si="11"/>
        <v>0</v>
      </c>
      <c r="J153" s="134"/>
      <c r="K153" s="135"/>
      <c r="L153" s="136">
        <f t="shared" si="12"/>
        <v>0</v>
      </c>
      <c r="M153" s="284"/>
      <c r="N153" s="285"/>
      <c r="O153" s="136">
        <f t="shared" si="13"/>
        <v>0</v>
      </c>
      <c r="P153" s="85"/>
      <c r="R153" s="53"/>
    </row>
    <row r="154" spans="1:18" ht="24" x14ac:dyDescent="0.25">
      <c r="A154" s="276">
        <v>2360</v>
      </c>
      <c r="B154" s="127" t="s">
        <v>170</v>
      </c>
      <c r="C154" s="279">
        <f t="shared" si="9"/>
        <v>25908</v>
      </c>
      <c r="D154" s="277">
        <f>SUM(D155:D161)</f>
        <v>25908</v>
      </c>
      <c r="E154" s="282">
        <f>SUM(E155:E161)</f>
        <v>0</v>
      </c>
      <c r="F154" s="136">
        <f t="shared" si="10"/>
        <v>25908</v>
      </c>
      <c r="G154" s="277">
        <f>SUM(G155:G161)</f>
        <v>0</v>
      </c>
      <c r="H154" s="280">
        <f>SUM(H155:H161)</f>
        <v>0</v>
      </c>
      <c r="I154" s="136">
        <f t="shared" si="11"/>
        <v>0</v>
      </c>
      <c r="J154" s="277">
        <f>SUM(J155:J161)</f>
        <v>0</v>
      </c>
      <c r="K154" s="280">
        <f>SUM(K155:K161)</f>
        <v>0</v>
      </c>
      <c r="L154" s="136">
        <f t="shared" si="12"/>
        <v>0</v>
      </c>
      <c r="M154" s="281">
        <f>SUM(M155:M161)</f>
        <v>0</v>
      </c>
      <c r="N154" s="282">
        <f>SUM(N155:N161)</f>
        <v>0</v>
      </c>
      <c r="O154" s="136">
        <f t="shared" si="13"/>
        <v>0</v>
      </c>
      <c r="P154" s="85"/>
      <c r="R154" s="53"/>
    </row>
    <row r="155" spans="1:18" x14ac:dyDescent="0.25">
      <c r="A155" s="75">
        <v>2361</v>
      </c>
      <c r="B155" s="127" t="s">
        <v>171</v>
      </c>
      <c r="C155" s="279">
        <f t="shared" si="9"/>
        <v>19313</v>
      </c>
      <c r="D155" s="134">
        <v>19313</v>
      </c>
      <c r="E155" s="285"/>
      <c r="F155" s="136">
        <f t="shared" si="10"/>
        <v>19313</v>
      </c>
      <c r="G155" s="134"/>
      <c r="H155" s="135"/>
      <c r="I155" s="136">
        <f t="shared" si="11"/>
        <v>0</v>
      </c>
      <c r="J155" s="134"/>
      <c r="K155" s="135"/>
      <c r="L155" s="136">
        <f t="shared" si="12"/>
        <v>0</v>
      </c>
      <c r="M155" s="284"/>
      <c r="N155" s="285"/>
      <c r="O155" s="136">
        <f t="shared" si="13"/>
        <v>0</v>
      </c>
      <c r="P155" s="85"/>
      <c r="R155" s="53"/>
    </row>
    <row r="156" spans="1:18" ht="24" hidden="1" x14ac:dyDescent="0.25">
      <c r="A156" s="75">
        <v>2362</v>
      </c>
      <c r="B156" s="127" t="s">
        <v>172</v>
      </c>
      <c r="C156" s="279">
        <f t="shared" si="9"/>
        <v>0</v>
      </c>
      <c r="D156" s="134">
        <v>0</v>
      </c>
      <c r="E156" s="285"/>
      <c r="F156" s="136">
        <f t="shared" si="10"/>
        <v>0</v>
      </c>
      <c r="G156" s="134"/>
      <c r="H156" s="135"/>
      <c r="I156" s="136">
        <f t="shared" si="11"/>
        <v>0</v>
      </c>
      <c r="J156" s="134"/>
      <c r="K156" s="135"/>
      <c r="L156" s="136">
        <f t="shared" si="12"/>
        <v>0</v>
      </c>
      <c r="M156" s="284"/>
      <c r="N156" s="285"/>
      <c r="O156" s="136">
        <f t="shared" si="13"/>
        <v>0</v>
      </c>
      <c r="P156" s="85"/>
      <c r="R156" s="53"/>
    </row>
    <row r="157" spans="1:18" x14ac:dyDescent="0.25">
      <c r="A157" s="75">
        <v>2363</v>
      </c>
      <c r="B157" s="127" t="s">
        <v>173</v>
      </c>
      <c r="C157" s="279">
        <f t="shared" si="9"/>
        <v>6595</v>
      </c>
      <c r="D157" s="134">
        <f>7595-1000</f>
        <v>6595</v>
      </c>
      <c r="E157" s="285"/>
      <c r="F157" s="136">
        <f t="shared" si="10"/>
        <v>6595</v>
      </c>
      <c r="G157" s="134"/>
      <c r="H157" s="135"/>
      <c r="I157" s="136">
        <f t="shared" si="11"/>
        <v>0</v>
      </c>
      <c r="J157" s="134"/>
      <c r="K157" s="135"/>
      <c r="L157" s="136">
        <f t="shared" si="12"/>
        <v>0</v>
      </c>
      <c r="M157" s="284"/>
      <c r="N157" s="285"/>
      <c r="O157" s="136">
        <f t="shared" si="13"/>
        <v>0</v>
      </c>
      <c r="P157" s="85"/>
      <c r="R157" s="53"/>
    </row>
    <row r="158" spans="1:18" hidden="1" x14ac:dyDescent="0.25">
      <c r="A158" s="75">
        <v>2364</v>
      </c>
      <c r="B158" s="127" t="s">
        <v>174</v>
      </c>
      <c r="C158" s="279">
        <f t="shared" si="9"/>
        <v>0</v>
      </c>
      <c r="D158" s="134">
        <v>0</v>
      </c>
      <c r="E158" s="285"/>
      <c r="F158" s="136">
        <f t="shared" si="10"/>
        <v>0</v>
      </c>
      <c r="G158" s="134"/>
      <c r="H158" s="135"/>
      <c r="I158" s="136">
        <f t="shared" si="11"/>
        <v>0</v>
      </c>
      <c r="J158" s="134"/>
      <c r="K158" s="135"/>
      <c r="L158" s="136">
        <f t="shared" si="12"/>
        <v>0</v>
      </c>
      <c r="M158" s="284"/>
      <c r="N158" s="285"/>
      <c r="O158" s="136">
        <f t="shared" si="13"/>
        <v>0</v>
      </c>
      <c r="P158" s="85"/>
      <c r="R158" s="53"/>
    </row>
    <row r="159" spans="1:18" hidden="1" x14ac:dyDescent="0.25">
      <c r="A159" s="75">
        <v>2365</v>
      </c>
      <c r="B159" s="127" t="s">
        <v>175</v>
      </c>
      <c r="C159" s="279">
        <f t="shared" si="9"/>
        <v>0</v>
      </c>
      <c r="D159" s="134">
        <v>0</v>
      </c>
      <c r="E159" s="285"/>
      <c r="F159" s="136">
        <f t="shared" si="10"/>
        <v>0</v>
      </c>
      <c r="G159" s="134"/>
      <c r="H159" s="135"/>
      <c r="I159" s="136">
        <f t="shared" si="11"/>
        <v>0</v>
      </c>
      <c r="J159" s="134"/>
      <c r="K159" s="135"/>
      <c r="L159" s="136">
        <f t="shared" si="12"/>
        <v>0</v>
      </c>
      <c r="M159" s="284"/>
      <c r="N159" s="285"/>
      <c r="O159" s="136">
        <f t="shared" si="13"/>
        <v>0</v>
      </c>
      <c r="P159" s="85"/>
      <c r="R159" s="53"/>
    </row>
    <row r="160" spans="1:18" ht="36" hidden="1" x14ac:dyDescent="0.25">
      <c r="A160" s="75">
        <v>2366</v>
      </c>
      <c r="B160" s="127" t="s">
        <v>176</v>
      </c>
      <c r="C160" s="279">
        <f t="shared" si="9"/>
        <v>0</v>
      </c>
      <c r="D160" s="134">
        <v>0</v>
      </c>
      <c r="E160" s="285"/>
      <c r="F160" s="136">
        <f t="shared" si="10"/>
        <v>0</v>
      </c>
      <c r="G160" s="134"/>
      <c r="H160" s="135"/>
      <c r="I160" s="136">
        <f t="shared" si="11"/>
        <v>0</v>
      </c>
      <c r="J160" s="134"/>
      <c r="K160" s="135"/>
      <c r="L160" s="136">
        <f t="shared" si="12"/>
        <v>0</v>
      </c>
      <c r="M160" s="284"/>
      <c r="N160" s="285"/>
      <c r="O160" s="136">
        <f t="shared" si="13"/>
        <v>0</v>
      </c>
      <c r="P160" s="85"/>
      <c r="R160" s="53"/>
    </row>
    <row r="161" spans="1:18" ht="48" hidden="1" x14ac:dyDescent="0.25">
      <c r="A161" s="75">
        <v>2369</v>
      </c>
      <c r="B161" s="127" t="s">
        <v>177</v>
      </c>
      <c r="C161" s="279">
        <f t="shared" si="9"/>
        <v>0</v>
      </c>
      <c r="D161" s="134">
        <v>0</v>
      </c>
      <c r="E161" s="285"/>
      <c r="F161" s="136">
        <f t="shared" si="10"/>
        <v>0</v>
      </c>
      <c r="G161" s="134"/>
      <c r="H161" s="135"/>
      <c r="I161" s="136">
        <f t="shared" si="11"/>
        <v>0</v>
      </c>
      <c r="J161" s="134"/>
      <c r="K161" s="135"/>
      <c r="L161" s="136">
        <f t="shared" si="12"/>
        <v>0</v>
      </c>
      <c r="M161" s="284"/>
      <c r="N161" s="285"/>
      <c r="O161" s="136">
        <f t="shared" si="13"/>
        <v>0</v>
      </c>
      <c r="P161" s="85"/>
      <c r="R161" s="53"/>
    </row>
    <row r="162" spans="1:18" hidden="1" x14ac:dyDescent="0.25">
      <c r="A162" s="254">
        <v>2370</v>
      </c>
      <c r="B162" s="179" t="s">
        <v>178</v>
      </c>
      <c r="C162" s="279">
        <f t="shared" si="9"/>
        <v>0</v>
      </c>
      <c r="D162" s="287">
        <v>0</v>
      </c>
      <c r="E162" s="291"/>
      <c r="F162" s="259">
        <f t="shared" si="10"/>
        <v>0</v>
      </c>
      <c r="G162" s="287"/>
      <c r="H162" s="289"/>
      <c r="I162" s="259">
        <f t="shared" si="11"/>
        <v>0</v>
      </c>
      <c r="J162" s="287"/>
      <c r="K162" s="289"/>
      <c r="L162" s="259">
        <f t="shared" si="12"/>
        <v>0</v>
      </c>
      <c r="M162" s="290"/>
      <c r="N162" s="291"/>
      <c r="O162" s="259">
        <f t="shared" si="13"/>
        <v>0</v>
      </c>
      <c r="P162" s="189"/>
      <c r="R162" s="53"/>
    </row>
    <row r="163" spans="1:18" hidden="1" x14ac:dyDescent="0.25">
      <c r="A163" s="254">
        <v>2380</v>
      </c>
      <c r="B163" s="179" t="s">
        <v>179</v>
      </c>
      <c r="C163" s="279">
        <f t="shared" si="9"/>
        <v>0</v>
      </c>
      <c r="D163" s="255">
        <f>SUM(D164:D165)</f>
        <v>0</v>
      </c>
      <c r="E163" s="261">
        <f>SUM(E164:E165)</f>
        <v>0</v>
      </c>
      <c r="F163" s="259">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row>
    <row r="164" spans="1:18" hidden="1" x14ac:dyDescent="0.25">
      <c r="A164" s="65">
        <v>2381</v>
      </c>
      <c r="B164" s="116" t="s">
        <v>180</v>
      </c>
      <c r="C164" s="279">
        <f t="shared" si="9"/>
        <v>0</v>
      </c>
      <c r="D164" s="123">
        <v>0</v>
      </c>
      <c r="E164" s="262"/>
      <c r="F164" s="125">
        <f t="shared" si="10"/>
        <v>0</v>
      </c>
      <c r="G164" s="123"/>
      <c r="H164" s="124"/>
      <c r="I164" s="125">
        <f t="shared" si="11"/>
        <v>0</v>
      </c>
      <c r="J164" s="123"/>
      <c r="K164" s="124"/>
      <c r="L164" s="125">
        <f t="shared" si="12"/>
        <v>0</v>
      </c>
      <c r="M164" s="264"/>
      <c r="N164" s="262"/>
      <c r="O164" s="125">
        <f t="shared" si="13"/>
        <v>0</v>
      </c>
      <c r="P164" s="74"/>
      <c r="R164" s="53"/>
    </row>
    <row r="165" spans="1:18" ht="24" hidden="1" x14ac:dyDescent="0.25">
      <c r="A165" s="75">
        <v>2389</v>
      </c>
      <c r="B165" s="127" t="s">
        <v>181</v>
      </c>
      <c r="C165" s="279">
        <f t="shared" si="9"/>
        <v>0</v>
      </c>
      <c r="D165" s="134">
        <v>0</v>
      </c>
      <c r="E165" s="285"/>
      <c r="F165" s="136">
        <f t="shared" si="10"/>
        <v>0</v>
      </c>
      <c r="G165" s="134"/>
      <c r="H165" s="135"/>
      <c r="I165" s="136">
        <f t="shared" si="11"/>
        <v>0</v>
      </c>
      <c r="J165" s="134"/>
      <c r="K165" s="135"/>
      <c r="L165" s="136">
        <f t="shared" si="12"/>
        <v>0</v>
      </c>
      <c r="M165" s="284"/>
      <c r="N165" s="285"/>
      <c r="O165" s="136">
        <f t="shared" si="13"/>
        <v>0</v>
      </c>
      <c r="P165" s="85"/>
      <c r="R165" s="53"/>
    </row>
    <row r="166" spans="1:18" hidden="1" x14ac:dyDescent="0.25">
      <c r="A166" s="254">
        <v>2390</v>
      </c>
      <c r="B166" s="179" t="s">
        <v>182</v>
      </c>
      <c r="C166" s="279">
        <f t="shared" si="9"/>
        <v>0</v>
      </c>
      <c r="D166" s="287">
        <v>0</v>
      </c>
      <c r="E166" s="291"/>
      <c r="F166" s="259">
        <f t="shared" si="10"/>
        <v>0</v>
      </c>
      <c r="G166" s="287"/>
      <c r="H166" s="289"/>
      <c r="I166" s="259">
        <f t="shared" si="11"/>
        <v>0</v>
      </c>
      <c r="J166" s="287"/>
      <c r="K166" s="289"/>
      <c r="L166" s="259">
        <f t="shared" si="12"/>
        <v>0</v>
      </c>
      <c r="M166" s="290"/>
      <c r="N166" s="291"/>
      <c r="O166" s="259">
        <f t="shared" si="13"/>
        <v>0</v>
      </c>
      <c r="P166" s="189"/>
      <c r="R166" s="53"/>
    </row>
    <row r="167" spans="1:18" hidden="1" x14ac:dyDescent="0.25">
      <c r="A167" s="99">
        <v>2400</v>
      </c>
      <c r="B167" s="247" t="s">
        <v>183</v>
      </c>
      <c r="C167" s="249">
        <f t="shared" si="9"/>
        <v>0</v>
      </c>
      <c r="D167" s="311">
        <v>0</v>
      </c>
      <c r="E167" s="312"/>
      <c r="F167" s="114">
        <f t="shared" si="10"/>
        <v>0</v>
      </c>
      <c r="G167" s="311"/>
      <c r="H167" s="314"/>
      <c r="I167" s="114">
        <f t="shared" si="11"/>
        <v>0</v>
      </c>
      <c r="J167" s="311"/>
      <c r="K167" s="314"/>
      <c r="L167" s="114">
        <f t="shared" si="12"/>
        <v>0</v>
      </c>
      <c r="M167" s="315"/>
      <c r="N167" s="312"/>
      <c r="O167" s="114">
        <f t="shared" si="13"/>
        <v>0</v>
      </c>
      <c r="P167" s="109"/>
      <c r="R167" s="53"/>
    </row>
    <row r="168" spans="1:18" ht="24" hidden="1" x14ac:dyDescent="0.25">
      <c r="A168" s="99">
        <v>2500</v>
      </c>
      <c r="B168" s="247" t="s">
        <v>184</v>
      </c>
      <c r="C168" s="249">
        <f t="shared" si="9"/>
        <v>0</v>
      </c>
      <c r="D168" s="112">
        <f>SUM(D169,D174)</f>
        <v>0</v>
      </c>
      <c r="E168" s="293">
        <f>SUM(E169,E174)</f>
        <v>0</v>
      </c>
      <c r="F168" s="114">
        <f t="shared" si="10"/>
        <v>0</v>
      </c>
      <c r="G168" s="112">
        <f>SUM(G169,G174)</f>
        <v>0</v>
      </c>
      <c r="H168" s="113">
        <f t="shared" ref="H168" si="17">SUM(H169,H174)</f>
        <v>0</v>
      </c>
      <c r="I168" s="114">
        <f t="shared" si="11"/>
        <v>0</v>
      </c>
      <c r="J168" s="112">
        <f>SUM(J169,J174)</f>
        <v>0</v>
      </c>
      <c r="K168" s="113">
        <f t="shared" ref="K168" si="18">SUM(K169,K174)</f>
        <v>0</v>
      </c>
      <c r="L168" s="114">
        <f t="shared" si="12"/>
        <v>0</v>
      </c>
      <c r="M168" s="250">
        <f t="shared" ref="M168:N168" si="19">SUM(M169,M174)</f>
        <v>0</v>
      </c>
      <c r="N168" s="251">
        <f t="shared" si="19"/>
        <v>0</v>
      </c>
      <c r="O168" s="252">
        <f t="shared" si="13"/>
        <v>0</v>
      </c>
      <c r="P168" s="253"/>
      <c r="R168" s="53"/>
    </row>
    <row r="169" spans="1:18" hidden="1" x14ac:dyDescent="0.25">
      <c r="A169" s="656">
        <v>2510</v>
      </c>
      <c r="B169" s="116" t="s">
        <v>185</v>
      </c>
      <c r="C169" s="296">
        <f t="shared" si="9"/>
        <v>0</v>
      </c>
      <c r="D169" s="297">
        <f>SUM(D170:D173)</f>
        <v>0</v>
      </c>
      <c r="E169" s="301">
        <f>SUM(E170:E173)</f>
        <v>0</v>
      </c>
      <c r="F169" s="125">
        <f t="shared" si="10"/>
        <v>0</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c r="R169" s="53"/>
    </row>
    <row r="170" spans="1:18" ht="24" hidden="1" x14ac:dyDescent="0.25">
      <c r="A170" s="76">
        <v>2512</v>
      </c>
      <c r="B170" s="127" t="s">
        <v>186</v>
      </c>
      <c r="C170" s="279">
        <f t="shared" si="9"/>
        <v>0</v>
      </c>
      <c r="D170" s="134">
        <v>0</v>
      </c>
      <c r="E170" s="285"/>
      <c r="F170" s="136">
        <f t="shared" si="10"/>
        <v>0</v>
      </c>
      <c r="G170" s="134"/>
      <c r="H170" s="135"/>
      <c r="I170" s="136">
        <f t="shared" si="11"/>
        <v>0</v>
      </c>
      <c r="J170" s="134"/>
      <c r="K170" s="135"/>
      <c r="L170" s="136">
        <f t="shared" si="12"/>
        <v>0</v>
      </c>
      <c r="M170" s="284"/>
      <c r="N170" s="285"/>
      <c r="O170" s="136">
        <f t="shared" si="13"/>
        <v>0</v>
      </c>
      <c r="P170" s="85"/>
      <c r="R170" s="53"/>
    </row>
    <row r="171" spans="1:18" ht="36" hidden="1" x14ac:dyDescent="0.25">
      <c r="A171" s="76">
        <v>2513</v>
      </c>
      <c r="B171" s="127" t="s">
        <v>187</v>
      </c>
      <c r="C171" s="279">
        <f t="shared" si="9"/>
        <v>0</v>
      </c>
      <c r="D171" s="134">
        <v>0</v>
      </c>
      <c r="E171" s="285"/>
      <c r="F171" s="136">
        <f t="shared" si="10"/>
        <v>0</v>
      </c>
      <c r="G171" s="134"/>
      <c r="H171" s="135"/>
      <c r="I171" s="136">
        <f t="shared" si="11"/>
        <v>0</v>
      </c>
      <c r="J171" s="134"/>
      <c r="K171" s="135"/>
      <c r="L171" s="136">
        <f t="shared" si="12"/>
        <v>0</v>
      </c>
      <c r="M171" s="284"/>
      <c r="N171" s="285"/>
      <c r="O171" s="136">
        <f t="shared" si="13"/>
        <v>0</v>
      </c>
      <c r="P171" s="85"/>
      <c r="R171" s="53"/>
    </row>
    <row r="172" spans="1:18" ht="24" hidden="1" x14ac:dyDescent="0.25">
      <c r="A172" s="76">
        <v>2515</v>
      </c>
      <c r="B172" s="127" t="s">
        <v>188</v>
      </c>
      <c r="C172" s="279">
        <f t="shared" si="9"/>
        <v>0</v>
      </c>
      <c r="D172" s="134">
        <v>0</v>
      </c>
      <c r="E172" s="285"/>
      <c r="F172" s="136">
        <f t="shared" si="10"/>
        <v>0</v>
      </c>
      <c r="G172" s="134"/>
      <c r="H172" s="135"/>
      <c r="I172" s="136">
        <f t="shared" si="11"/>
        <v>0</v>
      </c>
      <c r="J172" s="134"/>
      <c r="K172" s="135"/>
      <c r="L172" s="136">
        <f t="shared" si="12"/>
        <v>0</v>
      </c>
      <c r="M172" s="284"/>
      <c r="N172" s="285"/>
      <c r="O172" s="136">
        <f t="shared" si="13"/>
        <v>0</v>
      </c>
      <c r="P172" s="85"/>
      <c r="R172" s="53"/>
    </row>
    <row r="173" spans="1:18" ht="24" hidden="1" x14ac:dyDescent="0.25">
      <c r="A173" s="76">
        <v>2519</v>
      </c>
      <c r="B173" s="127" t="s">
        <v>189</v>
      </c>
      <c r="C173" s="279">
        <f t="shared" si="9"/>
        <v>0</v>
      </c>
      <c r="D173" s="134">
        <v>0</v>
      </c>
      <c r="E173" s="285"/>
      <c r="F173" s="136">
        <f t="shared" si="10"/>
        <v>0</v>
      </c>
      <c r="G173" s="134"/>
      <c r="H173" s="135"/>
      <c r="I173" s="136">
        <f t="shared" si="11"/>
        <v>0</v>
      </c>
      <c r="J173" s="134"/>
      <c r="K173" s="135"/>
      <c r="L173" s="136">
        <f t="shared" si="12"/>
        <v>0</v>
      </c>
      <c r="M173" s="284"/>
      <c r="N173" s="285"/>
      <c r="O173" s="136">
        <f t="shared" si="13"/>
        <v>0</v>
      </c>
      <c r="P173" s="85"/>
      <c r="R173" s="53"/>
    </row>
    <row r="174" spans="1:18" hidden="1" x14ac:dyDescent="0.25">
      <c r="A174" s="276">
        <v>2520</v>
      </c>
      <c r="B174" s="127" t="s">
        <v>190</v>
      </c>
      <c r="C174" s="279">
        <f t="shared" si="9"/>
        <v>0</v>
      </c>
      <c r="D174" s="134">
        <v>0</v>
      </c>
      <c r="E174" s="285"/>
      <c r="F174" s="136">
        <f t="shared" si="10"/>
        <v>0</v>
      </c>
      <c r="G174" s="134"/>
      <c r="H174" s="135"/>
      <c r="I174" s="136">
        <f t="shared" si="11"/>
        <v>0</v>
      </c>
      <c r="J174" s="134"/>
      <c r="K174" s="135"/>
      <c r="L174" s="136">
        <f t="shared" si="12"/>
        <v>0</v>
      </c>
      <c r="M174" s="284"/>
      <c r="N174" s="285"/>
      <c r="O174" s="136">
        <f t="shared" si="13"/>
        <v>0</v>
      </c>
      <c r="P174" s="85"/>
      <c r="R174" s="53"/>
    </row>
    <row r="175" spans="1:18" s="319" customFormat="1" ht="36" hidden="1" x14ac:dyDescent="0.25">
      <c r="A175" s="31">
        <v>2800</v>
      </c>
      <c r="B175" s="116" t="s">
        <v>191</v>
      </c>
      <c r="C175" s="296">
        <f t="shared" si="9"/>
        <v>0</v>
      </c>
      <c r="D175" s="68">
        <v>0</v>
      </c>
      <c r="E175" s="69"/>
      <c r="F175" s="72">
        <f t="shared" si="10"/>
        <v>0</v>
      </c>
      <c r="G175" s="68"/>
      <c r="H175" s="71"/>
      <c r="I175" s="72">
        <f t="shared" si="11"/>
        <v>0</v>
      </c>
      <c r="J175" s="68"/>
      <c r="K175" s="71"/>
      <c r="L175" s="72">
        <f t="shared" si="12"/>
        <v>0</v>
      </c>
      <c r="M175" s="73"/>
      <c r="N175" s="69"/>
      <c r="O175" s="72">
        <f t="shared" si="13"/>
        <v>0</v>
      </c>
      <c r="P175" s="74"/>
      <c r="R175" s="53"/>
    </row>
    <row r="176" spans="1:18" hidden="1" x14ac:dyDescent="0.25">
      <c r="A176" s="237">
        <v>3000</v>
      </c>
      <c r="B176" s="237" t="s">
        <v>192</v>
      </c>
      <c r="C176" s="241">
        <f t="shared" si="9"/>
        <v>0</v>
      </c>
      <c r="D176" s="239">
        <f>SUM(D177,D187)</f>
        <v>0</v>
      </c>
      <c r="E176" s="245">
        <f>SUM(E177,E187)</f>
        <v>0</v>
      </c>
      <c r="F176" s="243">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row>
    <row r="177" spans="1:18" ht="24" hidden="1" x14ac:dyDescent="0.25">
      <c r="A177" s="99">
        <v>3200</v>
      </c>
      <c r="B177" s="321" t="s">
        <v>193</v>
      </c>
      <c r="C177" s="249">
        <f t="shared" si="9"/>
        <v>0</v>
      </c>
      <c r="D177" s="112">
        <f>SUM(D178,D182)</f>
        <v>0</v>
      </c>
      <c r="E177" s="293">
        <f>SUM(E178,E182)</f>
        <v>0</v>
      </c>
      <c r="F177" s="114">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c r="R177" s="53"/>
    </row>
    <row r="178" spans="1:18" ht="36" hidden="1" x14ac:dyDescent="0.25">
      <c r="A178" s="656">
        <v>3260</v>
      </c>
      <c r="B178" s="116" t="s">
        <v>194</v>
      </c>
      <c r="C178" s="296">
        <f t="shared" si="9"/>
        <v>0</v>
      </c>
      <c r="D178" s="297">
        <f>SUM(D179:D181)</f>
        <v>0</v>
      </c>
      <c r="E178" s="301">
        <f>SUM(E179:E181)</f>
        <v>0</v>
      </c>
      <c r="F178" s="125">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row>
    <row r="179" spans="1:18" ht="24" hidden="1" x14ac:dyDescent="0.25">
      <c r="A179" s="76">
        <v>3261</v>
      </c>
      <c r="B179" s="127" t="s">
        <v>195</v>
      </c>
      <c r="C179" s="279">
        <f t="shared" si="9"/>
        <v>0</v>
      </c>
      <c r="D179" s="134">
        <v>0</v>
      </c>
      <c r="E179" s="285"/>
      <c r="F179" s="136">
        <f t="shared" si="10"/>
        <v>0</v>
      </c>
      <c r="G179" s="134"/>
      <c r="H179" s="135"/>
      <c r="I179" s="136">
        <f t="shared" si="11"/>
        <v>0</v>
      </c>
      <c r="J179" s="134"/>
      <c r="K179" s="135"/>
      <c r="L179" s="136">
        <f t="shared" si="12"/>
        <v>0</v>
      </c>
      <c r="M179" s="284"/>
      <c r="N179" s="285"/>
      <c r="O179" s="136">
        <f t="shared" si="13"/>
        <v>0</v>
      </c>
      <c r="P179" s="85"/>
      <c r="R179" s="53"/>
    </row>
    <row r="180" spans="1:18" ht="36" hidden="1" x14ac:dyDescent="0.25">
      <c r="A180" s="76">
        <v>3262</v>
      </c>
      <c r="B180" s="127" t="s">
        <v>196</v>
      </c>
      <c r="C180" s="279">
        <f t="shared" si="9"/>
        <v>0</v>
      </c>
      <c r="D180" s="134">
        <v>0</v>
      </c>
      <c r="E180" s="285"/>
      <c r="F180" s="136">
        <f t="shared" si="10"/>
        <v>0</v>
      </c>
      <c r="G180" s="134"/>
      <c r="H180" s="135"/>
      <c r="I180" s="136">
        <f t="shared" si="11"/>
        <v>0</v>
      </c>
      <c r="J180" s="134"/>
      <c r="K180" s="135"/>
      <c r="L180" s="136">
        <f t="shared" si="12"/>
        <v>0</v>
      </c>
      <c r="M180" s="284"/>
      <c r="N180" s="285"/>
      <c r="O180" s="136">
        <f t="shared" si="13"/>
        <v>0</v>
      </c>
      <c r="P180" s="85"/>
      <c r="R180" s="53"/>
    </row>
    <row r="181" spans="1:18" ht="24" hidden="1" x14ac:dyDescent="0.25">
      <c r="A181" s="76">
        <v>3263</v>
      </c>
      <c r="B181" s="127" t="s">
        <v>197</v>
      </c>
      <c r="C181" s="279">
        <f t="shared" si="9"/>
        <v>0</v>
      </c>
      <c r="D181" s="134">
        <v>0</v>
      </c>
      <c r="E181" s="285"/>
      <c r="F181" s="136">
        <f t="shared" si="10"/>
        <v>0</v>
      </c>
      <c r="G181" s="134"/>
      <c r="H181" s="135"/>
      <c r="I181" s="136">
        <f t="shared" si="11"/>
        <v>0</v>
      </c>
      <c r="J181" s="134"/>
      <c r="K181" s="135"/>
      <c r="L181" s="136">
        <f t="shared" si="12"/>
        <v>0</v>
      </c>
      <c r="M181" s="284"/>
      <c r="N181" s="285"/>
      <c r="O181" s="136">
        <f t="shared" si="13"/>
        <v>0</v>
      </c>
      <c r="P181" s="85"/>
      <c r="R181" s="53"/>
    </row>
    <row r="182" spans="1:18" ht="84" hidden="1" x14ac:dyDescent="0.25">
      <c r="A182" s="656">
        <v>3290</v>
      </c>
      <c r="B182" s="116" t="s">
        <v>198</v>
      </c>
      <c r="C182" s="279">
        <f t="shared" ref="C182:C258" si="26">F182+I182+L182+O182</f>
        <v>0</v>
      </c>
      <c r="D182" s="297">
        <f>SUM(D183:D186)</f>
        <v>0</v>
      </c>
      <c r="E182" s="301">
        <f>SUM(E183:E186)</f>
        <v>0</v>
      </c>
      <c r="F182" s="125">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c r="R182" s="53"/>
    </row>
    <row r="183" spans="1:18" ht="60" hidden="1" x14ac:dyDescent="0.25">
      <c r="A183" s="76">
        <v>3291</v>
      </c>
      <c r="B183" s="127" t="s">
        <v>199</v>
      </c>
      <c r="C183" s="279">
        <f t="shared" si="26"/>
        <v>0</v>
      </c>
      <c r="D183" s="134">
        <v>0</v>
      </c>
      <c r="E183" s="285"/>
      <c r="F183" s="136">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c r="R183" s="53"/>
    </row>
    <row r="184" spans="1:18" ht="72" hidden="1" x14ac:dyDescent="0.25">
      <c r="A184" s="76">
        <v>3292</v>
      </c>
      <c r="B184" s="127" t="s">
        <v>200</v>
      </c>
      <c r="C184" s="279">
        <f t="shared" si="26"/>
        <v>0</v>
      </c>
      <c r="D184" s="134">
        <v>0</v>
      </c>
      <c r="E184" s="285"/>
      <c r="F184" s="136">
        <f t="shared" si="30"/>
        <v>0</v>
      </c>
      <c r="G184" s="134"/>
      <c r="H184" s="135"/>
      <c r="I184" s="136">
        <f t="shared" si="31"/>
        <v>0</v>
      </c>
      <c r="J184" s="134"/>
      <c r="K184" s="135"/>
      <c r="L184" s="136">
        <f t="shared" si="32"/>
        <v>0</v>
      </c>
      <c r="M184" s="284"/>
      <c r="N184" s="285"/>
      <c r="O184" s="136">
        <f t="shared" si="33"/>
        <v>0</v>
      </c>
      <c r="P184" s="85"/>
      <c r="R184" s="53"/>
    </row>
    <row r="185" spans="1:18" ht="60" hidden="1" x14ac:dyDescent="0.25">
      <c r="A185" s="76">
        <v>3293</v>
      </c>
      <c r="B185" s="127" t="s">
        <v>201</v>
      </c>
      <c r="C185" s="279">
        <f t="shared" si="26"/>
        <v>0</v>
      </c>
      <c r="D185" s="134">
        <v>0</v>
      </c>
      <c r="E185" s="285"/>
      <c r="F185" s="136">
        <f t="shared" si="30"/>
        <v>0</v>
      </c>
      <c r="G185" s="134"/>
      <c r="H185" s="135"/>
      <c r="I185" s="136">
        <f t="shared" si="31"/>
        <v>0</v>
      </c>
      <c r="J185" s="134"/>
      <c r="K185" s="135"/>
      <c r="L185" s="136">
        <f t="shared" si="32"/>
        <v>0</v>
      </c>
      <c r="M185" s="284"/>
      <c r="N185" s="285"/>
      <c r="O185" s="136">
        <f t="shared" si="33"/>
        <v>0</v>
      </c>
      <c r="P185" s="85"/>
      <c r="R185" s="53"/>
    </row>
    <row r="186" spans="1:18" ht="48" hidden="1" x14ac:dyDescent="0.25">
      <c r="A186" s="326">
        <v>3294</v>
      </c>
      <c r="B186" s="127" t="s">
        <v>202</v>
      </c>
      <c r="C186" s="647">
        <f t="shared" si="26"/>
        <v>0</v>
      </c>
      <c r="D186" s="328">
        <v>0</v>
      </c>
      <c r="E186" s="329"/>
      <c r="F186" s="324">
        <f t="shared" si="30"/>
        <v>0</v>
      </c>
      <c r="G186" s="328"/>
      <c r="H186" s="331"/>
      <c r="I186" s="324">
        <f t="shared" si="31"/>
        <v>0</v>
      </c>
      <c r="J186" s="328"/>
      <c r="K186" s="331"/>
      <c r="L186" s="324">
        <f t="shared" si="32"/>
        <v>0</v>
      </c>
      <c r="M186" s="332"/>
      <c r="N186" s="329"/>
      <c r="O186" s="324">
        <f t="shared" si="33"/>
        <v>0</v>
      </c>
      <c r="P186" s="325"/>
      <c r="R186" s="53"/>
    </row>
    <row r="187" spans="1:18" ht="48" hidden="1" x14ac:dyDescent="0.25">
      <c r="A187" s="160">
        <v>3300</v>
      </c>
      <c r="B187" s="321" t="s">
        <v>203</v>
      </c>
      <c r="C187" s="648">
        <f t="shared" si="26"/>
        <v>0</v>
      </c>
      <c r="D187" s="334">
        <f>SUM(D188:D189)</f>
        <v>0</v>
      </c>
      <c r="E187" s="251">
        <f>SUM(E188:E189)</f>
        <v>0</v>
      </c>
      <c r="F187" s="252">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c r="R187" s="53"/>
    </row>
    <row r="188" spans="1:18" ht="48" hidden="1" x14ac:dyDescent="0.25">
      <c r="A188" s="178">
        <v>3310</v>
      </c>
      <c r="B188" s="179" t="s">
        <v>204</v>
      </c>
      <c r="C188" s="257">
        <f t="shared" si="26"/>
        <v>0</v>
      </c>
      <c r="D188" s="287">
        <v>0</v>
      </c>
      <c r="E188" s="291"/>
      <c r="F188" s="259">
        <f t="shared" si="30"/>
        <v>0</v>
      </c>
      <c r="G188" s="287"/>
      <c r="H188" s="289"/>
      <c r="I188" s="259">
        <f t="shared" si="31"/>
        <v>0</v>
      </c>
      <c r="J188" s="287"/>
      <c r="K188" s="289"/>
      <c r="L188" s="259">
        <f t="shared" si="32"/>
        <v>0</v>
      </c>
      <c r="M188" s="290"/>
      <c r="N188" s="291"/>
      <c r="O188" s="259">
        <f t="shared" si="33"/>
        <v>0</v>
      </c>
      <c r="P188" s="189"/>
      <c r="R188" s="53"/>
    </row>
    <row r="189" spans="1:18" ht="48" hidden="1" x14ac:dyDescent="0.25">
      <c r="A189" s="66">
        <v>3320</v>
      </c>
      <c r="B189" s="116" t="s">
        <v>205</v>
      </c>
      <c r="C189" s="296">
        <f t="shared" si="26"/>
        <v>0</v>
      </c>
      <c r="D189" s="123">
        <v>0</v>
      </c>
      <c r="E189" s="262"/>
      <c r="F189" s="125">
        <f t="shared" si="30"/>
        <v>0</v>
      </c>
      <c r="G189" s="123"/>
      <c r="H189" s="124"/>
      <c r="I189" s="125">
        <f t="shared" si="31"/>
        <v>0</v>
      </c>
      <c r="J189" s="123"/>
      <c r="K189" s="124"/>
      <c r="L189" s="125">
        <f t="shared" si="32"/>
        <v>0</v>
      </c>
      <c r="M189" s="264"/>
      <c r="N189" s="262"/>
      <c r="O189" s="125">
        <f t="shared" si="33"/>
        <v>0</v>
      </c>
      <c r="P189" s="74"/>
      <c r="R189" s="53"/>
    </row>
    <row r="190" spans="1:18" hidden="1" x14ac:dyDescent="0.25">
      <c r="A190" s="337">
        <v>4000</v>
      </c>
      <c r="B190" s="237" t="s">
        <v>206</v>
      </c>
      <c r="C190" s="241">
        <f t="shared" si="26"/>
        <v>0</v>
      </c>
      <c r="D190" s="239">
        <f>SUM(D191,D194)</f>
        <v>0</v>
      </c>
      <c r="E190" s="245">
        <f>SUM(E191,E194)</f>
        <v>0</v>
      </c>
      <c r="F190" s="243">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c r="R190" s="53"/>
    </row>
    <row r="191" spans="1:18" ht="24" hidden="1" x14ac:dyDescent="0.25">
      <c r="A191" s="338">
        <v>4200</v>
      </c>
      <c r="B191" s="247" t="s">
        <v>207</v>
      </c>
      <c r="C191" s="249">
        <f t="shared" si="26"/>
        <v>0</v>
      </c>
      <c r="D191" s="112">
        <f>SUM(D192,D193)</f>
        <v>0</v>
      </c>
      <c r="E191" s="293">
        <f>SUM(E192,E193)</f>
        <v>0</v>
      </c>
      <c r="F191" s="114">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c r="R191" s="53"/>
    </row>
    <row r="192" spans="1:18" ht="36" hidden="1" x14ac:dyDescent="0.25">
      <c r="A192" s="656">
        <v>4240</v>
      </c>
      <c r="B192" s="116" t="s">
        <v>208</v>
      </c>
      <c r="C192" s="296">
        <f t="shared" si="26"/>
        <v>0</v>
      </c>
      <c r="D192" s="123">
        <v>0</v>
      </c>
      <c r="E192" s="262"/>
      <c r="F192" s="125">
        <f t="shared" si="30"/>
        <v>0</v>
      </c>
      <c r="G192" s="123"/>
      <c r="H192" s="124"/>
      <c r="I192" s="125">
        <f t="shared" si="31"/>
        <v>0</v>
      </c>
      <c r="J192" s="123"/>
      <c r="K192" s="124"/>
      <c r="L192" s="125">
        <f t="shared" si="32"/>
        <v>0</v>
      </c>
      <c r="M192" s="264"/>
      <c r="N192" s="262"/>
      <c r="O192" s="125">
        <f t="shared" si="33"/>
        <v>0</v>
      </c>
      <c r="P192" s="74"/>
      <c r="R192" s="53"/>
    </row>
    <row r="193" spans="1:18" ht="24" hidden="1" x14ac:dyDescent="0.25">
      <c r="A193" s="276">
        <v>4250</v>
      </c>
      <c r="B193" s="127" t="s">
        <v>209</v>
      </c>
      <c r="C193" s="279">
        <f t="shared" si="26"/>
        <v>0</v>
      </c>
      <c r="D193" s="134">
        <v>0</v>
      </c>
      <c r="E193" s="285"/>
      <c r="F193" s="136">
        <f t="shared" si="30"/>
        <v>0</v>
      </c>
      <c r="G193" s="134"/>
      <c r="H193" s="135"/>
      <c r="I193" s="136">
        <f t="shared" si="31"/>
        <v>0</v>
      </c>
      <c r="J193" s="134"/>
      <c r="K193" s="135"/>
      <c r="L193" s="136">
        <f t="shared" si="32"/>
        <v>0</v>
      </c>
      <c r="M193" s="284"/>
      <c r="N193" s="285"/>
      <c r="O193" s="136">
        <f t="shared" si="33"/>
        <v>0</v>
      </c>
      <c r="P193" s="85"/>
      <c r="R193" s="53"/>
    </row>
    <row r="194" spans="1:18" hidden="1" x14ac:dyDescent="0.25">
      <c r="A194" s="99">
        <v>4300</v>
      </c>
      <c r="B194" s="247" t="s">
        <v>210</v>
      </c>
      <c r="C194" s="249">
        <f t="shared" si="26"/>
        <v>0</v>
      </c>
      <c r="D194" s="112">
        <f>SUM(D195)</f>
        <v>0</v>
      </c>
      <c r="E194" s="293">
        <f>SUM(E195)</f>
        <v>0</v>
      </c>
      <c r="F194" s="114">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c r="R194" s="53"/>
    </row>
    <row r="195" spans="1:18" ht="24" hidden="1" x14ac:dyDescent="0.25">
      <c r="A195" s="656">
        <v>4310</v>
      </c>
      <c r="B195" s="116" t="s">
        <v>211</v>
      </c>
      <c r="C195" s="296">
        <f t="shared" si="26"/>
        <v>0</v>
      </c>
      <c r="D195" s="297">
        <f>SUM(D196:D196)</f>
        <v>0</v>
      </c>
      <c r="E195" s="301">
        <f>SUM(E196:E196)</f>
        <v>0</v>
      </c>
      <c r="F195" s="125">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c r="R195" s="53"/>
    </row>
    <row r="196" spans="1:18" ht="36" hidden="1" x14ac:dyDescent="0.25">
      <c r="A196" s="76">
        <v>4311</v>
      </c>
      <c r="B196" s="127" t="s">
        <v>212</v>
      </c>
      <c r="C196" s="279">
        <f t="shared" si="26"/>
        <v>0</v>
      </c>
      <c r="D196" s="134">
        <v>0</v>
      </c>
      <c r="E196" s="285"/>
      <c r="F196" s="136">
        <f t="shared" si="30"/>
        <v>0</v>
      </c>
      <c r="G196" s="134"/>
      <c r="H196" s="135"/>
      <c r="I196" s="136">
        <f t="shared" si="31"/>
        <v>0</v>
      </c>
      <c r="J196" s="134"/>
      <c r="K196" s="135"/>
      <c r="L196" s="136">
        <f t="shared" si="32"/>
        <v>0</v>
      </c>
      <c r="M196" s="284"/>
      <c r="N196" s="285"/>
      <c r="O196" s="136">
        <f t="shared" si="33"/>
        <v>0</v>
      </c>
      <c r="P196" s="85"/>
      <c r="R196" s="53"/>
    </row>
    <row r="197" spans="1:18" s="41" customFormat="1" x14ac:dyDescent="0.25">
      <c r="A197" s="339"/>
      <c r="B197" s="31" t="s">
        <v>213</v>
      </c>
      <c r="C197" s="232">
        <f t="shared" si="26"/>
        <v>68743</v>
      </c>
      <c r="D197" s="230">
        <f>SUM(D198,D233,D271)</f>
        <v>68743</v>
      </c>
      <c r="E197" s="235">
        <f>SUM(E198,E233,E271)</f>
        <v>0</v>
      </c>
      <c r="F197" s="234">
        <f t="shared" si="30"/>
        <v>68743</v>
      </c>
      <c r="G197" s="230">
        <f>SUM(G198,G233,G271)</f>
        <v>0</v>
      </c>
      <c r="H197" s="233">
        <f>SUM(H198,H233,H271)</f>
        <v>0</v>
      </c>
      <c r="I197" s="234">
        <f t="shared" si="31"/>
        <v>0</v>
      </c>
      <c r="J197" s="230">
        <f>SUM(J198,J233,J271)</f>
        <v>0</v>
      </c>
      <c r="K197" s="233">
        <f>SUM(K198,K233,K271)</f>
        <v>0</v>
      </c>
      <c r="L197" s="234">
        <f t="shared" si="32"/>
        <v>0</v>
      </c>
      <c r="M197" s="340">
        <f>SUM(M198,M233,M271)</f>
        <v>0</v>
      </c>
      <c r="N197" s="341">
        <f>SUM(N198,N233,N271)</f>
        <v>0</v>
      </c>
      <c r="O197" s="342">
        <f t="shared" si="33"/>
        <v>0</v>
      </c>
      <c r="P197" s="343"/>
      <c r="R197" s="53"/>
    </row>
    <row r="198" spans="1:18" x14ac:dyDescent="0.25">
      <c r="A198" s="237">
        <v>5000</v>
      </c>
      <c r="B198" s="237" t="s">
        <v>214</v>
      </c>
      <c r="C198" s="241">
        <f>F198+I198+L198+O198</f>
        <v>1500</v>
      </c>
      <c r="D198" s="239">
        <f>D199+D207</f>
        <v>1500</v>
      </c>
      <c r="E198" s="245">
        <f>E199+E207</f>
        <v>0</v>
      </c>
      <c r="F198" s="243">
        <f t="shared" si="30"/>
        <v>1500</v>
      </c>
      <c r="G198" s="239">
        <f>G199+G207</f>
        <v>0</v>
      </c>
      <c r="H198" s="242">
        <f>H199+H207</f>
        <v>0</v>
      </c>
      <c r="I198" s="243">
        <f t="shared" si="31"/>
        <v>0</v>
      </c>
      <c r="J198" s="239">
        <f>J199+J207</f>
        <v>0</v>
      </c>
      <c r="K198" s="242">
        <f>K199+K207</f>
        <v>0</v>
      </c>
      <c r="L198" s="243">
        <f t="shared" si="32"/>
        <v>0</v>
      </c>
      <c r="M198" s="244">
        <f>M199+M207</f>
        <v>0</v>
      </c>
      <c r="N198" s="245">
        <f>N199+N207</f>
        <v>0</v>
      </c>
      <c r="O198" s="243">
        <f t="shared" si="33"/>
        <v>0</v>
      </c>
      <c r="P198" s="246"/>
      <c r="R198" s="53"/>
    </row>
    <row r="199" spans="1:18" hidden="1" x14ac:dyDescent="0.25">
      <c r="A199" s="99">
        <v>5100</v>
      </c>
      <c r="B199" s="247" t="s">
        <v>215</v>
      </c>
      <c r="C199" s="249">
        <f t="shared" si="26"/>
        <v>0</v>
      </c>
      <c r="D199" s="112">
        <f>D200+D201+D204+D205+D206</f>
        <v>0</v>
      </c>
      <c r="E199" s="293">
        <f>E200+E201+E204+E205+E206</f>
        <v>0</v>
      </c>
      <c r="F199" s="114">
        <f t="shared" si="30"/>
        <v>0</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c r="R199" s="53"/>
    </row>
    <row r="200" spans="1:18" hidden="1" x14ac:dyDescent="0.25">
      <c r="A200" s="656">
        <v>5110</v>
      </c>
      <c r="B200" s="116" t="s">
        <v>216</v>
      </c>
      <c r="C200" s="296">
        <f t="shared" si="26"/>
        <v>0</v>
      </c>
      <c r="D200" s="123">
        <v>0</v>
      </c>
      <c r="E200" s="262"/>
      <c r="F200" s="125">
        <f t="shared" si="30"/>
        <v>0</v>
      </c>
      <c r="G200" s="123"/>
      <c r="H200" s="124"/>
      <c r="I200" s="125">
        <f t="shared" si="31"/>
        <v>0</v>
      </c>
      <c r="J200" s="123"/>
      <c r="K200" s="124"/>
      <c r="L200" s="125">
        <f t="shared" si="32"/>
        <v>0</v>
      </c>
      <c r="M200" s="264"/>
      <c r="N200" s="262"/>
      <c r="O200" s="125">
        <f t="shared" si="33"/>
        <v>0</v>
      </c>
      <c r="P200" s="74"/>
      <c r="R200" s="53"/>
    </row>
    <row r="201" spans="1:18" ht="24" hidden="1" x14ac:dyDescent="0.25">
      <c r="A201" s="276">
        <v>5120</v>
      </c>
      <c r="B201" s="127" t="s">
        <v>217</v>
      </c>
      <c r="C201" s="279">
        <f t="shared" si="26"/>
        <v>0</v>
      </c>
      <c r="D201" s="277">
        <f>D202+D203</f>
        <v>0</v>
      </c>
      <c r="E201" s="282">
        <f>E202+E203</f>
        <v>0</v>
      </c>
      <c r="F201" s="136">
        <f t="shared" si="30"/>
        <v>0</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c r="R201" s="53"/>
    </row>
    <row r="202" spans="1:18" hidden="1" x14ac:dyDescent="0.25">
      <c r="A202" s="76">
        <v>5121</v>
      </c>
      <c r="B202" s="127" t="s">
        <v>218</v>
      </c>
      <c r="C202" s="279">
        <f t="shared" si="26"/>
        <v>0</v>
      </c>
      <c r="D202" s="134">
        <v>0</v>
      </c>
      <c r="E202" s="285"/>
      <c r="F202" s="136">
        <f t="shared" si="30"/>
        <v>0</v>
      </c>
      <c r="G202" s="134"/>
      <c r="H202" s="135"/>
      <c r="I202" s="136">
        <f t="shared" si="31"/>
        <v>0</v>
      </c>
      <c r="J202" s="134"/>
      <c r="K202" s="135"/>
      <c r="L202" s="136">
        <f t="shared" si="32"/>
        <v>0</v>
      </c>
      <c r="M202" s="284"/>
      <c r="N202" s="285"/>
      <c r="O202" s="136">
        <f t="shared" si="33"/>
        <v>0</v>
      </c>
      <c r="P202" s="85"/>
      <c r="R202" s="53"/>
    </row>
    <row r="203" spans="1:18" ht="24" hidden="1" x14ac:dyDescent="0.25">
      <c r="A203" s="76">
        <v>5129</v>
      </c>
      <c r="B203" s="127" t="s">
        <v>219</v>
      </c>
      <c r="C203" s="279">
        <f t="shared" si="26"/>
        <v>0</v>
      </c>
      <c r="D203" s="134">
        <v>0</v>
      </c>
      <c r="E203" s="285"/>
      <c r="F203" s="136">
        <f t="shared" si="30"/>
        <v>0</v>
      </c>
      <c r="G203" s="134"/>
      <c r="H203" s="135"/>
      <c r="I203" s="136">
        <f t="shared" si="31"/>
        <v>0</v>
      </c>
      <c r="J203" s="134"/>
      <c r="K203" s="135"/>
      <c r="L203" s="136">
        <f t="shared" si="32"/>
        <v>0</v>
      </c>
      <c r="M203" s="284"/>
      <c r="N203" s="285"/>
      <c r="O203" s="136">
        <f t="shared" si="33"/>
        <v>0</v>
      </c>
      <c r="P203" s="85"/>
      <c r="R203" s="53"/>
    </row>
    <row r="204" spans="1:18" hidden="1" x14ac:dyDescent="0.25">
      <c r="A204" s="276">
        <v>5130</v>
      </c>
      <c r="B204" s="127" t="s">
        <v>220</v>
      </c>
      <c r="C204" s="279">
        <f t="shared" si="26"/>
        <v>0</v>
      </c>
      <c r="D204" s="134">
        <v>0</v>
      </c>
      <c r="E204" s="285"/>
      <c r="F204" s="136">
        <f t="shared" si="30"/>
        <v>0</v>
      </c>
      <c r="G204" s="134"/>
      <c r="H204" s="135"/>
      <c r="I204" s="136">
        <f t="shared" si="31"/>
        <v>0</v>
      </c>
      <c r="J204" s="134"/>
      <c r="K204" s="135"/>
      <c r="L204" s="136">
        <f t="shared" si="32"/>
        <v>0</v>
      </c>
      <c r="M204" s="284"/>
      <c r="N204" s="285"/>
      <c r="O204" s="136">
        <f t="shared" si="33"/>
        <v>0</v>
      </c>
      <c r="P204" s="85"/>
      <c r="R204" s="53"/>
    </row>
    <row r="205" spans="1:18" hidden="1" x14ac:dyDescent="0.25">
      <c r="A205" s="276">
        <v>5140</v>
      </c>
      <c r="B205" s="127" t="s">
        <v>221</v>
      </c>
      <c r="C205" s="279">
        <f t="shared" si="26"/>
        <v>0</v>
      </c>
      <c r="D205" s="134">
        <v>0</v>
      </c>
      <c r="E205" s="285"/>
      <c r="F205" s="136">
        <f t="shared" si="30"/>
        <v>0</v>
      </c>
      <c r="G205" s="134"/>
      <c r="H205" s="135"/>
      <c r="I205" s="136">
        <f t="shared" si="31"/>
        <v>0</v>
      </c>
      <c r="J205" s="134"/>
      <c r="K205" s="135"/>
      <c r="L205" s="136">
        <f t="shared" si="32"/>
        <v>0</v>
      </c>
      <c r="M205" s="284"/>
      <c r="N205" s="285"/>
      <c r="O205" s="136">
        <f t="shared" si="33"/>
        <v>0</v>
      </c>
      <c r="P205" s="85"/>
      <c r="R205" s="53"/>
    </row>
    <row r="206" spans="1:18" ht="24" hidden="1" x14ac:dyDescent="0.25">
      <c r="A206" s="276">
        <v>5170</v>
      </c>
      <c r="B206" s="127" t="s">
        <v>222</v>
      </c>
      <c r="C206" s="279">
        <f t="shared" si="26"/>
        <v>0</v>
      </c>
      <c r="D206" s="134">
        <v>0</v>
      </c>
      <c r="E206" s="285"/>
      <c r="F206" s="136">
        <f t="shared" si="30"/>
        <v>0</v>
      </c>
      <c r="G206" s="134"/>
      <c r="H206" s="135"/>
      <c r="I206" s="136">
        <f t="shared" si="31"/>
        <v>0</v>
      </c>
      <c r="J206" s="134"/>
      <c r="K206" s="135"/>
      <c r="L206" s="136">
        <f t="shared" si="32"/>
        <v>0</v>
      </c>
      <c r="M206" s="284"/>
      <c r="N206" s="285"/>
      <c r="O206" s="136">
        <f t="shared" si="33"/>
        <v>0</v>
      </c>
      <c r="P206" s="85"/>
      <c r="R206" s="53"/>
    </row>
    <row r="207" spans="1:18" x14ac:dyDescent="0.25">
      <c r="A207" s="99">
        <v>5200</v>
      </c>
      <c r="B207" s="247" t="s">
        <v>223</v>
      </c>
      <c r="C207" s="249">
        <f t="shared" si="26"/>
        <v>1500</v>
      </c>
      <c r="D207" s="112">
        <f>D208+D218+D219+D228+D229+D230+D232</f>
        <v>1500</v>
      </c>
      <c r="E207" s="293">
        <f>E208+E218+E219+E228+E229+E230+E232</f>
        <v>0</v>
      </c>
      <c r="F207" s="114">
        <f t="shared" si="30"/>
        <v>1500</v>
      </c>
      <c r="G207" s="112">
        <f>G208+G218+G219+G228+G229+G230+G232</f>
        <v>0</v>
      </c>
      <c r="H207" s="113">
        <f>H208+H218+H219+H228+H229+H230+H232</f>
        <v>0</v>
      </c>
      <c r="I207" s="114">
        <f t="shared" si="31"/>
        <v>0</v>
      </c>
      <c r="J207" s="112">
        <f>J208+J218+J219+J228+J229+J230+J232</f>
        <v>0</v>
      </c>
      <c r="K207" s="113">
        <f>K208+K218+K219+K228+K229+K230+K232</f>
        <v>0</v>
      </c>
      <c r="L207" s="114">
        <f t="shared" si="32"/>
        <v>0</v>
      </c>
      <c r="M207" s="292">
        <f>M208+M218+M219+M228+M229+M230+M232</f>
        <v>0</v>
      </c>
      <c r="N207" s="293">
        <f>N208+N218+N219+N228+N229+N230+N232</f>
        <v>0</v>
      </c>
      <c r="O207" s="114">
        <f t="shared" si="33"/>
        <v>0</v>
      </c>
      <c r="P207" s="109"/>
      <c r="R207" s="53"/>
    </row>
    <row r="208" spans="1:18" hidden="1" x14ac:dyDescent="0.25">
      <c r="A208" s="254">
        <v>5210</v>
      </c>
      <c r="B208" s="179" t="s">
        <v>224</v>
      </c>
      <c r="C208" s="257">
        <f t="shared" si="26"/>
        <v>0</v>
      </c>
      <c r="D208" s="255">
        <f>SUM(D209:D217)</f>
        <v>0</v>
      </c>
      <c r="E208" s="261">
        <f>SUM(E209:E217)</f>
        <v>0</v>
      </c>
      <c r="F208" s="259">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c r="R208" s="53"/>
    </row>
    <row r="209" spans="1:18" hidden="1" x14ac:dyDescent="0.25">
      <c r="A209" s="66">
        <v>5211</v>
      </c>
      <c r="B209" s="116" t="s">
        <v>225</v>
      </c>
      <c r="C209" s="279">
        <f t="shared" si="26"/>
        <v>0</v>
      </c>
      <c r="D209" s="123">
        <v>0</v>
      </c>
      <c r="E209" s="262"/>
      <c r="F209" s="125">
        <f t="shared" si="30"/>
        <v>0</v>
      </c>
      <c r="G209" s="123"/>
      <c r="H209" s="124"/>
      <c r="I209" s="125">
        <f t="shared" si="31"/>
        <v>0</v>
      </c>
      <c r="J209" s="123"/>
      <c r="K209" s="124"/>
      <c r="L209" s="125">
        <f t="shared" si="32"/>
        <v>0</v>
      </c>
      <c r="M209" s="264"/>
      <c r="N209" s="262"/>
      <c r="O209" s="125">
        <f t="shared" si="33"/>
        <v>0</v>
      </c>
      <c r="P209" s="74"/>
      <c r="R209" s="53"/>
    </row>
    <row r="210" spans="1:18" hidden="1" x14ac:dyDescent="0.25">
      <c r="A210" s="76">
        <v>5212</v>
      </c>
      <c r="B210" s="127" t="s">
        <v>226</v>
      </c>
      <c r="C210" s="279">
        <f t="shared" si="26"/>
        <v>0</v>
      </c>
      <c r="D210" s="134">
        <v>0</v>
      </c>
      <c r="E210" s="285"/>
      <c r="F210" s="136">
        <f t="shared" si="30"/>
        <v>0</v>
      </c>
      <c r="G210" s="134"/>
      <c r="H210" s="135"/>
      <c r="I210" s="136">
        <f t="shared" si="31"/>
        <v>0</v>
      </c>
      <c r="J210" s="134"/>
      <c r="K210" s="135"/>
      <c r="L210" s="136">
        <f t="shared" si="32"/>
        <v>0</v>
      </c>
      <c r="M210" s="284"/>
      <c r="N210" s="285"/>
      <c r="O210" s="136">
        <f t="shared" si="33"/>
        <v>0</v>
      </c>
      <c r="P210" s="85"/>
      <c r="R210" s="53"/>
    </row>
    <row r="211" spans="1:18" hidden="1" x14ac:dyDescent="0.25">
      <c r="A211" s="76">
        <v>5213</v>
      </c>
      <c r="B211" s="127" t="s">
        <v>227</v>
      </c>
      <c r="C211" s="279">
        <f t="shared" si="26"/>
        <v>0</v>
      </c>
      <c r="D211" s="134">
        <v>0</v>
      </c>
      <c r="E211" s="285"/>
      <c r="F211" s="136">
        <f t="shared" si="30"/>
        <v>0</v>
      </c>
      <c r="G211" s="134"/>
      <c r="H211" s="135"/>
      <c r="I211" s="136">
        <f t="shared" si="31"/>
        <v>0</v>
      </c>
      <c r="J211" s="134"/>
      <c r="K211" s="135"/>
      <c r="L211" s="136">
        <f t="shared" si="32"/>
        <v>0</v>
      </c>
      <c r="M211" s="284"/>
      <c r="N211" s="285"/>
      <c r="O211" s="136">
        <f t="shared" si="33"/>
        <v>0</v>
      </c>
      <c r="P211" s="85"/>
      <c r="R211" s="53"/>
    </row>
    <row r="212" spans="1:18" hidden="1" x14ac:dyDescent="0.25">
      <c r="A212" s="76">
        <v>5214</v>
      </c>
      <c r="B212" s="127" t="s">
        <v>228</v>
      </c>
      <c r="C212" s="279">
        <f t="shared" si="26"/>
        <v>0</v>
      </c>
      <c r="D212" s="134">
        <v>0</v>
      </c>
      <c r="E212" s="285"/>
      <c r="F212" s="136">
        <f t="shared" si="30"/>
        <v>0</v>
      </c>
      <c r="G212" s="134"/>
      <c r="H212" s="135"/>
      <c r="I212" s="136">
        <f t="shared" si="31"/>
        <v>0</v>
      </c>
      <c r="J212" s="134"/>
      <c r="K212" s="135"/>
      <c r="L212" s="136">
        <f t="shared" si="32"/>
        <v>0</v>
      </c>
      <c r="M212" s="284"/>
      <c r="N212" s="285"/>
      <c r="O212" s="136">
        <f t="shared" si="33"/>
        <v>0</v>
      </c>
      <c r="P212" s="85"/>
      <c r="R212" s="53"/>
    </row>
    <row r="213" spans="1:18" hidden="1" x14ac:dyDescent="0.25">
      <c r="A213" s="76">
        <v>5215</v>
      </c>
      <c r="B213" s="127" t="s">
        <v>229</v>
      </c>
      <c r="C213" s="279">
        <f t="shared" si="26"/>
        <v>0</v>
      </c>
      <c r="D213" s="134">
        <v>0</v>
      </c>
      <c r="E213" s="285"/>
      <c r="F213" s="136">
        <f t="shared" si="30"/>
        <v>0</v>
      </c>
      <c r="G213" s="134"/>
      <c r="H213" s="135"/>
      <c r="I213" s="136">
        <f t="shared" si="31"/>
        <v>0</v>
      </c>
      <c r="J213" s="134"/>
      <c r="K213" s="135"/>
      <c r="L213" s="136">
        <f t="shared" si="32"/>
        <v>0</v>
      </c>
      <c r="M213" s="284"/>
      <c r="N213" s="285"/>
      <c r="O213" s="136">
        <f t="shared" si="33"/>
        <v>0</v>
      </c>
      <c r="P213" s="85"/>
      <c r="R213" s="53"/>
    </row>
    <row r="214" spans="1:18" hidden="1" x14ac:dyDescent="0.25">
      <c r="A214" s="76">
        <v>5216</v>
      </c>
      <c r="B214" s="127" t="s">
        <v>230</v>
      </c>
      <c r="C214" s="279">
        <f t="shared" si="26"/>
        <v>0</v>
      </c>
      <c r="D214" s="134">
        <v>0</v>
      </c>
      <c r="E214" s="285"/>
      <c r="F214" s="136">
        <f t="shared" si="30"/>
        <v>0</v>
      </c>
      <c r="G214" s="134"/>
      <c r="H214" s="135"/>
      <c r="I214" s="136">
        <f t="shared" si="31"/>
        <v>0</v>
      </c>
      <c r="J214" s="134"/>
      <c r="K214" s="135"/>
      <c r="L214" s="136">
        <f t="shared" si="32"/>
        <v>0</v>
      </c>
      <c r="M214" s="284"/>
      <c r="N214" s="285"/>
      <c r="O214" s="136">
        <f t="shared" si="33"/>
        <v>0</v>
      </c>
      <c r="P214" s="85"/>
      <c r="R214" s="53"/>
    </row>
    <row r="215" spans="1:18" hidden="1" x14ac:dyDescent="0.25">
      <c r="A215" s="76">
        <v>5217</v>
      </c>
      <c r="B215" s="127" t="s">
        <v>231</v>
      </c>
      <c r="C215" s="279">
        <f t="shared" si="26"/>
        <v>0</v>
      </c>
      <c r="D215" s="134">
        <v>0</v>
      </c>
      <c r="E215" s="285"/>
      <c r="F215" s="136">
        <f t="shared" si="30"/>
        <v>0</v>
      </c>
      <c r="G215" s="134"/>
      <c r="H215" s="135"/>
      <c r="I215" s="136">
        <f t="shared" si="31"/>
        <v>0</v>
      </c>
      <c r="J215" s="134"/>
      <c r="K215" s="135"/>
      <c r="L215" s="136">
        <f t="shared" si="32"/>
        <v>0</v>
      </c>
      <c r="M215" s="284"/>
      <c r="N215" s="285"/>
      <c r="O215" s="136">
        <f t="shared" si="33"/>
        <v>0</v>
      </c>
      <c r="P215" s="85"/>
      <c r="R215" s="53"/>
    </row>
    <row r="216" spans="1:18" hidden="1" x14ac:dyDescent="0.25">
      <c r="A216" s="76">
        <v>5218</v>
      </c>
      <c r="B216" s="127" t="s">
        <v>232</v>
      </c>
      <c r="C216" s="279">
        <f t="shared" si="26"/>
        <v>0</v>
      </c>
      <c r="D216" s="134">
        <v>0</v>
      </c>
      <c r="E216" s="285"/>
      <c r="F216" s="136">
        <f t="shared" si="30"/>
        <v>0</v>
      </c>
      <c r="G216" s="134"/>
      <c r="H216" s="135"/>
      <c r="I216" s="136">
        <f t="shared" si="31"/>
        <v>0</v>
      </c>
      <c r="J216" s="134"/>
      <c r="K216" s="135"/>
      <c r="L216" s="136">
        <f t="shared" si="32"/>
        <v>0</v>
      </c>
      <c r="M216" s="284"/>
      <c r="N216" s="285"/>
      <c r="O216" s="136">
        <f t="shared" si="33"/>
        <v>0</v>
      </c>
      <c r="P216" s="85"/>
      <c r="R216" s="53"/>
    </row>
    <row r="217" spans="1:18" hidden="1" x14ac:dyDescent="0.25">
      <c r="A217" s="76">
        <v>5219</v>
      </c>
      <c r="B217" s="127" t="s">
        <v>233</v>
      </c>
      <c r="C217" s="279">
        <f t="shared" si="26"/>
        <v>0</v>
      </c>
      <c r="D217" s="134">
        <v>0</v>
      </c>
      <c r="E217" s="285"/>
      <c r="F217" s="136">
        <f t="shared" si="30"/>
        <v>0</v>
      </c>
      <c r="G217" s="134"/>
      <c r="H217" s="135"/>
      <c r="I217" s="136">
        <f t="shared" si="31"/>
        <v>0</v>
      </c>
      <c r="J217" s="134"/>
      <c r="K217" s="135"/>
      <c r="L217" s="136">
        <f t="shared" si="32"/>
        <v>0</v>
      </c>
      <c r="M217" s="284"/>
      <c r="N217" s="285"/>
      <c r="O217" s="136">
        <f t="shared" si="33"/>
        <v>0</v>
      </c>
      <c r="P217" s="85"/>
      <c r="R217" s="53"/>
    </row>
    <row r="218" spans="1:18" hidden="1" x14ac:dyDescent="0.25">
      <c r="A218" s="276">
        <v>5220</v>
      </c>
      <c r="B218" s="127" t="s">
        <v>234</v>
      </c>
      <c r="C218" s="279">
        <f t="shared" si="26"/>
        <v>0</v>
      </c>
      <c r="D218" s="134">
        <v>0</v>
      </c>
      <c r="E218" s="285"/>
      <c r="F218" s="136">
        <f t="shared" si="30"/>
        <v>0</v>
      </c>
      <c r="G218" s="134"/>
      <c r="H218" s="135"/>
      <c r="I218" s="136">
        <f t="shared" si="31"/>
        <v>0</v>
      </c>
      <c r="J218" s="134"/>
      <c r="K218" s="135"/>
      <c r="L218" s="136">
        <f t="shared" si="32"/>
        <v>0</v>
      </c>
      <c r="M218" s="284"/>
      <c r="N218" s="285"/>
      <c r="O218" s="136">
        <f t="shared" si="33"/>
        <v>0</v>
      </c>
      <c r="P218" s="85"/>
      <c r="R218" s="53"/>
    </row>
    <row r="219" spans="1:18" x14ac:dyDescent="0.25">
      <c r="A219" s="276">
        <v>5230</v>
      </c>
      <c r="B219" s="127" t="s">
        <v>235</v>
      </c>
      <c r="C219" s="279">
        <f t="shared" si="26"/>
        <v>1500</v>
      </c>
      <c r="D219" s="277">
        <f>SUM(D220:D227)</f>
        <v>1500</v>
      </c>
      <c r="E219" s="282">
        <f>SUM(E220:E227)</f>
        <v>0</v>
      </c>
      <c r="F219" s="136">
        <f t="shared" si="30"/>
        <v>1500</v>
      </c>
      <c r="G219" s="277">
        <f>SUM(G220:G227)</f>
        <v>0</v>
      </c>
      <c r="H219" s="280">
        <f>SUM(H220:H227)</f>
        <v>0</v>
      </c>
      <c r="I219" s="136">
        <f t="shared" si="31"/>
        <v>0</v>
      </c>
      <c r="J219" s="277">
        <f>SUM(J220:J227)</f>
        <v>0</v>
      </c>
      <c r="K219" s="280">
        <f>SUM(K220:K227)</f>
        <v>0</v>
      </c>
      <c r="L219" s="136">
        <f t="shared" si="32"/>
        <v>0</v>
      </c>
      <c r="M219" s="281">
        <f>SUM(M220:M227)</f>
        <v>0</v>
      </c>
      <c r="N219" s="282">
        <f>SUM(N220:N227)</f>
        <v>0</v>
      </c>
      <c r="O219" s="136">
        <f t="shared" si="33"/>
        <v>0</v>
      </c>
      <c r="P219" s="85"/>
      <c r="R219" s="53"/>
    </row>
    <row r="220" spans="1:18" hidden="1" x14ac:dyDescent="0.25">
      <c r="A220" s="76">
        <v>5231</v>
      </c>
      <c r="B220" s="127" t="s">
        <v>236</v>
      </c>
      <c r="C220" s="279">
        <f t="shared" si="26"/>
        <v>0</v>
      </c>
      <c r="D220" s="134">
        <v>0</v>
      </c>
      <c r="E220" s="285"/>
      <c r="F220" s="136">
        <f t="shared" si="30"/>
        <v>0</v>
      </c>
      <c r="G220" s="134"/>
      <c r="H220" s="135"/>
      <c r="I220" s="136">
        <f t="shared" si="31"/>
        <v>0</v>
      </c>
      <c r="J220" s="134"/>
      <c r="K220" s="135"/>
      <c r="L220" s="136">
        <f t="shared" si="32"/>
        <v>0</v>
      </c>
      <c r="M220" s="284"/>
      <c r="N220" s="285"/>
      <c r="O220" s="136">
        <f t="shared" si="33"/>
        <v>0</v>
      </c>
      <c r="P220" s="85"/>
      <c r="R220" s="53"/>
    </row>
    <row r="221" spans="1:18" hidden="1" x14ac:dyDescent="0.25">
      <c r="A221" s="76">
        <v>5232</v>
      </c>
      <c r="B221" s="127" t="s">
        <v>237</v>
      </c>
      <c r="C221" s="279">
        <f t="shared" si="26"/>
        <v>0</v>
      </c>
      <c r="D221" s="134">
        <v>0</v>
      </c>
      <c r="E221" s="285"/>
      <c r="F221" s="136">
        <f t="shared" si="30"/>
        <v>0</v>
      </c>
      <c r="G221" s="134"/>
      <c r="H221" s="135"/>
      <c r="I221" s="136">
        <f t="shared" si="31"/>
        <v>0</v>
      </c>
      <c r="J221" s="134"/>
      <c r="K221" s="135"/>
      <c r="L221" s="136">
        <f t="shared" si="32"/>
        <v>0</v>
      </c>
      <c r="M221" s="284"/>
      <c r="N221" s="285"/>
      <c r="O221" s="136">
        <f t="shared" si="33"/>
        <v>0</v>
      </c>
      <c r="P221" s="85"/>
      <c r="R221" s="53"/>
    </row>
    <row r="222" spans="1:18" hidden="1" x14ac:dyDescent="0.25">
      <c r="A222" s="76">
        <v>5233</v>
      </c>
      <c r="B222" s="127" t="s">
        <v>238</v>
      </c>
      <c r="C222" s="279">
        <f t="shared" si="26"/>
        <v>0</v>
      </c>
      <c r="D222" s="134">
        <v>0</v>
      </c>
      <c r="E222" s="285"/>
      <c r="F222" s="136">
        <f t="shared" si="30"/>
        <v>0</v>
      </c>
      <c r="G222" s="134"/>
      <c r="H222" s="135"/>
      <c r="I222" s="136">
        <f t="shared" si="31"/>
        <v>0</v>
      </c>
      <c r="J222" s="134"/>
      <c r="K222" s="135"/>
      <c r="L222" s="136">
        <f t="shared" si="32"/>
        <v>0</v>
      </c>
      <c r="M222" s="284"/>
      <c r="N222" s="285"/>
      <c r="O222" s="136">
        <f t="shared" si="33"/>
        <v>0</v>
      </c>
      <c r="P222" s="85"/>
      <c r="R222" s="53"/>
    </row>
    <row r="223" spans="1:18" x14ac:dyDescent="0.25">
      <c r="A223" s="76">
        <v>5234</v>
      </c>
      <c r="B223" s="127" t="s">
        <v>239</v>
      </c>
      <c r="C223" s="279">
        <f t="shared" si="26"/>
        <v>1500</v>
      </c>
      <c r="D223" s="134">
        <v>1500</v>
      </c>
      <c r="E223" s="285"/>
      <c r="F223" s="136">
        <f t="shared" si="30"/>
        <v>1500</v>
      </c>
      <c r="G223" s="134"/>
      <c r="H223" s="135"/>
      <c r="I223" s="136">
        <f t="shared" si="31"/>
        <v>0</v>
      </c>
      <c r="J223" s="134"/>
      <c r="K223" s="135"/>
      <c r="L223" s="136">
        <f t="shared" si="32"/>
        <v>0</v>
      </c>
      <c r="M223" s="284"/>
      <c r="N223" s="285"/>
      <c r="O223" s="136">
        <f t="shared" si="33"/>
        <v>0</v>
      </c>
      <c r="P223" s="85"/>
      <c r="R223" s="53"/>
    </row>
    <row r="224" spans="1:18" hidden="1" x14ac:dyDescent="0.25">
      <c r="A224" s="76">
        <v>5236</v>
      </c>
      <c r="B224" s="127" t="s">
        <v>240</v>
      </c>
      <c r="C224" s="279">
        <f t="shared" si="26"/>
        <v>0</v>
      </c>
      <c r="D224" s="134">
        <v>0</v>
      </c>
      <c r="E224" s="285"/>
      <c r="F224" s="136">
        <f t="shared" si="30"/>
        <v>0</v>
      </c>
      <c r="G224" s="134"/>
      <c r="H224" s="135"/>
      <c r="I224" s="136">
        <f t="shared" si="31"/>
        <v>0</v>
      </c>
      <c r="J224" s="134"/>
      <c r="K224" s="135"/>
      <c r="L224" s="136">
        <f t="shared" si="32"/>
        <v>0</v>
      </c>
      <c r="M224" s="284"/>
      <c r="N224" s="285"/>
      <c r="O224" s="136">
        <f t="shared" si="33"/>
        <v>0</v>
      </c>
      <c r="P224" s="85"/>
      <c r="R224" s="53"/>
    </row>
    <row r="225" spans="1:18" hidden="1" x14ac:dyDescent="0.25">
      <c r="A225" s="76">
        <v>5237</v>
      </c>
      <c r="B225" s="127" t="s">
        <v>241</v>
      </c>
      <c r="C225" s="279">
        <f t="shared" si="26"/>
        <v>0</v>
      </c>
      <c r="D225" s="134">
        <v>0</v>
      </c>
      <c r="E225" s="285"/>
      <c r="F225" s="136">
        <f t="shared" si="30"/>
        <v>0</v>
      </c>
      <c r="G225" s="134"/>
      <c r="H225" s="135"/>
      <c r="I225" s="136">
        <f t="shared" si="31"/>
        <v>0</v>
      </c>
      <c r="J225" s="134"/>
      <c r="K225" s="135"/>
      <c r="L225" s="136">
        <f t="shared" si="32"/>
        <v>0</v>
      </c>
      <c r="M225" s="284"/>
      <c r="N225" s="285"/>
      <c r="O225" s="136">
        <f t="shared" si="33"/>
        <v>0</v>
      </c>
      <c r="P225" s="85"/>
      <c r="R225" s="53"/>
    </row>
    <row r="226" spans="1:18" hidden="1" x14ac:dyDescent="0.25">
      <c r="A226" s="76">
        <v>5238</v>
      </c>
      <c r="B226" s="127" t="s">
        <v>242</v>
      </c>
      <c r="C226" s="279">
        <f t="shared" si="26"/>
        <v>0</v>
      </c>
      <c r="D226" s="134">
        <v>0</v>
      </c>
      <c r="E226" s="285"/>
      <c r="F226" s="136">
        <f t="shared" si="30"/>
        <v>0</v>
      </c>
      <c r="G226" s="134"/>
      <c r="H226" s="135"/>
      <c r="I226" s="136">
        <f t="shared" si="31"/>
        <v>0</v>
      </c>
      <c r="J226" s="134"/>
      <c r="K226" s="135"/>
      <c r="L226" s="136">
        <f t="shared" si="32"/>
        <v>0</v>
      </c>
      <c r="M226" s="284"/>
      <c r="N226" s="285"/>
      <c r="O226" s="136">
        <f t="shared" si="33"/>
        <v>0</v>
      </c>
      <c r="P226" s="85"/>
      <c r="R226" s="53"/>
    </row>
    <row r="227" spans="1:18" hidden="1" x14ac:dyDescent="0.25">
      <c r="A227" s="76">
        <v>5239</v>
      </c>
      <c r="B227" s="127" t="s">
        <v>243</v>
      </c>
      <c r="C227" s="279">
        <f t="shared" si="26"/>
        <v>0</v>
      </c>
      <c r="D227" s="134">
        <v>0</v>
      </c>
      <c r="E227" s="285"/>
      <c r="F227" s="136">
        <f t="shared" si="30"/>
        <v>0</v>
      </c>
      <c r="G227" s="134"/>
      <c r="H227" s="135"/>
      <c r="I227" s="136">
        <f t="shared" si="31"/>
        <v>0</v>
      </c>
      <c r="J227" s="134"/>
      <c r="K227" s="135"/>
      <c r="L227" s="136">
        <f t="shared" si="32"/>
        <v>0</v>
      </c>
      <c r="M227" s="284"/>
      <c r="N227" s="285"/>
      <c r="O227" s="136">
        <f t="shared" si="33"/>
        <v>0</v>
      </c>
      <c r="P227" s="85"/>
      <c r="R227" s="53"/>
    </row>
    <row r="228" spans="1:18" ht="24" hidden="1" x14ac:dyDescent="0.25">
      <c r="A228" s="276">
        <v>5240</v>
      </c>
      <c r="B228" s="127" t="s">
        <v>244</v>
      </c>
      <c r="C228" s="279">
        <f t="shared" si="26"/>
        <v>0</v>
      </c>
      <c r="D228" s="134">
        <v>0</v>
      </c>
      <c r="E228" s="285"/>
      <c r="F228" s="136">
        <f t="shared" si="30"/>
        <v>0</v>
      </c>
      <c r="G228" s="134"/>
      <c r="H228" s="135"/>
      <c r="I228" s="136">
        <f t="shared" si="31"/>
        <v>0</v>
      </c>
      <c r="J228" s="134"/>
      <c r="K228" s="135"/>
      <c r="L228" s="136">
        <f t="shared" si="32"/>
        <v>0</v>
      </c>
      <c r="M228" s="284"/>
      <c r="N228" s="285"/>
      <c r="O228" s="136">
        <f t="shared" si="33"/>
        <v>0</v>
      </c>
      <c r="P228" s="85"/>
      <c r="R228" s="53"/>
    </row>
    <row r="229" spans="1:18" hidden="1" x14ac:dyDescent="0.25">
      <c r="A229" s="276">
        <v>5250</v>
      </c>
      <c r="B229" s="127" t="s">
        <v>245</v>
      </c>
      <c r="C229" s="279">
        <f t="shared" si="26"/>
        <v>0</v>
      </c>
      <c r="D229" s="134">
        <v>0</v>
      </c>
      <c r="E229" s="285"/>
      <c r="F229" s="136">
        <f t="shared" si="30"/>
        <v>0</v>
      </c>
      <c r="G229" s="134"/>
      <c r="H229" s="135"/>
      <c r="I229" s="136">
        <f t="shared" si="31"/>
        <v>0</v>
      </c>
      <c r="J229" s="134"/>
      <c r="K229" s="135"/>
      <c r="L229" s="136">
        <f t="shared" si="32"/>
        <v>0</v>
      </c>
      <c r="M229" s="284"/>
      <c r="N229" s="285"/>
      <c r="O229" s="136">
        <f t="shared" si="33"/>
        <v>0</v>
      </c>
      <c r="P229" s="85"/>
      <c r="R229" s="53"/>
    </row>
    <row r="230" spans="1:18" hidden="1" x14ac:dyDescent="0.25">
      <c r="A230" s="276">
        <v>5260</v>
      </c>
      <c r="B230" s="127" t="s">
        <v>246</v>
      </c>
      <c r="C230" s="279">
        <f t="shared" si="26"/>
        <v>0</v>
      </c>
      <c r="D230" s="277">
        <f>SUM(D231)</f>
        <v>0</v>
      </c>
      <c r="E230" s="282">
        <f>SUM(E231)</f>
        <v>0</v>
      </c>
      <c r="F230" s="136">
        <f t="shared" si="30"/>
        <v>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c r="R230" s="53"/>
    </row>
    <row r="231" spans="1:18" ht="24" hidden="1" x14ac:dyDescent="0.25">
      <c r="A231" s="76">
        <v>5269</v>
      </c>
      <c r="B231" s="127" t="s">
        <v>247</v>
      </c>
      <c r="C231" s="279">
        <f t="shared" si="26"/>
        <v>0</v>
      </c>
      <c r="D231" s="134">
        <v>0</v>
      </c>
      <c r="E231" s="285"/>
      <c r="F231" s="136">
        <f t="shared" si="30"/>
        <v>0</v>
      </c>
      <c r="G231" s="134"/>
      <c r="H231" s="135"/>
      <c r="I231" s="136">
        <f t="shared" si="31"/>
        <v>0</v>
      </c>
      <c r="J231" s="134"/>
      <c r="K231" s="135"/>
      <c r="L231" s="136">
        <f t="shared" si="32"/>
        <v>0</v>
      </c>
      <c r="M231" s="284"/>
      <c r="N231" s="285"/>
      <c r="O231" s="136">
        <f t="shared" si="33"/>
        <v>0</v>
      </c>
      <c r="P231" s="85"/>
      <c r="R231" s="53"/>
    </row>
    <row r="232" spans="1:18" ht="24" hidden="1" x14ac:dyDescent="0.25">
      <c r="A232" s="254">
        <v>5270</v>
      </c>
      <c r="B232" s="179" t="s">
        <v>248</v>
      </c>
      <c r="C232" s="302">
        <f t="shared" si="26"/>
        <v>0</v>
      </c>
      <c r="D232" s="287">
        <v>0</v>
      </c>
      <c r="E232" s="291"/>
      <c r="F232" s="259">
        <f t="shared" si="30"/>
        <v>0</v>
      </c>
      <c r="G232" s="287"/>
      <c r="H232" s="289"/>
      <c r="I232" s="259">
        <f t="shared" si="31"/>
        <v>0</v>
      </c>
      <c r="J232" s="287"/>
      <c r="K232" s="289"/>
      <c r="L232" s="259">
        <f t="shared" si="32"/>
        <v>0</v>
      </c>
      <c r="M232" s="290"/>
      <c r="N232" s="291"/>
      <c r="O232" s="259">
        <f t="shared" si="33"/>
        <v>0</v>
      </c>
      <c r="P232" s="189"/>
      <c r="R232" s="53"/>
    </row>
    <row r="233" spans="1:18" x14ac:dyDescent="0.25">
      <c r="A233" s="237">
        <v>6000</v>
      </c>
      <c r="B233" s="237" t="s">
        <v>249</v>
      </c>
      <c r="C233" s="241">
        <f t="shared" si="26"/>
        <v>67243</v>
      </c>
      <c r="D233" s="239">
        <f>D234+D254+D261</f>
        <v>67243</v>
      </c>
      <c r="E233" s="245">
        <f>E234+E254+E261</f>
        <v>0</v>
      </c>
      <c r="F233" s="243">
        <f t="shared" si="30"/>
        <v>67243</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c r="R233" s="53"/>
    </row>
    <row r="234" spans="1:18" hidden="1" x14ac:dyDescent="0.25">
      <c r="A234" s="160">
        <v>6200</v>
      </c>
      <c r="B234" s="321" t="s">
        <v>250</v>
      </c>
      <c r="C234" s="648">
        <f>F234+I234+L234+O234</f>
        <v>0</v>
      </c>
      <c r="D234" s="334">
        <f>SUM(D235,D236,D238,D241,D247,D248,D249)</f>
        <v>0</v>
      </c>
      <c r="E234" s="251">
        <f>SUM(E235,E236,E238,E241,E247,E248,E249)</f>
        <v>0</v>
      </c>
      <c r="F234" s="252">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c r="R234" s="53"/>
    </row>
    <row r="235" spans="1:18" ht="24" hidden="1" x14ac:dyDescent="0.25">
      <c r="A235" s="656">
        <v>6220</v>
      </c>
      <c r="B235" s="116" t="s">
        <v>251</v>
      </c>
      <c r="C235" s="296">
        <f t="shared" si="26"/>
        <v>0</v>
      </c>
      <c r="D235" s="123">
        <v>0</v>
      </c>
      <c r="E235" s="262"/>
      <c r="F235" s="125">
        <f t="shared" si="30"/>
        <v>0</v>
      </c>
      <c r="G235" s="123"/>
      <c r="H235" s="124"/>
      <c r="I235" s="125">
        <f t="shared" si="31"/>
        <v>0</v>
      </c>
      <c r="J235" s="123"/>
      <c r="K235" s="124"/>
      <c r="L235" s="125">
        <f t="shared" si="32"/>
        <v>0</v>
      </c>
      <c r="M235" s="264"/>
      <c r="N235" s="262"/>
      <c r="O235" s="125">
        <f t="shared" si="33"/>
        <v>0</v>
      </c>
      <c r="P235" s="74"/>
      <c r="R235" s="53"/>
    </row>
    <row r="236" spans="1:18" hidden="1" x14ac:dyDescent="0.25">
      <c r="A236" s="276">
        <v>6230</v>
      </c>
      <c r="B236" s="127" t="s">
        <v>252</v>
      </c>
      <c r="C236" s="279">
        <f t="shared" si="26"/>
        <v>0</v>
      </c>
      <c r="D236" s="277">
        <f>SUM(D237)</f>
        <v>0</v>
      </c>
      <c r="E236" s="282">
        <f>SUM(E237)</f>
        <v>0</v>
      </c>
      <c r="F236" s="13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c r="R236" s="53"/>
    </row>
    <row r="237" spans="1:18" hidden="1" x14ac:dyDescent="0.25">
      <c r="A237" s="76">
        <v>6239</v>
      </c>
      <c r="B237" s="116" t="s">
        <v>253</v>
      </c>
      <c r="C237" s="279">
        <f t="shared" si="26"/>
        <v>0</v>
      </c>
      <c r="D237" s="134">
        <v>0</v>
      </c>
      <c r="E237" s="285"/>
      <c r="F237" s="136">
        <f t="shared" si="30"/>
        <v>0</v>
      </c>
      <c r="G237" s="134"/>
      <c r="H237" s="135"/>
      <c r="I237" s="136">
        <f t="shared" si="31"/>
        <v>0</v>
      </c>
      <c r="J237" s="134"/>
      <c r="K237" s="135"/>
      <c r="L237" s="136">
        <f t="shared" si="32"/>
        <v>0</v>
      </c>
      <c r="M237" s="284"/>
      <c r="N237" s="285"/>
      <c r="O237" s="136">
        <f t="shared" si="33"/>
        <v>0</v>
      </c>
      <c r="P237" s="85"/>
      <c r="R237" s="53"/>
    </row>
    <row r="238" spans="1:18" ht="24" hidden="1" x14ac:dyDescent="0.25">
      <c r="A238" s="276">
        <v>6240</v>
      </c>
      <c r="B238" s="127" t="s">
        <v>254</v>
      </c>
      <c r="C238" s="279">
        <f t="shared" si="26"/>
        <v>0</v>
      </c>
      <c r="D238" s="277">
        <f>SUM(D239:D240)</f>
        <v>0</v>
      </c>
      <c r="E238" s="282">
        <f>SUM(E239:E240)</f>
        <v>0</v>
      </c>
      <c r="F238" s="13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c r="R238" s="53"/>
    </row>
    <row r="239" spans="1:18" hidden="1" x14ac:dyDescent="0.25">
      <c r="A239" s="76">
        <v>6241</v>
      </c>
      <c r="B239" s="127" t="s">
        <v>255</v>
      </c>
      <c r="C239" s="279">
        <f t="shared" si="26"/>
        <v>0</v>
      </c>
      <c r="D239" s="134">
        <v>0</v>
      </c>
      <c r="E239" s="285"/>
      <c r="F239" s="136">
        <f t="shared" si="30"/>
        <v>0</v>
      </c>
      <c r="G239" s="134"/>
      <c r="H239" s="135"/>
      <c r="I239" s="136">
        <f t="shared" si="31"/>
        <v>0</v>
      </c>
      <c r="J239" s="134"/>
      <c r="K239" s="135"/>
      <c r="L239" s="136">
        <f t="shared" si="32"/>
        <v>0</v>
      </c>
      <c r="M239" s="284"/>
      <c r="N239" s="285"/>
      <c r="O239" s="136">
        <f t="shared" si="33"/>
        <v>0</v>
      </c>
      <c r="P239" s="85"/>
      <c r="R239" s="53"/>
    </row>
    <row r="240" spans="1:18" hidden="1" x14ac:dyDescent="0.25">
      <c r="A240" s="76">
        <v>6242</v>
      </c>
      <c r="B240" s="127" t="s">
        <v>256</v>
      </c>
      <c r="C240" s="279">
        <f t="shared" si="26"/>
        <v>0</v>
      </c>
      <c r="D240" s="134">
        <v>0</v>
      </c>
      <c r="E240" s="285"/>
      <c r="F240" s="136">
        <f t="shared" si="30"/>
        <v>0</v>
      </c>
      <c r="G240" s="134"/>
      <c r="H240" s="135"/>
      <c r="I240" s="136">
        <f t="shared" si="31"/>
        <v>0</v>
      </c>
      <c r="J240" s="134"/>
      <c r="K240" s="135"/>
      <c r="L240" s="136">
        <f t="shared" si="32"/>
        <v>0</v>
      </c>
      <c r="M240" s="284"/>
      <c r="N240" s="285"/>
      <c r="O240" s="136">
        <f t="shared" si="33"/>
        <v>0</v>
      </c>
      <c r="P240" s="85"/>
      <c r="R240" s="53"/>
    </row>
    <row r="241" spans="1:18" ht="24" hidden="1" x14ac:dyDescent="0.25">
      <c r="A241" s="276">
        <v>6250</v>
      </c>
      <c r="B241" s="127" t="s">
        <v>257</v>
      </c>
      <c r="C241" s="279">
        <f t="shared" si="26"/>
        <v>0</v>
      </c>
      <c r="D241" s="277">
        <f>SUM(D242:D246)</f>
        <v>0</v>
      </c>
      <c r="E241" s="282">
        <f>SUM(E242:E246)</f>
        <v>0</v>
      </c>
      <c r="F241" s="13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c r="R241" s="53"/>
    </row>
    <row r="242" spans="1:18" hidden="1" x14ac:dyDescent="0.25">
      <c r="A242" s="76">
        <v>6252</v>
      </c>
      <c r="B242" s="127" t="s">
        <v>258</v>
      </c>
      <c r="C242" s="279">
        <f t="shared" si="26"/>
        <v>0</v>
      </c>
      <c r="D242" s="134">
        <v>0</v>
      </c>
      <c r="E242" s="285"/>
      <c r="F242" s="136">
        <f t="shared" si="30"/>
        <v>0</v>
      </c>
      <c r="G242" s="134"/>
      <c r="H242" s="135"/>
      <c r="I242" s="136">
        <f t="shared" si="31"/>
        <v>0</v>
      </c>
      <c r="J242" s="134"/>
      <c r="K242" s="135"/>
      <c r="L242" s="136">
        <f t="shared" si="32"/>
        <v>0</v>
      </c>
      <c r="M242" s="284"/>
      <c r="N242" s="285"/>
      <c r="O242" s="136">
        <f t="shared" si="33"/>
        <v>0</v>
      </c>
      <c r="P242" s="85"/>
      <c r="R242" s="53"/>
    </row>
    <row r="243" spans="1:18" hidden="1" x14ac:dyDescent="0.25">
      <c r="A243" s="76">
        <v>6253</v>
      </c>
      <c r="B243" s="127" t="s">
        <v>259</v>
      </c>
      <c r="C243" s="279">
        <f t="shared" si="26"/>
        <v>0</v>
      </c>
      <c r="D243" s="134">
        <v>0</v>
      </c>
      <c r="E243" s="285"/>
      <c r="F243" s="136">
        <f t="shared" si="30"/>
        <v>0</v>
      </c>
      <c r="G243" s="134"/>
      <c r="H243" s="135"/>
      <c r="I243" s="136">
        <f t="shared" si="31"/>
        <v>0</v>
      </c>
      <c r="J243" s="134"/>
      <c r="K243" s="135"/>
      <c r="L243" s="136">
        <f t="shared" si="32"/>
        <v>0</v>
      </c>
      <c r="M243" s="284"/>
      <c r="N243" s="285"/>
      <c r="O243" s="136">
        <f t="shared" si="33"/>
        <v>0</v>
      </c>
      <c r="P243" s="85"/>
      <c r="R243" s="53"/>
    </row>
    <row r="244" spans="1:18" ht="24" hidden="1" x14ac:dyDescent="0.25">
      <c r="A244" s="76">
        <v>6254</v>
      </c>
      <c r="B244" s="127" t="s">
        <v>260</v>
      </c>
      <c r="C244" s="279">
        <f t="shared" si="26"/>
        <v>0</v>
      </c>
      <c r="D244" s="134">
        <v>0</v>
      </c>
      <c r="E244" s="285"/>
      <c r="F244" s="136">
        <f t="shared" si="30"/>
        <v>0</v>
      </c>
      <c r="G244" s="134"/>
      <c r="H244" s="135"/>
      <c r="I244" s="136">
        <f t="shared" si="31"/>
        <v>0</v>
      </c>
      <c r="J244" s="134"/>
      <c r="K244" s="135"/>
      <c r="L244" s="136">
        <f t="shared" si="32"/>
        <v>0</v>
      </c>
      <c r="M244" s="284"/>
      <c r="N244" s="285"/>
      <c r="O244" s="136">
        <f t="shared" si="33"/>
        <v>0</v>
      </c>
      <c r="P244" s="85"/>
      <c r="R244" s="53"/>
    </row>
    <row r="245" spans="1:18" ht="24" hidden="1" x14ac:dyDescent="0.25">
      <c r="A245" s="76">
        <v>6255</v>
      </c>
      <c r="B245" s="127" t="s">
        <v>261</v>
      </c>
      <c r="C245" s="279">
        <f t="shared" si="26"/>
        <v>0</v>
      </c>
      <c r="D245" s="134">
        <v>0</v>
      </c>
      <c r="E245" s="285"/>
      <c r="F245" s="136">
        <f t="shared" si="30"/>
        <v>0</v>
      </c>
      <c r="G245" s="134"/>
      <c r="H245" s="135"/>
      <c r="I245" s="136">
        <f t="shared" si="31"/>
        <v>0</v>
      </c>
      <c r="J245" s="134"/>
      <c r="K245" s="135"/>
      <c r="L245" s="136">
        <f t="shared" si="32"/>
        <v>0</v>
      </c>
      <c r="M245" s="284"/>
      <c r="N245" s="285"/>
      <c r="O245" s="136">
        <f t="shared" si="33"/>
        <v>0</v>
      </c>
      <c r="P245" s="85"/>
      <c r="R245" s="53"/>
    </row>
    <row r="246" spans="1:18" hidden="1" x14ac:dyDescent="0.25">
      <c r="A246" s="76">
        <v>6259</v>
      </c>
      <c r="B246" s="127" t="s">
        <v>262</v>
      </c>
      <c r="C246" s="279">
        <f t="shared" si="26"/>
        <v>0</v>
      </c>
      <c r="D246" s="134">
        <v>0</v>
      </c>
      <c r="E246" s="285"/>
      <c r="F246" s="136">
        <f t="shared" si="30"/>
        <v>0</v>
      </c>
      <c r="G246" s="134"/>
      <c r="H246" s="135"/>
      <c r="I246" s="136">
        <f t="shared" si="31"/>
        <v>0</v>
      </c>
      <c r="J246" s="134"/>
      <c r="K246" s="135"/>
      <c r="L246" s="136">
        <f t="shared" si="32"/>
        <v>0</v>
      </c>
      <c r="M246" s="284"/>
      <c r="N246" s="285"/>
      <c r="O246" s="136">
        <f t="shared" si="33"/>
        <v>0</v>
      </c>
      <c r="P246" s="85"/>
      <c r="R246" s="53"/>
    </row>
    <row r="247" spans="1:18" ht="24" hidden="1" x14ac:dyDescent="0.25">
      <c r="A247" s="276">
        <v>6260</v>
      </c>
      <c r="B247" s="127" t="s">
        <v>263</v>
      </c>
      <c r="C247" s="279">
        <f t="shared" si="26"/>
        <v>0</v>
      </c>
      <c r="D247" s="134">
        <v>0</v>
      </c>
      <c r="E247" s="285"/>
      <c r="F247" s="136">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c r="R247" s="53"/>
    </row>
    <row r="248" spans="1:18" hidden="1" x14ac:dyDescent="0.25">
      <c r="A248" s="276">
        <v>6270</v>
      </c>
      <c r="B248" s="127" t="s">
        <v>264</v>
      </c>
      <c r="C248" s="279">
        <f t="shared" si="26"/>
        <v>0</v>
      </c>
      <c r="D248" s="134">
        <v>0</v>
      </c>
      <c r="E248" s="285"/>
      <c r="F248" s="136">
        <f t="shared" si="37"/>
        <v>0</v>
      </c>
      <c r="G248" s="134"/>
      <c r="H248" s="135"/>
      <c r="I248" s="136">
        <f t="shared" si="38"/>
        <v>0</v>
      </c>
      <c r="J248" s="134"/>
      <c r="K248" s="135"/>
      <c r="L248" s="136">
        <f t="shared" si="39"/>
        <v>0</v>
      </c>
      <c r="M248" s="284"/>
      <c r="N248" s="285"/>
      <c r="O248" s="136">
        <f t="shared" si="40"/>
        <v>0</v>
      </c>
      <c r="P248" s="85"/>
      <c r="R248" s="53"/>
    </row>
    <row r="249" spans="1:18" hidden="1" x14ac:dyDescent="0.25">
      <c r="A249" s="656">
        <v>6290</v>
      </c>
      <c r="B249" s="116" t="s">
        <v>265</v>
      </c>
      <c r="C249" s="279">
        <f t="shared" si="26"/>
        <v>0</v>
      </c>
      <c r="D249" s="297">
        <f>SUM(D250:D253)</f>
        <v>0</v>
      </c>
      <c r="E249" s="301">
        <f>SUM(E250:E253)</f>
        <v>0</v>
      </c>
      <c r="F249" s="125">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c r="R249" s="53"/>
    </row>
    <row r="250" spans="1:18" hidden="1" x14ac:dyDescent="0.25">
      <c r="A250" s="76">
        <v>6291</v>
      </c>
      <c r="B250" s="127" t="s">
        <v>266</v>
      </c>
      <c r="C250" s="279">
        <f t="shared" si="26"/>
        <v>0</v>
      </c>
      <c r="D250" s="134">
        <v>0</v>
      </c>
      <c r="E250" s="285"/>
      <c r="F250" s="136">
        <f t="shared" si="37"/>
        <v>0</v>
      </c>
      <c r="G250" s="134"/>
      <c r="H250" s="135"/>
      <c r="I250" s="136">
        <f t="shared" si="38"/>
        <v>0</v>
      </c>
      <c r="J250" s="134"/>
      <c r="K250" s="135"/>
      <c r="L250" s="136">
        <f t="shared" si="39"/>
        <v>0</v>
      </c>
      <c r="M250" s="284"/>
      <c r="N250" s="285"/>
      <c r="O250" s="136">
        <f t="shared" si="40"/>
        <v>0</v>
      </c>
      <c r="P250" s="85"/>
      <c r="R250" s="53"/>
    </row>
    <row r="251" spans="1:18" hidden="1" x14ac:dyDescent="0.25">
      <c r="A251" s="76">
        <v>6292</v>
      </c>
      <c r="B251" s="127" t="s">
        <v>267</v>
      </c>
      <c r="C251" s="279">
        <f t="shared" si="26"/>
        <v>0</v>
      </c>
      <c r="D251" s="134">
        <v>0</v>
      </c>
      <c r="E251" s="285"/>
      <c r="F251" s="136">
        <f t="shared" si="37"/>
        <v>0</v>
      </c>
      <c r="G251" s="134"/>
      <c r="H251" s="135"/>
      <c r="I251" s="136">
        <f t="shared" si="38"/>
        <v>0</v>
      </c>
      <c r="J251" s="134"/>
      <c r="K251" s="135"/>
      <c r="L251" s="136">
        <f t="shared" si="39"/>
        <v>0</v>
      </c>
      <c r="M251" s="284"/>
      <c r="N251" s="285"/>
      <c r="O251" s="136">
        <f t="shared" si="40"/>
        <v>0</v>
      </c>
      <c r="P251" s="85"/>
      <c r="R251" s="53"/>
    </row>
    <row r="252" spans="1:18" ht="72" hidden="1" x14ac:dyDescent="0.25">
      <c r="A252" s="76">
        <v>6296</v>
      </c>
      <c r="B252" s="127" t="s">
        <v>268</v>
      </c>
      <c r="C252" s="279">
        <f t="shared" si="26"/>
        <v>0</v>
      </c>
      <c r="D252" s="134">
        <v>0</v>
      </c>
      <c r="E252" s="285"/>
      <c r="F252" s="136">
        <f t="shared" si="37"/>
        <v>0</v>
      </c>
      <c r="G252" s="134"/>
      <c r="H252" s="135"/>
      <c r="I252" s="136">
        <f t="shared" si="38"/>
        <v>0</v>
      </c>
      <c r="J252" s="134"/>
      <c r="K252" s="135"/>
      <c r="L252" s="136">
        <f t="shared" si="39"/>
        <v>0</v>
      </c>
      <c r="M252" s="284"/>
      <c r="N252" s="285"/>
      <c r="O252" s="136">
        <f t="shared" si="40"/>
        <v>0</v>
      </c>
      <c r="P252" s="85"/>
      <c r="R252" s="53"/>
    </row>
    <row r="253" spans="1:18" ht="36" hidden="1" x14ac:dyDescent="0.25">
      <c r="A253" s="76">
        <v>6299</v>
      </c>
      <c r="B253" s="127" t="s">
        <v>269</v>
      </c>
      <c r="C253" s="279">
        <f t="shared" si="26"/>
        <v>0</v>
      </c>
      <c r="D253" s="134">
        <v>0</v>
      </c>
      <c r="E253" s="285"/>
      <c r="F253" s="136">
        <f t="shared" si="37"/>
        <v>0</v>
      </c>
      <c r="G253" s="134"/>
      <c r="H253" s="135"/>
      <c r="I253" s="136">
        <f t="shared" si="38"/>
        <v>0</v>
      </c>
      <c r="J253" s="134"/>
      <c r="K253" s="135"/>
      <c r="L253" s="136">
        <f t="shared" si="39"/>
        <v>0</v>
      </c>
      <c r="M253" s="284"/>
      <c r="N253" s="285"/>
      <c r="O253" s="136">
        <f t="shared" si="40"/>
        <v>0</v>
      </c>
      <c r="P253" s="85"/>
      <c r="R253" s="53"/>
    </row>
    <row r="254" spans="1:18" hidden="1" x14ac:dyDescent="0.25">
      <c r="A254" s="99">
        <v>6300</v>
      </c>
      <c r="B254" s="247" t="s">
        <v>270</v>
      </c>
      <c r="C254" s="249">
        <f t="shared" si="26"/>
        <v>0</v>
      </c>
      <c r="D254" s="112">
        <f>SUM(D255,D259,D260)</f>
        <v>0</v>
      </c>
      <c r="E254" s="293">
        <f>SUM(E255,E259,E260)</f>
        <v>0</v>
      </c>
      <c r="F254" s="114">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c r="R254" s="53"/>
    </row>
    <row r="255" spans="1:18" ht="24" hidden="1" x14ac:dyDescent="0.25">
      <c r="A255" s="656">
        <v>6320</v>
      </c>
      <c r="B255" s="116" t="s">
        <v>271</v>
      </c>
      <c r="C255" s="647">
        <f t="shared" si="26"/>
        <v>0</v>
      </c>
      <c r="D255" s="297">
        <f>SUM(D256:D258)</f>
        <v>0</v>
      </c>
      <c r="E255" s="301">
        <f>SUM(E256:E258)</f>
        <v>0</v>
      </c>
      <c r="F255" s="125">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c r="R255" s="53"/>
    </row>
    <row r="256" spans="1:18" hidden="1" x14ac:dyDescent="0.25">
      <c r="A256" s="76">
        <v>6322</v>
      </c>
      <c r="B256" s="127" t="s">
        <v>272</v>
      </c>
      <c r="C256" s="279">
        <f t="shared" si="26"/>
        <v>0</v>
      </c>
      <c r="D256" s="134">
        <v>0</v>
      </c>
      <c r="E256" s="285"/>
      <c r="F256" s="136">
        <f t="shared" si="37"/>
        <v>0</v>
      </c>
      <c r="G256" s="134"/>
      <c r="H256" s="135"/>
      <c r="I256" s="136">
        <f t="shared" si="38"/>
        <v>0</v>
      </c>
      <c r="J256" s="134"/>
      <c r="K256" s="135"/>
      <c r="L256" s="136">
        <f t="shared" si="39"/>
        <v>0</v>
      </c>
      <c r="M256" s="284"/>
      <c r="N256" s="285"/>
      <c r="O256" s="136">
        <f t="shared" si="40"/>
        <v>0</v>
      </c>
      <c r="P256" s="85"/>
      <c r="R256" s="53"/>
    </row>
    <row r="257" spans="1:18" ht="24" hidden="1" x14ac:dyDescent="0.25">
      <c r="A257" s="76">
        <v>6323</v>
      </c>
      <c r="B257" s="127" t="s">
        <v>273</v>
      </c>
      <c r="C257" s="279">
        <f t="shared" si="26"/>
        <v>0</v>
      </c>
      <c r="D257" s="134">
        <v>0</v>
      </c>
      <c r="E257" s="285"/>
      <c r="F257" s="136">
        <f t="shared" si="37"/>
        <v>0</v>
      </c>
      <c r="G257" s="134"/>
      <c r="H257" s="135"/>
      <c r="I257" s="136">
        <f t="shared" si="38"/>
        <v>0</v>
      </c>
      <c r="J257" s="134"/>
      <c r="K257" s="135"/>
      <c r="L257" s="136">
        <f t="shared" si="39"/>
        <v>0</v>
      </c>
      <c r="M257" s="284"/>
      <c r="N257" s="285"/>
      <c r="O257" s="136">
        <f t="shared" si="40"/>
        <v>0</v>
      </c>
      <c r="P257" s="85"/>
      <c r="R257" s="53"/>
    </row>
    <row r="258" spans="1:18" ht="24" hidden="1" x14ac:dyDescent="0.25">
      <c r="A258" s="66">
        <v>6324</v>
      </c>
      <c r="B258" s="116" t="s">
        <v>274</v>
      </c>
      <c r="C258" s="279">
        <f t="shared" si="26"/>
        <v>0</v>
      </c>
      <c r="D258" s="123">
        <v>0</v>
      </c>
      <c r="E258" s="262"/>
      <c r="F258" s="125">
        <f t="shared" si="37"/>
        <v>0</v>
      </c>
      <c r="G258" s="123"/>
      <c r="H258" s="124"/>
      <c r="I258" s="125">
        <f t="shared" si="38"/>
        <v>0</v>
      </c>
      <c r="J258" s="123"/>
      <c r="K258" s="124"/>
      <c r="L258" s="125">
        <f t="shared" si="39"/>
        <v>0</v>
      </c>
      <c r="M258" s="264"/>
      <c r="N258" s="262"/>
      <c r="O258" s="125">
        <f t="shared" si="40"/>
        <v>0</v>
      </c>
      <c r="P258" s="74"/>
      <c r="R258" s="53"/>
    </row>
    <row r="259" spans="1:18" ht="24" hidden="1" x14ac:dyDescent="0.25">
      <c r="A259" s="344">
        <v>6330</v>
      </c>
      <c r="B259" s="345" t="s">
        <v>275</v>
      </c>
      <c r="C259" s="279">
        <f t="shared" ref="C259:C286" si="50">F259+I259+L259+O259</f>
        <v>0</v>
      </c>
      <c r="D259" s="328">
        <v>0</v>
      </c>
      <c r="E259" s="329"/>
      <c r="F259" s="324">
        <f t="shared" si="37"/>
        <v>0</v>
      </c>
      <c r="G259" s="328"/>
      <c r="H259" s="331"/>
      <c r="I259" s="324">
        <f t="shared" si="38"/>
        <v>0</v>
      </c>
      <c r="J259" s="328"/>
      <c r="K259" s="331"/>
      <c r="L259" s="324">
        <f t="shared" si="39"/>
        <v>0</v>
      </c>
      <c r="M259" s="332"/>
      <c r="N259" s="329"/>
      <c r="O259" s="324">
        <f t="shared" si="40"/>
        <v>0</v>
      </c>
      <c r="P259" s="325"/>
      <c r="R259" s="53"/>
    </row>
    <row r="260" spans="1:18" hidden="1" x14ac:dyDescent="0.25">
      <c r="A260" s="276">
        <v>6360</v>
      </c>
      <c r="B260" s="127" t="s">
        <v>276</v>
      </c>
      <c r="C260" s="279">
        <f t="shared" si="50"/>
        <v>0</v>
      </c>
      <c r="D260" s="134">
        <v>0</v>
      </c>
      <c r="E260" s="285"/>
      <c r="F260" s="136">
        <f t="shared" si="37"/>
        <v>0</v>
      </c>
      <c r="G260" s="134"/>
      <c r="H260" s="135"/>
      <c r="I260" s="136">
        <f t="shared" si="38"/>
        <v>0</v>
      </c>
      <c r="J260" s="134"/>
      <c r="K260" s="135"/>
      <c r="L260" s="136">
        <f t="shared" si="39"/>
        <v>0</v>
      </c>
      <c r="M260" s="284"/>
      <c r="N260" s="285"/>
      <c r="O260" s="136">
        <f t="shared" si="40"/>
        <v>0</v>
      </c>
      <c r="P260" s="85"/>
      <c r="R260" s="53"/>
    </row>
    <row r="261" spans="1:18" ht="24" x14ac:dyDescent="0.25">
      <c r="A261" s="99">
        <v>6400</v>
      </c>
      <c r="B261" s="247" t="s">
        <v>277</v>
      </c>
      <c r="C261" s="249">
        <f t="shared" si="50"/>
        <v>67243</v>
      </c>
      <c r="D261" s="112">
        <f>SUM(D262,D266)</f>
        <v>67243</v>
      </c>
      <c r="E261" s="293">
        <f>SUM(E262,E266)</f>
        <v>0</v>
      </c>
      <c r="F261" s="114">
        <f t="shared" si="37"/>
        <v>67243</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c r="R261" s="53"/>
    </row>
    <row r="262" spans="1:18" ht="24" hidden="1" x14ac:dyDescent="0.25">
      <c r="A262" s="656">
        <v>6410</v>
      </c>
      <c r="B262" s="116" t="s">
        <v>278</v>
      </c>
      <c r="C262" s="296">
        <f t="shared" si="50"/>
        <v>0</v>
      </c>
      <c r="D262" s="297">
        <f>SUM(D263:D265)</f>
        <v>0</v>
      </c>
      <c r="E262" s="301">
        <f>SUM(E263:E265)</f>
        <v>0</v>
      </c>
      <c r="F262" s="125">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c r="R262" s="53"/>
    </row>
    <row r="263" spans="1:18" hidden="1" x14ac:dyDescent="0.25">
      <c r="A263" s="76">
        <v>6411</v>
      </c>
      <c r="B263" s="346" t="s">
        <v>279</v>
      </c>
      <c r="C263" s="279">
        <f t="shared" si="50"/>
        <v>0</v>
      </c>
      <c r="D263" s="134">
        <v>0</v>
      </c>
      <c r="E263" s="285"/>
      <c r="F263" s="136">
        <f t="shared" si="37"/>
        <v>0</v>
      </c>
      <c r="G263" s="134"/>
      <c r="H263" s="135"/>
      <c r="I263" s="136">
        <f t="shared" si="38"/>
        <v>0</v>
      </c>
      <c r="J263" s="134"/>
      <c r="K263" s="135"/>
      <c r="L263" s="136">
        <f t="shared" si="39"/>
        <v>0</v>
      </c>
      <c r="M263" s="284"/>
      <c r="N263" s="285"/>
      <c r="O263" s="136">
        <f t="shared" si="40"/>
        <v>0</v>
      </c>
      <c r="P263" s="85"/>
      <c r="R263" s="53"/>
    </row>
    <row r="264" spans="1:18" ht="36" hidden="1" x14ac:dyDescent="0.25">
      <c r="A264" s="76">
        <v>6412</v>
      </c>
      <c r="B264" s="127" t="s">
        <v>280</v>
      </c>
      <c r="C264" s="279">
        <f t="shared" si="50"/>
        <v>0</v>
      </c>
      <c r="D264" s="134">
        <v>0</v>
      </c>
      <c r="E264" s="285"/>
      <c r="F264" s="136">
        <f t="shared" si="37"/>
        <v>0</v>
      </c>
      <c r="G264" s="134"/>
      <c r="H264" s="135"/>
      <c r="I264" s="136">
        <f t="shared" si="38"/>
        <v>0</v>
      </c>
      <c r="J264" s="134"/>
      <c r="K264" s="135"/>
      <c r="L264" s="136">
        <f t="shared" si="39"/>
        <v>0</v>
      </c>
      <c r="M264" s="284"/>
      <c r="N264" s="285"/>
      <c r="O264" s="136">
        <f t="shared" si="40"/>
        <v>0</v>
      </c>
      <c r="P264" s="85"/>
      <c r="R264" s="53"/>
    </row>
    <row r="265" spans="1:18" ht="36" hidden="1" x14ac:dyDescent="0.25">
      <c r="A265" s="76">
        <v>6419</v>
      </c>
      <c r="B265" s="127" t="s">
        <v>281</v>
      </c>
      <c r="C265" s="279">
        <f t="shared" si="50"/>
        <v>0</v>
      </c>
      <c r="D265" s="134">
        <v>0</v>
      </c>
      <c r="E265" s="285"/>
      <c r="F265" s="136">
        <f t="shared" si="37"/>
        <v>0</v>
      </c>
      <c r="G265" s="134"/>
      <c r="H265" s="135"/>
      <c r="I265" s="136">
        <f t="shared" si="38"/>
        <v>0</v>
      </c>
      <c r="J265" s="134"/>
      <c r="K265" s="135"/>
      <c r="L265" s="136">
        <f t="shared" si="39"/>
        <v>0</v>
      </c>
      <c r="M265" s="284"/>
      <c r="N265" s="285"/>
      <c r="O265" s="136">
        <f t="shared" si="40"/>
        <v>0</v>
      </c>
      <c r="P265" s="85"/>
      <c r="R265" s="53"/>
    </row>
    <row r="266" spans="1:18" ht="36" x14ac:dyDescent="0.25">
      <c r="A266" s="276">
        <v>6420</v>
      </c>
      <c r="B266" s="127" t="s">
        <v>282</v>
      </c>
      <c r="C266" s="279">
        <f t="shared" si="50"/>
        <v>67243</v>
      </c>
      <c r="D266" s="277">
        <f>SUM(D267:D270)</f>
        <v>67243</v>
      </c>
      <c r="E266" s="282">
        <f>SUM(E267:E270)</f>
        <v>0</v>
      </c>
      <c r="F266" s="136">
        <f t="shared" si="37"/>
        <v>67243</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c r="R266" s="53"/>
    </row>
    <row r="267" spans="1:18" hidden="1" x14ac:dyDescent="0.25">
      <c r="A267" s="76">
        <v>6421</v>
      </c>
      <c r="B267" s="127" t="s">
        <v>283</v>
      </c>
      <c r="C267" s="279">
        <f t="shared" si="50"/>
        <v>0</v>
      </c>
      <c r="D267" s="134">
        <v>0</v>
      </c>
      <c r="E267" s="285"/>
      <c r="F267" s="136">
        <f t="shared" si="37"/>
        <v>0</v>
      </c>
      <c r="G267" s="134"/>
      <c r="H267" s="135"/>
      <c r="I267" s="136">
        <f t="shared" si="38"/>
        <v>0</v>
      </c>
      <c r="J267" s="134"/>
      <c r="K267" s="135"/>
      <c r="L267" s="136">
        <f t="shared" si="39"/>
        <v>0</v>
      </c>
      <c r="M267" s="284"/>
      <c r="N267" s="285"/>
      <c r="O267" s="136">
        <f t="shared" si="40"/>
        <v>0</v>
      </c>
      <c r="P267" s="85"/>
      <c r="R267" s="53"/>
    </row>
    <row r="268" spans="1:18" x14ac:dyDescent="0.25">
      <c r="A268" s="76">
        <v>6422</v>
      </c>
      <c r="B268" s="127" t="s">
        <v>284</v>
      </c>
      <c r="C268" s="279">
        <f t="shared" si="50"/>
        <v>67243</v>
      </c>
      <c r="D268" s="134">
        <v>67243</v>
      </c>
      <c r="E268" s="285"/>
      <c r="F268" s="136">
        <f t="shared" si="37"/>
        <v>67243</v>
      </c>
      <c r="G268" s="134"/>
      <c r="H268" s="135"/>
      <c r="I268" s="136">
        <f t="shared" si="38"/>
        <v>0</v>
      </c>
      <c r="J268" s="134"/>
      <c r="K268" s="135"/>
      <c r="L268" s="136">
        <f t="shared" si="39"/>
        <v>0</v>
      </c>
      <c r="M268" s="284"/>
      <c r="N268" s="285"/>
      <c r="O268" s="136">
        <f t="shared" si="40"/>
        <v>0</v>
      </c>
      <c r="P268" s="85"/>
      <c r="R268" s="53"/>
    </row>
    <row r="269" spans="1:18" hidden="1" x14ac:dyDescent="0.25">
      <c r="A269" s="76">
        <v>6423</v>
      </c>
      <c r="B269" s="127" t="s">
        <v>285</v>
      </c>
      <c r="C269" s="279">
        <f t="shared" si="50"/>
        <v>0</v>
      </c>
      <c r="D269" s="134">
        <v>0</v>
      </c>
      <c r="E269" s="285"/>
      <c r="F269" s="136">
        <f t="shared" si="37"/>
        <v>0</v>
      </c>
      <c r="G269" s="134"/>
      <c r="H269" s="135"/>
      <c r="I269" s="136">
        <f t="shared" si="38"/>
        <v>0</v>
      </c>
      <c r="J269" s="134"/>
      <c r="K269" s="135"/>
      <c r="L269" s="136">
        <f t="shared" si="39"/>
        <v>0</v>
      </c>
      <c r="M269" s="284"/>
      <c r="N269" s="285"/>
      <c r="O269" s="136">
        <f t="shared" si="40"/>
        <v>0</v>
      </c>
      <c r="P269" s="85"/>
      <c r="R269" s="53"/>
    </row>
    <row r="270" spans="1:18" ht="24" hidden="1" x14ac:dyDescent="0.25">
      <c r="A270" s="76">
        <v>6424</v>
      </c>
      <c r="B270" s="127" t="s">
        <v>286</v>
      </c>
      <c r="C270" s="279">
        <f t="shared" si="50"/>
        <v>0</v>
      </c>
      <c r="D270" s="134">
        <v>0</v>
      </c>
      <c r="E270" s="285"/>
      <c r="F270" s="136">
        <f t="shared" si="37"/>
        <v>0</v>
      </c>
      <c r="G270" s="134"/>
      <c r="H270" s="135"/>
      <c r="I270" s="136">
        <f t="shared" si="38"/>
        <v>0</v>
      </c>
      <c r="J270" s="134"/>
      <c r="K270" s="135"/>
      <c r="L270" s="136">
        <f t="shared" si="39"/>
        <v>0</v>
      </c>
      <c r="M270" s="284"/>
      <c r="N270" s="285"/>
      <c r="O270" s="136">
        <f t="shared" si="40"/>
        <v>0</v>
      </c>
      <c r="P270" s="85"/>
      <c r="R270" s="53"/>
    </row>
    <row r="271" spans="1:18" ht="36" hidden="1" x14ac:dyDescent="0.25">
      <c r="A271" s="347">
        <v>7000</v>
      </c>
      <c r="B271" s="347" t="s">
        <v>287</v>
      </c>
      <c r="C271" s="351">
        <f t="shared" si="50"/>
        <v>0</v>
      </c>
      <c r="D271" s="349">
        <f>SUM(D272,D282)</f>
        <v>0</v>
      </c>
      <c r="E271" s="407">
        <f>SUM(E272,E282)</f>
        <v>0</v>
      </c>
      <c r="F271" s="353">
        <f t="shared" si="37"/>
        <v>0</v>
      </c>
      <c r="G271" s="349">
        <f>SUM(G272,G282)</f>
        <v>0</v>
      </c>
      <c r="H271" s="352">
        <f>SUM(H272,H282)</f>
        <v>0</v>
      </c>
      <c r="I271" s="353">
        <f t="shared" si="38"/>
        <v>0</v>
      </c>
      <c r="J271" s="349">
        <f>SUM(J272,J282)</f>
        <v>0</v>
      </c>
      <c r="K271" s="352">
        <f>SUM(K272,K282)</f>
        <v>0</v>
      </c>
      <c r="L271" s="353">
        <f t="shared" si="39"/>
        <v>0</v>
      </c>
      <c r="M271" s="354">
        <f>SUM(M272,M282)</f>
        <v>0</v>
      </c>
      <c r="N271" s="355">
        <f>SUM(N272,N282)</f>
        <v>0</v>
      </c>
      <c r="O271" s="356">
        <f t="shared" si="40"/>
        <v>0</v>
      </c>
      <c r="P271" s="357"/>
      <c r="R271" s="53"/>
    </row>
    <row r="272" spans="1:18" ht="24" hidden="1" x14ac:dyDescent="0.25">
      <c r="A272" s="99">
        <v>7200</v>
      </c>
      <c r="B272" s="247" t="s">
        <v>288</v>
      </c>
      <c r="C272" s="249">
        <f t="shared" si="50"/>
        <v>0</v>
      </c>
      <c r="D272" s="112">
        <f>SUM(D273,D274,D277,D278,D281)</f>
        <v>0</v>
      </c>
      <c r="E272" s="293">
        <f>SUM(E273,E274,E277,E278,E281)</f>
        <v>0</v>
      </c>
      <c r="F272" s="114">
        <f t="shared" si="37"/>
        <v>0</v>
      </c>
      <c r="G272" s="112">
        <f>SUM(G273,G274,G277,G278,G281)</f>
        <v>0</v>
      </c>
      <c r="H272" s="113">
        <f>SUM(H273,H274,H277,H278,H281)</f>
        <v>0</v>
      </c>
      <c r="I272" s="114">
        <f t="shared" si="38"/>
        <v>0</v>
      </c>
      <c r="J272" s="112">
        <f>SUM(J273,J274,J277,J278,J281)</f>
        <v>0</v>
      </c>
      <c r="K272" s="113">
        <f>SUM(K273,K274,K277,K278,K281)</f>
        <v>0</v>
      </c>
      <c r="L272" s="114">
        <f t="shared" si="39"/>
        <v>0</v>
      </c>
      <c r="M272" s="250">
        <f>SUM(M273,M274,M277,M278,M281)</f>
        <v>0</v>
      </c>
      <c r="N272" s="251">
        <f>SUM(N273,N274,N277,N278,N281)</f>
        <v>0</v>
      </c>
      <c r="O272" s="252">
        <f t="shared" si="40"/>
        <v>0</v>
      </c>
      <c r="P272" s="253"/>
      <c r="R272" s="53"/>
    </row>
    <row r="273" spans="1:18" ht="24" hidden="1" x14ac:dyDescent="0.25">
      <c r="A273" s="656">
        <v>7210</v>
      </c>
      <c r="B273" s="116" t="s">
        <v>289</v>
      </c>
      <c r="C273" s="296">
        <f t="shared" si="50"/>
        <v>0</v>
      </c>
      <c r="D273" s="123">
        <v>0</v>
      </c>
      <c r="E273" s="262"/>
      <c r="F273" s="125">
        <f t="shared" si="37"/>
        <v>0</v>
      </c>
      <c r="G273" s="123"/>
      <c r="H273" s="124"/>
      <c r="I273" s="125">
        <f t="shared" si="38"/>
        <v>0</v>
      </c>
      <c r="J273" s="123"/>
      <c r="K273" s="124"/>
      <c r="L273" s="125">
        <f t="shared" si="39"/>
        <v>0</v>
      </c>
      <c r="M273" s="264"/>
      <c r="N273" s="262"/>
      <c r="O273" s="125">
        <f t="shared" si="40"/>
        <v>0</v>
      </c>
      <c r="P273" s="74"/>
      <c r="R273" s="53"/>
    </row>
    <row r="274" spans="1:18" s="358" customFormat="1" ht="36" hidden="1" x14ac:dyDescent="0.25">
      <c r="A274" s="276">
        <v>7220</v>
      </c>
      <c r="B274" s="127" t="s">
        <v>290</v>
      </c>
      <c r="C274" s="279">
        <f t="shared" si="50"/>
        <v>0</v>
      </c>
      <c r="D274" s="277">
        <f>SUM(D275:D276)</f>
        <v>0</v>
      </c>
      <c r="E274" s="282">
        <f>SUM(E275:E276)</f>
        <v>0</v>
      </c>
      <c r="F274" s="13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c r="R274" s="53"/>
    </row>
    <row r="275" spans="1:18" s="358" customFormat="1" ht="36" hidden="1" x14ac:dyDescent="0.25">
      <c r="A275" s="76">
        <v>7221</v>
      </c>
      <c r="B275" s="127" t="s">
        <v>291</v>
      </c>
      <c r="C275" s="279">
        <f t="shared" si="50"/>
        <v>0</v>
      </c>
      <c r="D275" s="134">
        <v>0</v>
      </c>
      <c r="E275" s="285"/>
      <c r="F275" s="136">
        <f t="shared" si="37"/>
        <v>0</v>
      </c>
      <c r="G275" s="134"/>
      <c r="H275" s="135"/>
      <c r="I275" s="136">
        <f t="shared" si="38"/>
        <v>0</v>
      </c>
      <c r="J275" s="134"/>
      <c r="K275" s="135"/>
      <c r="L275" s="136">
        <f t="shared" si="39"/>
        <v>0</v>
      </c>
      <c r="M275" s="284"/>
      <c r="N275" s="285"/>
      <c r="O275" s="136">
        <f t="shared" si="40"/>
        <v>0</v>
      </c>
      <c r="P275" s="85"/>
      <c r="R275" s="53"/>
    </row>
    <row r="276" spans="1:18" s="358" customFormat="1" ht="36" hidden="1" x14ac:dyDescent="0.25">
      <c r="A276" s="76">
        <v>7222</v>
      </c>
      <c r="B276" s="127" t="s">
        <v>292</v>
      </c>
      <c r="C276" s="279">
        <f t="shared" si="50"/>
        <v>0</v>
      </c>
      <c r="D276" s="134">
        <v>0</v>
      </c>
      <c r="E276" s="285"/>
      <c r="F276" s="136">
        <f t="shared" si="37"/>
        <v>0</v>
      </c>
      <c r="G276" s="134"/>
      <c r="H276" s="135"/>
      <c r="I276" s="136">
        <f t="shared" si="38"/>
        <v>0</v>
      </c>
      <c r="J276" s="134"/>
      <c r="K276" s="135"/>
      <c r="L276" s="136">
        <f t="shared" si="39"/>
        <v>0</v>
      </c>
      <c r="M276" s="284"/>
      <c r="N276" s="285"/>
      <c r="O276" s="136">
        <f t="shared" si="40"/>
        <v>0</v>
      </c>
      <c r="P276" s="85"/>
      <c r="R276" s="53"/>
    </row>
    <row r="277" spans="1:18" s="358" customFormat="1" ht="24" hidden="1" x14ac:dyDescent="0.25">
      <c r="A277" s="276">
        <v>7230</v>
      </c>
      <c r="B277" s="127" t="s">
        <v>293</v>
      </c>
      <c r="C277" s="279">
        <f t="shared" si="50"/>
        <v>0</v>
      </c>
      <c r="D277" s="134">
        <v>0</v>
      </c>
      <c r="E277" s="285"/>
      <c r="F277" s="136">
        <f t="shared" si="37"/>
        <v>0</v>
      </c>
      <c r="G277" s="134"/>
      <c r="H277" s="135"/>
      <c r="I277" s="136">
        <f t="shared" si="38"/>
        <v>0</v>
      </c>
      <c r="J277" s="134"/>
      <c r="K277" s="135"/>
      <c r="L277" s="136">
        <f t="shared" si="39"/>
        <v>0</v>
      </c>
      <c r="M277" s="284"/>
      <c r="N277" s="285"/>
      <c r="O277" s="136">
        <f>M277+N277</f>
        <v>0</v>
      </c>
      <c r="P277" s="85"/>
      <c r="R277" s="53"/>
    </row>
    <row r="278" spans="1:18" ht="24" hidden="1" x14ac:dyDescent="0.25">
      <c r="A278" s="276">
        <v>7240</v>
      </c>
      <c r="B278" s="127" t="s">
        <v>294</v>
      </c>
      <c r="C278" s="279">
        <f t="shared" si="50"/>
        <v>0</v>
      </c>
      <c r="D278" s="277">
        <f>SUM(D279:D280)</f>
        <v>0</v>
      </c>
      <c r="E278" s="282">
        <f>SUM(E279:E280)</f>
        <v>0</v>
      </c>
      <c r="F278" s="13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c r="R278" s="53"/>
    </row>
    <row r="279" spans="1:18" ht="48" hidden="1" x14ac:dyDescent="0.25">
      <c r="A279" s="76">
        <v>7245</v>
      </c>
      <c r="B279" s="127" t="s">
        <v>295</v>
      </c>
      <c r="C279" s="279">
        <f t="shared" si="50"/>
        <v>0</v>
      </c>
      <c r="D279" s="134">
        <v>0</v>
      </c>
      <c r="E279" s="285"/>
      <c r="F279" s="136">
        <f t="shared" si="37"/>
        <v>0</v>
      </c>
      <c r="G279" s="134"/>
      <c r="H279" s="135"/>
      <c r="I279" s="136">
        <f t="shared" si="38"/>
        <v>0</v>
      </c>
      <c r="J279" s="134"/>
      <c r="K279" s="135"/>
      <c r="L279" s="136">
        <f t="shared" si="39"/>
        <v>0</v>
      </c>
      <c r="M279" s="284"/>
      <c r="N279" s="285"/>
      <c r="O279" s="136">
        <f t="shared" ref="O279:O282" si="57">M279+N279</f>
        <v>0</v>
      </c>
      <c r="P279" s="85"/>
      <c r="R279" s="53"/>
    </row>
    <row r="280" spans="1:18" ht="84" hidden="1" x14ac:dyDescent="0.25">
      <c r="A280" s="76">
        <v>7246</v>
      </c>
      <c r="B280" s="127" t="s">
        <v>296</v>
      </c>
      <c r="C280" s="279">
        <f t="shared" si="50"/>
        <v>0</v>
      </c>
      <c r="D280" s="134">
        <v>0</v>
      </c>
      <c r="E280" s="285"/>
      <c r="F280" s="136">
        <f t="shared" si="37"/>
        <v>0</v>
      </c>
      <c r="G280" s="134"/>
      <c r="H280" s="135"/>
      <c r="I280" s="136">
        <f t="shared" si="38"/>
        <v>0</v>
      </c>
      <c r="J280" s="134"/>
      <c r="K280" s="135"/>
      <c r="L280" s="136">
        <f t="shared" si="39"/>
        <v>0</v>
      </c>
      <c r="M280" s="284"/>
      <c r="N280" s="285"/>
      <c r="O280" s="136">
        <f t="shared" si="57"/>
        <v>0</v>
      </c>
      <c r="P280" s="85"/>
      <c r="R280" s="53"/>
    </row>
    <row r="281" spans="1:18" ht="24" hidden="1" x14ac:dyDescent="0.25">
      <c r="A281" s="276">
        <v>7260</v>
      </c>
      <c r="B281" s="127" t="s">
        <v>297</v>
      </c>
      <c r="C281" s="279">
        <f t="shared" si="50"/>
        <v>0</v>
      </c>
      <c r="D281" s="123">
        <v>0</v>
      </c>
      <c r="E281" s="262"/>
      <c r="F281" s="125">
        <f t="shared" si="37"/>
        <v>0</v>
      </c>
      <c r="G281" s="123"/>
      <c r="H281" s="124"/>
      <c r="I281" s="125">
        <f t="shared" si="38"/>
        <v>0</v>
      </c>
      <c r="J281" s="123"/>
      <c r="K281" s="124"/>
      <c r="L281" s="125">
        <f t="shared" si="39"/>
        <v>0</v>
      </c>
      <c r="M281" s="264"/>
      <c r="N281" s="262"/>
      <c r="O281" s="125">
        <f t="shared" si="57"/>
        <v>0</v>
      </c>
      <c r="P281" s="74"/>
      <c r="R281" s="53"/>
    </row>
    <row r="282" spans="1:18" hidden="1" x14ac:dyDescent="0.25">
      <c r="A282" s="99">
        <v>7700</v>
      </c>
      <c r="B282" s="247" t="s">
        <v>298</v>
      </c>
      <c r="C282" s="302">
        <f t="shared" si="50"/>
        <v>0</v>
      </c>
      <c r="D282" s="360">
        <f>D283</f>
        <v>0</v>
      </c>
      <c r="E282" s="304">
        <f>SUM(E283)</f>
        <v>0</v>
      </c>
      <c r="F282" s="305">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c r="R282" s="53"/>
    </row>
    <row r="283" spans="1:18" hidden="1" x14ac:dyDescent="0.25">
      <c r="A283" s="141">
        <v>7720</v>
      </c>
      <c r="B283" s="142" t="s">
        <v>299</v>
      </c>
      <c r="C283" s="362">
        <f t="shared" si="50"/>
        <v>0</v>
      </c>
      <c r="D283" s="149">
        <v>0</v>
      </c>
      <c r="E283" s="363"/>
      <c r="F283" s="151">
        <f t="shared" si="37"/>
        <v>0</v>
      </c>
      <c r="G283" s="149"/>
      <c r="H283" s="150"/>
      <c r="I283" s="151">
        <f t="shared" si="38"/>
        <v>0</v>
      </c>
      <c r="J283" s="149"/>
      <c r="K283" s="150"/>
      <c r="L283" s="151">
        <f t="shared" si="39"/>
        <v>0</v>
      </c>
      <c r="M283" s="365"/>
      <c r="N283" s="363"/>
      <c r="O283" s="151">
        <f>M283+N283</f>
        <v>0</v>
      </c>
      <c r="P283" s="153"/>
      <c r="R283" s="53"/>
    </row>
    <row r="284" spans="1:18" hidden="1" x14ac:dyDescent="0.25">
      <c r="A284" s="366"/>
      <c r="B284" s="179" t="s">
        <v>300</v>
      </c>
      <c r="C284" s="296">
        <f t="shared" si="50"/>
        <v>0</v>
      </c>
      <c r="D284" s="255">
        <f>SUM(D285:D286)</f>
        <v>0</v>
      </c>
      <c r="E284" s="261">
        <f>SUM(E285:E286)</f>
        <v>0</v>
      </c>
      <c r="F284" s="259">
        <f t="shared" si="37"/>
        <v>0</v>
      </c>
      <c r="G284" s="255">
        <f>SUM(G285:G286)</f>
        <v>0</v>
      </c>
      <c r="H284" s="258">
        <f>SUM(H285:H286)</f>
        <v>0</v>
      </c>
      <c r="I284" s="259">
        <f t="shared" si="38"/>
        <v>0</v>
      </c>
      <c r="J284" s="255">
        <f>SUM(J285:J286)</f>
        <v>0</v>
      </c>
      <c r="K284" s="258">
        <f>SUM(K285:K286)</f>
        <v>0</v>
      </c>
      <c r="L284" s="259">
        <f t="shared" si="39"/>
        <v>0</v>
      </c>
      <c r="M284" s="260">
        <f>SUM(M285:M286)</f>
        <v>0</v>
      </c>
      <c r="N284" s="261">
        <f>SUM(N285:N286)</f>
        <v>0</v>
      </c>
      <c r="O284" s="259">
        <f t="shared" ref="O284:O299" si="58">M284+N284</f>
        <v>0</v>
      </c>
      <c r="P284" s="189"/>
      <c r="R284" s="53"/>
    </row>
    <row r="285" spans="1:18" hidden="1" x14ac:dyDescent="0.25">
      <c r="A285" s="346" t="s">
        <v>301</v>
      </c>
      <c r="B285" s="76" t="s">
        <v>302</v>
      </c>
      <c r="C285" s="279">
        <f t="shared" si="50"/>
        <v>0</v>
      </c>
      <c r="D285" s="134"/>
      <c r="E285" s="285"/>
      <c r="F285" s="136">
        <f t="shared" si="37"/>
        <v>0</v>
      </c>
      <c r="G285" s="134"/>
      <c r="H285" s="135"/>
      <c r="I285" s="136">
        <f t="shared" si="38"/>
        <v>0</v>
      </c>
      <c r="J285" s="134"/>
      <c r="K285" s="135"/>
      <c r="L285" s="136">
        <f t="shared" si="39"/>
        <v>0</v>
      </c>
      <c r="M285" s="284"/>
      <c r="N285" s="285"/>
      <c r="O285" s="136">
        <f t="shared" si="58"/>
        <v>0</v>
      </c>
      <c r="P285" s="85"/>
      <c r="R285" s="53"/>
    </row>
    <row r="286" spans="1:18" hidden="1" x14ac:dyDescent="0.25">
      <c r="A286" s="346" t="s">
        <v>303</v>
      </c>
      <c r="B286" s="367" t="s">
        <v>304</v>
      </c>
      <c r="C286" s="296">
        <f t="shared" si="50"/>
        <v>0</v>
      </c>
      <c r="D286" s="123"/>
      <c r="E286" s="262"/>
      <c r="F286" s="125">
        <f t="shared" si="37"/>
        <v>0</v>
      </c>
      <c r="G286" s="123"/>
      <c r="H286" s="124"/>
      <c r="I286" s="125">
        <f t="shared" si="38"/>
        <v>0</v>
      </c>
      <c r="J286" s="123"/>
      <c r="K286" s="124"/>
      <c r="L286" s="125">
        <f t="shared" si="39"/>
        <v>0</v>
      </c>
      <c r="M286" s="264"/>
      <c r="N286" s="262"/>
      <c r="O286" s="125">
        <f t="shared" si="58"/>
        <v>0</v>
      </c>
      <c r="P286" s="74"/>
      <c r="R286" s="53"/>
    </row>
    <row r="287" spans="1:18" x14ac:dyDescent="0.25">
      <c r="A287" s="368"/>
      <c r="B287" s="369" t="s">
        <v>305</v>
      </c>
      <c r="C287" s="373">
        <f>SUM(C284,C271,C233,C198,C190,C176,C78,C56)</f>
        <v>1748750</v>
      </c>
      <c r="D287" s="371">
        <f>SUM(D284,D271,D233,D198,D190,D176,D78,D56)</f>
        <v>1748750</v>
      </c>
      <c r="E287" s="692">
        <f>SUM(E284,E271,E233,E198,E190,E176,E78,E56)</f>
        <v>0</v>
      </c>
      <c r="F287" s="375">
        <f t="shared" si="37"/>
        <v>1748750</v>
      </c>
      <c r="G287" s="371">
        <f>SUM(G284,G271,G233,G198,G190,G176,G78,G56)</f>
        <v>0</v>
      </c>
      <c r="H287" s="374">
        <f>SUM(H284,H271,H233,H198,H190,H176,H78,H56)</f>
        <v>0</v>
      </c>
      <c r="I287" s="375">
        <f t="shared" si="38"/>
        <v>0</v>
      </c>
      <c r="J287" s="371">
        <f>SUM(J284,J271,J233,J198,J190,J176,J78,J56)</f>
        <v>0</v>
      </c>
      <c r="K287" s="374">
        <f>SUM(K284,K271,K233,K198,K190,K176,K78,K56)</f>
        <v>0</v>
      </c>
      <c r="L287" s="375">
        <f t="shared" si="39"/>
        <v>0</v>
      </c>
      <c r="M287" s="250">
        <f>SUM(M284,M271,M233,M198,M190,M176,M78,M56)</f>
        <v>0</v>
      </c>
      <c r="N287" s="251">
        <f>SUM(N284,N271,N233,N198,N190,N176,N78,N56)</f>
        <v>0</v>
      </c>
      <c r="O287" s="252">
        <f t="shared" si="58"/>
        <v>0</v>
      </c>
      <c r="P287" s="253"/>
      <c r="R287" s="53"/>
    </row>
    <row r="288" spans="1:18" hidden="1" x14ac:dyDescent="0.25">
      <c r="A288" s="376" t="s">
        <v>306</v>
      </c>
      <c r="B288" s="377"/>
      <c r="C288" s="381">
        <f t="shared" ref="C288" si="59">F288+I288+L288+O288</f>
        <v>0</v>
      </c>
      <c r="D288" s="379">
        <f>SUM(D28,D29,D45)-D54</f>
        <v>0</v>
      </c>
      <c r="E288" s="384">
        <f>SUM(E28,E29,E45)-E54</f>
        <v>0</v>
      </c>
      <c r="F288" s="383">
        <f t="shared" si="37"/>
        <v>0</v>
      </c>
      <c r="G288" s="379">
        <f>SUM(G28,G29,G45)-G54</f>
        <v>0</v>
      </c>
      <c r="H288" s="382">
        <f>SUM(H28,H29,H45)-H54</f>
        <v>0</v>
      </c>
      <c r="I288" s="383">
        <f t="shared" si="38"/>
        <v>0</v>
      </c>
      <c r="J288" s="379">
        <f>(J30+J46)-J54</f>
        <v>0</v>
      </c>
      <c r="K288" s="382">
        <f>(K30+K46)-K54</f>
        <v>0</v>
      </c>
      <c r="L288" s="383">
        <f t="shared" si="39"/>
        <v>0</v>
      </c>
      <c r="M288" s="378">
        <f>M48-M54</f>
        <v>0</v>
      </c>
      <c r="N288" s="384">
        <f>N48-N54</f>
        <v>0</v>
      </c>
      <c r="O288" s="383">
        <f t="shared" si="58"/>
        <v>0</v>
      </c>
      <c r="P288" s="385"/>
      <c r="R288" s="53"/>
    </row>
    <row r="289" spans="1:18" s="41" customFormat="1" hidden="1" x14ac:dyDescent="0.25">
      <c r="A289" s="376" t="s">
        <v>307</v>
      </c>
      <c r="B289" s="377"/>
      <c r="C289" s="381">
        <f>SUM(C290,C291)-C298+C299</f>
        <v>0</v>
      </c>
      <c r="D289" s="379">
        <f>SUM(D290,D291)-D298+D299</f>
        <v>0</v>
      </c>
      <c r="E289" s="384">
        <f>SUM(E290,E291)-E298+E299</f>
        <v>0</v>
      </c>
      <c r="F289" s="383">
        <f t="shared" si="37"/>
        <v>0</v>
      </c>
      <c r="G289" s="379">
        <f>SUM(G290,G291)-G298+G299</f>
        <v>0</v>
      </c>
      <c r="H289" s="382">
        <f>SUM(H290,H291)-H298+H299</f>
        <v>0</v>
      </c>
      <c r="I289" s="383">
        <f t="shared" si="38"/>
        <v>0</v>
      </c>
      <c r="J289" s="379">
        <f>SUM(J290,J291)-J298+J299</f>
        <v>0</v>
      </c>
      <c r="K289" s="382">
        <f>SUM(K290,K291)-K298+K299</f>
        <v>0</v>
      </c>
      <c r="L289" s="383">
        <f t="shared" si="39"/>
        <v>0</v>
      </c>
      <c r="M289" s="378">
        <f>SUM(M290,M291)-M298+M299</f>
        <v>0</v>
      </c>
      <c r="N289" s="384">
        <f>SUM(N290,N291)-N298+N299</f>
        <v>0</v>
      </c>
      <c r="O289" s="383">
        <f t="shared" si="58"/>
        <v>0</v>
      </c>
      <c r="P289" s="385"/>
      <c r="R289" s="53"/>
    </row>
    <row r="290" spans="1:18" s="41" customFormat="1" hidden="1" x14ac:dyDescent="0.25">
      <c r="A290" s="386" t="s">
        <v>308</v>
      </c>
      <c r="B290" s="386" t="s">
        <v>309</v>
      </c>
      <c r="C290" s="381">
        <f>C25-C284</f>
        <v>0</v>
      </c>
      <c r="D290" s="379">
        <f>D25-D284</f>
        <v>0</v>
      </c>
      <c r="E290" s="384">
        <f>E25-E284</f>
        <v>0</v>
      </c>
      <c r="F290" s="383">
        <f t="shared" si="37"/>
        <v>0</v>
      </c>
      <c r="G290" s="379">
        <f>G25-G284</f>
        <v>0</v>
      </c>
      <c r="H290" s="382">
        <f>H25-H284</f>
        <v>0</v>
      </c>
      <c r="I290" s="383">
        <f t="shared" si="38"/>
        <v>0</v>
      </c>
      <c r="J290" s="379">
        <f>J25-J284</f>
        <v>0</v>
      </c>
      <c r="K290" s="382">
        <f>K25-K284</f>
        <v>0</v>
      </c>
      <c r="L290" s="383">
        <f t="shared" si="39"/>
        <v>0</v>
      </c>
      <c r="M290" s="378">
        <f>M25-M284</f>
        <v>0</v>
      </c>
      <c r="N290" s="384">
        <f>N25-N284</f>
        <v>0</v>
      </c>
      <c r="O290" s="383">
        <f t="shared" si="58"/>
        <v>0</v>
      </c>
      <c r="P290" s="385"/>
      <c r="R290" s="53"/>
    </row>
    <row r="291" spans="1:18" s="41" customFormat="1" hidden="1" x14ac:dyDescent="0.25">
      <c r="A291" s="387" t="s">
        <v>310</v>
      </c>
      <c r="B291" s="387" t="s">
        <v>311</v>
      </c>
      <c r="C291" s="381">
        <f>SUM(C292,C294,C296)-SUM(C293,C295,C297)</f>
        <v>0</v>
      </c>
      <c r="D291" s="379">
        <f>SUM(D292,D294,D296)-SUM(D293,D295,D297)</f>
        <v>0</v>
      </c>
      <c r="E291" s="384">
        <f t="shared" ref="E291" si="60">SUM(E292,E294,E296)-SUM(E293,E295,E297)</f>
        <v>0</v>
      </c>
      <c r="F291" s="383">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c r="R291" s="53"/>
    </row>
    <row r="292" spans="1:18" s="41" customFormat="1" hidden="1" x14ac:dyDescent="0.25">
      <c r="A292" s="366" t="s">
        <v>312</v>
      </c>
      <c r="B292" s="190" t="s">
        <v>313</v>
      </c>
      <c r="C292" s="362">
        <f t="shared" ref="C292:C299" si="64">F292+I292+L292+O292</f>
        <v>0</v>
      </c>
      <c r="D292" s="149"/>
      <c r="E292" s="363"/>
      <c r="F292" s="151">
        <f t="shared" si="37"/>
        <v>0</v>
      </c>
      <c r="G292" s="149"/>
      <c r="H292" s="150"/>
      <c r="I292" s="151">
        <f t="shared" si="38"/>
        <v>0</v>
      </c>
      <c r="J292" s="149"/>
      <c r="K292" s="150"/>
      <c r="L292" s="151">
        <f t="shared" si="39"/>
        <v>0</v>
      </c>
      <c r="M292" s="365"/>
      <c r="N292" s="363"/>
      <c r="O292" s="151">
        <f t="shared" si="58"/>
        <v>0</v>
      </c>
      <c r="P292" s="153"/>
      <c r="R292" s="53"/>
    </row>
    <row r="293" spans="1:18" hidden="1" x14ac:dyDescent="0.25">
      <c r="A293" s="346" t="s">
        <v>314</v>
      </c>
      <c r="B293" s="75" t="s">
        <v>315</v>
      </c>
      <c r="C293" s="279">
        <f t="shared" si="64"/>
        <v>0</v>
      </c>
      <c r="D293" s="134"/>
      <c r="E293" s="285"/>
      <c r="F293" s="136">
        <f t="shared" si="37"/>
        <v>0</v>
      </c>
      <c r="G293" s="134"/>
      <c r="H293" s="135"/>
      <c r="I293" s="136">
        <f t="shared" si="38"/>
        <v>0</v>
      </c>
      <c r="J293" s="134"/>
      <c r="K293" s="135"/>
      <c r="L293" s="136">
        <f t="shared" si="39"/>
        <v>0</v>
      </c>
      <c r="M293" s="284"/>
      <c r="N293" s="285"/>
      <c r="O293" s="136">
        <f t="shared" si="58"/>
        <v>0</v>
      </c>
      <c r="P293" s="85"/>
      <c r="R293" s="53"/>
    </row>
    <row r="294" spans="1:18" hidden="1" x14ac:dyDescent="0.25">
      <c r="A294" s="346" t="s">
        <v>316</v>
      </c>
      <c r="B294" s="75" t="s">
        <v>317</v>
      </c>
      <c r="C294" s="279">
        <f t="shared" si="64"/>
        <v>0</v>
      </c>
      <c r="D294" s="134"/>
      <c r="E294" s="285"/>
      <c r="F294" s="136">
        <f t="shared" si="37"/>
        <v>0</v>
      </c>
      <c r="G294" s="134"/>
      <c r="H294" s="135"/>
      <c r="I294" s="136">
        <f t="shared" si="38"/>
        <v>0</v>
      </c>
      <c r="J294" s="134"/>
      <c r="K294" s="135"/>
      <c r="L294" s="136">
        <f t="shared" si="39"/>
        <v>0</v>
      </c>
      <c r="M294" s="284"/>
      <c r="N294" s="285"/>
      <c r="O294" s="136">
        <f t="shared" si="58"/>
        <v>0</v>
      </c>
      <c r="P294" s="85"/>
      <c r="R294" s="53"/>
    </row>
    <row r="295" spans="1:18" ht="24" hidden="1" x14ac:dyDescent="0.25">
      <c r="A295" s="346" t="s">
        <v>318</v>
      </c>
      <c r="B295" s="75" t="s">
        <v>319</v>
      </c>
      <c r="C295" s="279">
        <f t="shared" si="64"/>
        <v>0</v>
      </c>
      <c r="D295" s="134"/>
      <c r="E295" s="285"/>
      <c r="F295" s="136">
        <f t="shared" si="37"/>
        <v>0</v>
      </c>
      <c r="G295" s="134"/>
      <c r="H295" s="135"/>
      <c r="I295" s="136">
        <f t="shared" si="38"/>
        <v>0</v>
      </c>
      <c r="J295" s="134"/>
      <c r="K295" s="135"/>
      <c r="L295" s="136">
        <f t="shared" si="39"/>
        <v>0</v>
      </c>
      <c r="M295" s="284"/>
      <c r="N295" s="285"/>
      <c r="O295" s="136">
        <f t="shared" si="58"/>
        <v>0</v>
      </c>
      <c r="P295" s="85"/>
      <c r="R295" s="53"/>
    </row>
    <row r="296" spans="1:18" hidden="1" x14ac:dyDescent="0.25">
      <c r="A296" s="346" t="s">
        <v>320</v>
      </c>
      <c r="B296" s="75" t="s">
        <v>321</v>
      </c>
      <c r="C296" s="279">
        <f t="shared" si="64"/>
        <v>0</v>
      </c>
      <c r="D296" s="134"/>
      <c r="E296" s="285"/>
      <c r="F296" s="136">
        <f t="shared" si="37"/>
        <v>0</v>
      </c>
      <c r="G296" s="134"/>
      <c r="H296" s="135"/>
      <c r="I296" s="136">
        <f t="shared" si="38"/>
        <v>0</v>
      </c>
      <c r="J296" s="134"/>
      <c r="K296" s="135"/>
      <c r="L296" s="136">
        <f t="shared" si="39"/>
        <v>0</v>
      </c>
      <c r="M296" s="284"/>
      <c r="N296" s="285"/>
      <c r="O296" s="136">
        <f t="shared" si="58"/>
        <v>0</v>
      </c>
      <c r="P296" s="85"/>
      <c r="R296" s="53"/>
    </row>
    <row r="297" spans="1:18" hidden="1" x14ac:dyDescent="0.25">
      <c r="A297" s="389" t="s">
        <v>322</v>
      </c>
      <c r="B297" s="390" t="s">
        <v>323</v>
      </c>
      <c r="C297" s="647">
        <f t="shared" si="64"/>
        <v>0</v>
      </c>
      <c r="D297" s="328"/>
      <c r="E297" s="329"/>
      <c r="F297" s="324">
        <f t="shared" si="37"/>
        <v>0</v>
      </c>
      <c r="G297" s="328"/>
      <c r="H297" s="331"/>
      <c r="I297" s="324">
        <f t="shared" si="38"/>
        <v>0</v>
      </c>
      <c r="J297" s="328"/>
      <c r="K297" s="331"/>
      <c r="L297" s="324">
        <f t="shared" si="39"/>
        <v>0</v>
      </c>
      <c r="M297" s="332"/>
      <c r="N297" s="329"/>
      <c r="O297" s="324">
        <f t="shared" si="58"/>
        <v>0</v>
      </c>
      <c r="P297" s="325"/>
      <c r="R297" s="53"/>
    </row>
    <row r="298" spans="1:18" hidden="1" x14ac:dyDescent="0.25">
      <c r="A298" s="387" t="s">
        <v>324</v>
      </c>
      <c r="B298" s="387" t="s">
        <v>325</v>
      </c>
      <c r="C298" s="381">
        <f t="shared" si="64"/>
        <v>0</v>
      </c>
      <c r="D298" s="392"/>
      <c r="E298" s="393"/>
      <c r="F298" s="383">
        <f t="shared" si="37"/>
        <v>0</v>
      </c>
      <c r="G298" s="392"/>
      <c r="H298" s="394"/>
      <c r="I298" s="383">
        <f t="shared" si="38"/>
        <v>0</v>
      </c>
      <c r="J298" s="392"/>
      <c r="K298" s="394"/>
      <c r="L298" s="383">
        <f t="shared" si="39"/>
        <v>0</v>
      </c>
      <c r="M298" s="395"/>
      <c r="N298" s="393"/>
      <c r="O298" s="383">
        <f t="shared" si="58"/>
        <v>0</v>
      </c>
      <c r="P298" s="385"/>
      <c r="R298" s="53"/>
    </row>
    <row r="299" spans="1:18" s="41" customFormat="1" ht="36" hidden="1" x14ac:dyDescent="0.25">
      <c r="A299" s="387" t="s">
        <v>326</v>
      </c>
      <c r="B299" s="396" t="s">
        <v>327</v>
      </c>
      <c r="C299" s="651">
        <f t="shared" si="64"/>
        <v>0</v>
      </c>
      <c r="D299" s="398"/>
      <c r="E299" s="399"/>
      <c r="F299" s="521">
        <f t="shared" si="37"/>
        <v>0</v>
      </c>
      <c r="G299" s="392"/>
      <c r="H299" s="394"/>
      <c r="I299" s="383">
        <f t="shared" si="38"/>
        <v>0</v>
      </c>
      <c r="J299" s="392"/>
      <c r="K299" s="394"/>
      <c r="L299" s="383">
        <f t="shared" si="39"/>
        <v>0</v>
      </c>
      <c r="M299" s="395"/>
      <c r="N299" s="393"/>
      <c r="O299" s="383">
        <f t="shared" si="58"/>
        <v>0</v>
      </c>
      <c r="P299" s="385"/>
      <c r="R299" s="53"/>
    </row>
    <row r="300" spans="1:18"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18" x14ac:dyDescent="0.25">
      <c r="A301" s="693"/>
      <c r="B301" s="694"/>
      <c r="C301" s="694"/>
      <c r="D301" s="694"/>
      <c r="E301" s="694"/>
      <c r="F301" s="694"/>
      <c r="G301" s="694"/>
      <c r="H301" s="694"/>
      <c r="I301" s="694"/>
      <c r="J301" s="694"/>
      <c r="K301" s="694"/>
      <c r="L301" s="694"/>
      <c r="M301" s="694"/>
      <c r="N301" s="694"/>
      <c r="O301" s="694"/>
      <c r="P301" s="695"/>
      <c r="Q301" s="7"/>
    </row>
    <row r="302" spans="1:18" x14ac:dyDescent="0.25">
      <c r="A302" s="5"/>
      <c r="B302" s="5"/>
      <c r="C302" s="5"/>
      <c r="D302" s="5"/>
      <c r="E302" s="5"/>
      <c r="F302" s="5"/>
      <c r="G302" s="5"/>
      <c r="H302" s="5"/>
      <c r="I302" s="5"/>
      <c r="J302" s="5"/>
      <c r="K302" s="5"/>
      <c r="L302" s="5"/>
      <c r="M302" s="5"/>
      <c r="N302" s="5"/>
      <c r="O302" s="5"/>
    </row>
    <row r="303" spans="1:18" x14ac:dyDescent="0.25">
      <c r="A303" s="5"/>
      <c r="B303" s="5"/>
      <c r="C303" s="5"/>
      <c r="D303" s="5"/>
      <c r="E303" s="5"/>
      <c r="F303" s="5"/>
      <c r="G303" s="5"/>
      <c r="H303" s="5"/>
      <c r="I303" s="5"/>
      <c r="J303" s="5"/>
      <c r="K303" s="5"/>
      <c r="L303" s="5"/>
      <c r="M303" s="5"/>
      <c r="N303" s="5"/>
      <c r="O303" s="5"/>
    </row>
    <row r="304" spans="1:18"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nz6cfT5nQWlxd78pZTAPx+/o6h6OXGirrL9d6xk5QpbC5Jm9ljvDtzaAWA10GZdpdEGQpHIR4tYYVFOyYI+1fQ==" saltValue="NJXpcsZsRHFrbipjE1ZVzw==" spinCount="100000" sheet="1" objects="1" scenarios="1" formatCells="0" formatColumns="0" formatRows="0"/>
  <autoFilter ref="A22:P300">
    <filterColumn colId="2">
      <filters blank="1">
        <filter val="1 500"/>
        <filter val="1 608 436"/>
        <filter val="1 609 222"/>
        <filter val="1 639 493"/>
        <filter val="1 676 093"/>
        <filter val="1 680 007"/>
        <filter val="1 748 750"/>
        <filter val="10 074"/>
        <filter val="10 477"/>
        <filter val="10 782"/>
        <filter val="150"/>
        <filter val="153"/>
        <filter val="19 313"/>
        <filter val="215"/>
        <filter val="23 641"/>
        <filter val="25 908"/>
        <filter val="250"/>
        <filter val="3 914"/>
        <filter val="36 600"/>
        <filter val="388"/>
        <filter val="40"/>
        <filter val="5 534"/>
        <filter val="6 052"/>
        <filter val="6 440"/>
        <filter val="6 595"/>
        <filter val="67 243"/>
        <filter val="68 743"/>
        <filter val="7 325"/>
        <filter val="786"/>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76.pielikums Jūrmalas pilsētas domes
2017.gada 30.janvāra saistošajiem noteikumiem Nr.10
(Protokols Nr.4, 1.punkts)
 </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Q4" sqref="Q4"/>
    </sheetView>
  </sheetViews>
  <sheetFormatPr defaultColWidth="9.140625"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869</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7"/>
    </row>
    <row r="4" spans="1:17" ht="15.75"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618" t="s">
        <v>870</v>
      </c>
      <c r="D6" s="1618"/>
      <c r="E6" s="1618"/>
      <c r="F6" s="1618"/>
      <c r="G6" s="1618"/>
      <c r="H6" s="1618"/>
      <c r="I6" s="1618"/>
      <c r="J6" s="1618"/>
      <c r="K6" s="1618"/>
      <c r="L6" s="1618"/>
      <c r="M6" s="1618"/>
      <c r="N6" s="1618"/>
      <c r="O6" s="1618"/>
      <c r="P6" s="1619"/>
      <c r="Q6" s="7"/>
    </row>
    <row r="7" spans="1:17" ht="12.75" x14ac:dyDescent="0.25">
      <c r="A7" s="13" t="s">
        <v>4</v>
      </c>
      <c r="B7" s="14"/>
      <c r="C7" s="1618" t="s">
        <v>871</v>
      </c>
      <c r="D7" s="1618"/>
      <c r="E7" s="1618"/>
      <c r="F7" s="1618"/>
      <c r="G7" s="1618"/>
      <c r="H7" s="1618"/>
      <c r="I7" s="1618"/>
      <c r="J7" s="1618"/>
      <c r="K7" s="1618"/>
      <c r="L7" s="1618"/>
      <c r="M7" s="1618"/>
      <c r="N7" s="1618"/>
      <c r="O7" s="1618"/>
      <c r="P7" s="1619"/>
      <c r="Q7" s="7"/>
    </row>
    <row r="8" spans="1:17" x14ac:dyDescent="0.25">
      <c r="A8" s="8" t="s">
        <v>6</v>
      </c>
      <c r="B8" s="9"/>
      <c r="C8" s="1616" t="s">
        <v>872</v>
      </c>
      <c r="D8" s="1616"/>
      <c r="E8" s="1616"/>
      <c r="F8" s="1616"/>
      <c r="G8" s="1616"/>
      <c r="H8" s="1616"/>
      <c r="I8" s="1616"/>
      <c r="J8" s="1616"/>
      <c r="K8" s="1616"/>
      <c r="L8" s="1616"/>
      <c r="M8" s="1616"/>
      <c r="N8" s="1616"/>
      <c r="O8" s="1616"/>
      <c r="P8" s="1617"/>
      <c r="Q8" s="7"/>
    </row>
    <row r="9" spans="1:17" x14ac:dyDescent="0.25">
      <c r="A9" s="8" t="s">
        <v>8</v>
      </c>
      <c r="B9" s="9"/>
      <c r="C9" s="1616" t="s">
        <v>873</v>
      </c>
      <c r="D9" s="1616"/>
      <c r="E9" s="1616"/>
      <c r="F9" s="1616"/>
      <c r="G9" s="1616"/>
      <c r="H9" s="1616"/>
      <c r="I9" s="1616"/>
      <c r="J9" s="1616"/>
      <c r="K9" s="1616"/>
      <c r="L9" s="1616"/>
      <c r="M9" s="1616"/>
      <c r="N9" s="1616"/>
      <c r="O9" s="1616"/>
      <c r="P9" s="1617"/>
      <c r="Q9" s="7"/>
    </row>
    <row r="10" spans="1:17" x14ac:dyDescent="0.25">
      <c r="A10" s="8" t="s">
        <v>10</v>
      </c>
      <c r="B10" s="9"/>
      <c r="C10" s="1618" t="s">
        <v>874</v>
      </c>
      <c r="D10" s="1618"/>
      <c r="E10" s="1618"/>
      <c r="F10" s="1618"/>
      <c r="G10" s="1618"/>
      <c r="H10" s="1618"/>
      <c r="I10" s="1618"/>
      <c r="J10" s="1618"/>
      <c r="K10" s="1618"/>
      <c r="L10" s="1618"/>
      <c r="M10" s="1618"/>
      <c r="N10" s="1618"/>
      <c r="O10" s="1618"/>
      <c r="P10" s="1619"/>
      <c r="Q10" s="7"/>
    </row>
    <row r="11" spans="1:17" x14ac:dyDescent="0.25">
      <c r="A11" s="8" t="s">
        <v>12</v>
      </c>
      <c r="B11" s="9"/>
      <c r="C11" s="778"/>
      <c r="D11" s="778"/>
      <c r="E11" s="778"/>
      <c r="F11" s="778"/>
      <c r="G11" s="778"/>
      <c r="H11" s="778"/>
      <c r="I11" s="778"/>
      <c r="J11" s="779" t="s">
        <v>875</v>
      </c>
      <c r="K11" s="778"/>
      <c r="L11" s="778"/>
      <c r="M11" s="778"/>
      <c r="N11" s="778"/>
      <c r="O11" s="778"/>
      <c r="P11" s="780"/>
      <c r="Q11" s="7"/>
    </row>
    <row r="12" spans="1:17" x14ac:dyDescent="0.25">
      <c r="A12" s="15" t="s">
        <v>14</v>
      </c>
      <c r="B12" s="9"/>
      <c r="C12" s="1616"/>
      <c r="D12" s="1616"/>
      <c r="E12" s="1616"/>
      <c r="F12" s="1616"/>
      <c r="G12" s="1616"/>
      <c r="H12" s="1616"/>
      <c r="I12" s="1616"/>
      <c r="J12" s="1616"/>
      <c r="K12" s="1616"/>
      <c r="L12" s="1616"/>
      <c r="M12" s="1616"/>
      <c r="N12" s="1616"/>
      <c r="O12" s="1616"/>
      <c r="P12" s="1617"/>
      <c r="Q12" s="7"/>
    </row>
    <row r="13" spans="1:17" x14ac:dyDescent="0.25">
      <c r="A13" s="8"/>
      <c r="B13" s="9" t="s">
        <v>15</v>
      </c>
      <c r="C13" s="1616" t="s">
        <v>876</v>
      </c>
      <c r="D13" s="1616"/>
      <c r="E13" s="1616"/>
      <c r="F13" s="1616"/>
      <c r="G13" s="1616"/>
      <c r="H13" s="1616"/>
      <c r="I13" s="1616"/>
      <c r="J13" s="1616"/>
      <c r="K13" s="1616"/>
      <c r="L13" s="1616"/>
      <c r="M13" s="1616"/>
      <c r="N13" s="1616"/>
      <c r="O13" s="1616"/>
      <c r="P13" s="1617"/>
      <c r="Q13" s="7"/>
    </row>
    <row r="14" spans="1:17" x14ac:dyDescent="0.25">
      <c r="A14" s="8"/>
      <c r="B14" s="9" t="s">
        <v>17</v>
      </c>
      <c r="C14" s="1616" t="s">
        <v>877</v>
      </c>
      <c r="D14" s="1616"/>
      <c r="E14" s="1616"/>
      <c r="F14" s="1616"/>
      <c r="G14" s="1616"/>
      <c r="H14" s="1616"/>
      <c r="I14" s="1616"/>
      <c r="J14" s="1616"/>
      <c r="K14" s="1616"/>
      <c r="L14" s="1616"/>
      <c r="M14" s="1616"/>
      <c r="N14" s="1616"/>
      <c r="O14" s="1616"/>
      <c r="P14" s="1617"/>
      <c r="Q14" s="7"/>
    </row>
    <row r="15" spans="1:17" x14ac:dyDescent="0.25">
      <c r="A15" s="8"/>
      <c r="B15" s="9" t="s">
        <v>19</v>
      </c>
      <c r="C15" s="1616"/>
      <c r="D15" s="1616"/>
      <c r="E15" s="1616"/>
      <c r="F15" s="1616"/>
      <c r="G15" s="1616"/>
      <c r="H15" s="1616"/>
      <c r="I15" s="1616"/>
      <c r="J15" s="1616"/>
      <c r="K15" s="1616"/>
      <c r="L15" s="1616"/>
      <c r="M15" s="1616"/>
      <c r="N15" s="1616"/>
      <c r="O15" s="1616"/>
      <c r="P15" s="1617"/>
      <c r="Q15" s="7"/>
    </row>
    <row r="16" spans="1:17" x14ac:dyDescent="0.25">
      <c r="A16" s="8"/>
      <c r="B16" s="9" t="s">
        <v>20</v>
      </c>
      <c r="C16" s="1616" t="s">
        <v>878</v>
      </c>
      <c r="D16" s="1616"/>
      <c r="E16" s="1616"/>
      <c r="F16" s="1616"/>
      <c r="G16" s="1616"/>
      <c r="H16" s="1616"/>
      <c r="I16" s="1616"/>
      <c r="J16" s="1616"/>
      <c r="K16" s="1616"/>
      <c r="L16" s="1616"/>
      <c r="M16" s="1616"/>
      <c r="N16" s="1616"/>
      <c r="O16" s="1616"/>
      <c r="P16" s="1617"/>
      <c r="Q16" s="7"/>
    </row>
    <row r="17" spans="1:17" x14ac:dyDescent="0.25">
      <c r="A17" s="8"/>
      <c r="B17" s="9" t="s">
        <v>22</v>
      </c>
      <c r="C17" s="1553"/>
      <c r="D17" s="1553"/>
      <c r="E17" s="1553"/>
      <c r="F17" s="1553"/>
      <c r="G17" s="1553"/>
      <c r="H17" s="1553"/>
      <c r="I17" s="1553"/>
      <c r="J17" s="1553"/>
      <c r="K17" s="1553"/>
      <c r="L17" s="1553"/>
      <c r="M17" s="1553"/>
      <c r="N17" s="1553"/>
      <c r="O17" s="1553"/>
      <c r="P17" s="1554"/>
      <c r="Q17" s="7"/>
    </row>
    <row r="18" spans="1:17" x14ac:dyDescent="0.25">
      <c r="A18" s="18"/>
      <c r="B18" s="19"/>
      <c r="C18" s="1569"/>
      <c r="D18" s="1569"/>
      <c r="E18" s="1569"/>
      <c r="F18" s="1569"/>
      <c r="G18" s="1569"/>
      <c r="H18" s="1569"/>
      <c r="I18" s="1569"/>
      <c r="J18" s="1569"/>
      <c r="K18" s="1569"/>
      <c r="L18" s="1569"/>
      <c r="M18" s="1569"/>
      <c r="N18" s="1569"/>
      <c r="O18" s="1569"/>
      <c r="P18" s="1570"/>
      <c r="Q18" s="7"/>
    </row>
    <row r="19" spans="1:17"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17"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17" s="21" customFormat="1" ht="70.5" customHeight="1" thickBot="1" x14ac:dyDescent="0.3">
      <c r="A21" s="1573"/>
      <c r="B21" s="1576"/>
      <c r="C21" s="1581"/>
      <c r="D21" s="1566"/>
      <c r="E21" s="1568"/>
      <c r="F21" s="1564"/>
      <c r="G21" s="1566"/>
      <c r="H21" s="1568"/>
      <c r="I21" s="1564"/>
      <c r="J21" s="1566"/>
      <c r="K21" s="1568"/>
      <c r="L21" s="1564"/>
      <c r="M21" s="1566"/>
      <c r="N21" s="1568"/>
      <c r="O21" s="1564"/>
      <c r="P21" s="1576"/>
    </row>
    <row r="22" spans="1:17"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17" s="41" customFormat="1" x14ac:dyDescent="0.25">
      <c r="A23" s="30"/>
      <c r="B23" s="31" t="s">
        <v>41</v>
      </c>
      <c r="C23" s="32"/>
      <c r="D23" s="33"/>
      <c r="E23" s="34"/>
      <c r="F23" s="35"/>
      <c r="G23" s="33"/>
      <c r="H23" s="36"/>
      <c r="I23" s="37"/>
      <c r="J23" s="33"/>
      <c r="K23" s="38"/>
      <c r="L23" s="37"/>
      <c r="M23" s="38"/>
      <c r="N23" s="39"/>
      <c r="O23" s="37"/>
      <c r="P23" s="40"/>
    </row>
    <row r="24" spans="1:17" s="41" customFormat="1" ht="12.75" thickBot="1" x14ac:dyDescent="0.3">
      <c r="A24" s="42"/>
      <c r="B24" s="43" t="s">
        <v>42</v>
      </c>
      <c r="C24" s="44">
        <f>F24+I24+L24+O24</f>
        <v>449666</v>
      </c>
      <c r="D24" s="45">
        <f>SUM(D25,D28,D29,D45,D46)</f>
        <v>432951</v>
      </c>
      <c r="E24" s="46">
        <f>SUM(E25,E28,E29,E45,E46)</f>
        <v>0</v>
      </c>
      <c r="F24" s="47">
        <f t="shared" ref="F24:F29" si="0">D24+E24</f>
        <v>432951</v>
      </c>
      <c r="G24" s="45">
        <f>SUM(G25,G28,G46)</f>
        <v>0</v>
      </c>
      <c r="H24" s="48">
        <f>SUM(H25,H28,H46)</f>
        <v>0</v>
      </c>
      <c r="I24" s="49">
        <f>G24+H24</f>
        <v>0</v>
      </c>
      <c r="J24" s="45">
        <f>SUM(J25,J30,J46)</f>
        <v>16715</v>
      </c>
      <c r="K24" s="48">
        <f>SUM(K25,K30,K46)</f>
        <v>0</v>
      </c>
      <c r="L24" s="49">
        <f>J24+K24</f>
        <v>16715</v>
      </c>
      <c r="M24" s="50">
        <f>SUM(M25,M48)</f>
        <v>0</v>
      </c>
      <c r="N24" s="51">
        <f>SUM(N25,N48)</f>
        <v>0</v>
      </c>
      <c r="O24" s="49">
        <f>M24+N24</f>
        <v>0</v>
      </c>
      <c r="P24" s="52"/>
    </row>
    <row r="25" spans="1:17" ht="12.75" thickTop="1" x14ac:dyDescent="0.25">
      <c r="A25" s="54"/>
      <c r="B25" s="55" t="s">
        <v>43</v>
      </c>
      <c r="C25" s="56">
        <f>F25+I25+L25+O25</f>
        <v>5880</v>
      </c>
      <c r="D25" s="57">
        <f>SUM(D26:D27)</f>
        <v>0</v>
      </c>
      <c r="E25" s="58">
        <f>SUM(E26:E27)</f>
        <v>0</v>
      </c>
      <c r="F25" s="59">
        <f t="shared" si="0"/>
        <v>0</v>
      </c>
      <c r="G25" s="57">
        <f>SUM(G26:G27)</f>
        <v>0</v>
      </c>
      <c r="H25" s="60">
        <f>SUM(H26:H27)</f>
        <v>0</v>
      </c>
      <c r="I25" s="61">
        <f>G25+H25</f>
        <v>0</v>
      </c>
      <c r="J25" s="57">
        <f>SUM(J26:J27)</f>
        <v>5880</v>
      </c>
      <c r="K25" s="60">
        <f>SUM(K26:K27)</f>
        <v>0</v>
      </c>
      <c r="L25" s="61">
        <f>J25+K25</f>
        <v>5880</v>
      </c>
      <c r="M25" s="62">
        <f>SUM(M26:M27)</f>
        <v>0</v>
      </c>
      <c r="N25" s="63">
        <f>SUM(N26:N27)</f>
        <v>0</v>
      </c>
      <c r="O25" s="61">
        <f>M25+N25</f>
        <v>0</v>
      </c>
      <c r="P25" s="64"/>
    </row>
    <row r="26" spans="1:17" hidden="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row>
    <row r="27" spans="1:17" x14ac:dyDescent="0.25">
      <c r="A27" s="75"/>
      <c r="B27" s="76" t="s">
        <v>45</v>
      </c>
      <c r="C27" s="77">
        <f>F27+I27+L27+O27</f>
        <v>5880</v>
      </c>
      <c r="D27" s="78"/>
      <c r="E27" s="79"/>
      <c r="F27" s="80">
        <f t="shared" si="0"/>
        <v>0</v>
      </c>
      <c r="G27" s="78"/>
      <c r="H27" s="81"/>
      <c r="I27" s="82">
        <f>G27+H27</f>
        <v>0</v>
      </c>
      <c r="J27" s="78">
        <v>5880</v>
      </c>
      <c r="K27" s="81"/>
      <c r="L27" s="82">
        <f>J27+K27</f>
        <v>5880</v>
      </c>
      <c r="M27" s="83"/>
      <c r="N27" s="84"/>
      <c r="O27" s="82">
        <f>M27+N27</f>
        <v>0</v>
      </c>
      <c r="P27" s="85"/>
    </row>
    <row r="28" spans="1:17" s="41" customFormat="1" ht="24.75" thickBot="1" x14ac:dyDescent="0.3">
      <c r="A28" s="86">
        <v>19300</v>
      </c>
      <c r="B28" s="86" t="s">
        <v>46</v>
      </c>
      <c r="C28" s="87">
        <f>SUM(F28,I28)</f>
        <v>432951</v>
      </c>
      <c r="D28" s="88">
        <v>432951</v>
      </c>
      <c r="E28" s="89"/>
      <c r="F28" s="90">
        <f t="shared" si="0"/>
        <v>432951</v>
      </c>
      <c r="G28" s="88"/>
      <c r="H28" s="91"/>
      <c r="I28" s="92">
        <f>G28+H28</f>
        <v>0</v>
      </c>
      <c r="J28" s="93" t="s">
        <v>47</v>
      </c>
      <c r="K28" s="94" t="s">
        <v>47</v>
      </c>
      <c r="L28" s="95" t="s">
        <v>47</v>
      </c>
      <c r="M28" s="96" t="s">
        <v>47</v>
      </c>
      <c r="N28" s="97" t="s">
        <v>47</v>
      </c>
      <c r="O28" s="95" t="s">
        <v>47</v>
      </c>
      <c r="P28" s="98"/>
    </row>
    <row r="29" spans="1:17" s="41" customFormat="1" ht="40.5" hidden="1" customHeight="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row>
    <row r="30" spans="1:17" s="41" customFormat="1" ht="36.75" thickTop="1" x14ac:dyDescent="0.25">
      <c r="A30" s="99">
        <v>21300</v>
      </c>
      <c r="B30" s="99" t="s">
        <v>49</v>
      </c>
      <c r="C30" s="100">
        <f t="shared" ref="C30:C44" si="1">L30</f>
        <v>10835</v>
      </c>
      <c r="D30" s="104" t="s">
        <v>47</v>
      </c>
      <c r="E30" s="110" t="s">
        <v>47</v>
      </c>
      <c r="F30" s="111" t="s">
        <v>47</v>
      </c>
      <c r="G30" s="104" t="s">
        <v>47</v>
      </c>
      <c r="H30" s="105" t="s">
        <v>47</v>
      </c>
      <c r="I30" s="106" t="s">
        <v>47</v>
      </c>
      <c r="J30" s="112">
        <f>SUM(J31,J35,J37,J40)</f>
        <v>10835</v>
      </c>
      <c r="K30" s="113">
        <f>SUM(K31,K35,K37,K40)</f>
        <v>0</v>
      </c>
      <c r="L30" s="114">
        <f t="shared" ref="L30:L44" si="2">J30+K30</f>
        <v>10835</v>
      </c>
      <c r="M30" s="107" t="s">
        <v>47</v>
      </c>
      <c r="N30" s="108" t="s">
        <v>47</v>
      </c>
      <c r="O30" s="106" t="s">
        <v>47</v>
      </c>
      <c r="P30" s="109"/>
    </row>
    <row r="31" spans="1:17" s="41" customFormat="1" ht="24" hidden="1" x14ac:dyDescent="0.25">
      <c r="A31" s="115">
        <v>21350</v>
      </c>
      <c r="B31" s="99" t="s">
        <v>50</v>
      </c>
      <c r="C31" s="100">
        <f t="shared" si="1"/>
        <v>0</v>
      </c>
      <c r="D31" s="104" t="s">
        <v>47</v>
      </c>
      <c r="E31" s="108" t="s">
        <v>47</v>
      </c>
      <c r="F31" s="140" t="s">
        <v>47</v>
      </c>
      <c r="G31" s="104" t="s">
        <v>47</v>
      </c>
      <c r="H31" s="105" t="s">
        <v>47</v>
      </c>
      <c r="I31" s="106" t="s">
        <v>47</v>
      </c>
      <c r="J31" s="112">
        <f>SUM(J32:J34)</f>
        <v>0</v>
      </c>
      <c r="K31" s="113">
        <f>SUM(K32:K34)</f>
        <v>0</v>
      </c>
      <c r="L31" s="114">
        <f t="shared" si="2"/>
        <v>0</v>
      </c>
      <c r="M31" s="107" t="s">
        <v>47</v>
      </c>
      <c r="N31" s="108" t="s">
        <v>47</v>
      </c>
      <c r="O31" s="106" t="s">
        <v>47</v>
      </c>
      <c r="P31" s="109"/>
    </row>
    <row r="32" spans="1:17" hidden="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row>
    <row r="33" spans="1:16" hidden="1" x14ac:dyDescent="0.25">
      <c r="A33" s="75">
        <v>21352</v>
      </c>
      <c r="B33" s="127" t="s">
        <v>52</v>
      </c>
      <c r="C33" s="128">
        <f t="shared" si="1"/>
        <v>0</v>
      </c>
      <c r="D33" s="129" t="s">
        <v>47</v>
      </c>
      <c r="E33" s="138" t="s">
        <v>47</v>
      </c>
      <c r="F33" s="139" t="s">
        <v>47</v>
      </c>
      <c r="G33" s="129" t="s">
        <v>47</v>
      </c>
      <c r="H33" s="132" t="s">
        <v>47</v>
      </c>
      <c r="I33" s="133" t="s">
        <v>47</v>
      </c>
      <c r="J33" s="134"/>
      <c r="K33" s="135"/>
      <c r="L33" s="136">
        <f t="shared" si="2"/>
        <v>0</v>
      </c>
      <c r="M33" s="137" t="s">
        <v>47</v>
      </c>
      <c r="N33" s="138" t="s">
        <v>47</v>
      </c>
      <c r="O33" s="133" t="s">
        <v>47</v>
      </c>
      <c r="P33" s="85"/>
    </row>
    <row r="34" spans="1:16" ht="24" hidden="1" x14ac:dyDescent="0.25">
      <c r="A34" s="75">
        <v>21359</v>
      </c>
      <c r="B34" s="127" t="s">
        <v>53</v>
      </c>
      <c r="C34" s="128">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row>
    <row r="35" spans="1:16" s="41" customFormat="1" ht="36" hidden="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row>
    <row r="36" spans="1:16" ht="36" hidden="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row>
    <row r="37" spans="1:16" s="41" customFormat="1" hidden="1" x14ac:dyDescent="0.25">
      <c r="A37" s="115">
        <v>21380</v>
      </c>
      <c r="B37" s="99" t="s">
        <v>56</v>
      </c>
      <c r="C37" s="100">
        <f t="shared" si="1"/>
        <v>0</v>
      </c>
      <c r="D37" s="104" t="s">
        <v>47</v>
      </c>
      <c r="E37" s="108" t="s">
        <v>47</v>
      </c>
      <c r="F37" s="140" t="s">
        <v>47</v>
      </c>
      <c r="G37" s="104" t="s">
        <v>47</v>
      </c>
      <c r="H37" s="105" t="s">
        <v>47</v>
      </c>
      <c r="I37" s="106" t="s">
        <v>47</v>
      </c>
      <c r="J37" s="112">
        <f>SUM(J38:J39)</f>
        <v>0</v>
      </c>
      <c r="K37" s="113">
        <f>SUM(K38:K39)</f>
        <v>0</v>
      </c>
      <c r="L37" s="114">
        <f t="shared" si="2"/>
        <v>0</v>
      </c>
      <c r="M37" s="107" t="s">
        <v>47</v>
      </c>
      <c r="N37" s="108" t="s">
        <v>47</v>
      </c>
      <c r="O37" s="106" t="s">
        <v>47</v>
      </c>
      <c r="P37" s="109"/>
    </row>
    <row r="38" spans="1:16" hidden="1" x14ac:dyDescent="0.25">
      <c r="A38" s="66">
        <v>21381</v>
      </c>
      <c r="B38" s="116" t="s">
        <v>57</v>
      </c>
      <c r="C38" s="117">
        <f t="shared" si="1"/>
        <v>0</v>
      </c>
      <c r="D38" s="118" t="s">
        <v>47</v>
      </c>
      <c r="E38" s="119" t="s">
        <v>47</v>
      </c>
      <c r="F38" s="120" t="s">
        <v>47</v>
      </c>
      <c r="G38" s="118" t="s">
        <v>47</v>
      </c>
      <c r="H38" s="121" t="s">
        <v>47</v>
      </c>
      <c r="I38" s="122" t="s">
        <v>47</v>
      </c>
      <c r="J38" s="123"/>
      <c r="K38" s="124"/>
      <c r="L38" s="125">
        <f t="shared" si="2"/>
        <v>0</v>
      </c>
      <c r="M38" s="126" t="s">
        <v>47</v>
      </c>
      <c r="N38" s="119" t="s">
        <v>47</v>
      </c>
      <c r="O38" s="122" t="s">
        <v>47</v>
      </c>
      <c r="P38" s="74"/>
    </row>
    <row r="39" spans="1:16" ht="24" hidden="1" x14ac:dyDescent="0.25">
      <c r="A39" s="76">
        <v>21383</v>
      </c>
      <c r="B39" s="127" t="s">
        <v>58</v>
      </c>
      <c r="C39" s="128">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row>
    <row r="40" spans="1:16" s="41" customFormat="1" ht="24" x14ac:dyDescent="0.25">
      <c r="A40" s="115">
        <v>21390</v>
      </c>
      <c r="B40" s="99" t="s">
        <v>59</v>
      </c>
      <c r="C40" s="100">
        <f t="shared" si="1"/>
        <v>10835</v>
      </c>
      <c r="D40" s="104" t="s">
        <v>47</v>
      </c>
      <c r="E40" s="110" t="s">
        <v>47</v>
      </c>
      <c r="F40" s="111" t="s">
        <v>47</v>
      </c>
      <c r="G40" s="104" t="s">
        <v>47</v>
      </c>
      <c r="H40" s="105" t="s">
        <v>47</v>
      </c>
      <c r="I40" s="106" t="s">
        <v>47</v>
      </c>
      <c r="J40" s="112">
        <f>SUM(J41:J44)</f>
        <v>10835</v>
      </c>
      <c r="K40" s="113">
        <f>SUM(K41:K44)</f>
        <v>0</v>
      </c>
      <c r="L40" s="114">
        <f t="shared" si="2"/>
        <v>10835</v>
      </c>
      <c r="M40" s="107" t="s">
        <v>47</v>
      </c>
      <c r="N40" s="108" t="s">
        <v>47</v>
      </c>
      <c r="O40" s="106" t="s">
        <v>47</v>
      </c>
      <c r="P40" s="109"/>
    </row>
    <row r="41" spans="1:16" ht="24" hidden="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row>
    <row r="42" spans="1:16" x14ac:dyDescent="0.25">
      <c r="A42" s="76">
        <v>21393</v>
      </c>
      <c r="B42" s="127" t="s">
        <v>61</v>
      </c>
      <c r="C42" s="128">
        <f t="shared" si="1"/>
        <v>10835</v>
      </c>
      <c r="D42" s="129" t="s">
        <v>47</v>
      </c>
      <c r="E42" s="130" t="s">
        <v>47</v>
      </c>
      <c r="F42" s="131" t="s">
        <v>47</v>
      </c>
      <c r="G42" s="129" t="s">
        <v>47</v>
      </c>
      <c r="H42" s="132" t="s">
        <v>47</v>
      </c>
      <c r="I42" s="133" t="s">
        <v>47</v>
      </c>
      <c r="J42" s="134">
        <v>10835</v>
      </c>
      <c r="K42" s="135"/>
      <c r="L42" s="136">
        <f t="shared" si="2"/>
        <v>10835</v>
      </c>
      <c r="M42" s="137" t="s">
        <v>47</v>
      </c>
      <c r="N42" s="138" t="s">
        <v>47</v>
      </c>
      <c r="O42" s="133" t="s">
        <v>47</v>
      </c>
      <c r="P42" s="85"/>
    </row>
    <row r="43" spans="1:16" hidden="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row>
    <row r="44" spans="1:16" ht="24" hidden="1" x14ac:dyDescent="0.25">
      <c r="A44" s="76">
        <v>21399</v>
      </c>
      <c r="B44" s="127" t="s">
        <v>63</v>
      </c>
      <c r="C44" s="128">
        <f t="shared" si="1"/>
        <v>0</v>
      </c>
      <c r="D44" s="129" t="s">
        <v>47</v>
      </c>
      <c r="E44" s="138" t="s">
        <v>47</v>
      </c>
      <c r="F44" s="139" t="s">
        <v>47</v>
      </c>
      <c r="G44" s="129" t="s">
        <v>47</v>
      </c>
      <c r="H44" s="132" t="s">
        <v>47</v>
      </c>
      <c r="I44" s="133" t="s">
        <v>47</v>
      </c>
      <c r="J44" s="134"/>
      <c r="K44" s="135"/>
      <c r="L44" s="136">
        <f t="shared" si="2"/>
        <v>0</v>
      </c>
      <c r="M44" s="137" t="s">
        <v>47</v>
      </c>
      <c r="N44" s="138" t="s">
        <v>47</v>
      </c>
      <c r="O44" s="133" t="s">
        <v>47</v>
      </c>
      <c r="P44" s="85"/>
    </row>
    <row r="45" spans="1:16" s="41" customFormat="1" ht="24" hidden="1" x14ac:dyDescent="0.25">
      <c r="A45" s="115">
        <v>21420</v>
      </c>
      <c r="B45" s="99" t="s">
        <v>64</v>
      </c>
      <c r="C45" s="156">
        <f>F45</f>
        <v>0</v>
      </c>
      <c r="D45" s="157"/>
      <c r="E45" s="158"/>
      <c r="F45" s="103">
        <f>D45+E45</f>
        <v>0</v>
      </c>
      <c r="G45" s="104" t="s">
        <v>47</v>
      </c>
      <c r="H45" s="105" t="s">
        <v>47</v>
      </c>
      <c r="I45" s="106" t="s">
        <v>47</v>
      </c>
      <c r="J45" s="104" t="s">
        <v>47</v>
      </c>
      <c r="K45" s="105" t="s">
        <v>47</v>
      </c>
      <c r="L45" s="106" t="s">
        <v>47</v>
      </c>
      <c r="M45" s="107" t="s">
        <v>47</v>
      </c>
      <c r="N45" s="108" t="s">
        <v>47</v>
      </c>
      <c r="O45" s="106" t="s">
        <v>47</v>
      </c>
      <c r="P45" s="109"/>
    </row>
    <row r="46" spans="1:16" s="41" customFormat="1" ht="24" hidden="1" x14ac:dyDescent="0.25">
      <c r="A46" s="159">
        <v>21490</v>
      </c>
      <c r="B46" s="160" t="s">
        <v>65</v>
      </c>
      <c r="C46" s="156">
        <f>F46+I46+L46</f>
        <v>0</v>
      </c>
      <c r="D46" s="161">
        <f>D47</f>
        <v>0</v>
      </c>
      <c r="E46" s="162">
        <f>E47</f>
        <v>0</v>
      </c>
      <c r="F46" s="163">
        <f>D46+E46</f>
        <v>0</v>
      </c>
      <c r="G46" s="161">
        <f>G47</f>
        <v>0</v>
      </c>
      <c r="H46" s="164">
        <f t="shared" ref="H46:K46" si="3">H47</f>
        <v>0</v>
      </c>
      <c r="I46" s="165">
        <f>G46+H46</f>
        <v>0</v>
      </c>
      <c r="J46" s="161">
        <f>J47</f>
        <v>0</v>
      </c>
      <c r="K46" s="164">
        <f t="shared" si="3"/>
        <v>0</v>
      </c>
      <c r="L46" s="165">
        <f>J46+K46</f>
        <v>0</v>
      </c>
      <c r="M46" s="107" t="s">
        <v>47</v>
      </c>
      <c r="N46" s="108" t="s">
        <v>47</v>
      </c>
      <c r="O46" s="106" t="s">
        <v>47</v>
      </c>
      <c r="P46" s="109"/>
    </row>
    <row r="47" spans="1:16" s="41" customFormat="1" ht="24" hidden="1" x14ac:dyDescent="0.25">
      <c r="A47" s="76">
        <v>21499</v>
      </c>
      <c r="B47" s="127" t="s">
        <v>66</v>
      </c>
      <c r="C47" s="166">
        <f>F47+I47+L47</f>
        <v>0</v>
      </c>
      <c r="D47" s="68"/>
      <c r="E47" s="69"/>
      <c r="F47" s="70">
        <f>D47+E47</f>
        <v>0</v>
      </c>
      <c r="G47" s="167"/>
      <c r="H47" s="71"/>
      <c r="I47" s="72">
        <f>G47+H47</f>
        <v>0</v>
      </c>
      <c r="J47" s="68"/>
      <c r="K47" s="71"/>
      <c r="L47" s="72">
        <f>J47+K47</f>
        <v>0</v>
      </c>
      <c r="M47" s="152" t="s">
        <v>47</v>
      </c>
      <c r="N47" s="145" t="s">
        <v>47</v>
      </c>
      <c r="O47" s="148" t="s">
        <v>47</v>
      </c>
      <c r="P47" s="153"/>
    </row>
    <row r="48" spans="1:16" ht="24" hidden="1" x14ac:dyDescent="0.25">
      <c r="A48" s="168">
        <v>23000</v>
      </c>
      <c r="B48" s="169" t="s">
        <v>67</v>
      </c>
      <c r="C48" s="156">
        <f>O48</f>
        <v>0</v>
      </c>
      <c r="D48" s="170" t="s">
        <v>47</v>
      </c>
      <c r="E48" s="171" t="s">
        <v>47</v>
      </c>
      <c r="F48" s="172" t="s">
        <v>47</v>
      </c>
      <c r="G48" s="170" t="s">
        <v>47</v>
      </c>
      <c r="H48" s="173" t="s">
        <v>47</v>
      </c>
      <c r="I48" s="174" t="s">
        <v>47</v>
      </c>
      <c r="J48" s="170" t="s">
        <v>47</v>
      </c>
      <c r="K48" s="173" t="s">
        <v>47</v>
      </c>
      <c r="L48" s="174" t="s">
        <v>47</v>
      </c>
      <c r="M48" s="175">
        <f>SUM(M49:M50)</f>
        <v>0</v>
      </c>
      <c r="N48" s="176">
        <f>SUM(N49:N50)</f>
        <v>0</v>
      </c>
      <c r="O48" s="177">
        <f>M48+N48</f>
        <v>0</v>
      </c>
      <c r="P48" s="109"/>
    </row>
    <row r="49" spans="1:16" ht="24" hidden="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row>
    <row r="50" spans="1:16" ht="24" hidden="1" x14ac:dyDescent="0.25">
      <c r="A50" s="178">
        <v>23510</v>
      </c>
      <c r="B50" s="179" t="s">
        <v>69</v>
      </c>
      <c r="C50" s="180">
        <f>O50</f>
        <v>0</v>
      </c>
      <c r="D50" s="181" t="s">
        <v>47</v>
      </c>
      <c r="E50" s="182" t="s">
        <v>47</v>
      </c>
      <c r="F50" s="183" t="s">
        <v>47</v>
      </c>
      <c r="G50" s="181" t="s">
        <v>47</v>
      </c>
      <c r="H50" s="184" t="s">
        <v>47</v>
      </c>
      <c r="I50" s="185" t="s">
        <v>47</v>
      </c>
      <c r="J50" s="181" t="s">
        <v>47</v>
      </c>
      <c r="K50" s="184" t="s">
        <v>47</v>
      </c>
      <c r="L50" s="185" t="s">
        <v>47</v>
      </c>
      <c r="M50" s="186"/>
      <c r="N50" s="187"/>
      <c r="O50" s="188">
        <f>M50+N50</f>
        <v>0</v>
      </c>
      <c r="P50" s="189"/>
    </row>
    <row r="51" spans="1:16" x14ac:dyDescent="0.25">
      <c r="A51" s="190"/>
      <c r="B51" s="179"/>
      <c r="C51" s="191"/>
      <c r="D51" s="192"/>
      <c r="E51" s="193"/>
      <c r="F51" s="194"/>
      <c r="G51" s="192"/>
      <c r="H51" s="195"/>
      <c r="I51" s="185"/>
      <c r="J51" s="196"/>
      <c r="K51" s="197"/>
      <c r="L51" s="188"/>
      <c r="M51" s="186"/>
      <c r="N51" s="187"/>
      <c r="O51" s="188"/>
      <c r="P51" s="189"/>
    </row>
    <row r="52" spans="1:16" s="41" customFormat="1" x14ac:dyDescent="0.25">
      <c r="A52" s="198"/>
      <c r="B52" s="199" t="s">
        <v>70</v>
      </c>
      <c r="C52" s="200"/>
      <c r="D52" s="201"/>
      <c r="E52" s="202"/>
      <c r="F52" s="203"/>
      <c r="G52" s="201"/>
      <c r="H52" s="204"/>
      <c r="I52" s="205"/>
      <c r="J52" s="201"/>
      <c r="K52" s="204"/>
      <c r="L52" s="205"/>
      <c r="M52" s="206"/>
      <c r="N52" s="207"/>
      <c r="O52" s="205"/>
      <c r="P52" s="208"/>
    </row>
    <row r="53" spans="1:16" s="41" customFormat="1" ht="12.75" thickBot="1" x14ac:dyDescent="0.3">
      <c r="A53" s="209"/>
      <c r="B53" s="42" t="s">
        <v>71</v>
      </c>
      <c r="C53" s="210">
        <f t="shared" ref="C53:C116" si="4">F53+I53+L53+O53</f>
        <v>449666</v>
      </c>
      <c r="D53" s="211">
        <f>SUM(D54,D284)</f>
        <v>432951</v>
      </c>
      <c r="E53" s="212">
        <f>SUM(E54,E284)</f>
        <v>0</v>
      </c>
      <c r="F53" s="213">
        <f t="shared" ref="F53:F117" si="5">D53+E53</f>
        <v>432951</v>
      </c>
      <c r="G53" s="211">
        <f>SUM(G54,G284)</f>
        <v>0</v>
      </c>
      <c r="H53" s="214">
        <f>SUM(H54,H284)</f>
        <v>0</v>
      </c>
      <c r="I53" s="215">
        <f t="shared" ref="I53:I117" si="6">G53+H53</f>
        <v>0</v>
      </c>
      <c r="J53" s="211">
        <f>SUM(J54,J284)</f>
        <v>16715</v>
      </c>
      <c r="K53" s="214">
        <f>SUM(K54,K284)</f>
        <v>0</v>
      </c>
      <c r="L53" s="215">
        <f t="shared" ref="L53:L117" si="7">J53+K53</f>
        <v>16715</v>
      </c>
      <c r="M53" s="216">
        <f>SUM(M54,M284)</f>
        <v>0</v>
      </c>
      <c r="N53" s="217">
        <f>SUM(N54,N284)</f>
        <v>0</v>
      </c>
      <c r="O53" s="215">
        <f t="shared" ref="O53:O117" si="8">M53+N53</f>
        <v>0</v>
      </c>
      <c r="P53" s="52"/>
    </row>
    <row r="54" spans="1:16" s="41" customFormat="1" ht="36.75" thickTop="1" x14ac:dyDescent="0.25">
      <c r="A54" s="218"/>
      <c r="B54" s="219" t="s">
        <v>72</v>
      </c>
      <c r="C54" s="220">
        <f t="shared" si="4"/>
        <v>449666</v>
      </c>
      <c r="D54" s="221">
        <f>SUM(D55,D197)</f>
        <v>432951</v>
      </c>
      <c r="E54" s="222">
        <f>SUM(E55,E197)</f>
        <v>0</v>
      </c>
      <c r="F54" s="223">
        <f t="shared" si="5"/>
        <v>432951</v>
      </c>
      <c r="G54" s="221">
        <f>SUM(G55,G197)</f>
        <v>0</v>
      </c>
      <c r="H54" s="224">
        <f>SUM(H55,H197)</f>
        <v>0</v>
      </c>
      <c r="I54" s="225">
        <f t="shared" si="6"/>
        <v>0</v>
      </c>
      <c r="J54" s="221">
        <f>SUM(J55,J197)</f>
        <v>16715</v>
      </c>
      <c r="K54" s="224">
        <f>SUM(K55,K197)</f>
        <v>0</v>
      </c>
      <c r="L54" s="225">
        <f t="shared" si="7"/>
        <v>16715</v>
      </c>
      <c r="M54" s="226">
        <f>SUM(M55,M197)</f>
        <v>0</v>
      </c>
      <c r="N54" s="227">
        <f>SUM(N55,N197)</f>
        <v>0</v>
      </c>
      <c r="O54" s="225">
        <f t="shared" si="8"/>
        <v>0</v>
      </c>
      <c r="P54" s="228"/>
    </row>
    <row r="55" spans="1:16" s="41" customFormat="1" ht="24" x14ac:dyDescent="0.25">
      <c r="A55" s="35"/>
      <c r="B55" s="30" t="s">
        <v>73</v>
      </c>
      <c r="C55" s="229">
        <f t="shared" si="4"/>
        <v>447866</v>
      </c>
      <c r="D55" s="230">
        <f>SUM(D56,D78,D176,D190)</f>
        <v>431151</v>
      </c>
      <c r="E55" s="231">
        <f>SUM(E56,E78,E176,E190)</f>
        <v>0</v>
      </c>
      <c r="F55" s="232">
        <f t="shared" si="5"/>
        <v>431151</v>
      </c>
      <c r="G55" s="230">
        <f>SUM(G56,G78,G176,G190)</f>
        <v>0</v>
      </c>
      <c r="H55" s="233">
        <f>SUM(H56,H78,H176,H190)</f>
        <v>0</v>
      </c>
      <c r="I55" s="234">
        <f t="shared" si="6"/>
        <v>0</v>
      </c>
      <c r="J55" s="230">
        <f>SUM(J56,J78,J176,J190)</f>
        <v>16715</v>
      </c>
      <c r="K55" s="233">
        <f>SUM(K56,K78,K176,K190)</f>
        <v>0</v>
      </c>
      <c r="L55" s="234">
        <f t="shared" si="7"/>
        <v>16715</v>
      </c>
      <c r="M55" s="53">
        <f>SUM(M56,M78,M176,M190)</f>
        <v>0</v>
      </c>
      <c r="N55" s="235">
        <f>SUM(N56,N78,N176,N190)</f>
        <v>0</v>
      </c>
      <c r="O55" s="234">
        <f t="shared" si="8"/>
        <v>0</v>
      </c>
      <c r="P55" s="236"/>
    </row>
    <row r="56" spans="1:16" s="41" customFormat="1" x14ac:dyDescent="0.25">
      <c r="A56" s="237">
        <v>1000</v>
      </c>
      <c r="B56" s="237" t="s">
        <v>74</v>
      </c>
      <c r="C56" s="238">
        <f t="shared" si="4"/>
        <v>75477</v>
      </c>
      <c r="D56" s="239">
        <f>SUM(D57,D70)</f>
        <v>69333</v>
      </c>
      <c r="E56" s="240">
        <f>SUM(E57,E70)</f>
        <v>934</v>
      </c>
      <c r="F56" s="241">
        <f t="shared" si="5"/>
        <v>70267</v>
      </c>
      <c r="G56" s="239">
        <f>SUM(G57,G70)</f>
        <v>0</v>
      </c>
      <c r="H56" s="242">
        <f>SUM(H57,H70)</f>
        <v>0</v>
      </c>
      <c r="I56" s="243">
        <f t="shared" si="6"/>
        <v>0</v>
      </c>
      <c r="J56" s="239">
        <f>SUM(J57,J70)</f>
        <v>5210</v>
      </c>
      <c r="K56" s="242">
        <f>SUM(K57,K70)</f>
        <v>0</v>
      </c>
      <c r="L56" s="243">
        <f t="shared" si="7"/>
        <v>5210</v>
      </c>
      <c r="M56" s="244">
        <f>SUM(M57,M70)</f>
        <v>0</v>
      </c>
      <c r="N56" s="245">
        <f>SUM(N57,N70)</f>
        <v>0</v>
      </c>
      <c r="O56" s="243">
        <f t="shared" si="8"/>
        <v>0</v>
      </c>
      <c r="P56" s="246"/>
    </row>
    <row r="57" spans="1:16" x14ac:dyDescent="0.25">
      <c r="A57" s="99">
        <v>1100</v>
      </c>
      <c r="B57" s="247" t="s">
        <v>75</v>
      </c>
      <c r="C57" s="100">
        <f t="shared" si="4"/>
        <v>75477</v>
      </c>
      <c r="D57" s="112">
        <f>SUM(D58,D61,D69)</f>
        <v>69333</v>
      </c>
      <c r="E57" s="248">
        <f>SUM(E58,E61,E69)</f>
        <v>934</v>
      </c>
      <c r="F57" s="249">
        <f t="shared" si="5"/>
        <v>70267</v>
      </c>
      <c r="G57" s="112">
        <f>SUM(G58,G61,G69)</f>
        <v>0</v>
      </c>
      <c r="H57" s="113">
        <f>SUM(H58,H61,H69)</f>
        <v>0</v>
      </c>
      <c r="I57" s="114">
        <f t="shared" si="6"/>
        <v>0</v>
      </c>
      <c r="J57" s="112">
        <f>SUM(J58,J61,J69)</f>
        <v>5210</v>
      </c>
      <c r="K57" s="113">
        <f>SUM(K58,K61,K69)</f>
        <v>0</v>
      </c>
      <c r="L57" s="114">
        <f t="shared" si="7"/>
        <v>5210</v>
      </c>
      <c r="M57" s="250">
        <f>SUM(M58,M61,M69)</f>
        <v>0</v>
      </c>
      <c r="N57" s="251">
        <f>SUM(N58,N61,N69)</f>
        <v>0</v>
      </c>
      <c r="O57" s="252">
        <f t="shared" si="8"/>
        <v>0</v>
      </c>
      <c r="P57" s="253"/>
    </row>
    <row r="58" spans="1:16" hidden="1" x14ac:dyDescent="0.25">
      <c r="A58" s="254">
        <v>1110</v>
      </c>
      <c r="B58" s="179" t="s">
        <v>76</v>
      </c>
      <c r="C58" s="191">
        <f t="shared" si="4"/>
        <v>0</v>
      </c>
      <c r="D58" s="255">
        <f>SUM(D59:D60)</f>
        <v>0</v>
      </c>
      <c r="E58" s="261">
        <f>SUM(E59:E60)</f>
        <v>0</v>
      </c>
      <c r="F58" s="310">
        <f t="shared" si="5"/>
        <v>0</v>
      </c>
      <c r="G58" s="255">
        <f>SUM(G59:G60)</f>
        <v>0</v>
      </c>
      <c r="H58" s="258">
        <f>SUM(H59:H60)</f>
        <v>0</v>
      </c>
      <c r="I58" s="259">
        <f t="shared" si="6"/>
        <v>0</v>
      </c>
      <c r="J58" s="255">
        <f>SUM(J59:J60)</f>
        <v>0</v>
      </c>
      <c r="K58" s="258">
        <f>SUM(K59:K60)</f>
        <v>0</v>
      </c>
      <c r="L58" s="259">
        <f t="shared" si="7"/>
        <v>0</v>
      </c>
      <c r="M58" s="260">
        <f>SUM(M59:M60)</f>
        <v>0</v>
      </c>
      <c r="N58" s="261">
        <f>SUM(N59:N60)</f>
        <v>0</v>
      </c>
      <c r="O58" s="259">
        <f t="shared" si="8"/>
        <v>0</v>
      </c>
      <c r="P58" s="189"/>
    </row>
    <row r="59" spans="1:16" hidden="1" x14ac:dyDescent="0.25">
      <c r="A59" s="66">
        <v>1111</v>
      </c>
      <c r="B59" s="116" t="s">
        <v>77</v>
      </c>
      <c r="C59" s="117">
        <f t="shared" si="4"/>
        <v>0</v>
      </c>
      <c r="D59" s="123"/>
      <c r="E59" s="262"/>
      <c r="F59" s="263">
        <f t="shared" si="5"/>
        <v>0</v>
      </c>
      <c r="G59" s="123"/>
      <c r="H59" s="124"/>
      <c r="I59" s="125">
        <f t="shared" si="6"/>
        <v>0</v>
      </c>
      <c r="J59" s="123"/>
      <c r="K59" s="124"/>
      <c r="L59" s="125">
        <f t="shared" si="7"/>
        <v>0</v>
      </c>
      <c r="M59" s="264"/>
      <c r="N59" s="262"/>
      <c r="O59" s="125">
        <f t="shared" si="8"/>
        <v>0</v>
      </c>
      <c r="P59" s="74"/>
    </row>
    <row r="60" spans="1:16" ht="24" hidden="1" x14ac:dyDescent="0.25">
      <c r="A60" s="76">
        <v>1119</v>
      </c>
      <c r="B60" s="127" t="s">
        <v>78</v>
      </c>
      <c r="C60" s="128">
        <f t="shared" si="4"/>
        <v>0</v>
      </c>
      <c r="D60" s="134"/>
      <c r="E60" s="285"/>
      <c r="F60" s="286">
        <f t="shared" si="5"/>
        <v>0</v>
      </c>
      <c r="G60" s="134"/>
      <c r="H60" s="135"/>
      <c r="I60" s="136">
        <f t="shared" si="6"/>
        <v>0</v>
      </c>
      <c r="J60" s="134"/>
      <c r="K60" s="135"/>
      <c r="L60" s="136">
        <f t="shared" si="7"/>
        <v>0</v>
      </c>
      <c r="M60" s="284"/>
      <c r="N60" s="285"/>
      <c r="O60" s="136">
        <f t="shared" si="8"/>
        <v>0</v>
      </c>
      <c r="P60" s="85"/>
    </row>
    <row r="61" spans="1:16" ht="24" hidden="1" x14ac:dyDescent="0.25">
      <c r="A61" s="276">
        <v>1140</v>
      </c>
      <c r="B61" s="127" t="s">
        <v>79</v>
      </c>
      <c r="C61" s="128">
        <f t="shared" si="4"/>
        <v>0</v>
      </c>
      <c r="D61" s="277">
        <f>SUM(D62:D68)</f>
        <v>0</v>
      </c>
      <c r="E61" s="282">
        <f>SUM(E62:E68)</f>
        <v>0</v>
      </c>
      <c r="F61" s="286">
        <f>D61+E61</f>
        <v>0</v>
      </c>
      <c r="G61" s="277">
        <f>SUM(G62:G68)</f>
        <v>0</v>
      </c>
      <c r="H61" s="280">
        <f>SUM(H62:H68)</f>
        <v>0</v>
      </c>
      <c r="I61" s="136">
        <f t="shared" si="6"/>
        <v>0</v>
      </c>
      <c r="J61" s="277">
        <f>SUM(J62:J68)</f>
        <v>0</v>
      </c>
      <c r="K61" s="280">
        <f>SUM(K62:K68)</f>
        <v>0</v>
      </c>
      <c r="L61" s="136">
        <f t="shared" si="7"/>
        <v>0</v>
      </c>
      <c r="M61" s="281">
        <f>SUM(M62:M68)</f>
        <v>0</v>
      </c>
      <c r="N61" s="282">
        <f>SUM(N62:N68)</f>
        <v>0</v>
      </c>
      <c r="O61" s="136">
        <f t="shared" si="8"/>
        <v>0</v>
      </c>
      <c r="P61" s="85"/>
    </row>
    <row r="62" spans="1:16" hidden="1" x14ac:dyDescent="0.25">
      <c r="A62" s="76">
        <v>1141</v>
      </c>
      <c r="B62" s="127" t="s">
        <v>80</v>
      </c>
      <c r="C62" s="128">
        <f t="shared" si="4"/>
        <v>0</v>
      </c>
      <c r="D62" s="134"/>
      <c r="E62" s="285"/>
      <c r="F62" s="286">
        <f t="shared" si="5"/>
        <v>0</v>
      </c>
      <c r="G62" s="134"/>
      <c r="H62" s="135"/>
      <c r="I62" s="136">
        <f t="shared" si="6"/>
        <v>0</v>
      </c>
      <c r="J62" s="134"/>
      <c r="K62" s="135"/>
      <c r="L62" s="136">
        <f t="shared" si="7"/>
        <v>0</v>
      </c>
      <c r="M62" s="284"/>
      <c r="N62" s="285"/>
      <c r="O62" s="136">
        <f t="shared" si="8"/>
        <v>0</v>
      </c>
      <c r="P62" s="85"/>
    </row>
    <row r="63" spans="1:16" ht="24" hidden="1" x14ac:dyDescent="0.25">
      <c r="A63" s="76">
        <v>1142</v>
      </c>
      <c r="B63" s="127" t="s">
        <v>81</v>
      </c>
      <c r="C63" s="128">
        <f t="shared" si="4"/>
        <v>0</v>
      </c>
      <c r="D63" s="134"/>
      <c r="E63" s="285"/>
      <c r="F63" s="286">
        <f t="shared" si="5"/>
        <v>0</v>
      </c>
      <c r="G63" s="134"/>
      <c r="H63" s="135"/>
      <c r="I63" s="136">
        <f t="shared" si="6"/>
        <v>0</v>
      </c>
      <c r="J63" s="134"/>
      <c r="K63" s="135"/>
      <c r="L63" s="136">
        <f t="shared" si="7"/>
        <v>0</v>
      </c>
      <c r="M63" s="284"/>
      <c r="N63" s="285"/>
      <c r="O63" s="136">
        <f t="shared" si="8"/>
        <v>0</v>
      </c>
      <c r="P63" s="85"/>
    </row>
    <row r="64" spans="1:16" ht="24" hidden="1" x14ac:dyDescent="0.25">
      <c r="A64" s="76">
        <v>1145</v>
      </c>
      <c r="B64" s="127" t="s">
        <v>82</v>
      </c>
      <c r="C64" s="128">
        <f t="shared" si="4"/>
        <v>0</v>
      </c>
      <c r="D64" s="134"/>
      <c r="E64" s="285"/>
      <c r="F64" s="286">
        <f t="shared" si="5"/>
        <v>0</v>
      </c>
      <c r="G64" s="134"/>
      <c r="H64" s="135"/>
      <c r="I64" s="136">
        <f t="shared" si="6"/>
        <v>0</v>
      </c>
      <c r="J64" s="134"/>
      <c r="K64" s="135"/>
      <c r="L64" s="136">
        <f t="shared" si="7"/>
        <v>0</v>
      </c>
      <c r="M64" s="284"/>
      <c r="N64" s="285"/>
      <c r="O64" s="136">
        <f t="shared" si="8"/>
        <v>0</v>
      </c>
      <c r="P64" s="85"/>
    </row>
    <row r="65" spans="1:16" ht="24" hidden="1" x14ac:dyDescent="0.25">
      <c r="A65" s="76">
        <v>1146</v>
      </c>
      <c r="B65" s="127" t="s">
        <v>83</v>
      </c>
      <c r="C65" s="128">
        <f t="shared" si="4"/>
        <v>0</v>
      </c>
      <c r="D65" s="134"/>
      <c r="E65" s="285"/>
      <c r="F65" s="286">
        <f t="shared" si="5"/>
        <v>0</v>
      </c>
      <c r="G65" s="134"/>
      <c r="H65" s="135"/>
      <c r="I65" s="136">
        <f t="shared" si="6"/>
        <v>0</v>
      </c>
      <c r="J65" s="134"/>
      <c r="K65" s="135"/>
      <c r="L65" s="136">
        <f t="shared" si="7"/>
        <v>0</v>
      </c>
      <c r="M65" s="284"/>
      <c r="N65" s="285"/>
      <c r="O65" s="136">
        <f t="shared" si="8"/>
        <v>0</v>
      </c>
      <c r="P65" s="85"/>
    </row>
    <row r="66" spans="1:16" hidden="1" x14ac:dyDescent="0.25">
      <c r="A66" s="76">
        <v>1147</v>
      </c>
      <c r="B66" s="127" t="s">
        <v>84</v>
      </c>
      <c r="C66" s="128">
        <f t="shared" si="4"/>
        <v>0</v>
      </c>
      <c r="D66" s="134"/>
      <c r="E66" s="285"/>
      <c r="F66" s="286">
        <f t="shared" si="5"/>
        <v>0</v>
      </c>
      <c r="G66" s="134"/>
      <c r="H66" s="135"/>
      <c r="I66" s="136">
        <f t="shared" si="6"/>
        <v>0</v>
      </c>
      <c r="J66" s="134"/>
      <c r="K66" s="135"/>
      <c r="L66" s="136">
        <f t="shared" si="7"/>
        <v>0</v>
      </c>
      <c r="M66" s="284"/>
      <c r="N66" s="285"/>
      <c r="O66" s="136">
        <f t="shared" si="8"/>
        <v>0</v>
      </c>
      <c r="P66" s="85"/>
    </row>
    <row r="67" spans="1:16" hidden="1" x14ac:dyDescent="0.25">
      <c r="A67" s="76">
        <v>1148</v>
      </c>
      <c r="B67" s="127" t="s">
        <v>85</v>
      </c>
      <c r="C67" s="128">
        <f t="shared" si="4"/>
        <v>0</v>
      </c>
      <c r="D67" s="134"/>
      <c r="E67" s="285"/>
      <c r="F67" s="286">
        <f t="shared" si="5"/>
        <v>0</v>
      </c>
      <c r="G67" s="134"/>
      <c r="H67" s="135"/>
      <c r="I67" s="136">
        <f t="shared" si="6"/>
        <v>0</v>
      </c>
      <c r="J67" s="134"/>
      <c r="K67" s="135"/>
      <c r="L67" s="136">
        <f t="shared" si="7"/>
        <v>0</v>
      </c>
      <c r="M67" s="284"/>
      <c r="N67" s="285"/>
      <c r="O67" s="136">
        <f t="shared" si="8"/>
        <v>0</v>
      </c>
      <c r="P67" s="85"/>
    </row>
    <row r="68" spans="1:16" ht="36" hidden="1" x14ac:dyDescent="0.25">
      <c r="A68" s="76">
        <v>1149</v>
      </c>
      <c r="B68" s="127" t="s">
        <v>86</v>
      </c>
      <c r="C68" s="128">
        <f t="shared" si="4"/>
        <v>0</v>
      </c>
      <c r="D68" s="134"/>
      <c r="E68" s="285"/>
      <c r="F68" s="286">
        <f t="shared" si="5"/>
        <v>0</v>
      </c>
      <c r="G68" s="134"/>
      <c r="H68" s="135"/>
      <c r="I68" s="136">
        <f t="shared" si="6"/>
        <v>0</v>
      </c>
      <c r="J68" s="134"/>
      <c r="K68" s="135"/>
      <c r="L68" s="136">
        <f t="shared" si="7"/>
        <v>0</v>
      </c>
      <c r="M68" s="284"/>
      <c r="N68" s="285"/>
      <c r="O68" s="136">
        <f t="shared" si="8"/>
        <v>0</v>
      </c>
      <c r="P68" s="85"/>
    </row>
    <row r="69" spans="1:16" ht="36" x14ac:dyDescent="0.25">
      <c r="A69" s="254">
        <v>1150</v>
      </c>
      <c r="B69" s="179" t="s">
        <v>87</v>
      </c>
      <c r="C69" s="128">
        <f t="shared" si="4"/>
        <v>75477</v>
      </c>
      <c r="D69" s="287">
        <v>69333</v>
      </c>
      <c r="E69" s="288">
        <v>934</v>
      </c>
      <c r="F69" s="257">
        <f t="shared" si="5"/>
        <v>70267</v>
      </c>
      <c r="G69" s="287"/>
      <c r="H69" s="289"/>
      <c r="I69" s="259">
        <f t="shared" si="6"/>
        <v>0</v>
      </c>
      <c r="J69" s="287">
        <v>5210</v>
      </c>
      <c r="K69" s="289"/>
      <c r="L69" s="259">
        <f t="shared" si="7"/>
        <v>5210</v>
      </c>
      <c r="M69" s="290"/>
      <c r="N69" s="291"/>
      <c r="O69" s="259">
        <f t="shared" si="8"/>
        <v>0</v>
      </c>
      <c r="P69" s="189" t="s">
        <v>879</v>
      </c>
    </row>
    <row r="70" spans="1:16" ht="36" hidden="1" x14ac:dyDescent="0.25">
      <c r="A70" s="99">
        <v>1200</v>
      </c>
      <c r="B70" s="247" t="s">
        <v>88</v>
      </c>
      <c r="C70" s="100">
        <f t="shared" si="4"/>
        <v>0</v>
      </c>
      <c r="D70" s="112">
        <f>SUM(D71:D72)</f>
        <v>0</v>
      </c>
      <c r="E70" s="293">
        <f>SUM(E71:E72)</f>
        <v>0</v>
      </c>
      <c r="F70" s="313">
        <f>D70+E70</f>
        <v>0</v>
      </c>
      <c r="G70" s="112">
        <f>SUM(G71:G72)</f>
        <v>0</v>
      </c>
      <c r="H70" s="113">
        <f>SUM(H71:H72)</f>
        <v>0</v>
      </c>
      <c r="I70" s="114">
        <f t="shared" si="6"/>
        <v>0</v>
      </c>
      <c r="J70" s="112">
        <f>SUM(J71:J72)</f>
        <v>0</v>
      </c>
      <c r="K70" s="113">
        <f>SUM(K71:K72)</f>
        <v>0</v>
      </c>
      <c r="L70" s="114">
        <f t="shared" si="7"/>
        <v>0</v>
      </c>
      <c r="M70" s="292">
        <f>SUM(M71:M72)</f>
        <v>0</v>
      </c>
      <c r="N70" s="293">
        <f>SUM(N71:N72)</f>
        <v>0</v>
      </c>
      <c r="O70" s="114">
        <f t="shared" si="8"/>
        <v>0</v>
      </c>
      <c r="P70" s="109"/>
    </row>
    <row r="71" spans="1:16" ht="24" hidden="1" x14ac:dyDescent="0.25">
      <c r="A71" s="656">
        <v>1210</v>
      </c>
      <c r="B71" s="116" t="s">
        <v>89</v>
      </c>
      <c r="C71" s="117">
        <f t="shared" si="4"/>
        <v>0</v>
      </c>
      <c r="D71" s="123">
        <v>0</v>
      </c>
      <c r="E71" s="262"/>
      <c r="F71" s="263">
        <f t="shared" si="5"/>
        <v>0</v>
      </c>
      <c r="G71" s="123"/>
      <c r="H71" s="124"/>
      <c r="I71" s="125">
        <f t="shared" si="6"/>
        <v>0</v>
      </c>
      <c r="J71" s="123"/>
      <c r="K71" s="124"/>
      <c r="L71" s="125">
        <f t="shared" si="7"/>
        <v>0</v>
      </c>
      <c r="M71" s="264"/>
      <c r="N71" s="262"/>
      <c r="O71" s="125">
        <f t="shared" si="8"/>
        <v>0</v>
      </c>
      <c r="P71" s="189"/>
    </row>
    <row r="72" spans="1:16" ht="24" hidden="1" x14ac:dyDescent="0.25">
      <c r="A72" s="276">
        <v>1220</v>
      </c>
      <c r="B72" s="127" t="s">
        <v>90</v>
      </c>
      <c r="C72" s="128">
        <f t="shared" si="4"/>
        <v>0</v>
      </c>
      <c r="D72" s="277">
        <f>SUM(D73:D77)</f>
        <v>0</v>
      </c>
      <c r="E72" s="282">
        <f>SUM(E73:E77)</f>
        <v>0</v>
      </c>
      <c r="F72" s="286">
        <f t="shared" si="5"/>
        <v>0</v>
      </c>
      <c r="G72" s="277">
        <f>SUM(G73:G77)</f>
        <v>0</v>
      </c>
      <c r="H72" s="280">
        <f>SUM(H73:H77)</f>
        <v>0</v>
      </c>
      <c r="I72" s="136">
        <f t="shared" si="6"/>
        <v>0</v>
      </c>
      <c r="J72" s="277">
        <f>SUM(J73:J77)</f>
        <v>0</v>
      </c>
      <c r="K72" s="280">
        <f>SUM(K73:K77)</f>
        <v>0</v>
      </c>
      <c r="L72" s="136">
        <f t="shared" si="7"/>
        <v>0</v>
      </c>
      <c r="M72" s="281">
        <f>SUM(M73:M77)</f>
        <v>0</v>
      </c>
      <c r="N72" s="282">
        <f>SUM(N73:N77)</f>
        <v>0</v>
      </c>
      <c r="O72" s="136">
        <f t="shared" si="8"/>
        <v>0</v>
      </c>
      <c r="P72" s="85"/>
    </row>
    <row r="73" spans="1:16" ht="60" hidden="1" x14ac:dyDescent="0.25">
      <c r="A73" s="76">
        <v>1221</v>
      </c>
      <c r="B73" s="127" t="s">
        <v>91</v>
      </c>
      <c r="C73" s="128">
        <f t="shared" si="4"/>
        <v>0</v>
      </c>
      <c r="D73" s="134"/>
      <c r="E73" s="285"/>
      <c r="F73" s="286">
        <f t="shared" si="5"/>
        <v>0</v>
      </c>
      <c r="G73" s="134"/>
      <c r="H73" s="135"/>
      <c r="I73" s="136">
        <f t="shared" si="6"/>
        <v>0</v>
      </c>
      <c r="J73" s="134"/>
      <c r="K73" s="135"/>
      <c r="L73" s="136">
        <f t="shared" si="7"/>
        <v>0</v>
      </c>
      <c r="M73" s="284"/>
      <c r="N73" s="285"/>
      <c r="O73" s="136">
        <f t="shared" si="8"/>
        <v>0</v>
      </c>
      <c r="P73" s="85"/>
    </row>
    <row r="74" spans="1:16" hidden="1" x14ac:dyDescent="0.25">
      <c r="A74" s="76">
        <v>1223</v>
      </c>
      <c r="B74" s="127" t="s">
        <v>92</v>
      </c>
      <c r="C74" s="128">
        <f t="shared" si="4"/>
        <v>0</v>
      </c>
      <c r="D74" s="134"/>
      <c r="E74" s="285"/>
      <c r="F74" s="286">
        <f t="shared" si="5"/>
        <v>0</v>
      </c>
      <c r="G74" s="134"/>
      <c r="H74" s="135"/>
      <c r="I74" s="136">
        <f t="shared" si="6"/>
        <v>0</v>
      </c>
      <c r="J74" s="134"/>
      <c r="K74" s="135"/>
      <c r="L74" s="136">
        <f t="shared" si="7"/>
        <v>0</v>
      </c>
      <c r="M74" s="284"/>
      <c r="N74" s="285"/>
      <c r="O74" s="136">
        <f t="shared" si="8"/>
        <v>0</v>
      </c>
      <c r="P74" s="85"/>
    </row>
    <row r="75" spans="1:16" hidden="1" x14ac:dyDescent="0.25">
      <c r="A75" s="76">
        <v>1225</v>
      </c>
      <c r="B75" s="127" t="s">
        <v>93</v>
      </c>
      <c r="C75" s="128">
        <f t="shared" si="4"/>
        <v>0</v>
      </c>
      <c r="D75" s="134"/>
      <c r="E75" s="285"/>
      <c r="F75" s="286">
        <f t="shared" si="5"/>
        <v>0</v>
      </c>
      <c r="G75" s="134"/>
      <c r="H75" s="135"/>
      <c r="I75" s="136">
        <f t="shared" si="6"/>
        <v>0</v>
      </c>
      <c r="J75" s="134"/>
      <c r="K75" s="135"/>
      <c r="L75" s="136">
        <f t="shared" si="7"/>
        <v>0</v>
      </c>
      <c r="M75" s="284"/>
      <c r="N75" s="285"/>
      <c r="O75" s="136">
        <f t="shared" si="8"/>
        <v>0</v>
      </c>
      <c r="P75" s="85"/>
    </row>
    <row r="76" spans="1:16" ht="36" hidden="1" x14ac:dyDescent="0.25">
      <c r="A76" s="76">
        <v>1227</v>
      </c>
      <c r="B76" s="127" t="s">
        <v>94</v>
      </c>
      <c r="C76" s="128">
        <f t="shared" si="4"/>
        <v>0</v>
      </c>
      <c r="D76" s="134"/>
      <c r="E76" s="285"/>
      <c r="F76" s="286">
        <f t="shared" si="5"/>
        <v>0</v>
      </c>
      <c r="G76" s="134"/>
      <c r="H76" s="135"/>
      <c r="I76" s="136">
        <f t="shared" si="6"/>
        <v>0</v>
      </c>
      <c r="J76" s="134"/>
      <c r="K76" s="135"/>
      <c r="L76" s="136">
        <f t="shared" si="7"/>
        <v>0</v>
      </c>
      <c r="M76" s="284"/>
      <c r="N76" s="285"/>
      <c r="O76" s="136">
        <f t="shared" si="8"/>
        <v>0</v>
      </c>
      <c r="P76" s="85"/>
    </row>
    <row r="77" spans="1:16" ht="60" hidden="1" x14ac:dyDescent="0.25">
      <c r="A77" s="76">
        <v>1228</v>
      </c>
      <c r="B77" s="127" t="s">
        <v>95</v>
      </c>
      <c r="C77" s="128">
        <f t="shared" si="4"/>
        <v>0</v>
      </c>
      <c r="D77" s="134"/>
      <c r="E77" s="285"/>
      <c r="F77" s="286">
        <f t="shared" si="5"/>
        <v>0</v>
      </c>
      <c r="G77" s="134"/>
      <c r="H77" s="135"/>
      <c r="I77" s="136">
        <f t="shared" si="6"/>
        <v>0</v>
      </c>
      <c r="J77" s="134"/>
      <c r="K77" s="135"/>
      <c r="L77" s="136">
        <f t="shared" si="7"/>
        <v>0</v>
      </c>
      <c r="M77" s="284"/>
      <c r="N77" s="285"/>
      <c r="O77" s="136">
        <f t="shared" si="8"/>
        <v>0</v>
      </c>
      <c r="P77" s="85"/>
    </row>
    <row r="78" spans="1:16" x14ac:dyDescent="0.25">
      <c r="A78" s="237">
        <v>2000</v>
      </c>
      <c r="B78" s="237" t="s">
        <v>96</v>
      </c>
      <c r="C78" s="238">
        <f t="shared" si="4"/>
        <v>372389</v>
      </c>
      <c r="D78" s="239">
        <f>SUM(D79,D86,D133,D167,D168,D175)</f>
        <v>361818</v>
      </c>
      <c r="E78" s="240">
        <f>SUM(E79,E86,E133,E167,E168,E175)</f>
        <v>-934</v>
      </c>
      <c r="F78" s="241">
        <f t="shared" si="5"/>
        <v>360884</v>
      </c>
      <c r="G78" s="239">
        <f>SUM(G79,G86,G133,G167,G168,G175)</f>
        <v>0</v>
      </c>
      <c r="H78" s="242">
        <f>SUM(H79,H86,H133,H167,H168,H175)</f>
        <v>0</v>
      </c>
      <c r="I78" s="243">
        <f t="shared" si="6"/>
        <v>0</v>
      </c>
      <c r="J78" s="239">
        <f>SUM(J79,J86,J133,J167,J168,J175)</f>
        <v>11505</v>
      </c>
      <c r="K78" s="242">
        <f>SUM(K79,K86,K133,K167,K168,K175)</f>
        <v>0</v>
      </c>
      <c r="L78" s="243">
        <f t="shared" si="7"/>
        <v>11505</v>
      </c>
      <c r="M78" s="244">
        <f>SUM(M79,M86,M133,M167,M168,M175)</f>
        <v>0</v>
      </c>
      <c r="N78" s="245">
        <f>SUM(N79,N86,N133,N167,N168,N175)</f>
        <v>0</v>
      </c>
      <c r="O78" s="243">
        <f t="shared" si="8"/>
        <v>0</v>
      </c>
      <c r="P78" s="246"/>
    </row>
    <row r="79" spans="1:16" ht="24" x14ac:dyDescent="0.25">
      <c r="A79" s="99">
        <v>2100</v>
      </c>
      <c r="B79" s="247" t="s">
        <v>97</v>
      </c>
      <c r="C79" s="100">
        <f t="shared" si="4"/>
        <v>2008</v>
      </c>
      <c r="D79" s="112">
        <f>SUM(D80,D83)</f>
        <v>2008</v>
      </c>
      <c r="E79" s="248">
        <f>SUM(E80,E83)</f>
        <v>0</v>
      </c>
      <c r="F79" s="249">
        <f t="shared" si="5"/>
        <v>2008</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row>
    <row r="80" spans="1:16" ht="24" hidden="1" x14ac:dyDescent="0.25">
      <c r="A80" s="656">
        <v>2110</v>
      </c>
      <c r="B80" s="116" t="s">
        <v>98</v>
      </c>
      <c r="C80" s="117">
        <f t="shared" si="4"/>
        <v>0</v>
      </c>
      <c r="D80" s="297">
        <f>SUM(D81:D82)</f>
        <v>0</v>
      </c>
      <c r="E80" s="301">
        <f>SUM(E81:E82)</f>
        <v>0</v>
      </c>
      <c r="F80" s="263">
        <f t="shared" si="5"/>
        <v>0</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row>
    <row r="81" spans="1:16" hidden="1" x14ac:dyDescent="0.25">
      <c r="A81" s="76">
        <v>2111</v>
      </c>
      <c r="B81" s="127" t="s">
        <v>99</v>
      </c>
      <c r="C81" s="128">
        <f t="shared" si="4"/>
        <v>0</v>
      </c>
      <c r="D81" s="134">
        <v>0</v>
      </c>
      <c r="E81" s="285"/>
      <c r="F81" s="286">
        <f t="shared" si="5"/>
        <v>0</v>
      </c>
      <c r="G81" s="134"/>
      <c r="H81" s="135"/>
      <c r="I81" s="136">
        <f t="shared" si="6"/>
        <v>0</v>
      </c>
      <c r="J81" s="134"/>
      <c r="K81" s="135"/>
      <c r="L81" s="136">
        <f t="shared" si="7"/>
        <v>0</v>
      </c>
      <c r="M81" s="284"/>
      <c r="N81" s="285"/>
      <c r="O81" s="136">
        <f t="shared" si="8"/>
        <v>0</v>
      </c>
      <c r="P81" s="189" t="s">
        <v>879</v>
      </c>
    </row>
    <row r="82" spans="1:16" ht="24" hidden="1" x14ac:dyDescent="0.25">
      <c r="A82" s="76">
        <v>2112</v>
      </c>
      <c r="B82" s="127" t="s">
        <v>100</v>
      </c>
      <c r="C82" s="128">
        <f t="shared" si="4"/>
        <v>0</v>
      </c>
      <c r="D82" s="134"/>
      <c r="E82" s="285"/>
      <c r="F82" s="286">
        <f t="shared" si="5"/>
        <v>0</v>
      </c>
      <c r="G82" s="134"/>
      <c r="H82" s="135"/>
      <c r="I82" s="136">
        <f t="shared" si="6"/>
        <v>0</v>
      </c>
      <c r="J82" s="134"/>
      <c r="K82" s="135"/>
      <c r="L82" s="136">
        <f t="shared" si="7"/>
        <v>0</v>
      </c>
      <c r="M82" s="284"/>
      <c r="N82" s="285"/>
      <c r="O82" s="136">
        <f t="shared" si="8"/>
        <v>0</v>
      </c>
      <c r="P82" s="85"/>
    </row>
    <row r="83" spans="1:16" ht="24" x14ac:dyDescent="0.25">
      <c r="A83" s="276">
        <v>2120</v>
      </c>
      <c r="B83" s="127" t="s">
        <v>101</v>
      </c>
      <c r="C83" s="128">
        <f t="shared" si="4"/>
        <v>2008</v>
      </c>
      <c r="D83" s="277">
        <f>SUM(D84:D85)</f>
        <v>2008</v>
      </c>
      <c r="E83" s="278">
        <f>SUM(E84:E85)</f>
        <v>0</v>
      </c>
      <c r="F83" s="279">
        <f t="shared" si="5"/>
        <v>2008</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row>
    <row r="84" spans="1:16" x14ac:dyDescent="0.25">
      <c r="A84" s="76">
        <v>2121</v>
      </c>
      <c r="B84" s="127" t="s">
        <v>99</v>
      </c>
      <c r="C84" s="128">
        <f t="shared" si="4"/>
        <v>1814</v>
      </c>
      <c r="D84" s="134">
        <v>1814</v>
      </c>
      <c r="E84" s="283"/>
      <c r="F84" s="279">
        <f t="shared" si="5"/>
        <v>1814</v>
      </c>
      <c r="G84" s="134"/>
      <c r="H84" s="135"/>
      <c r="I84" s="136">
        <f t="shared" si="6"/>
        <v>0</v>
      </c>
      <c r="J84" s="134"/>
      <c r="K84" s="135"/>
      <c r="L84" s="136">
        <f t="shared" si="7"/>
        <v>0</v>
      </c>
      <c r="M84" s="284"/>
      <c r="N84" s="285"/>
      <c r="O84" s="136">
        <f t="shared" si="8"/>
        <v>0</v>
      </c>
      <c r="P84" s="189"/>
    </row>
    <row r="85" spans="1:16" ht="24" x14ac:dyDescent="0.25">
      <c r="A85" s="76">
        <v>2122</v>
      </c>
      <c r="B85" s="127" t="s">
        <v>100</v>
      </c>
      <c r="C85" s="128">
        <f t="shared" si="4"/>
        <v>194</v>
      </c>
      <c r="D85" s="134">
        <v>194</v>
      </c>
      <c r="E85" s="283">
        <v>0</v>
      </c>
      <c r="F85" s="279">
        <f t="shared" si="5"/>
        <v>194</v>
      </c>
      <c r="G85" s="134"/>
      <c r="H85" s="135"/>
      <c r="I85" s="136">
        <f t="shared" si="6"/>
        <v>0</v>
      </c>
      <c r="J85" s="134"/>
      <c r="K85" s="135"/>
      <c r="L85" s="136">
        <f t="shared" si="7"/>
        <v>0</v>
      </c>
      <c r="M85" s="284"/>
      <c r="N85" s="285"/>
      <c r="O85" s="136">
        <f t="shared" si="8"/>
        <v>0</v>
      </c>
      <c r="P85" s="189"/>
    </row>
    <row r="86" spans="1:16" x14ac:dyDescent="0.25">
      <c r="A86" s="99">
        <v>2200</v>
      </c>
      <c r="B86" s="247" t="s">
        <v>102</v>
      </c>
      <c r="C86" s="302">
        <f t="shared" si="4"/>
        <v>321033</v>
      </c>
      <c r="D86" s="112">
        <f>SUM(D87,D92,D98,D106,D115,D119,D125,D131)</f>
        <v>315736</v>
      </c>
      <c r="E86" s="248">
        <f>SUM(E87,E92,E98,E106,E115,E119,E125,E131)</f>
        <v>-678</v>
      </c>
      <c r="F86" s="249">
        <f t="shared" si="5"/>
        <v>315058</v>
      </c>
      <c r="G86" s="112">
        <f>SUM(G87,G92,G98,G106,G115,G119,G125,G131)</f>
        <v>0</v>
      </c>
      <c r="H86" s="113">
        <f>SUM(H87,H92,H98,H106,H115,H119,H125,H131)</f>
        <v>0</v>
      </c>
      <c r="I86" s="114">
        <f t="shared" si="6"/>
        <v>0</v>
      </c>
      <c r="J86" s="112">
        <f>SUM(J87,J92,J98,J106,J115,J119,J125,J131)</f>
        <v>5975</v>
      </c>
      <c r="K86" s="113">
        <f>SUM(K87,K92,K98,K106,K115,K119,K125,K131)</f>
        <v>0</v>
      </c>
      <c r="L86" s="114">
        <f t="shared" si="7"/>
        <v>5975</v>
      </c>
      <c r="M86" s="303">
        <f>SUM(M87,M92,M98,M106,M115,M119,M125,M131)</f>
        <v>0</v>
      </c>
      <c r="N86" s="304">
        <f>SUM(N87,N92,N98,N106,N115,N119,N125,N131)</f>
        <v>0</v>
      </c>
      <c r="O86" s="305">
        <f t="shared" si="8"/>
        <v>0</v>
      </c>
      <c r="P86" s="306"/>
    </row>
    <row r="87" spans="1:16" ht="24" hidden="1" x14ac:dyDescent="0.25">
      <c r="A87" s="254">
        <v>2210</v>
      </c>
      <c r="B87" s="179" t="s">
        <v>103</v>
      </c>
      <c r="C87" s="191">
        <f t="shared" si="4"/>
        <v>0</v>
      </c>
      <c r="D87" s="255">
        <f>SUM(D88:D91)</f>
        <v>0</v>
      </c>
      <c r="E87" s="261">
        <f>SUM(E88:E91)</f>
        <v>0</v>
      </c>
      <c r="F87" s="310">
        <f t="shared" si="5"/>
        <v>0</v>
      </c>
      <c r="G87" s="255">
        <f>SUM(G88:G91)</f>
        <v>0</v>
      </c>
      <c r="H87" s="258">
        <f>SUM(H88:H91)</f>
        <v>0</v>
      </c>
      <c r="I87" s="259">
        <f t="shared" si="6"/>
        <v>0</v>
      </c>
      <c r="J87" s="255">
        <f>SUM(J88:J91)</f>
        <v>0</v>
      </c>
      <c r="K87" s="258">
        <f>SUM(K88:K91)</f>
        <v>0</v>
      </c>
      <c r="L87" s="259">
        <f t="shared" si="7"/>
        <v>0</v>
      </c>
      <c r="M87" s="260">
        <f>SUM(M88:M91)</f>
        <v>0</v>
      </c>
      <c r="N87" s="261">
        <f>SUM(N88:N91)</f>
        <v>0</v>
      </c>
      <c r="O87" s="259">
        <f t="shared" si="8"/>
        <v>0</v>
      </c>
      <c r="P87" s="189"/>
    </row>
    <row r="88" spans="1:16" ht="24" hidden="1" x14ac:dyDescent="0.25">
      <c r="A88" s="66">
        <v>2211</v>
      </c>
      <c r="B88" s="116" t="s">
        <v>104</v>
      </c>
      <c r="C88" s="128">
        <f t="shared" si="4"/>
        <v>0</v>
      </c>
      <c r="D88" s="123"/>
      <c r="E88" s="262"/>
      <c r="F88" s="263">
        <f t="shared" si="5"/>
        <v>0</v>
      </c>
      <c r="G88" s="123"/>
      <c r="H88" s="124"/>
      <c r="I88" s="125">
        <f t="shared" si="6"/>
        <v>0</v>
      </c>
      <c r="J88" s="123"/>
      <c r="K88" s="124"/>
      <c r="L88" s="125">
        <f t="shared" si="7"/>
        <v>0</v>
      </c>
      <c r="M88" s="264"/>
      <c r="N88" s="262"/>
      <c r="O88" s="125">
        <f t="shared" si="8"/>
        <v>0</v>
      </c>
      <c r="P88" s="74"/>
    </row>
    <row r="89" spans="1:16" ht="36" hidden="1" x14ac:dyDescent="0.25">
      <c r="A89" s="76">
        <v>2212</v>
      </c>
      <c r="B89" s="127" t="s">
        <v>105</v>
      </c>
      <c r="C89" s="128">
        <f t="shared" si="4"/>
        <v>0</v>
      </c>
      <c r="D89" s="134"/>
      <c r="E89" s="285"/>
      <c r="F89" s="286">
        <f t="shared" si="5"/>
        <v>0</v>
      </c>
      <c r="G89" s="134"/>
      <c r="H89" s="135"/>
      <c r="I89" s="136">
        <f t="shared" si="6"/>
        <v>0</v>
      </c>
      <c r="J89" s="134"/>
      <c r="K89" s="135"/>
      <c r="L89" s="136">
        <f t="shared" si="7"/>
        <v>0</v>
      </c>
      <c r="M89" s="284"/>
      <c r="N89" s="285"/>
      <c r="O89" s="136">
        <f t="shared" si="8"/>
        <v>0</v>
      </c>
      <c r="P89" s="85"/>
    </row>
    <row r="90" spans="1:16" ht="24" hidden="1" x14ac:dyDescent="0.25">
      <c r="A90" s="76">
        <v>2214</v>
      </c>
      <c r="B90" s="127" t="s">
        <v>106</v>
      </c>
      <c r="C90" s="128">
        <f t="shared" si="4"/>
        <v>0</v>
      </c>
      <c r="D90" s="134"/>
      <c r="E90" s="285"/>
      <c r="F90" s="286">
        <f t="shared" si="5"/>
        <v>0</v>
      </c>
      <c r="G90" s="134"/>
      <c r="H90" s="135"/>
      <c r="I90" s="136">
        <f t="shared" si="6"/>
        <v>0</v>
      </c>
      <c r="J90" s="134"/>
      <c r="K90" s="135"/>
      <c r="L90" s="136">
        <f t="shared" si="7"/>
        <v>0</v>
      </c>
      <c r="M90" s="284"/>
      <c r="N90" s="285"/>
      <c r="O90" s="136">
        <f t="shared" si="8"/>
        <v>0</v>
      </c>
      <c r="P90" s="85"/>
    </row>
    <row r="91" spans="1:16" hidden="1" x14ac:dyDescent="0.25">
      <c r="A91" s="76">
        <v>2219</v>
      </c>
      <c r="B91" s="127" t="s">
        <v>107</v>
      </c>
      <c r="C91" s="128">
        <f t="shared" si="4"/>
        <v>0</v>
      </c>
      <c r="D91" s="134"/>
      <c r="E91" s="285"/>
      <c r="F91" s="286">
        <f t="shared" si="5"/>
        <v>0</v>
      </c>
      <c r="G91" s="134"/>
      <c r="H91" s="135"/>
      <c r="I91" s="136">
        <f t="shared" si="6"/>
        <v>0</v>
      </c>
      <c r="J91" s="134"/>
      <c r="K91" s="135"/>
      <c r="L91" s="136">
        <f t="shared" si="7"/>
        <v>0</v>
      </c>
      <c r="M91" s="284"/>
      <c r="N91" s="285"/>
      <c r="O91" s="136">
        <f t="shared" si="8"/>
        <v>0</v>
      </c>
      <c r="P91" s="85"/>
    </row>
    <row r="92" spans="1:16" ht="24" x14ac:dyDescent="0.25">
      <c r="A92" s="276">
        <v>2220</v>
      </c>
      <c r="B92" s="127" t="s">
        <v>108</v>
      </c>
      <c r="C92" s="128">
        <f t="shared" si="4"/>
        <v>200</v>
      </c>
      <c r="D92" s="277">
        <f>SUM(D93:D97)</f>
        <v>200</v>
      </c>
      <c r="E92" s="278">
        <f>SUM(E93:E97)</f>
        <v>0</v>
      </c>
      <c r="F92" s="279">
        <f t="shared" si="5"/>
        <v>200</v>
      </c>
      <c r="G92" s="277">
        <f>SUM(G93:G97)</f>
        <v>0</v>
      </c>
      <c r="H92" s="280">
        <f>SUM(H93:H97)</f>
        <v>0</v>
      </c>
      <c r="I92" s="136">
        <f t="shared" si="6"/>
        <v>0</v>
      </c>
      <c r="J92" s="277">
        <f>SUM(J93:J97)</f>
        <v>0</v>
      </c>
      <c r="K92" s="280">
        <f>SUM(K93:K97)</f>
        <v>0</v>
      </c>
      <c r="L92" s="136">
        <f t="shared" si="7"/>
        <v>0</v>
      </c>
      <c r="M92" s="281">
        <f>SUM(M93:M97)</f>
        <v>0</v>
      </c>
      <c r="N92" s="282">
        <f>SUM(N93:N97)</f>
        <v>0</v>
      </c>
      <c r="O92" s="136">
        <f t="shared" si="8"/>
        <v>0</v>
      </c>
      <c r="P92" s="85"/>
    </row>
    <row r="93" spans="1:16" hidden="1" x14ac:dyDescent="0.25">
      <c r="A93" s="76">
        <v>2221</v>
      </c>
      <c r="B93" s="127" t="s">
        <v>109</v>
      </c>
      <c r="C93" s="128">
        <f t="shared" si="4"/>
        <v>0</v>
      </c>
      <c r="D93" s="134"/>
      <c r="E93" s="285"/>
      <c r="F93" s="286">
        <f t="shared" si="5"/>
        <v>0</v>
      </c>
      <c r="G93" s="134"/>
      <c r="H93" s="135"/>
      <c r="I93" s="136">
        <f t="shared" si="6"/>
        <v>0</v>
      </c>
      <c r="J93" s="134"/>
      <c r="K93" s="135"/>
      <c r="L93" s="136">
        <f t="shared" si="7"/>
        <v>0</v>
      </c>
      <c r="M93" s="284"/>
      <c r="N93" s="285"/>
      <c r="O93" s="136">
        <f t="shared" si="8"/>
        <v>0</v>
      </c>
      <c r="P93" s="85"/>
    </row>
    <row r="94" spans="1:16" hidden="1" x14ac:dyDescent="0.25">
      <c r="A94" s="76">
        <v>2222</v>
      </c>
      <c r="B94" s="127" t="s">
        <v>110</v>
      </c>
      <c r="C94" s="128">
        <f t="shared" si="4"/>
        <v>0</v>
      </c>
      <c r="D94" s="134"/>
      <c r="E94" s="285"/>
      <c r="F94" s="286">
        <f t="shared" si="5"/>
        <v>0</v>
      </c>
      <c r="G94" s="134"/>
      <c r="H94" s="135"/>
      <c r="I94" s="136">
        <f t="shared" si="6"/>
        <v>0</v>
      </c>
      <c r="J94" s="134"/>
      <c r="K94" s="135"/>
      <c r="L94" s="136">
        <f t="shared" si="7"/>
        <v>0</v>
      </c>
      <c r="M94" s="284"/>
      <c r="N94" s="285"/>
      <c r="O94" s="136">
        <f t="shared" si="8"/>
        <v>0</v>
      </c>
      <c r="P94" s="85"/>
    </row>
    <row r="95" spans="1:16" x14ac:dyDescent="0.25">
      <c r="A95" s="76">
        <v>2223</v>
      </c>
      <c r="B95" s="127" t="s">
        <v>111</v>
      </c>
      <c r="C95" s="128">
        <f t="shared" si="4"/>
        <v>200</v>
      </c>
      <c r="D95" s="134">
        <v>200</v>
      </c>
      <c r="E95" s="283"/>
      <c r="F95" s="279">
        <f t="shared" si="5"/>
        <v>200</v>
      </c>
      <c r="G95" s="134"/>
      <c r="H95" s="135"/>
      <c r="I95" s="136">
        <f t="shared" si="6"/>
        <v>0</v>
      </c>
      <c r="J95" s="134"/>
      <c r="K95" s="135"/>
      <c r="L95" s="136">
        <f t="shared" si="7"/>
        <v>0</v>
      </c>
      <c r="M95" s="284"/>
      <c r="N95" s="285"/>
      <c r="O95" s="136">
        <f t="shared" si="8"/>
        <v>0</v>
      </c>
      <c r="P95" s="85"/>
    </row>
    <row r="96" spans="1:16" ht="48" hidden="1" x14ac:dyDescent="0.25">
      <c r="A96" s="76">
        <v>2224</v>
      </c>
      <c r="B96" s="127" t="s">
        <v>112</v>
      </c>
      <c r="C96" s="128">
        <f t="shared" si="4"/>
        <v>0</v>
      </c>
      <c r="D96" s="134"/>
      <c r="E96" s="285"/>
      <c r="F96" s="286">
        <f t="shared" si="5"/>
        <v>0</v>
      </c>
      <c r="G96" s="134"/>
      <c r="H96" s="135"/>
      <c r="I96" s="136">
        <f t="shared" si="6"/>
        <v>0</v>
      </c>
      <c r="J96" s="134"/>
      <c r="K96" s="135"/>
      <c r="L96" s="136">
        <f t="shared" si="7"/>
        <v>0</v>
      </c>
      <c r="M96" s="284"/>
      <c r="N96" s="285"/>
      <c r="O96" s="136">
        <f t="shared" si="8"/>
        <v>0</v>
      </c>
      <c r="P96" s="85"/>
    </row>
    <row r="97" spans="1:16" ht="24" hidden="1" x14ac:dyDescent="0.25">
      <c r="A97" s="76">
        <v>2229</v>
      </c>
      <c r="B97" s="127" t="s">
        <v>113</v>
      </c>
      <c r="C97" s="128">
        <f t="shared" si="4"/>
        <v>0</v>
      </c>
      <c r="D97" s="134"/>
      <c r="E97" s="285"/>
      <c r="F97" s="286">
        <f t="shared" si="5"/>
        <v>0</v>
      </c>
      <c r="G97" s="134"/>
      <c r="H97" s="135"/>
      <c r="I97" s="136">
        <f t="shared" si="6"/>
        <v>0</v>
      </c>
      <c r="J97" s="134"/>
      <c r="K97" s="135"/>
      <c r="L97" s="136">
        <f t="shared" si="7"/>
        <v>0</v>
      </c>
      <c r="M97" s="284"/>
      <c r="N97" s="285"/>
      <c r="O97" s="136">
        <f t="shared" si="8"/>
        <v>0</v>
      </c>
      <c r="P97" s="85"/>
    </row>
    <row r="98" spans="1:16" ht="36" x14ac:dyDescent="0.25">
      <c r="A98" s="276">
        <v>2230</v>
      </c>
      <c r="B98" s="127" t="s">
        <v>114</v>
      </c>
      <c r="C98" s="128">
        <f t="shared" si="4"/>
        <v>46208</v>
      </c>
      <c r="D98" s="277">
        <f>SUM(D99:D105)</f>
        <v>47090</v>
      </c>
      <c r="E98" s="278">
        <f>SUM(E99:E105)</f>
        <v>-882</v>
      </c>
      <c r="F98" s="279">
        <f t="shared" si="5"/>
        <v>46208</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row>
    <row r="99" spans="1:16" ht="24" x14ac:dyDescent="0.25">
      <c r="A99" s="76">
        <v>2231</v>
      </c>
      <c r="B99" s="127" t="s">
        <v>115</v>
      </c>
      <c r="C99" s="128">
        <f t="shared" si="4"/>
        <v>4990</v>
      </c>
      <c r="D99" s="134">
        <v>4990</v>
      </c>
      <c r="E99" s="283"/>
      <c r="F99" s="279">
        <f t="shared" si="5"/>
        <v>4990</v>
      </c>
      <c r="G99" s="134"/>
      <c r="H99" s="135"/>
      <c r="I99" s="136">
        <f t="shared" si="6"/>
        <v>0</v>
      </c>
      <c r="J99" s="134"/>
      <c r="K99" s="135"/>
      <c r="L99" s="136">
        <f t="shared" si="7"/>
        <v>0</v>
      </c>
      <c r="M99" s="284"/>
      <c r="N99" s="285"/>
      <c r="O99" s="136">
        <f t="shared" si="8"/>
        <v>0</v>
      </c>
      <c r="P99" s="189"/>
    </row>
    <row r="100" spans="1:16" ht="36" x14ac:dyDescent="0.25">
      <c r="A100" s="76">
        <v>2232</v>
      </c>
      <c r="B100" s="127" t="s">
        <v>116</v>
      </c>
      <c r="C100" s="128">
        <f t="shared" si="4"/>
        <v>12</v>
      </c>
      <c r="D100" s="134">
        <v>100</v>
      </c>
      <c r="E100" s="283">
        <v>-88</v>
      </c>
      <c r="F100" s="279">
        <f t="shared" si="5"/>
        <v>12</v>
      </c>
      <c r="G100" s="134"/>
      <c r="H100" s="135"/>
      <c r="I100" s="136">
        <f t="shared" si="6"/>
        <v>0</v>
      </c>
      <c r="J100" s="134"/>
      <c r="K100" s="135"/>
      <c r="L100" s="136">
        <f t="shared" si="7"/>
        <v>0</v>
      </c>
      <c r="M100" s="284"/>
      <c r="N100" s="285"/>
      <c r="O100" s="136">
        <f t="shared" si="8"/>
        <v>0</v>
      </c>
      <c r="P100" s="189" t="s">
        <v>879</v>
      </c>
    </row>
    <row r="101" spans="1:16" ht="24" hidden="1" x14ac:dyDescent="0.25">
      <c r="A101" s="66">
        <v>2233</v>
      </c>
      <c r="B101" s="116" t="s">
        <v>117</v>
      </c>
      <c r="C101" s="128">
        <f t="shared" si="4"/>
        <v>0</v>
      </c>
      <c r="D101" s="123"/>
      <c r="E101" s="262"/>
      <c r="F101" s="263">
        <f t="shared" si="5"/>
        <v>0</v>
      </c>
      <c r="G101" s="123"/>
      <c r="H101" s="124"/>
      <c r="I101" s="125">
        <f t="shared" si="6"/>
        <v>0</v>
      </c>
      <c r="J101" s="123"/>
      <c r="K101" s="124"/>
      <c r="L101" s="125">
        <f t="shared" si="7"/>
        <v>0</v>
      </c>
      <c r="M101" s="264"/>
      <c r="N101" s="262"/>
      <c r="O101" s="125">
        <f t="shared" si="8"/>
        <v>0</v>
      </c>
      <c r="P101" s="74"/>
    </row>
    <row r="102" spans="1:16" ht="36" hidden="1" x14ac:dyDescent="0.25">
      <c r="A102" s="76">
        <v>2234</v>
      </c>
      <c r="B102" s="127" t="s">
        <v>118</v>
      </c>
      <c r="C102" s="128">
        <f t="shared" si="4"/>
        <v>0</v>
      </c>
      <c r="D102" s="134"/>
      <c r="E102" s="285"/>
      <c r="F102" s="286">
        <f t="shared" si="5"/>
        <v>0</v>
      </c>
      <c r="G102" s="134"/>
      <c r="H102" s="135"/>
      <c r="I102" s="136">
        <f t="shared" si="6"/>
        <v>0</v>
      </c>
      <c r="J102" s="134"/>
      <c r="K102" s="135"/>
      <c r="L102" s="136">
        <f t="shared" si="7"/>
        <v>0</v>
      </c>
      <c r="M102" s="284"/>
      <c r="N102" s="285"/>
      <c r="O102" s="136">
        <f t="shared" si="8"/>
        <v>0</v>
      </c>
      <c r="P102" s="85"/>
    </row>
    <row r="103" spans="1:16" ht="24" hidden="1" x14ac:dyDescent="0.25">
      <c r="A103" s="76">
        <v>2235</v>
      </c>
      <c r="B103" s="127" t="s">
        <v>119</v>
      </c>
      <c r="C103" s="128">
        <f t="shared" si="4"/>
        <v>0</v>
      </c>
      <c r="D103" s="134"/>
      <c r="E103" s="285"/>
      <c r="F103" s="286">
        <f t="shared" si="5"/>
        <v>0</v>
      </c>
      <c r="G103" s="134"/>
      <c r="H103" s="135"/>
      <c r="I103" s="136">
        <f t="shared" si="6"/>
        <v>0</v>
      </c>
      <c r="J103" s="134"/>
      <c r="K103" s="135"/>
      <c r="L103" s="136">
        <f t="shared" si="7"/>
        <v>0</v>
      </c>
      <c r="M103" s="284"/>
      <c r="N103" s="285"/>
      <c r="O103" s="136">
        <f t="shared" si="8"/>
        <v>0</v>
      </c>
      <c r="P103" s="85"/>
    </row>
    <row r="104" spans="1:16" hidden="1" x14ac:dyDescent="0.25">
      <c r="A104" s="76">
        <v>2236</v>
      </c>
      <c r="B104" s="127" t="s">
        <v>120</v>
      </c>
      <c r="C104" s="128">
        <f t="shared" si="4"/>
        <v>0</v>
      </c>
      <c r="D104" s="134"/>
      <c r="E104" s="285"/>
      <c r="F104" s="286">
        <f t="shared" si="5"/>
        <v>0</v>
      </c>
      <c r="G104" s="134"/>
      <c r="H104" s="135"/>
      <c r="I104" s="136">
        <f t="shared" si="6"/>
        <v>0</v>
      </c>
      <c r="J104" s="134"/>
      <c r="K104" s="135"/>
      <c r="L104" s="136">
        <f t="shared" si="7"/>
        <v>0</v>
      </c>
      <c r="M104" s="284"/>
      <c r="N104" s="285"/>
      <c r="O104" s="136">
        <f t="shared" si="8"/>
        <v>0</v>
      </c>
      <c r="P104" s="85"/>
    </row>
    <row r="105" spans="1:16" ht="24" x14ac:dyDescent="0.25">
      <c r="A105" s="76">
        <v>2239</v>
      </c>
      <c r="B105" s="127" t="s">
        <v>121</v>
      </c>
      <c r="C105" s="128">
        <f t="shared" si="4"/>
        <v>41206</v>
      </c>
      <c r="D105" s="134">
        <v>42000</v>
      </c>
      <c r="E105" s="283">
        <v>-794</v>
      </c>
      <c r="F105" s="279">
        <f t="shared" si="5"/>
        <v>41206</v>
      </c>
      <c r="G105" s="134"/>
      <c r="H105" s="135"/>
      <c r="I105" s="136">
        <f t="shared" si="6"/>
        <v>0</v>
      </c>
      <c r="J105" s="134"/>
      <c r="K105" s="135"/>
      <c r="L105" s="136">
        <f t="shared" si="7"/>
        <v>0</v>
      </c>
      <c r="M105" s="284"/>
      <c r="N105" s="285"/>
      <c r="O105" s="136">
        <f t="shared" si="8"/>
        <v>0</v>
      </c>
      <c r="P105" s="189" t="s">
        <v>879</v>
      </c>
    </row>
    <row r="106" spans="1:16" ht="36" x14ac:dyDescent="0.25">
      <c r="A106" s="276">
        <v>2240</v>
      </c>
      <c r="B106" s="127" t="s">
        <v>122</v>
      </c>
      <c r="C106" s="128">
        <f t="shared" si="4"/>
        <v>500</v>
      </c>
      <c r="D106" s="277">
        <f>SUM(D107:D114)</f>
        <v>500</v>
      </c>
      <c r="E106" s="278">
        <f>SUM(E107:E114)</f>
        <v>0</v>
      </c>
      <c r="F106" s="279">
        <f t="shared" si="5"/>
        <v>500</v>
      </c>
      <c r="G106" s="277">
        <f>SUM(G107:G114)</f>
        <v>0</v>
      </c>
      <c r="H106" s="280">
        <f>SUM(H107:H114)</f>
        <v>0</v>
      </c>
      <c r="I106" s="136">
        <f t="shared" si="6"/>
        <v>0</v>
      </c>
      <c r="J106" s="277">
        <f>SUM(J107:J114)</f>
        <v>0</v>
      </c>
      <c r="K106" s="280">
        <f>SUM(K107:K114)</f>
        <v>0</v>
      </c>
      <c r="L106" s="136">
        <f t="shared" si="7"/>
        <v>0</v>
      </c>
      <c r="M106" s="281">
        <f>SUM(M107:M114)</f>
        <v>0</v>
      </c>
      <c r="N106" s="282">
        <f>SUM(N107:N114)</f>
        <v>0</v>
      </c>
      <c r="O106" s="136">
        <f t="shared" si="8"/>
        <v>0</v>
      </c>
      <c r="P106" s="85"/>
    </row>
    <row r="107" spans="1:16" hidden="1" x14ac:dyDescent="0.25">
      <c r="A107" s="76">
        <v>2241</v>
      </c>
      <c r="B107" s="127" t="s">
        <v>123</v>
      </c>
      <c r="C107" s="128">
        <f t="shared" si="4"/>
        <v>0</v>
      </c>
      <c r="D107" s="134"/>
      <c r="E107" s="285"/>
      <c r="F107" s="286">
        <f t="shared" si="5"/>
        <v>0</v>
      </c>
      <c r="G107" s="134"/>
      <c r="H107" s="135"/>
      <c r="I107" s="136">
        <f t="shared" si="6"/>
        <v>0</v>
      </c>
      <c r="J107" s="134"/>
      <c r="K107" s="135"/>
      <c r="L107" s="136">
        <f t="shared" si="7"/>
        <v>0</v>
      </c>
      <c r="M107" s="284"/>
      <c r="N107" s="285"/>
      <c r="O107" s="136">
        <f t="shared" si="8"/>
        <v>0</v>
      </c>
      <c r="P107" s="85"/>
    </row>
    <row r="108" spans="1:16" ht="24" hidden="1" x14ac:dyDescent="0.25">
      <c r="A108" s="76">
        <v>2242</v>
      </c>
      <c r="B108" s="127" t="s">
        <v>124</v>
      </c>
      <c r="C108" s="128">
        <f t="shared" si="4"/>
        <v>0</v>
      </c>
      <c r="D108" s="134"/>
      <c r="E108" s="285"/>
      <c r="F108" s="286">
        <f t="shared" si="5"/>
        <v>0</v>
      </c>
      <c r="G108" s="134"/>
      <c r="H108" s="135"/>
      <c r="I108" s="136">
        <f t="shared" si="6"/>
        <v>0</v>
      </c>
      <c r="J108" s="134"/>
      <c r="K108" s="135"/>
      <c r="L108" s="136">
        <f t="shared" si="7"/>
        <v>0</v>
      </c>
      <c r="M108" s="284"/>
      <c r="N108" s="285"/>
      <c r="O108" s="136">
        <f t="shared" si="8"/>
        <v>0</v>
      </c>
      <c r="P108" s="85"/>
    </row>
    <row r="109" spans="1:16" ht="24" hidden="1" x14ac:dyDescent="0.25">
      <c r="A109" s="76">
        <v>2243</v>
      </c>
      <c r="B109" s="127" t="s">
        <v>125</v>
      </c>
      <c r="C109" s="128">
        <f t="shared" si="4"/>
        <v>0</v>
      </c>
      <c r="D109" s="134"/>
      <c r="E109" s="285"/>
      <c r="F109" s="286">
        <f t="shared" si="5"/>
        <v>0</v>
      </c>
      <c r="G109" s="134"/>
      <c r="H109" s="135"/>
      <c r="I109" s="136">
        <f t="shared" si="6"/>
        <v>0</v>
      </c>
      <c r="J109" s="134"/>
      <c r="K109" s="135"/>
      <c r="L109" s="136">
        <f t="shared" si="7"/>
        <v>0</v>
      </c>
      <c r="M109" s="284"/>
      <c r="N109" s="285"/>
      <c r="O109" s="136">
        <f t="shared" si="8"/>
        <v>0</v>
      </c>
      <c r="P109" s="85"/>
    </row>
    <row r="110" spans="1:16" hidden="1" x14ac:dyDescent="0.25">
      <c r="A110" s="76">
        <v>2244</v>
      </c>
      <c r="B110" s="127" t="s">
        <v>126</v>
      </c>
      <c r="C110" s="128">
        <f t="shared" si="4"/>
        <v>0</v>
      </c>
      <c r="D110" s="134"/>
      <c r="E110" s="285"/>
      <c r="F110" s="286">
        <f t="shared" si="5"/>
        <v>0</v>
      </c>
      <c r="G110" s="134"/>
      <c r="H110" s="135"/>
      <c r="I110" s="136">
        <f t="shared" si="6"/>
        <v>0</v>
      </c>
      <c r="J110" s="134"/>
      <c r="K110" s="135"/>
      <c r="L110" s="136">
        <f t="shared" si="7"/>
        <v>0</v>
      </c>
      <c r="M110" s="284"/>
      <c r="N110" s="285"/>
      <c r="O110" s="136">
        <f t="shared" si="8"/>
        <v>0</v>
      </c>
      <c r="P110" s="85"/>
    </row>
    <row r="111" spans="1:16" ht="24" hidden="1" x14ac:dyDescent="0.25">
      <c r="A111" s="76">
        <v>2246</v>
      </c>
      <c r="B111" s="127" t="s">
        <v>127</v>
      </c>
      <c r="C111" s="128">
        <f t="shared" si="4"/>
        <v>0</v>
      </c>
      <c r="D111" s="134"/>
      <c r="E111" s="285"/>
      <c r="F111" s="286">
        <f t="shared" si="5"/>
        <v>0</v>
      </c>
      <c r="G111" s="134"/>
      <c r="H111" s="135"/>
      <c r="I111" s="136">
        <f t="shared" si="6"/>
        <v>0</v>
      </c>
      <c r="J111" s="134"/>
      <c r="K111" s="135"/>
      <c r="L111" s="136">
        <f t="shared" si="7"/>
        <v>0</v>
      </c>
      <c r="M111" s="284"/>
      <c r="N111" s="285"/>
      <c r="O111" s="136">
        <f t="shared" si="8"/>
        <v>0</v>
      </c>
      <c r="P111" s="85"/>
    </row>
    <row r="112" spans="1:16" hidden="1" x14ac:dyDescent="0.25">
      <c r="A112" s="76">
        <v>2247</v>
      </c>
      <c r="B112" s="127" t="s">
        <v>128</v>
      </c>
      <c r="C112" s="128">
        <f t="shared" si="4"/>
        <v>0</v>
      </c>
      <c r="D112" s="134"/>
      <c r="E112" s="285"/>
      <c r="F112" s="286">
        <f t="shared" si="5"/>
        <v>0</v>
      </c>
      <c r="G112" s="134"/>
      <c r="H112" s="135"/>
      <c r="I112" s="136">
        <f t="shared" si="6"/>
        <v>0</v>
      </c>
      <c r="J112" s="134"/>
      <c r="K112" s="135"/>
      <c r="L112" s="136">
        <f t="shared" si="7"/>
        <v>0</v>
      </c>
      <c r="M112" s="284"/>
      <c r="N112" s="285"/>
      <c r="O112" s="136">
        <f t="shared" si="8"/>
        <v>0</v>
      </c>
      <c r="P112" s="85"/>
    </row>
    <row r="113" spans="1:16" ht="24" x14ac:dyDescent="0.25">
      <c r="A113" s="76">
        <v>2248</v>
      </c>
      <c r="B113" s="127" t="s">
        <v>129</v>
      </c>
      <c r="C113" s="128">
        <f t="shared" si="4"/>
        <v>500</v>
      </c>
      <c r="D113" s="134">
        <v>500</v>
      </c>
      <c r="E113" s="283"/>
      <c r="F113" s="279">
        <f t="shared" si="5"/>
        <v>500</v>
      </c>
      <c r="G113" s="134"/>
      <c r="H113" s="135"/>
      <c r="I113" s="136">
        <f t="shared" si="6"/>
        <v>0</v>
      </c>
      <c r="J113" s="134"/>
      <c r="K113" s="135"/>
      <c r="L113" s="136">
        <f t="shared" si="7"/>
        <v>0</v>
      </c>
      <c r="M113" s="284"/>
      <c r="N113" s="285"/>
      <c r="O113" s="136">
        <f t="shared" si="8"/>
        <v>0</v>
      </c>
      <c r="P113" s="189"/>
    </row>
    <row r="114" spans="1:16" ht="24" hidden="1" x14ac:dyDescent="0.25">
      <c r="A114" s="76">
        <v>2249</v>
      </c>
      <c r="B114" s="127" t="s">
        <v>130</v>
      </c>
      <c r="C114" s="128">
        <f t="shared" si="4"/>
        <v>0</v>
      </c>
      <c r="D114" s="134"/>
      <c r="E114" s="285"/>
      <c r="F114" s="286">
        <f t="shared" si="5"/>
        <v>0</v>
      </c>
      <c r="G114" s="134"/>
      <c r="H114" s="135"/>
      <c r="I114" s="136">
        <f t="shared" si="6"/>
        <v>0</v>
      </c>
      <c r="J114" s="134"/>
      <c r="K114" s="135"/>
      <c r="L114" s="136">
        <f t="shared" si="7"/>
        <v>0</v>
      </c>
      <c r="M114" s="284"/>
      <c r="N114" s="285"/>
      <c r="O114" s="136">
        <f t="shared" si="8"/>
        <v>0</v>
      </c>
      <c r="P114" s="85"/>
    </row>
    <row r="115" spans="1:16" hidden="1" x14ac:dyDescent="0.25">
      <c r="A115" s="276">
        <v>2250</v>
      </c>
      <c r="B115" s="127" t="s">
        <v>131</v>
      </c>
      <c r="C115" s="128">
        <f t="shared" si="4"/>
        <v>0</v>
      </c>
      <c r="D115" s="277">
        <f>SUM(D116:D118)</f>
        <v>0</v>
      </c>
      <c r="E115" s="282">
        <f>SUM(E116:E118)</f>
        <v>0</v>
      </c>
      <c r="F115" s="286">
        <f t="shared" si="5"/>
        <v>0</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row>
    <row r="116" spans="1:16" hidden="1" x14ac:dyDescent="0.25">
      <c r="A116" s="76">
        <v>2251</v>
      </c>
      <c r="B116" s="127" t="s">
        <v>132</v>
      </c>
      <c r="C116" s="128">
        <f t="shared" si="4"/>
        <v>0</v>
      </c>
      <c r="D116" s="134"/>
      <c r="E116" s="285"/>
      <c r="F116" s="286">
        <f t="shared" si="5"/>
        <v>0</v>
      </c>
      <c r="G116" s="134"/>
      <c r="H116" s="135"/>
      <c r="I116" s="136">
        <f t="shared" si="6"/>
        <v>0</v>
      </c>
      <c r="J116" s="134"/>
      <c r="K116" s="135"/>
      <c r="L116" s="136">
        <f t="shared" si="7"/>
        <v>0</v>
      </c>
      <c r="M116" s="284"/>
      <c r="N116" s="285"/>
      <c r="O116" s="136">
        <f t="shared" si="8"/>
        <v>0</v>
      </c>
      <c r="P116" s="85"/>
    </row>
    <row r="117" spans="1:16" ht="24" hidden="1" x14ac:dyDescent="0.25">
      <c r="A117" s="76">
        <v>2252</v>
      </c>
      <c r="B117" s="127" t="s">
        <v>133</v>
      </c>
      <c r="C117" s="128">
        <f t="shared" ref="C117:C181" si="9">F117+I117+L117+O117</f>
        <v>0</v>
      </c>
      <c r="D117" s="134"/>
      <c r="E117" s="285"/>
      <c r="F117" s="286">
        <f t="shared" si="5"/>
        <v>0</v>
      </c>
      <c r="G117" s="134"/>
      <c r="H117" s="135"/>
      <c r="I117" s="136">
        <f t="shared" si="6"/>
        <v>0</v>
      </c>
      <c r="J117" s="134"/>
      <c r="K117" s="135"/>
      <c r="L117" s="136">
        <f t="shared" si="7"/>
        <v>0</v>
      </c>
      <c r="M117" s="284"/>
      <c r="N117" s="285"/>
      <c r="O117" s="136">
        <f t="shared" si="8"/>
        <v>0</v>
      </c>
      <c r="P117" s="85"/>
    </row>
    <row r="118" spans="1:16" ht="24" hidden="1" x14ac:dyDescent="0.25">
      <c r="A118" s="76">
        <v>2259</v>
      </c>
      <c r="B118" s="127" t="s">
        <v>134</v>
      </c>
      <c r="C118" s="128">
        <f t="shared" si="9"/>
        <v>0</v>
      </c>
      <c r="D118" s="134"/>
      <c r="E118" s="285"/>
      <c r="F118" s="286">
        <f t="shared" ref="F118:F182" si="10">D118+E118</f>
        <v>0</v>
      </c>
      <c r="G118" s="134"/>
      <c r="H118" s="135"/>
      <c r="I118" s="136">
        <f t="shared" ref="I118:I182" si="11">G118+H118</f>
        <v>0</v>
      </c>
      <c r="J118" s="134"/>
      <c r="K118" s="135"/>
      <c r="L118" s="136">
        <f t="shared" ref="L118:L182" si="12">J118+K118</f>
        <v>0</v>
      </c>
      <c r="M118" s="284"/>
      <c r="N118" s="285"/>
      <c r="O118" s="136">
        <f t="shared" ref="O118:O182" si="13">M118+N118</f>
        <v>0</v>
      </c>
      <c r="P118" s="85"/>
    </row>
    <row r="119" spans="1:16" x14ac:dyDescent="0.25">
      <c r="A119" s="276">
        <v>2260</v>
      </c>
      <c r="B119" s="127" t="s">
        <v>135</v>
      </c>
      <c r="C119" s="128">
        <f t="shared" si="9"/>
        <v>141675</v>
      </c>
      <c r="D119" s="277">
        <f>SUM(D120:D124)</f>
        <v>136560</v>
      </c>
      <c r="E119" s="278">
        <f>SUM(E120:E124)</f>
        <v>3315</v>
      </c>
      <c r="F119" s="279">
        <f t="shared" si="10"/>
        <v>139875</v>
      </c>
      <c r="G119" s="277">
        <f>SUM(G120:G124)</f>
        <v>0</v>
      </c>
      <c r="H119" s="280">
        <f>SUM(H120:H124)</f>
        <v>0</v>
      </c>
      <c r="I119" s="136">
        <f t="shared" si="11"/>
        <v>0</v>
      </c>
      <c r="J119" s="277">
        <f>SUM(J120:J124)</f>
        <v>1800</v>
      </c>
      <c r="K119" s="280">
        <f>SUM(K120:K124)</f>
        <v>0</v>
      </c>
      <c r="L119" s="136">
        <f t="shared" si="12"/>
        <v>1800</v>
      </c>
      <c r="M119" s="281">
        <f>SUM(M120:M124)</f>
        <v>0</v>
      </c>
      <c r="N119" s="282">
        <f>SUM(N120:N124)</f>
        <v>0</v>
      </c>
      <c r="O119" s="136">
        <f t="shared" si="13"/>
        <v>0</v>
      </c>
      <c r="P119" s="85"/>
    </row>
    <row r="120" spans="1:16" x14ac:dyDescent="0.25">
      <c r="A120" s="76">
        <v>2261</v>
      </c>
      <c r="B120" s="127" t="s">
        <v>136</v>
      </c>
      <c r="C120" s="128">
        <f t="shared" si="9"/>
        <v>81</v>
      </c>
      <c r="D120" s="134">
        <v>81</v>
      </c>
      <c r="E120" s="283"/>
      <c r="F120" s="279">
        <f t="shared" si="10"/>
        <v>81</v>
      </c>
      <c r="G120" s="134"/>
      <c r="H120" s="135"/>
      <c r="I120" s="136">
        <f t="shared" si="11"/>
        <v>0</v>
      </c>
      <c r="J120" s="134"/>
      <c r="K120" s="135"/>
      <c r="L120" s="136">
        <f t="shared" si="12"/>
        <v>0</v>
      </c>
      <c r="M120" s="284"/>
      <c r="N120" s="285"/>
      <c r="O120" s="136">
        <f t="shared" si="13"/>
        <v>0</v>
      </c>
      <c r="P120" s="189"/>
    </row>
    <row r="121" spans="1:16" x14ac:dyDescent="0.25">
      <c r="A121" s="76">
        <v>2262</v>
      </c>
      <c r="B121" s="127" t="s">
        <v>137</v>
      </c>
      <c r="C121" s="128">
        <f t="shared" si="9"/>
        <v>18184</v>
      </c>
      <c r="D121" s="134">
        <v>17884</v>
      </c>
      <c r="E121" s="283"/>
      <c r="F121" s="279">
        <f t="shared" si="10"/>
        <v>17884</v>
      </c>
      <c r="G121" s="134"/>
      <c r="H121" s="135"/>
      <c r="I121" s="136">
        <f t="shared" si="11"/>
        <v>0</v>
      </c>
      <c r="J121" s="134">
        <v>300</v>
      </c>
      <c r="K121" s="135"/>
      <c r="L121" s="136">
        <f t="shared" si="12"/>
        <v>300</v>
      </c>
      <c r="M121" s="284"/>
      <c r="N121" s="285"/>
      <c r="O121" s="136">
        <f t="shared" si="13"/>
        <v>0</v>
      </c>
      <c r="P121" s="189"/>
    </row>
    <row r="122" spans="1:16" hidden="1" x14ac:dyDescent="0.25">
      <c r="A122" s="76">
        <v>2263</v>
      </c>
      <c r="B122" s="127" t="s">
        <v>138</v>
      </c>
      <c r="C122" s="128">
        <f t="shared" si="9"/>
        <v>0</v>
      </c>
      <c r="D122" s="134"/>
      <c r="E122" s="285"/>
      <c r="F122" s="286">
        <f t="shared" si="10"/>
        <v>0</v>
      </c>
      <c r="G122" s="134"/>
      <c r="H122" s="135"/>
      <c r="I122" s="136">
        <f t="shared" si="11"/>
        <v>0</v>
      </c>
      <c r="J122" s="134"/>
      <c r="K122" s="135"/>
      <c r="L122" s="136">
        <f t="shared" si="12"/>
        <v>0</v>
      </c>
      <c r="M122" s="284"/>
      <c r="N122" s="285"/>
      <c r="O122" s="136">
        <f t="shared" si="13"/>
        <v>0</v>
      </c>
      <c r="P122" s="85"/>
    </row>
    <row r="123" spans="1:16" ht="24" x14ac:dyDescent="0.25">
      <c r="A123" s="76">
        <v>2264</v>
      </c>
      <c r="B123" s="127" t="s">
        <v>139</v>
      </c>
      <c r="C123" s="128">
        <f t="shared" si="9"/>
        <v>120982</v>
      </c>
      <c r="D123" s="134">
        <v>117667</v>
      </c>
      <c r="E123" s="283">
        <v>3315</v>
      </c>
      <c r="F123" s="279">
        <f t="shared" si="10"/>
        <v>120982</v>
      </c>
      <c r="G123" s="134"/>
      <c r="H123" s="135"/>
      <c r="I123" s="136">
        <f t="shared" si="11"/>
        <v>0</v>
      </c>
      <c r="J123" s="134"/>
      <c r="K123" s="135"/>
      <c r="L123" s="136">
        <f t="shared" si="12"/>
        <v>0</v>
      </c>
      <c r="M123" s="284"/>
      <c r="N123" s="285"/>
      <c r="O123" s="136">
        <f t="shared" si="13"/>
        <v>0</v>
      </c>
      <c r="P123" s="189" t="s">
        <v>879</v>
      </c>
    </row>
    <row r="124" spans="1:16" x14ac:dyDescent="0.25">
      <c r="A124" s="76">
        <v>2269</v>
      </c>
      <c r="B124" s="127" t="s">
        <v>140</v>
      </c>
      <c r="C124" s="128">
        <f t="shared" si="9"/>
        <v>2428</v>
      </c>
      <c r="D124" s="134">
        <v>928</v>
      </c>
      <c r="E124" s="283"/>
      <c r="F124" s="279">
        <f t="shared" si="10"/>
        <v>928</v>
      </c>
      <c r="G124" s="134"/>
      <c r="H124" s="135"/>
      <c r="I124" s="136">
        <f t="shared" si="11"/>
        <v>0</v>
      </c>
      <c r="J124" s="134">
        <v>1500</v>
      </c>
      <c r="K124" s="135"/>
      <c r="L124" s="136">
        <f t="shared" si="12"/>
        <v>1500</v>
      </c>
      <c r="M124" s="284"/>
      <c r="N124" s="285"/>
      <c r="O124" s="136">
        <f t="shared" si="13"/>
        <v>0</v>
      </c>
      <c r="P124" s="189"/>
    </row>
    <row r="125" spans="1:16" x14ac:dyDescent="0.25">
      <c r="A125" s="276">
        <v>2270</v>
      </c>
      <c r="B125" s="127" t="s">
        <v>141</v>
      </c>
      <c r="C125" s="128">
        <f t="shared" si="9"/>
        <v>132450</v>
      </c>
      <c r="D125" s="277">
        <f>SUM(D126:D130)</f>
        <v>131386</v>
      </c>
      <c r="E125" s="278">
        <f>SUM(E126:E130)</f>
        <v>-3111</v>
      </c>
      <c r="F125" s="279">
        <f t="shared" si="10"/>
        <v>128275</v>
      </c>
      <c r="G125" s="277">
        <f>SUM(G126:G130)</f>
        <v>0</v>
      </c>
      <c r="H125" s="280">
        <f>SUM(H126:H130)</f>
        <v>0</v>
      </c>
      <c r="I125" s="136">
        <f t="shared" si="11"/>
        <v>0</v>
      </c>
      <c r="J125" s="277">
        <f>SUM(J126:J130)</f>
        <v>4175</v>
      </c>
      <c r="K125" s="280">
        <f>SUM(K126:K130)</f>
        <v>0</v>
      </c>
      <c r="L125" s="136">
        <f t="shared" si="12"/>
        <v>4175</v>
      </c>
      <c r="M125" s="281">
        <f>SUM(M126:M130)</f>
        <v>0</v>
      </c>
      <c r="N125" s="282">
        <f>SUM(N126:N130)</f>
        <v>0</v>
      </c>
      <c r="O125" s="136">
        <f t="shared" si="13"/>
        <v>0</v>
      </c>
      <c r="P125" s="85"/>
    </row>
    <row r="126" spans="1:16" hidden="1" x14ac:dyDescent="0.25">
      <c r="A126" s="76">
        <v>2272</v>
      </c>
      <c r="B126" s="5" t="s">
        <v>142</v>
      </c>
      <c r="C126" s="128">
        <f t="shared" si="9"/>
        <v>0</v>
      </c>
      <c r="D126" s="134"/>
      <c r="E126" s="285"/>
      <c r="F126" s="286">
        <f t="shared" si="10"/>
        <v>0</v>
      </c>
      <c r="G126" s="134"/>
      <c r="H126" s="135"/>
      <c r="I126" s="136">
        <f t="shared" si="11"/>
        <v>0</v>
      </c>
      <c r="J126" s="134"/>
      <c r="K126" s="135"/>
      <c r="L126" s="136">
        <f t="shared" si="12"/>
        <v>0</v>
      </c>
      <c r="M126" s="284"/>
      <c r="N126" s="285"/>
      <c r="O126" s="136">
        <f t="shared" si="13"/>
        <v>0</v>
      </c>
      <c r="P126" s="85"/>
    </row>
    <row r="127" spans="1:16" ht="24" hidden="1" x14ac:dyDescent="0.25">
      <c r="A127" s="76">
        <v>2275</v>
      </c>
      <c r="B127" s="127" t="s">
        <v>143</v>
      </c>
      <c r="C127" s="128">
        <f t="shared" si="9"/>
        <v>0</v>
      </c>
      <c r="D127" s="134">
        <v>0</v>
      </c>
      <c r="E127" s="285"/>
      <c r="F127" s="286">
        <f t="shared" si="10"/>
        <v>0</v>
      </c>
      <c r="G127" s="134"/>
      <c r="H127" s="135"/>
      <c r="I127" s="136">
        <f t="shared" si="11"/>
        <v>0</v>
      </c>
      <c r="J127" s="134"/>
      <c r="K127" s="135"/>
      <c r="L127" s="136">
        <f t="shared" si="12"/>
        <v>0</v>
      </c>
      <c r="M127" s="284"/>
      <c r="N127" s="285"/>
      <c r="O127" s="136">
        <f t="shared" si="13"/>
        <v>0</v>
      </c>
      <c r="P127" s="189"/>
    </row>
    <row r="128" spans="1:16" ht="36" hidden="1" x14ac:dyDescent="0.25">
      <c r="A128" s="76">
        <v>2276</v>
      </c>
      <c r="B128" s="127" t="s">
        <v>144</v>
      </c>
      <c r="C128" s="128">
        <f t="shared" si="9"/>
        <v>0</v>
      </c>
      <c r="D128" s="134"/>
      <c r="E128" s="285"/>
      <c r="F128" s="286">
        <f t="shared" si="10"/>
        <v>0</v>
      </c>
      <c r="G128" s="134"/>
      <c r="H128" s="135"/>
      <c r="I128" s="136">
        <f t="shared" si="11"/>
        <v>0</v>
      </c>
      <c r="J128" s="134"/>
      <c r="K128" s="135"/>
      <c r="L128" s="136">
        <f t="shared" si="12"/>
        <v>0</v>
      </c>
      <c r="M128" s="284"/>
      <c r="N128" s="285"/>
      <c r="O128" s="136">
        <f t="shared" si="13"/>
        <v>0</v>
      </c>
      <c r="P128" s="85"/>
    </row>
    <row r="129" spans="1:16" ht="24" hidden="1" x14ac:dyDescent="0.25">
      <c r="A129" s="76">
        <v>2278</v>
      </c>
      <c r="B129" s="127" t="s">
        <v>145</v>
      </c>
      <c r="C129" s="128">
        <f t="shared" si="9"/>
        <v>0</v>
      </c>
      <c r="D129" s="134"/>
      <c r="E129" s="285"/>
      <c r="F129" s="286">
        <f t="shared" si="10"/>
        <v>0</v>
      </c>
      <c r="G129" s="134"/>
      <c r="H129" s="135"/>
      <c r="I129" s="136">
        <f t="shared" si="11"/>
        <v>0</v>
      </c>
      <c r="J129" s="134"/>
      <c r="K129" s="135"/>
      <c r="L129" s="136">
        <f t="shared" si="12"/>
        <v>0</v>
      </c>
      <c r="M129" s="284"/>
      <c r="N129" s="285"/>
      <c r="O129" s="136">
        <f t="shared" si="13"/>
        <v>0</v>
      </c>
      <c r="P129" s="85"/>
    </row>
    <row r="130" spans="1:16" ht="24" x14ac:dyDescent="0.25">
      <c r="A130" s="76">
        <v>2279</v>
      </c>
      <c r="B130" s="127" t="s">
        <v>146</v>
      </c>
      <c r="C130" s="128">
        <f t="shared" si="9"/>
        <v>132450</v>
      </c>
      <c r="D130" s="134">
        <v>131386</v>
      </c>
      <c r="E130" s="283">
        <v>-3111</v>
      </c>
      <c r="F130" s="279">
        <f t="shared" si="10"/>
        <v>128275</v>
      </c>
      <c r="G130" s="134"/>
      <c r="H130" s="135"/>
      <c r="I130" s="136">
        <f t="shared" si="11"/>
        <v>0</v>
      </c>
      <c r="J130" s="134">
        <v>4175</v>
      </c>
      <c r="K130" s="135"/>
      <c r="L130" s="136">
        <f t="shared" si="12"/>
        <v>4175</v>
      </c>
      <c r="M130" s="284"/>
      <c r="N130" s="285"/>
      <c r="O130" s="136">
        <f t="shared" si="13"/>
        <v>0</v>
      </c>
      <c r="P130" s="189" t="s">
        <v>879</v>
      </c>
    </row>
    <row r="131" spans="1:16" ht="24" hidden="1" x14ac:dyDescent="0.25">
      <c r="A131" s="656">
        <v>2280</v>
      </c>
      <c r="B131" s="116" t="s">
        <v>147</v>
      </c>
      <c r="C131" s="128">
        <f t="shared" si="9"/>
        <v>0</v>
      </c>
      <c r="D131" s="297">
        <f t="shared" ref="D131:N131" si="14">SUM(D132)</f>
        <v>0</v>
      </c>
      <c r="E131" s="301">
        <f t="shared" si="14"/>
        <v>0</v>
      </c>
      <c r="F131" s="263">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row>
    <row r="132" spans="1:16" ht="24" hidden="1" x14ac:dyDescent="0.25">
      <c r="A132" s="76">
        <v>2283</v>
      </c>
      <c r="B132" s="127" t="s">
        <v>148</v>
      </c>
      <c r="C132" s="128">
        <f t="shared" si="9"/>
        <v>0</v>
      </c>
      <c r="D132" s="134"/>
      <c r="E132" s="285"/>
      <c r="F132" s="286">
        <f t="shared" si="10"/>
        <v>0</v>
      </c>
      <c r="G132" s="134"/>
      <c r="H132" s="135"/>
      <c r="I132" s="136">
        <f t="shared" si="11"/>
        <v>0</v>
      </c>
      <c r="J132" s="134"/>
      <c r="K132" s="135"/>
      <c r="L132" s="136">
        <f t="shared" si="12"/>
        <v>0</v>
      </c>
      <c r="M132" s="284"/>
      <c r="N132" s="285"/>
      <c r="O132" s="136">
        <f t="shared" si="13"/>
        <v>0</v>
      </c>
      <c r="P132" s="85"/>
    </row>
    <row r="133" spans="1:16" ht="36" x14ac:dyDescent="0.25">
      <c r="A133" s="99">
        <v>2300</v>
      </c>
      <c r="B133" s="247" t="s">
        <v>149</v>
      </c>
      <c r="C133" s="100">
        <f t="shared" si="9"/>
        <v>49348</v>
      </c>
      <c r="D133" s="112">
        <f>SUM(D134,D139,D143,D144,D147,D154,D162,D163,D166)</f>
        <v>44074</v>
      </c>
      <c r="E133" s="248">
        <f>SUM(E134,E139,E143,E144,E147,E154,E162,E163,E166)</f>
        <v>-256</v>
      </c>
      <c r="F133" s="249">
        <f t="shared" si="10"/>
        <v>43818</v>
      </c>
      <c r="G133" s="112">
        <f>SUM(G134,G139,G143,G144,G147,G154,G162,G163,G166)</f>
        <v>0</v>
      </c>
      <c r="H133" s="113">
        <f>SUM(H134,H139,H143,H144,H147,H154,H162,H163,H166)</f>
        <v>0</v>
      </c>
      <c r="I133" s="114">
        <f t="shared" si="11"/>
        <v>0</v>
      </c>
      <c r="J133" s="112">
        <f>SUM(J134,J139,J143,J144,J147,J154,J162,J163,J166)</f>
        <v>5530</v>
      </c>
      <c r="K133" s="113">
        <f>SUM(K134,K139,K143,K144,K147,K154,K162,K163,K166)</f>
        <v>0</v>
      </c>
      <c r="L133" s="114">
        <f t="shared" si="12"/>
        <v>5530</v>
      </c>
      <c r="M133" s="292">
        <f>SUM(M134,M139,M143,M144,M147,M154,M162,M163,M166)</f>
        <v>0</v>
      </c>
      <c r="N133" s="293">
        <f>SUM(N134,N139,N143,N144,N147,N154,N162,N163,N166)</f>
        <v>0</v>
      </c>
      <c r="O133" s="114">
        <f t="shared" si="13"/>
        <v>0</v>
      </c>
      <c r="P133" s="109"/>
    </row>
    <row r="134" spans="1:16" ht="24" x14ac:dyDescent="0.25">
      <c r="A134" s="656">
        <v>2310</v>
      </c>
      <c r="B134" s="116" t="s">
        <v>150</v>
      </c>
      <c r="C134" s="117">
        <f t="shared" si="9"/>
        <v>47947</v>
      </c>
      <c r="D134" s="308">
        <f>SUM(D135:D138)</f>
        <v>42673</v>
      </c>
      <c r="E134" s="300">
        <f>SUM(E135:E138)</f>
        <v>-256</v>
      </c>
      <c r="F134" s="296">
        <f t="shared" si="10"/>
        <v>42417</v>
      </c>
      <c r="G134" s="297">
        <f>SUM(G135:G138)</f>
        <v>0</v>
      </c>
      <c r="H134" s="299">
        <f>SUM(H135:H138)</f>
        <v>0</v>
      </c>
      <c r="I134" s="125">
        <f t="shared" si="11"/>
        <v>0</v>
      </c>
      <c r="J134" s="297">
        <f>SUM(J135:J138)</f>
        <v>5530</v>
      </c>
      <c r="K134" s="299">
        <f>SUM(K135:K138)</f>
        <v>0</v>
      </c>
      <c r="L134" s="125">
        <f t="shared" si="12"/>
        <v>5530</v>
      </c>
      <c r="M134" s="300">
        <f>SUM(M135:M138)</f>
        <v>0</v>
      </c>
      <c r="N134" s="301">
        <f>SUM(N135:N138)</f>
        <v>0</v>
      </c>
      <c r="O134" s="125">
        <f t="shared" si="13"/>
        <v>0</v>
      </c>
      <c r="P134" s="74"/>
    </row>
    <row r="135" spans="1:16" hidden="1" x14ac:dyDescent="0.25">
      <c r="A135" s="76">
        <v>2311</v>
      </c>
      <c r="B135" s="127" t="s">
        <v>151</v>
      </c>
      <c r="C135" s="128">
        <f t="shared" si="9"/>
        <v>0</v>
      </c>
      <c r="D135" s="134"/>
      <c r="E135" s="285"/>
      <c r="F135" s="286">
        <f t="shared" si="10"/>
        <v>0</v>
      </c>
      <c r="G135" s="134"/>
      <c r="H135" s="135"/>
      <c r="I135" s="136">
        <f t="shared" si="11"/>
        <v>0</v>
      </c>
      <c r="J135" s="134"/>
      <c r="K135" s="135"/>
      <c r="L135" s="136">
        <f t="shared" si="12"/>
        <v>0</v>
      </c>
      <c r="M135" s="284"/>
      <c r="N135" s="285"/>
      <c r="O135" s="136">
        <f t="shared" si="13"/>
        <v>0</v>
      </c>
      <c r="P135" s="85"/>
    </row>
    <row r="136" spans="1:16" x14ac:dyDescent="0.25">
      <c r="A136" s="76">
        <v>2312</v>
      </c>
      <c r="B136" s="127" t="s">
        <v>152</v>
      </c>
      <c r="C136" s="128">
        <f t="shared" si="9"/>
        <v>1035</v>
      </c>
      <c r="D136" s="134">
        <v>585</v>
      </c>
      <c r="E136" s="283"/>
      <c r="F136" s="279">
        <f t="shared" si="10"/>
        <v>585</v>
      </c>
      <c r="G136" s="134"/>
      <c r="H136" s="135"/>
      <c r="I136" s="136">
        <f t="shared" si="11"/>
        <v>0</v>
      </c>
      <c r="J136" s="134">
        <v>450</v>
      </c>
      <c r="K136" s="135"/>
      <c r="L136" s="136">
        <f t="shared" si="12"/>
        <v>450</v>
      </c>
      <c r="M136" s="284"/>
      <c r="N136" s="285"/>
      <c r="O136" s="136">
        <f t="shared" si="13"/>
        <v>0</v>
      </c>
      <c r="P136" s="189"/>
    </row>
    <row r="137" spans="1:16" hidden="1" x14ac:dyDescent="0.25">
      <c r="A137" s="76">
        <v>2313</v>
      </c>
      <c r="B137" s="127" t="s">
        <v>153</v>
      </c>
      <c r="C137" s="128">
        <f t="shared" si="9"/>
        <v>0</v>
      </c>
      <c r="D137" s="134"/>
      <c r="E137" s="285"/>
      <c r="F137" s="286">
        <f t="shared" si="10"/>
        <v>0</v>
      </c>
      <c r="G137" s="134"/>
      <c r="H137" s="135"/>
      <c r="I137" s="136">
        <f t="shared" si="11"/>
        <v>0</v>
      </c>
      <c r="J137" s="134"/>
      <c r="K137" s="135"/>
      <c r="L137" s="136">
        <f t="shared" si="12"/>
        <v>0</v>
      </c>
      <c r="M137" s="284"/>
      <c r="N137" s="285"/>
      <c r="O137" s="136">
        <f t="shared" si="13"/>
        <v>0</v>
      </c>
      <c r="P137" s="85"/>
    </row>
    <row r="138" spans="1:16" ht="36" x14ac:dyDescent="0.25">
      <c r="A138" s="76">
        <v>2314</v>
      </c>
      <c r="B138" s="127" t="s">
        <v>154</v>
      </c>
      <c r="C138" s="128">
        <f t="shared" si="9"/>
        <v>46912</v>
      </c>
      <c r="D138" s="134">
        <v>42088</v>
      </c>
      <c r="E138" s="283">
        <v>-256</v>
      </c>
      <c r="F138" s="279">
        <f t="shared" si="10"/>
        <v>41832</v>
      </c>
      <c r="G138" s="134"/>
      <c r="H138" s="135"/>
      <c r="I138" s="136">
        <f t="shared" si="11"/>
        <v>0</v>
      </c>
      <c r="J138" s="134">
        <v>5080</v>
      </c>
      <c r="K138" s="135"/>
      <c r="L138" s="136">
        <f t="shared" si="12"/>
        <v>5080</v>
      </c>
      <c r="M138" s="284"/>
      <c r="N138" s="285"/>
      <c r="O138" s="136">
        <f t="shared" si="13"/>
        <v>0</v>
      </c>
      <c r="P138" s="189" t="s">
        <v>879</v>
      </c>
    </row>
    <row r="139" spans="1:16" hidden="1" x14ac:dyDescent="0.25">
      <c r="A139" s="276">
        <v>2320</v>
      </c>
      <c r="B139" s="127" t="s">
        <v>155</v>
      </c>
      <c r="C139" s="128">
        <f t="shared" si="9"/>
        <v>0</v>
      </c>
      <c r="D139" s="277">
        <f>SUM(D140:D142)</f>
        <v>0</v>
      </c>
      <c r="E139" s="282">
        <f>SUM(E140:E142)</f>
        <v>0</v>
      </c>
      <c r="F139" s="286">
        <f t="shared" si="10"/>
        <v>0</v>
      </c>
      <c r="G139" s="277">
        <f>SUM(G140:G142)</f>
        <v>0</v>
      </c>
      <c r="H139" s="280">
        <f>SUM(H140:H142)</f>
        <v>0</v>
      </c>
      <c r="I139" s="136">
        <f t="shared" si="11"/>
        <v>0</v>
      </c>
      <c r="J139" s="277">
        <f>SUM(J140:J142)</f>
        <v>0</v>
      </c>
      <c r="K139" s="280">
        <f>SUM(K140:K142)</f>
        <v>0</v>
      </c>
      <c r="L139" s="136">
        <f t="shared" si="12"/>
        <v>0</v>
      </c>
      <c r="M139" s="281">
        <f>SUM(M140:M142)</f>
        <v>0</v>
      </c>
      <c r="N139" s="282">
        <f>SUM(N140:N142)</f>
        <v>0</v>
      </c>
      <c r="O139" s="136">
        <f t="shared" si="13"/>
        <v>0</v>
      </c>
      <c r="P139" s="85"/>
    </row>
    <row r="140" spans="1:16" hidden="1" x14ac:dyDescent="0.25">
      <c r="A140" s="76">
        <v>2321</v>
      </c>
      <c r="B140" s="127" t="s">
        <v>156</v>
      </c>
      <c r="C140" s="128">
        <f t="shared" si="9"/>
        <v>0</v>
      </c>
      <c r="D140" s="134"/>
      <c r="E140" s="285"/>
      <c r="F140" s="286">
        <f t="shared" si="10"/>
        <v>0</v>
      </c>
      <c r="G140" s="134"/>
      <c r="H140" s="135"/>
      <c r="I140" s="136">
        <f t="shared" si="11"/>
        <v>0</v>
      </c>
      <c r="J140" s="134"/>
      <c r="K140" s="135"/>
      <c r="L140" s="136">
        <f t="shared" si="12"/>
        <v>0</v>
      </c>
      <c r="M140" s="284"/>
      <c r="N140" s="285"/>
      <c r="O140" s="136">
        <f t="shared" si="13"/>
        <v>0</v>
      </c>
      <c r="P140" s="85"/>
    </row>
    <row r="141" spans="1:16" hidden="1" x14ac:dyDescent="0.25">
      <c r="A141" s="76">
        <v>2322</v>
      </c>
      <c r="B141" s="127" t="s">
        <v>157</v>
      </c>
      <c r="C141" s="128">
        <f t="shared" si="9"/>
        <v>0</v>
      </c>
      <c r="D141" s="134"/>
      <c r="E141" s="285"/>
      <c r="F141" s="286">
        <f t="shared" si="10"/>
        <v>0</v>
      </c>
      <c r="G141" s="134"/>
      <c r="H141" s="135"/>
      <c r="I141" s="136">
        <f t="shared" si="11"/>
        <v>0</v>
      </c>
      <c r="J141" s="134"/>
      <c r="K141" s="135"/>
      <c r="L141" s="136">
        <f t="shared" si="12"/>
        <v>0</v>
      </c>
      <c r="M141" s="284"/>
      <c r="N141" s="285"/>
      <c r="O141" s="136">
        <f t="shared" si="13"/>
        <v>0</v>
      </c>
      <c r="P141" s="85"/>
    </row>
    <row r="142" spans="1:16" hidden="1" x14ac:dyDescent="0.25">
      <c r="A142" s="76">
        <v>2329</v>
      </c>
      <c r="B142" s="127" t="s">
        <v>158</v>
      </c>
      <c r="C142" s="128">
        <f t="shared" si="9"/>
        <v>0</v>
      </c>
      <c r="D142" s="134"/>
      <c r="E142" s="285"/>
      <c r="F142" s="286">
        <f t="shared" si="10"/>
        <v>0</v>
      </c>
      <c r="G142" s="134"/>
      <c r="H142" s="135"/>
      <c r="I142" s="136">
        <f t="shared" si="11"/>
        <v>0</v>
      </c>
      <c r="J142" s="134"/>
      <c r="K142" s="135"/>
      <c r="L142" s="136">
        <f t="shared" si="12"/>
        <v>0</v>
      </c>
      <c r="M142" s="284"/>
      <c r="N142" s="285"/>
      <c r="O142" s="136">
        <f t="shared" si="13"/>
        <v>0</v>
      </c>
      <c r="P142" s="85"/>
    </row>
    <row r="143" spans="1:16" hidden="1" x14ac:dyDescent="0.25">
      <c r="A143" s="276">
        <v>2330</v>
      </c>
      <c r="B143" s="127" t="s">
        <v>159</v>
      </c>
      <c r="C143" s="128">
        <f t="shared" si="9"/>
        <v>0</v>
      </c>
      <c r="D143" s="134"/>
      <c r="E143" s="285"/>
      <c r="F143" s="286">
        <f t="shared" si="10"/>
        <v>0</v>
      </c>
      <c r="G143" s="134"/>
      <c r="H143" s="135"/>
      <c r="I143" s="136">
        <f t="shared" si="11"/>
        <v>0</v>
      </c>
      <c r="J143" s="134"/>
      <c r="K143" s="135"/>
      <c r="L143" s="136">
        <f t="shared" si="12"/>
        <v>0</v>
      </c>
      <c r="M143" s="284"/>
      <c r="N143" s="285"/>
      <c r="O143" s="136">
        <f t="shared" si="13"/>
        <v>0</v>
      </c>
      <c r="P143" s="85"/>
    </row>
    <row r="144" spans="1:16" ht="48" hidden="1" x14ac:dyDescent="0.25">
      <c r="A144" s="276">
        <v>2340</v>
      </c>
      <c r="B144" s="127" t="s">
        <v>160</v>
      </c>
      <c r="C144" s="128">
        <f t="shared" si="9"/>
        <v>0</v>
      </c>
      <c r="D144" s="277">
        <f>SUM(D145:D146)</f>
        <v>0</v>
      </c>
      <c r="E144" s="282">
        <f>SUM(E145:E146)</f>
        <v>0</v>
      </c>
      <c r="F144" s="286">
        <f t="shared" si="10"/>
        <v>0</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row>
    <row r="145" spans="1:16" hidden="1" x14ac:dyDescent="0.25">
      <c r="A145" s="76">
        <v>2341</v>
      </c>
      <c r="B145" s="127" t="s">
        <v>161</v>
      </c>
      <c r="C145" s="128">
        <f t="shared" si="9"/>
        <v>0</v>
      </c>
      <c r="D145" s="134"/>
      <c r="E145" s="285"/>
      <c r="F145" s="286">
        <f t="shared" si="10"/>
        <v>0</v>
      </c>
      <c r="G145" s="134"/>
      <c r="H145" s="135"/>
      <c r="I145" s="136">
        <f t="shared" si="11"/>
        <v>0</v>
      </c>
      <c r="J145" s="134"/>
      <c r="K145" s="135"/>
      <c r="L145" s="136">
        <f t="shared" si="12"/>
        <v>0</v>
      </c>
      <c r="M145" s="284"/>
      <c r="N145" s="285"/>
      <c r="O145" s="136">
        <f t="shared" si="13"/>
        <v>0</v>
      </c>
      <c r="P145" s="85"/>
    </row>
    <row r="146" spans="1:16" ht="24" hidden="1" x14ac:dyDescent="0.25">
      <c r="A146" s="76">
        <v>2344</v>
      </c>
      <c r="B146" s="127" t="s">
        <v>162</v>
      </c>
      <c r="C146" s="128">
        <f t="shared" si="9"/>
        <v>0</v>
      </c>
      <c r="D146" s="134"/>
      <c r="E146" s="285"/>
      <c r="F146" s="286">
        <f t="shared" si="10"/>
        <v>0</v>
      </c>
      <c r="G146" s="134"/>
      <c r="H146" s="135"/>
      <c r="I146" s="136">
        <f t="shared" si="11"/>
        <v>0</v>
      </c>
      <c r="J146" s="134"/>
      <c r="K146" s="135"/>
      <c r="L146" s="136">
        <f t="shared" si="12"/>
        <v>0</v>
      </c>
      <c r="M146" s="284"/>
      <c r="N146" s="285"/>
      <c r="O146" s="136">
        <f t="shared" si="13"/>
        <v>0</v>
      </c>
      <c r="P146" s="85"/>
    </row>
    <row r="147" spans="1:16" ht="24" hidden="1" x14ac:dyDescent="0.25">
      <c r="A147" s="254">
        <v>2350</v>
      </c>
      <c r="B147" s="179" t="s">
        <v>163</v>
      </c>
      <c r="C147" s="128">
        <f t="shared" si="9"/>
        <v>0</v>
      </c>
      <c r="D147" s="255">
        <f>SUM(D148:D153)</f>
        <v>0</v>
      </c>
      <c r="E147" s="261">
        <f>SUM(E148:E153)</f>
        <v>0</v>
      </c>
      <c r="F147" s="310">
        <f t="shared" si="10"/>
        <v>0</v>
      </c>
      <c r="G147" s="255">
        <f>SUM(G148:G153)</f>
        <v>0</v>
      </c>
      <c r="H147" s="258">
        <f>SUM(H148:H153)</f>
        <v>0</v>
      </c>
      <c r="I147" s="259">
        <f t="shared" si="11"/>
        <v>0</v>
      </c>
      <c r="J147" s="255">
        <f>SUM(J148:J153)</f>
        <v>0</v>
      </c>
      <c r="K147" s="258">
        <f>SUM(K148:K153)</f>
        <v>0</v>
      </c>
      <c r="L147" s="259">
        <f t="shared" si="12"/>
        <v>0</v>
      </c>
      <c r="M147" s="260">
        <f>SUM(M148:M153)</f>
        <v>0</v>
      </c>
      <c r="N147" s="261">
        <f>SUM(N148:N153)</f>
        <v>0</v>
      </c>
      <c r="O147" s="259">
        <f t="shared" si="13"/>
        <v>0</v>
      </c>
      <c r="P147" s="189"/>
    </row>
    <row r="148" spans="1:16" hidden="1" x14ac:dyDescent="0.25">
      <c r="A148" s="66">
        <v>2351</v>
      </c>
      <c r="B148" s="116" t="s">
        <v>164</v>
      </c>
      <c r="C148" s="128">
        <f t="shared" si="9"/>
        <v>0</v>
      </c>
      <c r="D148" s="123"/>
      <c r="E148" s="262"/>
      <c r="F148" s="263">
        <f t="shared" si="10"/>
        <v>0</v>
      </c>
      <c r="G148" s="123"/>
      <c r="H148" s="124"/>
      <c r="I148" s="125">
        <f t="shared" si="11"/>
        <v>0</v>
      </c>
      <c r="J148" s="123"/>
      <c r="K148" s="124"/>
      <c r="L148" s="125">
        <f t="shared" si="12"/>
        <v>0</v>
      </c>
      <c r="M148" s="264"/>
      <c r="N148" s="262"/>
      <c r="O148" s="125">
        <f t="shared" si="13"/>
        <v>0</v>
      </c>
      <c r="P148" s="74"/>
    </row>
    <row r="149" spans="1:16" hidden="1" x14ac:dyDescent="0.25">
      <c r="A149" s="76">
        <v>2352</v>
      </c>
      <c r="B149" s="127" t="s">
        <v>165</v>
      </c>
      <c r="C149" s="128">
        <f t="shared" si="9"/>
        <v>0</v>
      </c>
      <c r="D149" s="134"/>
      <c r="E149" s="285"/>
      <c r="F149" s="286">
        <f t="shared" si="10"/>
        <v>0</v>
      </c>
      <c r="G149" s="134"/>
      <c r="H149" s="135"/>
      <c r="I149" s="136">
        <f t="shared" si="11"/>
        <v>0</v>
      </c>
      <c r="J149" s="134"/>
      <c r="K149" s="135"/>
      <c r="L149" s="136">
        <f t="shared" si="12"/>
        <v>0</v>
      </c>
      <c r="M149" s="284"/>
      <c r="N149" s="285"/>
      <c r="O149" s="136">
        <f t="shared" si="13"/>
        <v>0</v>
      </c>
      <c r="P149" s="85"/>
    </row>
    <row r="150" spans="1:16" ht="24" hidden="1" x14ac:dyDescent="0.25">
      <c r="A150" s="76">
        <v>2353</v>
      </c>
      <c r="B150" s="127" t="s">
        <v>166</v>
      </c>
      <c r="C150" s="128">
        <f t="shared" si="9"/>
        <v>0</v>
      </c>
      <c r="D150" s="134"/>
      <c r="E150" s="285"/>
      <c r="F150" s="286">
        <f t="shared" si="10"/>
        <v>0</v>
      </c>
      <c r="G150" s="134"/>
      <c r="H150" s="135"/>
      <c r="I150" s="136">
        <f t="shared" si="11"/>
        <v>0</v>
      </c>
      <c r="J150" s="134"/>
      <c r="K150" s="135"/>
      <c r="L150" s="136">
        <f t="shared" si="12"/>
        <v>0</v>
      </c>
      <c r="M150" s="284"/>
      <c r="N150" s="285"/>
      <c r="O150" s="136">
        <f t="shared" si="13"/>
        <v>0</v>
      </c>
      <c r="P150" s="85"/>
    </row>
    <row r="151" spans="1:16" ht="24" hidden="1" x14ac:dyDescent="0.25">
      <c r="A151" s="76">
        <v>2354</v>
      </c>
      <c r="B151" s="127" t="s">
        <v>167</v>
      </c>
      <c r="C151" s="128">
        <f t="shared" si="9"/>
        <v>0</v>
      </c>
      <c r="D151" s="134"/>
      <c r="E151" s="285"/>
      <c r="F151" s="286">
        <f t="shared" si="10"/>
        <v>0</v>
      </c>
      <c r="G151" s="134"/>
      <c r="H151" s="135"/>
      <c r="I151" s="136">
        <f t="shared" si="11"/>
        <v>0</v>
      </c>
      <c r="J151" s="134"/>
      <c r="K151" s="135"/>
      <c r="L151" s="136">
        <f t="shared" si="12"/>
        <v>0</v>
      </c>
      <c r="M151" s="284"/>
      <c r="N151" s="285"/>
      <c r="O151" s="136">
        <f t="shared" si="13"/>
        <v>0</v>
      </c>
      <c r="P151" s="85"/>
    </row>
    <row r="152" spans="1:16" ht="24" hidden="1" x14ac:dyDescent="0.25">
      <c r="A152" s="76">
        <v>2355</v>
      </c>
      <c r="B152" s="127" t="s">
        <v>168</v>
      </c>
      <c r="C152" s="128">
        <f t="shared" si="9"/>
        <v>0</v>
      </c>
      <c r="D152" s="134"/>
      <c r="E152" s="285"/>
      <c r="F152" s="286">
        <f t="shared" si="10"/>
        <v>0</v>
      </c>
      <c r="G152" s="134"/>
      <c r="H152" s="135"/>
      <c r="I152" s="136">
        <f t="shared" si="11"/>
        <v>0</v>
      </c>
      <c r="J152" s="134"/>
      <c r="K152" s="135"/>
      <c r="L152" s="136">
        <f t="shared" si="12"/>
        <v>0</v>
      </c>
      <c r="M152" s="284"/>
      <c r="N152" s="285"/>
      <c r="O152" s="136">
        <f t="shared" si="13"/>
        <v>0</v>
      </c>
      <c r="P152" s="85"/>
    </row>
    <row r="153" spans="1:16" ht="24" hidden="1" x14ac:dyDescent="0.25">
      <c r="A153" s="76">
        <v>2359</v>
      </c>
      <c r="B153" s="127" t="s">
        <v>169</v>
      </c>
      <c r="C153" s="128">
        <f t="shared" si="9"/>
        <v>0</v>
      </c>
      <c r="D153" s="134"/>
      <c r="E153" s="285"/>
      <c r="F153" s="286">
        <f t="shared" si="10"/>
        <v>0</v>
      </c>
      <c r="G153" s="134"/>
      <c r="H153" s="135"/>
      <c r="I153" s="136">
        <f t="shared" si="11"/>
        <v>0</v>
      </c>
      <c r="J153" s="134"/>
      <c r="K153" s="135"/>
      <c r="L153" s="136">
        <f t="shared" si="12"/>
        <v>0</v>
      </c>
      <c r="M153" s="284"/>
      <c r="N153" s="285"/>
      <c r="O153" s="136">
        <f t="shared" si="13"/>
        <v>0</v>
      </c>
      <c r="P153" s="85"/>
    </row>
    <row r="154" spans="1:16" ht="24" x14ac:dyDescent="0.25">
      <c r="A154" s="276">
        <v>2360</v>
      </c>
      <c r="B154" s="127" t="s">
        <v>170</v>
      </c>
      <c r="C154" s="128">
        <f t="shared" si="9"/>
        <v>1401</v>
      </c>
      <c r="D154" s="277">
        <f>SUM(D155:D161)</f>
        <v>1401</v>
      </c>
      <c r="E154" s="278">
        <f>SUM(E155:E161)</f>
        <v>0</v>
      </c>
      <c r="F154" s="279">
        <f t="shared" si="10"/>
        <v>1401</v>
      </c>
      <c r="G154" s="277">
        <f>SUM(G155:G161)</f>
        <v>0</v>
      </c>
      <c r="H154" s="280">
        <f>SUM(H155:H161)</f>
        <v>0</v>
      </c>
      <c r="I154" s="136">
        <f t="shared" si="11"/>
        <v>0</v>
      </c>
      <c r="J154" s="277">
        <f>SUM(J155:J161)</f>
        <v>0</v>
      </c>
      <c r="K154" s="280">
        <f>SUM(K155:K161)</f>
        <v>0</v>
      </c>
      <c r="L154" s="136">
        <f t="shared" si="12"/>
        <v>0</v>
      </c>
      <c r="M154" s="281">
        <f>SUM(M155:M161)</f>
        <v>0</v>
      </c>
      <c r="N154" s="282">
        <f>SUM(N155:N161)</f>
        <v>0</v>
      </c>
      <c r="O154" s="136">
        <f t="shared" si="13"/>
        <v>0</v>
      </c>
      <c r="P154" s="85"/>
    </row>
    <row r="155" spans="1:16" hidden="1" x14ac:dyDescent="0.25">
      <c r="A155" s="75">
        <v>2361</v>
      </c>
      <c r="B155" s="127" t="s">
        <v>171</v>
      </c>
      <c r="C155" s="128">
        <f t="shared" si="9"/>
        <v>0</v>
      </c>
      <c r="D155" s="134"/>
      <c r="E155" s="285"/>
      <c r="F155" s="286">
        <f t="shared" si="10"/>
        <v>0</v>
      </c>
      <c r="G155" s="134"/>
      <c r="H155" s="135"/>
      <c r="I155" s="136">
        <f t="shared" si="11"/>
        <v>0</v>
      </c>
      <c r="J155" s="134"/>
      <c r="K155" s="135"/>
      <c r="L155" s="136">
        <f t="shared" si="12"/>
        <v>0</v>
      </c>
      <c r="M155" s="284"/>
      <c r="N155" s="285"/>
      <c r="O155" s="136">
        <f t="shared" si="13"/>
        <v>0</v>
      </c>
      <c r="P155" s="85"/>
    </row>
    <row r="156" spans="1:16" ht="24" hidden="1" x14ac:dyDescent="0.25">
      <c r="A156" s="75">
        <v>2362</v>
      </c>
      <c r="B156" s="127" t="s">
        <v>172</v>
      </c>
      <c r="C156" s="128">
        <f t="shared" si="9"/>
        <v>0</v>
      </c>
      <c r="D156" s="134"/>
      <c r="E156" s="285"/>
      <c r="F156" s="286">
        <f t="shared" si="10"/>
        <v>0</v>
      </c>
      <c r="G156" s="134"/>
      <c r="H156" s="135"/>
      <c r="I156" s="136">
        <f t="shared" si="11"/>
        <v>0</v>
      </c>
      <c r="J156" s="134"/>
      <c r="K156" s="135"/>
      <c r="L156" s="136">
        <f t="shared" si="12"/>
        <v>0</v>
      </c>
      <c r="M156" s="284"/>
      <c r="N156" s="285"/>
      <c r="O156" s="136">
        <f t="shared" si="13"/>
        <v>0</v>
      </c>
      <c r="P156" s="85"/>
    </row>
    <row r="157" spans="1:16" x14ac:dyDescent="0.25">
      <c r="A157" s="75">
        <v>2363</v>
      </c>
      <c r="B157" s="127" t="s">
        <v>173</v>
      </c>
      <c r="C157" s="128">
        <f t="shared" si="9"/>
        <v>1401</v>
      </c>
      <c r="D157" s="134">
        <v>1401</v>
      </c>
      <c r="E157" s="283"/>
      <c r="F157" s="279">
        <f t="shared" si="10"/>
        <v>1401</v>
      </c>
      <c r="G157" s="134"/>
      <c r="H157" s="135"/>
      <c r="I157" s="136">
        <f t="shared" si="11"/>
        <v>0</v>
      </c>
      <c r="J157" s="134"/>
      <c r="K157" s="135"/>
      <c r="L157" s="136">
        <f t="shared" si="12"/>
        <v>0</v>
      </c>
      <c r="M157" s="284"/>
      <c r="N157" s="285"/>
      <c r="O157" s="136">
        <f t="shared" si="13"/>
        <v>0</v>
      </c>
      <c r="P157" s="189" t="s">
        <v>879</v>
      </c>
    </row>
    <row r="158" spans="1:16" hidden="1" x14ac:dyDescent="0.25">
      <c r="A158" s="75">
        <v>2364</v>
      </c>
      <c r="B158" s="127" t="s">
        <v>174</v>
      </c>
      <c r="C158" s="128">
        <f t="shared" si="9"/>
        <v>0</v>
      </c>
      <c r="D158" s="134"/>
      <c r="E158" s="285"/>
      <c r="F158" s="286">
        <f t="shared" si="10"/>
        <v>0</v>
      </c>
      <c r="G158" s="134"/>
      <c r="H158" s="135"/>
      <c r="I158" s="136">
        <f t="shared" si="11"/>
        <v>0</v>
      </c>
      <c r="J158" s="134"/>
      <c r="K158" s="135"/>
      <c r="L158" s="136">
        <f t="shared" si="12"/>
        <v>0</v>
      </c>
      <c r="M158" s="284"/>
      <c r="N158" s="285"/>
      <c r="O158" s="136">
        <f t="shared" si="13"/>
        <v>0</v>
      </c>
      <c r="P158" s="85"/>
    </row>
    <row r="159" spans="1:16" hidden="1" x14ac:dyDescent="0.25">
      <c r="A159" s="75">
        <v>2365</v>
      </c>
      <c r="B159" s="127" t="s">
        <v>175</v>
      </c>
      <c r="C159" s="128">
        <f t="shared" si="9"/>
        <v>0</v>
      </c>
      <c r="D159" s="134"/>
      <c r="E159" s="285"/>
      <c r="F159" s="286">
        <f t="shared" si="10"/>
        <v>0</v>
      </c>
      <c r="G159" s="134"/>
      <c r="H159" s="135"/>
      <c r="I159" s="136">
        <f t="shared" si="11"/>
        <v>0</v>
      </c>
      <c r="J159" s="134"/>
      <c r="K159" s="135"/>
      <c r="L159" s="136">
        <f t="shared" si="12"/>
        <v>0</v>
      </c>
      <c r="M159" s="284"/>
      <c r="N159" s="285"/>
      <c r="O159" s="136">
        <f t="shared" si="13"/>
        <v>0</v>
      </c>
      <c r="P159" s="85"/>
    </row>
    <row r="160" spans="1:16" ht="36" hidden="1" x14ac:dyDescent="0.25">
      <c r="A160" s="75">
        <v>2366</v>
      </c>
      <c r="B160" s="127" t="s">
        <v>176</v>
      </c>
      <c r="C160" s="128">
        <f t="shared" si="9"/>
        <v>0</v>
      </c>
      <c r="D160" s="134"/>
      <c r="E160" s="285"/>
      <c r="F160" s="286">
        <f t="shared" si="10"/>
        <v>0</v>
      </c>
      <c r="G160" s="134"/>
      <c r="H160" s="135"/>
      <c r="I160" s="136">
        <f t="shared" si="11"/>
        <v>0</v>
      </c>
      <c r="J160" s="134"/>
      <c r="K160" s="135"/>
      <c r="L160" s="136">
        <f t="shared" si="12"/>
        <v>0</v>
      </c>
      <c r="M160" s="284"/>
      <c r="N160" s="285"/>
      <c r="O160" s="136">
        <f t="shared" si="13"/>
        <v>0</v>
      </c>
      <c r="P160" s="85"/>
    </row>
    <row r="161" spans="1:16" ht="48" hidden="1" x14ac:dyDescent="0.25">
      <c r="A161" s="75">
        <v>2369</v>
      </c>
      <c r="B161" s="127" t="s">
        <v>177</v>
      </c>
      <c r="C161" s="128">
        <f t="shared" si="9"/>
        <v>0</v>
      </c>
      <c r="D161" s="134"/>
      <c r="E161" s="285"/>
      <c r="F161" s="286">
        <f t="shared" si="10"/>
        <v>0</v>
      </c>
      <c r="G161" s="134"/>
      <c r="H161" s="135"/>
      <c r="I161" s="136">
        <f t="shared" si="11"/>
        <v>0</v>
      </c>
      <c r="J161" s="134"/>
      <c r="K161" s="135"/>
      <c r="L161" s="136">
        <f t="shared" si="12"/>
        <v>0</v>
      </c>
      <c r="M161" s="284"/>
      <c r="N161" s="285"/>
      <c r="O161" s="136">
        <f t="shared" si="13"/>
        <v>0</v>
      </c>
      <c r="P161" s="85"/>
    </row>
    <row r="162" spans="1:16" hidden="1" x14ac:dyDescent="0.25">
      <c r="A162" s="254">
        <v>2370</v>
      </c>
      <c r="B162" s="179" t="s">
        <v>178</v>
      </c>
      <c r="C162" s="128">
        <f t="shared" si="9"/>
        <v>0</v>
      </c>
      <c r="D162" s="287"/>
      <c r="E162" s="291"/>
      <c r="F162" s="310">
        <f t="shared" si="10"/>
        <v>0</v>
      </c>
      <c r="G162" s="287"/>
      <c r="H162" s="289"/>
      <c r="I162" s="259">
        <f t="shared" si="11"/>
        <v>0</v>
      </c>
      <c r="J162" s="287"/>
      <c r="K162" s="289"/>
      <c r="L162" s="259">
        <f t="shared" si="12"/>
        <v>0</v>
      </c>
      <c r="M162" s="290"/>
      <c r="N162" s="291"/>
      <c r="O162" s="259">
        <f t="shared" si="13"/>
        <v>0</v>
      </c>
      <c r="P162" s="189"/>
    </row>
    <row r="163" spans="1:16" hidden="1" x14ac:dyDescent="0.25">
      <c r="A163" s="254">
        <v>2380</v>
      </c>
      <c r="B163" s="179" t="s">
        <v>179</v>
      </c>
      <c r="C163" s="128">
        <f t="shared" si="9"/>
        <v>0</v>
      </c>
      <c r="D163" s="255">
        <f>SUM(D164:D165)</f>
        <v>0</v>
      </c>
      <c r="E163" s="261">
        <f>SUM(E164:E165)</f>
        <v>0</v>
      </c>
      <c r="F163" s="310">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row>
    <row r="164" spans="1:16" hidden="1" x14ac:dyDescent="0.25">
      <c r="A164" s="65">
        <v>2381</v>
      </c>
      <c r="B164" s="116" t="s">
        <v>180</v>
      </c>
      <c r="C164" s="128">
        <f t="shared" si="9"/>
        <v>0</v>
      </c>
      <c r="D164" s="123"/>
      <c r="E164" s="262"/>
      <c r="F164" s="263">
        <f t="shared" si="10"/>
        <v>0</v>
      </c>
      <c r="G164" s="123"/>
      <c r="H164" s="124"/>
      <c r="I164" s="125">
        <f t="shared" si="11"/>
        <v>0</v>
      </c>
      <c r="J164" s="123"/>
      <c r="K164" s="124"/>
      <c r="L164" s="125">
        <f t="shared" si="12"/>
        <v>0</v>
      </c>
      <c r="M164" s="264"/>
      <c r="N164" s="262"/>
      <c r="O164" s="125">
        <f t="shared" si="13"/>
        <v>0</v>
      </c>
      <c r="P164" s="74"/>
    </row>
    <row r="165" spans="1:16" ht="24" hidden="1" x14ac:dyDescent="0.25">
      <c r="A165" s="75">
        <v>2389</v>
      </c>
      <c r="B165" s="127" t="s">
        <v>181</v>
      </c>
      <c r="C165" s="128">
        <f t="shared" si="9"/>
        <v>0</v>
      </c>
      <c r="D165" s="134"/>
      <c r="E165" s="285"/>
      <c r="F165" s="286">
        <f t="shared" si="10"/>
        <v>0</v>
      </c>
      <c r="G165" s="134"/>
      <c r="H165" s="135"/>
      <c r="I165" s="136">
        <f t="shared" si="11"/>
        <v>0</v>
      </c>
      <c r="J165" s="134"/>
      <c r="K165" s="135"/>
      <c r="L165" s="136">
        <f t="shared" si="12"/>
        <v>0</v>
      </c>
      <c r="M165" s="284"/>
      <c r="N165" s="285"/>
      <c r="O165" s="136">
        <f t="shared" si="13"/>
        <v>0</v>
      </c>
      <c r="P165" s="85"/>
    </row>
    <row r="166" spans="1:16" hidden="1" x14ac:dyDescent="0.25">
      <c r="A166" s="254">
        <v>2390</v>
      </c>
      <c r="B166" s="179" t="s">
        <v>182</v>
      </c>
      <c r="C166" s="128">
        <f t="shared" si="9"/>
        <v>0</v>
      </c>
      <c r="D166" s="287"/>
      <c r="E166" s="291"/>
      <c r="F166" s="310">
        <f t="shared" si="10"/>
        <v>0</v>
      </c>
      <c r="G166" s="287"/>
      <c r="H166" s="289"/>
      <c r="I166" s="259">
        <f t="shared" si="11"/>
        <v>0</v>
      </c>
      <c r="J166" s="287"/>
      <c r="K166" s="289"/>
      <c r="L166" s="259">
        <f t="shared" si="12"/>
        <v>0</v>
      </c>
      <c r="M166" s="290"/>
      <c r="N166" s="291"/>
      <c r="O166" s="259">
        <f t="shared" si="13"/>
        <v>0</v>
      </c>
      <c r="P166" s="189"/>
    </row>
    <row r="167" spans="1:16" hidden="1" x14ac:dyDescent="0.25">
      <c r="A167" s="99">
        <v>2400</v>
      </c>
      <c r="B167" s="247" t="s">
        <v>183</v>
      </c>
      <c r="C167" s="100">
        <f t="shared" si="9"/>
        <v>0</v>
      </c>
      <c r="D167" s="311"/>
      <c r="E167" s="312"/>
      <c r="F167" s="313">
        <f t="shared" si="10"/>
        <v>0</v>
      </c>
      <c r="G167" s="311"/>
      <c r="H167" s="314"/>
      <c r="I167" s="114">
        <f t="shared" si="11"/>
        <v>0</v>
      </c>
      <c r="J167" s="311"/>
      <c r="K167" s="314"/>
      <c r="L167" s="114">
        <f t="shared" si="12"/>
        <v>0</v>
      </c>
      <c r="M167" s="315"/>
      <c r="N167" s="312"/>
      <c r="O167" s="114">
        <f t="shared" si="13"/>
        <v>0</v>
      </c>
      <c r="P167" s="109"/>
    </row>
    <row r="168" spans="1:16" ht="24" hidden="1" x14ac:dyDescent="0.25">
      <c r="A168" s="99">
        <v>2500</v>
      </c>
      <c r="B168" s="247" t="s">
        <v>184</v>
      </c>
      <c r="C168" s="100">
        <f t="shared" si="9"/>
        <v>0</v>
      </c>
      <c r="D168" s="112">
        <f>SUM(D169,D174)</f>
        <v>0</v>
      </c>
      <c r="E168" s="293">
        <f>SUM(E169,E174)</f>
        <v>0</v>
      </c>
      <c r="F168" s="313">
        <f t="shared" si="10"/>
        <v>0</v>
      </c>
      <c r="G168" s="112">
        <f>SUM(G169,G174)</f>
        <v>0</v>
      </c>
      <c r="H168" s="113">
        <f t="shared" ref="H168" si="17">SUM(H169,H174)</f>
        <v>0</v>
      </c>
      <c r="I168" s="114">
        <f t="shared" si="11"/>
        <v>0</v>
      </c>
      <c r="J168" s="112">
        <f>SUM(J169,J174)</f>
        <v>0</v>
      </c>
      <c r="K168" s="113">
        <f t="shared" ref="K168" si="18">SUM(K169,K174)</f>
        <v>0</v>
      </c>
      <c r="L168" s="114">
        <f t="shared" si="12"/>
        <v>0</v>
      </c>
      <c r="M168" s="250">
        <f t="shared" ref="M168:N168" si="19">SUM(M169,M174)</f>
        <v>0</v>
      </c>
      <c r="N168" s="251">
        <f t="shared" si="19"/>
        <v>0</v>
      </c>
      <c r="O168" s="252">
        <f t="shared" si="13"/>
        <v>0</v>
      </c>
      <c r="P168" s="253"/>
    </row>
    <row r="169" spans="1:16" hidden="1" x14ac:dyDescent="0.25">
      <c r="A169" s="656">
        <v>2510</v>
      </c>
      <c r="B169" s="116" t="s">
        <v>185</v>
      </c>
      <c r="C169" s="117">
        <f t="shared" si="9"/>
        <v>0</v>
      </c>
      <c r="D169" s="297">
        <f>SUM(D170:D173)</f>
        <v>0</v>
      </c>
      <c r="E169" s="301">
        <f>SUM(E170:E173)</f>
        <v>0</v>
      </c>
      <c r="F169" s="263">
        <f t="shared" si="10"/>
        <v>0</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row>
    <row r="170" spans="1:16" ht="24" hidden="1" x14ac:dyDescent="0.25">
      <c r="A170" s="76">
        <v>2512</v>
      </c>
      <c r="B170" s="127" t="s">
        <v>186</v>
      </c>
      <c r="C170" s="128">
        <f t="shared" si="9"/>
        <v>0</v>
      </c>
      <c r="D170" s="134"/>
      <c r="E170" s="285"/>
      <c r="F170" s="286">
        <f t="shared" si="10"/>
        <v>0</v>
      </c>
      <c r="G170" s="134"/>
      <c r="H170" s="135"/>
      <c r="I170" s="136">
        <f t="shared" si="11"/>
        <v>0</v>
      </c>
      <c r="J170" s="134"/>
      <c r="K170" s="135"/>
      <c r="L170" s="136">
        <f t="shared" si="12"/>
        <v>0</v>
      </c>
      <c r="M170" s="284"/>
      <c r="N170" s="285"/>
      <c r="O170" s="136">
        <f t="shared" si="13"/>
        <v>0</v>
      </c>
      <c r="P170" s="85"/>
    </row>
    <row r="171" spans="1:16" ht="36" hidden="1" x14ac:dyDescent="0.25">
      <c r="A171" s="76">
        <v>2513</v>
      </c>
      <c r="B171" s="127" t="s">
        <v>187</v>
      </c>
      <c r="C171" s="128">
        <f t="shared" si="9"/>
        <v>0</v>
      </c>
      <c r="D171" s="134"/>
      <c r="E171" s="285"/>
      <c r="F171" s="286">
        <f t="shared" si="10"/>
        <v>0</v>
      </c>
      <c r="G171" s="134"/>
      <c r="H171" s="135"/>
      <c r="I171" s="136">
        <f t="shared" si="11"/>
        <v>0</v>
      </c>
      <c r="J171" s="134"/>
      <c r="K171" s="135"/>
      <c r="L171" s="136">
        <f t="shared" si="12"/>
        <v>0</v>
      </c>
      <c r="M171" s="284"/>
      <c r="N171" s="285"/>
      <c r="O171" s="136">
        <f t="shared" si="13"/>
        <v>0</v>
      </c>
      <c r="P171" s="85"/>
    </row>
    <row r="172" spans="1:16" ht="24" hidden="1" x14ac:dyDescent="0.25">
      <c r="A172" s="76">
        <v>2515</v>
      </c>
      <c r="B172" s="127" t="s">
        <v>188</v>
      </c>
      <c r="C172" s="128">
        <f t="shared" si="9"/>
        <v>0</v>
      </c>
      <c r="D172" s="134"/>
      <c r="E172" s="285"/>
      <c r="F172" s="286">
        <f t="shared" si="10"/>
        <v>0</v>
      </c>
      <c r="G172" s="134"/>
      <c r="H172" s="135"/>
      <c r="I172" s="136">
        <f t="shared" si="11"/>
        <v>0</v>
      </c>
      <c r="J172" s="134"/>
      <c r="K172" s="135"/>
      <c r="L172" s="136">
        <f t="shared" si="12"/>
        <v>0</v>
      </c>
      <c r="M172" s="284"/>
      <c r="N172" s="285"/>
      <c r="O172" s="136">
        <f t="shared" si="13"/>
        <v>0</v>
      </c>
      <c r="P172" s="85"/>
    </row>
    <row r="173" spans="1:16" ht="24" hidden="1" x14ac:dyDescent="0.25">
      <c r="A173" s="76">
        <v>2519</v>
      </c>
      <c r="B173" s="127" t="s">
        <v>189</v>
      </c>
      <c r="C173" s="128">
        <f t="shared" si="9"/>
        <v>0</v>
      </c>
      <c r="D173" s="134"/>
      <c r="E173" s="285"/>
      <c r="F173" s="286">
        <f t="shared" si="10"/>
        <v>0</v>
      </c>
      <c r="G173" s="134"/>
      <c r="H173" s="135"/>
      <c r="I173" s="136">
        <f t="shared" si="11"/>
        <v>0</v>
      </c>
      <c r="J173" s="134"/>
      <c r="K173" s="135"/>
      <c r="L173" s="136">
        <f t="shared" si="12"/>
        <v>0</v>
      </c>
      <c r="M173" s="284"/>
      <c r="N173" s="285"/>
      <c r="O173" s="136">
        <f t="shared" si="13"/>
        <v>0</v>
      </c>
      <c r="P173" s="85"/>
    </row>
    <row r="174" spans="1:16" ht="24" hidden="1" x14ac:dyDescent="0.25">
      <c r="A174" s="276">
        <v>2520</v>
      </c>
      <c r="B174" s="127" t="s">
        <v>190</v>
      </c>
      <c r="C174" s="128">
        <f t="shared" si="9"/>
        <v>0</v>
      </c>
      <c r="D174" s="134"/>
      <c r="E174" s="285"/>
      <c r="F174" s="286">
        <f t="shared" si="10"/>
        <v>0</v>
      </c>
      <c r="G174" s="134"/>
      <c r="H174" s="135"/>
      <c r="I174" s="136">
        <f t="shared" si="11"/>
        <v>0</v>
      </c>
      <c r="J174" s="134"/>
      <c r="K174" s="135"/>
      <c r="L174" s="136">
        <f t="shared" si="12"/>
        <v>0</v>
      </c>
      <c r="M174" s="284"/>
      <c r="N174" s="285"/>
      <c r="O174" s="136">
        <f t="shared" si="13"/>
        <v>0</v>
      </c>
      <c r="P174" s="85"/>
    </row>
    <row r="175" spans="1:16" s="319" customFormat="1" ht="48" hidden="1" x14ac:dyDescent="0.25">
      <c r="A175" s="31">
        <v>2800</v>
      </c>
      <c r="B175" s="116" t="s">
        <v>191</v>
      </c>
      <c r="C175" s="117">
        <f t="shared" si="9"/>
        <v>0</v>
      </c>
      <c r="D175" s="68"/>
      <c r="E175" s="69"/>
      <c r="F175" s="70">
        <f t="shared" si="10"/>
        <v>0</v>
      </c>
      <c r="G175" s="68"/>
      <c r="H175" s="71"/>
      <c r="I175" s="72">
        <f t="shared" si="11"/>
        <v>0</v>
      </c>
      <c r="J175" s="68"/>
      <c r="K175" s="71"/>
      <c r="L175" s="72">
        <f t="shared" si="12"/>
        <v>0</v>
      </c>
      <c r="M175" s="73"/>
      <c r="N175" s="69"/>
      <c r="O175" s="72">
        <f t="shared" si="13"/>
        <v>0</v>
      </c>
      <c r="P175" s="74"/>
    </row>
    <row r="176" spans="1:16" hidden="1" x14ac:dyDescent="0.25">
      <c r="A176" s="237">
        <v>3000</v>
      </c>
      <c r="B176" s="237" t="s">
        <v>192</v>
      </c>
      <c r="C176" s="238">
        <f t="shared" si="9"/>
        <v>0</v>
      </c>
      <c r="D176" s="239">
        <f>SUM(D177,D187)</f>
        <v>0</v>
      </c>
      <c r="E176" s="245">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row>
    <row r="177" spans="1:16" ht="24" hidden="1" x14ac:dyDescent="0.25">
      <c r="A177" s="99">
        <v>3200</v>
      </c>
      <c r="B177" s="321" t="s">
        <v>193</v>
      </c>
      <c r="C177" s="100">
        <f t="shared" si="9"/>
        <v>0</v>
      </c>
      <c r="D177" s="112">
        <f>SUM(D178,D182)</f>
        <v>0</v>
      </c>
      <c r="E177" s="293">
        <f>SUM(E178,E182)</f>
        <v>0</v>
      </c>
      <c r="F177" s="313">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row>
    <row r="178" spans="1:16" ht="36" hidden="1" x14ac:dyDescent="0.25">
      <c r="A178" s="656">
        <v>3260</v>
      </c>
      <c r="B178" s="116" t="s">
        <v>194</v>
      </c>
      <c r="C178" s="117">
        <f t="shared" si="9"/>
        <v>0</v>
      </c>
      <c r="D178" s="297">
        <f>SUM(D179:D181)</f>
        <v>0</v>
      </c>
      <c r="E178" s="301">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row>
    <row r="179" spans="1:16" ht="24" hidden="1" x14ac:dyDescent="0.25">
      <c r="A179" s="76">
        <v>3261</v>
      </c>
      <c r="B179" s="127" t="s">
        <v>195</v>
      </c>
      <c r="C179" s="128">
        <f t="shared" si="9"/>
        <v>0</v>
      </c>
      <c r="D179" s="134"/>
      <c r="E179" s="285"/>
      <c r="F179" s="286">
        <f t="shared" si="10"/>
        <v>0</v>
      </c>
      <c r="G179" s="134"/>
      <c r="H179" s="135"/>
      <c r="I179" s="136">
        <f t="shared" si="11"/>
        <v>0</v>
      </c>
      <c r="J179" s="134"/>
      <c r="K179" s="135"/>
      <c r="L179" s="136">
        <f t="shared" si="12"/>
        <v>0</v>
      </c>
      <c r="M179" s="284"/>
      <c r="N179" s="285"/>
      <c r="O179" s="136">
        <f t="shared" si="13"/>
        <v>0</v>
      </c>
      <c r="P179" s="85"/>
    </row>
    <row r="180" spans="1:16" ht="36" hidden="1" x14ac:dyDescent="0.25">
      <c r="A180" s="76">
        <v>3262</v>
      </c>
      <c r="B180" s="127" t="s">
        <v>196</v>
      </c>
      <c r="C180" s="128">
        <f t="shared" si="9"/>
        <v>0</v>
      </c>
      <c r="D180" s="134"/>
      <c r="E180" s="285"/>
      <c r="F180" s="286">
        <f t="shared" si="10"/>
        <v>0</v>
      </c>
      <c r="G180" s="134"/>
      <c r="H180" s="135"/>
      <c r="I180" s="136">
        <f t="shared" si="11"/>
        <v>0</v>
      </c>
      <c r="J180" s="134"/>
      <c r="K180" s="135"/>
      <c r="L180" s="136">
        <f t="shared" si="12"/>
        <v>0</v>
      </c>
      <c r="M180" s="284"/>
      <c r="N180" s="285"/>
      <c r="O180" s="136">
        <f t="shared" si="13"/>
        <v>0</v>
      </c>
      <c r="P180" s="85"/>
    </row>
    <row r="181" spans="1:16" ht="24" hidden="1" x14ac:dyDescent="0.25">
      <c r="A181" s="76">
        <v>3263</v>
      </c>
      <c r="B181" s="127" t="s">
        <v>197</v>
      </c>
      <c r="C181" s="128">
        <f t="shared" si="9"/>
        <v>0</v>
      </c>
      <c r="D181" s="134"/>
      <c r="E181" s="285"/>
      <c r="F181" s="286">
        <f t="shared" si="10"/>
        <v>0</v>
      </c>
      <c r="G181" s="134"/>
      <c r="H181" s="135"/>
      <c r="I181" s="136">
        <f t="shared" si="11"/>
        <v>0</v>
      </c>
      <c r="J181" s="134"/>
      <c r="K181" s="135"/>
      <c r="L181" s="136">
        <f t="shared" si="12"/>
        <v>0</v>
      </c>
      <c r="M181" s="284"/>
      <c r="N181" s="285"/>
      <c r="O181" s="136">
        <f t="shared" si="13"/>
        <v>0</v>
      </c>
      <c r="P181" s="85"/>
    </row>
    <row r="182" spans="1:16" ht="84" hidden="1" x14ac:dyDescent="0.25">
      <c r="A182" s="656">
        <v>3290</v>
      </c>
      <c r="B182" s="116" t="s">
        <v>198</v>
      </c>
      <c r="C182" s="128">
        <f t="shared" ref="C182:C258" si="26">F182+I182+L182+O182</f>
        <v>0</v>
      </c>
      <c r="D182" s="297">
        <f>SUM(D183:D186)</f>
        <v>0</v>
      </c>
      <c r="E182" s="301">
        <f>SUM(E183:E186)</f>
        <v>0</v>
      </c>
      <c r="F182" s="263">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row>
    <row r="183" spans="1:16" ht="72" hidden="1" x14ac:dyDescent="0.25">
      <c r="A183" s="76">
        <v>3291</v>
      </c>
      <c r="B183" s="127" t="s">
        <v>199</v>
      </c>
      <c r="C183" s="128">
        <f t="shared" si="26"/>
        <v>0</v>
      </c>
      <c r="D183" s="134"/>
      <c r="E183" s="285"/>
      <c r="F183" s="286">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row>
    <row r="184" spans="1:16" ht="72" hidden="1" x14ac:dyDescent="0.25">
      <c r="A184" s="76">
        <v>3292</v>
      </c>
      <c r="B184" s="127" t="s">
        <v>200</v>
      </c>
      <c r="C184" s="128">
        <f t="shared" si="26"/>
        <v>0</v>
      </c>
      <c r="D184" s="134"/>
      <c r="E184" s="285"/>
      <c r="F184" s="286">
        <f t="shared" si="30"/>
        <v>0</v>
      </c>
      <c r="G184" s="134"/>
      <c r="H184" s="135"/>
      <c r="I184" s="136">
        <f t="shared" si="31"/>
        <v>0</v>
      </c>
      <c r="J184" s="134"/>
      <c r="K184" s="135"/>
      <c r="L184" s="136">
        <f t="shared" si="32"/>
        <v>0</v>
      </c>
      <c r="M184" s="284"/>
      <c r="N184" s="285"/>
      <c r="O184" s="136">
        <f t="shared" si="33"/>
        <v>0</v>
      </c>
      <c r="P184" s="85"/>
    </row>
    <row r="185" spans="1:16" ht="72" hidden="1" x14ac:dyDescent="0.25">
      <c r="A185" s="76">
        <v>3293</v>
      </c>
      <c r="B185" s="127" t="s">
        <v>201</v>
      </c>
      <c r="C185" s="128">
        <f t="shared" si="26"/>
        <v>0</v>
      </c>
      <c r="D185" s="134"/>
      <c r="E185" s="285"/>
      <c r="F185" s="286">
        <f t="shared" si="30"/>
        <v>0</v>
      </c>
      <c r="G185" s="134"/>
      <c r="H185" s="135"/>
      <c r="I185" s="136">
        <f t="shared" si="31"/>
        <v>0</v>
      </c>
      <c r="J185" s="134"/>
      <c r="K185" s="135"/>
      <c r="L185" s="136">
        <f t="shared" si="32"/>
        <v>0</v>
      </c>
      <c r="M185" s="284"/>
      <c r="N185" s="285"/>
      <c r="O185" s="136">
        <f t="shared" si="33"/>
        <v>0</v>
      </c>
      <c r="P185" s="85"/>
    </row>
    <row r="186" spans="1:16" ht="60" hidden="1" x14ac:dyDescent="0.25">
      <c r="A186" s="326">
        <v>3294</v>
      </c>
      <c r="B186" s="127" t="s">
        <v>202</v>
      </c>
      <c r="C186" s="327">
        <f t="shared" si="26"/>
        <v>0</v>
      </c>
      <c r="D186" s="328"/>
      <c r="E186" s="329"/>
      <c r="F186" s="330">
        <f t="shared" si="30"/>
        <v>0</v>
      </c>
      <c r="G186" s="328"/>
      <c r="H186" s="331"/>
      <c r="I186" s="324">
        <f t="shared" si="31"/>
        <v>0</v>
      </c>
      <c r="J186" s="328"/>
      <c r="K186" s="331"/>
      <c r="L186" s="324">
        <f t="shared" si="32"/>
        <v>0</v>
      </c>
      <c r="M186" s="332"/>
      <c r="N186" s="329"/>
      <c r="O186" s="324">
        <f t="shared" si="33"/>
        <v>0</v>
      </c>
      <c r="P186" s="325"/>
    </row>
    <row r="187" spans="1:16" ht="48" hidden="1" x14ac:dyDescent="0.25">
      <c r="A187" s="160">
        <v>3300</v>
      </c>
      <c r="B187" s="321" t="s">
        <v>203</v>
      </c>
      <c r="C187" s="333">
        <f t="shared" si="26"/>
        <v>0</v>
      </c>
      <c r="D187" s="334">
        <f>SUM(D188:D189)</f>
        <v>0</v>
      </c>
      <c r="E187" s="251">
        <f>SUM(E188:E189)</f>
        <v>0</v>
      </c>
      <c r="F187" s="335">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row>
    <row r="188" spans="1:16" ht="48" hidden="1" x14ac:dyDescent="0.25">
      <c r="A188" s="178">
        <v>3310</v>
      </c>
      <c r="B188" s="179" t="s">
        <v>204</v>
      </c>
      <c r="C188" s="191">
        <f t="shared" si="26"/>
        <v>0</v>
      </c>
      <c r="D188" s="287"/>
      <c r="E188" s="291"/>
      <c r="F188" s="310">
        <f t="shared" si="30"/>
        <v>0</v>
      </c>
      <c r="G188" s="287"/>
      <c r="H188" s="289"/>
      <c r="I188" s="259">
        <f t="shared" si="31"/>
        <v>0</v>
      </c>
      <c r="J188" s="287"/>
      <c r="K188" s="289"/>
      <c r="L188" s="259">
        <f t="shared" si="32"/>
        <v>0</v>
      </c>
      <c r="M188" s="290"/>
      <c r="N188" s="291"/>
      <c r="O188" s="259">
        <f t="shared" si="33"/>
        <v>0</v>
      </c>
      <c r="P188" s="189"/>
    </row>
    <row r="189" spans="1:16" ht="60" hidden="1" x14ac:dyDescent="0.25">
      <c r="A189" s="66">
        <v>3320</v>
      </c>
      <c r="B189" s="116" t="s">
        <v>205</v>
      </c>
      <c r="C189" s="117">
        <f t="shared" si="26"/>
        <v>0</v>
      </c>
      <c r="D189" s="123"/>
      <c r="E189" s="262"/>
      <c r="F189" s="263">
        <f t="shared" si="30"/>
        <v>0</v>
      </c>
      <c r="G189" s="123"/>
      <c r="H189" s="124"/>
      <c r="I189" s="125">
        <f t="shared" si="31"/>
        <v>0</v>
      </c>
      <c r="J189" s="123"/>
      <c r="K189" s="124"/>
      <c r="L189" s="125">
        <f t="shared" si="32"/>
        <v>0</v>
      </c>
      <c r="M189" s="264"/>
      <c r="N189" s="262"/>
      <c r="O189" s="125">
        <f t="shared" si="33"/>
        <v>0</v>
      </c>
      <c r="P189" s="74"/>
    </row>
    <row r="190" spans="1:16" hidden="1" x14ac:dyDescent="0.25">
      <c r="A190" s="337">
        <v>4000</v>
      </c>
      <c r="B190" s="237" t="s">
        <v>206</v>
      </c>
      <c r="C190" s="238">
        <f t="shared" si="26"/>
        <v>0</v>
      </c>
      <c r="D190" s="239">
        <f>SUM(D191,D194)</f>
        <v>0</v>
      </c>
      <c r="E190" s="245">
        <f>SUM(E191,E194)</f>
        <v>0</v>
      </c>
      <c r="F190" s="320">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row>
    <row r="191" spans="1:16" ht="24" hidden="1" x14ac:dyDescent="0.25">
      <c r="A191" s="338">
        <v>4200</v>
      </c>
      <c r="B191" s="247" t="s">
        <v>207</v>
      </c>
      <c r="C191" s="100">
        <f t="shared" si="26"/>
        <v>0</v>
      </c>
      <c r="D191" s="112">
        <f>SUM(D192,D193)</f>
        <v>0</v>
      </c>
      <c r="E191" s="293">
        <f>SUM(E192,E193)</f>
        <v>0</v>
      </c>
      <c r="F191" s="313">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row>
    <row r="192" spans="1:16" ht="36" hidden="1" x14ac:dyDescent="0.25">
      <c r="A192" s="656">
        <v>4240</v>
      </c>
      <c r="B192" s="116" t="s">
        <v>208</v>
      </c>
      <c r="C192" s="117">
        <f t="shared" si="26"/>
        <v>0</v>
      </c>
      <c r="D192" s="123"/>
      <c r="E192" s="262"/>
      <c r="F192" s="263">
        <f t="shared" si="30"/>
        <v>0</v>
      </c>
      <c r="G192" s="123"/>
      <c r="H192" s="124"/>
      <c r="I192" s="125">
        <f t="shared" si="31"/>
        <v>0</v>
      </c>
      <c r="J192" s="123"/>
      <c r="K192" s="124"/>
      <c r="L192" s="125">
        <f t="shared" si="32"/>
        <v>0</v>
      </c>
      <c r="M192" s="264"/>
      <c r="N192" s="262"/>
      <c r="O192" s="125">
        <f t="shared" si="33"/>
        <v>0</v>
      </c>
      <c r="P192" s="74"/>
    </row>
    <row r="193" spans="1:16" ht="24" hidden="1" x14ac:dyDescent="0.25">
      <c r="A193" s="276">
        <v>4250</v>
      </c>
      <c r="B193" s="127" t="s">
        <v>209</v>
      </c>
      <c r="C193" s="128">
        <f t="shared" si="26"/>
        <v>0</v>
      </c>
      <c r="D193" s="134"/>
      <c r="E193" s="285"/>
      <c r="F193" s="286">
        <f t="shared" si="30"/>
        <v>0</v>
      </c>
      <c r="G193" s="134"/>
      <c r="H193" s="135"/>
      <c r="I193" s="136">
        <f t="shared" si="31"/>
        <v>0</v>
      </c>
      <c r="J193" s="134"/>
      <c r="K193" s="135"/>
      <c r="L193" s="136">
        <f t="shared" si="32"/>
        <v>0</v>
      </c>
      <c r="M193" s="284"/>
      <c r="N193" s="285"/>
      <c r="O193" s="136">
        <f t="shared" si="33"/>
        <v>0</v>
      </c>
      <c r="P193" s="85"/>
    </row>
    <row r="194" spans="1:16" hidden="1" x14ac:dyDescent="0.25">
      <c r="A194" s="99">
        <v>4300</v>
      </c>
      <c r="B194" s="247" t="s">
        <v>210</v>
      </c>
      <c r="C194" s="100">
        <f t="shared" si="26"/>
        <v>0</v>
      </c>
      <c r="D194" s="112">
        <f>SUM(D195)</f>
        <v>0</v>
      </c>
      <c r="E194" s="293">
        <f>SUM(E195)</f>
        <v>0</v>
      </c>
      <c r="F194" s="313">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row>
    <row r="195" spans="1:16" ht="24" hidden="1" x14ac:dyDescent="0.25">
      <c r="A195" s="656">
        <v>4310</v>
      </c>
      <c r="B195" s="116" t="s">
        <v>211</v>
      </c>
      <c r="C195" s="117">
        <f t="shared" si="26"/>
        <v>0</v>
      </c>
      <c r="D195" s="297">
        <f>SUM(D196:D196)</f>
        <v>0</v>
      </c>
      <c r="E195" s="301">
        <f>SUM(E196:E196)</f>
        <v>0</v>
      </c>
      <c r="F195" s="263">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row>
    <row r="196" spans="1:16" ht="36" hidden="1" x14ac:dyDescent="0.25">
      <c r="A196" s="76">
        <v>4311</v>
      </c>
      <c r="B196" s="127" t="s">
        <v>212</v>
      </c>
      <c r="C196" s="128">
        <f t="shared" si="26"/>
        <v>0</v>
      </c>
      <c r="D196" s="134"/>
      <c r="E196" s="285"/>
      <c r="F196" s="286">
        <f t="shared" si="30"/>
        <v>0</v>
      </c>
      <c r="G196" s="134"/>
      <c r="H196" s="135"/>
      <c r="I196" s="136">
        <f t="shared" si="31"/>
        <v>0</v>
      </c>
      <c r="J196" s="134"/>
      <c r="K196" s="135"/>
      <c r="L196" s="136">
        <f t="shared" si="32"/>
        <v>0</v>
      </c>
      <c r="M196" s="284"/>
      <c r="N196" s="285"/>
      <c r="O196" s="136">
        <f t="shared" si="33"/>
        <v>0</v>
      </c>
      <c r="P196" s="85"/>
    </row>
    <row r="197" spans="1:16" s="41" customFormat="1" ht="24" x14ac:dyDescent="0.25">
      <c r="A197" s="339"/>
      <c r="B197" s="31" t="s">
        <v>213</v>
      </c>
      <c r="C197" s="229">
        <f t="shared" si="26"/>
        <v>1800</v>
      </c>
      <c r="D197" s="230">
        <f>SUM(D198,D233,D271)</f>
        <v>1800</v>
      </c>
      <c r="E197" s="231">
        <f>SUM(E198,E233,E271)</f>
        <v>0</v>
      </c>
      <c r="F197" s="232">
        <f t="shared" si="30"/>
        <v>1800</v>
      </c>
      <c r="G197" s="230">
        <f>SUM(G198,G233,G271)</f>
        <v>0</v>
      </c>
      <c r="H197" s="233">
        <f>SUM(H198,H233,H271)</f>
        <v>0</v>
      </c>
      <c r="I197" s="234">
        <f t="shared" si="31"/>
        <v>0</v>
      </c>
      <c r="J197" s="230">
        <f>SUM(J198,J233,J271)</f>
        <v>0</v>
      </c>
      <c r="K197" s="233">
        <f>SUM(K198,K233,K271)</f>
        <v>0</v>
      </c>
      <c r="L197" s="234">
        <f t="shared" si="32"/>
        <v>0</v>
      </c>
      <c r="M197" s="340">
        <f>SUM(M198,M233,M271)</f>
        <v>0</v>
      </c>
      <c r="N197" s="341">
        <f>SUM(N198,N233,N271)</f>
        <v>0</v>
      </c>
      <c r="O197" s="342">
        <f t="shared" si="33"/>
        <v>0</v>
      </c>
      <c r="P197" s="343"/>
    </row>
    <row r="198" spans="1:16" hidden="1" x14ac:dyDescent="0.25">
      <c r="A198" s="237">
        <v>5000</v>
      </c>
      <c r="B198" s="237" t="s">
        <v>214</v>
      </c>
      <c r="C198" s="238">
        <f>F198+I198+L198+O198</f>
        <v>0</v>
      </c>
      <c r="D198" s="239">
        <f>D199+D207</f>
        <v>0</v>
      </c>
      <c r="E198" s="245">
        <f>E199+E207</f>
        <v>0</v>
      </c>
      <c r="F198" s="320">
        <f t="shared" si="30"/>
        <v>0</v>
      </c>
      <c r="G198" s="239">
        <f>G199+G207</f>
        <v>0</v>
      </c>
      <c r="H198" s="242">
        <f>H199+H207</f>
        <v>0</v>
      </c>
      <c r="I198" s="243">
        <f t="shared" si="31"/>
        <v>0</v>
      </c>
      <c r="J198" s="239">
        <f>J199+J207</f>
        <v>0</v>
      </c>
      <c r="K198" s="242">
        <f>K199+K207</f>
        <v>0</v>
      </c>
      <c r="L198" s="243">
        <f t="shared" si="32"/>
        <v>0</v>
      </c>
      <c r="M198" s="244">
        <f>M199+M207</f>
        <v>0</v>
      </c>
      <c r="N198" s="245">
        <f>N199+N207</f>
        <v>0</v>
      </c>
      <c r="O198" s="243">
        <f t="shared" si="33"/>
        <v>0</v>
      </c>
      <c r="P198" s="246"/>
    </row>
    <row r="199" spans="1:16" hidden="1" x14ac:dyDescent="0.25">
      <c r="A199" s="99">
        <v>5100</v>
      </c>
      <c r="B199" s="247" t="s">
        <v>215</v>
      </c>
      <c r="C199" s="100">
        <f t="shared" si="26"/>
        <v>0</v>
      </c>
      <c r="D199" s="112">
        <f>D200+D201+D204+D205+D206</f>
        <v>0</v>
      </c>
      <c r="E199" s="293">
        <f>E200+E201+E204+E205+E206</f>
        <v>0</v>
      </c>
      <c r="F199" s="313">
        <f t="shared" si="30"/>
        <v>0</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row>
    <row r="200" spans="1:16" hidden="1" x14ac:dyDescent="0.25">
      <c r="A200" s="656">
        <v>5110</v>
      </c>
      <c r="B200" s="116" t="s">
        <v>216</v>
      </c>
      <c r="C200" s="117">
        <f t="shared" si="26"/>
        <v>0</v>
      </c>
      <c r="D200" s="123"/>
      <c r="E200" s="262"/>
      <c r="F200" s="263">
        <f t="shared" si="30"/>
        <v>0</v>
      </c>
      <c r="G200" s="123"/>
      <c r="H200" s="124"/>
      <c r="I200" s="125">
        <f t="shared" si="31"/>
        <v>0</v>
      </c>
      <c r="J200" s="123"/>
      <c r="K200" s="124"/>
      <c r="L200" s="125">
        <f t="shared" si="32"/>
        <v>0</v>
      </c>
      <c r="M200" s="264"/>
      <c r="N200" s="262"/>
      <c r="O200" s="125">
        <f t="shared" si="33"/>
        <v>0</v>
      </c>
      <c r="P200" s="74"/>
    </row>
    <row r="201" spans="1:16" ht="24" hidden="1" x14ac:dyDescent="0.25">
      <c r="A201" s="276">
        <v>5120</v>
      </c>
      <c r="B201" s="127" t="s">
        <v>217</v>
      </c>
      <c r="C201" s="128">
        <f t="shared" si="26"/>
        <v>0</v>
      </c>
      <c r="D201" s="277">
        <f>D202+D203</f>
        <v>0</v>
      </c>
      <c r="E201" s="282">
        <f>E202+E203</f>
        <v>0</v>
      </c>
      <c r="F201" s="286">
        <f t="shared" si="30"/>
        <v>0</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row>
    <row r="202" spans="1:16" hidden="1" x14ac:dyDescent="0.25">
      <c r="A202" s="76">
        <v>5121</v>
      </c>
      <c r="B202" s="127" t="s">
        <v>218</v>
      </c>
      <c r="C202" s="128">
        <f t="shared" si="26"/>
        <v>0</v>
      </c>
      <c r="D202" s="134"/>
      <c r="E202" s="285"/>
      <c r="F202" s="286">
        <f t="shared" si="30"/>
        <v>0</v>
      </c>
      <c r="G202" s="134"/>
      <c r="H202" s="135"/>
      <c r="I202" s="136">
        <f t="shared" si="31"/>
        <v>0</v>
      </c>
      <c r="J202" s="134"/>
      <c r="K202" s="135"/>
      <c r="L202" s="136">
        <f t="shared" si="32"/>
        <v>0</v>
      </c>
      <c r="M202" s="284"/>
      <c r="N202" s="285"/>
      <c r="O202" s="136">
        <f t="shared" si="33"/>
        <v>0</v>
      </c>
      <c r="P202" s="85"/>
    </row>
    <row r="203" spans="1:16" ht="24" hidden="1" x14ac:dyDescent="0.25">
      <c r="A203" s="76">
        <v>5129</v>
      </c>
      <c r="B203" s="127" t="s">
        <v>219</v>
      </c>
      <c r="C203" s="128">
        <f t="shared" si="26"/>
        <v>0</v>
      </c>
      <c r="D203" s="134"/>
      <c r="E203" s="285"/>
      <c r="F203" s="286">
        <f t="shared" si="30"/>
        <v>0</v>
      </c>
      <c r="G203" s="134"/>
      <c r="H203" s="135"/>
      <c r="I203" s="136">
        <f t="shared" si="31"/>
        <v>0</v>
      </c>
      <c r="J203" s="134"/>
      <c r="K203" s="135"/>
      <c r="L203" s="136">
        <f t="shared" si="32"/>
        <v>0</v>
      </c>
      <c r="M203" s="284"/>
      <c r="N203" s="285"/>
      <c r="O203" s="136">
        <f t="shared" si="33"/>
        <v>0</v>
      </c>
      <c r="P203" s="85"/>
    </row>
    <row r="204" spans="1:16" hidden="1" x14ac:dyDescent="0.25">
      <c r="A204" s="276">
        <v>5130</v>
      </c>
      <c r="B204" s="127" t="s">
        <v>220</v>
      </c>
      <c r="C204" s="128">
        <f t="shared" si="26"/>
        <v>0</v>
      </c>
      <c r="D204" s="134"/>
      <c r="E204" s="285"/>
      <c r="F204" s="286">
        <f t="shared" si="30"/>
        <v>0</v>
      </c>
      <c r="G204" s="134"/>
      <c r="H204" s="135"/>
      <c r="I204" s="136">
        <f t="shared" si="31"/>
        <v>0</v>
      </c>
      <c r="J204" s="134"/>
      <c r="K204" s="135"/>
      <c r="L204" s="136">
        <f t="shared" si="32"/>
        <v>0</v>
      </c>
      <c r="M204" s="284"/>
      <c r="N204" s="285"/>
      <c r="O204" s="136">
        <f t="shared" si="33"/>
        <v>0</v>
      </c>
      <c r="P204" s="85"/>
    </row>
    <row r="205" spans="1:16" hidden="1" x14ac:dyDescent="0.25">
      <c r="A205" s="276">
        <v>5140</v>
      </c>
      <c r="B205" s="127" t="s">
        <v>221</v>
      </c>
      <c r="C205" s="128">
        <f t="shared" si="26"/>
        <v>0</v>
      </c>
      <c r="D205" s="134"/>
      <c r="E205" s="285"/>
      <c r="F205" s="286">
        <f t="shared" si="30"/>
        <v>0</v>
      </c>
      <c r="G205" s="134"/>
      <c r="H205" s="135"/>
      <c r="I205" s="136">
        <f t="shared" si="31"/>
        <v>0</v>
      </c>
      <c r="J205" s="134"/>
      <c r="K205" s="135"/>
      <c r="L205" s="136">
        <f t="shared" si="32"/>
        <v>0</v>
      </c>
      <c r="M205" s="284"/>
      <c r="N205" s="285"/>
      <c r="O205" s="136">
        <f t="shared" si="33"/>
        <v>0</v>
      </c>
      <c r="P205" s="85"/>
    </row>
    <row r="206" spans="1:16" ht="24" hidden="1" x14ac:dyDescent="0.25">
      <c r="A206" s="276">
        <v>5170</v>
      </c>
      <c r="B206" s="127" t="s">
        <v>222</v>
      </c>
      <c r="C206" s="128">
        <f t="shared" si="26"/>
        <v>0</v>
      </c>
      <c r="D206" s="134"/>
      <c r="E206" s="285"/>
      <c r="F206" s="286">
        <f t="shared" si="30"/>
        <v>0</v>
      </c>
      <c r="G206" s="134"/>
      <c r="H206" s="135"/>
      <c r="I206" s="136">
        <f t="shared" si="31"/>
        <v>0</v>
      </c>
      <c r="J206" s="134"/>
      <c r="K206" s="135"/>
      <c r="L206" s="136">
        <f t="shared" si="32"/>
        <v>0</v>
      </c>
      <c r="M206" s="284"/>
      <c r="N206" s="285"/>
      <c r="O206" s="136">
        <f t="shared" si="33"/>
        <v>0</v>
      </c>
      <c r="P206" s="85"/>
    </row>
    <row r="207" spans="1:16" hidden="1" x14ac:dyDescent="0.25">
      <c r="A207" s="99">
        <v>5200</v>
      </c>
      <c r="B207" s="247" t="s">
        <v>223</v>
      </c>
      <c r="C207" s="100">
        <f t="shared" si="26"/>
        <v>0</v>
      </c>
      <c r="D207" s="112">
        <f>D208+D218+D219+D228+D229+D230+D232</f>
        <v>0</v>
      </c>
      <c r="E207" s="293">
        <f>E208+E218+E219+E228+E229+E230+E232</f>
        <v>0</v>
      </c>
      <c r="F207" s="313">
        <f t="shared" si="30"/>
        <v>0</v>
      </c>
      <c r="G207" s="112">
        <f>G208+G218+G219+G228+G229+G230+G232</f>
        <v>0</v>
      </c>
      <c r="H207" s="113">
        <f>H208+H218+H219+H228+H229+H230+H232</f>
        <v>0</v>
      </c>
      <c r="I207" s="114">
        <f t="shared" si="31"/>
        <v>0</v>
      </c>
      <c r="J207" s="112">
        <f>J208+J218+J219+J228+J229+J230+J232</f>
        <v>0</v>
      </c>
      <c r="K207" s="113">
        <f>K208+K218+K219+K228+K229+K230+K232</f>
        <v>0</v>
      </c>
      <c r="L207" s="114">
        <f t="shared" si="32"/>
        <v>0</v>
      </c>
      <c r="M207" s="292">
        <f>M208+M218+M219+M228+M229+M230+M232</f>
        <v>0</v>
      </c>
      <c r="N207" s="293">
        <f>N208+N218+N219+N228+N229+N230+N232</f>
        <v>0</v>
      </c>
      <c r="O207" s="114">
        <f t="shared" si="33"/>
        <v>0</v>
      </c>
      <c r="P207" s="109"/>
    </row>
    <row r="208" spans="1:16" hidden="1" x14ac:dyDescent="0.25">
      <c r="A208" s="254">
        <v>5210</v>
      </c>
      <c r="B208" s="179" t="s">
        <v>224</v>
      </c>
      <c r="C208" s="191">
        <f t="shared" si="26"/>
        <v>0</v>
      </c>
      <c r="D208" s="255">
        <f>SUM(D209:D217)</f>
        <v>0</v>
      </c>
      <c r="E208" s="261">
        <f>SUM(E209:E217)</f>
        <v>0</v>
      </c>
      <c r="F208" s="310">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row>
    <row r="209" spans="1:16" hidden="1" x14ac:dyDescent="0.25">
      <c r="A209" s="66">
        <v>5211</v>
      </c>
      <c r="B209" s="116" t="s">
        <v>225</v>
      </c>
      <c r="C209" s="279">
        <f t="shared" si="26"/>
        <v>0</v>
      </c>
      <c r="D209" s="123"/>
      <c r="E209" s="262"/>
      <c r="F209" s="263">
        <f t="shared" si="30"/>
        <v>0</v>
      </c>
      <c r="G209" s="123"/>
      <c r="H209" s="124"/>
      <c r="I209" s="125">
        <f t="shared" si="31"/>
        <v>0</v>
      </c>
      <c r="J209" s="123"/>
      <c r="K209" s="124"/>
      <c r="L209" s="125">
        <f t="shared" si="32"/>
        <v>0</v>
      </c>
      <c r="M209" s="264"/>
      <c r="N209" s="262"/>
      <c r="O209" s="125">
        <f t="shared" si="33"/>
        <v>0</v>
      </c>
      <c r="P209" s="74"/>
    </row>
    <row r="210" spans="1:16" hidden="1" x14ac:dyDescent="0.25">
      <c r="A210" s="76">
        <v>5212</v>
      </c>
      <c r="B210" s="127" t="s">
        <v>226</v>
      </c>
      <c r="C210" s="279">
        <f t="shared" si="26"/>
        <v>0</v>
      </c>
      <c r="D210" s="134"/>
      <c r="E210" s="285"/>
      <c r="F210" s="286">
        <f t="shared" si="30"/>
        <v>0</v>
      </c>
      <c r="G210" s="134"/>
      <c r="H210" s="135"/>
      <c r="I210" s="136">
        <f t="shared" si="31"/>
        <v>0</v>
      </c>
      <c r="J210" s="134"/>
      <c r="K210" s="135"/>
      <c r="L210" s="136">
        <f t="shared" si="32"/>
        <v>0</v>
      </c>
      <c r="M210" s="284"/>
      <c r="N210" s="285"/>
      <c r="O210" s="136">
        <f t="shared" si="33"/>
        <v>0</v>
      </c>
      <c r="P210" s="85"/>
    </row>
    <row r="211" spans="1:16" hidden="1" x14ac:dyDescent="0.25">
      <c r="A211" s="76">
        <v>5213</v>
      </c>
      <c r="B211" s="127" t="s">
        <v>227</v>
      </c>
      <c r="C211" s="279">
        <f t="shared" si="26"/>
        <v>0</v>
      </c>
      <c r="D211" s="134"/>
      <c r="E211" s="285"/>
      <c r="F211" s="286">
        <f t="shared" si="30"/>
        <v>0</v>
      </c>
      <c r="G211" s="134"/>
      <c r="H211" s="135"/>
      <c r="I211" s="136">
        <f t="shared" si="31"/>
        <v>0</v>
      </c>
      <c r="J211" s="134"/>
      <c r="K211" s="135"/>
      <c r="L211" s="136">
        <f t="shared" si="32"/>
        <v>0</v>
      </c>
      <c r="M211" s="284"/>
      <c r="N211" s="285"/>
      <c r="O211" s="136">
        <f t="shared" si="33"/>
        <v>0</v>
      </c>
      <c r="P211" s="85"/>
    </row>
    <row r="212" spans="1:16" hidden="1" x14ac:dyDescent="0.25">
      <c r="A212" s="76">
        <v>5214</v>
      </c>
      <c r="B212" s="127" t="s">
        <v>228</v>
      </c>
      <c r="C212" s="279">
        <f t="shared" si="26"/>
        <v>0</v>
      </c>
      <c r="D212" s="134"/>
      <c r="E212" s="285"/>
      <c r="F212" s="286">
        <f t="shared" si="30"/>
        <v>0</v>
      </c>
      <c r="G212" s="134"/>
      <c r="H212" s="135"/>
      <c r="I212" s="136">
        <f t="shared" si="31"/>
        <v>0</v>
      </c>
      <c r="J212" s="134"/>
      <c r="K212" s="135"/>
      <c r="L212" s="136">
        <f t="shared" si="32"/>
        <v>0</v>
      </c>
      <c r="M212" s="284"/>
      <c r="N212" s="285"/>
      <c r="O212" s="136">
        <f t="shared" si="33"/>
        <v>0</v>
      </c>
      <c r="P212" s="85"/>
    </row>
    <row r="213" spans="1:16" hidden="1" x14ac:dyDescent="0.25">
      <c r="A213" s="76">
        <v>5215</v>
      </c>
      <c r="B213" s="127" t="s">
        <v>229</v>
      </c>
      <c r="C213" s="279">
        <f t="shared" si="26"/>
        <v>0</v>
      </c>
      <c r="D213" s="134"/>
      <c r="E213" s="285"/>
      <c r="F213" s="286">
        <f t="shared" si="30"/>
        <v>0</v>
      </c>
      <c r="G213" s="134"/>
      <c r="H213" s="135"/>
      <c r="I213" s="136">
        <f t="shared" si="31"/>
        <v>0</v>
      </c>
      <c r="J213" s="134"/>
      <c r="K213" s="135"/>
      <c r="L213" s="136">
        <f t="shared" si="32"/>
        <v>0</v>
      </c>
      <c r="M213" s="284"/>
      <c r="N213" s="285"/>
      <c r="O213" s="136">
        <f t="shared" si="33"/>
        <v>0</v>
      </c>
      <c r="P213" s="85"/>
    </row>
    <row r="214" spans="1:16" ht="24" hidden="1" x14ac:dyDescent="0.25">
      <c r="A214" s="76">
        <v>5216</v>
      </c>
      <c r="B214" s="127" t="s">
        <v>230</v>
      </c>
      <c r="C214" s="279">
        <f t="shared" si="26"/>
        <v>0</v>
      </c>
      <c r="D214" s="134"/>
      <c r="E214" s="285"/>
      <c r="F214" s="286">
        <f t="shared" si="30"/>
        <v>0</v>
      </c>
      <c r="G214" s="134"/>
      <c r="H214" s="135"/>
      <c r="I214" s="136">
        <f t="shared" si="31"/>
        <v>0</v>
      </c>
      <c r="J214" s="134"/>
      <c r="K214" s="135"/>
      <c r="L214" s="136">
        <f t="shared" si="32"/>
        <v>0</v>
      </c>
      <c r="M214" s="284"/>
      <c r="N214" s="285"/>
      <c r="O214" s="136">
        <f t="shared" si="33"/>
        <v>0</v>
      </c>
      <c r="P214" s="85"/>
    </row>
    <row r="215" spans="1:16" hidden="1" x14ac:dyDescent="0.25">
      <c r="A215" s="76">
        <v>5217</v>
      </c>
      <c r="B215" s="127" t="s">
        <v>231</v>
      </c>
      <c r="C215" s="279">
        <f t="shared" si="26"/>
        <v>0</v>
      </c>
      <c r="D215" s="134"/>
      <c r="E215" s="285"/>
      <c r="F215" s="286">
        <f t="shared" si="30"/>
        <v>0</v>
      </c>
      <c r="G215" s="134"/>
      <c r="H215" s="135"/>
      <c r="I215" s="136">
        <f t="shared" si="31"/>
        <v>0</v>
      </c>
      <c r="J215" s="134"/>
      <c r="K215" s="135"/>
      <c r="L215" s="136">
        <f t="shared" si="32"/>
        <v>0</v>
      </c>
      <c r="M215" s="284"/>
      <c r="N215" s="285"/>
      <c r="O215" s="136">
        <f t="shared" si="33"/>
        <v>0</v>
      </c>
      <c r="P215" s="85"/>
    </row>
    <row r="216" spans="1:16" hidden="1" x14ac:dyDescent="0.25">
      <c r="A216" s="76">
        <v>5218</v>
      </c>
      <c r="B216" s="127" t="s">
        <v>232</v>
      </c>
      <c r="C216" s="279">
        <f t="shared" si="26"/>
        <v>0</v>
      </c>
      <c r="D216" s="134"/>
      <c r="E216" s="285"/>
      <c r="F216" s="286">
        <f t="shared" si="30"/>
        <v>0</v>
      </c>
      <c r="G216" s="134"/>
      <c r="H216" s="135"/>
      <c r="I216" s="136">
        <f t="shared" si="31"/>
        <v>0</v>
      </c>
      <c r="J216" s="134"/>
      <c r="K216" s="135"/>
      <c r="L216" s="136">
        <f t="shared" si="32"/>
        <v>0</v>
      </c>
      <c r="M216" s="284"/>
      <c r="N216" s="285"/>
      <c r="O216" s="136">
        <f t="shared" si="33"/>
        <v>0</v>
      </c>
      <c r="P216" s="85"/>
    </row>
    <row r="217" spans="1:16" hidden="1" x14ac:dyDescent="0.25">
      <c r="A217" s="76">
        <v>5219</v>
      </c>
      <c r="B217" s="127" t="s">
        <v>233</v>
      </c>
      <c r="C217" s="279">
        <f t="shared" si="26"/>
        <v>0</v>
      </c>
      <c r="D217" s="134"/>
      <c r="E217" s="285"/>
      <c r="F217" s="286">
        <f t="shared" si="30"/>
        <v>0</v>
      </c>
      <c r="G217" s="134"/>
      <c r="H217" s="135"/>
      <c r="I217" s="136">
        <f t="shared" si="31"/>
        <v>0</v>
      </c>
      <c r="J217" s="134"/>
      <c r="K217" s="135"/>
      <c r="L217" s="136">
        <f t="shared" si="32"/>
        <v>0</v>
      </c>
      <c r="M217" s="284"/>
      <c r="N217" s="285"/>
      <c r="O217" s="136">
        <f t="shared" si="33"/>
        <v>0</v>
      </c>
      <c r="P217" s="85"/>
    </row>
    <row r="218" spans="1:16" hidden="1" x14ac:dyDescent="0.25">
      <c r="A218" s="276">
        <v>5220</v>
      </c>
      <c r="B218" s="127" t="s">
        <v>234</v>
      </c>
      <c r="C218" s="279">
        <f t="shared" si="26"/>
        <v>0</v>
      </c>
      <c r="D218" s="134"/>
      <c r="E218" s="285"/>
      <c r="F218" s="286">
        <f t="shared" si="30"/>
        <v>0</v>
      </c>
      <c r="G218" s="134"/>
      <c r="H218" s="135"/>
      <c r="I218" s="136">
        <f t="shared" si="31"/>
        <v>0</v>
      </c>
      <c r="J218" s="134"/>
      <c r="K218" s="135"/>
      <c r="L218" s="136">
        <f t="shared" si="32"/>
        <v>0</v>
      </c>
      <c r="M218" s="284"/>
      <c r="N218" s="285"/>
      <c r="O218" s="136">
        <f t="shared" si="33"/>
        <v>0</v>
      </c>
      <c r="P218" s="85"/>
    </row>
    <row r="219" spans="1:16" hidden="1" x14ac:dyDescent="0.25">
      <c r="A219" s="276">
        <v>5230</v>
      </c>
      <c r="B219" s="127" t="s">
        <v>235</v>
      </c>
      <c r="C219" s="279">
        <f t="shared" si="26"/>
        <v>0</v>
      </c>
      <c r="D219" s="277">
        <f>SUM(D220:D227)</f>
        <v>0</v>
      </c>
      <c r="E219" s="282">
        <f>SUM(E220:E227)</f>
        <v>0</v>
      </c>
      <c r="F219" s="286">
        <f t="shared" si="30"/>
        <v>0</v>
      </c>
      <c r="G219" s="277">
        <f>SUM(G220:G227)</f>
        <v>0</v>
      </c>
      <c r="H219" s="280">
        <f>SUM(H220:H227)</f>
        <v>0</v>
      </c>
      <c r="I219" s="136">
        <f t="shared" si="31"/>
        <v>0</v>
      </c>
      <c r="J219" s="277">
        <f>SUM(J220:J227)</f>
        <v>0</v>
      </c>
      <c r="K219" s="280">
        <f>SUM(K220:K227)</f>
        <v>0</v>
      </c>
      <c r="L219" s="136">
        <f t="shared" si="32"/>
        <v>0</v>
      </c>
      <c r="M219" s="281">
        <f>SUM(M220:M227)</f>
        <v>0</v>
      </c>
      <c r="N219" s="282">
        <f>SUM(N220:N227)</f>
        <v>0</v>
      </c>
      <c r="O219" s="136">
        <f t="shared" si="33"/>
        <v>0</v>
      </c>
      <c r="P219" s="85"/>
    </row>
    <row r="220" spans="1:16" hidden="1" x14ac:dyDescent="0.25">
      <c r="A220" s="76">
        <v>5231</v>
      </c>
      <c r="B220" s="127" t="s">
        <v>236</v>
      </c>
      <c r="C220" s="279">
        <f t="shared" si="26"/>
        <v>0</v>
      </c>
      <c r="D220" s="134"/>
      <c r="E220" s="285"/>
      <c r="F220" s="286">
        <f t="shared" si="30"/>
        <v>0</v>
      </c>
      <c r="G220" s="134"/>
      <c r="H220" s="135"/>
      <c r="I220" s="136">
        <f t="shared" si="31"/>
        <v>0</v>
      </c>
      <c r="J220" s="134"/>
      <c r="K220" s="135"/>
      <c r="L220" s="136">
        <f t="shared" si="32"/>
        <v>0</v>
      </c>
      <c r="M220" s="284"/>
      <c r="N220" s="285"/>
      <c r="O220" s="136">
        <f t="shared" si="33"/>
        <v>0</v>
      </c>
      <c r="P220" s="85"/>
    </row>
    <row r="221" spans="1:16" hidden="1" x14ac:dyDescent="0.25">
      <c r="A221" s="76">
        <v>5232</v>
      </c>
      <c r="B221" s="127" t="s">
        <v>237</v>
      </c>
      <c r="C221" s="279">
        <f t="shared" si="26"/>
        <v>0</v>
      </c>
      <c r="D221" s="134"/>
      <c r="E221" s="285"/>
      <c r="F221" s="286">
        <f t="shared" si="30"/>
        <v>0</v>
      </c>
      <c r="G221" s="134"/>
      <c r="H221" s="135"/>
      <c r="I221" s="136">
        <f t="shared" si="31"/>
        <v>0</v>
      </c>
      <c r="J221" s="134"/>
      <c r="K221" s="135"/>
      <c r="L221" s="136">
        <f t="shared" si="32"/>
        <v>0</v>
      </c>
      <c r="M221" s="284"/>
      <c r="N221" s="285"/>
      <c r="O221" s="136">
        <f t="shared" si="33"/>
        <v>0</v>
      </c>
      <c r="P221" s="85"/>
    </row>
    <row r="222" spans="1:16" hidden="1" x14ac:dyDescent="0.25">
      <c r="A222" s="76">
        <v>5233</v>
      </c>
      <c r="B222" s="127" t="s">
        <v>238</v>
      </c>
      <c r="C222" s="279">
        <f t="shared" si="26"/>
        <v>0</v>
      </c>
      <c r="D222" s="134"/>
      <c r="E222" s="285"/>
      <c r="F222" s="286">
        <f t="shared" si="30"/>
        <v>0</v>
      </c>
      <c r="G222" s="134"/>
      <c r="H222" s="135"/>
      <c r="I222" s="136">
        <f t="shared" si="31"/>
        <v>0</v>
      </c>
      <c r="J222" s="134"/>
      <c r="K222" s="135"/>
      <c r="L222" s="136">
        <f t="shared" si="32"/>
        <v>0</v>
      </c>
      <c r="M222" s="284"/>
      <c r="N222" s="285"/>
      <c r="O222" s="136">
        <f t="shared" si="33"/>
        <v>0</v>
      </c>
      <c r="P222" s="85"/>
    </row>
    <row r="223" spans="1:16" ht="24" hidden="1" x14ac:dyDescent="0.25">
      <c r="A223" s="76">
        <v>5234</v>
      </c>
      <c r="B223" s="127" t="s">
        <v>239</v>
      </c>
      <c r="C223" s="279">
        <f t="shared" si="26"/>
        <v>0</v>
      </c>
      <c r="D223" s="134"/>
      <c r="E223" s="285"/>
      <c r="F223" s="286">
        <f t="shared" si="30"/>
        <v>0</v>
      </c>
      <c r="G223" s="134"/>
      <c r="H223" s="135"/>
      <c r="I223" s="136">
        <f t="shared" si="31"/>
        <v>0</v>
      </c>
      <c r="J223" s="134"/>
      <c r="K223" s="135"/>
      <c r="L223" s="136">
        <f t="shared" si="32"/>
        <v>0</v>
      </c>
      <c r="M223" s="284"/>
      <c r="N223" s="285"/>
      <c r="O223" s="136">
        <f t="shared" si="33"/>
        <v>0</v>
      </c>
      <c r="P223" s="85"/>
    </row>
    <row r="224" spans="1:16" hidden="1" x14ac:dyDescent="0.25">
      <c r="A224" s="76">
        <v>5236</v>
      </c>
      <c r="B224" s="127" t="s">
        <v>240</v>
      </c>
      <c r="C224" s="279">
        <f t="shared" si="26"/>
        <v>0</v>
      </c>
      <c r="D224" s="134"/>
      <c r="E224" s="285"/>
      <c r="F224" s="286">
        <f t="shared" si="30"/>
        <v>0</v>
      </c>
      <c r="G224" s="134"/>
      <c r="H224" s="135"/>
      <c r="I224" s="136">
        <f t="shared" si="31"/>
        <v>0</v>
      </c>
      <c r="J224" s="134"/>
      <c r="K224" s="135"/>
      <c r="L224" s="136">
        <f t="shared" si="32"/>
        <v>0</v>
      </c>
      <c r="M224" s="284"/>
      <c r="N224" s="285"/>
      <c r="O224" s="136">
        <f t="shared" si="33"/>
        <v>0</v>
      </c>
      <c r="P224" s="85"/>
    </row>
    <row r="225" spans="1:16" hidden="1" x14ac:dyDescent="0.25">
      <c r="A225" s="76">
        <v>5237</v>
      </c>
      <c r="B225" s="127" t="s">
        <v>241</v>
      </c>
      <c r="C225" s="279">
        <f t="shared" si="26"/>
        <v>0</v>
      </c>
      <c r="D225" s="134"/>
      <c r="E225" s="285"/>
      <c r="F225" s="286">
        <f t="shared" si="30"/>
        <v>0</v>
      </c>
      <c r="G225" s="134"/>
      <c r="H225" s="135"/>
      <c r="I225" s="136">
        <f t="shared" si="31"/>
        <v>0</v>
      </c>
      <c r="J225" s="134"/>
      <c r="K225" s="135"/>
      <c r="L225" s="136">
        <f t="shared" si="32"/>
        <v>0</v>
      </c>
      <c r="M225" s="284"/>
      <c r="N225" s="285"/>
      <c r="O225" s="136">
        <f t="shared" si="33"/>
        <v>0</v>
      </c>
      <c r="P225" s="85"/>
    </row>
    <row r="226" spans="1:16" ht="24" hidden="1" x14ac:dyDescent="0.25">
      <c r="A226" s="76">
        <v>5238</v>
      </c>
      <c r="B226" s="127" t="s">
        <v>242</v>
      </c>
      <c r="C226" s="279">
        <f t="shared" si="26"/>
        <v>0</v>
      </c>
      <c r="D226" s="134"/>
      <c r="E226" s="285"/>
      <c r="F226" s="286">
        <f t="shared" si="30"/>
        <v>0</v>
      </c>
      <c r="G226" s="134"/>
      <c r="H226" s="135"/>
      <c r="I226" s="136">
        <f t="shared" si="31"/>
        <v>0</v>
      </c>
      <c r="J226" s="134"/>
      <c r="K226" s="135"/>
      <c r="L226" s="136">
        <f t="shared" si="32"/>
        <v>0</v>
      </c>
      <c r="M226" s="284"/>
      <c r="N226" s="285"/>
      <c r="O226" s="136">
        <f t="shared" si="33"/>
        <v>0</v>
      </c>
      <c r="P226" s="85"/>
    </row>
    <row r="227" spans="1:16" ht="24" hidden="1" x14ac:dyDescent="0.25">
      <c r="A227" s="76">
        <v>5239</v>
      </c>
      <c r="B227" s="127" t="s">
        <v>243</v>
      </c>
      <c r="C227" s="279">
        <f t="shared" si="26"/>
        <v>0</v>
      </c>
      <c r="D227" s="134"/>
      <c r="E227" s="285"/>
      <c r="F227" s="286">
        <f t="shared" si="30"/>
        <v>0</v>
      </c>
      <c r="G227" s="134"/>
      <c r="H227" s="135"/>
      <c r="I227" s="136">
        <f t="shared" si="31"/>
        <v>0</v>
      </c>
      <c r="J227" s="134"/>
      <c r="K227" s="135"/>
      <c r="L227" s="136">
        <f t="shared" si="32"/>
        <v>0</v>
      </c>
      <c r="M227" s="284"/>
      <c r="N227" s="285"/>
      <c r="O227" s="136">
        <f t="shared" si="33"/>
        <v>0</v>
      </c>
      <c r="P227" s="85"/>
    </row>
    <row r="228" spans="1:16" ht="24" hidden="1" x14ac:dyDescent="0.25">
      <c r="A228" s="276">
        <v>5240</v>
      </c>
      <c r="B228" s="127" t="s">
        <v>244</v>
      </c>
      <c r="C228" s="279">
        <f t="shared" si="26"/>
        <v>0</v>
      </c>
      <c r="D228" s="134"/>
      <c r="E228" s="285"/>
      <c r="F228" s="286">
        <f t="shared" si="30"/>
        <v>0</v>
      </c>
      <c r="G228" s="134"/>
      <c r="H228" s="135"/>
      <c r="I228" s="136">
        <f t="shared" si="31"/>
        <v>0</v>
      </c>
      <c r="J228" s="134"/>
      <c r="K228" s="135"/>
      <c r="L228" s="136">
        <f t="shared" si="32"/>
        <v>0</v>
      </c>
      <c r="M228" s="284"/>
      <c r="N228" s="285"/>
      <c r="O228" s="136">
        <f t="shared" si="33"/>
        <v>0</v>
      </c>
      <c r="P228" s="85"/>
    </row>
    <row r="229" spans="1:16" hidden="1" x14ac:dyDescent="0.25">
      <c r="A229" s="276">
        <v>5250</v>
      </c>
      <c r="B229" s="127" t="s">
        <v>245</v>
      </c>
      <c r="C229" s="279">
        <f t="shared" si="26"/>
        <v>0</v>
      </c>
      <c r="D229" s="134"/>
      <c r="E229" s="285"/>
      <c r="F229" s="286">
        <f t="shared" si="30"/>
        <v>0</v>
      </c>
      <c r="G229" s="134"/>
      <c r="H229" s="135"/>
      <c r="I229" s="136">
        <f t="shared" si="31"/>
        <v>0</v>
      </c>
      <c r="J229" s="134"/>
      <c r="K229" s="135"/>
      <c r="L229" s="136">
        <f t="shared" si="32"/>
        <v>0</v>
      </c>
      <c r="M229" s="284"/>
      <c r="N229" s="285"/>
      <c r="O229" s="136">
        <f t="shared" si="33"/>
        <v>0</v>
      </c>
      <c r="P229" s="85"/>
    </row>
    <row r="230" spans="1:16" hidden="1" x14ac:dyDescent="0.25">
      <c r="A230" s="276">
        <v>5260</v>
      </c>
      <c r="B230" s="127" t="s">
        <v>246</v>
      </c>
      <c r="C230" s="279">
        <f t="shared" si="26"/>
        <v>0</v>
      </c>
      <c r="D230" s="277">
        <f>SUM(D231)</f>
        <v>0</v>
      </c>
      <c r="E230" s="282">
        <f>SUM(E231)</f>
        <v>0</v>
      </c>
      <c r="F230" s="286">
        <f t="shared" si="30"/>
        <v>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row>
    <row r="231" spans="1:16" ht="24" hidden="1" x14ac:dyDescent="0.25">
      <c r="A231" s="76">
        <v>5269</v>
      </c>
      <c r="B231" s="127" t="s">
        <v>247</v>
      </c>
      <c r="C231" s="279">
        <f t="shared" si="26"/>
        <v>0</v>
      </c>
      <c r="D231" s="134"/>
      <c r="E231" s="285"/>
      <c r="F231" s="286">
        <f t="shared" si="30"/>
        <v>0</v>
      </c>
      <c r="G231" s="134"/>
      <c r="H231" s="135"/>
      <c r="I231" s="136">
        <f t="shared" si="31"/>
        <v>0</v>
      </c>
      <c r="J231" s="134"/>
      <c r="K231" s="135"/>
      <c r="L231" s="136">
        <f t="shared" si="32"/>
        <v>0</v>
      </c>
      <c r="M231" s="284"/>
      <c r="N231" s="285"/>
      <c r="O231" s="136">
        <f t="shared" si="33"/>
        <v>0</v>
      </c>
      <c r="P231" s="85"/>
    </row>
    <row r="232" spans="1:16" ht="24" hidden="1" x14ac:dyDescent="0.25">
      <c r="A232" s="254">
        <v>5270</v>
      </c>
      <c r="B232" s="179" t="s">
        <v>248</v>
      </c>
      <c r="C232" s="302">
        <f t="shared" si="26"/>
        <v>0</v>
      </c>
      <c r="D232" s="287"/>
      <c r="E232" s="291"/>
      <c r="F232" s="310">
        <f t="shared" si="30"/>
        <v>0</v>
      </c>
      <c r="G232" s="287"/>
      <c r="H232" s="289"/>
      <c r="I232" s="259">
        <f t="shared" si="31"/>
        <v>0</v>
      </c>
      <c r="J232" s="287"/>
      <c r="K232" s="289"/>
      <c r="L232" s="259">
        <f t="shared" si="32"/>
        <v>0</v>
      </c>
      <c r="M232" s="290"/>
      <c r="N232" s="291"/>
      <c r="O232" s="259">
        <f t="shared" si="33"/>
        <v>0</v>
      </c>
      <c r="P232" s="189"/>
    </row>
    <row r="233" spans="1:16" x14ac:dyDescent="0.25">
      <c r="A233" s="237">
        <v>6000</v>
      </c>
      <c r="B233" s="237" t="s">
        <v>249</v>
      </c>
      <c r="C233" s="238">
        <f t="shared" si="26"/>
        <v>1800</v>
      </c>
      <c r="D233" s="239">
        <f>D234+D254+D261</f>
        <v>1800</v>
      </c>
      <c r="E233" s="240">
        <f>E234+E254+E261</f>
        <v>0</v>
      </c>
      <c r="F233" s="241">
        <f t="shared" si="30"/>
        <v>1800</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row>
    <row r="234" spans="1:16"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row>
    <row r="235" spans="1:16" ht="24" hidden="1" x14ac:dyDescent="0.25">
      <c r="A235" s="656">
        <v>6220</v>
      </c>
      <c r="B235" s="116" t="s">
        <v>251</v>
      </c>
      <c r="C235" s="298">
        <f t="shared" si="26"/>
        <v>0</v>
      </c>
      <c r="D235" s="123"/>
      <c r="E235" s="262"/>
      <c r="F235" s="263">
        <f t="shared" si="30"/>
        <v>0</v>
      </c>
      <c r="G235" s="123"/>
      <c r="H235" s="124"/>
      <c r="I235" s="125">
        <f t="shared" si="31"/>
        <v>0</v>
      </c>
      <c r="J235" s="123"/>
      <c r="K235" s="124"/>
      <c r="L235" s="125">
        <f t="shared" si="32"/>
        <v>0</v>
      </c>
      <c r="M235" s="264"/>
      <c r="N235" s="262"/>
      <c r="O235" s="125">
        <f t="shared" si="33"/>
        <v>0</v>
      </c>
      <c r="P235" s="74"/>
    </row>
    <row r="236" spans="1:16" hidden="1" x14ac:dyDescent="0.25">
      <c r="A236" s="276">
        <v>6230</v>
      </c>
      <c r="B236" s="127" t="s">
        <v>252</v>
      </c>
      <c r="C236" s="278">
        <f t="shared" si="26"/>
        <v>0</v>
      </c>
      <c r="D236" s="277">
        <f>SUM(D237)</f>
        <v>0</v>
      </c>
      <c r="E236" s="280">
        <f>SUM(E237)</f>
        <v>0</v>
      </c>
      <c r="F236" s="28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row>
    <row r="237" spans="1:16" ht="24" hidden="1" x14ac:dyDescent="0.25">
      <c r="A237" s="76">
        <v>6239</v>
      </c>
      <c r="B237" s="116" t="s">
        <v>253</v>
      </c>
      <c r="C237" s="278">
        <f t="shared" si="26"/>
        <v>0</v>
      </c>
      <c r="D237" s="134"/>
      <c r="E237" s="285"/>
      <c r="F237" s="286">
        <f t="shared" si="30"/>
        <v>0</v>
      </c>
      <c r="G237" s="134"/>
      <c r="H237" s="135"/>
      <c r="I237" s="136">
        <f t="shared" si="31"/>
        <v>0</v>
      </c>
      <c r="J237" s="134"/>
      <c r="K237" s="135"/>
      <c r="L237" s="136">
        <f t="shared" si="32"/>
        <v>0</v>
      </c>
      <c r="M237" s="284"/>
      <c r="N237" s="285"/>
      <c r="O237" s="136">
        <f t="shared" si="33"/>
        <v>0</v>
      </c>
      <c r="P237" s="85"/>
    </row>
    <row r="238" spans="1:16" ht="24" hidden="1" x14ac:dyDescent="0.25">
      <c r="A238" s="276">
        <v>6240</v>
      </c>
      <c r="B238" s="127" t="s">
        <v>254</v>
      </c>
      <c r="C238" s="278">
        <f t="shared" si="26"/>
        <v>0</v>
      </c>
      <c r="D238" s="277">
        <f>SUM(D239:D240)</f>
        <v>0</v>
      </c>
      <c r="E238" s="282">
        <f>SUM(E239:E240)</f>
        <v>0</v>
      </c>
      <c r="F238" s="28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row>
    <row r="239" spans="1:16" hidden="1" x14ac:dyDescent="0.25">
      <c r="A239" s="76">
        <v>6241</v>
      </c>
      <c r="B239" s="127" t="s">
        <v>255</v>
      </c>
      <c r="C239" s="278">
        <f t="shared" si="26"/>
        <v>0</v>
      </c>
      <c r="D239" s="134"/>
      <c r="E239" s="285"/>
      <c r="F239" s="286">
        <f t="shared" si="30"/>
        <v>0</v>
      </c>
      <c r="G239" s="134"/>
      <c r="H239" s="135"/>
      <c r="I239" s="136">
        <f t="shared" si="31"/>
        <v>0</v>
      </c>
      <c r="J239" s="134"/>
      <c r="K239" s="135"/>
      <c r="L239" s="136">
        <f t="shared" si="32"/>
        <v>0</v>
      </c>
      <c r="M239" s="284"/>
      <c r="N239" s="285"/>
      <c r="O239" s="136">
        <f t="shared" si="33"/>
        <v>0</v>
      </c>
      <c r="P239" s="85"/>
    </row>
    <row r="240" spans="1:16" hidden="1" x14ac:dyDescent="0.25">
      <c r="A240" s="76">
        <v>6242</v>
      </c>
      <c r="B240" s="127" t="s">
        <v>256</v>
      </c>
      <c r="C240" s="278">
        <f t="shared" si="26"/>
        <v>0</v>
      </c>
      <c r="D240" s="134"/>
      <c r="E240" s="285"/>
      <c r="F240" s="286">
        <f t="shared" si="30"/>
        <v>0</v>
      </c>
      <c r="G240" s="134"/>
      <c r="H240" s="135"/>
      <c r="I240" s="136">
        <f t="shared" si="31"/>
        <v>0</v>
      </c>
      <c r="J240" s="134"/>
      <c r="K240" s="135"/>
      <c r="L240" s="136">
        <f t="shared" si="32"/>
        <v>0</v>
      </c>
      <c r="M240" s="284"/>
      <c r="N240" s="285"/>
      <c r="O240" s="136">
        <f t="shared" si="33"/>
        <v>0</v>
      </c>
      <c r="P240" s="85"/>
    </row>
    <row r="241" spans="1:16" ht="24" hidden="1" x14ac:dyDescent="0.25">
      <c r="A241" s="276">
        <v>6250</v>
      </c>
      <c r="B241" s="127" t="s">
        <v>257</v>
      </c>
      <c r="C241" s="278">
        <f t="shared" si="26"/>
        <v>0</v>
      </c>
      <c r="D241" s="277">
        <f>SUM(D242:D246)</f>
        <v>0</v>
      </c>
      <c r="E241" s="282">
        <f>SUM(E242:E246)</f>
        <v>0</v>
      </c>
      <c r="F241" s="28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row>
    <row r="242" spans="1:16" hidden="1" x14ac:dyDescent="0.25">
      <c r="A242" s="76">
        <v>6252</v>
      </c>
      <c r="B242" s="127" t="s">
        <v>258</v>
      </c>
      <c r="C242" s="278">
        <f t="shared" si="26"/>
        <v>0</v>
      </c>
      <c r="D242" s="134"/>
      <c r="E242" s="285"/>
      <c r="F242" s="286">
        <f t="shared" si="30"/>
        <v>0</v>
      </c>
      <c r="G242" s="134"/>
      <c r="H242" s="135"/>
      <c r="I242" s="136">
        <f t="shared" si="31"/>
        <v>0</v>
      </c>
      <c r="J242" s="134"/>
      <c r="K242" s="135"/>
      <c r="L242" s="136">
        <f t="shared" si="32"/>
        <v>0</v>
      </c>
      <c r="M242" s="284"/>
      <c r="N242" s="285"/>
      <c r="O242" s="136">
        <f t="shared" si="33"/>
        <v>0</v>
      </c>
      <c r="P242" s="85"/>
    </row>
    <row r="243" spans="1:16" hidden="1" x14ac:dyDescent="0.25">
      <c r="A243" s="76">
        <v>6253</v>
      </c>
      <c r="B243" s="127" t="s">
        <v>259</v>
      </c>
      <c r="C243" s="278">
        <f t="shared" si="26"/>
        <v>0</v>
      </c>
      <c r="D243" s="134"/>
      <c r="E243" s="285"/>
      <c r="F243" s="286">
        <f t="shared" si="30"/>
        <v>0</v>
      </c>
      <c r="G243" s="134"/>
      <c r="H243" s="135"/>
      <c r="I243" s="136">
        <f t="shared" si="31"/>
        <v>0</v>
      </c>
      <c r="J243" s="134"/>
      <c r="K243" s="135"/>
      <c r="L243" s="136">
        <f t="shared" si="32"/>
        <v>0</v>
      </c>
      <c r="M243" s="284"/>
      <c r="N243" s="285"/>
      <c r="O243" s="136">
        <f t="shared" si="33"/>
        <v>0</v>
      </c>
      <c r="P243" s="85"/>
    </row>
    <row r="244" spans="1:16" ht="24" hidden="1" x14ac:dyDescent="0.25">
      <c r="A244" s="76">
        <v>6254</v>
      </c>
      <c r="B244" s="127" t="s">
        <v>260</v>
      </c>
      <c r="C244" s="278">
        <f t="shared" si="26"/>
        <v>0</v>
      </c>
      <c r="D244" s="134"/>
      <c r="E244" s="285"/>
      <c r="F244" s="286">
        <f t="shared" si="30"/>
        <v>0</v>
      </c>
      <c r="G244" s="134"/>
      <c r="H244" s="135"/>
      <c r="I244" s="136">
        <f t="shared" si="31"/>
        <v>0</v>
      </c>
      <c r="J244" s="134"/>
      <c r="K244" s="135"/>
      <c r="L244" s="136">
        <f t="shared" si="32"/>
        <v>0</v>
      </c>
      <c r="M244" s="284"/>
      <c r="N244" s="285"/>
      <c r="O244" s="136">
        <f t="shared" si="33"/>
        <v>0</v>
      </c>
      <c r="P244" s="85"/>
    </row>
    <row r="245" spans="1:16" ht="24" hidden="1" x14ac:dyDescent="0.25">
      <c r="A245" s="76">
        <v>6255</v>
      </c>
      <c r="B245" s="127" t="s">
        <v>261</v>
      </c>
      <c r="C245" s="278">
        <f t="shared" si="26"/>
        <v>0</v>
      </c>
      <c r="D245" s="134"/>
      <c r="E245" s="285"/>
      <c r="F245" s="286">
        <f t="shared" si="30"/>
        <v>0</v>
      </c>
      <c r="G245" s="134"/>
      <c r="H245" s="135"/>
      <c r="I245" s="136">
        <f t="shared" si="31"/>
        <v>0</v>
      </c>
      <c r="J245" s="134"/>
      <c r="K245" s="135"/>
      <c r="L245" s="136">
        <f t="shared" si="32"/>
        <v>0</v>
      </c>
      <c r="M245" s="284"/>
      <c r="N245" s="285"/>
      <c r="O245" s="136">
        <f t="shared" si="33"/>
        <v>0</v>
      </c>
      <c r="P245" s="85"/>
    </row>
    <row r="246" spans="1:16" hidden="1" x14ac:dyDescent="0.25">
      <c r="A246" s="76">
        <v>6259</v>
      </c>
      <c r="B246" s="127" t="s">
        <v>262</v>
      </c>
      <c r="C246" s="278">
        <f t="shared" si="26"/>
        <v>0</v>
      </c>
      <c r="D246" s="134"/>
      <c r="E246" s="285"/>
      <c r="F246" s="286">
        <f t="shared" si="30"/>
        <v>0</v>
      </c>
      <c r="G246" s="134"/>
      <c r="H246" s="135"/>
      <c r="I246" s="136">
        <f t="shared" si="31"/>
        <v>0</v>
      </c>
      <c r="J246" s="134"/>
      <c r="K246" s="135"/>
      <c r="L246" s="136">
        <f t="shared" si="32"/>
        <v>0</v>
      </c>
      <c r="M246" s="284"/>
      <c r="N246" s="285"/>
      <c r="O246" s="136">
        <f t="shared" si="33"/>
        <v>0</v>
      </c>
      <c r="P246" s="85"/>
    </row>
    <row r="247" spans="1:16" ht="24" hidden="1" x14ac:dyDescent="0.25">
      <c r="A247" s="276">
        <v>6260</v>
      </c>
      <c r="B247" s="127" t="s">
        <v>263</v>
      </c>
      <c r="C247" s="278">
        <f t="shared" si="26"/>
        <v>0</v>
      </c>
      <c r="D247" s="134"/>
      <c r="E247" s="285"/>
      <c r="F247" s="286">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row>
    <row r="248" spans="1:16" hidden="1" x14ac:dyDescent="0.25">
      <c r="A248" s="276">
        <v>6270</v>
      </c>
      <c r="B248" s="127" t="s">
        <v>264</v>
      </c>
      <c r="C248" s="278">
        <f t="shared" si="26"/>
        <v>0</v>
      </c>
      <c r="D248" s="134"/>
      <c r="E248" s="285"/>
      <c r="F248" s="286">
        <f t="shared" si="37"/>
        <v>0</v>
      </c>
      <c r="G248" s="134"/>
      <c r="H248" s="135"/>
      <c r="I248" s="136">
        <f t="shared" si="38"/>
        <v>0</v>
      </c>
      <c r="J248" s="134"/>
      <c r="K248" s="135"/>
      <c r="L248" s="136">
        <f t="shared" si="39"/>
        <v>0</v>
      </c>
      <c r="M248" s="284"/>
      <c r="N248" s="285"/>
      <c r="O248" s="136">
        <f t="shared" si="40"/>
        <v>0</v>
      </c>
      <c r="P248" s="85"/>
    </row>
    <row r="249" spans="1:16" ht="24" hidden="1" x14ac:dyDescent="0.25">
      <c r="A249" s="656">
        <v>6290</v>
      </c>
      <c r="B249" s="116" t="s">
        <v>265</v>
      </c>
      <c r="C249" s="278">
        <f t="shared" si="26"/>
        <v>0</v>
      </c>
      <c r="D249" s="297">
        <f>SUM(D250:D253)</f>
        <v>0</v>
      </c>
      <c r="E249" s="301">
        <f>SUM(E250:E253)</f>
        <v>0</v>
      </c>
      <c r="F249" s="263">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row>
    <row r="250" spans="1:16" hidden="1" x14ac:dyDescent="0.25">
      <c r="A250" s="76">
        <v>6291</v>
      </c>
      <c r="B250" s="127" t="s">
        <v>266</v>
      </c>
      <c r="C250" s="278">
        <f t="shared" si="26"/>
        <v>0</v>
      </c>
      <c r="D250" s="134"/>
      <c r="E250" s="285"/>
      <c r="F250" s="286">
        <f t="shared" si="37"/>
        <v>0</v>
      </c>
      <c r="G250" s="134"/>
      <c r="H250" s="135"/>
      <c r="I250" s="136">
        <f t="shared" si="38"/>
        <v>0</v>
      </c>
      <c r="J250" s="134"/>
      <c r="K250" s="135"/>
      <c r="L250" s="136">
        <f t="shared" si="39"/>
        <v>0</v>
      </c>
      <c r="M250" s="284"/>
      <c r="N250" s="285"/>
      <c r="O250" s="136">
        <f t="shared" si="40"/>
        <v>0</v>
      </c>
      <c r="P250" s="85"/>
    </row>
    <row r="251" spans="1:16" hidden="1" x14ac:dyDescent="0.25">
      <c r="A251" s="76">
        <v>6292</v>
      </c>
      <c r="B251" s="127" t="s">
        <v>267</v>
      </c>
      <c r="C251" s="278">
        <f t="shared" si="26"/>
        <v>0</v>
      </c>
      <c r="D251" s="134"/>
      <c r="E251" s="285"/>
      <c r="F251" s="286">
        <f t="shared" si="37"/>
        <v>0</v>
      </c>
      <c r="G251" s="134"/>
      <c r="H251" s="135"/>
      <c r="I251" s="136">
        <f t="shared" si="38"/>
        <v>0</v>
      </c>
      <c r="J251" s="134"/>
      <c r="K251" s="135"/>
      <c r="L251" s="136">
        <f t="shared" si="39"/>
        <v>0</v>
      </c>
      <c r="M251" s="284"/>
      <c r="N251" s="285"/>
      <c r="O251" s="136">
        <f t="shared" si="40"/>
        <v>0</v>
      </c>
      <c r="P251" s="85"/>
    </row>
    <row r="252" spans="1:16" ht="72" hidden="1" x14ac:dyDescent="0.25">
      <c r="A252" s="76">
        <v>6296</v>
      </c>
      <c r="B252" s="127" t="s">
        <v>268</v>
      </c>
      <c r="C252" s="278">
        <f t="shared" si="26"/>
        <v>0</v>
      </c>
      <c r="D252" s="134"/>
      <c r="E252" s="285"/>
      <c r="F252" s="286">
        <f t="shared" si="37"/>
        <v>0</v>
      </c>
      <c r="G252" s="134"/>
      <c r="H252" s="135"/>
      <c r="I252" s="136">
        <f t="shared" si="38"/>
        <v>0</v>
      </c>
      <c r="J252" s="134"/>
      <c r="K252" s="135"/>
      <c r="L252" s="136">
        <f t="shared" si="39"/>
        <v>0</v>
      </c>
      <c r="M252" s="284"/>
      <c r="N252" s="285"/>
      <c r="O252" s="136">
        <f t="shared" si="40"/>
        <v>0</v>
      </c>
      <c r="P252" s="85"/>
    </row>
    <row r="253" spans="1:16" ht="36" hidden="1" x14ac:dyDescent="0.25">
      <c r="A253" s="76">
        <v>6299</v>
      </c>
      <c r="B253" s="127" t="s">
        <v>269</v>
      </c>
      <c r="C253" s="278">
        <f t="shared" si="26"/>
        <v>0</v>
      </c>
      <c r="D253" s="134"/>
      <c r="E253" s="285"/>
      <c r="F253" s="286">
        <f t="shared" si="37"/>
        <v>0</v>
      </c>
      <c r="G253" s="134"/>
      <c r="H253" s="135"/>
      <c r="I253" s="136">
        <f t="shared" si="38"/>
        <v>0</v>
      </c>
      <c r="J253" s="134"/>
      <c r="K253" s="135"/>
      <c r="L253" s="136">
        <f t="shared" si="39"/>
        <v>0</v>
      </c>
      <c r="M253" s="284"/>
      <c r="N253" s="285"/>
      <c r="O253" s="136">
        <f t="shared" si="40"/>
        <v>0</v>
      </c>
      <c r="P253" s="85"/>
    </row>
    <row r="254" spans="1:16" hidden="1" x14ac:dyDescent="0.25">
      <c r="A254" s="99">
        <v>6300</v>
      </c>
      <c r="B254" s="247" t="s">
        <v>270</v>
      </c>
      <c r="C254" s="100">
        <f t="shared" si="26"/>
        <v>0</v>
      </c>
      <c r="D254" s="112">
        <f>SUM(D255,D259,D260)</f>
        <v>0</v>
      </c>
      <c r="E254" s="293">
        <f>SUM(E255,E259,E260)</f>
        <v>0</v>
      </c>
      <c r="F254" s="313">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row>
    <row r="255" spans="1:16" ht="24" hidden="1" x14ac:dyDescent="0.25">
      <c r="A255" s="656">
        <v>6320</v>
      </c>
      <c r="B255" s="116" t="s">
        <v>271</v>
      </c>
      <c r="C255" s="322">
        <f t="shared" si="26"/>
        <v>0</v>
      </c>
      <c r="D255" s="297">
        <f>SUM(D256:D258)</f>
        <v>0</v>
      </c>
      <c r="E255" s="301">
        <f>SUM(E256:E258)</f>
        <v>0</v>
      </c>
      <c r="F255" s="263">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row>
    <row r="256" spans="1:16" hidden="1" x14ac:dyDescent="0.25">
      <c r="A256" s="76">
        <v>6322</v>
      </c>
      <c r="B256" s="127" t="s">
        <v>272</v>
      </c>
      <c r="C256" s="281">
        <f t="shared" si="26"/>
        <v>0</v>
      </c>
      <c r="D256" s="134"/>
      <c r="E256" s="285"/>
      <c r="F256" s="286">
        <f t="shared" si="37"/>
        <v>0</v>
      </c>
      <c r="G256" s="134"/>
      <c r="H256" s="135"/>
      <c r="I256" s="136">
        <f t="shared" si="38"/>
        <v>0</v>
      </c>
      <c r="J256" s="134"/>
      <c r="K256" s="135"/>
      <c r="L256" s="136">
        <f t="shared" si="39"/>
        <v>0</v>
      </c>
      <c r="M256" s="284"/>
      <c r="N256" s="285"/>
      <c r="O256" s="136">
        <f t="shared" si="40"/>
        <v>0</v>
      </c>
      <c r="P256" s="85"/>
    </row>
    <row r="257" spans="1:16" ht="24" hidden="1" x14ac:dyDescent="0.25">
      <c r="A257" s="76">
        <v>6323</v>
      </c>
      <c r="B257" s="127" t="s">
        <v>273</v>
      </c>
      <c r="C257" s="281">
        <f t="shared" si="26"/>
        <v>0</v>
      </c>
      <c r="D257" s="134"/>
      <c r="E257" s="285"/>
      <c r="F257" s="286">
        <f t="shared" si="37"/>
        <v>0</v>
      </c>
      <c r="G257" s="134"/>
      <c r="H257" s="135"/>
      <c r="I257" s="136">
        <f t="shared" si="38"/>
        <v>0</v>
      </c>
      <c r="J257" s="134"/>
      <c r="K257" s="135"/>
      <c r="L257" s="136">
        <f t="shared" si="39"/>
        <v>0</v>
      </c>
      <c r="M257" s="284"/>
      <c r="N257" s="285"/>
      <c r="O257" s="136">
        <f t="shared" si="40"/>
        <v>0</v>
      </c>
      <c r="P257" s="85"/>
    </row>
    <row r="258" spans="1:16" ht="24" hidden="1" x14ac:dyDescent="0.25">
      <c r="A258" s="66">
        <v>6324</v>
      </c>
      <c r="B258" s="116" t="s">
        <v>274</v>
      </c>
      <c r="C258" s="281">
        <f t="shared" si="26"/>
        <v>0</v>
      </c>
      <c r="D258" s="123"/>
      <c r="E258" s="262"/>
      <c r="F258" s="263">
        <f t="shared" si="37"/>
        <v>0</v>
      </c>
      <c r="G258" s="123"/>
      <c r="H258" s="124"/>
      <c r="I258" s="125">
        <f t="shared" si="38"/>
        <v>0</v>
      </c>
      <c r="J258" s="123"/>
      <c r="K258" s="124"/>
      <c r="L258" s="125">
        <f t="shared" si="39"/>
        <v>0</v>
      </c>
      <c r="M258" s="264"/>
      <c r="N258" s="262"/>
      <c r="O258" s="125">
        <f t="shared" si="40"/>
        <v>0</v>
      </c>
      <c r="P258" s="74"/>
    </row>
    <row r="259" spans="1:16" ht="24" hidden="1" x14ac:dyDescent="0.25">
      <c r="A259" s="344">
        <v>6330</v>
      </c>
      <c r="B259" s="345" t="s">
        <v>275</v>
      </c>
      <c r="C259" s="281">
        <f t="shared" ref="C259:C286" si="50">F259+I259+L259+O259</f>
        <v>0</v>
      </c>
      <c r="D259" s="328"/>
      <c r="E259" s="329"/>
      <c r="F259" s="330">
        <f t="shared" si="37"/>
        <v>0</v>
      </c>
      <c r="G259" s="328"/>
      <c r="H259" s="331"/>
      <c r="I259" s="324">
        <f t="shared" si="38"/>
        <v>0</v>
      </c>
      <c r="J259" s="328"/>
      <c r="K259" s="331"/>
      <c r="L259" s="324">
        <f t="shared" si="39"/>
        <v>0</v>
      </c>
      <c r="M259" s="332"/>
      <c r="N259" s="329"/>
      <c r="O259" s="324">
        <f t="shared" si="40"/>
        <v>0</v>
      </c>
      <c r="P259" s="325"/>
    </row>
    <row r="260" spans="1:16" hidden="1" x14ac:dyDescent="0.25">
      <c r="A260" s="276">
        <v>6360</v>
      </c>
      <c r="B260" s="127" t="s">
        <v>276</v>
      </c>
      <c r="C260" s="281">
        <f t="shared" si="50"/>
        <v>0</v>
      </c>
      <c r="D260" s="134"/>
      <c r="E260" s="285"/>
      <c r="F260" s="286">
        <f t="shared" si="37"/>
        <v>0</v>
      </c>
      <c r="G260" s="134"/>
      <c r="H260" s="135"/>
      <c r="I260" s="136">
        <f t="shared" si="38"/>
        <v>0</v>
      </c>
      <c r="J260" s="134"/>
      <c r="K260" s="135"/>
      <c r="L260" s="136">
        <f t="shared" si="39"/>
        <v>0</v>
      </c>
      <c r="M260" s="284"/>
      <c r="N260" s="285"/>
      <c r="O260" s="136">
        <f t="shared" si="40"/>
        <v>0</v>
      </c>
      <c r="P260" s="85"/>
    </row>
    <row r="261" spans="1:16" ht="36" x14ac:dyDescent="0.25">
      <c r="A261" s="99">
        <v>6400</v>
      </c>
      <c r="B261" s="247" t="s">
        <v>277</v>
      </c>
      <c r="C261" s="100">
        <f t="shared" si="50"/>
        <v>1800</v>
      </c>
      <c r="D261" s="112">
        <f>SUM(D262,D266)</f>
        <v>1800</v>
      </c>
      <c r="E261" s="248">
        <f>SUM(E262,E266)</f>
        <v>0</v>
      </c>
      <c r="F261" s="249">
        <f t="shared" si="37"/>
        <v>1800</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row>
    <row r="262" spans="1:16" ht="24" hidden="1" x14ac:dyDescent="0.25">
      <c r="A262" s="656">
        <v>6410</v>
      </c>
      <c r="B262" s="116" t="s">
        <v>278</v>
      </c>
      <c r="C262" s="300">
        <f t="shared" si="50"/>
        <v>0</v>
      </c>
      <c r="D262" s="297">
        <f>SUM(D263:D265)</f>
        <v>0</v>
      </c>
      <c r="E262" s="301">
        <f>SUM(E263:E265)</f>
        <v>0</v>
      </c>
      <c r="F262" s="263">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row>
    <row r="263" spans="1:16" hidden="1" x14ac:dyDescent="0.25">
      <c r="A263" s="76">
        <v>6411</v>
      </c>
      <c r="B263" s="346" t="s">
        <v>279</v>
      </c>
      <c r="C263" s="278">
        <f t="shared" si="50"/>
        <v>0</v>
      </c>
      <c r="D263" s="134"/>
      <c r="E263" s="285"/>
      <c r="F263" s="286">
        <f t="shared" si="37"/>
        <v>0</v>
      </c>
      <c r="G263" s="134"/>
      <c r="H263" s="135"/>
      <c r="I263" s="136">
        <f t="shared" si="38"/>
        <v>0</v>
      </c>
      <c r="J263" s="134"/>
      <c r="K263" s="135"/>
      <c r="L263" s="136">
        <f t="shared" si="39"/>
        <v>0</v>
      </c>
      <c r="M263" s="284"/>
      <c r="N263" s="285"/>
      <c r="O263" s="136">
        <f t="shared" si="40"/>
        <v>0</v>
      </c>
      <c r="P263" s="85"/>
    </row>
    <row r="264" spans="1:16" ht="36" hidden="1" x14ac:dyDescent="0.25">
      <c r="A264" s="76">
        <v>6412</v>
      </c>
      <c r="B264" s="127" t="s">
        <v>280</v>
      </c>
      <c r="C264" s="278">
        <f t="shared" si="50"/>
        <v>0</v>
      </c>
      <c r="D264" s="134"/>
      <c r="E264" s="285"/>
      <c r="F264" s="286">
        <f t="shared" si="37"/>
        <v>0</v>
      </c>
      <c r="G264" s="134"/>
      <c r="H264" s="135"/>
      <c r="I264" s="136">
        <f t="shared" si="38"/>
        <v>0</v>
      </c>
      <c r="J264" s="134"/>
      <c r="K264" s="135"/>
      <c r="L264" s="136">
        <f t="shared" si="39"/>
        <v>0</v>
      </c>
      <c r="M264" s="284"/>
      <c r="N264" s="285"/>
      <c r="O264" s="136">
        <f t="shared" si="40"/>
        <v>0</v>
      </c>
      <c r="P264" s="85"/>
    </row>
    <row r="265" spans="1:16" ht="36" hidden="1" x14ac:dyDescent="0.25">
      <c r="A265" s="76">
        <v>6419</v>
      </c>
      <c r="B265" s="127" t="s">
        <v>281</v>
      </c>
      <c r="C265" s="278">
        <f t="shared" si="50"/>
        <v>0</v>
      </c>
      <c r="D265" s="134"/>
      <c r="E265" s="285"/>
      <c r="F265" s="286">
        <f t="shared" si="37"/>
        <v>0</v>
      </c>
      <c r="G265" s="134"/>
      <c r="H265" s="135"/>
      <c r="I265" s="136">
        <f t="shared" si="38"/>
        <v>0</v>
      </c>
      <c r="J265" s="134"/>
      <c r="K265" s="135"/>
      <c r="L265" s="136">
        <f t="shared" si="39"/>
        <v>0</v>
      </c>
      <c r="M265" s="284"/>
      <c r="N265" s="285"/>
      <c r="O265" s="136">
        <f t="shared" si="40"/>
        <v>0</v>
      </c>
      <c r="P265" s="85"/>
    </row>
    <row r="266" spans="1:16" ht="36" x14ac:dyDescent="0.25">
      <c r="A266" s="276">
        <v>6420</v>
      </c>
      <c r="B266" s="127" t="s">
        <v>282</v>
      </c>
      <c r="C266" s="278">
        <f t="shared" si="50"/>
        <v>1800</v>
      </c>
      <c r="D266" s="277">
        <f>SUM(D267:D270)</f>
        <v>1800</v>
      </c>
      <c r="E266" s="278">
        <f>SUM(E267:E270)</f>
        <v>0</v>
      </c>
      <c r="F266" s="279">
        <f t="shared" si="37"/>
        <v>1800</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row>
    <row r="267" spans="1:16" hidden="1" x14ac:dyDescent="0.25">
      <c r="A267" s="76">
        <v>6421</v>
      </c>
      <c r="B267" s="127" t="s">
        <v>283</v>
      </c>
      <c r="C267" s="278">
        <f t="shared" si="50"/>
        <v>0</v>
      </c>
      <c r="D267" s="134"/>
      <c r="E267" s="285"/>
      <c r="F267" s="286">
        <f t="shared" si="37"/>
        <v>0</v>
      </c>
      <c r="G267" s="134"/>
      <c r="H267" s="135"/>
      <c r="I267" s="136">
        <f t="shared" si="38"/>
        <v>0</v>
      </c>
      <c r="J267" s="134"/>
      <c r="K267" s="135"/>
      <c r="L267" s="136">
        <f t="shared" si="39"/>
        <v>0</v>
      </c>
      <c r="M267" s="284"/>
      <c r="N267" s="285"/>
      <c r="O267" s="136">
        <f t="shared" si="40"/>
        <v>0</v>
      </c>
      <c r="P267" s="85"/>
    </row>
    <row r="268" spans="1:16" x14ac:dyDescent="0.25">
      <c r="A268" s="76">
        <v>6422</v>
      </c>
      <c r="B268" s="127" t="s">
        <v>284</v>
      </c>
      <c r="C268" s="278">
        <f t="shared" si="50"/>
        <v>1800</v>
      </c>
      <c r="D268" s="134">
        <v>1800</v>
      </c>
      <c r="E268" s="283"/>
      <c r="F268" s="279">
        <f t="shared" si="37"/>
        <v>1800</v>
      </c>
      <c r="G268" s="134"/>
      <c r="H268" s="135"/>
      <c r="I268" s="136">
        <f t="shared" si="38"/>
        <v>0</v>
      </c>
      <c r="J268" s="134"/>
      <c r="K268" s="135"/>
      <c r="L268" s="136">
        <f t="shared" si="39"/>
        <v>0</v>
      </c>
      <c r="M268" s="284"/>
      <c r="N268" s="285"/>
      <c r="O268" s="136">
        <f t="shared" si="40"/>
        <v>0</v>
      </c>
      <c r="P268" s="85"/>
    </row>
    <row r="269" spans="1:16" ht="24" hidden="1" x14ac:dyDescent="0.25">
      <c r="A269" s="76">
        <v>6423</v>
      </c>
      <c r="B269" s="127" t="s">
        <v>285</v>
      </c>
      <c r="C269" s="278">
        <f t="shared" si="50"/>
        <v>0</v>
      </c>
      <c r="D269" s="134"/>
      <c r="E269" s="285"/>
      <c r="F269" s="286">
        <f t="shared" si="37"/>
        <v>0</v>
      </c>
      <c r="G269" s="134"/>
      <c r="H269" s="135"/>
      <c r="I269" s="136">
        <f t="shared" si="38"/>
        <v>0</v>
      </c>
      <c r="J269" s="134"/>
      <c r="K269" s="135"/>
      <c r="L269" s="136">
        <f t="shared" si="39"/>
        <v>0</v>
      </c>
      <c r="M269" s="284"/>
      <c r="N269" s="285"/>
      <c r="O269" s="136">
        <f t="shared" si="40"/>
        <v>0</v>
      </c>
      <c r="P269" s="85"/>
    </row>
    <row r="270" spans="1:16" ht="36" hidden="1" x14ac:dyDescent="0.25">
      <c r="A270" s="76">
        <v>6424</v>
      </c>
      <c r="B270" s="127" t="s">
        <v>286</v>
      </c>
      <c r="C270" s="278">
        <f t="shared" si="50"/>
        <v>0</v>
      </c>
      <c r="D270" s="134"/>
      <c r="E270" s="285"/>
      <c r="F270" s="286">
        <f t="shared" si="37"/>
        <v>0</v>
      </c>
      <c r="G270" s="134"/>
      <c r="H270" s="135"/>
      <c r="I270" s="136">
        <f t="shared" si="38"/>
        <v>0</v>
      </c>
      <c r="J270" s="134"/>
      <c r="K270" s="135"/>
      <c r="L270" s="136">
        <f t="shared" si="39"/>
        <v>0</v>
      </c>
      <c r="M270" s="284"/>
      <c r="N270" s="285"/>
      <c r="O270" s="136">
        <f t="shared" si="40"/>
        <v>0</v>
      </c>
      <c r="P270" s="85"/>
    </row>
    <row r="271" spans="1:16" ht="36" hidden="1" x14ac:dyDescent="0.25">
      <c r="A271" s="347">
        <v>7000</v>
      </c>
      <c r="B271" s="347" t="s">
        <v>287</v>
      </c>
      <c r="C271" s="348">
        <f t="shared" si="50"/>
        <v>0</v>
      </c>
      <c r="D271" s="349">
        <f>SUM(D272,D282)</f>
        <v>0</v>
      </c>
      <c r="E271" s="407">
        <f>SUM(E272,E282)</f>
        <v>0</v>
      </c>
      <c r="F271" s="408">
        <f t="shared" si="37"/>
        <v>0</v>
      </c>
      <c r="G271" s="349">
        <f>SUM(G272,G282)</f>
        <v>0</v>
      </c>
      <c r="H271" s="352">
        <f>SUM(H272,H282)</f>
        <v>0</v>
      </c>
      <c r="I271" s="353">
        <f t="shared" si="38"/>
        <v>0</v>
      </c>
      <c r="J271" s="349">
        <f>SUM(J272,J282)</f>
        <v>0</v>
      </c>
      <c r="K271" s="352">
        <f>SUM(K272,K282)</f>
        <v>0</v>
      </c>
      <c r="L271" s="353">
        <f t="shared" si="39"/>
        <v>0</v>
      </c>
      <c r="M271" s="354">
        <f>SUM(M272,M282)</f>
        <v>0</v>
      </c>
      <c r="N271" s="355">
        <f>SUM(N272,N282)</f>
        <v>0</v>
      </c>
      <c r="O271" s="356">
        <f t="shared" si="40"/>
        <v>0</v>
      </c>
      <c r="P271" s="357"/>
    </row>
    <row r="272" spans="1:16" ht="24" hidden="1" x14ac:dyDescent="0.25">
      <c r="A272" s="99">
        <v>7200</v>
      </c>
      <c r="B272" s="247" t="s">
        <v>288</v>
      </c>
      <c r="C272" s="100">
        <f t="shared" si="50"/>
        <v>0</v>
      </c>
      <c r="D272" s="112">
        <f>SUM(D273,D274,D277,D278,D281)</f>
        <v>0</v>
      </c>
      <c r="E272" s="293">
        <f>SUM(E273,E274,E277,E278,E281)</f>
        <v>0</v>
      </c>
      <c r="F272" s="313">
        <f t="shared" si="37"/>
        <v>0</v>
      </c>
      <c r="G272" s="112">
        <f>SUM(G273,G274,G277,G278,G281)</f>
        <v>0</v>
      </c>
      <c r="H272" s="113">
        <f>SUM(H273,H274,H277,H278,H281)</f>
        <v>0</v>
      </c>
      <c r="I272" s="114">
        <f t="shared" si="38"/>
        <v>0</v>
      </c>
      <c r="J272" s="112">
        <f>SUM(J273,J274,J277,J278,J281)</f>
        <v>0</v>
      </c>
      <c r="K272" s="113">
        <f>SUM(K273,K274,K277,K278,K281)</f>
        <v>0</v>
      </c>
      <c r="L272" s="114">
        <f t="shared" si="39"/>
        <v>0</v>
      </c>
      <c r="M272" s="250">
        <f>SUM(M273,M274,M277,M278,M281)</f>
        <v>0</v>
      </c>
      <c r="N272" s="251">
        <f>SUM(N273,N274,N277,N278,N281)</f>
        <v>0</v>
      </c>
      <c r="O272" s="252">
        <f t="shared" si="40"/>
        <v>0</v>
      </c>
      <c r="P272" s="253"/>
    </row>
    <row r="273" spans="1:16" ht="24" hidden="1" x14ac:dyDescent="0.25">
      <c r="A273" s="656">
        <v>7210</v>
      </c>
      <c r="B273" s="116" t="s">
        <v>289</v>
      </c>
      <c r="C273" s="117">
        <f t="shared" si="50"/>
        <v>0</v>
      </c>
      <c r="D273" s="123"/>
      <c r="E273" s="262"/>
      <c r="F273" s="263">
        <f t="shared" si="37"/>
        <v>0</v>
      </c>
      <c r="G273" s="123"/>
      <c r="H273" s="124"/>
      <c r="I273" s="125">
        <f t="shared" si="38"/>
        <v>0</v>
      </c>
      <c r="J273" s="123"/>
      <c r="K273" s="124"/>
      <c r="L273" s="125">
        <f t="shared" si="39"/>
        <v>0</v>
      </c>
      <c r="M273" s="264"/>
      <c r="N273" s="262"/>
      <c r="O273" s="125">
        <f t="shared" si="40"/>
        <v>0</v>
      </c>
      <c r="P273" s="74"/>
    </row>
    <row r="274" spans="1:16" s="358" customFormat="1" ht="36" hidden="1" x14ac:dyDescent="0.25">
      <c r="A274" s="276">
        <v>7220</v>
      </c>
      <c r="B274" s="127" t="s">
        <v>290</v>
      </c>
      <c r="C274" s="128">
        <f t="shared" si="50"/>
        <v>0</v>
      </c>
      <c r="D274" s="277">
        <f>SUM(D275:D276)</f>
        <v>0</v>
      </c>
      <c r="E274" s="282">
        <f>SUM(E275:E276)</f>
        <v>0</v>
      </c>
      <c r="F274" s="28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row>
    <row r="275" spans="1:16" s="358" customFormat="1" ht="36" hidden="1" x14ac:dyDescent="0.25">
      <c r="A275" s="76">
        <v>7221</v>
      </c>
      <c r="B275" s="127" t="s">
        <v>291</v>
      </c>
      <c r="C275" s="128">
        <f t="shared" si="50"/>
        <v>0</v>
      </c>
      <c r="D275" s="134"/>
      <c r="E275" s="285"/>
      <c r="F275" s="286">
        <f t="shared" si="37"/>
        <v>0</v>
      </c>
      <c r="G275" s="134"/>
      <c r="H275" s="135"/>
      <c r="I275" s="136">
        <f t="shared" si="38"/>
        <v>0</v>
      </c>
      <c r="J275" s="134"/>
      <c r="K275" s="135"/>
      <c r="L275" s="136">
        <f t="shared" si="39"/>
        <v>0</v>
      </c>
      <c r="M275" s="284"/>
      <c r="N275" s="285"/>
      <c r="O275" s="136">
        <f t="shared" si="40"/>
        <v>0</v>
      </c>
      <c r="P275" s="85"/>
    </row>
    <row r="276" spans="1:16" s="358" customFormat="1" ht="36" hidden="1" x14ac:dyDescent="0.25">
      <c r="A276" s="76">
        <v>7222</v>
      </c>
      <c r="B276" s="127" t="s">
        <v>292</v>
      </c>
      <c r="C276" s="128">
        <f t="shared" si="50"/>
        <v>0</v>
      </c>
      <c r="D276" s="134"/>
      <c r="E276" s="285"/>
      <c r="F276" s="286">
        <f t="shared" si="37"/>
        <v>0</v>
      </c>
      <c r="G276" s="134"/>
      <c r="H276" s="135"/>
      <c r="I276" s="136">
        <f t="shared" si="38"/>
        <v>0</v>
      </c>
      <c r="J276" s="134"/>
      <c r="K276" s="135"/>
      <c r="L276" s="136">
        <f t="shared" si="39"/>
        <v>0</v>
      </c>
      <c r="M276" s="284"/>
      <c r="N276" s="285"/>
      <c r="O276" s="136">
        <f t="shared" si="40"/>
        <v>0</v>
      </c>
      <c r="P276" s="85"/>
    </row>
    <row r="277" spans="1:16" s="358" customFormat="1" ht="24" hidden="1" x14ac:dyDescent="0.25">
      <c r="A277" s="276">
        <v>7230</v>
      </c>
      <c r="B277" s="127" t="s">
        <v>293</v>
      </c>
      <c r="C277" s="128">
        <f t="shared" si="50"/>
        <v>0</v>
      </c>
      <c r="D277" s="134"/>
      <c r="E277" s="285"/>
      <c r="F277" s="286">
        <f t="shared" si="37"/>
        <v>0</v>
      </c>
      <c r="G277" s="134"/>
      <c r="H277" s="135"/>
      <c r="I277" s="136">
        <f t="shared" si="38"/>
        <v>0</v>
      </c>
      <c r="J277" s="134"/>
      <c r="K277" s="135"/>
      <c r="L277" s="136">
        <f t="shared" si="39"/>
        <v>0</v>
      </c>
      <c r="M277" s="284"/>
      <c r="N277" s="285"/>
      <c r="O277" s="136">
        <f>M277+N277</f>
        <v>0</v>
      </c>
      <c r="P277" s="85"/>
    </row>
    <row r="278" spans="1:16" ht="24" hidden="1" x14ac:dyDescent="0.25">
      <c r="A278" s="276">
        <v>7240</v>
      </c>
      <c r="B278" s="127" t="s">
        <v>294</v>
      </c>
      <c r="C278" s="128">
        <f t="shared" si="50"/>
        <v>0</v>
      </c>
      <c r="D278" s="277">
        <f>SUM(D279:D280)</f>
        <v>0</v>
      </c>
      <c r="E278" s="282">
        <f>SUM(E279:E280)</f>
        <v>0</v>
      </c>
      <c r="F278" s="28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row>
    <row r="279" spans="1:16" ht="48" hidden="1" x14ac:dyDescent="0.25">
      <c r="A279" s="76">
        <v>7245</v>
      </c>
      <c r="B279" s="127" t="s">
        <v>295</v>
      </c>
      <c r="C279" s="128">
        <f t="shared" si="50"/>
        <v>0</v>
      </c>
      <c r="D279" s="134"/>
      <c r="E279" s="285"/>
      <c r="F279" s="286">
        <f t="shared" si="37"/>
        <v>0</v>
      </c>
      <c r="G279" s="134"/>
      <c r="H279" s="135"/>
      <c r="I279" s="136">
        <f t="shared" si="38"/>
        <v>0</v>
      </c>
      <c r="J279" s="134"/>
      <c r="K279" s="135"/>
      <c r="L279" s="136">
        <f t="shared" si="39"/>
        <v>0</v>
      </c>
      <c r="M279" s="284"/>
      <c r="N279" s="285"/>
      <c r="O279" s="136">
        <f t="shared" ref="O279:O282" si="57">M279+N279</f>
        <v>0</v>
      </c>
      <c r="P279" s="85"/>
    </row>
    <row r="280" spans="1:16" ht="96" hidden="1" x14ac:dyDescent="0.25">
      <c r="A280" s="76">
        <v>7246</v>
      </c>
      <c r="B280" s="127" t="s">
        <v>296</v>
      </c>
      <c r="C280" s="128">
        <f t="shared" si="50"/>
        <v>0</v>
      </c>
      <c r="D280" s="134"/>
      <c r="E280" s="285"/>
      <c r="F280" s="286">
        <f t="shared" si="37"/>
        <v>0</v>
      </c>
      <c r="G280" s="134"/>
      <c r="H280" s="135"/>
      <c r="I280" s="136">
        <f t="shared" si="38"/>
        <v>0</v>
      </c>
      <c r="J280" s="134"/>
      <c r="K280" s="135"/>
      <c r="L280" s="136">
        <f t="shared" si="39"/>
        <v>0</v>
      </c>
      <c r="M280" s="284"/>
      <c r="N280" s="285"/>
      <c r="O280" s="136">
        <f t="shared" si="57"/>
        <v>0</v>
      </c>
      <c r="P280" s="85"/>
    </row>
    <row r="281" spans="1:16" ht="24" hidden="1" x14ac:dyDescent="0.25">
      <c r="A281" s="276">
        <v>7260</v>
      </c>
      <c r="B281" s="127" t="s">
        <v>297</v>
      </c>
      <c r="C281" s="128">
        <f t="shared" si="50"/>
        <v>0</v>
      </c>
      <c r="D281" s="123"/>
      <c r="E281" s="262"/>
      <c r="F281" s="263">
        <f t="shared" si="37"/>
        <v>0</v>
      </c>
      <c r="G281" s="123"/>
      <c r="H281" s="124"/>
      <c r="I281" s="125">
        <f t="shared" si="38"/>
        <v>0</v>
      </c>
      <c r="J281" s="123"/>
      <c r="K281" s="124"/>
      <c r="L281" s="125">
        <f t="shared" si="39"/>
        <v>0</v>
      </c>
      <c r="M281" s="264"/>
      <c r="N281" s="262"/>
      <c r="O281" s="125">
        <f t="shared" si="57"/>
        <v>0</v>
      </c>
      <c r="P281" s="74"/>
    </row>
    <row r="282" spans="1:16" hidden="1" x14ac:dyDescent="0.25">
      <c r="A282" s="99">
        <v>7700</v>
      </c>
      <c r="B282" s="247" t="s">
        <v>298</v>
      </c>
      <c r="C282" s="359">
        <f t="shared" si="50"/>
        <v>0</v>
      </c>
      <c r="D282" s="360">
        <f>D283</f>
        <v>0</v>
      </c>
      <c r="E282" s="304">
        <f>SUM(E283)</f>
        <v>0</v>
      </c>
      <c r="F282" s="316">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row>
    <row r="283" spans="1:16" hidden="1" x14ac:dyDescent="0.25">
      <c r="A283" s="141">
        <v>7720</v>
      </c>
      <c r="B283" s="142" t="s">
        <v>299</v>
      </c>
      <c r="C283" s="362">
        <f t="shared" si="50"/>
        <v>0</v>
      </c>
      <c r="D283" s="149"/>
      <c r="E283" s="363"/>
      <c r="F283" s="364">
        <f t="shared" si="37"/>
        <v>0</v>
      </c>
      <c r="G283" s="149"/>
      <c r="H283" s="150"/>
      <c r="I283" s="151">
        <f t="shared" si="38"/>
        <v>0</v>
      </c>
      <c r="J283" s="149"/>
      <c r="K283" s="150"/>
      <c r="L283" s="151">
        <f t="shared" si="39"/>
        <v>0</v>
      </c>
      <c r="M283" s="365"/>
      <c r="N283" s="363"/>
      <c r="O283" s="151">
        <f>M283+N283</f>
        <v>0</v>
      </c>
      <c r="P283" s="153"/>
    </row>
    <row r="284" spans="1:16" hidden="1" x14ac:dyDescent="0.25">
      <c r="A284" s="366"/>
      <c r="B284" s="179" t="s">
        <v>300</v>
      </c>
      <c r="C284" s="117">
        <f t="shared" si="50"/>
        <v>0</v>
      </c>
      <c r="D284" s="255">
        <f>SUM(D285:D286)</f>
        <v>0</v>
      </c>
      <c r="E284" s="261">
        <f>SUM(E285:E286)</f>
        <v>0</v>
      </c>
      <c r="F284" s="310">
        <f t="shared" si="37"/>
        <v>0</v>
      </c>
      <c r="G284" s="255">
        <f>SUM(G285:G286)</f>
        <v>0</v>
      </c>
      <c r="H284" s="258">
        <f>SUM(H285:H286)</f>
        <v>0</v>
      </c>
      <c r="I284" s="259">
        <f t="shared" si="38"/>
        <v>0</v>
      </c>
      <c r="J284" s="255">
        <f>SUM(J285:J286)</f>
        <v>0</v>
      </c>
      <c r="K284" s="258">
        <f>SUM(K285:K286)</f>
        <v>0</v>
      </c>
      <c r="L284" s="259">
        <f t="shared" si="39"/>
        <v>0</v>
      </c>
      <c r="M284" s="260">
        <f>SUM(M285:M286)</f>
        <v>0</v>
      </c>
      <c r="N284" s="261">
        <f>SUM(N285:N286)</f>
        <v>0</v>
      </c>
      <c r="O284" s="259">
        <f t="shared" ref="O284:O299" si="58">M284+N284</f>
        <v>0</v>
      </c>
      <c r="P284" s="189"/>
    </row>
    <row r="285" spans="1:16" hidden="1" x14ac:dyDescent="0.25">
      <c r="A285" s="346" t="s">
        <v>301</v>
      </c>
      <c r="B285" s="76" t="s">
        <v>302</v>
      </c>
      <c r="C285" s="279">
        <f t="shared" si="50"/>
        <v>0</v>
      </c>
      <c r="D285" s="134"/>
      <c r="E285" s="285"/>
      <c r="F285" s="286">
        <f t="shared" si="37"/>
        <v>0</v>
      </c>
      <c r="G285" s="134"/>
      <c r="H285" s="135"/>
      <c r="I285" s="136">
        <f t="shared" si="38"/>
        <v>0</v>
      </c>
      <c r="J285" s="134"/>
      <c r="K285" s="135"/>
      <c r="L285" s="136">
        <f t="shared" si="39"/>
        <v>0</v>
      </c>
      <c r="M285" s="284"/>
      <c r="N285" s="285"/>
      <c r="O285" s="136">
        <f t="shared" si="58"/>
        <v>0</v>
      </c>
      <c r="P285" s="85"/>
    </row>
    <row r="286" spans="1:16" ht="24" hidden="1" x14ac:dyDescent="0.25">
      <c r="A286" s="346" t="s">
        <v>303</v>
      </c>
      <c r="B286" s="367" t="s">
        <v>304</v>
      </c>
      <c r="C286" s="117">
        <f t="shared" si="50"/>
        <v>0</v>
      </c>
      <c r="D286" s="123"/>
      <c r="E286" s="262"/>
      <c r="F286" s="263">
        <f t="shared" si="37"/>
        <v>0</v>
      </c>
      <c r="G286" s="123"/>
      <c r="H286" s="124"/>
      <c r="I286" s="125">
        <f t="shared" si="38"/>
        <v>0</v>
      </c>
      <c r="J286" s="123"/>
      <c r="K286" s="124"/>
      <c r="L286" s="125">
        <f t="shared" si="39"/>
        <v>0</v>
      </c>
      <c r="M286" s="264"/>
      <c r="N286" s="262"/>
      <c r="O286" s="125">
        <f t="shared" si="58"/>
        <v>0</v>
      </c>
      <c r="P286" s="74"/>
    </row>
    <row r="287" spans="1:16" x14ac:dyDescent="0.25">
      <c r="A287" s="368"/>
      <c r="B287" s="369" t="s">
        <v>305</v>
      </c>
      <c r="C287" s="370">
        <f>SUM(C284,C271,C233,C198,C190,C176,C78,C56)</f>
        <v>449666</v>
      </c>
      <c r="D287" s="371">
        <f>SUM(D284,D271,D233,D198,D190,D176,D78,D56)</f>
        <v>432951</v>
      </c>
      <c r="E287" s="372">
        <f>SUM(E284,E271,E233,E198,E190,E176,E78,E56)</f>
        <v>0</v>
      </c>
      <c r="F287" s="373">
        <f t="shared" si="37"/>
        <v>432951</v>
      </c>
      <c r="G287" s="371">
        <f>SUM(G284,G271,G233,G198,G190,G176,G78,G56)</f>
        <v>0</v>
      </c>
      <c r="H287" s="374">
        <f>SUM(H284,H271,H233,H198,H190,H176,H78,H56)</f>
        <v>0</v>
      </c>
      <c r="I287" s="375">
        <f t="shared" si="38"/>
        <v>0</v>
      </c>
      <c r="J287" s="371">
        <f>SUM(J284,J271,J233,J198,J190,J176,J78,J56)</f>
        <v>16715</v>
      </c>
      <c r="K287" s="374">
        <f>SUM(K284,K271,K233,K198,K190,K176,K78,K56)</f>
        <v>0</v>
      </c>
      <c r="L287" s="375">
        <f t="shared" si="39"/>
        <v>16715</v>
      </c>
      <c r="M287" s="250">
        <f>SUM(M284,M271,M233,M198,M190,M176,M78,M56)</f>
        <v>0</v>
      </c>
      <c r="N287" s="251">
        <f>SUM(N284,N271,N233,N198,N190,N176,N78,N56)</f>
        <v>0</v>
      </c>
      <c r="O287" s="252">
        <f t="shared" si="58"/>
        <v>0</v>
      </c>
      <c r="P287" s="253"/>
    </row>
    <row r="288" spans="1:16" x14ac:dyDescent="0.25">
      <c r="A288" s="376" t="s">
        <v>306</v>
      </c>
      <c r="B288" s="377"/>
      <c r="C288" s="378">
        <f t="shared" ref="C288" si="59">F288+I288+L288+O288</f>
        <v>-5880</v>
      </c>
      <c r="D288" s="379">
        <f>SUM(D28,D29,D45)-D54</f>
        <v>0</v>
      </c>
      <c r="E288" s="380">
        <f>SUM(E28,E29,E45)-E54</f>
        <v>0</v>
      </c>
      <c r="F288" s="381">
        <f t="shared" si="37"/>
        <v>0</v>
      </c>
      <c r="G288" s="379">
        <f>SUM(G28,G29,G45)-G54</f>
        <v>0</v>
      </c>
      <c r="H288" s="382">
        <f>SUM(H28,H29,H45)-H54</f>
        <v>0</v>
      </c>
      <c r="I288" s="383">
        <f t="shared" si="38"/>
        <v>0</v>
      </c>
      <c r="J288" s="379">
        <f>(J30+J46)-J54</f>
        <v>-5880</v>
      </c>
      <c r="K288" s="382">
        <f>(K30+K46)-K54</f>
        <v>0</v>
      </c>
      <c r="L288" s="383">
        <f t="shared" si="39"/>
        <v>-5880</v>
      </c>
      <c r="M288" s="378">
        <f>M48-M54</f>
        <v>0</v>
      </c>
      <c r="N288" s="384">
        <f>N48-N54</f>
        <v>0</v>
      </c>
      <c r="O288" s="383">
        <f t="shared" si="58"/>
        <v>0</v>
      </c>
      <c r="P288" s="385"/>
    </row>
    <row r="289" spans="1:17" s="41" customFormat="1" x14ac:dyDescent="0.25">
      <c r="A289" s="376" t="s">
        <v>307</v>
      </c>
      <c r="B289" s="377"/>
      <c r="C289" s="380">
        <f>SUM(C290,C291)-C298+C299</f>
        <v>5880</v>
      </c>
      <c r="D289" s="379">
        <f>SUM(D290,D291)-D298+D299</f>
        <v>0</v>
      </c>
      <c r="E289" s="380">
        <f>SUM(E290,E291)-E298+E299</f>
        <v>0</v>
      </c>
      <c r="F289" s="381">
        <f t="shared" si="37"/>
        <v>0</v>
      </c>
      <c r="G289" s="379">
        <f>SUM(G290,G291)-G298+G299</f>
        <v>0</v>
      </c>
      <c r="H289" s="382">
        <f>SUM(H290,H291)-H298+H299</f>
        <v>0</v>
      </c>
      <c r="I289" s="383">
        <f t="shared" si="38"/>
        <v>0</v>
      </c>
      <c r="J289" s="379">
        <f>SUM(J290,J291)-J298+J299</f>
        <v>5880</v>
      </c>
      <c r="K289" s="382">
        <f>SUM(K290,K291)-K298+K299</f>
        <v>0</v>
      </c>
      <c r="L289" s="383">
        <f t="shared" si="39"/>
        <v>5880</v>
      </c>
      <c r="M289" s="378">
        <f>SUM(M290,M291)-M298+M299</f>
        <v>0</v>
      </c>
      <c r="N289" s="384">
        <f>SUM(N290,N291)-N298+N299</f>
        <v>0</v>
      </c>
      <c r="O289" s="383">
        <f t="shared" si="58"/>
        <v>0</v>
      </c>
      <c r="P289" s="385"/>
    </row>
    <row r="290" spans="1:17" s="41" customFormat="1" x14ac:dyDescent="0.25">
      <c r="A290" s="386" t="s">
        <v>308</v>
      </c>
      <c r="B290" s="386" t="s">
        <v>309</v>
      </c>
      <c r="C290" s="380">
        <f>C25-C284</f>
        <v>5880</v>
      </c>
      <c r="D290" s="379">
        <f>D25-D284</f>
        <v>0</v>
      </c>
      <c r="E290" s="380">
        <f>E25-E284</f>
        <v>0</v>
      </c>
      <c r="F290" s="381">
        <f t="shared" si="37"/>
        <v>0</v>
      </c>
      <c r="G290" s="379">
        <f>G25-G284</f>
        <v>0</v>
      </c>
      <c r="H290" s="382">
        <f>H25-H284</f>
        <v>0</v>
      </c>
      <c r="I290" s="383">
        <f t="shared" si="38"/>
        <v>0</v>
      </c>
      <c r="J290" s="379">
        <f>J25-J284</f>
        <v>5880</v>
      </c>
      <c r="K290" s="382">
        <f>K25-K284</f>
        <v>0</v>
      </c>
      <c r="L290" s="383">
        <f t="shared" si="39"/>
        <v>5880</v>
      </c>
      <c r="M290" s="378">
        <f>M25-M284</f>
        <v>0</v>
      </c>
      <c r="N290" s="384">
        <f>N25-N284</f>
        <v>0</v>
      </c>
      <c r="O290" s="383">
        <f t="shared" si="58"/>
        <v>0</v>
      </c>
      <c r="P290" s="385"/>
    </row>
    <row r="291" spans="1:17" s="41" customFormat="1" hidden="1" x14ac:dyDescent="0.25">
      <c r="A291" s="387" t="s">
        <v>310</v>
      </c>
      <c r="B291" s="387" t="s">
        <v>311</v>
      </c>
      <c r="C291" s="380">
        <f>SUM(C292,C294,C296)-SUM(C293,C295,C297)</f>
        <v>0</v>
      </c>
      <c r="D291" s="379">
        <f t="shared" ref="D291:E291" si="60">SUM(D292,D294,D296)-SUM(D293,D295,D297)</f>
        <v>0</v>
      </c>
      <c r="E291" s="384">
        <f t="shared" si="60"/>
        <v>0</v>
      </c>
      <c r="F291" s="388">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row>
    <row r="292" spans="1:17" s="41" customFormat="1" hidden="1" x14ac:dyDescent="0.25">
      <c r="A292" s="366" t="s">
        <v>312</v>
      </c>
      <c r="B292" s="190" t="s">
        <v>313</v>
      </c>
      <c r="C292" s="143">
        <f t="shared" ref="C292:C299" si="64">F292+I292+L292+O292</f>
        <v>0</v>
      </c>
      <c r="D292" s="149"/>
      <c r="E292" s="363"/>
      <c r="F292" s="364">
        <f t="shared" si="37"/>
        <v>0</v>
      </c>
      <c r="G292" s="149"/>
      <c r="H292" s="150"/>
      <c r="I292" s="151">
        <f t="shared" si="38"/>
        <v>0</v>
      </c>
      <c r="J292" s="149"/>
      <c r="K292" s="150"/>
      <c r="L292" s="151">
        <f t="shared" si="39"/>
        <v>0</v>
      </c>
      <c r="M292" s="365"/>
      <c r="N292" s="363"/>
      <c r="O292" s="151">
        <f t="shared" si="58"/>
        <v>0</v>
      </c>
      <c r="P292" s="153"/>
    </row>
    <row r="293" spans="1:17" ht="24" hidden="1" x14ac:dyDescent="0.25">
      <c r="A293" s="346" t="s">
        <v>314</v>
      </c>
      <c r="B293" s="75" t="s">
        <v>315</v>
      </c>
      <c r="C293" s="128">
        <f t="shared" si="64"/>
        <v>0</v>
      </c>
      <c r="D293" s="134"/>
      <c r="E293" s="285"/>
      <c r="F293" s="286">
        <f t="shared" si="37"/>
        <v>0</v>
      </c>
      <c r="G293" s="134"/>
      <c r="H293" s="135"/>
      <c r="I293" s="136">
        <f t="shared" si="38"/>
        <v>0</v>
      </c>
      <c r="J293" s="134"/>
      <c r="K293" s="135"/>
      <c r="L293" s="136">
        <f t="shared" si="39"/>
        <v>0</v>
      </c>
      <c r="M293" s="284"/>
      <c r="N293" s="285"/>
      <c r="O293" s="136">
        <f t="shared" si="58"/>
        <v>0</v>
      </c>
      <c r="P293" s="85"/>
    </row>
    <row r="294" spans="1:17" hidden="1" x14ac:dyDescent="0.25">
      <c r="A294" s="346" t="s">
        <v>316</v>
      </c>
      <c r="B294" s="75" t="s">
        <v>317</v>
      </c>
      <c r="C294" s="128">
        <f t="shared" si="64"/>
        <v>0</v>
      </c>
      <c r="D294" s="134"/>
      <c r="E294" s="285"/>
      <c r="F294" s="286">
        <f t="shared" si="37"/>
        <v>0</v>
      </c>
      <c r="G294" s="134"/>
      <c r="H294" s="135"/>
      <c r="I294" s="136">
        <f t="shared" si="38"/>
        <v>0</v>
      </c>
      <c r="J294" s="134"/>
      <c r="K294" s="135"/>
      <c r="L294" s="136">
        <f t="shared" si="39"/>
        <v>0</v>
      </c>
      <c r="M294" s="284"/>
      <c r="N294" s="285"/>
      <c r="O294" s="136">
        <f t="shared" si="58"/>
        <v>0</v>
      </c>
      <c r="P294" s="85"/>
    </row>
    <row r="295" spans="1:17" ht="24" hidden="1" x14ac:dyDescent="0.25">
      <c r="A295" s="346" t="s">
        <v>318</v>
      </c>
      <c r="B295" s="75" t="s">
        <v>319</v>
      </c>
      <c r="C295" s="128">
        <f t="shared" si="64"/>
        <v>0</v>
      </c>
      <c r="D295" s="134"/>
      <c r="E295" s="285"/>
      <c r="F295" s="286">
        <f t="shared" si="37"/>
        <v>0</v>
      </c>
      <c r="G295" s="134"/>
      <c r="H295" s="135"/>
      <c r="I295" s="136">
        <f t="shared" si="38"/>
        <v>0</v>
      </c>
      <c r="J295" s="134"/>
      <c r="K295" s="135"/>
      <c r="L295" s="136">
        <f t="shared" si="39"/>
        <v>0</v>
      </c>
      <c r="M295" s="284"/>
      <c r="N295" s="285"/>
      <c r="O295" s="136">
        <f t="shared" si="58"/>
        <v>0</v>
      </c>
      <c r="P295" s="85"/>
    </row>
    <row r="296" spans="1:17" hidden="1" x14ac:dyDescent="0.25">
      <c r="A296" s="346" t="s">
        <v>320</v>
      </c>
      <c r="B296" s="75" t="s">
        <v>321</v>
      </c>
      <c r="C296" s="128">
        <f t="shared" si="64"/>
        <v>0</v>
      </c>
      <c r="D296" s="134"/>
      <c r="E296" s="285"/>
      <c r="F296" s="286">
        <f t="shared" si="37"/>
        <v>0</v>
      </c>
      <c r="G296" s="134"/>
      <c r="H296" s="135"/>
      <c r="I296" s="136">
        <f t="shared" si="38"/>
        <v>0</v>
      </c>
      <c r="J296" s="134"/>
      <c r="K296" s="135"/>
      <c r="L296" s="136">
        <f t="shared" si="39"/>
        <v>0</v>
      </c>
      <c r="M296" s="284"/>
      <c r="N296" s="285"/>
      <c r="O296" s="136">
        <f t="shared" si="58"/>
        <v>0</v>
      </c>
      <c r="P296" s="85"/>
    </row>
    <row r="297" spans="1:17" ht="24" hidden="1" x14ac:dyDescent="0.25">
      <c r="A297" s="389" t="s">
        <v>322</v>
      </c>
      <c r="B297" s="390" t="s">
        <v>323</v>
      </c>
      <c r="C297" s="327">
        <f t="shared" si="64"/>
        <v>0</v>
      </c>
      <c r="D297" s="328"/>
      <c r="E297" s="329"/>
      <c r="F297" s="330">
        <f t="shared" si="37"/>
        <v>0</v>
      </c>
      <c r="G297" s="328"/>
      <c r="H297" s="331"/>
      <c r="I297" s="324">
        <f t="shared" si="38"/>
        <v>0</v>
      </c>
      <c r="J297" s="328"/>
      <c r="K297" s="331"/>
      <c r="L297" s="324">
        <f t="shared" si="39"/>
        <v>0</v>
      </c>
      <c r="M297" s="332"/>
      <c r="N297" s="329"/>
      <c r="O297" s="324">
        <f t="shared" si="58"/>
        <v>0</v>
      </c>
      <c r="P297" s="325"/>
    </row>
    <row r="298" spans="1:17" hidden="1" x14ac:dyDescent="0.25">
      <c r="A298" s="387" t="s">
        <v>324</v>
      </c>
      <c r="B298" s="387" t="s">
        <v>325</v>
      </c>
      <c r="C298" s="391">
        <f t="shared" si="64"/>
        <v>0</v>
      </c>
      <c r="D298" s="392"/>
      <c r="E298" s="393"/>
      <c r="F298" s="388">
        <f t="shared" si="37"/>
        <v>0</v>
      </c>
      <c r="G298" s="392"/>
      <c r="H298" s="394"/>
      <c r="I298" s="383">
        <f t="shared" si="38"/>
        <v>0</v>
      </c>
      <c r="J298" s="392"/>
      <c r="K298" s="394"/>
      <c r="L298" s="383">
        <f t="shared" si="39"/>
        <v>0</v>
      </c>
      <c r="M298" s="395"/>
      <c r="N298" s="393"/>
      <c r="O298" s="383">
        <f t="shared" si="58"/>
        <v>0</v>
      </c>
      <c r="P298" s="385"/>
    </row>
    <row r="299" spans="1:17" s="41" customFormat="1" ht="48" hidden="1" x14ac:dyDescent="0.25">
      <c r="A299" s="387" t="s">
        <v>326</v>
      </c>
      <c r="B299" s="396" t="s">
        <v>327</v>
      </c>
      <c r="C299" s="397">
        <f t="shared" si="64"/>
        <v>0</v>
      </c>
      <c r="D299" s="398"/>
      <c r="E299" s="399"/>
      <c r="F299" s="400">
        <f t="shared" si="37"/>
        <v>0</v>
      </c>
      <c r="G299" s="392"/>
      <c r="H299" s="394"/>
      <c r="I299" s="383">
        <f t="shared" si="38"/>
        <v>0</v>
      </c>
      <c r="J299" s="392"/>
      <c r="K299" s="394"/>
      <c r="L299" s="383">
        <f t="shared" si="39"/>
        <v>0</v>
      </c>
      <c r="M299" s="395"/>
      <c r="N299" s="393"/>
      <c r="O299" s="383">
        <f t="shared" si="58"/>
        <v>0</v>
      </c>
      <c r="P299" s="385"/>
    </row>
    <row r="300" spans="1:17"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17" ht="12.75" thickBot="1" x14ac:dyDescent="0.3">
      <c r="A301" s="404"/>
      <c r="B301" s="405"/>
      <c r="C301" s="405"/>
      <c r="D301" s="405"/>
      <c r="E301" s="405"/>
      <c r="F301" s="405"/>
      <c r="G301" s="405"/>
      <c r="H301" s="405"/>
      <c r="I301" s="405"/>
      <c r="J301" s="405"/>
      <c r="K301" s="405"/>
      <c r="L301" s="405"/>
      <c r="M301" s="405"/>
      <c r="N301" s="405"/>
      <c r="O301" s="405"/>
      <c r="P301" s="406"/>
      <c r="Q301" s="7"/>
    </row>
    <row r="302" spans="1:17" x14ac:dyDescent="0.25">
      <c r="A302" s="5"/>
      <c r="B302" s="5"/>
      <c r="C302" s="5"/>
      <c r="D302" s="5"/>
      <c r="E302" s="5"/>
      <c r="F302" s="5"/>
      <c r="G302" s="5"/>
      <c r="H302" s="5"/>
      <c r="I302" s="5"/>
      <c r="J302" s="5"/>
      <c r="K302" s="5"/>
      <c r="L302" s="5"/>
      <c r="M302" s="5"/>
      <c r="N302" s="5"/>
      <c r="O302" s="5"/>
    </row>
    <row r="303" spans="1:17" x14ac:dyDescent="0.25">
      <c r="A303" s="5"/>
      <c r="B303" s="5"/>
      <c r="C303" s="5"/>
      <c r="D303" s="5"/>
      <c r="E303" s="5"/>
      <c r="F303" s="5"/>
      <c r="G303" s="5"/>
      <c r="H303" s="5"/>
      <c r="I303" s="5"/>
      <c r="J303" s="5"/>
      <c r="K303" s="5"/>
      <c r="L303" s="5"/>
      <c r="M303" s="5"/>
      <c r="N303" s="5"/>
      <c r="O303" s="5"/>
    </row>
    <row r="304" spans="1:17"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l6eHNxzMdS2hy03WQMkhWz2lyFaiZltaKKRcxD1FwcuhmteYSWICA6q3Y9kluLVxo+1qcVeuaA3///Vsz8vgrw==" saltValue="KCByy/qkBbu0YTFI1Bc1Bw==" spinCount="100000" sheet="1" objects="1" scenarios="1" formatCells="0" formatColumns="0" formatRows="0"/>
  <autoFilter ref="A22:P300">
    <filterColumn colId="2">
      <filters blank="1">
        <filter val="1 035"/>
        <filter val="1 401"/>
        <filter val="1 800"/>
        <filter val="1 814"/>
        <filter val="10 835"/>
        <filter val="12"/>
        <filter val="120 982"/>
        <filter val="132 450"/>
        <filter val="141 675"/>
        <filter val="18 184"/>
        <filter val="194"/>
        <filter val="2 008"/>
        <filter val="2 428"/>
        <filter val="200"/>
        <filter val="321 033"/>
        <filter val="372 389"/>
        <filter val="4 990"/>
        <filter val="41 206"/>
        <filter val="432 951"/>
        <filter val="447 866"/>
        <filter val="449 666"/>
        <filter val="46 208"/>
        <filter val="46 912"/>
        <filter val="47 947"/>
        <filter val="49 348"/>
        <filter val="5 880"/>
        <filter val="-5 880"/>
        <filter val="500"/>
        <filter val="75 477"/>
        <filter val="81"/>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2:P12"/>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77.pielikums Jūrmalas pilsētas domes
2017.gada 30.janvāra saistošajiem noteikumiem Nr.10
(Protokols Nr.4, 1.punkts)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19"/>
  <sheetViews>
    <sheetView showGridLines="0" view="pageLayout" zoomScaleNormal="100" workbookViewId="0">
      <selection activeCell="S16" sqref="S16"/>
    </sheetView>
  </sheetViews>
  <sheetFormatPr defaultRowHeight="12" outlineLevelCol="1" x14ac:dyDescent="0.25"/>
  <cols>
    <col min="1" max="1" width="6.7109375" style="1" customWidth="1"/>
    <col min="2" max="2" width="27.28515625" style="1" customWidth="1"/>
    <col min="3" max="3" width="8.7109375" style="1" customWidth="1"/>
    <col min="4" max="4" width="7.85546875" style="1" hidden="1" customWidth="1" outlineLevel="1"/>
    <col min="5" max="5" width="7.140625" style="1" hidden="1" customWidth="1" outlineLevel="1"/>
    <col min="6" max="6" width="7" style="1" customWidth="1" collapsed="1"/>
    <col min="7" max="8" width="8.85546875" style="1" hidden="1" customWidth="1" outlineLevel="1"/>
    <col min="9" max="9" width="8.85546875" style="1" customWidth="1" collapsed="1"/>
    <col min="10" max="10" width="8.7109375" style="1" hidden="1" customWidth="1" outlineLevel="1"/>
    <col min="11" max="11" width="7" style="1" hidden="1" customWidth="1" outlineLevel="1"/>
    <col min="12" max="12" width="7" style="1" customWidth="1" collapsed="1"/>
    <col min="13" max="14" width="7.85546875" style="1" hidden="1" customWidth="1" outlineLevel="1"/>
    <col min="15" max="15" width="7.85546875" style="1" customWidth="1" collapsed="1"/>
    <col min="16" max="16" width="26.5703125" style="1" hidden="1" customWidth="1" outlineLevel="1"/>
    <col min="17" max="17" width="9.140625" style="5" customWidth="1" collapsed="1"/>
    <col min="18" max="16384" width="9.140625" style="5"/>
  </cols>
  <sheetData>
    <row r="1" spans="1:17" x14ac:dyDescent="0.25">
      <c r="B1" s="409"/>
      <c r="C1" s="409"/>
      <c r="D1" s="409"/>
      <c r="E1" s="409"/>
      <c r="F1" s="409"/>
      <c r="G1" s="409"/>
      <c r="H1" s="409"/>
      <c r="I1" s="409"/>
      <c r="J1" s="409"/>
      <c r="K1" s="409"/>
      <c r="L1" s="409"/>
      <c r="M1" s="409"/>
      <c r="N1" s="409"/>
      <c r="O1" s="410" t="s">
        <v>520</v>
      </c>
      <c r="P1" s="409"/>
    </row>
    <row r="2" spans="1:17" x14ac:dyDescent="0.25">
      <c r="B2" s="409"/>
      <c r="C2" s="409"/>
      <c r="D2" s="409"/>
      <c r="E2" s="409"/>
      <c r="F2" s="409"/>
      <c r="G2" s="409"/>
      <c r="H2" s="409"/>
      <c r="I2" s="409"/>
      <c r="J2" s="409"/>
      <c r="K2" s="409"/>
      <c r="L2" s="409"/>
      <c r="M2" s="409"/>
      <c r="N2" s="409"/>
      <c r="O2" s="410"/>
      <c r="P2" s="409"/>
    </row>
    <row r="3" spans="1:17" x14ac:dyDescent="0.25">
      <c r="A3" s="411"/>
      <c r="B3" s="412"/>
      <c r="C3" s="412"/>
      <c r="D3" s="412"/>
      <c r="E3" s="412"/>
      <c r="F3" s="412"/>
      <c r="G3" s="412"/>
      <c r="H3" s="412"/>
      <c r="I3" s="412"/>
      <c r="J3" s="412"/>
      <c r="K3" s="412"/>
      <c r="L3" s="412"/>
      <c r="M3" s="412"/>
      <c r="N3" s="412"/>
      <c r="O3" s="413"/>
      <c r="P3" s="414"/>
      <c r="Q3" s="7"/>
    </row>
    <row r="4" spans="1:17" ht="15.75" x14ac:dyDescent="0.25">
      <c r="A4" s="1560" t="s">
        <v>1</v>
      </c>
      <c r="B4" s="1561"/>
      <c r="C4" s="1561"/>
      <c r="D4" s="1561"/>
      <c r="E4" s="1561"/>
      <c r="F4" s="1561"/>
      <c r="G4" s="1561"/>
      <c r="H4" s="1561"/>
      <c r="I4" s="1561"/>
      <c r="J4" s="1561"/>
      <c r="K4" s="1561"/>
      <c r="L4" s="1561"/>
      <c r="M4" s="1561"/>
      <c r="N4" s="1561"/>
      <c r="O4" s="1561"/>
      <c r="P4" s="1561"/>
      <c r="Q4" s="7"/>
    </row>
    <row r="5" spans="1:17" ht="15.75" x14ac:dyDescent="0.25">
      <c r="A5" s="653"/>
      <c r="B5" s="654"/>
      <c r="C5" s="654"/>
      <c r="D5" s="654"/>
      <c r="E5" s="654"/>
      <c r="F5" s="654"/>
      <c r="G5" s="654"/>
      <c r="H5" s="654"/>
      <c r="I5" s="654"/>
      <c r="J5" s="654"/>
      <c r="K5" s="654"/>
      <c r="L5" s="654"/>
      <c r="M5" s="654"/>
      <c r="N5" s="654"/>
      <c r="O5" s="654"/>
      <c r="P5" s="654"/>
      <c r="Q5" s="7"/>
    </row>
    <row r="6" spans="1:17" ht="12.75" customHeight="1" x14ac:dyDescent="0.25">
      <c r="A6" s="13" t="s">
        <v>2</v>
      </c>
      <c r="B6" s="14"/>
      <c r="C6" s="1555" t="s">
        <v>521</v>
      </c>
      <c r="D6" s="1555"/>
      <c r="E6" s="1555"/>
      <c r="F6" s="1555"/>
      <c r="G6" s="1555"/>
      <c r="H6" s="1555"/>
      <c r="I6" s="1555"/>
      <c r="J6" s="1555"/>
      <c r="K6" s="1555"/>
      <c r="L6" s="1555"/>
      <c r="M6" s="1555"/>
      <c r="N6" s="1555"/>
      <c r="O6" s="1555"/>
      <c r="P6" s="1555"/>
      <c r="Q6" s="7"/>
    </row>
    <row r="7" spans="1:17" ht="12.75" customHeight="1" x14ac:dyDescent="0.25">
      <c r="A7" s="13" t="s">
        <v>4</v>
      </c>
      <c r="B7" s="14"/>
      <c r="C7" s="1555" t="s">
        <v>522</v>
      </c>
      <c r="D7" s="1555"/>
      <c r="E7" s="1555"/>
      <c r="F7" s="1555"/>
      <c r="G7" s="1555"/>
      <c r="H7" s="1555"/>
      <c r="I7" s="1555"/>
      <c r="J7" s="1555"/>
      <c r="K7" s="1555"/>
      <c r="L7" s="1555"/>
      <c r="M7" s="1555"/>
      <c r="N7" s="1555"/>
      <c r="O7" s="1555"/>
      <c r="P7" s="1555"/>
      <c r="Q7" s="7"/>
    </row>
    <row r="8" spans="1:17" ht="12.75" customHeight="1" x14ac:dyDescent="0.25">
      <c r="A8" s="8" t="s">
        <v>6</v>
      </c>
      <c r="B8" s="9"/>
      <c r="C8" s="1553" t="s">
        <v>523</v>
      </c>
      <c r="D8" s="1553"/>
      <c r="E8" s="1553"/>
      <c r="F8" s="1553"/>
      <c r="G8" s="1553"/>
      <c r="H8" s="1553"/>
      <c r="I8" s="1553"/>
      <c r="J8" s="1553"/>
      <c r="K8" s="1553"/>
      <c r="L8" s="1553"/>
      <c r="M8" s="1553"/>
      <c r="N8" s="1553"/>
      <c r="O8" s="1553"/>
      <c r="P8" s="1553"/>
      <c r="Q8" s="7"/>
    </row>
    <row r="9" spans="1:17" ht="12.75" customHeight="1" x14ac:dyDescent="0.25">
      <c r="A9" s="8" t="s">
        <v>8</v>
      </c>
      <c r="B9" s="9"/>
      <c r="C9" s="1553" t="s">
        <v>524</v>
      </c>
      <c r="D9" s="1553"/>
      <c r="E9" s="1553"/>
      <c r="F9" s="1553"/>
      <c r="G9" s="1553"/>
      <c r="H9" s="1553"/>
      <c r="I9" s="1553"/>
      <c r="J9" s="1553"/>
      <c r="K9" s="1553"/>
      <c r="L9" s="1553"/>
      <c r="M9" s="1553"/>
      <c r="N9" s="1553"/>
      <c r="O9" s="1553"/>
      <c r="P9" s="1553"/>
      <c r="Q9" s="7"/>
    </row>
    <row r="10" spans="1:17" x14ac:dyDescent="0.25">
      <c r="A10" s="8" t="s">
        <v>10</v>
      </c>
      <c r="B10" s="9"/>
      <c r="C10" s="1555" t="s">
        <v>525</v>
      </c>
      <c r="D10" s="1555"/>
      <c r="E10" s="1555"/>
      <c r="F10" s="1555"/>
      <c r="G10" s="1555"/>
      <c r="H10" s="1555"/>
      <c r="I10" s="1555"/>
      <c r="J10" s="1555"/>
      <c r="K10" s="1555"/>
      <c r="L10" s="1555"/>
      <c r="M10" s="1555"/>
      <c r="N10" s="1555"/>
      <c r="O10" s="1555"/>
      <c r="P10" s="1555"/>
      <c r="Q10" s="7"/>
    </row>
    <row r="11" spans="1:17" x14ac:dyDescent="0.25">
      <c r="A11" s="8" t="s">
        <v>12</v>
      </c>
      <c r="B11" s="9"/>
      <c r="C11" s="655"/>
      <c r="D11" s="655"/>
      <c r="E11" s="655"/>
      <c r="F11" s="655"/>
      <c r="H11" s="655"/>
      <c r="I11" s="655"/>
      <c r="J11" s="655"/>
      <c r="K11" s="655"/>
      <c r="L11" s="655"/>
      <c r="M11" s="655"/>
      <c r="N11" s="655"/>
      <c r="O11" s="655"/>
      <c r="P11" s="655"/>
      <c r="Q11" s="7"/>
    </row>
    <row r="12" spans="1:17" ht="12.75" customHeight="1" x14ac:dyDescent="0.25">
      <c r="A12" s="15" t="s">
        <v>14</v>
      </c>
      <c r="B12" s="9"/>
      <c r="C12" s="1599"/>
      <c r="D12" s="1599"/>
      <c r="E12" s="1599"/>
      <c r="F12" s="1599"/>
      <c r="G12" s="1599"/>
      <c r="H12" s="1599"/>
      <c r="I12" s="1599"/>
      <c r="J12" s="1599"/>
      <c r="K12" s="1599"/>
      <c r="L12" s="1599"/>
      <c r="M12" s="1599"/>
      <c r="N12" s="1599"/>
      <c r="O12" s="1599"/>
      <c r="P12" s="1599"/>
      <c r="Q12" s="7"/>
    </row>
    <row r="13" spans="1:17" ht="12.75" customHeight="1" x14ac:dyDescent="0.25">
      <c r="A13" s="8"/>
      <c r="B13" s="9" t="s">
        <v>15</v>
      </c>
      <c r="C13" s="1553" t="s">
        <v>526</v>
      </c>
      <c r="D13" s="1553"/>
      <c r="E13" s="1553"/>
      <c r="F13" s="1553"/>
      <c r="G13" s="1553"/>
      <c r="H13" s="1553"/>
      <c r="I13" s="1553"/>
      <c r="J13" s="1553"/>
      <c r="K13" s="1553"/>
      <c r="L13" s="1553"/>
      <c r="M13" s="1553"/>
      <c r="N13" s="1553"/>
      <c r="O13" s="1553"/>
      <c r="P13" s="1553"/>
      <c r="Q13" s="7"/>
    </row>
    <row r="14" spans="1:17" ht="12.75" customHeight="1" x14ac:dyDescent="0.25">
      <c r="A14" s="8"/>
      <c r="B14" s="9" t="s">
        <v>17</v>
      </c>
      <c r="C14" s="1553"/>
      <c r="D14" s="1553"/>
      <c r="E14" s="1553"/>
      <c r="F14" s="1553"/>
      <c r="G14" s="1553"/>
      <c r="H14" s="1553"/>
      <c r="I14" s="1553"/>
      <c r="J14" s="1553"/>
      <c r="K14" s="1553"/>
      <c r="L14" s="1553"/>
      <c r="M14" s="1553"/>
      <c r="N14" s="1553"/>
      <c r="O14" s="1553"/>
      <c r="P14" s="1553"/>
      <c r="Q14" s="7"/>
    </row>
    <row r="15" spans="1:17" ht="12.75" customHeight="1" x14ac:dyDescent="0.25">
      <c r="A15" s="8"/>
      <c r="B15" s="9" t="s">
        <v>19</v>
      </c>
      <c r="C15" s="1599"/>
      <c r="D15" s="1599"/>
      <c r="E15" s="1599"/>
      <c r="F15" s="1599"/>
      <c r="G15" s="1599"/>
      <c r="H15" s="1599"/>
      <c r="I15" s="1599"/>
      <c r="J15" s="1599"/>
      <c r="K15" s="1599"/>
      <c r="L15" s="1599"/>
      <c r="M15" s="1599"/>
      <c r="N15" s="1599"/>
      <c r="O15" s="1599"/>
      <c r="P15" s="1599"/>
      <c r="Q15" s="7"/>
    </row>
    <row r="16" spans="1:17" ht="12.75" customHeight="1" x14ac:dyDescent="0.25">
      <c r="A16" s="8"/>
      <c r="B16" s="9" t="s">
        <v>20</v>
      </c>
      <c r="C16" s="1553" t="s">
        <v>527</v>
      </c>
      <c r="D16" s="1553"/>
      <c r="E16" s="1553"/>
      <c r="F16" s="1553"/>
      <c r="G16" s="1553"/>
      <c r="H16" s="1553"/>
      <c r="I16" s="1553"/>
      <c r="J16" s="1553"/>
      <c r="K16" s="1553"/>
      <c r="L16" s="1553"/>
      <c r="M16" s="1553"/>
      <c r="N16" s="1553"/>
      <c r="O16" s="1553"/>
      <c r="P16" s="1553"/>
      <c r="Q16" s="7"/>
    </row>
    <row r="17" spans="1:19" ht="12.75" customHeight="1" x14ac:dyDescent="0.25">
      <c r="A17" s="8"/>
      <c r="B17" s="9" t="s">
        <v>22</v>
      </c>
      <c r="C17" s="1553" t="s">
        <v>528</v>
      </c>
      <c r="D17" s="1553"/>
      <c r="E17" s="1553"/>
      <c r="F17" s="1553"/>
      <c r="G17" s="1553"/>
      <c r="H17" s="1553"/>
      <c r="I17" s="1553"/>
      <c r="J17" s="1553"/>
      <c r="K17" s="1553"/>
      <c r="L17" s="1553"/>
      <c r="M17" s="1553"/>
      <c r="N17" s="1553"/>
      <c r="O17" s="1553"/>
      <c r="P17" s="1553"/>
      <c r="Q17" s="7"/>
    </row>
    <row r="18" spans="1:19" ht="12.75" customHeight="1" x14ac:dyDescent="0.25">
      <c r="A18" s="18"/>
      <c r="B18" s="19"/>
      <c r="C18" s="419"/>
      <c r="D18" s="419"/>
      <c r="E18" s="419"/>
      <c r="F18" s="419"/>
      <c r="G18" s="419"/>
      <c r="H18" s="419"/>
      <c r="I18" s="419"/>
      <c r="J18" s="419"/>
      <c r="K18" s="419"/>
      <c r="L18" s="419"/>
      <c r="M18" s="419"/>
      <c r="N18" s="419"/>
      <c r="O18" s="419"/>
      <c r="P18" s="419"/>
      <c r="Q18" s="7"/>
    </row>
    <row r="19" spans="1:19" s="20" customFormat="1" ht="12.75" customHeight="1" x14ac:dyDescent="0.25">
      <c r="A19" s="1571" t="s">
        <v>23</v>
      </c>
      <c r="B19" s="1574" t="s">
        <v>24</v>
      </c>
      <c r="C19" s="1602" t="s">
        <v>25</v>
      </c>
      <c r="D19" s="1603"/>
      <c r="E19" s="1603"/>
      <c r="F19" s="1603"/>
      <c r="G19" s="1603"/>
      <c r="H19" s="1603"/>
      <c r="I19" s="1603"/>
      <c r="J19" s="1603"/>
      <c r="K19" s="1603"/>
      <c r="L19" s="1603"/>
      <c r="M19" s="1603"/>
      <c r="N19" s="1603"/>
      <c r="O19" s="1604"/>
      <c r="P19" s="1605" t="s">
        <v>26</v>
      </c>
    </row>
    <row r="20" spans="1:19" s="20" customFormat="1" ht="12.75" customHeight="1" x14ac:dyDescent="0.25">
      <c r="A20" s="1601"/>
      <c r="B20" s="1575"/>
      <c r="C20" s="1580" t="s">
        <v>27</v>
      </c>
      <c r="D20" s="1608" t="s">
        <v>28</v>
      </c>
      <c r="E20" s="1567" t="s">
        <v>29</v>
      </c>
      <c r="F20" s="1563" t="s">
        <v>30</v>
      </c>
      <c r="G20" s="1610" t="s">
        <v>31</v>
      </c>
      <c r="H20" s="1567" t="s">
        <v>32</v>
      </c>
      <c r="I20" s="1565" t="s">
        <v>33</v>
      </c>
      <c r="J20" s="1610" t="s">
        <v>34</v>
      </c>
      <c r="K20" s="1582" t="s">
        <v>35</v>
      </c>
      <c r="L20" s="1593" t="s">
        <v>36</v>
      </c>
      <c r="M20" s="1610" t="s">
        <v>37</v>
      </c>
      <c r="N20" s="1567" t="s">
        <v>38</v>
      </c>
      <c r="O20" s="1563" t="s">
        <v>39</v>
      </c>
      <c r="P20" s="1606"/>
    </row>
    <row r="21" spans="1:19" s="21" customFormat="1" ht="72.75" customHeight="1" thickBot="1" x14ac:dyDescent="0.3">
      <c r="A21" s="1573"/>
      <c r="B21" s="1575"/>
      <c r="C21" s="1581"/>
      <c r="D21" s="1609"/>
      <c r="E21" s="1568"/>
      <c r="F21" s="1564"/>
      <c r="G21" s="1611"/>
      <c r="H21" s="1568"/>
      <c r="I21" s="1566"/>
      <c r="J21" s="1611"/>
      <c r="K21" s="1583"/>
      <c r="L21" s="1594"/>
      <c r="M21" s="1611"/>
      <c r="N21" s="1568"/>
      <c r="O21" s="1564"/>
      <c r="P21" s="1607"/>
    </row>
    <row r="22" spans="1:19" s="21" customFormat="1" ht="9.75" customHeight="1" thickTop="1" x14ac:dyDescent="0.25">
      <c r="A22" s="22" t="s">
        <v>40</v>
      </c>
      <c r="B22" s="22">
        <v>2</v>
      </c>
      <c r="C22" s="661">
        <v>3</v>
      </c>
      <c r="D22" s="24">
        <v>4</v>
      </c>
      <c r="E22" s="25">
        <v>5</v>
      </c>
      <c r="F22" s="661">
        <v>6</v>
      </c>
      <c r="G22" s="24">
        <v>7</v>
      </c>
      <c r="H22" s="29">
        <v>8</v>
      </c>
      <c r="I22" s="25">
        <v>9</v>
      </c>
      <c r="J22" s="24">
        <v>10</v>
      </c>
      <c r="K22" s="25">
        <v>11</v>
      </c>
      <c r="L22" s="661">
        <v>12</v>
      </c>
      <c r="M22" s="24">
        <v>13</v>
      </c>
      <c r="N22" s="29">
        <v>14</v>
      </c>
      <c r="O22" s="661">
        <v>15</v>
      </c>
      <c r="P22" s="27">
        <v>16</v>
      </c>
    </row>
    <row r="23" spans="1:19" s="41" customFormat="1" x14ac:dyDescent="0.25">
      <c r="A23" s="30"/>
      <c r="B23" s="31" t="s">
        <v>41</v>
      </c>
      <c r="C23" s="421"/>
      <c r="D23" s="33"/>
      <c r="E23" s="34"/>
      <c r="F23" s="424"/>
      <c r="G23" s="33"/>
      <c r="H23" s="39"/>
      <c r="I23" s="34"/>
      <c r="J23" s="33"/>
      <c r="K23" s="34"/>
      <c r="L23" s="424"/>
      <c r="M23" s="33"/>
      <c r="N23" s="39"/>
      <c r="O23" s="424"/>
      <c r="P23" s="422"/>
    </row>
    <row r="24" spans="1:19" s="41" customFormat="1" ht="12.75" thickBot="1" x14ac:dyDescent="0.3">
      <c r="A24" s="42"/>
      <c r="B24" s="43" t="s">
        <v>42</v>
      </c>
      <c r="C24" s="425">
        <f>SUM(F24,I24,L24,O24)</f>
        <v>542482</v>
      </c>
      <c r="D24" s="45">
        <f>SUM(D25,D28,D29,D45,D46)</f>
        <v>509194</v>
      </c>
      <c r="E24" s="46">
        <f>SUM(E25,E28,E29,E45,E46)</f>
        <v>9760</v>
      </c>
      <c r="F24" s="425">
        <f>SUM(F25,F28,F29,F45,F46)</f>
        <v>518954</v>
      </c>
      <c r="G24" s="45">
        <f>SUM(G25,G28,G46)</f>
        <v>0</v>
      </c>
      <c r="H24" s="51">
        <f>SUM(H25,H28,H29,H45,H46)</f>
        <v>0</v>
      </c>
      <c r="I24" s="46">
        <f>SUM(I25,I28,I29,I45,I46)</f>
        <v>0</v>
      </c>
      <c r="J24" s="45">
        <f>SUM(J25,J30,J46)</f>
        <v>23528</v>
      </c>
      <c r="K24" s="46">
        <f>SUM(K25,K30,K46)</f>
        <v>0</v>
      </c>
      <c r="L24" s="425">
        <f>SUM(L25,L30,L46)</f>
        <v>23528</v>
      </c>
      <c r="M24" s="45">
        <f>SUM(M25,M48)</f>
        <v>0</v>
      </c>
      <c r="N24" s="51">
        <f>SUM(N25,N48)</f>
        <v>0</v>
      </c>
      <c r="O24" s="49">
        <f>SUM(O25,O48)</f>
        <v>0</v>
      </c>
      <c r="P24" s="49"/>
      <c r="R24" s="53"/>
      <c r="S24" s="53"/>
    </row>
    <row r="25" spans="1:19" ht="12.75" hidden="1" thickTop="1" x14ac:dyDescent="0.25">
      <c r="A25" s="54"/>
      <c r="B25" s="55" t="s">
        <v>43</v>
      </c>
      <c r="C25" s="426">
        <f t="shared" ref="C25:C50" si="0">SUM(F25,I25,L25,O25)</f>
        <v>0</v>
      </c>
      <c r="D25" s="57">
        <f t="shared" ref="D25:O25" si="1">SUM(D26:D27)</f>
        <v>0</v>
      </c>
      <c r="E25" s="58">
        <f t="shared" si="1"/>
        <v>0</v>
      </c>
      <c r="F25" s="426">
        <f t="shared" si="1"/>
        <v>0</v>
      </c>
      <c r="G25" s="57">
        <f t="shared" si="1"/>
        <v>0</v>
      </c>
      <c r="H25" s="63">
        <f t="shared" si="1"/>
        <v>0</v>
      </c>
      <c r="I25" s="58">
        <f t="shared" si="1"/>
        <v>0</v>
      </c>
      <c r="J25" s="57">
        <f t="shared" si="1"/>
        <v>0</v>
      </c>
      <c r="K25" s="58">
        <f t="shared" si="1"/>
        <v>0</v>
      </c>
      <c r="L25" s="426">
        <f t="shared" si="1"/>
        <v>0</v>
      </c>
      <c r="M25" s="57">
        <f t="shared" si="1"/>
        <v>0</v>
      </c>
      <c r="N25" s="63">
        <f t="shared" si="1"/>
        <v>0</v>
      </c>
      <c r="O25" s="61">
        <f t="shared" si="1"/>
        <v>0</v>
      </c>
      <c r="P25" s="61"/>
      <c r="R25" s="53"/>
      <c r="S25" s="53"/>
    </row>
    <row r="26" spans="1:19" ht="12.75" hidden="1" thickTop="1" x14ac:dyDescent="0.25">
      <c r="A26" s="65"/>
      <c r="B26" s="66" t="s">
        <v>44</v>
      </c>
      <c r="C26" s="70">
        <f t="shared" si="0"/>
        <v>0</v>
      </c>
      <c r="D26" s="68"/>
      <c r="E26" s="673"/>
      <c r="F26" s="428">
        <f>D26+E26</f>
        <v>0</v>
      </c>
      <c r="G26" s="68"/>
      <c r="H26" s="69"/>
      <c r="I26" s="673">
        <f>G26+H26</f>
        <v>0</v>
      </c>
      <c r="J26" s="68"/>
      <c r="K26" s="673"/>
      <c r="L26" s="428">
        <f>J26+K26</f>
        <v>0</v>
      </c>
      <c r="M26" s="68"/>
      <c r="N26" s="69"/>
      <c r="O26" s="428">
        <f>N26+M26</f>
        <v>0</v>
      </c>
      <c r="P26" s="427"/>
      <c r="R26" s="53"/>
      <c r="S26" s="53"/>
    </row>
    <row r="27" spans="1:19" ht="12.75" hidden="1" thickTop="1" x14ac:dyDescent="0.25">
      <c r="A27" s="75"/>
      <c r="B27" s="76" t="s">
        <v>45</v>
      </c>
      <c r="C27" s="429">
        <f t="shared" si="0"/>
        <v>0</v>
      </c>
      <c r="D27" s="78"/>
      <c r="E27" s="79"/>
      <c r="F27" s="432">
        <f>D27+E27</f>
        <v>0</v>
      </c>
      <c r="G27" s="78"/>
      <c r="H27" s="84"/>
      <c r="I27" s="79">
        <f>G27+H27</f>
        <v>0</v>
      </c>
      <c r="J27" s="78"/>
      <c r="K27" s="79"/>
      <c r="L27" s="432">
        <f>J27+K27</f>
        <v>0</v>
      </c>
      <c r="M27" s="431"/>
      <c r="N27" s="84"/>
      <c r="O27" s="432">
        <f>N27+M27</f>
        <v>0</v>
      </c>
      <c r="P27" s="430"/>
      <c r="R27" s="53"/>
      <c r="S27" s="53"/>
    </row>
    <row r="28" spans="1:19" s="41" customFormat="1" ht="25.5" thickTop="1" thickBot="1" x14ac:dyDescent="0.3">
      <c r="A28" s="86">
        <v>19300</v>
      </c>
      <c r="B28" s="86" t="s">
        <v>46</v>
      </c>
      <c r="C28" s="696">
        <f t="shared" si="0"/>
        <v>518954</v>
      </c>
      <c r="D28" s="88">
        <f>D54</f>
        <v>509194</v>
      </c>
      <c r="E28" s="89">
        <v>9760</v>
      </c>
      <c r="F28" s="697">
        <f>D28+E28</f>
        <v>518954</v>
      </c>
      <c r="G28" s="88"/>
      <c r="H28" s="434"/>
      <c r="I28" s="698">
        <f>G28+H28</f>
        <v>0</v>
      </c>
      <c r="J28" s="93" t="s">
        <v>47</v>
      </c>
      <c r="K28" s="437" t="s">
        <v>47</v>
      </c>
      <c r="L28" s="699" t="s">
        <v>47</v>
      </c>
      <c r="M28" s="93" t="s">
        <v>47</v>
      </c>
      <c r="N28" s="97"/>
      <c r="O28" s="95" t="s">
        <v>47</v>
      </c>
      <c r="P28" s="95"/>
      <c r="R28" s="53"/>
      <c r="S28" s="53"/>
    </row>
    <row r="29" spans="1:19" s="41" customFormat="1" ht="36.75" hidden="1" thickTop="1" x14ac:dyDescent="0.25">
      <c r="A29" s="99"/>
      <c r="B29" s="99" t="s">
        <v>48</v>
      </c>
      <c r="C29" s="103">
        <f t="shared" si="0"/>
        <v>0</v>
      </c>
      <c r="D29" s="101"/>
      <c r="E29" s="665"/>
      <c r="F29" s="700">
        <f>D29+E29</f>
        <v>0</v>
      </c>
      <c r="G29" s="104" t="s">
        <v>47</v>
      </c>
      <c r="H29" s="108" t="s">
        <v>47</v>
      </c>
      <c r="I29" s="110" t="s">
        <v>47</v>
      </c>
      <c r="J29" s="104" t="s">
        <v>47</v>
      </c>
      <c r="K29" s="110" t="s">
        <v>47</v>
      </c>
      <c r="L29" s="140" t="s">
        <v>47</v>
      </c>
      <c r="M29" s="104" t="s">
        <v>47</v>
      </c>
      <c r="N29" s="108"/>
      <c r="O29" s="106" t="s">
        <v>47</v>
      </c>
      <c r="P29" s="106"/>
      <c r="R29" s="53"/>
      <c r="S29" s="53"/>
    </row>
    <row r="30" spans="1:19" s="41" customFormat="1" ht="36.75" thickTop="1" x14ac:dyDescent="0.25">
      <c r="A30" s="99">
        <v>21300</v>
      </c>
      <c r="B30" s="99" t="s">
        <v>49</v>
      </c>
      <c r="C30" s="103">
        <f t="shared" si="0"/>
        <v>23528</v>
      </c>
      <c r="D30" s="104" t="s">
        <v>47</v>
      </c>
      <c r="E30" s="110" t="s">
        <v>47</v>
      </c>
      <c r="F30" s="140" t="s">
        <v>47</v>
      </c>
      <c r="G30" s="104" t="s">
        <v>47</v>
      </c>
      <c r="H30" s="108" t="s">
        <v>47</v>
      </c>
      <c r="I30" s="110" t="s">
        <v>47</v>
      </c>
      <c r="J30" s="112">
        <f>SUM(J31,J35,J37,J40)</f>
        <v>23528</v>
      </c>
      <c r="K30" s="248">
        <f>SUM(K31,K35,K37,K40)</f>
        <v>0</v>
      </c>
      <c r="L30" s="313">
        <f>SUM(L31,L35,L37,L40)</f>
        <v>23528</v>
      </c>
      <c r="M30" s="104" t="s">
        <v>47</v>
      </c>
      <c r="N30" s="293"/>
      <c r="O30" s="106" t="s">
        <v>47</v>
      </c>
      <c r="P30" s="114"/>
      <c r="R30" s="53"/>
      <c r="S30" s="53"/>
    </row>
    <row r="31" spans="1:19" s="41" customFormat="1" ht="24" hidden="1" x14ac:dyDescent="0.25">
      <c r="A31" s="115">
        <v>21350</v>
      </c>
      <c r="B31" s="99" t="s">
        <v>50</v>
      </c>
      <c r="C31" s="103">
        <f t="shared" si="0"/>
        <v>0</v>
      </c>
      <c r="D31" s="104" t="s">
        <v>47</v>
      </c>
      <c r="E31" s="110" t="s">
        <v>47</v>
      </c>
      <c r="F31" s="140" t="s">
        <v>47</v>
      </c>
      <c r="G31" s="104" t="s">
        <v>47</v>
      </c>
      <c r="H31" s="108" t="s">
        <v>47</v>
      </c>
      <c r="I31" s="110" t="s">
        <v>47</v>
      </c>
      <c r="J31" s="112">
        <f>SUM(J32:J34)</f>
        <v>0</v>
      </c>
      <c r="K31" s="248">
        <f>SUM(K32:K34)</f>
        <v>0</v>
      </c>
      <c r="L31" s="313">
        <f>SUM(L32:L34)</f>
        <v>0</v>
      </c>
      <c r="M31" s="104" t="s">
        <v>47</v>
      </c>
      <c r="N31" s="293"/>
      <c r="O31" s="106" t="s">
        <v>47</v>
      </c>
      <c r="P31" s="114"/>
      <c r="R31" s="53"/>
      <c r="S31" s="53"/>
    </row>
    <row r="32" spans="1:19" hidden="1" x14ac:dyDescent="0.25">
      <c r="A32" s="65">
        <v>21351</v>
      </c>
      <c r="B32" s="116" t="s">
        <v>51</v>
      </c>
      <c r="C32" s="70">
        <f t="shared" si="0"/>
        <v>0</v>
      </c>
      <c r="D32" s="118" t="s">
        <v>47</v>
      </c>
      <c r="E32" s="154" t="s">
        <v>47</v>
      </c>
      <c r="F32" s="120" t="s">
        <v>47</v>
      </c>
      <c r="G32" s="118" t="s">
        <v>47</v>
      </c>
      <c r="H32" s="119" t="s">
        <v>47</v>
      </c>
      <c r="I32" s="154" t="s">
        <v>47</v>
      </c>
      <c r="J32" s="123"/>
      <c r="K32" s="295"/>
      <c r="L32" s="428">
        <f>J32+K32</f>
        <v>0</v>
      </c>
      <c r="M32" s="118" t="s">
        <v>47</v>
      </c>
      <c r="N32" s="262"/>
      <c r="O32" s="122" t="s">
        <v>47</v>
      </c>
      <c r="P32" s="442"/>
      <c r="R32" s="53"/>
      <c r="S32" s="53"/>
    </row>
    <row r="33" spans="1:19" hidden="1" x14ac:dyDescent="0.25">
      <c r="A33" s="75">
        <v>21352</v>
      </c>
      <c r="B33" s="127" t="s">
        <v>52</v>
      </c>
      <c r="C33" s="429">
        <f t="shared" si="0"/>
        <v>0</v>
      </c>
      <c r="D33" s="129" t="s">
        <v>47</v>
      </c>
      <c r="E33" s="130" t="s">
        <v>47</v>
      </c>
      <c r="F33" s="139" t="s">
        <v>47</v>
      </c>
      <c r="G33" s="129" t="s">
        <v>47</v>
      </c>
      <c r="H33" s="138" t="s">
        <v>47</v>
      </c>
      <c r="I33" s="130" t="s">
        <v>47</v>
      </c>
      <c r="J33" s="134"/>
      <c r="K33" s="283"/>
      <c r="L33" s="432">
        <f>J33+K33</f>
        <v>0</v>
      </c>
      <c r="M33" s="129" t="s">
        <v>47</v>
      </c>
      <c r="N33" s="285"/>
      <c r="O33" s="133" t="s">
        <v>47</v>
      </c>
      <c r="P33" s="443"/>
      <c r="R33" s="53"/>
      <c r="S33" s="53"/>
    </row>
    <row r="34" spans="1:19" ht="24" hidden="1" x14ac:dyDescent="0.25">
      <c r="A34" s="75">
        <v>21359</v>
      </c>
      <c r="B34" s="127" t="s">
        <v>53</v>
      </c>
      <c r="C34" s="429">
        <f t="shared" si="0"/>
        <v>0</v>
      </c>
      <c r="D34" s="129" t="s">
        <v>47</v>
      </c>
      <c r="E34" s="130" t="s">
        <v>47</v>
      </c>
      <c r="F34" s="139" t="s">
        <v>47</v>
      </c>
      <c r="G34" s="129" t="s">
        <v>47</v>
      </c>
      <c r="H34" s="138" t="s">
        <v>47</v>
      </c>
      <c r="I34" s="130" t="s">
        <v>47</v>
      </c>
      <c r="J34" s="134"/>
      <c r="K34" s="283"/>
      <c r="L34" s="432">
        <f>J34+K34</f>
        <v>0</v>
      </c>
      <c r="M34" s="129" t="s">
        <v>47</v>
      </c>
      <c r="N34" s="285"/>
      <c r="O34" s="133" t="s">
        <v>47</v>
      </c>
      <c r="P34" s="443"/>
      <c r="R34" s="53"/>
      <c r="S34" s="53"/>
    </row>
    <row r="35" spans="1:19" s="41" customFormat="1" ht="36" hidden="1" x14ac:dyDescent="0.25">
      <c r="A35" s="115">
        <v>21370</v>
      </c>
      <c r="B35" s="99" t="s">
        <v>54</v>
      </c>
      <c r="C35" s="103">
        <f t="shared" si="0"/>
        <v>0</v>
      </c>
      <c r="D35" s="104" t="s">
        <v>47</v>
      </c>
      <c r="E35" s="110" t="s">
        <v>47</v>
      </c>
      <c r="F35" s="140" t="s">
        <v>47</v>
      </c>
      <c r="G35" s="104" t="s">
        <v>47</v>
      </c>
      <c r="H35" s="108" t="s">
        <v>47</v>
      </c>
      <c r="I35" s="110" t="s">
        <v>47</v>
      </c>
      <c r="J35" s="112">
        <f>SUM(J36)</f>
        <v>0</v>
      </c>
      <c r="K35" s="248">
        <f>SUM(K36)</f>
        <v>0</v>
      </c>
      <c r="L35" s="313">
        <f>SUM(L36)</f>
        <v>0</v>
      </c>
      <c r="M35" s="104" t="s">
        <v>47</v>
      </c>
      <c r="N35" s="293"/>
      <c r="O35" s="106" t="s">
        <v>47</v>
      </c>
      <c r="P35" s="114"/>
      <c r="R35" s="53"/>
      <c r="S35" s="53"/>
    </row>
    <row r="36" spans="1:19" ht="36" hidden="1" x14ac:dyDescent="0.25">
      <c r="A36" s="141">
        <v>21379</v>
      </c>
      <c r="B36" s="142" t="s">
        <v>55</v>
      </c>
      <c r="C36" s="448">
        <f t="shared" si="0"/>
        <v>0</v>
      </c>
      <c r="D36" s="144" t="s">
        <v>47</v>
      </c>
      <c r="E36" s="668" t="s">
        <v>47</v>
      </c>
      <c r="F36" s="146" t="s">
        <v>47</v>
      </c>
      <c r="G36" s="144" t="s">
        <v>47</v>
      </c>
      <c r="H36" s="145" t="s">
        <v>47</v>
      </c>
      <c r="I36" s="668" t="s">
        <v>47</v>
      </c>
      <c r="J36" s="149"/>
      <c r="K36" s="686"/>
      <c r="L36" s="701">
        <f>J36+K36</f>
        <v>0</v>
      </c>
      <c r="M36" s="144" t="s">
        <v>47</v>
      </c>
      <c r="N36" s="363"/>
      <c r="O36" s="148" t="s">
        <v>47</v>
      </c>
      <c r="P36" s="445"/>
      <c r="R36" s="53"/>
      <c r="S36" s="53"/>
    </row>
    <row r="37" spans="1:19" s="41" customFormat="1" x14ac:dyDescent="0.25">
      <c r="A37" s="115">
        <v>21380</v>
      </c>
      <c r="B37" s="99" t="s">
        <v>56</v>
      </c>
      <c r="C37" s="103">
        <f t="shared" si="0"/>
        <v>23528</v>
      </c>
      <c r="D37" s="104" t="s">
        <v>47</v>
      </c>
      <c r="E37" s="110" t="s">
        <v>47</v>
      </c>
      <c r="F37" s="140" t="s">
        <v>47</v>
      </c>
      <c r="G37" s="104" t="s">
        <v>47</v>
      </c>
      <c r="H37" s="108" t="s">
        <v>47</v>
      </c>
      <c r="I37" s="110" t="s">
        <v>47</v>
      </c>
      <c r="J37" s="112">
        <f>SUM(J38:J39)</f>
        <v>23528</v>
      </c>
      <c r="K37" s="248">
        <f>SUM(K38:K39)</f>
        <v>0</v>
      </c>
      <c r="L37" s="313">
        <f>SUM(L38:L39)</f>
        <v>23528</v>
      </c>
      <c r="M37" s="104" t="s">
        <v>47</v>
      </c>
      <c r="N37" s="293"/>
      <c r="O37" s="106" t="s">
        <v>47</v>
      </c>
      <c r="P37" s="114"/>
      <c r="R37" s="53"/>
      <c r="S37" s="53"/>
    </row>
    <row r="38" spans="1:19" x14ac:dyDescent="0.25">
      <c r="A38" s="66">
        <v>21381</v>
      </c>
      <c r="B38" s="116" t="s">
        <v>57</v>
      </c>
      <c r="C38" s="70">
        <f t="shared" si="0"/>
        <v>23528</v>
      </c>
      <c r="D38" s="118" t="s">
        <v>47</v>
      </c>
      <c r="E38" s="154" t="s">
        <v>47</v>
      </c>
      <c r="F38" s="120" t="s">
        <v>47</v>
      </c>
      <c r="G38" s="118" t="s">
        <v>47</v>
      </c>
      <c r="H38" s="119" t="s">
        <v>47</v>
      </c>
      <c r="I38" s="154" t="s">
        <v>47</v>
      </c>
      <c r="J38" s="123">
        <f>J54</f>
        <v>23528</v>
      </c>
      <c r="K38" s="295"/>
      <c r="L38" s="428">
        <f>J38+K38</f>
        <v>23528</v>
      </c>
      <c r="M38" s="118" t="s">
        <v>47</v>
      </c>
      <c r="N38" s="262"/>
      <c r="O38" s="122" t="s">
        <v>47</v>
      </c>
      <c r="P38" s="442"/>
      <c r="R38" s="53"/>
      <c r="S38" s="53"/>
    </row>
    <row r="39" spans="1:19" ht="24" hidden="1" x14ac:dyDescent="0.25">
      <c r="A39" s="76">
        <v>21383</v>
      </c>
      <c r="B39" s="127" t="s">
        <v>58</v>
      </c>
      <c r="C39" s="429">
        <f t="shared" si="0"/>
        <v>0</v>
      </c>
      <c r="D39" s="129" t="s">
        <v>47</v>
      </c>
      <c r="E39" s="130" t="s">
        <v>47</v>
      </c>
      <c r="F39" s="139" t="s">
        <v>47</v>
      </c>
      <c r="G39" s="129" t="s">
        <v>47</v>
      </c>
      <c r="H39" s="138" t="s">
        <v>47</v>
      </c>
      <c r="I39" s="130" t="s">
        <v>47</v>
      </c>
      <c r="J39" s="134"/>
      <c r="K39" s="283"/>
      <c r="L39" s="432">
        <f>J39+K39</f>
        <v>0</v>
      </c>
      <c r="M39" s="129" t="s">
        <v>47</v>
      </c>
      <c r="N39" s="285"/>
      <c r="O39" s="133" t="s">
        <v>47</v>
      </c>
      <c r="P39" s="443"/>
      <c r="R39" s="53"/>
      <c r="S39" s="53"/>
    </row>
    <row r="40" spans="1:19" s="41" customFormat="1" ht="24" hidden="1" x14ac:dyDescent="0.25">
      <c r="A40" s="115">
        <v>21390</v>
      </c>
      <c r="B40" s="99" t="s">
        <v>59</v>
      </c>
      <c r="C40" s="103">
        <f t="shared" si="0"/>
        <v>0</v>
      </c>
      <c r="D40" s="104" t="s">
        <v>47</v>
      </c>
      <c r="E40" s="110" t="s">
        <v>47</v>
      </c>
      <c r="F40" s="140" t="s">
        <v>47</v>
      </c>
      <c r="G40" s="104" t="s">
        <v>47</v>
      </c>
      <c r="H40" s="108" t="s">
        <v>47</v>
      </c>
      <c r="I40" s="110" t="s">
        <v>47</v>
      </c>
      <c r="J40" s="112">
        <f>SUM(J41:J44)</f>
        <v>0</v>
      </c>
      <c r="K40" s="248">
        <f>SUM(K41:K44)</f>
        <v>0</v>
      </c>
      <c r="L40" s="313">
        <f>SUM(L41:L44)</f>
        <v>0</v>
      </c>
      <c r="M40" s="104" t="s">
        <v>47</v>
      </c>
      <c r="N40" s="293"/>
      <c r="O40" s="106" t="s">
        <v>47</v>
      </c>
      <c r="P40" s="114"/>
      <c r="R40" s="53"/>
      <c r="S40" s="53"/>
    </row>
    <row r="41" spans="1:19" ht="24" hidden="1" x14ac:dyDescent="0.25">
      <c r="A41" s="66">
        <v>21391</v>
      </c>
      <c r="B41" s="116" t="s">
        <v>60</v>
      </c>
      <c r="C41" s="70">
        <f t="shared" si="0"/>
        <v>0</v>
      </c>
      <c r="D41" s="118" t="s">
        <v>47</v>
      </c>
      <c r="E41" s="154" t="s">
        <v>47</v>
      </c>
      <c r="F41" s="120" t="s">
        <v>47</v>
      </c>
      <c r="G41" s="118" t="s">
        <v>47</v>
      </c>
      <c r="H41" s="119" t="s">
        <v>47</v>
      </c>
      <c r="I41" s="154" t="s">
        <v>47</v>
      </c>
      <c r="J41" s="123"/>
      <c r="K41" s="295"/>
      <c r="L41" s="428">
        <f>J41+K41</f>
        <v>0</v>
      </c>
      <c r="M41" s="118" t="s">
        <v>47</v>
      </c>
      <c r="N41" s="262"/>
      <c r="O41" s="122" t="s">
        <v>47</v>
      </c>
      <c r="P41" s="442"/>
      <c r="R41" s="53"/>
      <c r="S41" s="53"/>
    </row>
    <row r="42" spans="1:19" hidden="1" x14ac:dyDescent="0.25">
      <c r="A42" s="76">
        <v>21393</v>
      </c>
      <c r="B42" s="127" t="s">
        <v>61</v>
      </c>
      <c r="C42" s="429">
        <f t="shared" si="0"/>
        <v>0</v>
      </c>
      <c r="D42" s="129" t="s">
        <v>47</v>
      </c>
      <c r="E42" s="130" t="s">
        <v>47</v>
      </c>
      <c r="F42" s="139" t="s">
        <v>47</v>
      </c>
      <c r="G42" s="129" t="s">
        <v>47</v>
      </c>
      <c r="H42" s="138" t="s">
        <v>47</v>
      </c>
      <c r="I42" s="130" t="s">
        <v>47</v>
      </c>
      <c r="J42" s="134"/>
      <c r="K42" s="283"/>
      <c r="L42" s="432">
        <f>J42+K42</f>
        <v>0</v>
      </c>
      <c r="M42" s="129" t="s">
        <v>47</v>
      </c>
      <c r="N42" s="285"/>
      <c r="O42" s="133" t="s">
        <v>47</v>
      </c>
      <c r="P42" s="443"/>
      <c r="R42" s="53"/>
      <c r="S42" s="53"/>
    </row>
    <row r="43" spans="1:19" hidden="1" x14ac:dyDescent="0.25">
      <c r="A43" s="76">
        <v>21395</v>
      </c>
      <c r="B43" s="127" t="s">
        <v>62</v>
      </c>
      <c r="C43" s="429">
        <f t="shared" si="0"/>
        <v>0</v>
      </c>
      <c r="D43" s="129" t="s">
        <v>47</v>
      </c>
      <c r="E43" s="130" t="s">
        <v>47</v>
      </c>
      <c r="F43" s="139" t="s">
        <v>47</v>
      </c>
      <c r="G43" s="129" t="s">
        <v>47</v>
      </c>
      <c r="H43" s="138" t="s">
        <v>47</v>
      </c>
      <c r="I43" s="130" t="s">
        <v>47</v>
      </c>
      <c r="J43" s="134"/>
      <c r="K43" s="283"/>
      <c r="L43" s="432">
        <f>J43+K43</f>
        <v>0</v>
      </c>
      <c r="M43" s="129" t="s">
        <v>47</v>
      </c>
      <c r="N43" s="285"/>
      <c r="O43" s="133" t="s">
        <v>47</v>
      </c>
      <c r="P43" s="443"/>
      <c r="R43" s="53"/>
      <c r="S43" s="53"/>
    </row>
    <row r="44" spans="1:19" ht="24" hidden="1" x14ac:dyDescent="0.25">
      <c r="A44" s="76">
        <v>21399</v>
      </c>
      <c r="B44" s="127" t="s">
        <v>63</v>
      </c>
      <c r="C44" s="429">
        <f t="shared" si="0"/>
        <v>0</v>
      </c>
      <c r="D44" s="129" t="s">
        <v>47</v>
      </c>
      <c r="E44" s="130" t="s">
        <v>47</v>
      </c>
      <c r="F44" s="139" t="s">
        <v>47</v>
      </c>
      <c r="G44" s="129" t="s">
        <v>47</v>
      </c>
      <c r="H44" s="138" t="s">
        <v>47</v>
      </c>
      <c r="I44" s="130" t="s">
        <v>47</v>
      </c>
      <c r="J44" s="134"/>
      <c r="K44" s="283"/>
      <c r="L44" s="432">
        <f>J44+K44</f>
        <v>0</v>
      </c>
      <c r="M44" s="129" t="s">
        <v>47</v>
      </c>
      <c r="N44" s="285"/>
      <c r="O44" s="133" t="s">
        <v>47</v>
      </c>
      <c r="P44" s="443"/>
      <c r="R44" s="53"/>
      <c r="S44" s="53"/>
    </row>
    <row r="45" spans="1:19" s="41" customFormat="1" ht="24" hidden="1" x14ac:dyDescent="0.25">
      <c r="A45" s="115">
        <v>21420</v>
      </c>
      <c r="B45" s="99" t="s">
        <v>64</v>
      </c>
      <c r="C45" s="103">
        <f t="shared" si="0"/>
        <v>0</v>
      </c>
      <c r="D45" s="157"/>
      <c r="E45" s="702"/>
      <c r="F45" s="700">
        <f>D45+E45</f>
        <v>0</v>
      </c>
      <c r="G45" s="104" t="s">
        <v>47</v>
      </c>
      <c r="H45" s="108" t="s">
        <v>47</v>
      </c>
      <c r="I45" s="110" t="s">
        <v>47</v>
      </c>
      <c r="J45" s="104" t="s">
        <v>47</v>
      </c>
      <c r="K45" s="110" t="s">
        <v>47</v>
      </c>
      <c r="L45" s="140" t="s">
        <v>47</v>
      </c>
      <c r="M45" s="104" t="s">
        <v>47</v>
      </c>
      <c r="N45" s="108"/>
      <c r="O45" s="106" t="s">
        <v>47</v>
      </c>
      <c r="P45" s="106"/>
      <c r="R45" s="53"/>
      <c r="S45" s="53"/>
    </row>
    <row r="46" spans="1:19" s="41" customFormat="1" ht="24" hidden="1" x14ac:dyDescent="0.25">
      <c r="A46" s="159">
        <v>21490</v>
      </c>
      <c r="B46" s="160" t="s">
        <v>65</v>
      </c>
      <c r="C46" s="103">
        <f t="shared" si="0"/>
        <v>0</v>
      </c>
      <c r="D46" s="161">
        <f t="shared" ref="D46:L46" si="2">D47</f>
        <v>0</v>
      </c>
      <c r="E46" s="672">
        <f t="shared" si="2"/>
        <v>0</v>
      </c>
      <c r="F46" s="163">
        <f t="shared" si="2"/>
        <v>0</v>
      </c>
      <c r="G46" s="161">
        <f t="shared" si="2"/>
        <v>0</v>
      </c>
      <c r="H46" s="162">
        <f t="shared" si="2"/>
        <v>0</v>
      </c>
      <c r="I46" s="672">
        <f t="shared" si="2"/>
        <v>0</v>
      </c>
      <c r="J46" s="161">
        <f t="shared" si="2"/>
        <v>0</v>
      </c>
      <c r="K46" s="703">
        <f t="shared" si="2"/>
        <v>0</v>
      </c>
      <c r="L46" s="103">
        <f t="shared" si="2"/>
        <v>0</v>
      </c>
      <c r="M46" s="104" t="s">
        <v>47</v>
      </c>
      <c r="N46" s="176"/>
      <c r="O46" s="106" t="s">
        <v>47</v>
      </c>
      <c r="P46" s="177"/>
      <c r="R46" s="53"/>
      <c r="S46" s="53"/>
    </row>
    <row r="47" spans="1:19" s="41" customFormat="1" ht="24" hidden="1" x14ac:dyDescent="0.25">
      <c r="A47" s="76">
        <v>21499</v>
      </c>
      <c r="B47" s="127" t="s">
        <v>66</v>
      </c>
      <c r="C47" s="448">
        <f t="shared" si="0"/>
        <v>0</v>
      </c>
      <c r="D47" s="626"/>
      <c r="E47" s="662"/>
      <c r="F47" s="701">
        <f>D47+E47</f>
        <v>0</v>
      </c>
      <c r="G47" s="704"/>
      <c r="H47" s="450"/>
      <c r="I47" s="662">
        <f>G47+H47</f>
        <v>0</v>
      </c>
      <c r="J47" s="626"/>
      <c r="K47" s="705"/>
      <c r="L47" s="701">
        <f>J47+K47</f>
        <v>0</v>
      </c>
      <c r="M47" s="144" t="s">
        <v>47</v>
      </c>
      <c r="N47" s="450"/>
      <c r="O47" s="148" t="s">
        <v>47</v>
      </c>
      <c r="P47" s="706"/>
      <c r="R47" s="53"/>
      <c r="S47" s="53"/>
    </row>
    <row r="48" spans="1:19" ht="24" hidden="1" x14ac:dyDescent="0.25">
      <c r="A48" s="168">
        <v>23000</v>
      </c>
      <c r="B48" s="169" t="s">
        <v>67</v>
      </c>
      <c r="C48" s="103">
        <f t="shared" si="0"/>
        <v>0</v>
      </c>
      <c r="D48" s="104" t="s">
        <v>47</v>
      </c>
      <c r="E48" s="110" t="s">
        <v>47</v>
      </c>
      <c r="F48" s="140" t="s">
        <v>47</v>
      </c>
      <c r="G48" s="104" t="s">
        <v>47</v>
      </c>
      <c r="H48" s="108" t="s">
        <v>47</v>
      </c>
      <c r="I48" s="110" t="s">
        <v>47</v>
      </c>
      <c r="J48" s="104" t="s">
        <v>47</v>
      </c>
      <c r="K48" s="110" t="s">
        <v>47</v>
      </c>
      <c r="L48" s="140" t="s">
        <v>47</v>
      </c>
      <c r="M48" s="453">
        <f>SUM(M49:M50)</f>
        <v>0</v>
      </c>
      <c r="N48" s="176">
        <f>SUM(N49:N50)</f>
        <v>0</v>
      </c>
      <c r="O48" s="177">
        <f>SUM(O49:O50)</f>
        <v>0</v>
      </c>
      <c r="P48" s="106"/>
      <c r="R48" s="53"/>
      <c r="S48" s="53"/>
    </row>
    <row r="49" spans="1:19" ht="24" hidden="1" x14ac:dyDescent="0.25">
      <c r="A49" s="178">
        <v>23410</v>
      </c>
      <c r="B49" s="179" t="s">
        <v>68</v>
      </c>
      <c r="C49" s="454">
        <f t="shared" si="0"/>
        <v>0</v>
      </c>
      <c r="D49" s="181" t="s">
        <v>47</v>
      </c>
      <c r="E49" s="674" t="s">
        <v>47</v>
      </c>
      <c r="F49" s="183" t="s">
        <v>47</v>
      </c>
      <c r="G49" s="181" t="s">
        <v>47</v>
      </c>
      <c r="H49" s="182" t="s">
        <v>47</v>
      </c>
      <c r="I49" s="674" t="s">
        <v>47</v>
      </c>
      <c r="J49" s="181" t="s">
        <v>47</v>
      </c>
      <c r="K49" s="674" t="s">
        <v>47</v>
      </c>
      <c r="L49" s="183" t="s">
        <v>47</v>
      </c>
      <c r="M49" s="196"/>
      <c r="N49" s="182"/>
      <c r="O49" s="454">
        <f>N49+M49</f>
        <v>0</v>
      </c>
      <c r="P49" s="185"/>
      <c r="R49" s="53"/>
      <c r="S49" s="53"/>
    </row>
    <row r="50" spans="1:19" ht="24" hidden="1" x14ac:dyDescent="0.25">
      <c r="A50" s="178">
        <v>23510</v>
      </c>
      <c r="B50" s="179" t="s">
        <v>69</v>
      </c>
      <c r="C50" s="454">
        <f t="shared" si="0"/>
        <v>0</v>
      </c>
      <c r="D50" s="181" t="s">
        <v>47</v>
      </c>
      <c r="E50" s="674" t="s">
        <v>47</v>
      </c>
      <c r="F50" s="183" t="s">
        <v>47</v>
      </c>
      <c r="G50" s="181" t="s">
        <v>47</v>
      </c>
      <c r="H50" s="182" t="s">
        <v>47</v>
      </c>
      <c r="I50" s="674" t="s">
        <v>47</v>
      </c>
      <c r="J50" s="181" t="s">
        <v>47</v>
      </c>
      <c r="K50" s="674" t="s">
        <v>47</v>
      </c>
      <c r="L50" s="183" t="s">
        <v>47</v>
      </c>
      <c r="M50" s="196"/>
      <c r="N50" s="182"/>
      <c r="O50" s="454">
        <f>N50+M50</f>
        <v>0</v>
      </c>
      <c r="P50" s="185"/>
      <c r="R50" s="53"/>
      <c r="S50" s="53"/>
    </row>
    <row r="51" spans="1:19" x14ac:dyDescent="0.25">
      <c r="A51" s="190"/>
      <c r="B51" s="179"/>
      <c r="C51" s="454"/>
      <c r="D51" s="181"/>
      <c r="E51" s="674"/>
      <c r="F51" s="183"/>
      <c r="G51" s="181"/>
      <c r="H51" s="182"/>
      <c r="I51" s="674"/>
      <c r="J51" s="456"/>
      <c r="K51" s="457"/>
      <c r="L51" s="454"/>
      <c r="M51" s="456"/>
      <c r="N51" s="458"/>
      <c r="O51" s="454"/>
      <c r="P51" s="188"/>
      <c r="R51" s="53"/>
      <c r="S51" s="53"/>
    </row>
    <row r="52" spans="1:19" s="41" customFormat="1" x14ac:dyDescent="0.25">
      <c r="A52" s="198"/>
      <c r="B52" s="199" t="s">
        <v>70</v>
      </c>
      <c r="C52" s="707"/>
      <c r="D52" s="230"/>
      <c r="E52" s="231"/>
      <c r="F52" s="459"/>
      <c r="G52" s="230"/>
      <c r="H52" s="235"/>
      <c r="I52" s="231"/>
      <c r="J52" s="230"/>
      <c r="K52" s="231"/>
      <c r="L52" s="459"/>
      <c r="M52" s="460"/>
      <c r="N52" s="461"/>
      <c r="O52" s="462"/>
      <c r="P52" s="205"/>
      <c r="R52" s="53"/>
      <c r="S52" s="53"/>
    </row>
    <row r="53" spans="1:19" s="41" customFormat="1" ht="12.75" thickBot="1" x14ac:dyDescent="0.3">
      <c r="A53" s="209"/>
      <c r="B53" s="42" t="s">
        <v>71</v>
      </c>
      <c r="C53" s="425">
        <f t="shared" ref="C53:C116" si="3">SUM(F53,I53,L53,O53)</f>
        <v>542482</v>
      </c>
      <c r="D53" s="211">
        <f t="shared" ref="D53:O53" si="4">SUM(D54,D284)</f>
        <v>509194</v>
      </c>
      <c r="E53" s="212">
        <f t="shared" si="4"/>
        <v>9760</v>
      </c>
      <c r="F53" s="463">
        <f t="shared" si="4"/>
        <v>518954</v>
      </c>
      <c r="G53" s="211">
        <f t="shared" si="4"/>
        <v>0</v>
      </c>
      <c r="H53" s="217">
        <f t="shared" si="4"/>
        <v>0</v>
      </c>
      <c r="I53" s="212">
        <f t="shared" si="4"/>
        <v>0</v>
      </c>
      <c r="J53" s="211">
        <f t="shared" si="4"/>
        <v>23528</v>
      </c>
      <c r="K53" s="212">
        <f t="shared" si="4"/>
        <v>0</v>
      </c>
      <c r="L53" s="463">
        <f t="shared" si="4"/>
        <v>23528</v>
      </c>
      <c r="M53" s="211">
        <f t="shared" si="4"/>
        <v>0</v>
      </c>
      <c r="N53" s="217">
        <f t="shared" si="4"/>
        <v>0</v>
      </c>
      <c r="O53" s="463">
        <f t="shared" si="4"/>
        <v>0</v>
      </c>
      <c r="P53" s="215"/>
      <c r="R53" s="53"/>
      <c r="S53" s="53"/>
    </row>
    <row r="54" spans="1:19" s="41" customFormat="1" ht="36.75" thickTop="1" x14ac:dyDescent="0.25">
      <c r="A54" s="218"/>
      <c r="B54" s="219" t="s">
        <v>72</v>
      </c>
      <c r="C54" s="708">
        <f t="shared" si="3"/>
        <v>542482</v>
      </c>
      <c r="D54" s="221">
        <f t="shared" ref="D54:O54" si="5">SUM(D55,D197)</f>
        <v>509194</v>
      </c>
      <c r="E54" s="222">
        <f t="shared" si="5"/>
        <v>9760</v>
      </c>
      <c r="F54" s="464">
        <f t="shared" si="5"/>
        <v>518954</v>
      </c>
      <c r="G54" s="221">
        <f t="shared" si="5"/>
        <v>0</v>
      </c>
      <c r="H54" s="227">
        <f t="shared" si="5"/>
        <v>0</v>
      </c>
      <c r="I54" s="222">
        <f t="shared" si="5"/>
        <v>0</v>
      </c>
      <c r="J54" s="221">
        <f t="shared" si="5"/>
        <v>23528</v>
      </c>
      <c r="K54" s="222">
        <f t="shared" si="5"/>
        <v>0</v>
      </c>
      <c r="L54" s="464">
        <f t="shared" si="5"/>
        <v>23528</v>
      </c>
      <c r="M54" s="221">
        <f t="shared" si="5"/>
        <v>0</v>
      </c>
      <c r="N54" s="227">
        <f t="shared" si="5"/>
        <v>0</v>
      </c>
      <c r="O54" s="464">
        <f t="shared" si="5"/>
        <v>0</v>
      </c>
      <c r="P54" s="225"/>
      <c r="R54" s="53"/>
      <c r="S54" s="53"/>
    </row>
    <row r="55" spans="1:19" s="41" customFormat="1" ht="24" x14ac:dyDescent="0.25">
      <c r="A55" s="35"/>
      <c r="B55" s="30" t="s">
        <v>73</v>
      </c>
      <c r="C55" s="707">
        <f t="shared" si="3"/>
        <v>542482</v>
      </c>
      <c r="D55" s="230">
        <f t="shared" ref="D55:O55" si="6">SUM(D56,D78,D176,D190)</f>
        <v>509194</v>
      </c>
      <c r="E55" s="231">
        <f t="shared" si="6"/>
        <v>9760</v>
      </c>
      <c r="F55" s="459">
        <f t="shared" si="6"/>
        <v>518954</v>
      </c>
      <c r="G55" s="230">
        <f t="shared" si="6"/>
        <v>0</v>
      </c>
      <c r="H55" s="235">
        <f t="shared" si="6"/>
        <v>0</v>
      </c>
      <c r="I55" s="231">
        <f t="shared" si="6"/>
        <v>0</v>
      </c>
      <c r="J55" s="230">
        <f t="shared" si="6"/>
        <v>23528</v>
      </c>
      <c r="K55" s="231">
        <f t="shared" si="6"/>
        <v>0</v>
      </c>
      <c r="L55" s="459">
        <f t="shared" si="6"/>
        <v>23528</v>
      </c>
      <c r="M55" s="230">
        <f t="shared" si="6"/>
        <v>0</v>
      </c>
      <c r="N55" s="235">
        <f t="shared" si="6"/>
        <v>0</v>
      </c>
      <c r="O55" s="459">
        <f t="shared" si="6"/>
        <v>0</v>
      </c>
      <c r="P55" s="234"/>
      <c r="R55" s="53"/>
      <c r="S55" s="53"/>
    </row>
    <row r="56" spans="1:19" s="41" customFormat="1" x14ac:dyDescent="0.25">
      <c r="A56" s="237">
        <v>1000</v>
      </c>
      <c r="B56" s="237" t="s">
        <v>74</v>
      </c>
      <c r="C56" s="709">
        <f t="shared" si="3"/>
        <v>492034</v>
      </c>
      <c r="D56" s="466">
        <f t="shared" ref="D56:O56" si="7">SUM(D57,D70)</f>
        <v>491530</v>
      </c>
      <c r="E56" s="471">
        <f t="shared" si="7"/>
        <v>0</v>
      </c>
      <c r="F56" s="465">
        <f t="shared" si="7"/>
        <v>491530</v>
      </c>
      <c r="G56" s="466">
        <f t="shared" si="7"/>
        <v>0</v>
      </c>
      <c r="H56" s="467">
        <f t="shared" si="7"/>
        <v>0</v>
      </c>
      <c r="I56" s="471">
        <f t="shared" si="7"/>
        <v>0</v>
      </c>
      <c r="J56" s="466">
        <f t="shared" si="7"/>
        <v>504</v>
      </c>
      <c r="K56" s="471">
        <f t="shared" si="7"/>
        <v>0</v>
      </c>
      <c r="L56" s="465">
        <f t="shared" si="7"/>
        <v>504</v>
      </c>
      <c r="M56" s="239">
        <f t="shared" si="7"/>
        <v>0</v>
      </c>
      <c r="N56" s="245">
        <f t="shared" si="7"/>
        <v>0</v>
      </c>
      <c r="O56" s="320">
        <f t="shared" si="7"/>
        <v>0</v>
      </c>
      <c r="P56" s="243"/>
      <c r="R56" s="53"/>
      <c r="S56" s="53"/>
    </row>
    <row r="57" spans="1:19" x14ac:dyDescent="0.25">
      <c r="A57" s="99">
        <v>1100</v>
      </c>
      <c r="B57" s="247" t="s">
        <v>75</v>
      </c>
      <c r="C57" s="103">
        <f t="shared" si="3"/>
        <v>382075</v>
      </c>
      <c r="D57" s="112">
        <f t="shared" ref="D57:O57" si="8">SUM(D58,D61,D69)</f>
        <v>382075</v>
      </c>
      <c r="E57" s="248">
        <f t="shared" si="8"/>
        <v>0</v>
      </c>
      <c r="F57" s="313">
        <f t="shared" si="8"/>
        <v>382075</v>
      </c>
      <c r="G57" s="112">
        <f t="shared" si="8"/>
        <v>0</v>
      </c>
      <c r="H57" s="293">
        <f t="shared" si="8"/>
        <v>0</v>
      </c>
      <c r="I57" s="248">
        <f t="shared" si="8"/>
        <v>0</v>
      </c>
      <c r="J57" s="112">
        <f t="shared" si="8"/>
        <v>0</v>
      </c>
      <c r="K57" s="248">
        <f t="shared" si="8"/>
        <v>0</v>
      </c>
      <c r="L57" s="313">
        <f t="shared" si="8"/>
        <v>0</v>
      </c>
      <c r="M57" s="334">
        <f t="shared" si="8"/>
        <v>0</v>
      </c>
      <c r="N57" s="293">
        <f t="shared" si="8"/>
        <v>0</v>
      </c>
      <c r="O57" s="313">
        <f t="shared" si="8"/>
        <v>0</v>
      </c>
      <c r="P57" s="114"/>
      <c r="R57" s="53"/>
      <c r="S57" s="53"/>
    </row>
    <row r="58" spans="1:19" x14ac:dyDescent="0.25">
      <c r="A58" s="254">
        <v>1110</v>
      </c>
      <c r="B58" s="179" t="s">
        <v>76</v>
      </c>
      <c r="C58" s="454">
        <f t="shared" si="3"/>
        <v>298792</v>
      </c>
      <c r="D58" s="255">
        <f t="shared" ref="D58:O58" si="9">SUM(D59:D60)</f>
        <v>298792</v>
      </c>
      <c r="E58" s="256">
        <f t="shared" si="9"/>
        <v>0</v>
      </c>
      <c r="F58" s="310">
        <f t="shared" si="9"/>
        <v>298792</v>
      </c>
      <c r="G58" s="255">
        <f t="shared" si="9"/>
        <v>0</v>
      </c>
      <c r="H58" s="261">
        <f t="shared" si="9"/>
        <v>0</v>
      </c>
      <c r="I58" s="256">
        <f t="shared" si="9"/>
        <v>0</v>
      </c>
      <c r="J58" s="255">
        <f t="shared" si="9"/>
        <v>0</v>
      </c>
      <c r="K58" s="256">
        <f t="shared" si="9"/>
        <v>0</v>
      </c>
      <c r="L58" s="310">
        <f t="shared" si="9"/>
        <v>0</v>
      </c>
      <c r="M58" s="255">
        <f t="shared" si="9"/>
        <v>0</v>
      </c>
      <c r="N58" s="261">
        <f t="shared" si="9"/>
        <v>0</v>
      </c>
      <c r="O58" s="310">
        <f t="shared" si="9"/>
        <v>0</v>
      </c>
      <c r="P58" s="259"/>
      <c r="R58" s="53"/>
      <c r="S58" s="53"/>
    </row>
    <row r="59" spans="1:19" hidden="1" x14ac:dyDescent="0.25">
      <c r="A59" s="66">
        <v>1111</v>
      </c>
      <c r="B59" s="116" t="s">
        <v>77</v>
      </c>
      <c r="C59" s="70">
        <f t="shared" si="3"/>
        <v>0</v>
      </c>
      <c r="D59" s="123"/>
      <c r="E59" s="295"/>
      <c r="F59" s="473">
        <f>D59+E59</f>
        <v>0</v>
      </c>
      <c r="G59" s="123"/>
      <c r="H59" s="262"/>
      <c r="I59" s="295">
        <f>G59+H59</f>
        <v>0</v>
      </c>
      <c r="J59" s="123"/>
      <c r="K59" s="295"/>
      <c r="L59" s="473">
        <f>J59+K59</f>
        <v>0</v>
      </c>
      <c r="M59" s="123"/>
      <c r="N59" s="262"/>
      <c r="O59" s="473">
        <f>N59+M59</f>
        <v>0</v>
      </c>
      <c r="P59" s="442"/>
      <c r="R59" s="53"/>
      <c r="S59" s="53"/>
    </row>
    <row r="60" spans="1:19" ht="18" customHeight="1" x14ac:dyDescent="0.25">
      <c r="A60" s="76">
        <v>1119</v>
      </c>
      <c r="B60" s="127" t="s">
        <v>78</v>
      </c>
      <c r="C60" s="429">
        <f t="shared" si="3"/>
        <v>298792</v>
      </c>
      <c r="D60" s="134">
        <v>298792</v>
      </c>
      <c r="E60" s="283"/>
      <c r="F60" s="475">
        <f>D60+E60</f>
        <v>298792</v>
      </c>
      <c r="G60" s="134"/>
      <c r="H60" s="285"/>
      <c r="I60" s="283">
        <f>G60+H60</f>
        <v>0</v>
      </c>
      <c r="J60" s="134"/>
      <c r="K60" s="283"/>
      <c r="L60" s="475">
        <f>J60+K60</f>
        <v>0</v>
      </c>
      <c r="M60" s="134"/>
      <c r="N60" s="285"/>
      <c r="O60" s="475">
        <f>N60+M60</f>
        <v>0</v>
      </c>
      <c r="P60" s="441"/>
      <c r="R60" s="53"/>
      <c r="S60" s="53"/>
    </row>
    <row r="61" spans="1:19" ht="23.25" customHeight="1" x14ac:dyDescent="0.25">
      <c r="A61" s="276">
        <v>1140</v>
      </c>
      <c r="B61" s="127" t="s">
        <v>79</v>
      </c>
      <c r="C61" s="429">
        <f t="shared" si="3"/>
        <v>80945</v>
      </c>
      <c r="D61" s="277">
        <f t="shared" ref="D61:O61" si="10">SUM(D62:D68)</f>
        <v>80945</v>
      </c>
      <c r="E61" s="278">
        <f t="shared" si="10"/>
        <v>0</v>
      </c>
      <c r="F61" s="286">
        <f t="shared" si="10"/>
        <v>80945</v>
      </c>
      <c r="G61" s="277">
        <f t="shared" si="10"/>
        <v>0</v>
      </c>
      <c r="H61" s="282">
        <f t="shared" si="10"/>
        <v>0</v>
      </c>
      <c r="I61" s="278">
        <f t="shared" si="10"/>
        <v>0</v>
      </c>
      <c r="J61" s="277">
        <f t="shared" si="10"/>
        <v>0</v>
      </c>
      <c r="K61" s="278">
        <f t="shared" si="10"/>
        <v>0</v>
      </c>
      <c r="L61" s="286">
        <f t="shared" si="10"/>
        <v>0</v>
      </c>
      <c r="M61" s="277">
        <f t="shared" si="10"/>
        <v>0</v>
      </c>
      <c r="N61" s="282">
        <f t="shared" si="10"/>
        <v>0</v>
      </c>
      <c r="O61" s="286">
        <f t="shared" si="10"/>
        <v>0</v>
      </c>
      <c r="P61" s="136"/>
      <c r="R61" s="53"/>
      <c r="S61" s="53"/>
    </row>
    <row r="62" spans="1:19" x14ac:dyDescent="0.25">
      <c r="A62" s="76">
        <v>1141</v>
      </c>
      <c r="B62" s="127" t="s">
        <v>80</v>
      </c>
      <c r="C62" s="429">
        <f t="shared" si="3"/>
        <v>4548</v>
      </c>
      <c r="D62" s="134">
        <v>4548</v>
      </c>
      <c r="E62" s="283"/>
      <c r="F62" s="475">
        <f t="shared" ref="F62:F69" si="11">D62+E62</f>
        <v>4548</v>
      </c>
      <c r="G62" s="134"/>
      <c r="H62" s="285"/>
      <c r="I62" s="283">
        <f t="shared" ref="I62:I69" si="12">G62+H62</f>
        <v>0</v>
      </c>
      <c r="J62" s="134"/>
      <c r="K62" s="283"/>
      <c r="L62" s="475">
        <f t="shared" ref="L62:L69" si="13">J62+K62</f>
        <v>0</v>
      </c>
      <c r="M62" s="134"/>
      <c r="N62" s="285"/>
      <c r="O62" s="475">
        <f t="shared" ref="O62:O69" si="14">N62+M62</f>
        <v>0</v>
      </c>
      <c r="P62" s="710"/>
      <c r="R62" s="53"/>
      <c r="S62" s="53"/>
    </row>
    <row r="63" spans="1:19" ht="32.25" customHeight="1" x14ac:dyDescent="0.25">
      <c r="A63" s="76">
        <v>1142</v>
      </c>
      <c r="B63" s="127" t="s">
        <v>81</v>
      </c>
      <c r="C63" s="429">
        <f t="shared" si="3"/>
        <v>9672</v>
      </c>
      <c r="D63" s="134">
        <v>9672</v>
      </c>
      <c r="E63" s="283"/>
      <c r="F63" s="475">
        <f t="shared" si="11"/>
        <v>9672</v>
      </c>
      <c r="G63" s="134"/>
      <c r="H63" s="285"/>
      <c r="I63" s="283">
        <f t="shared" si="12"/>
        <v>0</v>
      </c>
      <c r="J63" s="134"/>
      <c r="K63" s="283"/>
      <c r="L63" s="475">
        <f t="shared" si="13"/>
        <v>0</v>
      </c>
      <c r="M63" s="134"/>
      <c r="N63" s="285"/>
      <c r="O63" s="475">
        <f t="shared" si="14"/>
        <v>0</v>
      </c>
      <c r="P63" s="710"/>
      <c r="R63" s="53"/>
      <c r="S63" s="53"/>
    </row>
    <row r="64" spans="1:19" ht="24" hidden="1" x14ac:dyDescent="0.25">
      <c r="A64" s="76">
        <v>1145</v>
      </c>
      <c r="B64" s="127" t="s">
        <v>82</v>
      </c>
      <c r="C64" s="429">
        <f t="shared" si="3"/>
        <v>0</v>
      </c>
      <c r="D64" s="134"/>
      <c r="E64" s="283"/>
      <c r="F64" s="475">
        <f t="shared" si="11"/>
        <v>0</v>
      </c>
      <c r="G64" s="134"/>
      <c r="H64" s="285"/>
      <c r="I64" s="283">
        <f t="shared" si="12"/>
        <v>0</v>
      </c>
      <c r="J64" s="134"/>
      <c r="K64" s="283"/>
      <c r="L64" s="475">
        <f t="shared" si="13"/>
        <v>0</v>
      </c>
      <c r="M64" s="134"/>
      <c r="N64" s="285"/>
      <c r="O64" s="475">
        <f t="shared" si="14"/>
        <v>0</v>
      </c>
      <c r="P64" s="443"/>
      <c r="R64" s="53"/>
      <c r="S64" s="53"/>
    </row>
    <row r="65" spans="1:19" ht="30.75" customHeight="1" x14ac:dyDescent="0.25">
      <c r="A65" s="76">
        <v>1146</v>
      </c>
      <c r="B65" s="127" t="s">
        <v>83</v>
      </c>
      <c r="C65" s="429">
        <f t="shared" si="3"/>
        <v>30000</v>
      </c>
      <c r="D65" s="134">
        <v>30000</v>
      </c>
      <c r="E65" s="283"/>
      <c r="F65" s="475">
        <f t="shared" si="11"/>
        <v>30000</v>
      </c>
      <c r="G65" s="134"/>
      <c r="H65" s="285"/>
      <c r="I65" s="283">
        <f t="shared" si="12"/>
        <v>0</v>
      </c>
      <c r="J65" s="134"/>
      <c r="K65" s="283"/>
      <c r="L65" s="475">
        <f t="shared" si="13"/>
        <v>0</v>
      </c>
      <c r="M65" s="134"/>
      <c r="N65" s="285"/>
      <c r="O65" s="475">
        <f t="shared" si="14"/>
        <v>0</v>
      </c>
      <c r="P65" s="441"/>
      <c r="R65" s="53"/>
      <c r="S65" s="53"/>
    </row>
    <row r="66" spans="1:19" x14ac:dyDescent="0.25">
      <c r="A66" s="76">
        <v>1147</v>
      </c>
      <c r="B66" s="127" t="s">
        <v>84</v>
      </c>
      <c r="C66" s="429">
        <f t="shared" si="3"/>
        <v>10391</v>
      </c>
      <c r="D66" s="134">
        <v>10391</v>
      </c>
      <c r="E66" s="283"/>
      <c r="F66" s="475">
        <f t="shared" si="11"/>
        <v>10391</v>
      </c>
      <c r="G66" s="134"/>
      <c r="H66" s="285"/>
      <c r="I66" s="283">
        <f t="shared" si="12"/>
        <v>0</v>
      </c>
      <c r="J66" s="134"/>
      <c r="K66" s="283"/>
      <c r="L66" s="475">
        <f t="shared" si="13"/>
        <v>0</v>
      </c>
      <c r="M66" s="134"/>
      <c r="N66" s="285"/>
      <c r="O66" s="475">
        <f t="shared" si="14"/>
        <v>0</v>
      </c>
      <c r="P66" s="441"/>
      <c r="R66" s="53"/>
      <c r="S66" s="53"/>
    </row>
    <row r="67" spans="1:19" x14ac:dyDescent="0.25">
      <c r="A67" s="76">
        <v>1148</v>
      </c>
      <c r="B67" s="127" t="s">
        <v>85</v>
      </c>
      <c r="C67" s="429">
        <f t="shared" si="3"/>
        <v>26334</v>
      </c>
      <c r="D67" s="134">
        <v>26334</v>
      </c>
      <c r="E67" s="283"/>
      <c r="F67" s="475">
        <f t="shared" si="11"/>
        <v>26334</v>
      </c>
      <c r="G67" s="134"/>
      <c r="H67" s="285"/>
      <c r="I67" s="283">
        <f t="shared" si="12"/>
        <v>0</v>
      </c>
      <c r="J67" s="134"/>
      <c r="K67" s="283"/>
      <c r="L67" s="475">
        <f t="shared" si="13"/>
        <v>0</v>
      </c>
      <c r="M67" s="134"/>
      <c r="N67" s="285"/>
      <c r="O67" s="475">
        <f t="shared" si="14"/>
        <v>0</v>
      </c>
      <c r="P67" s="441"/>
      <c r="R67" s="53"/>
      <c r="S67" s="53"/>
    </row>
    <row r="68" spans="1:19" ht="36" hidden="1" x14ac:dyDescent="0.25">
      <c r="A68" s="76">
        <v>1149</v>
      </c>
      <c r="B68" s="127" t="s">
        <v>86</v>
      </c>
      <c r="C68" s="429">
        <f t="shared" si="3"/>
        <v>0</v>
      </c>
      <c r="D68" s="134"/>
      <c r="E68" s="283"/>
      <c r="F68" s="475">
        <f t="shared" si="11"/>
        <v>0</v>
      </c>
      <c r="G68" s="134"/>
      <c r="H68" s="285"/>
      <c r="I68" s="283">
        <f t="shared" si="12"/>
        <v>0</v>
      </c>
      <c r="J68" s="134"/>
      <c r="K68" s="283"/>
      <c r="L68" s="475">
        <f t="shared" si="13"/>
        <v>0</v>
      </c>
      <c r="M68" s="134"/>
      <c r="N68" s="285"/>
      <c r="O68" s="475">
        <f t="shared" si="14"/>
        <v>0</v>
      </c>
      <c r="P68" s="443"/>
      <c r="R68" s="53"/>
      <c r="S68" s="53"/>
    </row>
    <row r="69" spans="1:19" ht="36" x14ac:dyDescent="0.25">
      <c r="A69" s="254">
        <v>1150</v>
      </c>
      <c r="B69" s="179" t="s">
        <v>87</v>
      </c>
      <c r="C69" s="454">
        <f t="shared" si="3"/>
        <v>2338</v>
      </c>
      <c r="D69" s="287">
        <v>2338</v>
      </c>
      <c r="E69" s="288"/>
      <c r="F69" s="478">
        <f t="shared" si="11"/>
        <v>2338</v>
      </c>
      <c r="G69" s="287"/>
      <c r="H69" s="291"/>
      <c r="I69" s="288">
        <f t="shared" si="12"/>
        <v>0</v>
      </c>
      <c r="J69" s="287"/>
      <c r="K69" s="288"/>
      <c r="L69" s="478">
        <f t="shared" si="13"/>
        <v>0</v>
      </c>
      <c r="M69" s="287"/>
      <c r="N69" s="291"/>
      <c r="O69" s="478">
        <f t="shared" si="14"/>
        <v>0</v>
      </c>
      <c r="P69" s="710"/>
      <c r="R69" s="53"/>
      <c r="S69" s="53"/>
    </row>
    <row r="70" spans="1:19" ht="36" x14ac:dyDescent="0.25">
      <c r="A70" s="99">
        <v>1200</v>
      </c>
      <c r="B70" s="247" t="s">
        <v>88</v>
      </c>
      <c r="C70" s="103">
        <f t="shared" si="3"/>
        <v>109959</v>
      </c>
      <c r="D70" s="112">
        <f t="shared" ref="D70:O70" si="15">SUM(D71:D72)</f>
        <v>109455</v>
      </c>
      <c r="E70" s="248">
        <f t="shared" si="15"/>
        <v>0</v>
      </c>
      <c r="F70" s="313">
        <f t="shared" si="15"/>
        <v>109455</v>
      </c>
      <c r="G70" s="112">
        <f t="shared" si="15"/>
        <v>0</v>
      </c>
      <c r="H70" s="293">
        <f t="shared" si="15"/>
        <v>0</v>
      </c>
      <c r="I70" s="248">
        <f t="shared" si="15"/>
        <v>0</v>
      </c>
      <c r="J70" s="112">
        <f t="shared" si="15"/>
        <v>504</v>
      </c>
      <c r="K70" s="248">
        <f t="shared" si="15"/>
        <v>0</v>
      </c>
      <c r="L70" s="313">
        <f t="shared" si="15"/>
        <v>504</v>
      </c>
      <c r="M70" s="112">
        <f t="shared" si="15"/>
        <v>0</v>
      </c>
      <c r="N70" s="293">
        <f t="shared" si="15"/>
        <v>0</v>
      </c>
      <c r="O70" s="313">
        <f t="shared" si="15"/>
        <v>0</v>
      </c>
      <c r="P70" s="114"/>
      <c r="R70" s="53"/>
      <c r="S70" s="53"/>
    </row>
    <row r="71" spans="1:19" ht="24.75" customHeight="1" x14ac:dyDescent="0.25">
      <c r="A71" s="656">
        <v>1210</v>
      </c>
      <c r="B71" s="116" t="s">
        <v>89</v>
      </c>
      <c r="C71" s="70">
        <f t="shared" si="3"/>
        <v>91437</v>
      </c>
      <c r="D71" s="123">
        <v>91437</v>
      </c>
      <c r="E71" s="295"/>
      <c r="F71" s="473">
        <f>D71+E71</f>
        <v>91437</v>
      </c>
      <c r="G71" s="123"/>
      <c r="H71" s="262"/>
      <c r="I71" s="295">
        <f>G71+H71</f>
        <v>0</v>
      </c>
      <c r="J71" s="123"/>
      <c r="K71" s="295"/>
      <c r="L71" s="473">
        <f>J71+K71</f>
        <v>0</v>
      </c>
      <c r="M71" s="123"/>
      <c r="N71" s="262"/>
      <c r="O71" s="473">
        <f>N71+M71</f>
        <v>0</v>
      </c>
      <c r="P71" s="487"/>
      <c r="R71" s="53"/>
      <c r="S71" s="53"/>
    </row>
    <row r="72" spans="1:19" ht="23.25" customHeight="1" x14ac:dyDescent="0.25">
      <c r="A72" s="276">
        <v>1220</v>
      </c>
      <c r="B72" s="127" t="s">
        <v>90</v>
      </c>
      <c r="C72" s="429">
        <f t="shared" si="3"/>
        <v>18522</v>
      </c>
      <c r="D72" s="277">
        <f t="shared" ref="D72:O72" si="16">SUM(D73:D77)</f>
        <v>18018</v>
      </c>
      <c r="E72" s="278">
        <f t="shared" si="16"/>
        <v>0</v>
      </c>
      <c r="F72" s="286">
        <f t="shared" si="16"/>
        <v>18018</v>
      </c>
      <c r="G72" s="277">
        <f t="shared" si="16"/>
        <v>0</v>
      </c>
      <c r="H72" s="282">
        <f t="shared" si="16"/>
        <v>0</v>
      </c>
      <c r="I72" s="278">
        <f t="shared" si="16"/>
        <v>0</v>
      </c>
      <c r="J72" s="277">
        <f t="shared" si="16"/>
        <v>504</v>
      </c>
      <c r="K72" s="278">
        <f t="shared" si="16"/>
        <v>0</v>
      </c>
      <c r="L72" s="286">
        <f t="shared" si="16"/>
        <v>504</v>
      </c>
      <c r="M72" s="277">
        <f t="shared" si="16"/>
        <v>0</v>
      </c>
      <c r="N72" s="282">
        <f t="shared" si="16"/>
        <v>0</v>
      </c>
      <c r="O72" s="286">
        <f t="shared" si="16"/>
        <v>0</v>
      </c>
      <c r="P72" s="136"/>
      <c r="R72" s="53"/>
      <c r="S72" s="53"/>
    </row>
    <row r="73" spans="1:19" ht="43.5" customHeight="1" x14ac:dyDescent="0.25">
      <c r="A73" s="76">
        <v>1221</v>
      </c>
      <c r="B73" s="127" t="s">
        <v>91</v>
      </c>
      <c r="C73" s="429">
        <f t="shared" si="3"/>
        <v>9885</v>
      </c>
      <c r="D73" s="134">
        <v>9885</v>
      </c>
      <c r="E73" s="283"/>
      <c r="F73" s="475">
        <f>D73+E73</f>
        <v>9885</v>
      </c>
      <c r="G73" s="134"/>
      <c r="H73" s="285"/>
      <c r="I73" s="283">
        <f>G73+H73</f>
        <v>0</v>
      </c>
      <c r="J73" s="134"/>
      <c r="K73" s="283"/>
      <c r="L73" s="475">
        <f>J73+K73</f>
        <v>0</v>
      </c>
      <c r="M73" s="134"/>
      <c r="N73" s="285"/>
      <c r="O73" s="475">
        <f>N73+M73</f>
        <v>0</v>
      </c>
      <c r="P73" s="441"/>
      <c r="R73" s="53"/>
      <c r="S73" s="53"/>
    </row>
    <row r="74" spans="1:19" hidden="1" x14ac:dyDescent="0.25">
      <c r="A74" s="76">
        <v>1223</v>
      </c>
      <c r="B74" s="127" t="s">
        <v>92</v>
      </c>
      <c r="C74" s="429">
        <f t="shared" si="3"/>
        <v>0</v>
      </c>
      <c r="D74" s="134"/>
      <c r="E74" s="283"/>
      <c r="F74" s="475">
        <f>D74+E74</f>
        <v>0</v>
      </c>
      <c r="G74" s="134"/>
      <c r="H74" s="285"/>
      <c r="I74" s="283">
        <f>G74+H74</f>
        <v>0</v>
      </c>
      <c r="J74" s="134"/>
      <c r="K74" s="283"/>
      <c r="L74" s="475">
        <f>J74+K74</f>
        <v>0</v>
      </c>
      <c r="M74" s="134"/>
      <c r="N74" s="285"/>
      <c r="O74" s="475">
        <f>N74+M74</f>
        <v>0</v>
      </c>
      <c r="P74" s="443"/>
      <c r="R74" s="53"/>
      <c r="S74" s="53"/>
    </row>
    <row r="75" spans="1:19" hidden="1" x14ac:dyDescent="0.25">
      <c r="A75" s="76">
        <v>1225</v>
      </c>
      <c r="B75" s="127" t="s">
        <v>93</v>
      </c>
      <c r="C75" s="429">
        <f t="shared" si="3"/>
        <v>0</v>
      </c>
      <c r="D75" s="134"/>
      <c r="E75" s="283"/>
      <c r="F75" s="475">
        <f>D75+E75</f>
        <v>0</v>
      </c>
      <c r="G75" s="134"/>
      <c r="H75" s="285"/>
      <c r="I75" s="283">
        <f>G75+H75</f>
        <v>0</v>
      </c>
      <c r="J75" s="134"/>
      <c r="K75" s="283"/>
      <c r="L75" s="475">
        <f>J75+K75</f>
        <v>0</v>
      </c>
      <c r="M75" s="134"/>
      <c r="N75" s="285"/>
      <c r="O75" s="475">
        <f>N75+M75</f>
        <v>0</v>
      </c>
      <c r="P75" s="443"/>
      <c r="R75" s="53"/>
      <c r="S75" s="53"/>
    </row>
    <row r="76" spans="1:19" ht="40.5" customHeight="1" x14ac:dyDescent="0.25">
      <c r="A76" s="76">
        <v>1227</v>
      </c>
      <c r="B76" s="127" t="s">
        <v>94</v>
      </c>
      <c r="C76" s="429">
        <f t="shared" si="3"/>
        <v>7593</v>
      </c>
      <c r="D76" s="134">
        <v>7593</v>
      </c>
      <c r="E76" s="283"/>
      <c r="F76" s="475">
        <f>D76+E76</f>
        <v>7593</v>
      </c>
      <c r="G76" s="134"/>
      <c r="H76" s="285"/>
      <c r="I76" s="283">
        <f>G76+H76</f>
        <v>0</v>
      </c>
      <c r="J76" s="134"/>
      <c r="K76" s="283"/>
      <c r="L76" s="475">
        <f>J76+K76</f>
        <v>0</v>
      </c>
      <c r="M76" s="134"/>
      <c r="N76" s="285"/>
      <c r="O76" s="475">
        <f>N76+M76</f>
        <v>0</v>
      </c>
      <c r="P76" s="441"/>
      <c r="R76" s="53"/>
      <c r="S76" s="53"/>
    </row>
    <row r="77" spans="1:19" ht="48" customHeight="1" x14ac:dyDescent="0.2">
      <c r="A77" s="76">
        <v>1228</v>
      </c>
      <c r="B77" s="127" t="s">
        <v>95</v>
      </c>
      <c r="C77" s="429">
        <f t="shared" si="3"/>
        <v>1044</v>
      </c>
      <c r="D77" s="134">
        <v>540</v>
      </c>
      <c r="E77" s="283"/>
      <c r="F77" s="475">
        <f>D77+E77</f>
        <v>540</v>
      </c>
      <c r="G77" s="134"/>
      <c r="H77" s="285"/>
      <c r="I77" s="283">
        <f>G77+H77</f>
        <v>0</v>
      </c>
      <c r="J77" s="134">
        <v>504</v>
      </c>
      <c r="K77" s="283"/>
      <c r="L77" s="475">
        <f>J77+K77</f>
        <v>504</v>
      </c>
      <c r="M77" s="134"/>
      <c r="N77" s="285"/>
      <c r="O77" s="475">
        <f>N77+M77</f>
        <v>0</v>
      </c>
      <c r="P77" s="711"/>
      <c r="R77" s="53"/>
      <c r="S77" s="53"/>
    </row>
    <row r="78" spans="1:19" x14ac:dyDescent="0.25">
      <c r="A78" s="237">
        <v>2000</v>
      </c>
      <c r="B78" s="237" t="s">
        <v>96</v>
      </c>
      <c r="C78" s="709">
        <f t="shared" si="3"/>
        <v>50448</v>
      </c>
      <c r="D78" s="466">
        <f t="shared" ref="D78:O78" si="17">SUM(D79,D86,D133,D167,D168,D175)</f>
        <v>17664</v>
      </c>
      <c r="E78" s="471">
        <f t="shared" si="17"/>
        <v>9760</v>
      </c>
      <c r="F78" s="465">
        <f t="shared" si="17"/>
        <v>27424</v>
      </c>
      <c r="G78" s="466">
        <f t="shared" si="17"/>
        <v>0</v>
      </c>
      <c r="H78" s="467">
        <f t="shared" si="17"/>
        <v>0</v>
      </c>
      <c r="I78" s="471">
        <f t="shared" si="17"/>
        <v>0</v>
      </c>
      <c r="J78" s="466">
        <f t="shared" si="17"/>
        <v>23024</v>
      </c>
      <c r="K78" s="471">
        <f t="shared" si="17"/>
        <v>0</v>
      </c>
      <c r="L78" s="465">
        <f t="shared" si="17"/>
        <v>23024</v>
      </c>
      <c r="M78" s="239">
        <f t="shared" si="17"/>
        <v>0</v>
      </c>
      <c r="N78" s="245">
        <f t="shared" si="17"/>
        <v>0</v>
      </c>
      <c r="O78" s="320">
        <f t="shared" si="17"/>
        <v>0</v>
      </c>
      <c r="P78" s="243"/>
      <c r="R78" s="53"/>
      <c r="S78" s="53"/>
    </row>
    <row r="79" spans="1:19" ht="24" x14ac:dyDescent="0.25">
      <c r="A79" s="99">
        <v>2100</v>
      </c>
      <c r="B79" s="247" t="s">
        <v>97</v>
      </c>
      <c r="C79" s="103">
        <f t="shared" si="3"/>
        <v>2514</v>
      </c>
      <c r="D79" s="112">
        <f t="shared" ref="D79:O79" si="18">SUM(D80,D83)</f>
        <v>2514</v>
      </c>
      <c r="E79" s="248">
        <f t="shared" si="18"/>
        <v>0</v>
      </c>
      <c r="F79" s="313">
        <f t="shared" si="18"/>
        <v>2514</v>
      </c>
      <c r="G79" s="112">
        <f t="shared" si="18"/>
        <v>0</v>
      </c>
      <c r="H79" s="293">
        <f t="shared" si="18"/>
        <v>0</v>
      </c>
      <c r="I79" s="248">
        <f t="shared" si="18"/>
        <v>0</v>
      </c>
      <c r="J79" s="112">
        <f t="shared" si="18"/>
        <v>0</v>
      </c>
      <c r="K79" s="248">
        <f t="shared" si="18"/>
        <v>0</v>
      </c>
      <c r="L79" s="313">
        <f t="shared" si="18"/>
        <v>0</v>
      </c>
      <c r="M79" s="112">
        <f t="shared" si="18"/>
        <v>0</v>
      </c>
      <c r="N79" s="293">
        <f t="shared" si="18"/>
        <v>0</v>
      </c>
      <c r="O79" s="313">
        <f t="shared" si="18"/>
        <v>0</v>
      </c>
      <c r="P79" s="114"/>
      <c r="R79" s="53"/>
      <c r="S79" s="53"/>
    </row>
    <row r="80" spans="1:19" ht="24" x14ac:dyDescent="0.25">
      <c r="A80" s="656">
        <v>2110</v>
      </c>
      <c r="B80" s="116" t="s">
        <v>98</v>
      </c>
      <c r="C80" s="70">
        <f t="shared" si="3"/>
        <v>1014</v>
      </c>
      <c r="D80" s="297">
        <f t="shared" ref="D80:O80" si="19">SUM(D81:D82)</f>
        <v>1014</v>
      </c>
      <c r="E80" s="298">
        <f t="shared" si="19"/>
        <v>0</v>
      </c>
      <c r="F80" s="263">
        <f t="shared" si="19"/>
        <v>1014</v>
      </c>
      <c r="G80" s="297">
        <f t="shared" si="19"/>
        <v>0</v>
      </c>
      <c r="H80" s="301">
        <f t="shared" si="19"/>
        <v>0</v>
      </c>
      <c r="I80" s="298">
        <f t="shared" si="19"/>
        <v>0</v>
      </c>
      <c r="J80" s="297">
        <f t="shared" si="19"/>
        <v>0</v>
      </c>
      <c r="K80" s="298">
        <f t="shared" si="19"/>
        <v>0</v>
      </c>
      <c r="L80" s="263">
        <f t="shared" si="19"/>
        <v>0</v>
      </c>
      <c r="M80" s="297">
        <f t="shared" si="19"/>
        <v>0</v>
      </c>
      <c r="N80" s="301">
        <f t="shared" si="19"/>
        <v>0</v>
      </c>
      <c r="O80" s="263">
        <f t="shared" si="19"/>
        <v>0</v>
      </c>
      <c r="P80" s="125"/>
      <c r="R80" s="53"/>
      <c r="S80" s="53"/>
    </row>
    <row r="81" spans="1:19" x14ac:dyDescent="0.25">
      <c r="A81" s="76">
        <v>2111</v>
      </c>
      <c r="B81" s="127" t="s">
        <v>99</v>
      </c>
      <c r="C81" s="429">
        <f t="shared" si="3"/>
        <v>180</v>
      </c>
      <c r="D81" s="134">
        <v>180</v>
      </c>
      <c r="E81" s="283"/>
      <c r="F81" s="475">
        <f>D81+E81</f>
        <v>180</v>
      </c>
      <c r="G81" s="134"/>
      <c r="H81" s="285"/>
      <c r="I81" s="283">
        <f>G81+H81</f>
        <v>0</v>
      </c>
      <c r="J81" s="134"/>
      <c r="K81" s="283"/>
      <c r="L81" s="475">
        <f>J81+K81</f>
        <v>0</v>
      </c>
      <c r="M81" s="134"/>
      <c r="N81" s="285"/>
      <c r="O81" s="475">
        <f>N81+M81</f>
        <v>0</v>
      </c>
      <c r="P81" s="443"/>
      <c r="R81" s="53"/>
      <c r="S81" s="53"/>
    </row>
    <row r="82" spans="1:19" ht="24" x14ac:dyDescent="0.25">
      <c r="A82" s="76">
        <v>2112</v>
      </c>
      <c r="B82" s="127" t="s">
        <v>100</v>
      </c>
      <c r="C82" s="429">
        <f t="shared" si="3"/>
        <v>834</v>
      </c>
      <c r="D82" s="134">
        <v>834</v>
      </c>
      <c r="E82" s="283"/>
      <c r="F82" s="475">
        <f>D82+E82</f>
        <v>834</v>
      </c>
      <c r="G82" s="134"/>
      <c r="H82" s="285"/>
      <c r="I82" s="283">
        <f>G82+H82</f>
        <v>0</v>
      </c>
      <c r="J82" s="134"/>
      <c r="K82" s="283"/>
      <c r="L82" s="475">
        <f>J82+K82</f>
        <v>0</v>
      </c>
      <c r="M82" s="134"/>
      <c r="N82" s="285"/>
      <c r="O82" s="475">
        <f>N82+M82</f>
        <v>0</v>
      </c>
      <c r="P82" s="441"/>
      <c r="R82" s="53"/>
      <c r="S82" s="53"/>
    </row>
    <row r="83" spans="1:19" ht="24" x14ac:dyDescent="0.25">
      <c r="A83" s="276">
        <v>2120</v>
      </c>
      <c r="B83" s="127" t="s">
        <v>101</v>
      </c>
      <c r="C83" s="429">
        <f t="shared" si="3"/>
        <v>1500</v>
      </c>
      <c r="D83" s="277">
        <f t="shared" ref="D83:O83" si="20">SUM(D84:D85)</f>
        <v>1500</v>
      </c>
      <c r="E83" s="278">
        <f t="shared" si="20"/>
        <v>0</v>
      </c>
      <c r="F83" s="286">
        <f t="shared" si="20"/>
        <v>1500</v>
      </c>
      <c r="G83" s="277">
        <f t="shared" si="20"/>
        <v>0</v>
      </c>
      <c r="H83" s="282">
        <f t="shared" si="20"/>
        <v>0</v>
      </c>
      <c r="I83" s="278">
        <f t="shared" si="20"/>
        <v>0</v>
      </c>
      <c r="J83" s="277">
        <f t="shared" si="20"/>
        <v>0</v>
      </c>
      <c r="K83" s="278">
        <f t="shared" si="20"/>
        <v>0</v>
      </c>
      <c r="L83" s="286">
        <f t="shared" si="20"/>
        <v>0</v>
      </c>
      <c r="M83" s="277">
        <f t="shared" si="20"/>
        <v>0</v>
      </c>
      <c r="N83" s="282">
        <f t="shared" si="20"/>
        <v>0</v>
      </c>
      <c r="O83" s="286">
        <f t="shared" si="20"/>
        <v>0</v>
      </c>
      <c r="P83" s="136"/>
      <c r="R83" s="53"/>
      <c r="S83" s="53"/>
    </row>
    <row r="84" spans="1:19" x14ac:dyDescent="0.25">
      <c r="A84" s="76">
        <v>2121</v>
      </c>
      <c r="B84" s="127" t="s">
        <v>99</v>
      </c>
      <c r="C84" s="429">
        <f t="shared" si="3"/>
        <v>160</v>
      </c>
      <c r="D84" s="134">
        <v>160</v>
      </c>
      <c r="E84" s="283"/>
      <c r="F84" s="475">
        <f>D84+E84</f>
        <v>160</v>
      </c>
      <c r="G84" s="134"/>
      <c r="H84" s="285"/>
      <c r="I84" s="283">
        <f>G84+H84</f>
        <v>0</v>
      </c>
      <c r="J84" s="134"/>
      <c r="K84" s="283"/>
      <c r="L84" s="475">
        <f>J84+K84</f>
        <v>0</v>
      </c>
      <c r="M84" s="134"/>
      <c r="N84" s="285"/>
      <c r="O84" s="475">
        <f>N84+M84</f>
        <v>0</v>
      </c>
      <c r="P84" s="441"/>
      <c r="R84" s="53"/>
      <c r="S84" s="53"/>
    </row>
    <row r="85" spans="1:19" ht="24" x14ac:dyDescent="0.25">
      <c r="A85" s="76">
        <v>2122</v>
      </c>
      <c r="B85" s="127" t="s">
        <v>100</v>
      </c>
      <c r="C85" s="429">
        <f t="shared" si="3"/>
        <v>1340</v>
      </c>
      <c r="D85" s="134">
        <v>1340</v>
      </c>
      <c r="E85" s="283"/>
      <c r="F85" s="475">
        <f>D85+E85</f>
        <v>1340</v>
      </c>
      <c r="G85" s="134"/>
      <c r="H85" s="285"/>
      <c r="I85" s="283">
        <f>G85+H85</f>
        <v>0</v>
      </c>
      <c r="J85" s="134"/>
      <c r="K85" s="283"/>
      <c r="L85" s="475">
        <f>J85+K85</f>
        <v>0</v>
      </c>
      <c r="M85" s="134"/>
      <c r="N85" s="285"/>
      <c r="O85" s="475">
        <f>N85+M85</f>
        <v>0</v>
      </c>
      <c r="P85" s="441"/>
      <c r="R85" s="53"/>
      <c r="S85" s="53"/>
    </row>
    <row r="86" spans="1:19" x14ac:dyDescent="0.25">
      <c r="A86" s="99">
        <v>2200</v>
      </c>
      <c r="B86" s="247" t="s">
        <v>102</v>
      </c>
      <c r="C86" s="103">
        <f t="shared" si="3"/>
        <v>23228</v>
      </c>
      <c r="D86" s="112">
        <f t="shared" ref="D86:O86" si="21">SUM(D87,D92,D98,D106,D115,D119,D125,D131)</f>
        <v>10815</v>
      </c>
      <c r="E86" s="248">
        <f t="shared" si="21"/>
        <v>9760</v>
      </c>
      <c r="F86" s="313">
        <f t="shared" si="21"/>
        <v>20575</v>
      </c>
      <c r="G86" s="112">
        <f t="shared" si="21"/>
        <v>0</v>
      </c>
      <c r="H86" s="293">
        <f t="shared" si="21"/>
        <v>0</v>
      </c>
      <c r="I86" s="248">
        <f t="shared" si="21"/>
        <v>0</v>
      </c>
      <c r="J86" s="112">
        <f t="shared" si="21"/>
        <v>2653</v>
      </c>
      <c r="K86" s="248">
        <f t="shared" si="21"/>
        <v>0</v>
      </c>
      <c r="L86" s="313">
        <f t="shared" si="21"/>
        <v>2653</v>
      </c>
      <c r="M86" s="360">
        <f t="shared" si="21"/>
        <v>0</v>
      </c>
      <c r="N86" s="293">
        <f t="shared" si="21"/>
        <v>0</v>
      </c>
      <c r="O86" s="313">
        <f t="shared" si="21"/>
        <v>0</v>
      </c>
      <c r="P86" s="114"/>
      <c r="R86" s="53"/>
      <c r="S86" s="53"/>
    </row>
    <row r="87" spans="1:19" ht="24" x14ac:dyDescent="0.25">
      <c r="A87" s="254">
        <v>2210</v>
      </c>
      <c r="B87" s="179" t="s">
        <v>103</v>
      </c>
      <c r="C87" s="454">
        <f t="shared" si="3"/>
        <v>4380</v>
      </c>
      <c r="D87" s="255">
        <f t="shared" ref="D87:O87" si="22">SUM(D88:D91)</f>
        <v>2846</v>
      </c>
      <c r="E87" s="256">
        <f t="shared" si="22"/>
        <v>0</v>
      </c>
      <c r="F87" s="310">
        <f t="shared" si="22"/>
        <v>2846</v>
      </c>
      <c r="G87" s="255">
        <f t="shared" si="22"/>
        <v>0</v>
      </c>
      <c r="H87" s="261">
        <f t="shared" si="22"/>
        <v>0</v>
      </c>
      <c r="I87" s="256">
        <f t="shared" si="22"/>
        <v>0</v>
      </c>
      <c r="J87" s="255">
        <f t="shared" si="22"/>
        <v>1534</v>
      </c>
      <c r="K87" s="256">
        <f t="shared" si="22"/>
        <v>0</v>
      </c>
      <c r="L87" s="310">
        <f t="shared" si="22"/>
        <v>1534</v>
      </c>
      <c r="M87" s="255">
        <f t="shared" si="22"/>
        <v>0</v>
      </c>
      <c r="N87" s="261">
        <f t="shared" si="22"/>
        <v>0</v>
      </c>
      <c r="O87" s="310">
        <f t="shared" si="22"/>
        <v>0</v>
      </c>
      <c r="P87" s="259"/>
      <c r="R87" s="53"/>
      <c r="S87" s="53"/>
    </row>
    <row r="88" spans="1:19" ht="24" hidden="1" x14ac:dyDescent="0.25">
      <c r="A88" s="66">
        <v>2211</v>
      </c>
      <c r="B88" s="116" t="s">
        <v>104</v>
      </c>
      <c r="C88" s="70">
        <f t="shared" si="3"/>
        <v>0</v>
      </c>
      <c r="D88" s="123"/>
      <c r="E88" s="295"/>
      <c r="F88" s="473">
        <f>D88+E88</f>
        <v>0</v>
      </c>
      <c r="G88" s="123"/>
      <c r="H88" s="262"/>
      <c r="I88" s="295">
        <f>G88+H88</f>
        <v>0</v>
      </c>
      <c r="J88" s="123"/>
      <c r="K88" s="295"/>
      <c r="L88" s="473">
        <f>J88+K88</f>
        <v>0</v>
      </c>
      <c r="M88" s="123"/>
      <c r="N88" s="262"/>
      <c r="O88" s="473">
        <f>N88+M88</f>
        <v>0</v>
      </c>
      <c r="P88" s="442"/>
      <c r="R88" s="53"/>
      <c r="S88" s="53"/>
    </row>
    <row r="89" spans="1:19" ht="36" x14ac:dyDescent="0.25">
      <c r="A89" s="76">
        <v>2212</v>
      </c>
      <c r="B89" s="127" t="s">
        <v>105</v>
      </c>
      <c r="C89" s="429">
        <f t="shared" si="3"/>
        <v>3714</v>
      </c>
      <c r="D89" s="134">
        <v>2456</v>
      </c>
      <c r="E89" s="283"/>
      <c r="F89" s="475">
        <f>D89+E89</f>
        <v>2456</v>
      </c>
      <c r="G89" s="134"/>
      <c r="H89" s="285"/>
      <c r="I89" s="283">
        <f>G89+H89</f>
        <v>0</v>
      </c>
      <c r="J89" s="134">
        <v>1258</v>
      </c>
      <c r="K89" s="283"/>
      <c r="L89" s="475">
        <f>J89+K89</f>
        <v>1258</v>
      </c>
      <c r="M89" s="134"/>
      <c r="N89" s="285"/>
      <c r="O89" s="475">
        <f>N89+M89</f>
        <v>0</v>
      </c>
      <c r="P89" s="441"/>
      <c r="R89" s="53"/>
      <c r="S89" s="53"/>
    </row>
    <row r="90" spans="1:19" ht="24" x14ac:dyDescent="0.25">
      <c r="A90" s="76">
        <v>2214</v>
      </c>
      <c r="B90" s="127" t="s">
        <v>106</v>
      </c>
      <c r="C90" s="429">
        <f t="shared" si="3"/>
        <v>536</v>
      </c>
      <c r="D90" s="134">
        <v>360</v>
      </c>
      <c r="E90" s="283"/>
      <c r="F90" s="475">
        <f>D90+E90</f>
        <v>360</v>
      </c>
      <c r="G90" s="134"/>
      <c r="H90" s="285"/>
      <c r="I90" s="283">
        <f>G90+H90</f>
        <v>0</v>
      </c>
      <c r="J90" s="134">
        <v>176</v>
      </c>
      <c r="K90" s="283"/>
      <c r="L90" s="475">
        <f>J90+K90</f>
        <v>176</v>
      </c>
      <c r="M90" s="134"/>
      <c r="N90" s="285"/>
      <c r="O90" s="475">
        <f>N90+M90</f>
        <v>0</v>
      </c>
      <c r="P90" s="441"/>
      <c r="R90" s="53"/>
      <c r="S90" s="53"/>
    </row>
    <row r="91" spans="1:19" x14ac:dyDescent="0.25">
      <c r="A91" s="76">
        <v>2219</v>
      </c>
      <c r="B91" s="127" t="s">
        <v>107</v>
      </c>
      <c r="C91" s="429">
        <f t="shared" si="3"/>
        <v>130</v>
      </c>
      <c r="D91" s="134">
        <v>30</v>
      </c>
      <c r="E91" s="283"/>
      <c r="F91" s="475">
        <f>D91+E91</f>
        <v>30</v>
      </c>
      <c r="G91" s="134"/>
      <c r="H91" s="285"/>
      <c r="I91" s="283">
        <f>G91+H91</f>
        <v>0</v>
      </c>
      <c r="J91" s="134">
        <v>100</v>
      </c>
      <c r="K91" s="283"/>
      <c r="L91" s="475">
        <f>J91+K91</f>
        <v>100</v>
      </c>
      <c r="M91" s="134"/>
      <c r="N91" s="285"/>
      <c r="O91" s="475">
        <f>N91+M91</f>
        <v>0</v>
      </c>
      <c r="P91" s="443"/>
      <c r="R91" s="53"/>
      <c r="S91" s="53"/>
    </row>
    <row r="92" spans="1:19" ht="24" x14ac:dyDescent="0.25">
      <c r="A92" s="276">
        <v>2220</v>
      </c>
      <c r="B92" s="127" t="s">
        <v>108</v>
      </c>
      <c r="C92" s="429">
        <f t="shared" si="3"/>
        <v>6255</v>
      </c>
      <c r="D92" s="277">
        <f t="shared" ref="D92:O92" si="23">SUM(D93:D97)</f>
        <v>6255</v>
      </c>
      <c r="E92" s="278">
        <f t="shared" si="23"/>
        <v>0</v>
      </c>
      <c r="F92" s="286">
        <f t="shared" si="23"/>
        <v>6255</v>
      </c>
      <c r="G92" s="277">
        <f t="shared" si="23"/>
        <v>0</v>
      </c>
      <c r="H92" s="282">
        <f t="shared" si="23"/>
        <v>0</v>
      </c>
      <c r="I92" s="278">
        <f t="shared" si="23"/>
        <v>0</v>
      </c>
      <c r="J92" s="277">
        <f t="shared" si="23"/>
        <v>0</v>
      </c>
      <c r="K92" s="278">
        <f t="shared" si="23"/>
        <v>0</v>
      </c>
      <c r="L92" s="286">
        <f t="shared" si="23"/>
        <v>0</v>
      </c>
      <c r="M92" s="277">
        <f t="shared" si="23"/>
        <v>0</v>
      </c>
      <c r="N92" s="282">
        <f t="shared" si="23"/>
        <v>0</v>
      </c>
      <c r="O92" s="286">
        <f t="shared" si="23"/>
        <v>0</v>
      </c>
      <c r="P92" s="136"/>
      <c r="R92" s="53"/>
      <c r="S92" s="53"/>
    </row>
    <row r="93" spans="1:19" x14ac:dyDescent="0.25">
      <c r="A93" s="76">
        <v>2221</v>
      </c>
      <c r="B93" s="127" t="s">
        <v>109</v>
      </c>
      <c r="C93" s="429">
        <f t="shared" si="3"/>
        <v>3608</v>
      </c>
      <c r="D93" s="134">
        <v>3608</v>
      </c>
      <c r="E93" s="283"/>
      <c r="F93" s="475">
        <f>D93+E93</f>
        <v>3608</v>
      </c>
      <c r="G93" s="134"/>
      <c r="H93" s="285"/>
      <c r="I93" s="283">
        <f>G93+H93</f>
        <v>0</v>
      </c>
      <c r="J93" s="134"/>
      <c r="K93" s="283"/>
      <c r="L93" s="475">
        <f>J93+K93</f>
        <v>0</v>
      </c>
      <c r="M93" s="134"/>
      <c r="N93" s="285"/>
      <c r="O93" s="475">
        <f>N93+M93</f>
        <v>0</v>
      </c>
      <c r="P93" s="443"/>
      <c r="R93" s="53"/>
      <c r="S93" s="53"/>
    </row>
    <row r="94" spans="1:19" x14ac:dyDescent="0.25">
      <c r="A94" s="76">
        <v>2222</v>
      </c>
      <c r="B94" s="127" t="s">
        <v>110</v>
      </c>
      <c r="C94" s="429">
        <f t="shared" si="3"/>
        <v>406</v>
      </c>
      <c r="D94" s="134">
        <v>406</v>
      </c>
      <c r="E94" s="283"/>
      <c r="F94" s="475">
        <f>D94+E94</f>
        <v>406</v>
      </c>
      <c r="G94" s="134"/>
      <c r="H94" s="285"/>
      <c r="I94" s="283">
        <f>G94+H94</f>
        <v>0</v>
      </c>
      <c r="J94" s="134"/>
      <c r="K94" s="283"/>
      <c r="L94" s="475">
        <f>J94+K94</f>
        <v>0</v>
      </c>
      <c r="M94" s="134"/>
      <c r="N94" s="285"/>
      <c r="O94" s="475">
        <f>N94+M94</f>
        <v>0</v>
      </c>
      <c r="P94" s="443"/>
      <c r="R94" s="53"/>
      <c r="S94" s="53"/>
    </row>
    <row r="95" spans="1:19" x14ac:dyDescent="0.25">
      <c r="A95" s="76">
        <v>2223</v>
      </c>
      <c r="B95" s="127" t="s">
        <v>111</v>
      </c>
      <c r="C95" s="429">
        <f t="shared" si="3"/>
        <v>2136</v>
      </c>
      <c r="D95" s="134">
        <v>2136</v>
      </c>
      <c r="E95" s="283"/>
      <c r="F95" s="475">
        <f>D95+E95</f>
        <v>2136</v>
      </c>
      <c r="G95" s="134"/>
      <c r="H95" s="285"/>
      <c r="I95" s="283">
        <f>G95+H95</f>
        <v>0</v>
      </c>
      <c r="J95" s="134"/>
      <c r="K95" s="283"/>
      <c r="L95" s="475">
        <f>J95+K95</f>
        <v>0</v>
      </c>
      <c r="M95" s="134"/>
      <c r="N95" s="285"/>
      <c r="O95" s="475">
        <f>N95+M95</f>
        <v>0</v>
      </c>
      <c r="P95" s="443"/>
      <c r="R95" s="53"/>
      <c r="S95" s="53"/>
    </row>
    <row r="96" spans="1:19" ht="41.25" customHeight="1" x14ac:dyDescent="0.25">
      <c r="A96" s="76">
        <v>2224</v>
      </c>
      <c r="B96" s="127" t="s">
        <v>112</v>
      </c>
      <c r="C96" s="429">
        <f t="shared" si="3"/>
        <v>105</v>
      </c>
      <c r="D96" s="134">
        <v>105</v>
      </c>
      <c r="E96" s="283"/>
      <c r="F96" s="475">
        <f>D96+E96</f>
        <v>105</v>
      </c>
      <c r="G96" s="134"/>
      <c r="H96" s="285"/>
      <c r="I96" s="283">
        <f>G96+H96</f>
        <v>0</v>
      </c>
      <c r="J96" s="134"/>
      <c r="K96" s="283"/>
      <c r="L96" s="475">
        <f>J96+K96</f>
        <v>0</v>
      </c>
      <c r="M96" s="134"/>
      <c r="N96" s="285"/>
      <c r="O96" s="475">
        <f>N96+M96</f>
        <v>0</v>
      </c>
      <c r="P96" s="441"/>
      <c r="R96" s="53"/>
      <c r="S96" s="53"/>
    </row>
    <row r="97" spans="1:19" ht="24" hidden="1" x14ac:dyDescent="0.25">
      <c r="A97" s="76">
        <v>2229</v>
      </c>
      <c r="B97" s="127" t="s">
        <v>113</v>
      </c>
      <c r="C97" s="429">
        <f t="shared" si="3"/>
        <v>0</v>
      </c>
      <c r="D97" s="134"/>
      <c r="E97" s="283"/>
      <c r="F97" s="475">
        <f>D97+E97</f>
        <v>0</v>
      </c>
      <c r="G97" s="134"/>
      <c r="H97" s="285"/>
      <c r="I97" s="283">
        <f>G97+H97</f>
        <v>0</v>
      </c>
      <c r="J97" s="134"/>
      <c r="K97" s="283"/>
      <c r="L97" s="475">
        <f>J97+K97</f>
        <v>0</v>
      </c>
      <c r="M97" s="134"/>
      <c r="N97" s="285"/>
      <c r="O97" s="475">
        <f>N97+M97</f>
        <v>0</v>
      </c>
      <c r="P97" s="443"/>
      <c r="R97" s="53"/>
      <c r="S97" s="53"/>
    </row>
    <row r="98" spans="1:19" ht="36" x14ac:dyDescent="0.25">
      <c r="A98" s="276">
        <v>2230</v>
      </c>
      <c r="B98" s="127" t="s">
        <v>114</v>
      </c>
      <c r="C98" s="429">
        <f t="shared" si="3"/>
        <v>11716</v>
      </c>
      <c r="D98" s="277">
        <f t="shared" ref="D98:O98" si="24">SUM(D99:D105)</f>
        <v>949</v>
      </c>
      <c r="E98" s="278">
        <f t="shared" si="24"/>
        <v>9760</v>
      </c>
      <c r="F98" s="286">
        <f t="shared" si="24"/>
        <v>10709</v>
      </c>
      <c r="G98" s="277">
        <f t="shared" si="24"/>
        <v>0</v>
      </c>
      <c r="H98" s="282">
        <f t="shared" si="24"/>
        <v>0</v>
      </c>
      <c r="I98" s="278">
        <f t="shared" si="24"/>
        <v>0</v>
      </c>
      <c r="J98" s="277">
        <f t="shared" si="24"/>
        <v>1007</v>
      </c>
      <c r="K98" s="278">
        <f t="shared" si="24"/>
        <v>0</v>
      </c>
      <c r="L98" s="286">
        <f t="shared" si="24"/>
        <v>1007</v>
      </c>
      <c r="M98" s="277">
        <f t="shared" si="24"/>
        <v>0</v>
      </c>
      <c r="N98" s="282">
        <f t="shared" si="24"/>
        <v>0</v>
      </c>
      <c r="O98" s="286">
        <f t="shared" si="24"/>
        <v>0</v>
      </c>
      <c r="P98" s="136"/>
      <c r="R98" s="53"/>
      <c r="S98" s="53"/>
    </row>
    <row r="99" spans="1:19" ht="36" x14ac:dyDescent="0.25">
      <c r="A99" s="76">
        <v>2231</v>
      </c>
      <c r="B99" s="127" t="s">
        <v>115</v>
      </c>
      <c r="C99" s="429">
        <f t="shared" si="3"/>
        <v>9760</v>
      </c>
      <c r="D99" s="134"/>
      <c r="E99" s="283">
        <v>9760</v>
      </c>
      <c r="F99" s="475">
        <f t="shared" ref="F99:F105" si="25">D99+E99</f>
        <v>9760</v>
      </c>
      <c r="G99" s="134"/>
      <c r="H99" s="285"/>
      <c r="I99" s="283">
        <f t="shared" ref="I99:I105" si="26">G99+H99</f>
        <v>0</v>
      </c>
      <c r="J99" s="134"/>
      <c r="K99" s="283"/>
      <c r="L99" s="475">
        <f t="shared" ref="L99:L105" si="27">J99+K99</f>
        <v>0</v>
      </c>
      <c r="M99" s="134"/>
      <c r="N99" s="285"/>
      <c r="O99" s="475">
        <f t="shared" ref="O99:O105" si="28">N99+M99</f>
        <v>0</v>
      </c>
      <c r="P99" s="441" t="s">
        <v>529</v>
      </c>
      <c r="R99" s="53"/>
      <c r="S99" s="53"/>
    </row>
    <row r="100" spans="1:19" ht="36" hidden="1" x14ac:dyDescent="0.25">
      <c r="A100" s="76">
        <v>2232</v>
      </c>
      <c r="B100" s="127" t="s">
        <v>116</v>
      </c>
      <c r="C100" s="429">
        <f t="shared" si="3"/>
        <v>0</v>
      </c>
      <c r="D100" s="134"/>
      <c r="E100" s="283"/>
      <c r="F100" s="475">
        <f t="shared" si="25"/>
        <v>0</v>
      </c>
      <c r="G100" s="134"/>
      <c r="H100" s="285"/>
      <c r="I100" s="283">
        <f t="shared" si="26"/>
        <v>0</v>
      </c>
      <c r="J100" s="134"/>
      <c r="K100" s="283"/>
      <c r="L100" s="475">
        <f t="shared" si="27"/>
        <v>0</v>
      </c>
      <c r="M100" s="134"/>
      <c r="N100" s="285"/>
      <c r="O100" s="475">
        <f t="shared" si="28"/>
        <v>0</v>
      </c>
      <c r="P100" s="443"/>
      <c r="R100" s="53"/>
      <c r="S100" s="53"/>
    </row>
    <row r="101" spans="1:19" ht="24" hidden="1" x14ac:dyDescent="0.25">
      <c r="A101" s="66">
        <v>2233</v>
      </c>
      <c r="B101" s="116" t="s">
        <v>117</v>
      </c>
      <c r="C101" s="70">
        <f t="shared" si="3"/>
        <v>0</v>
      </c>
      <c r="D101" s="123"/>
      <c r="E101" s="295"/>
      <c r="F101" s="473">
        <f t="shared" si="25"/>
        <v>0</v>
      </c>
      <c r="G101" s="123"/>
      <c r="H101" s="262"/>
      <c r="I101" s="295">
        <f t="shared" si="26"/>
        <v>0</v>
      </c>
      <c r="J101" s="123"/>
      <c r="K101" s="295"/>
      <c r="L101" s="473">
        <f t="shared" si="27"/>
        <v>0</v>
      </c>
      <c r="M101" s="123"/>
      <c r="N101" s="262"/>
      <c r="O101" s="473">
        <f t="shared" si="28"/>
        <v>0</v>
      </c>
      <c r="P101" s="442"/>
      <c r="R101" s="53"/>
      <c r="S101" s="53"/>
    </row>
    <row r="102" spans="1:19" ht="36" x14ac:dyDescent="0.25">
      <c r="A102" s="76">
        <v>2234</v>
      </c>
      <c r="B102" s="127" t="s">
        <v>118</v>
      </c>
      <c r="C102" s="429">
        <f t="shared" si="3"/>
        <v>87</v>
      </c>
      <c r="D102" s="134">
        <v>56</v>
      </c>
      <c r="E102" s="283"/>
      <c r="F102" s="475">
        <f t="shared" si="25"/>
        <v>56</v>
      </c>
      <c r="G102" s="134"/>
      <c r="H102" s="285"/>
      <c r="I102" s="283">
        <f t="shared" si="26"/>
        <v>0</v>
      </c>
      <c r="J102" s="134">
        <v>31</v>
      </c>
      <c r="K102" s="283"/>
      <c r="L102" s="475">
        <f t="shared" si="27"/>
        <v>31</v>
      </c>
      <c r="M102" s="134"/>
      <c r="N102" s="285"/>
      <c r="O102" s="475">
        <f t="shared" si="28"/>
        <v>0</v>
      </c>
      <c r="P102" s="443"/>
      <c r="R102" s="53"/>
      <c r="S102" s="53"/>
    </row>
    <row r="103" spans="1:19" ht="24" x14ac:dyDescent="0.25">
      <c r="A103" s="76">
        <v>2235</v>
      </c>
      <c r="B103" s="127" t="s">
        <v>119</v>
      </c>
      <c r="C103" s="429">
        <f t="shared" si="3"/>
        <v>511</v>
      </c>
      <c r="D103" s="134">
        <v>397</v>
      </c>
      <c r="E103" s="283"/>
      <c r="F103" s="475">
        <f t="shared" si="25"/>
        <v>397</v>
      </c>
      <c r="G103" s="134"/>
      <c r="H103" s="285"/>
      <c r="I103" s="283">
        <f t="shared" si="26"/>
        <v>0</v>
      </c>
      <c r="J103" s="134">
        <v>114</v>
      </c>
      <c r="K103" s="283"/>
      <c r="L103" s="475">
        <f t="shared" si="27"/>
        <v>114</v>
      </c>
      <c r="M103" s="134"/>
      <c r="N103" s="285"/>
      <c r="O103" s="475">
        <f t="shared" si="28"/>
        <v>0</v>
      </c>
      <c r="P103" s="441"/>
      <c r="R103" s="53"/>
      <c r="S103" s="53"/>
    </row>
    <row r="104" spans="1:19" x14ac:dyDescent="0.25">
      <c r="A104" s="76">
        <v>2236</v>
      </c>
      <c r="B104" s="127" t="s">
        <v>120</v>
      </c>
      <c r="C104" s="429">
        <f t="shared" si="3"/>
        <v>558</v>
      </c>
      <c r="D104" s="134">
        <v>78</v>
      </c>
      <c r="E104" s="283"/>
      <c r="F104" s="475">
        <f t="shared" si="25"/>
        <v>78</v>
      </c>
      <c r="G104" s="134"/>
      <c r="H104" s="285"/>
      <c r="I104" s="283">
        <f t="shared" si="26"/>
        <v>0</v>
      </c>
      <c r="J104" s="134">
        <v>480</v>
      </c>
      <c r="K104" s="283"/>
      <c r="L104" s="475">
        <f t="shared" si="27"/>
        <v>480</v>
      </c>
      <c r="M104" s="134"/>
      <c r="N104" s="285"/>
      <c r="O104" s="475">
        <f t="shared" si="28"/>
        <v>0</v>
      </c>
      <c r="P104" s="443"/>
      <c r="R104" s="53"/>
      <c r="S104" s="53"/>
    </row>
    <row r="105" spans="1:19" ht="24" x14ac:dyDescent="0.25">
      <c r="A105" s="76">
        <v>2239</v>
      </c>
      <c r="B105" s="127" t="s">
        <v>121</v>
      </c>
      <c r="C105" s="429">
        <f t="shared" si="3"/>
        <v>800</v>
      </c>
      <c r="D105" s="134">
        <v>418</v>
      </c>
      <c r="E105" s="283"/>
      <c r="F105" s="475">
        <f t="shared" si="25"/>
        <v>418</v>
      </c>
      <c r="G105" s="134"/>
      <c r="H105" s="285"/>
      <c r="I105" s="283">
        <f t="shared" si="26"/>
        <v>0</v>
      </c>
      <c r="J105" s="134">
        <v>382</v>
      </c>
      <c r="K105" s="283"/>
      <c r="L105" s="475">
        <f t="shared" si="27"/>
        <v>382</v>
      </c>
      <c r="M105" s="134"/>
      <c r="N105" s="285"/>
      <c r="O105" s="475">
        <f t="shared" si="28"/>
        <v>0</v>
      </c>
      <c r="P105" s="441"/>
      <c r="R105" s="53"/>
      <c r="S105" s="53"/>
    </row>
    <row r="106" spans="1:19" ht="36" x14ac:dyDescent="0.25">
      <c r="A106" s="276">
        <v>2240</v>
      </c>
      <c r="B106" s="127" t="s">
        <v>122</v>
      </c>
      <c r="C106" s="429">
        <f t="shared" si="3"/>
        <v>751</v>
      </c>
      <c r="D106" s="277">
        <f t="shared" ref="D106:O106" si="29">SUM(D107:D114)</f>
        <v>751</v>
      </c>
      <c r="E106" s="278">
        <f t="shared" si="29"/>
        <v>0</v>
      </c>
      <c r="F106" s="286">
        <f t="shared" si="29"/>
        <v>751</v>
      </c>
      <c r="G106" s="277">
        <f t="shared" si="29"/>
        <v>0</v>
      </c>
      <c r="H106" s="282">
        <f t="shared" si="29"/>
        <v>0</v>
      </c>
      <c r="I106" s="278">
        <f t="shared" si="29"/>
        <v>0</v>
      </c>
      <c r="J106" s="277">
        <f t="shared" si="29"/>
        <v>0</v>
      </c>
      <c r="K106" s="278">
        <f t="shared" si="29"/>
        <v>0</v>
      </c>
      <c r="L106" s="286">
        <f t="shared" si="29"/>
        <v>0</v>
      </c>
      <c r="M106" s="277">
        <f t="shared" si="29"/>
        <v>0</v>
      </c>
      <c r="N106" s="282">
        <f t="shared" si="29"/>
        <v>0</v>
      </c>
      <c r="O106" s="286">
        <f t="shared" si="29"/>
        <v>0</v>
      </c>
      <c r="P106" s="136"/>
      <c r="R106" s="53"/>
      <c r="S106" s="53"/>
    </row>
    <row r="107" spans="1:19" hidden="1" x14ac:dyDescent="0.25">
      <c r="A107" s="76">
        <v>2241</v>
      </c>
      <c r="B107" s="127" t="s">
        <v>123</v>
      </c>
      <c r="C107" s="429">
        <f t="shared" si="3"/>
        <v>0</v>
      </c>
      <c r="D107" s="134"/>
      <c r="E107" s="283"/>
      <c r="F107" s="475">
        <f t="shared" ref="F107:F114" si="30">D107+E107</f>
        <v>0</v>
      </c>
      <c r="G107" s="134"/>
      <c r="H107" s="285"/>
      <c r="I107" s="283">
        <f t="shared" ref="I107:I114" si="31">G107+H107</f>
        <v>0</v>
      </c>
      <c r="J107" s="134"/>
      <c r="K107" s="283"/>
      <c r="L107" s="475">
        <f t="shared" ref="L107:L114" si="32">J107+K107</f>
        <v>0</v>
      </c>
      <c r="M107" s="134"/>
      <c r="N107" s="285"/>
      <c r="O107" s="475">
        <f t="shared" ref="O107:O114" si="33">N107+M107</f>
        <v>0</v>
      </c>
      <c r="P107" s="443"/>
      <c r="R107" s="53"/>
      <c r="S107" s="53"/>
    </row>
    <row r="108" spans="1:19" ht="24" x14ac:dyDescent="0.25">
      <c r="A108" s="76">
        <v>2242</v>
      </c>
      <c r="B108" s="127" t="s">
        <v>124</v>
      </c>
      <c r="C108" s="429">
        <f t="shared" si="3"/>
        <v>32</v>
      </c>
      <c r="D108" s="134">
        <v>32</v>
      </c>
      <c r="E108" s="283"/>
      <c r="F108" s="475">
        <f t="shared" si="30"/>
        <v>32</v>
      </c>
      <c r="G108" s="134"/>
      <c r="H108" s="285"/>
      <c r="I108" s="283">
        <f t="shared" si="31"/>
        <v>0</v>
      </c>
      <c r="J108" s="134"/>
      <c r="K108" s="283"/>
      <c r="L108" s="475">
        <f t="shared" si="32"/>
        <v>0</v>
      </c>
      <c r="M108" s="134"/>
      <c r="N108" s="285"/>
      <c r="O108" s="475">
        <f t="shared" si="33"/>
        <v>0</v>
      </c>
      <c r="P108" s="441"/>
      <c r="R108" s="53"/>
      <c r="S108" s="53"/>
    </row>
    <row r="109" spans="1:19" ht="24" hidden="1" x14ac:dyDescent="0.25">
      <c r="A109" s="76">
        <v>2243</v>
      </c>
      <c r="B109" s="127" t="s">
        <v>125</v>
      </c>
      <c r="C109" s="429">
        <f t="shared" si="3"/>
        <v>0</v>
      </c>
      <c r="D109" s="134"/>
      <c r="E109" s="283"/>
      <c r="F109" s="475">
        <f t="shared" si="30"/>
        <v>0</v>
      </c>
      <c r="G109" s="134"/>
      <c r="H109" s="285"/>
      <c r="I109" s="283">
        <f t="shared" si="31"/>
        <v>0</v>
      </c>
      <c r="J109" s="134"/>
      <c r="K109" s="283"/>
      <c r="L109" s="475">
        <f t="shared" si="32"/>
        <v>0</v>
      </c>
      <c r="M109" s="134"/>
      <c r="N109" s="285"/>
      <c r="O109" s="475">
        <f t="shared" si="33"/>
        <v>0</v>
      </c>
      <c r="P109" s="443"/>
      <c r="R109" s="53"/>
      <c r="S109" s="53"/>
    </row>
    <row r="110" spans="1:19" x14ac:dyDescent="0.25">
      <c r="A110" s="76">
        <v>2244</v>
      </c>
      <c r="B110" s="127" t="s">
        <v>126</v>
      </c>
      <c r="C110" s="429">
        <f t="shared" si="3"/>
        <v>719</v>
      </c>
      <c r="D110" s="134">
        <v>719</v>
      </c>
      <c r="E110" s="283"/>
      <c r="F110" s="475">
        <f t="shared" si="30"/>
        <v>719</v>
      </c>
      <c r="G110" s="134"/>
      <c r="H110" s="285"/>
      <c r="I110" s="283">
        <f t="shared" si="31"/>
        <v>0</v>
      </c>
      <c r="J110" s="134"/>
      <c r="K110" s="283"/>
      <c r="L110" s="475">
        <f t="shared" si="32"/>
        <v>0</v>
      </c>
      <c r="M110" s="134"/>
      <c r="N110" s="285"/>
      <c r="O110" s="475">
        <f t="shared" si="33"/>
        <v>0</v>
      </c>
      <c r="P110" s="443"/>
      <c r="R110" s="53"/>
      <c r="S110" s="53"/>
    </row>
    <row r="111" spans="1:19" ht="24" hidden="1" x14ac:dyDescent="0.25">
      <c r="A111" s="76">
        <v>2246</v>
      </c>
      <c r="B111" s="127" t="s">
        <v>127</v>
      </c>
      <c r="C111" s="429">
        <f t="shared" si="3"/>
        <v>0</v>
      </c>
      <c r="D111" s="134"/>
      <c r="E111" s="283"/>
      <c r="F111" s="475">
        <f t="shared" si="30"/>
        <v>0</v>
      </c>
      <c r="G111" s="134"/>
      <c r="H111" s="285"/>
      <c r="I111" s="283">
        <f t="shared" si="31"/>
        <v>0</v>
      </c>
      <c r="J111" s="134"/>
      <c r="K111" s="283"/>
      <c r="L111" s="475">
        <f t="shared" si="32"/>
        <v>0</v>
      </c>
      <c r="M111" s="134"/>
      <c r="N111" s="285"/>
      <c r="O111" s="475">
        <f t="shared" si="33"/>
        <v>0</v>
      </c>
      <c r="P111" s="443"/>
      <c r="R111" s="53"/>
      <c r="S111" s="53"/>
    </row>
    <row r="112" spans="1:19" hidden="1" x14ac:dyDescent="0.25">
      <c r="A112" s="76">
        <v>2247</v>
      </c>
      <c r="B112" s="127" t="s">
        <v>128</v>
      </c>
      <c r="C112" s="429">
        <f t="shared" si="3"/>
        <v>0</v>
      </c>
      <c r="D112" s="134"/>
      <c r="E112" s="283"/>
      <c r="F112" s="475">
        <f t="shared" si="30"/>
        <v>0</v>
      </c>
      <c r="G112" s="134"/>
      <c r="H112" s="285"/>
      <c r="I112" s="283">
        <f t="shared" si="31"/>
        <v>0</v>
      </c>
      <c r="J112" s="134"/>
      <c r="K112" s="283"/>
      <c r="L112" s="475">
        <f t="shared" si="32"/>
        <v>0</v>
      </c>
      <c r="M112" s="134"/>
      <c r="N112" s="285"/>
      <c r="O112" s="475">
        <f t="shared" si="33"/>
        <v>0</v>
      </c>
      <c r="P112" s="443"/>
      <c r="R112" s="53"/>
      <c r="S112" s="53"/>
    </row>
    <row r="113" spans="1:19" ht="24" hidden="1" x14ac:dyDescent="0.25">
      <c r="A113" s="76">
        <v>2248</v>
      </c>
      <c r="B113" s="127" t="s">
        <v>129</v>
      </c>
      <c r="C113" s="429">
        <f t="shared" si="3"/>
        <v>0</v>
      </c>
      <c r="D113" s="134"/>
      <c r="E113" s="283"/>
      <c r="F113" s="475">
        <f t="shared" si="30"/>
        <v>0</v>
      </c>
      <c r="G113" s="134"/>
      <c r="H113" s="285"/>
      <c r="I113" s="283">
        <f t="shared" si="31"/>
        <v>0</v>
      </c>
      <c r="J113" s="134"/>
      <c r="K113" s="283"/>
      <c r="L113" s="475">
        <f t="shared" si="32"/>
        <v>0</v>
      </c>
      <c r="M113" s="134"/>
      <c r="N113" s="285"/>
      <c r="O113" s="475">
        <f t="shared" si="33"/>
        <v>0</v>
      </c>
      <c r="P113" s="443"/>
      <c r="R113" s="53"/>
      <c r="S113" s="53"/>
    </row>
    <row r="114" spans="1:19" ht="24" hidden="1" x14ac:dyDescent="0.25">
      <c r="A114" s="76">
        <v>2249</v>
      </c>
      <c r="B114" s="127" t="s">
        <v>130</v>
      </c>
      <c r="C114" s="429">
        <f t="shared" si="3"/>
        <v>0</v>
      </c>
      <c r="D114" s="134"/>
      <c r="E114" s="283"/>
      <c r="F114" s="475">
        <f t="shared" si="30"/>
        <v>0</v>
      </c>
      <c r="G114" s="134"/>
      <c r="H114" s="285"/>
      <c r="I114" s="283">
        <f t="shared" si="31"/>
        <v>0</v>
      </c>
      <c r="J114" s="134"/>
      <c r="K114" s="283"/>
      <c r="L114" s="475">
        <f t="shared" si="32"/>
        <v>0</v>
      </c>
      <c r="M114" s="134"/>
      <c r="N114" s="285"/>
      <c r="O114" s="475">
        <f t="shared" si="33"/>
        <v>0</v>
      </c>
      <c r="P114" s="443"/>
      <c r="R114" s="53"/>
      <c r="S114" s="53"/>
    </row>
    <row r="115" spans="1:19" ht="24" hidden="1" x14ac:dyDescent="0.25">
      <c r="A115" s="276">
        <v>2250</v>
      </c>
      <c r="B115" s="127" t="s">
        <v>131</v>
      </c>
      <c r="C115" s="429">
        <f t="shared" si="3"/>
        <v>0</v>
      </c>
      <c r="D115" s="277">
        <f t="shared" ref="D115:O115" si="34">SUM(D116:D118)</f>
        <v>0</v>
      </c>
      <c r="E115" s="278">
        <f t="shared" si="34"/>
        <v>0</v>
      </c>
      <c r="F115" s="286">
        <f t="shared" si="34"/>
        <v>0</v>
      </c>
      <c r="G115" s="277">
        <f t="shared" si="34"/>
        <v>0</v>
      </c>
      <c r="H115" s="282">
        <f t="shared" si="34"/>
        <v>0</v>
      </c>
      <c r="I115" s="278">
        <f t="shared" si="34"/>
        <v>0</v>
      </c>
      <c r="J115" s="277">
        <f t="shared" si="34"/>
        <v>0</v>
      </c>
      <c r="K115" s="278">
        <f t="shared" si="34"/>
        <v>0</v>
      </c>
      <c r="L115" s="286">
        <f t="shared" si="34"/>
        <v>0</v>
      </c>
      <c r="M115" s="277">
        <f t="shared" si="34"/>
        <v>0</v>
      </c>
      <c r="N115" s="282">
        <f t="shared" si="34"/>
        <v>0</v>
      </c>
      <c r="O115" s="286">
        <f t="shared" si="34"/>
        <v>0</v>
      </c>
      <c r="P115" s="136"/>
      <c r="R115" s="53"/>
      <c r="S115" s="53"/>
    </row>
    <row r="116" spans="1:19" hidden="1" x14ac:dyDescent="0.25">
      <c r="A116" s="76">
        <v>2251</v>
      </c>
      <c r="B116" s="127" t="s">
        <v>132</v>
      </c>
      <c r="C116" s="429">
        <f t="shared" si="3"/>
        <v>0</v>
      </c>
      <c r="D116" s="134"/>
      <c r="E116" s="283"/>
      <c r="F116" s="475">
        <f>D116+E116</f>
        <v>0</v>
      </c>
      <c r="G116" s="134"/>
      <c r="H116" s="285"/>
      <c r="I116" s="283">
        <f>G116+H116</f>
        <v>0</v>
      </c>
      <c r="J116" s="134"/>
      <c r="K116" s="283"/>
      <c r="L116" s="475">
        <f>J116+K116</f>
        <v>0</v>
      </c>
      <c r="M116" s="134"/>
      <c r="N116" s="285"/>
      <c r="O116" s="475">
        <f>N116+M116</f>
        <v>0</v>
      </c>
      <c r="P116" s="443"/>
      <c r="R116" s="53"/>
      <c r="S116" s="53"/>
    </row>
    <row r="117" spans="1:19" ht="24" hidden="1" x14ac:dyDescent="0.25">
      <c r="A117" s="76">
        <v>2252</v>
      </c>
      <c r="B117" s="127" t="s">
        <v>133</v>
      </c>
      <c r="C117" s="429">
        <f t="shared" ref="C117:C180" si="35">SUM(F117,I117,L117,O117)</f>
        <v>0</v>
      </c>
      <c r="D117" s="134"/>
      <c r="E117" s="283"/>
      <c r="F117" s="475">
        <f>D117+E117</f>
        <v>0</v>
      </c>
      <c r="G117" s="134"/>
      <c r="H117" s="285"/>
      <c r="I117" s="283">
        <f>G117+H117</f>
        <v>0</v>
      </c>
      <c r="J117" s="134"/>
      <c r="K117" s="283"/>
      <c r="L117" s="475">
        <f>J117+K117</f>
        <v>0</v>
      </c>
      <c r="M117" s="134"/>
      <c r="N117" s="285"/>
      <c r="O117" s="475">
        <f>N117+M117</f>
        <v>0</v>
      </c>
      <c r="P117" s="443"/>
      <c r="R117" s="53"/>
      <c r="S117" s="53"/>
    </row>
    <row r="118" spans="1:19" ht="24" hidden="1" x14ac:dyDescent="0.25">
      <c r="A118" s="76">
        <v>2259</v>
      </c>
      <c r="B118" s="127" t="s">
        <v>134</v>
      </c>
      <c r="C118" s="429">
        <f t="shared" si="35"/>
        <v>0</v>
      </c>
      <c r="D118" s="134"/>
      <c r="E118" s="283"/>
      <c r="F118" s="475">
        <f>D118+E118</f>
        <v>0</v>
      </c>
      <c r="G118" s="134"/>
      <c r="H118" s="285"/>
      <c r="I118" s="283">
        <f>G118+H118</f>
        <v>0</v>
      </c>
      <c r="J118" s="134"/>
      <c r="K118" s="283"/>
      <c r="L118" s="475">
        <f>J118+K118</f>
        <v>0</v>
      </c>
      <c r="M118" s="134"/>
      <c r="N118" s="285"/>
      <c r="O118" s="475">
        <f>N118+M118</f>
        <v>0</v>
      </c>
      <c r="P118" s="443"/>
      <c r="R118" s="53"/>
      <c r="S118" s="53"/>
    </row>
    <row r="119" spans="1:19" x14ac:dyDescent="0.25">
      <c r="A119" s="276">
        <v>2260</v>
      </c>
      <c r="B119" s="127" t="s">
        <v>135</v>
      </c>
      <c r="C119" s="429">
        <f t="shared" si="35"/>
        <v>14</v>
      </c>
      <c r="D119" s="277">
        <f t="shared" ref="D119:O119" si="36">SUM(D120:D124)</f>
        <v>14</v>
      </c>
      <c r="E119" s="278">
        <f t="shared" si="36"/>
        <v>0</v>
      </c>
      <c r="F119" s="286">
        <f t="shared" si="36"/>
        <v>14</v>
      </c>
      <c r="G119" s="277">
        <f t="shared" si="36"/>
        <v>0</v>
      </c>
      <c r="H119" s="282">
        <f t="shared" si="36"/>
        <v>0</v>
      </c>
      <c r="I119" s="278">
        <f t="shared" si="36"/>
        <v>0</v>
      </c>
      <c r="J119" s="277">
        <f t="shared" si="36"/>
        <v>0</v>
      </c>
      <c r="K119" s="278">
        <f t="shared" si="36"/>
        <v>0</v>
      </c>
      <c r="L119" s="286">
        <f t="shared" si="36"/>
        <v>0</v>
      </c>
      <c r="M119" s="277">
        <f t="shared" si="36"/>
        <v>0</v>
      </c>
      <c r="N119" s="282">
        <f t="shared" si="36"/>
        <v>0</v>
      </c>
      <c r="O119" s="286">
        <f t="shared" si="36"/>
        <v>0</v>
      </c>
      <c r="P119" s="136"/>
      <c r="R119" s="53"/>
      <c r="S119" s="53"/>
    </row>
    <row r="120" spans="1:19" hidden="1" x14ac:dyDescent="0.25">
      <c r="A120" s="76">
        <v>2261</v>
      </c>
      <c r="B120" s="127" t="s">
        <v>136</v>
      </c>
      <c r="C120" s="429">
        <f t="shared" si="35"/>
        <v>0</v>
      </c>
      <c r="D120" s="134"/>
      <c r="E120" s="283"/>
      <c r="F120" s="475">
        <f>D120+E120</f>
        <v>0</v>
      </c>
      <c r="G120" s="134"/>
      <c r="H120" s="285"/>
      <c r="I120" s="283">
        <f>G120+H120</f>
        <v>0</v>
      </c>
      <c r="J120" s="134"/>
      <c r="K120" s="283"/>
      <c r="L120" s="475">
        <f>J120+K120</f>
        <v>0</v>
      </c>
      <c r="M120" s="134"/>
      <c r="N120" s="285"/>
      <c r="O120" s="475">
        <f>N120+M120</f>
        <v>0</v>
      </c>
      <c r="P120" s="443"/>
      <c r="R120" s="53"/>
      <c r="S120" s="53"/>
    </row>
    <row r="121" spans="1:19" hidden="1" x14ac:dyDescent="0.25">
      <c r="A121" s="76">
        <v>2262</v>
      </c>
      <c r="B121" s="127" t="s">
        <v>137</v>
      </c>
      <c r="C121" s="429">
        <f t="shared" si="35"/>
        <v>0</v>
      </c>
      <c r="D121" s="134"/>
      <c r="E121" s="283"/>
      <c r="F121" s="475">
        <f>D121+E121</f>
        <v>0</v>
      </c>
      <c r="G121" s="134"/>
      <c r="H121" s="285"/>
      <c r="I121" s="283">
        <f>G121+H121</f>
        <v>0</v>
      </c>
      <c r="J121" s="134"/>
      <c r="K121" s="283"/>
      <c r="L121" s="475">
        <f>J121+K121</f>
        <v>0</v>
      </c>
      <c r="M121" s="134"/>
      <c r="N121" s="285"/>
      <c r="O121" s="475">
        <f>N121+M121</f>
        <v>0</v>
      </c>
      <c r="P121" s="443"/>
      <c r="R121" s="53"/>
      <c r="S121" s="53"/>
    </row>
    <row r="122" spans="1:19" hidden="1" x14ac:dyDescent="0.25">
      <c r="A122" s="76">
        <v>2263</v>
      </c>
      <c r="B122" s="127" t="s">
        <v>138</v>
      </c>
      <c r="C122" s="429">
        <f t="shared" si="35"/>
        <v>0</v>
      </c>
      <c r="D122" s="134"/>
      <c r="E122" s="283"/>
      <c r="F122" s="475">
        <f>D122+E122</f>
        <v>0</v>
      </c>
      <c r="G122" s="134"/>
      <c r="H122" s="285"/>
      <c r="I122" s="283">
        <f>G122+H122</f>
        <v>0</v>
      </c>
      <c r="J122" s="134"/>
      <c r="K122" s="283"/>
      <c r="L122" s="475">
        <f>J122+K122</f>
        <v>0</v>
      </c>
      <c r="M122" s="134"/>
      <c r="N122" s="285"/>
      <c r="O122" s="475">
        <f>N122+M122</f>
        <v>0</v>
      </c>
      <c r="P122" s="443"/>
      <c r="R122" s="53"/>
      <c r="S122" s="53"/>
    </row>
    <row r="123" spans="1:19" ht="24" hidden="1" x14ac:dyDescent="0.25">
      <c r="A123" s="76">
        <v>2264</v>
      </c>
      <c r="B123" s="127" t="s">
        <v>139</v>
      </c>
      <c r="C123" s="429">
        <f t="shared" si="35"/>
        <v>0</v>
      </c>
      <c r="D123" s="134"/>
      <c r="E123" s="283"/>
      <c r="F123" s="475">
        <f>D123+E123</f>
        <v>0</v>
      </c>
      <c r="G123" s="134"/>
      <c r="H123" s="285"/>
      <c r="I123" s="283">
        <f>G123+H123</f>
        <v>0</v>
      </c>
      <c r="J123" s="134"/>
      <c r="K123" s="283"/>
      <c r="L123" s="475">
        <f>J123+K123</f>
        <v>0</v>
      </c>
      <c r="M123" s="134"/>
      <c r="N123" s="285"/>
      <c r="O123" s="475">
        <f>N123+M123</f>
        <v>0</v>
      </c>
      <c r="P123" s="443"/>
      <c r="R123" s="53"/>
      <c r="S123" s="53"/>
    </row>
    <row r="124" spans="1:19" x14ac:dyDescent="0.25">
      <c r="A124" s="76">
        <v>2269</v>
      </c>
      <c r="B124" s="127" t="s">
        <v>140</v>
      </c>
      <c r="C124" s="429">
        <f t="shared" si="35"/>
        <v>14</v>
      </c>
      <c r="D124" s="134">
        <v>14</v>
      </c>
      <c r="E124" s="283"/>
      <c r="F124" s="475">
        <f>D124+E124</f>
        <v>14</v>
      </c>
      <c r="G124" s="134"/>
      <c r="H124" s="285"/>
      <c r="I124" s="283">
        <f>G124+H124</f>
        <v>0</v>
      </c>
      <c r="J124" s="134"/>
      <c r="K124" s="283"/>
      <c r="L124" s="475">
        <f>J124+K124</f>
        <v>0</v>
      </c>
      <c r="M124" s="134"/>
      <c r="N124" s="285"/>
      <c r="O124" s="475">
        <f>N124+M124</f>
        <v>0</v>
      </c>
      <c r="P124" s="443"/>
      <c r="R124" s="53"/>
      <c r="S124" s="53"/>
    </row>
    <row r="125" spans="1:19" x14ac:dyDescent="0.25">
      <c r="A125" s="276">
        <v>2270</v>
      </c>
      <c r="B125" s="127" t="s">
        <v>141</v>
      </c>
      <c r="C125" s="429">
        <f t="shared" si="35"/>
        <v>112</v>
      </c>
      <c r="D125" s="277">
        <f t="shared" ref="D125:O125" si="37">SUM(D126:D130)</f>
        <v>0</v>
      </c>
      <c r="E125" s="278">
        <f t="shared" si="37"/>
        <v>0</v>
      </c>
      <c r="F125" s="286">
        <f t="shared" si="37"/>
        <v>0</v>
      </c>
      <c r="G125" s="277">
        <f t="shared" si="37"/>
        <v>0</v>
      </c>
      <c r="H125" s="282">
        <f t="shared" si="37"/>
        <v>0</v>
      </c>
      <c r="I125" s="278">
        <f t="shared" si="37"/>
        <v>0</v>
      </c>
      <c r="J125" s="277">
        <f t="shared" si="37"/>
        <v>112</v>
      </c>
      <c r="K125" s="278">
        <f t="shared" si="37"/>
        <v>0</v>
      </c>
      <c r="L125" s="286">
        <f t="shared" si="37"/>
        <v>112</v>
      </c>
      <c r="M125" s="277">
        <f t="shared" si="37"/>
        <v>0</v>
      </c>
      <c r="N125" s="282">
        <f t="shared" si="37"/>
        <v>0</v>
      </c>
      <c r="O125" s="286">
        <f t="shared" si="37"/>
        <v>0</v>
      </c>
      <c r="P125" s="136"/>
      <c r="R125" s="53"/>
      <c r="S125" s="53"/>
    </row>
    <row r="126" spans="1:19" hidden="1" x14ac:dyDescent="0.25">
      <c r="A126" s="76">
        <v>2272</v>
      </c>
      <c r="B126" s="5" t="s">
        <v>142</v>
      </c>
      <c r="C126" s="429">
        <f t="shared" si="35"/>
        <v>0</v>
      </c>
      <c r="D126" s="134"/>
      <c r="E126" s="283"/>
      <c r="F126" s="475">
        <f>D126+E126</f>
        <v>0</v>
      </c>
      <c r="G126" s="134"/>
      <c r="H126" s="285"/>
      <c r="I126" s="283">
        <f>G126+H126</f>
        <v>0</v>
      </c>
      <c r="J126" s="134"/>
      <c r="K126" s="283"/>
      <c r="L126" s="475">
        <f>J126+K126</f>
        <v>0</v>
      </c>
      <c r="M126" s="134"/>
      <c r="N126" s="285"/>
      <c r="O126" s="475">
        <f>N126+M126</f>
        <v>0</v>
      </c>
      <c r="P126" s="443"/>
      <c r="R126" s="53"/>
      <c r="S126" s="53"/>
    </row>
    <row r="127" spans="1:19" ht="24" hidden="1" x14ac:dyDescent="0.25">
      <c r="A127" s="76">
        <v>2275</v>
      </c>
      <c r="B127" s="127" t="s">
        <v>143</v>
      </c>
      <c r="C127" s="429">
        <f t="shared" si="35"/>
        <v>0</v>
      </c>
      <c r="D127" s="134"/>
      <c r="E127" s="283"/>
      <c r="F127" s="475">
        <f>D127+E127</f>
        <v>0</v>
      </c>
      <c r="G127" s="134"/>
      <c r="H127" s="285"/>
      <c r="I127" s="283">
        <f>G127+H127</f>
        <v>0</v>
      </c>
      <c r="J127" s="134"/>
      <c r="K127" s="283"/>
      <c r="L127" s="475">
        <f>J127+K127</f>
        <v>0</v>
      </c>
      <c r="M127" s="134"/>
      <c r="N127" s="285"/>
      <c r="O127" s="475">
        <f>N127+M127</f>
        <v>0</v>
      </c>
      <c r="P127" s="443"/>
      <c r="R127" s="53"/>
      <c r="S127" s="53"/>
    </row>
    <row r="128" spans="1:19" ht="36" hidden="1" x14ac:dyDescent="0.25">
      <c r="A128" s="76">
        <v>2276</v>
      </c>
      <c r="B128" s="127" t="s">
        <v>144</v>
      </c>
      <c r="C128" s="429">
        <f t="shared" si="35"/>
        <v>0</v>
      </c>
      <c r="D128" s="134"/>
      <c r="E128" s="283"/>
      <c r="F128" s="475">
        <f>D128+E128</f>
        <v>0</v>
      </c>
      <c r="G128" s="134"/>
      <c r="H128" s="285"/>
      <c r="I128" s="283">
        <f>G128+H128</f>
        <v>0</v>
      </c>
      <c r="J128" s="134"/>
      <c r="K128" s="283"/>
      <c r="L128" s="475">
        <f>J128+K128</f>
        <v>0</v>
      </c>
      <c r="M128" s="134"/>
      <c r="N128" s="285"/>
      <c r="O128" s="475">
        <f>N128+M128</f>
        <v>0</v>
      </c>
      <c r="P128" s="443"/>
      <c r="R128" s="53"/>
      <c r="S128" s="53"/>
    </row>
    <row r="129" spans="1:19" ht="24" hidden="1" customHeight="1" x14ac:dyDescent="0.25">
      <c r="A129" s="76">
        <v>2278</v>
      </c>
      <c r="B129" s="127" t="s">
        <v>145</v>
      </c>
      <c r="C129" s="429">
        <f t="shared" si="35"/>
        <v>0</v>
      </c>
      <c r="D129" s="134"/>
      <c r="E129" s="283"/>
      <c r="F129" s="475">
        <f>D129+E129</f>
        <v>0</v>
      </c>
      <c r="G129" s="134"/>
      <c r="H129" s="285"/>
      <c r="I129" s="283">
        <f>G129+H129</f>
        <v>0</v>
      </c>
      <c r="J129" s="134"/>
      <c r="K129" s="283"/>
      <c r="L129" s="475">
        <f>J129+K129</f>
        <v>0</v>
      </c>
      <c r="M129" s="134"/>
      <c r="N129" s="285"/>
      <c r="O129" s="475">
        <f>N129+M129</f>
        <v>0</v>
      </c>
      <c r="P129" s="443"/>
      <c r="R129" s="53"/>
      <c r="S129" s="53"/>
    </row>
    <row r="130" spans="1:19" ht="24" x14ac:dyDescent="0.25">
      <c r="A130" s="76">
        <v>2279</v>
      </c>
      <c r="B130" s="127" t="s">
        <v>146</v>
      </c>
      <c r="C130" s="429">
        <f t="shared" si="35"/>
        <v>112</v>
      </c>
      <c r="D130" s="134"/>
      <c r="E130" s="283"/>
      <c r="F130" s="475">
        <f>D130+E130</f>
        <v>0</v>
      </c>
      <c r="G130" s="134"/>
      <c r="H130" s="285"/>
      <c r="I130" s="283">
        <f>G130+H130</f>
        <v>0</v>
      </c>
      <c r="J130" s="134">
        <v>112</v>
      </c>
      <c r="K130" s="283"/>
      <c r="L130" s="475">
        <f>J130+K130</f>
        <v>112</v>
      </c>
      <c r="M130" s="134"/>
      <c r="N130" s="285"/>
      <c r="O130" s="475">
        <f>N130+M130</f>
        <v>0</v>
      </c>
      <c r="P130" s="441"/>
      <c r="R130" s="53"/>
      <c r="S130" s="53"/>
    </row>
    <row r="131" spans="1:19" ht="24" hidden="1" x14ac:dyDescent="0.25">
      <c r="A131" s="656">
        <v>2280</v>
      </c>
      <c r="B131" s="116" t="s">
        <v>147</v>
      </c>
      <c r="C131" s="70">
        <f t="shared" si="35"/>
        <v>0</v>
      </c>
      <c r="D131" s="297">
        <f t="shared" ref="D131:O131" si="38">SUM(D132)</f>
        <v>0</v>
      </c>
      <c r="E131" s="298">
        <f t="shared" si="38"/>
        <v>0</v>
      </c>
      <c r="F131" s="263">
        <f t="shared" si="38"/>
        <v>0</v>
      </c>
      <c r="G131" s="297">
        <f t="shared" si="38"/>
        <v>0</v>
      </c>
      <c r="H131" s="301">
        <f t="shared" si="38"/>
        <v>0</v>
      </c>
      <c r="I131" s="298">
        <f t="shared" si="38"/>
        <v>0</v>
      </c>
      <c r="J131" s="297">
        <f t="shared" si="38"/>
        <v>0</v>
      </c>
      <c r="K131" s="298">
        <f t="shared" si="38"/>
        <v>0</v>
      </c>
      <c r="L131" s="263">
        <f t="shared" si="38"/>
        <v>0</v>
      </c>
      <c r="M131" s="277">
        <f t="shared" si="38"/>
        <v>0</v>
      </c>
      <c r="N131" s="301">
        <f t="shared" si="38"/>
        <v>0</v>
      </c>
      <c r="O131" s="263">
        <f t="shared" si="38"/>
        <v>0</v>
      </c>
      <c r="P131" s="125"/>
      <c r="R131" s="53"/>
      <c r="S131" s="53"/>
    </row>
    <row r="132" spans="1:19" ht="24" hidden="1" x14ac:dyDescent="0.25">
      <c r="A132" s="76">
        <v>2283</v>
      </c>
      <c r="B132" s="127" t="s">
        <v>148</v>
      </c>
      <c r="C132" s="429">
        <f t="shared" si="35"/>
        <v>0</v>
      </c>
      <c r="D132" s="134"/>
      <c r="E132" s="283"/>
      <c r="F132" s="475">
        <f>D132+E132</f>
        <v>0</v>
      </c>
      <c r="G132" s="134"/>
      <c r="H132" s="285"/>
      <c r="I132" s="283">
        <f>G132+H132</f>
        <v>0</v>
      </c>
      <c r="J132" s="134"/>
      <c r="K132" s="283"/>
      <c r="L132" s="475">
        <f>J132+K132</f>
        <v>0</v>
      </c>
      <c r="M132" s="134"/>
      <c r="N132" s="285"/>
      <c r="O132" s="475">
        <f>N132+M132</f>
        <v>0</v>
      </c>
      <c r="P132" s="443"/>
      <c r="R132" s="53"/>
      <c r="S132" s="53"/>
    </row>
    <row r="133" spans="1:19" ht="38.25" customHeight="1" x14ac:dyDescent="0.25">
      <c r="A133" s="99">
        <v>2300</v>
      </c>
      <c r="B133" s="247" t="s">
        <v>149</v>
      </c>
      <c r="C133" s="103">
        <f t="shared" si="35"/>
        <v>14563</v>
      </c>
      <c r="D133" s="112">
        <f t="shared" ref="D133:O133" si="39">SUM(D134,D139,D143,D144,D147,D154,D162,D163,D166)</f>
        <v>4192</v>
      </c>
      <c r="E133" s="248">
        <f t="shared" si="39"/>
        <v>0</v>
      </c>
      <c r="F133" s="313">
        <f t="shared" si="39"/>
        <v>4192</v>
      </c>
      <c r="G133" s="112">
        <f t="shared" si="39"/>
        <v>0</v>
      </c>
      <c r="H133" s="293">
        <f t="shared" si="39"/>
        <v>0</v>
      </c>
      <c r="I133" s="248">
        <f t="shared" si="39"/>
        <v>0</v>
      </c>
      <c r="J133" s="112">
        <f t="shared" si="39"/>
        <v>10371</v>
      </c>
      <c r="K133" s="248">
        <f t="shared" si="39"/>
        <v>0</v>
      </c>
      <c r="L133" s="313">
        <f t="shared" si="39"/>
        <v>10371</v>
      </c>
      <c r="M133" s="112">
        <f t="shared" si="39"/>
        <v>0</v>
      </c>
      <c r="N133" s="293">
        <f t="shared" si="39"/>
        <v>0</v>
      </c>
      <c r="O133" s="313">
        <f t="shared" si="39"/>
        <v>0</v>
      </c>
      <c r="P133" s="114"/>
      <c r="R133" s="53"/>
      <c r="S133" s="53"/>
    </row>
    <row r="134" spans="1:19" ht="24" x14ac:dyDescent="0.25">
      <c r="A134" s="656">
        <v>2310</v>
      </c>
      <c r="B134" s="116" t="s">
        <v>150</v>
      </c>
      <c r="C134" s="70">
        <f t="shared" si="35"/>
        <v>1200</v>
      </c>
      <c r="D134" s="297">
        <f t="shared" ref="D134:O134" si="40">SUM(D135:D138)</f>
        <v>590</v>
      </c>
      <c r="E134" s="298">
        <f t="shared" si="40"/>
        <v>0</v>
      </c>
      <c r="F134" s="263">
        <f t="shared" si="40"/>
        <v>590</v>
      </c>
      <c r="G134" s="297">
        <f t="shared" si="40"/>
        <v>0</v>
      </c>
      <c r="H134" s="301">
        <f t="shared" si="40"/>
        <v>0</v>
      </c>
      <c r="I134" s="298">
        <f t="shared" si="40"/>
        <v>0</v>
      </c>
      <c r="J134" s="297">
        <f t="shared" si="40"/>
        <v>610</v>
      </c>
      <c r="K134" s="298">
        <f t="shared" si="40"/>
        <v>0</v>
      </c>
      <c r="L134" s="263">
        <f t="shared" si="40"/>
        <v>610</v>
      </c>
      <c r="M134" s="297">
        <f t="shared" si="40"/>
        <v>0</v>
      </c>
      <c r="N134" s="301">
        <f t="shared" si="40"/>
        <v>0</v>
      </c>
      <c r="O134" s="263">
        <f t="shared" si="40"/>
        <v>0</v>
      </c>
      <c r="P134" s="125"/>
      <c r="R134" s="53"/>
      <c r="S134" s="53"/>
    </row>
    <row r="135" spans="1:19" x14ac:dyDescent="0.25">
      <c r="A135" s="76">
        <v>2311</v>
      </c>
      <c r="B135" s="127" t="s">
        <v>151</v>
      </c>
      <c r="C135" s="429">
        <f t="shared" si="35"/>
        <v>1100</v>
      </c>
      <c r="D135" s="134">
        <v>590</v>
      </c>
      <c r="E135" s="283"/>
      <c r="F135" s="475">
        <f>D135+E135</f>
        <v>590</v>
      </c>
      <c r="G135" s="134"/>
      <c r="H135" s="285"/>
      <c r="I135" s="283">
        <f>G135+H135</f>
        <v>0</v>
      </c>
      <c r="J135" s="134">
        <v>510</v>
      </c>
      <c r="K135" s="283"/>
      <c r="L135" s="475">
        <f>J135+K135</f>
        <v>510</v>
      </c>
      <c r="M135" s="134"/>
      <c r="N135" s="285"/>
      <c r="O135" s="475">
        <f>N135+M135</f>
        <v>0</v>
      </c>
      <c r="P135" s="441"/>
      <c r="R135" s="53"/>
      <c r="S135" s="53"/>
    </row>
    <row r="136" spans="1:19" hidden="1" x14ac:dyDescent="0.25">
      <c r="A136" s="76">
        <v>2312</v>
      </c>
      <c r="B136" s="127" t="s">
        <v>152</v>
      </c>
      <c r="C136" s="429">
        <f t="shared" si="35"/>
        <v>0</v>
      </c>
      <c r="D136" s="134">
        <v>0</v>
      </c>
      <c r="E136" s="283"/>
      <c r="F136" s="475">
        <f>D136+E136</f>
        <v>0</v>
      </c>
      <c r="G136" s="134"/>
      <c r="H136" s="285"/>
      <c r="I136" s="283">
        <f>G136+H136</f>
        <v>0</v>
      </c>
      <c r="J136" s="134"/>
      <c r="K136" s="283"/>
      <c r="L136" s="475">
        <f>J136+K136</f>
        <v>0</v>
      </c>
      <c r="M136" s="134"/>
      <c r="N136" s="285"/>
      <c r="O136" s="475">
        <f>N136+M136</f>
        <v>0</v>
      </c>
      <c r="P136" s="443"/>
      <c r="R136" s="53"/>
      <c r="S136" s="53"/>
    </row>
    <row r="137" spans="1:19" hidden="1" x14ac:dyDescent="0.25">
      <c r="A137" s="76">
        <v>2313</v>
      </c>
      <c r="B137" s="127" t="s">
        <v>153</v>
      </c>
      <c r="C137" s="429">
        <f t="shared" si="35"/>
        <v>0</v>
      </c>
      <c r="D137" s="134"/>
      <c r="E137" s="283"/>
      <c r="F137" s="475">
        <f>D137+E137</f>
        <v>0</v>
      </c>
      <c r="G137" s="134"/>
      <c r="H137" s="285"/>
      <c r="I137" s="283">
        <f>G137+H137</f>
        <v>0</v>
      </c>
      <c r="J137" s="134"/>
      <c r="K137" s="283"/>
      <c r="L137" s="475">
        <f>J137+K137</f>
        <v>0</v>
      </c>
      <c r="M137" s="134"/>
      <c r="N137" s="285"/>
      <c r="O137" s="475">
        <f>N137+M137</f>
        <v>0</v>
      </c>
      <c r="P137" s="443"/>
      <c r="R137" s="53"/>
      <c r="S137" s="53"/>
    </row>
    <row r="138" spans="1:19" ht="36" x14ac:dyDescent="0.25">
      <c r="A138" s="76">
        <v>2314</v>
      </c>
      <c r="B138" s="127" t="s">
        <v>154</v>
      </c>
      <c r="C138" s="429">
        <f t="shared" si="35"/>
        <v>100</v>
      </c>
      <c r="D138" s="134"/>
      <c r="E138" s="283"/>
      <c r="F138" s="475">
        <f>D138+E138</f>
        <v>0</v>
      </c>
      <c r="G138" s="134"/>
      <c r="H138" s="285"/>
      <c r="I138" s="283">
        <f>G138+H138</f>
        <v>0</v>
      </c>
      <c r="J138" s="134">
        <v>100</v>
      </c>
      <c r="K138" s="283"/>
      <c r="L138" s="475">
        <f>J138+K138</f>
        <v>100</v>
      </c>
      <c r="M138" s="134"/>
      <c r="N138" s="285"/>
      <c r="O138" s="475">
        <f>N138+M138</f>
        <v>0</v>
      </c>
      <c r="P138" s="443"/>
      <c r="R138" s="53"/>
      <c r="S138" s="53"/>
    </row>
    <row r="139" spans="1:19" x14ac:dyDescent="0.25">
      <c r="A139" s="276">
        <v>2320</v>
      </c>
      <c r="B139" s="127" t="s">
        <v>155</v>
      </c>
      <c r="C139" s="429">
        <f t="shared" si="35"/>
        <v>2768</v>
      </c>
      <c r="D139" s="277">
        <f t="shared" ref="D139:O139" si="41">SUM(D140:D142)</f>
        <v>244</v>
      </c>
      <c r="E139" s="278">
        <f t="shared" si="41"/>
        <v>0</v>
      </c>
      <c r="F139" s="286">
        <f t="shared" si="41"/>
        <v>244</v>
      </c>
      <c r="G139" s="277">
        <f t="shared" si="41"/>
        <v>0</v>
      </c>
      <c r="H139" s="282">
        <f t="shared" si="41"/>
        <v>0</v>
      </c>
      <c r="I139" s="278">
        <f t="shared" si="41"/>
        <v>0</v>
      </c>
      <c r="J139" s="277">
        <f t="shared" si="41"/>
        <v>2524</v>
      </c>
      <c r="K139" s="278">
        <f t="shared" si="41"/>
        <v>0</v>
      </c>
      <c r="L139" s="286">
        <f t="shared" si="41"/>
        <v>2524</v>
      </c>
      <c r="M139" s="277">
        <f t="shared" si="41"/>
        <v>0</v>
      </c>
      <c r="N139" s="282">
        <f t="shared" si="41"/>
        <v>0</v>
      </c>
      <c r="O139" s="286">
        <f t="shared" si="41"/>
        <v>0</v>
      </c>
      <c r="P139" s="136"/>
      <c r="R139" s="53"/>
      <c r="S139" s="53"/>
    </row>
    <row r="140" spans="1:19" hidden="1" x14ac:dyDescent="0.25">
      <c r="A140" s="76">
        <v>2321</v>
      </c>
      <c r="B140" s="127" t="s">
        <v>156</v>
      </c>
      <c r="C140" s="429">
        <f t="shared" si="35"/>
        <v>0</v>
      </c>
      <c r="D140" s="134"/>
      <c r="E140" s="283"/>
      <c r="F140" s="475">
        <f>D140+E140</f>
        <v>0</v>
      </c>
      <c r="G140" s="134"/>
      <c r="H140" s="285"/>
      <c r="I140" s="283">
        <f>G140+H140</f>
        <v>0</v>
      </c>
      <c r="J140" s="134"/>
      <c r="K140" s="283"/>
      <c r="L140" s="475">
        <f>J140+K140</f>
        <v>0</v>
      </c>
      <c r="M140" s="134"/>
      <c r="N140" s="285"/>
      <c r="O140" s="475">
        <f>N140+M140</f>
        <v>0</v>
      </c>
      <c r="P140" s="443"/>
      <c r="R140" s="53"/>
      <c r="S140" s="53"/>
    </row>
    <row r="141" spans="1:19" x14ac:dyDescent="0.25">
      <c r="A141" s="76">
        <v>2322</v>
      </c>
      <c r="B141" s="127" t="s">
        <v>157</v>
      </c>
      <c r="C141" s="429">
        <f t="shared" si="35"/>
        <v>2768</v>
      </c>
      <c r="D141" s="134">
        <v>244</v>
      </c>
      <c r="E141" s="283"/>
      <c r="F141" s="475">
        <f>D141+E141</f>
        <v>244</v>
      </c>
      <c r="G141" s="134"/>
      <c r="H141" s="285"/>
      <c r="I141" s="283">
        <f>G141+H141</f>
        <v>0</v>
      </c>
      <c r="J141" s="134">
        <v>2524</v>
      </c>
      <c r="K141" s="283"/>
      <c r="L141" s="475">
        <f>J141+K141</f>
        <v>2524</v>
      </c>
      <c r="M141" s="134"/>
      <c r="N141" s="285"/>
      <c r="O141" s="475">
        <f>N141+M141</f>
        <v>0</v>
      </c>
      <c r="P141" s="441"/>
      <c r="R141" s="53"/>
      <c r="S141" s="53"/>
    </row>
    <row r="142" spans="1:19" ht="10.5" hidden="1" customHeight="1" x14ac:dyDescent="0.25">
      <c r="A142" s="76">
        <v>2329</v>
      </c>
      <c r="B142" s="127" t="s">
        <v>158</v>
      </c>
      <c r="C142" s="429">
        <f t="shared" si="35"/>
        <v>0</v>
      </c>
      <c r="D142" s="134"/>
      <c r="E142" s="283"/>
      <c r="F142" s="475">
        <f>D142+E142</f>
        <v>0</v>
      </c>
      <c r="G142" s="134"/>
      <c r="H142" s="285"/>
      <c r="I142" s="283">
        <f>G142+H142</f>
        <v>0</v>
      </c>
      <c r="J142" s="134"/>
      <c r="K142" s="283"/>
      <c r="L142" s="475">
        <f>J142+K142</f>
        <v>0</v>
      </c>
      <c r="M142" s="134"/>
      <c r="N142" s="285"/>
      <c r="O142" s="475">
        <f>N142+M142</f>
        <v>0</v>
      </c>
      <c r="P142" s="443"/>
      <c r="R142" s="53"/>
      <c r="S142" s="53"/>
    </row>
    <row r="143" spans="1:19" hidden="1" x14ac:dyDescent="0.25">
      <c r="A143" s="276">
        <v>2330</v>
      </c>
      <c r="B143" s="127" t="s">
        <v>159</v>
      </c>
      <c r="C143" s="429">
        <f t="shared" si="35"/>
        <v>0</v>
      </c>
      <c r="D143" s="134"/>
      <c r="E143" s="283"/>
      <c r="F143" s="475">
        <f>D143+E143</f>
        <v>0</v>
      </c>
      <c r="G143" s="134"/>
      <c r="H143" s="285"/>
      <c r="I143" s="283">
        <f>G143+H143</f>
        <v>0</v>
      </c>
      <c r="J143" s="134"/>
      <c r="K143" s="283"/>
      <c r="L143" s="475">
        <f>J143+K143</f>
        <v>0</v>
      </c>
      <c r="M143" s="134"/>
      <c r="N143" s="285"/>
      <c r="O143" s="475">
        <f>N143+M143</f>
        <v>0</v>
      </c>
      <c r="P143" s="443"/>
      <c r="R143" s="53"/>
      <c r="S143" s="53"/>
    </row>
    <row r="144" spans="1:19" ht="48" x14ac:dyDescent="0.25">
      <c r="A144" s="276">
        <v>2340</v>
      </c>
      <c r="B144" s="127" t="s">
        <v>160</v>
      </c>
      <c r="C144" s="429">
        <f t="shared" si="35"/>
        <v>200</v>
      </c>
      <c r="D144" s="277">
        <f t="shared" ref="D144:O144" si="42">SUM(D145:D146)</f>
        <v>0</v>
      </c>
      <c r="E144" s="278">
        <f t="shared" si="42"/>
        <v>0</v>
      </c>
      <c r="F144" s="286">
        <f t="shared" si="42"/>
        <v>0</v>
      </c>
      <c r="G144" s="277">
        <f t="shared" si="42"/>
        <v>0</v>
      </c>
      <c r="H144" s="282">
        <f t="shared" si="42"/>
        <v>0</v>
      </c>
      <c r="I144" s="278">
        <f t="shared" si="42"/>
        <v>0</v>
      </c>
      <c r="J144" s="277">
        <f t="shared" si="42"/>
        <v>200</v>
      </c>
      <c r="K144" s="278">
        <f t="shared" si="42"/>
        <v>0</v>
      </c>
      <c r="L144" s="286">
        <f t="shared" si="42"/>
        <v>200</v>
      </c>
      <c r="M144" s="277">
        <f t="shared" si="42"/>
        <v>0</v>
      </c>
      <c r="N144" s="282">
        <f t="shared" si="42"/>
        <v>0</v>
      </c>
      <c r="O144" s="286">
        <f t="shared" si="42"/>
        <v>0</v>
      </c>
      <c r="P144" s="136"/>
      <c r="R144" s="53"/>
      <c r="S144" s="53"/>
    </row>
    <row r="145" spans="1:19" ht="24" x14ac:dyDescent="0.25">
      <c r="A145" s="76">
        <v>2341</v>
      </c>
      <c r="B145" s="127" t="s">
        <v>161</v>
      </c>
      <c r="C145" s="429">
        <f t="shared" si="35"/>
        <v>200</v>
      </c>
      <c r="D145" s="134"/>
      <c r="E145" s="283"/>
      <c r="F145" s="475">
        <f>D145+E145</f>
        <v>0</v>
      </c>
      <c r="G145" s="134"/>
      <c r="H145" s="285"/>
      <c r="I145" s="283">
        <f>G145+H145</f>
        <v>0</v>
      </c>
      <c r="J145" s="134">
        <v>200</v>
      </c>
      <c r="K145" s="283"/>
      <c r="L145" s="475">
        <f>J145+K145</f>
        <v>200</v>
      </c>
      <c r="M145" s="134"/>
      <c r="N145" s="285"/>
      <c r="O145" s="475">
        <f>N145+M145</f>
        <v>0</v>
      </c>
      <c r="P145" s="443"/>
      <c r="R145" s="53"/>
      <c r="S145" s="53"/>
    </row>
    <row r="146" spans="1:19" ht="24" hidden="1" x14ac:dyDescent="0.25">
      <c r="A146" s="76">
        <v>2344</v>
      </c>
      <c r="B146" s="127" t="s">
        <v>162</v>
      </c>
      <c r="C146" s="429">
        <f t="shared" si="35"/>
        <v>0</v>
      </c>
      <c r="D146" s="134"/>
      <c r="E146" s="283"/>
      <c r="F146" s="475">
        <f>D146+E146</f>
        <v>0</v>
      </c>
      <c r="G146" s="134"/>
      <c r="H146" s="285"/>
      <c r="I146" s="283">
        <f>G146+H146</f>
        <v>0</v>
      </c>
      <c r="J146" s="134"/>
      <c r="K146" s="283"/>
      <c r="L146" s="475">
        <f>J146+K146</f>
        <v>0</v>
      </c>
      <c r="M146" s="134"/>
      <c r="N146" s="285"/>
      <c r="O146" s="475">
        <f>N146+M146</f>
        <v>0</v>
      </c>
      <c r="P146" s="443"/>
      <c r="R146" s="53"/>
      <c r="S146" s="53"/>
    </row>
    <row r="147" spans="1:19" ht="24" x14ac:dyDescent="0.25">
      <c r="A147" s="254">
        <v>2350</v>
      </c>
      <c r="B147" s="179" t="s">
        <v>163</v>
      </c>
      <c r="C147" s="454">
        <f t="shared" si="35"/>
        <v>10395</v>
      </c>
      <c r="D147" s="255">
        <f t="shared" ref="D147:O147" si="43">SUM(D148:D153)</f>
        <v>3358</v>
      </c>
      <c r="E147" s="256">
        <f t="shared" si="43"/>
        <v>0</v>
      </c>
      <c r="F147" s="310">
        <f t="shared" si="43"/>
        <v>3358</v>
      </c>
      <c r="G147" s="255">
        <f t="shared" si="43"/>
        <v>0</v>
      </c>
      <c r="H147" s="261">
        <f t="shared" si="43"/>
        <v>0</v>
      </c>
      <c r="I147" s="256">
        <f t="shared" si="43"/>
        <v>0</v>
      </c>
      <c r="J147" s="255">
        <f t="shared" si="43"/>
        <v>7037</v>
      </c>
      <c r="K147" s="256">
        <f t="shared" si="43"/>
        <v>0</v>
      </c>
      <c r="L147" s="310">
        <f t="shared" si="43"/>
        <v>7037</v>
      </c>
      <c r="M147" s="255">
        <f t="shared" si="43"/>
        <v>0</v>
      </c>
      <c r="N147" s="261">
        <f t="shared" si="43"/>
        <v>0</v>
      </c>
      <c r="O147" s="310">
        <f t="shared" si="43"/>
        <v>0</v>
      </c>
      <c r="P147" s="259"/>
      <c r="R147" s="53"/>
      <c r="S147" s="53"/>
    </row>
    <row r="148" spans="1:19" x14ac:dyDescent="0.25">
      <c r="A148" s="66">
        <v>2351</v>
      </c>
      <c r="B148" s="116" t="s">
        <v>164</v>
      </c>
      <c r="C148" s="70">
        <f t="shared" si="35"/>
        <v>1365</v>
      </c>
      <c r="D148" s="123">
        <v>100</v>
      </c>
      <c r="E148" s="295"/>
      <c r="F148" s="473">
        <f t="shared" ref="F148:F153" si="44">D148+E148</f>
        <v>100</v>
      </c>
      <c r="G148" s="123"/>
      <c r="H148" s="262"/>
      <c r="I148" s="295">
        <f t="shared" ref="I148:I153" si="45">G148+H148</f>
        <v>0</v>
      </c>
      <c r="J148" s="123">
        <v>1265</v>
      </c>
      <c r="K148" s="295"/>
      <c r="L148" s="473">
        <f t="shared" ref="L148:L153" si="46">J148+K148</f>
        <v>1265</v>
      </c>
      <c r="M148" s="123"/>
      <c r="N148" s="262"/>
      <c r="O148" s="473">
        <f t="shared" ref="O148:O153" si="47">N148+M148</f>
        <v>0</v>
      </c>
      <c r="P148" s="442"/>
      <c r="R148" s="53"/>
      <c r="S148" s="53"/>
    </row>
    <row r="149" spans="1:19" x14ac:dyDescent="0.25">
      <c r="A149" s="76">
        <v>2352</v>
      </c>
      <c r="B149" s="127" t="s">
        <v>165</v>
      </c>
      <c r="C149" s="429">
        <f t="shared" si="35"/>
        <v>8880</v>
      </c>
      <c r="D149" s="134">
        <v>3258</v>
      </c>
      <c r="E149" s="283"/>
      <c r="F149" s="475">
        <f t="shared" si="44"/>
        <v>3258</v>
      </c>
      <c r="G149" s="134"/>
      <c r="H149" s="285"/>
      <c r="I149" s="283">
        <f t="shared" si="45"/>
        <v>0</v>
      </c>
      <c r="J149" s="134">
        <v>5622</v>
      </c>
      <c r="K149" s="283"/>
      <c r="L149" s="475">
        <f t="shared" si="46"/>
        <v>5622</v>
      </c>
      <c r="M149" s="134"/>
      <c r="N149" s="285"/>
      <c r="O149" s="475">
        <f t="shared" si="47"/>
        <v>0</v>
      </c>
      <c r="P149" s="441"/>
      <c r="R149" s="53"/>
      <c r="S149" s="53"/>
    </row>
    <row r="150" spans="1:19" ht="24" hidden="1" x14ac:dyDescent="0.25">
      <c r="A150" s="76">
        <v>2353</v>
      </c>
      <c r="B150" s="127" t="s">
        <v>166</v>
      </c>
      <c r="C150" s="429">
        <f t="shared" si="35"/>
        <v>0</v>
      </c>
      <c r="D150" s="134"/>
      <c r="E150" s="283"/>
      <c r="F150" s="475">
        <f t="shared" si="44"/>
        <v>0</v>
      </c>
      <c r="G150" s="134"/>
      <c r="H150" s="285"/>
      <c r="I150" s="283">
        <f t="shared" si="45"/>
        <v>0</v>
      </c>
      <c r="J150" s="134"/>
      <c r="K150" s="283"/>
      <c r="L150" s="475">
        <f t="shared" si="46"/>
        <v>0</v>
      </c>
      <c r="M150" s="134"/>
      <c r="N150" s="285"/>
      <c r="O150" s="475">
        <f t="shared" si="47"/>
        <v>0</v>
      </c>
      <c r="P150" s="443"/>
      <c r="R150" s="53"/>
      <c r="S150" s="53"/>
    </row>
    <row r="151" spans="1:19" ht="24" hidden="1" x14ac:dyDescent="0.25">
      <c r="A151" s="76">
        <v>2354</v>
      </c>
      <c r="B151" s="127" t="s">
        <v>167</v>
      </c>
      <c r="C151" s="429">
        <f t="shared" si="35"/>
        <v>0</v>
      </c>
      <c r="D151" s="134"/>
      <c r="E151" s="283"/>
      <c r="F151" s="475">
        <f t="shared" si="44"/>
        <v>0</v>
      </c>
      <c r="G151" s="134"/>
      <c r="H151" s="285"/>
      <c r="I151" s="283">
        <f t="shared" si="45"/>
        <v>0</v>
      </c>
      <c r="J151" s="134"/>
      <c r="K151" s="283"/>
      <c r="L151" s="475">
        <f t="shared" si="46"/>
        <v>0</v>
      </c>
      <c r="M151" s="134"/>
      <c r="N151" s="285"/>
      <c r="O151" s="475">
        <f t="shared" si="47"/>
        <v>0</v>
      </c>
      <c r="P151" s="443"/>
      <c r="R151" s="53"/>
      <c r="S151" s="53"/>
    </row>
    <row r="152" spans="1:19" ht="24" x14ac:dyDescent="0.25">
      <c r="A152" s="76">
        <v>2355</v>
      </c>
      <c r="B152" s="127" t="s">
        <v>168</v>
      </c>
      <c r="C152" s="429">
        <f t="shared" si="35"/>
        <v>150</v>
      </c>
      <c r="D152" s="134"/>
      <c r="E152" s="283"/>
      <c r="F152" s="475">
        <f t="shared" si="44"/>
        <v>0</v>
      </c>
      <c r="G152" s="134"/>
      <c r="H152" s="285"/>
      <c r="I152" s="283">
        <f t="shared" si="45"/>
        <v>0</v>
      </c>
      <c r="J152" s="134">
        <v>150</v>
      </c>
      <c r="K152" s="283"/>
      <c r="L152" s="475">
        <f t="shared" si="46"/>
        <v>150</v>
      </c>
      <c r="M152" s="134"/>
      <c r="N152" s="285"/>
      <c r="O152" s="475">
        <f t="shared" si="47"/>
        <v>0</v>
      </c>
      <c r="P152" s="443"/>
      <c r="R152" s="53"/>
      <c r="S152" s="53"/>
    </row>
    <row r="153" spans="1:19" ht="24" hidden="1" x14ac:dyDescent="0.25">
      <c r="A153" s="76">
        <v>2359</v>
      </c>
      <c r="B153" s="127" t="s">
        <v>169</v>
      </c>
      <c r="C153" s="429">
        <f t="shared" si="35"/>
        <v>0</v>
      </c>
      <c r="D153" s="134"/>
      <c r="E153" s="283"/>
      <c r="F153" s="475">
        <f t="shared" si="44"/>
        <v>0</v>
      </c>
      <c r="G153" s="134"/>
      <c r="H153" s="285"/>
      <c r="I153" s="283">
        <f t="shared" si="45"/>
        <v>0</v>
      </c>
      <c r="J153" s="134"/>
      <c r="K153" s="283"/>
      <c r="L153" s="475">
        <f t="shared" si="46"/>
        <v>0</v>
      </c>
      <c r="M153" s="134"/>
      <c r="N153" s="285"/>
      <c r="O153" s="475">
        <f t="shared" si="47"/>
        <v>0</v>
      </c>
      <c r="P153" s="443"/>
      <c r="R153" s="53"/>
      <c r="S153" s="53"/>
    </row>
    <row r="154" spans="1:19" ht="24.75" hidden="1" customHeight="1" x14ac:dyDescent="0.25">
      <c r="A154" s="276">
        <v>2360</v>
      </c>
      <c r="B154" s="127" t="s">
        <v>170</v>
      </c>
      <c r="C154" s="429">
        <f t="shared" si="35"/>
        <v>0</v>
      </c>
      <c r="D154" s="277">
        <f t="shared" ref="D154:O154" si="48">SUM(D155:D161)</f>
        <v>0</v>
      </c>
      <c r="E154" s="278">
        <f t="shared" si="48"/>
        <v>0</v>
      </c>
      <c r="F154" s="286">
        <f t="shared" si="48"/>
        <v>0</v>
      </c>
      <c r="G154" s="277">
        <f t="shared" si="48"/>
        <v>0</v>
      </c>
      <c r="H154" s="282">
        <f t="shared" si="48"/>
        <v>0</v>
      </c>
      <c r="I154" s="278">
        <f t="shared" si="48"/>
        <v>0</v>
      </c>
      <c r="J154" s="277">
        <f t="shared" si="48"/>
        <v>0</v>
      </c>
      <c r="K154" s="278">
        <f t="shared" si="48"/>
        <v>0</v>
      </c>
      <c r="L154" s="286">
        <f t="shared" si="48"/>
        <v>0</v>
      </c>
      <c r="M154" s="277">
        <f t="shared" si="48"/>
        <v>0</v>
      </c>
      <c r="N154" s="282">
        <f t="shared" si="48"/>
        <v>0</v>
      </c>
      <c r="O154" s="286">
        <f t="shared" si="48"/>
        <v>0</v>
      </c>
      <c r="P154" s="136"/>
      <c r="R154" s="53"/>
      <c r="S154" s="53"/>
    </row>
    <row r="155" spans="1:19" hidden="1" x14ac:dyDescent="0.25">
      <c r="A155" s="75">
        <v>2361</v>
      </c>
      <c r="B155" s="127" t="s">
        <v>171</v>
      </c>
      <c r="C155" s="429">
        <f t="shared" si="35"/>
        <v>0</v>
      </c>
      <c r="D155" s="134"/>
      <c r="E155" s="283"/>
      <c r="F155" s="475">
        <f t="shared" ref="F155:F162" si="49">D155+E155</f>
        <v>0</v>
      </c>
      <c r="G155" s="134"/>
      <c r="H155" s="285"/>
      <c r="I155" s="283">
        <f t="shared" ref="I155:I162" si="50">G155+H155</f>
        <v>0</v>
      </c>
      <c r="J155" s="134"/>
      <c r="K155" s="283"/>
      <c r="L155" s="475">
        <f t="shared" ref="L155:L162" si="51">J155+K155</f>
        <v>0</v>
      </c>
      <c r="M155" s="134"/>
      <c r="N155" s="285"/>
      <c r="O155" s="475">
        <f t="shared" ref="O155:O162" si="52">N155+M155</f>
        <v>0</v>
      </c>
      <c r="P155" s="443"/>
      <c r="R155" s="53"/>
      <c r="S155" s="53"/>
    </row>
    <row r="156" spans="1:19" ht="24" hidden="1" x14ac:dyDescent="0.25">
      <c r="A156" s="75">
        <v>2362</v>
      </c>
      <c r="B156" s="127" t="s">
        <v>172</v>
      </c>
      <c r="C156" s="429">
        <f t="shared" si="35"/>
        <v>0</v>
      </c>
      <c r="D156" s="134"/>
      <c r="E156" s="283"/>
      <c r="F156" s="475">
        <f t="shared" si="49"/>
        <v>0</v>
      </c>
      <c r="G156" s="134"/>
      <c r="H156" s="285"/>
      <c r="I156" s="283">
        <f t="shared" si="50"/>
        <v>0</v>
      </c>
      <c r="J156" s="134"/>
      <c r="K156" s="283"/>
      <c r="L156" s="475">
        <f t="shared" si="51"/>
        <v>0</v>
      </c>
      <c r="M156" s="134"/>
      <c r="N156" s="285"/>
      <c r="O156" s="475">
        <f t="shared" si="52"/>
        <v>0</v>
      </c>
      <c r="P156" s="443"/>
      <c r="R156" s="53"/>
      <c r="S156" s="53"/>
    </row>
    <row r="157" spans="1:19" hidden="1" x14ac:dyDescent="0.25">
      <c r="A157" s="75">
        <v>2363</v>
      </c>
      <c r="B157" s="127" t="s">
        <v>173</v>
      </c>
      <c r="C157" s="429">
        <f t="shared" si="35"/>
        <v>0</v>
      </c>
      <c r="D157" s="134"/>
      <c r="E157" s="283"/>
      <c r="F157" s="475">
        <f t="shared" si="49"/>
        <v>0</v>
      </c>
      <c r="G157" s="134"/>
      <c r="H157" s="285"/>
      <c r="I157" s="283">
        <f t="shared" si="50"/>
        <v>0</v>
      </c>
      <c r="J157" s="134"/>
      <c r="K157" s="283"/>
      <c r="L157" s="475">
        <f t="shared" si="51"/>
        <v>0</v>
      </c>
      <c r="M157" s="134"/>
      <c r="N157" s="285"/>
      <c r="O157" s="475">
        <f t="shared" si="52"/>
        <v>0</v>
      </c>
      <c r="P157" s="443"/>
      <c r="R157" s="53"/>
      <c r="S157" s="53"/>
    </row>
    <row r="158" spans="1:19" hidden="1" x14ac:dyDescent="0.25">
      <c r="A158" s="75">
        <v>2364</v>
      </c>
      <c r="B158" s="127" t="s">
        <v>174</v>
      </c>
      <c r="C158" s="429">
        <f t="shared" si="35"/>
        <v>0</v>
      </c>
      <c r="D158" s="134"/>
      <c r="E158" s="283"/>
      <c r="F158" s="475">
        <f t="shared" si="49"/>
        <v>0</v>
      </c>
      <c r="G158" s="134"/>
      <c r="H158" s="285"/>
      <c r="I158" s="283">
        <f t="shared" si="50"/>
        <v>0</v>
      </c>
      <c r="J158" s="134"/>
      <c r="K158" s="283"/>
      <c r="L158" s="475">
        <f t="shared" si="51"/>
        <v>0</v>
      </c>
      <c r="M158" s="134"/>
      <c r="N158" s="285"/>
      <c r="O158" s="475">
        <f t="shared" si="52"/>
        <v>0</v>
      </c>
      <c r="P158" s="443"/>
      <c r="R158" s="53"/>
      <c r="S158" s="53"/>
    </row>
    <row r="159" spans="1:19" ht="12.75" hidden="1" customHeight="1" x14ac:dyDescent="0.25">
      <c r="A159" s="75">
        <v>2365</v>
      </c>
      <c r="B159" s="127" t="s">
        <v>175</v>
      </c>
      <c r="C159" s="429">
        <f t="shared" si="35"/>
        <v>0</v>
      </c>
      <c r="D159" s="134"/>
      <c r="E159" s="283"/>
      <c r="F159" s="475">
        <f t="shared" si="49"/>
        <v>0</v>
      </c>
      <c r="G159" s="134"/>
      <c r="H159" s="285"/>
      <c r="I159" s="283">
        <f t="shared" si="50"/>
        <v>0</v>
      </c>
      <c r="J159" s="134"/>
      <c r="K159" s="283"/>
      <c r="L159" s="475">
        <f t="shared" si="51"/>
        <v>0</v>
      </c>
      <c r="M159" s="134"/>
      <c r="N159" s="285"/>
      <c r="O159" s="475">
        <f t="shared" si="52"/>
        <v>0</v>
      </c>
      <c r="P159" s="443"/>
      <c r="R159" s="53"/>
      <c r="S159" s="53"/>
    </row>
    <row r="160" spans="1:19" ht="36" hidden="1" x14ac:dyDescent="0.25">
      <c r="A160" s="75">
        <v>2366</v>
      </c>
      <c r="B160" s="127" t="s">
        <v>176</v>
      </c>
      <c r="C160" s="429">
        <f t="shared" si="35"/>
        <v>0</v>
      </c>
      <c r="D160" s="134"/>
      <c r="E160" s="283"/>
      <c r="F160" s="475">
        <f t="shared" si="49"/>
        <v>0</v>
      </c>
      <c r="G160" s="134"/>
      <c r="H160" s="285"/>
      <c r="I160" s="283">
        <f t="shared" si="50"/>
        <v>0</v>
      </c>
      <c r="J160" s="134"/>
      <c r="K160" s="283"/>
      <c r="L160" s="475">
        <f t="shared" si="51"/>
        <v>0</v>
      </c>
      <c r="M160" s="134"/>
      <c r="N160" s="285"/>
      <c r="O160" s="475">
        <f t="shared" si="52"/>
        <v>0</v>
      </c>
      <c r="P160" s="443"/>
      <c r="R160" s="53"/>
      <c r="S160" s="53"/>
    </row>
    <row r="161" spans="1:19" ht="48" hidden="1" x14ac:dyDescent="0.25">
      <c r="A161" s="75">
        <v>2369</v>
      </c>
      <c r="B161" s="127" t="s">
        <v>177</v>
      </c>
      <c r="C161" s="429">
        <f t="shared" si="35"/>
        <v>0</v>
      </c>
      <c r="D161" s="134"/>
      <c r="E161" s="283"/>
      <c r="F161" s="475">
        <f t="shared" si="49"/>
        <v>0</v>
      </c>
      <c r="G161" s="134"/>
      <c r="H161" s="285"/>
      <c r="I161" s="283">
        <f t="shared" si="50"/>
        <v>0</v>
      </c>
      <c r="J161" s="134"/>
      <c r="K161" s="283"/>
      <c r="L161" s="475">
        <f t="shared" si="51"/>
        <v>0</v>
      </c>
      <c r="M161" s="134"/>
      <c r="N161" s="285"/>
      <c r="O161" s="475">
        <f t="shared" si="52"/>
        <v>0</v>
      </c>
      <c r="P161" s="443"/>
      <c r="R161" s="53"/>
      <c r="S161" s="53"/>
    </row>
    <row r="162" spans="1:19" hidden="1" x14ac:dyDescent="0.25">
      <c r="A162" s="254">
        <v>2370</v>
      </c>
      <c r="B162" s="179" t="s">
        <v>178</v>
      </c>
      <c r="C162" s="454">
        <f t="shared" si="35"/>
        <v>0</v>
      </c>
      <c r="D162" s="287"/>
      <c r="E162" s="288"/>
      <c r="F162" s="478">
        <f t="shared" si="49"/>
        <v>0</v>
      </c>
      <c r="G162" s="287"/>
      <c r="H162" s="291"/>
      <c r="I162" s="288">
        <f t="shared" si="50"/>
        <v>0</v>
      </c>
      <c r="J162" s="287"/>
      <c r="K162" s="288"/>
      <c r="L162" s="478">
        <f t="shared" si="51"/>
        <v>0</v>
      </c>
      <c r="M162" s="287"/>
      <c r="N162" s="291"/>
      <c r="O162" s="478">
        <f t="shared" si="52"/>
        <v>0</v>
      </c>
      <c r="P162" s="476"/>
      <c r="R162" s="53"/>
      <c r="S162" s="53"/>
    </row>
    <row r="163" spans="1:19" hidden="1" x14ac:dyDescent="0.25">
      <c r="A163" s="254">
        <v>2380</v>
      </c>
      <c r="B163" s="179" t="s">
        <v>179</v>
      </c>
      <c r="C163" s="454">
        <f t="shared" si="35"/>
        <v>0</v>
      </c>
      <c r="D163" s="255">
        <f t="shared" ref="D163:O163" si="53">SUM(D164:D165)</f>
        <v>0</v>
      </c>
      <c r="E163" s="256">
        <f t="shared" si="53"/>
        <v>0</v>
      </c>
      <c r="F163" s="310">
        <f t="shared" si="53"/>
        <v>0</v>
      </c>
      <c r="G163" s="255">
        <f t="shared" si="53"/>
        <v>0</v>
      </c>
      <c r="H163" s="261">
        <f t="shared" si="53"/>
        <v>0</v>
      </c>
      <c r="I163" s="256">
        <f t="shared" si="53"/>
        <v>0</v>
      </c>
      <c r="J163" s="255">
        <f t="shared" si="53"/>
        <v>0</v>
      </c>
      <c r="K163" s="256">
        <f t="shared" si="53"/>
        <v>0</v>
      </c>
      <c r="L163" s="310">
        <f t="shared" si="53"/>
        <v>0</v>
      </c>
      <c r="M163" s="255">
        <f t="shared" si="53"/>
        <v>0</v>
      </c>
      <c r="N163" s="261">
        <f t="shared" si="53"/>
        <v>0</v>
      </c>
      <c r="O163" s="310">
        <f t="shared" si="53"/>
        <v>0</v>
      </c>
      <c r="P163" s="259"/>
      <c r="R163" s="53"/>
      <c r="S163" s="53"/>
    </row>
    <row r="164" spans="1:19" hidden="1" x14ac:dyDescent="0.25">
      <c r="A164" s="65">
        <v>2381</v>
      </c>
      <c r="B164" s="116" t="s">
        <v>180</v>
      </c>
      <c r="C164" s="70">
        <f t="shared" si="35"/>
        <v>0</v>
      </c>
      <c r="D164" s="123"/>
      <c r="E164" s="295"/>
      <c r="F164" s="473">
        <f>D164+E164</f>
        <v>0</v>
      </c>
      <c r="G164" s="123"/>
      <c r="H164" s="262"/>
      <c r="I164" s="295">
        <f>G164+H164</f>
        <v>0</v>
      </c>
      <c r="J164" s="123"/>
      <c r="K164" s="295"/>
      <c r="L164" s="473">
        <f>J164+K164</f>
        <v>0</v>
      </c>
      <c r="M164" s="123"/>
      <c r="N164" s="262"/>
      <c r="O164" s="473">
        <f>N164+M164</f>
        <v>0</v>
      </c>
      <c r="P164" s="442"/>
      <c r="R164" s="53"/>
      <c r="S164" s="53"/>
    </row>
    <row r="165" spans="1:19" ht="24" hidden="1" x14ac:dyDescent="0.25">
      <c r="A165" s="75">
        <v>2389</v>
      </c>
      <c r="B165" s="127" t="s">
        <v>181</v>
      </c>
      <c r="C165" s="429">
        <f t="shared" si="35"/>
        <v>0</v>
      </c>
      <c r="D165" s="134"/>
      <c r="E165" s="283"/>
      <c r="F165" s="475">
        <f>D165+E165</f>
        <v>0</v>
      </c>
      <c r="G165" s="134"/>
      <c r="H165" s="285"/>
      <c r="I165" s="283">
        <f>G165+H165</f>
        <v>0</v>
      </c>
      <c r="J165" s="134"/>
      <c r="K165" s="283"/>
      <c r="L165" s="475">
        <f>J165+K165</f>
        <v>0</v>
      </c>
      <c r="M165" s="134"/>
      <c r="N165" s="285"/>
      <c r="O165" s="475">
        <f>N165+M165</f>
        <v>0</v>
      </c>
      <c r="P165" s="443"/>
      <c r="R165" s="53"/>
      <c r="S165" s="53"/>
    </row>
    <row r="166" spans="1:19" hidden="1" x14ac:dyDescent="0.25">
      <c r="A166" s="254">
        <v>2390</v>
      </c>
      <c r="B166" s="179" t="s">
        <v>182</v>
      </c>
      <c r="C166" s="454">
        <f t="shared" si="35"/>
        <v>0</v>
      </c>
      <c r="D166" s="287"/>
      <c r="E166" s="288"/>
      <c r="F166" s="478">
        <f>D166+E166</f>
        <v>0</v>
      </c>
      <c r="G166" s="287"/>
      <c r="H166" s="291"/>
      <c r="I166" s="288">
        <f>G166+H166</f>
        <v>0</v>
      </c>
      <c r="J166" s="287"/>
      <c r="K166" s="288"/>
      <c r="L166" s="478">
        <f>J166+K166</f>
        <v>0</v>
      </c>
      <c r="M166" s="287"/>
      <c r="N166" s="291"/>
      <c r="O166" s="478">
        <f>N166+M166</f>
        <v>0</v>
      </c>
      <c r="P166" s="476"/>
      <c r="R166" s="53"/>
      <c r="S166" s="53"/>
    </row>
    <row r="167" spans="1:19" hidden="1" x14ac:dyDescent="0.25">
      <c r="A167" s="99">
        <v>2400</v>
      </c>
      <c r="B167" s="247" t="s">
        <v>183</v>
      </c>
      <c r="C167" s="103">
        <f t="shared" si="35"/>
        <v>0</v>
      </c>
      <c r="D167" s="311"/>
      <c r="E167" s="712"/>
      <c r="F167" s="489">
        <f>D167+E167</f>
        <v>0</v>
      </c>
      <c r="G167" s="311"/>
      <c r="H167" s="312"/>
      <c r="I167" s="712">
        <f>G167+H167</f>
        <v>0</v>
      </c>
      <c r="J167" s="311"/>
      <c r="K167" s="712"/>
      <c r="L167" s="489">
        <f>J167+K167</f>
        <v>0</v>
      </c>
      <c r="M167" s="311"/>
      <c r="N167" s="312"/>
      <c r="O167" s="489">
        <f>N167+M167</f>
        <v>0</v>
      </c>
      <c r="P167" s="488"/>
      <c r="R167" s="53"/>
      <c r="S167" s="53"/>
    </row>
    <row r="168" spans="1:19" ht="24" x14ac:dyDescent="0.25">
      <c r="A168" s="99">
        <v>2500</v>
      </c>
      <c r="B168" s="247" t="s">
        <v>184</v>
      </c>
      <c r="C168" s="103">
        <f t="shared" si="35"/>
        <v>10143</v>
      </c>
      <c r="D168" s="112">
        <f t="shared" ref="D168:O168" si="54">SUM(D169,D174)</f>
        <v>143</v>
      </c>
      <c r="E168" s="248">
        <f t="shared" si="54"/>
        <v>0</v>
      </c>
      <c r="F168" s="313">
        <f t="shared" si="54"/>
        <v>143</v>
      </c>
      <c r="G168" s="112">
        <f t="shared" si="54"/>
        <v>0</v>
      </c>
      <c r="H168" s="293">
        <f t="shared" si="54"/>
        <v>0</v>
      </c>
      <c r="I168" s="248">
        <f t="shared" si="54"/>
        <v>0</v>
      </c>
      <c r="J168" s="112">
        <f t="shared" si="54"/>
        <v>10000</v>
      </c>
      <c r="K168" s="248">
        <f t="shared" si="54"/>
        <v>0</v>
      </c>
      <c r="L168" s="313">
        <f t="shared" si="54"/>
        <v>10000</v>
      </c>
      <c r="M168" s="334">
        <f t="shared" si="54"/>
        <v>0</v>
      </c>
      <c r="N168" s="293">
        <f t="shared" si="54"/>
        <v>0</v>
      </c>
      <c r="O168" s="313">
        <f t="shared" si="54"/>
        <v>0</v>
      </c>
      <c r="P168" s="114"/>
      <c r="R168" s="53"/>
      <c r="S168" s="53"/>
    </row>
    <row r="169" spans="1:19" ht="16.5" customHeight="1" x14ac:dyDescent="0.25">
      <c r="A169" s="656">
        <v>2510</v>
      </c>
      <c r="B169" s="116" t="s">
        <v>185</v>
      </c>
      <c r="C169" s="70">
        <f t="shared" si="35"/>
        <v>10143</v>
      </c>
      <c r="D169" s="297">
        <f t="shared" ref="D169:O169" si="55">SUM(D170:D173)</f>
        <v>143</v>
      </c>
      <c r="E169" s="298">
        <f t="shared" si="55"/>
        <v>0</v>
      </c>
      <c r="F169" s="263">
        <f t="shared" si="55"/>
        <v>143</v>
      </c>
      <c r="G169" s="297">
        <f t="shared" si="55"/>
        <v>0</v>
      </c>
      <c r="H169" s="301">
        <f t="shared" si="55"/>
        <v>0</v>
      </c>
      <c r="I169" s="298">
        <f t="shared" si="55"/>
        <v>0</v>
      </c>
      <c r="J169" s="297">
        <f t="shared" si="55"/>
        <v>10000</v>
      </c>
      <c r="K169" s="298">
        <f t="shared" si="55"/>
        <v>0</v>
      </c>
      <c r="L169" s="263">
        <f t="shared" si="55"/>
        <v>10000</v>
      </c>
      <c r="M169" s="308">
        <f t="shared" si="55"/>
        <v>0</v>
      </c>
      <c r="N169" s="301">
        <f t="shared" si="55"/>
        <v>0</v>
      </c>
      <c r="O169" s="263">
        <f t="shared" si="55"/>
        <v>0</v>
      </c>
      <c r="P169" s="125"/>
      <c r="R169" s="53"/>
      <c r="S169" s="53"/>
    </row>
    <row r="170" spans="1:19" ht="24" x14ac:dyDescent="0.25">
      <c r="A170" s="76">
        <v>2512</v>
      </c>
      <c r="B170" s="127" t="s">
        <v>186</v>
      </c>
      <c r="C170" s="429">
        <f t="shared" si="35"/>
        <v>10000</v>
      </c>
      <c r="D170" s="134"/>
      <c r="E170" s="283"/>
      <c r="F170" s="475">
        <f t="shared" ref="F170:F175" si="56">D170+E170</f>
        <v>0</v>
      </c>
      <c r="G170" s="134"/>
      <c r="H170" s="285"/>
      <c r="I170" s="283">
        <f t="shared" ref="I170:I175" si="57">G170+H170</f>
        <v>0</v>
      </c>
      <c r="J170" s="134">
        <v>10000</v>
      </c>
      <c r="K170" s="283"/>
      <c r="L170" s="475">
        <f t="shared" ref="L170:L175" si="58">J170+K170</f>
        <v>10000</v>
      </c>
      <c r="M170" s="134"/>
      <c r="N170" s="285"/>
      <c r="O170" s="475">
        <f t="shared" ref="O170:O175" si="59">N170+M170</f>
        <v>0</v>
      </c>
      <c r="P170" s="443"/>
      <c r="R170" s="53"/>
      <c r="S170" s="53"/>
    </row>
    <row r="171" spans="1:19" ht="36" hidden="1" x14ac:dyDescent="0.25">
      <c r="A171" s="76">
        <v>2513</v>
      </c>
      <c r="B171" s="127" t="s">
        <v>187</v>
      </c>
      <c r="C171" s="429">
        <f t="shared" si="35"/>
        <v>0</v>
      </c>
      <c r="D171" s="134"/>
      <c r="E171" s="283"/>
      <c r="F171" s="475">
        <f t="shared" si="56"/>
        <v>0</v>
      </c>
      <c r="G171" s="134"/>
      <c r="H171" s="285"/>
      <c r="I171" s="283">
        <f t="shared" si="57"/>
        <v>0</v>
      </c>
      <c r="J171" s="134"/>
      <c r="K171" s="283"/>
      <c r="L171" s="475">
        <f t="shared" si="58"/>
        <v>0</v>
      </c>
      <c r="M171" s="134"/>
      <c r="N171" s="285"/>
      <c r="O171" s="475">
        <f t="shared" si="59"/>
        <v>0</v>
      </c>
      <c r="P171" s="443"/>
      <c r="R171" s="53"/>
      <c r="S171" s="53"/>
    </row>
    <row r="172" spans="1:19" ht="24" x14ac:dyDescent="0.25">
      <c r="A172" s="76">
        <v>2515</v>
      </c>
      <c r="B172" s="127" t="s">
        <v>188</v>
      </c>
      <c r="C172" s="429">
        <f t="shared" si="35"/>
        <v>143</v>
      </c>
      <c r="D172" s="134">
        <v>143</v>
      </c>
      <c r="E172" s="283"/>
      <c r="F172" s="475">
        <f t="shared" si="56"/>
        <v>143</v>
      </c>
      <c r="G172" s="134"/>
      <c r="H172" s="285"/>
      <c r="I172" s="283">
        <f t="shared" si="57"/>
        <v>0</v>
      </c>
      <c r="J172" s="134"/>
      <c r="K172" s="283"/>
      <c r="L172" s="475">
        <f t="shared" si="58"/>
        <v>0</v>
      </c>
      <c r="M172" s="134"/>
      <c r="N172" s="285"/>
      <c r="O172" s="475">
        <f t="shared" si="59"/>
        <v>0</v>
      </c>
      <c r="P172" s="443"/>
      <c r="R172" s="53"/>
      <c r="S172" s="53"/>
    </row>
    <row r="173" spans="1:19" ht="24" hidden="1" x14ac:dyDescent="0.25">
      <c r="A173" s="76">
        <v>2519</v>
      </c>
      <c r="B173" s="127" t="s">
        <v>189</v>
      </c>
      <c r="C173" s="429">
        <f t="shared" si="35"/>
        <v>0</v>
      </c>
      <c r="D173" s="134"/>
      <c r="E173" s="283"/>
      <c r="F173" s="475">
        <f t="shared" si="56"/>
        <v>0</v>
      </c>
      <c r="G173" s="134"/>
      <c r="H173" s="285"/>
      <c r="I173" s="283">
        <f t="shared" si="57"/>
        <v>0</v>
      </c>
      <c r="J173" s="134"/>
      <c r="K173" s="283"/>
      <c r="L173" s="475">
        <f t="shared" si="58"/>
        <v>0</v>
      </c>
      <c r="M173" s="134"/>
      <c r="N173" s="285"/>
      <c r="O173" s="475">
        <f t="shared" si="59"/>
        <v>0</v>
      </c>
      <c r="P173" s="443"/>
      <c r="R173" s="53"/>
      <c r="S173" s="53"/>
    </row>
    <row r="174" spans="1:19" ht="24" hidden="1" x14ac:dyDescent="0.25">
      <c r="A174" s="276">
        <v>2520</v>
      </c>
      <c r="B174" s="127" t="s">
        <v>190</v>
      </c>
      <c r="C174" s="429">
        <f t="shared" si="35"/>
        <v>0</v>
      </c>
      <c r="D174" s="134"/>
      <c r="E174" s="283"/>
      <c r="F174" s="475">
        <f t="shared" si="56"/>
        <v>0</v>
      </c>
      <c r="G174" s="134"/>
      <c r="H174" s="285"/>
      <c r="I174" s="283">
        <f t="shared" si="57"/>
        <v>0</v>
      </c>
      <c r="J174" s="134"/>
      <c r="K174" s="283"/>
      <c r="L174" s="475">
        <f t="shared" si="58"/>
        <v>0</v>
      </c>
      <c r="M174" s="134"/>
      <c r="N174" s="285"/>
      <c r="O174" s="475">
        <f t="shared" si="59"/>
        <v>0</v>
      </c>
      <c r="P174" s="443"/>
      <c r="R174" s="53"/>
      <c r="S174" s="53"/>
    </row>
    <row r="175" spans="1:19" s="319" customFormat="1" ht="48" hidden="1" x14ac:dyDescent="0.25">
      <c r="A175" s="31">
        <v>2800</v>
      </c>
      <c r="B175" s="116" t="s">
        <v>191</v>
      </c>
      <c r="C175" s="70">
        <f t="shared" si="35"/>
        <v>0</v>
      </c>
      <c r="D175" s="68"/>
      <c r="E175" s="673"/>
      <c r="F175" s="428">
        <f t="shared" si="56"/>
        <v>0</v>
      </c>
      <c r="G175" s="68"/>
      <c r="H175" s="69"/>
      <c r="I175" s="673">
        <f t="shared" si="57"/>
        <v>0</v>
      </c>
      <c r="J175" s="68"/>
      <c r="K175" s="673"/>
      <c r="L175" s="428">
        <f t="shared" si="58"/>
        <v>0</v>
      </c>
      <c r="M175" s="68"/>
      <c r="N175" s="69"/>
      <c r="O175" s="428">
        <f t="shared" si="59"/>
        <v>0</v>
      </c>
      <c r="P175" s="427"/>
      <c r="R175" s="53"/>
      <c r="S175" s="53"/>
    </row>
    <row r="176" spans="1:19" hidden="1" x14ac:dyDescent="0.25">
      <c r="A176" s="237">
        <v>3000</v>
      </c>
      <c r="B176" s="237" t="s">
        <v>192</v>
      </c>
      <c r="C176" s="709">
        <f t="shared" si="35"/>
        <v>0</v>
      </c>
      <c r="D176" s="466">
        <f t="shared" ref="D176:O176" si="60">SUM(D177,D187)</f>
        <v>0</v>
      </c>
      <c r="E176" s="471">
        <f t="shared" si="60"/>
        <v>0</v>
      </c>
      <c r="F176" s="465">
        <f t="shared" si="60"/>
        <v>0</v>
      </c>
      <c r="G176" s="466">
        <f t="shared" si="60"/>
        <v>0</v>
      </c>
      <c r="H176" s="467">
        <f t="shared" si="60"/>
        <v>0</v>
      </c>
      <c r="I176" s="471">
        <f t="shared" si="60"/>
        <v>0</v>
      </c>
      <c r="J176" s="466">
        <f t="shared" si="60"/>
        <v>0</v>
      </c>
      <c r="K176" s="471">
        <f t="shared" si="60"/>
        <v>0</v>
      </c>
      <c r="L176" s="465">
        <f t="shared" si="60"/>
        <v>0</v>
      </c>
      <c r="M176" s="239">
        <f t="shared" si="60"/>
        <v>0</v>
      </c>
      <c r="N176" s="245">
        <f t="shared" si="60"/>
        <v>0</v>
      </c>
      <c r="O176" s="320">
        <f t="shared" si="60"/>
        <v>0</v>
      </c>
      <c r="P176" s="243"/>
      <c r="R176" s="53"/>
      <c r="S176" s="53"/>
    </row>
    <row r="177" spans="1:19" ht="36" hidden="1" x14ac:dyDescent="0.25">
      <c r="A177" s="99">
        <v>3200</v>
      </c>
      <c r="B177" s="321" t="s">
        <v>193</v>
      </c>
      <c r="C177" s="103">
        <f t="shared" si="35"/>
        <v>0</v>
      </c>
      <c r="D177" s="112">
        <f t="shared" ref="D177:O177" si="61">SUM(D178,D182)</f>
        <v>0</v>
      </c>
      <c r="E177" s="248">
        <f t="shared" si="61"/>
        <v>0</v>
      </c>
      <c r="F177" s="313">
        <f t="shared" si="61"/>
        <v>0</v>
      </c>
      <c r="G177" s="112">
        <f t="shared" si="61"/>
        <v>0</v>
      </c>
      <c r="H177" s="293">
        <f t="shared" si="61"/>
        <v>0</v>
      </c>
      <c r="I177" s="248">
        <f t="shared" si="61"/>
        <v>0</v>
      </c>
      <c r="J177" s="112">
        <f t="shared" si="61"/>
        <v>0</v>
      </c>
      <c r="K177" s="248">
        <f t="shared" si="61"/>
        <v>0</v>
      </c>
      <c r="L177" s="313">
        <f t="shared" si="61"/>
        <v>0</v>
      </c>
      <c r="M177" s="334">
        <f t="shared" si="61"/>
        <v>0</v>
      </c>
      <c r="N177" s="293">
        <f t="shared" si="61"/>
        <v>0</v>
      </c>
      <c r="O177" s="313">
        <f t="shared" si="61"/>
        <v>0</v>
      </c>
      <c r="P177" s="114"/>
      <c r="R177" s="53"/>
      <c r="S177" s="53"/>
    </row>
    <row r="178" spans="1:19" ht="48" hidden="1" x14ac:dyDescent="0.25">
      <c r="A178" s="656">
        <v>3260</v>
      </c>
      <c r="B178" s="116" t="s">
        <v>194</v>
      </c>
      <c r="C178" s="70">
        <f t="shared" si="35"/>
        <v>0</v>
      </c>
      <c r="D178" s="297">
        <f t="shared" ref="D178:O178" si="62">SUM(D179:D181)</f>
        <v>0</v>
      </c>
      <c r="E178" s="298">
        <f t="shared" si="62"/>
        <v>0</v>
      </c>
      <c r="F178" s="263">
        <f t="shared" si="62"/>
        <v>0</v>
      </c>
      <c r="G178" s="297">
        <f t="shared" si="62"/>
        <v>0</v>
      </c>
      <c r="H178" s="301">
        <f t="shared" si="62"/>
        <v>0</v>
      </c>
      <c r="I178" s="298">
        <f t="shared" si="62"/>
        <v>0</v>
      </c>
      <c r="J178" s="297">
        <f t="shared" si="62"/>
        <v>0</v>
      </c>
      <c r="K178" s="298">
        <f t="shared" si="62"/>
        <v>0</v>
      </c>
      <c r="L178" s="263">
        <f t="shared" si="62"/>
        <v>0</v>
      </c>
      <c r="M178" s="297">
        <f t="shared" si="62"/>
        <v>0</v>
      </c>
      <c r="N178" s="301">
        <f t="shared" si="62"/>
        <v>0</v>
      </c>
      <c r="O178" s="263">
        <f t="shared" si="62"/>
        <v>0</v>
      </c>
      <c r="P178" s="125"/>
      <c r="R178" s="53"/>
      <c r="S178" s="53"/>
    </row>
    <row r="179" spans="1:19" ht="36" hidden="1" x14ac:dyDescent="0.25">
      <c r="A179" s="76">
        <v>3261</v>
      </c>
      <c r="B179" s="127" t="s">
        <v>195</v>
      </c>
      <c r="C179" s="429">
        <f t="shared" si="35"/>
        <v>0</v>
      </c>
      <c r="D179" s="134"/>
      <c r="E179" s="283"/>
      <c r="F179" s="475">
        <f>D179+E179</f>
        <v>0</v>
      </c>
      <c r="G179" s="134"/>
      <c r="H179" s="285"/>
      <c r="I179" s="283">
        <f>G179+H179</f>
        <v>0</v>
      </c>
      <c r="J179" s="134"/>
      <c r="K179" s="283"/>
      <c r="L179" s="475">
        <f>J179+K179</f>
        <v>0</v>
      </c>
      <c r="M179" s="134"/>
      <c r="N179" s="285"/>
      <c r="O179" s="475">
        <f>N179+M179</f>
        <v>0</v>
      </c>
      <c r="P179" s="443"/>
      <c r="R179" s="53"/>
      <c r="S179" s="53"/>
    </row>
    <row r="180" spans="1:19" ht="36" hidden="1" x14ac:dyDescent="0.25">
      <c r="A180" s="76">
        <v>3262</v>
      </c>
      <c r="B180" s="127" t="s">
        <v>196</v>
      </c>
      <c r="C180" s="429">
        <f t="shared" si="35"/>
        <v>0</v>
      </c>
      <c r="D180" s="134"/>
      <c r="E180" s="283"/>
      <c r="F180" s="475">
        <f>D180+E180</f>
        <v>0</v>
      </c>
      <c r="G180" s="134"/>
      <c r="H180" s="285"/>
      <c r="I180" s="283">
        <f>G180+H180</f>
        <v>0</v>
      </c>
      <c r="J180" s="134"/>
      <c r="K180" s="283"/>
      <c r="L180" s="475">
        <f>J180+K180</f>
        <v>0</v>
      </c>
      <c r="M180" s="134"/>
      <c r="N180" s="285"/>
      <c r="O180" s="475">
        <f>N180+M180</f>
        <v>0</v>
      </c>
      <c r="P180" s="443"/>
      <c r="R180" s="53"/>
      <c r="S180" s="53"/>
    </row>
    <row r="181" spans="1:19" ht="36" hidden="1" x14ac:dyDescent="0.25">
      <c r="A181" s="76">
        <v>3263</v>
      </c>
      <c r="B181" s="127" t="s">
        <v>197</v>
      </c>
      <c r="C181" s="429">
        <f t="shared" ref="C181:C244" si="63">SUM(F181,I181,L181,O181)</f>
        <v>0</v>
      </c>
      <c r="D181" s="134"/>
      <c r="E181" s="283"/>
      <c r="F181" s="475">
        <f>D181+E181</f>
        <v>0</v>
      </c>
      <c r="G181" s="134"/>
      <c r="H181" s="285"/>
      <c r="I181" s="283">
        <f>G181+H181</f>
        <v>0</v>
      </c>
      <c r="J181" s="134"/>
      <c r="K181" s="283"/>
      <c r="L181" s="475">
        <f>J181+K181</f>
        <v>0</v>
      </c>
      <c r="M181" s="134"/>
      <c r="N181" s="285"/>
      <c r="O181" s="475">
        <f>N181+M181</f>
        <v>0</v>
      </c>
      <c r="P181" s="443"/>
      <c r="R181" s="53"/>
      <c r="S181" s="53"/>
    </row>
    <row r="182" spans="1:19" ht="39.75" hidden="1" customHeight="1" x14ac:dyDescent="0.25">
      <c r="A182" s="656">
        <v>3290</v>
      </c>
      <c r="B182" s="116" t="s">
        <v>349</v>
      </c>
      <c r="C182" s="713">
        <f t="shared" si="63"/>
        <v>0</v>
      </c>
      <c r="D182" s="297">
        <f t="shared" ref="D182:O182" si="64">SUM(D183:D186)</f>
        <v>0</v>
      </c>
      <c r="E182" s="298">
        <f t="shared" si="64"/>
        <v>0</v>
      </c>
      <c r="F182" s="263">
        <f t="shared" si="64"/>
        <v>0</v>
      </c>
      <c r="G182" s="297">
        <f t="shared" si="64"/>
        <v>0</v>
      </c>
      <c r="H182" s="301">
        <f t="shared" si="64"/>
        <v>0</v>
      </c>
      <c r="I182" s="298">
        <f t="shared" si="64"/>
        <v>0</v>
      </c>
      <c r="J182" s="297">
        <f t="shared" si="64"/>
        <v>0</v>
      </c>
      <c r="K182" s="298">
        <f t="shared" si="64"/>
        <v>0</v>
      </c>
      <c r="L182" s="263">
        <f t="shared" si="64"/>
        <v>0</v>
      </c>
      <c r="M182" s="490">
        <f t="shared" si="64"/>
        <v>0</v>
      </c>
      <c r="N182" s="301">
        <f t="shared" si="64"/>
        <v>0</v>
      </c>
      <c r="O182" s="263">
        <f t="shared" si="64"/>
        <v>0</v>
      </c>
      <c r="P182" s="125"/>
      <c r="R182" s="53"/>
      <c r="S182" s="53"/>
    </row>
    <row r="183" spans="1:19" ht="72" hidden="1" x14ac:dyDescent="0.25">
      <c r="A183" s="76">
        <v>3291</v>
      </c>
      <c r="B183" s="127" t="s">
        <v>199</v>
      </c>
      <c r="C183" s="429">
        <f t="shared" si="63"/>
        <v>0</v>
      </c>
      <c r="D183" s="134"/>
      <c r="E183" s="283"/>
      <c r="F183" s="475">
        <f>D183+E183</f>
        <v>0</v>
      </c>
      <c r="G183" s="134"/>
      <c r="H183" s="285"/>
      <c r="I183" s="283">
        <f>G183+H183</f>
        <v>0</v>
      </c>
      <c r="J183" s="134"/>
      <c r="K183" s="283"/>
      <c r="L183" s="475">
        <f>J183+K183</f>
        <v>0</v>
      </c>
      <c r="M183" s="134"/>
      <c r="N183" s="285"/>
      <c r="O183" s="475">
        <f>N183+M183</f>
        <v>0</v>
      </c>
      <c r="P183" s="443"/>
      <c r="R183" s="53"/>
      <c r="S183" s="53"/>
    </row>
    <row r="184" spans="1:19" ht="84" hidden="1" x14ac:dyDescent="0.25">
      <c r="A184" s="76">
        <v>3292</v>
      </c>
      <c r="B184" s="127" t="s">
        <v>200</v>
      </c>
      <c r="C184" s="429">
        <f t="shared" si="63"/>
        <v>0</v>
      </c>
      <c r="D184" s="134"/>
      <c r="E184" s="283"/>
      <c r="F184" s="475">
        <f>D184+E184</f>
        <v>0</v>
      </c>
      <c r="G184" s="134"/>
      <c r="H184" s="285"/>
      <c r="I184" s="283">
        <f>G184+H184</f>
        <v>0</v>
      </c>
      <c r="J184" s="134"/>
      <c r="K184" s="283"/>
      <c r="L184" s="475">
        <f>J184+K184</f>
        <v>0</v>
      </c>
      <c r="M184" s="134"/>
      <c r="N184" s="285"/>
      <c r="O184" s="475">
        <f>N184+M184</f>
        <v>0</v>
      </c>
      <c r="P184" s="443"/>
      <c r="R184" s="53"/>
      <c r="S184" s="53"/>
    </row>
    <row r="185" spans="1:19" ht="38.25" hidden="1" customHeight="1" x14ac:dyDescent="0.25">
      <c r="A185" s="76">
        <v>3293</v>
      </c>
      <c r="B185" s="127" t="s">
        <v>201</v>
      </c>
      <c r="C185" s="429">
        <f t="shared" si="63"/>
        <v>0</v>
      </c>
      <c r="D185" s="134"/>
      <c r="E185" s="283"/>
      <c r="F185" s="475">
        <f>D185+E185</f>
        <v>0</v>
      </c>
      <c r="G185" s="134"/>
      <c r="H185" s="285"/>
      <c r="I185" s="283">
        <f>G185+H185</f>
        <v>0</v>
      </c>
      <c r="J185" s="134"/>
      <c r="K185" s="283"/>
      <c r="L185" s="475">
        <f>J185+K185</f>
        <v>0</v>
      </c>
      <c r="M185" s="134"/>
      <c r="N185" s="285"/>
      <c r="O185" s="475">
        <f>N185+M185</f>
        <v>0</v>
      </c>
      <c r="P185" s="443"/>
      <c r="R185" s="53"/>
      <c r="S185" s="53"/>
    </row>
    <row r="186" spans="1:19" ht="60" hidden="1" x14ac:dyDescent="0.25">
      <c r="A186" s="326">
        <v>3294</v>
      </c>
      <c r="B186" s="127" t="s">
        <v>202</v>
      </c>
      <c r="C186" s="713">
        <f t="shared" si="63"/>
        <v>0</v>
      </c>
      <c r="D186" s="328"/>
      <c r="E186" s="683"/>
      <c r="F186" s="492">
        <f>D186+E186</f>
        <v>0</v>
      </c>
      <c r="G186" s="328"/>
      <c r="H186" s="329"/>
      <c r="I186" s="683">
        <f>G186+H186</f>
        <v>0</v>
      </c>
      <c r="J186" s="328"/>
      <c r="K186" s="683"/>
      <c r="L186" s="492">
        <f>J186+K186</f>
        <v>0</v>
      </c>
      <c r="M186" s="328"/>
      <c r="N186" s="329"/>
      <c r="O186" s="492">
        <f>N186+M186</f>
        <v>0</v>
      </c>
      <c r="P186" s="491"/>
      <c r="R186" s="53"/>
      <c r="S186" s="53"/>
    </row>
    <row r="187" spans="1:19" ht="48" hidden="1" x14ac:dyDescent="0.25">
      <c r="A187" s="160">
        <v>3300</v>
      </c>
      <c r="B187" s="321" t="s">
        <v>203</v>
      </c>
      <c r="C187" s="163">
        <f t="shared" si="63"/>
        <v>0</v>
      </c>
      <c r="D187" s="334">
        <f t="shared" ref="D187:O187" si="65">SUM(D188:D189)</f>
        <v>0</v>
      </c>
      <c r="E187" s="684">
        <f t="shared" si="65"/>
        <v>0</v>
      </c>
      <c r="F187" s="335">
        <f t="shared" si="65"/>
        <v>0</v>
      </c>
      <c r="G187" s="334">
        <f t="shared" si="65"/>
        <v>0</v>
      </c>
      <c r="H187" s="251">
        <f t="shared" si="65"/>
        <v>0</v>
      </c>
      <c r="I187" s="684">
        <f t="shared" si="65"/>
        <v>0</v>
      </c>
      <c r="J187" s="334">
        <f t="shared" si="65"/>
        <v>0</v>
      </c>
      <c r="K187" s="684">
        <f t="shared" si="65"/>
        <v>0</v>
      </c>
      <c r="L187" s="335">
        <f t="shared" si="65"/>
        <v>0</v>
      </c>
      <c r="M187" s="334">
        <f t="shared" si="65"/>
        <v>0</v>
      </c>
      <c r="N187" s="251">
        <f t="shared" si="65"/>
        <v>0</v>
      </c>
      <c r="O187" s="335">
        <f t="shared" si="65"/>
        <v>0</v>
      </c>
      <c r="P187" s="252"/>
      <c r="R187" s="53"/>
      <c r="S187" s="53"/>
    </row>
    <row r="188" spans="1:19" ht="48" hidden="1" x14ac:dyDescent="0.25">
      <c r="A188" s="178">
        <v>3310</v>
      </c>
      <c r="B188" s="179" t="s">
        <v>204</v>
      </c>
      <c r="C188" s="454">
        <f t="shared" si="63"/>
        <v>0</v>
      </c>
      <c r="D188" s="287"/>
      <c r="E188" s="288"/>
      <c r="F188" s="478">
        <f>D188+E188</f>
        <v>0</v>
      </c>
      <c r="G188" s="287"/>
      <c r="H188" s="291"/>
      <c r="I188" s="288">
        <f>G188+H188</f>
        <v>0</v>
      </c>
      <c r="J188" s="287"/>
      <c r="K188" s="288"/>
      <c r="L188" s="478">
        <f>J188+K188</f>
        <v>0</v>
      </c>
      <c r="M188" s="287"/>
      <c r="N188" s="291"/>
      <c r="O188" s="478">
        <f>N188+M188</f>
        <v>0</v>
      </c>
      <c r="P188" s="476"/>
      <c r="R188" s="53"/>
      <c r="S188" s="53"/>
    </row>
    <row r="189" spans="1:19" ht="60" hidden="1" x14ac:dyDescent="0.25">
      <c r="A189" s="66">
        <v>3320</v>
      </c>
      <c r="B189" s="116" t="s">
        <v>205</v>
      </c>
      <c r="C189" s="70">
        <f t="shared" si="63"/>
        <v>0</v>
      </c>
      <c r="D189" s="123"/>
      <c r="E189" s="295"/>
      <c r="F189" s="473">
        <f>D189+E189</f>
        <v>0</v>
      </c>
      <c r="G189" s="123"/>
      <c r="H189" s="262"/>
      <c r="I189" s="295">
        <f>G189+H189</f>
        <v>0</v>
      </c>
      <c r="J189" s="123"/>
      <c r="K189" s="295"/>
      <c r="L189" s="473">
        <f>J189+K189</f>
        <v>0</v>
      </c>
      <c r="M189" s="123"/>
      <c r="N189" s="262"/>
      <c r="O189" s="473">
        <f>N189+M189</f>
        <v>0</v>
      </c>
      <c r="P189" s="442"/>
      <c r="R189" s="53"/>
      <c r="S189" s="53"/>
    </row>
    <row r="190" spans="1:19" hidden="1" x14ac:dyDescent="0.25">
      <c r="A190" s="337">
        <v>4000</v>
      </c>
      <c r="B190" s="237" t="s">
        <v>206</v>
      </c>
      <c r="C190" s="709">
        <f t="shared" si="63"/>
        <v>0</v>
      </c>
      <c r="D190" s="466">
        <f t="shared" ref="D190:O190" si="66">SUM(D191,D194)</f>
        <v>0</v>
      </c>
      <c r="E190" s="471">
        <f t="shared" si="66"/>
        <v>0</v>
      </c>
      <c r="F190" s="465">
        <f t="shared" si="66"/>
        <v>0</v>
      </c>
      <c r="G190" s="466">
        <f t="shared" si="66"/>
        <v>0</v>
      </c>
      <c r="H190" s="467">
        <f t="shared" si="66"/>
        <v>0</v>
      </c>
      <c r="I190" s="471">
        <f t="shared" si="66"/>
        <v>0</v>
      </c>
      <c r="J190" s="466">
        <f t="shared" si="66"/>
        <v>0</v>
      </c>
      <c r="K190" s="471">
        <f t="shared" si="66"/>
        <v>0</v>
      </c>
      <c r="L190" s="465">
        <f t="shared" si="66"/>
        <v>0</v>
      </c>
      <c r="M190" s="239">
        <f t="shared" si="66"/>
        <v>0</v>
      </c>
      <c r="N190" s="245">
        <f t="shared" si="66"/>
        <v>0</v>
      </c>
      <c r="O190" s="320">
        <f t="shared" si="66"/>
        <v>0</v>
      </c>
      <c r="P190" s="243"/>
      <c r="R190" s="53"/>
      <c r="S190" s="53"/>
    </row>
    <row r="191" spans="1:19" ht="24" hidden="1" x14ac:dyDescent="0.25">
      <c r="A191" s="338">
        <v>4200</v>
      </c>
      <c r="B191" s="247" t="s">
        <v>207</v>
      </c>
      <c r="C191" s="103">
        <f t="shared" si="63"/>
        <v>0</v>
      </c>
      <c r="D191" s="112">
        <f t="shared" ref="D191:O191" si="67">SUM(D192,D193)</f>
        <v>0</v>
      </c>
      <c r="E191" s="248">
        <f t="shared" si="67"/>
        <v>0</v>
      </c>
      <c r="F191" s="313">
        <f t="shared" si="67"/>
        <v>0</v>
      </c>
      <c r="G191" s="112">
        <f t="shared" si="67"/>
        <v>0</v>
      </c>
      <c r="H191" s="293">
        <f t="shared" si="67"/>
        <v>0</v>
      </c>
      <c r="I191" s="248">
        <f t="shared" si="67"/>
        <v>0</v>
      </c>
      <c r="J191" s="112">
        <f t="shared" si="67"/>
        <v>0</v>
      </c>
      <c r="K191" s="248">
        <f t="shared" si="67"/>
        <v>0</v>
      </c>
      <c r="L191" s="313">
        <f t="shared" si="67"/>
        <v>0</v>
      </c>
      <c r="M191" s="112">
        <f t="shared" si="67"/>
        <v>0</v>
      </c>
      <c r="N191" s="293">
        <f t="shared" si="67"/>
        <v>0</v>
      </c>
      <c r="O191" s="313">
        <f t="shared" si="67"/>
        <v>0</v>
      </c>
      <c r="P191" s="114"/>
      <c r="R191" s="53"/>
      <c r="S191" s="53"/>
    </row>
    <row r="192" spans="1:19" ht="36" hidden="1" x14ac:dyDescent="0.25">
      <c r="A192" s="656">
        <v>4240</v>
      </c>
      <c r="B192" s="116" t="s">
        <v>208</v>
      </c>
      <c r="C192" s="70">
        <f t="shared" si="63"/>
        <v>0</v>
      </c>
      <c r="D192" s="123"/>
      <c r="E192" s="295"/>
      <c r="F192" s="473"/>
      <c r="G192" s="123"/>
      <c r="H192" s="262"/>
      <c r="I192" s="295">
        <f>G192+H192</f>
        <v>0</v>
      </c>
      <c r="J192" s="123"/>
      <c r="K192" s="295"/>
      <c r="L192" s="473">
        <f>J192+K192</f>
        <v>0</v>
      </c>
      <c r="M192" s="123"/>
      <c r="N192" s="262"/>
      <c r="O192" s="473">
        <f>N192+M192</f>
        <v>0</v>
      </c>
      <c r="P192" s="442"/>
      <c r="R192" s="53"/>
      <c r="S192" s="53"/>
    </row>
    <row r="193" spans="1:19" ht="24" hidden="1" x14ac:dyDescent="0.25">
      <c r="A193" s="276">
        <v>4250</v>
      </c>
      <c r="B193" s="127" t="s">
        <v>209</v>
      </c>
      <c r="C193" s="429">
        <f t="shared" si="63"/>
        <v>0</v>
      </c>
      <c r="D193" s="134"/>
      <c r="E193" s="283"/>
      <c r="F193" s="475"/>
      <c r="G193" s="134"/>
      <c r="H193" s="285"/>
      <c r="I193" s="283">
        <f>G193+H193</f>
        <v>0</v>
      </c>
      <c r="J193" s="134"/>
      <c r="K193" s="283"/>
      <c r="L193" s="475">
        <f>J193+K193</f>
        <v>0</v>
      </c>
      <c r="M193" s="134"/>
      <c r="N193" s="285"/>
      <c r="O193" s="475">
        <f>N193+M193</f>
        <v>0</v>
      </c>
      <c r="P193" s="443"/>
      <c r="R193" s="53"/>
      <c r="S193" s="53"/>
    </row>
    <row r="194" spans="1:19" hidden="1" x14ac:dyDescent="0.25">
      <c r="A194" s="99">
        <v>4300</v>
      </c>
      <c r="B194" s="247" t="s">
        <v>210</v>
      </c>
      <c r="C194" s="103">
        <f t="shared" si="63"/>
        <v>0</v>
      </c>
      <c r="D194" s="112">
        <f t="shared" ref="D194:O194" si="68">SUM(D195)</f>
        <v>0</v>
      </c>
      <c r="E194" s="248">
        <f t="shared" si="68"/>
        <v>0</v>
      </c>
      <c r="F194" s="313">
        <f t="shared" si="68"/>
        <v>0</v>
      </c>
      <c r="G194" s="112">
        <f t="shared" si="68"/>
        <v>0</v>
      </c>
      <c r="H194" s="293">
        <f t="shared" si="68"/>
        <v>0</v>
      </c>
      <c r="I194" s="248">
        <f t="shared" si="68"/>
        <v>0</v>
      </c>
      <c r="J194" s="112">
        <f t="shared" si="68"/>
        <v>0</v>
      </c>
      <c r="K194" s="248">
        <f t="shared" si="68"/>
        <v>0</v>
      </c>
      <c r="L194" s="313">
        <f t="shared" si="68"/>
        <v>0</v>
      </c>
      <c r="M194" s="112">
        <f t="shared" si="68"/>
        <v>0</v>
      </c>
      <c r="N194" s="293">
        <f t="shared" si="68"/>
        <v>0</v>
      </c>
      <c r="O194" s="313">
        <f t="shared" si="68"/>
        <v>0</v>
      </c>
      <c r="P194" s="114"/>
      <c r="R194" s="53"/>
      <c r="S194" s="53"/>
    </row>
    <row r="195" spans="1:19" ht="24" hidden="1" x14ac:dyDescent="0.25">
      <c r="A195" s="656">
        <v>4310</v>
      </c>
      <c r="B195" s="116" t="s">
        <v>211</v>
      </c>
      <c r="C195" s="70">
        <f t="shared" si="63"/>
        <v>0</v>
      </c>
      <c r="D195" s="297">
        <f t="shared" ref="D195:O195" si="69">SUM(D196:D196)</f>
        <v>0</v>
      </c>
      <c r="E195" s="298">
        <f t="shared" si="69"/>
        <v>0</v>
      </c>
      <c r="F195" s="263">
        <f t="shared" si="69"/>
        <v>0</v>
      </c>
      <c r="G195" s="297">
        <f t="shared" si="69"/>
        <v>0</v>
      </c>
      <c r="H195" s="301">
        <f t="shared" si="69"/>
        <v>0</v>
      </c>
      <c r="I195" s="298">
        <f t="shared" si="69"/>
        <v>0</v>
      </c>
      <c r="J195" s="297">
        <f t="shared" si="69"/>
        <v>0</v>
      </c>
      <c r="K195" s="298">
        <f t="shared" si="69"/>
        <v>0</v>
      </c>
      <c r="L195" s="263">
        <f t="shared" si="69"/>
        <v>0</v>
      </c>
      <c r="M195" s="297">
        <f t="shared" si="69"/>
        <v>0</v>
      </c>
      <c r="N195" s="301">
        <f t="shared" si="69"/>
        <v>0</v>
      </c>
      <c r="O195" s="263">
        <f t="shared" si="69"/>
        <v>0</v>
      </c>
      <c r="P195" s="125"/>
      <c r="R195" s="53"/>
      <c r="S195" s="53"/>
    </row>
    <row r="196" spans="1:19" ht="36" hidden="1" x14ac:dyDescent="0.25">
      <c r="A196" s="76">
        <v>4311</v>
      </c>
      <c r="B196" s="127" t="s">
        <v>212</v>
      </c>
      <c r="C196" s="429">
        <f t="shared" si="63"/>
        <v>0</v>
      </c>
      <c r="D196" s="134"/>
      <c r="E196" s="283"/>
      <c r="F196" s="475"/>
      <c r="G196" s="134"/>
      <c r="H196" s="285"/>
      <c r="I196" s="283">
        <f>G196+H196</f>
        <v>0</v>
      </c>
      <c r="J196" s="134"/>
      <c r="K196" s="283"/>
      <c r="L196" s="475">
        <f>J196+K196</f>
        <v>0</v>
      </c>
      <c r="M196" s="134"/>
      <c r="N196" s="285"/>
      <c r="O196" s="475">
        <f>N196+M196</f>
        <v>0</v>
      </c>
      <c r="P196" s="443"/>
      <c r="R196" s="53"/>
      <c r="S196" s="53"/>
    </row>
    <row r="197" spans="1:19" s="41" customFormat="1" ht="24" hidden="1" x14ac:dyDescent="0.25">
      <c r="A197" s="339"/>
      <c r="B197" s="31" t="s">
        <v>213</v>
      </c>
      <c r="C197" s="707">
        <f t="shared" si="63"/>
        <v>0</v>
      </c>
      <c r="D197" s="230">
        <f t="shared" ref="D197:O197" si="70">SUM(D198,D233,D271)</f>
        <v>0</v>
      </c>
      <c r="E197" s="231">
        <f t="shared" si="70"/>
        <v>0</v>
      </c>
      <c r="F197" s="459">
        <f t="shared" si="70"/>
        <v>0</v>
      </c>
      <c r="G197" s="230">
        <f t="shared" si="70"/>
        <v>0</v>
      </c>
      <c r="H197" s="235">
        <f t="shared" si="70"/>
        <v>0</v>
      </c>
      <c r="I197" s="231">
        <f t="shared" si="70"/>
        <v>0</v>
      </c>
      <c r="J197" s="230">
        <f t="shared" si="70"/>
        <v>0</v>
      </c>
      <c r="K197" s="231">
        <f t="shared" si="70"/>
        <v>0</v>
      </c>
      <c r="L197" s="459">
        <f t="shared" si="70"/>
        <v>0</v>
      </c>
      <c r="M197" s="493">
        <f t="shared" si="70"/>
        <v>0</v>
      </c>
      <c r="N197" s="235">
        <f t="shared" si="70"/>
        <v>0</v>
      </c>
      <c r="O197" s="459">
        <f t="shared" si="70"/>
        <v>0</v>
      </c>
      <c r="P197" s="234"/>
      <c r="R197" s="53"/>
      <c r="S197" s="53"/>
    </row>
    <row r="198" spans="1:19" hidden="1" x14ac:dyDescent="0.25">
      <c r="A198" s="237">
        <v>5000</v>
      </c>
      <c r="B198" s="237" t="s">
        <v>214</v>
      </c>
      <c r="C198" s="709">
        <f t="shared" si="63"/>
        <v>0</v>
      </c>
      <c r="D198" s="466">
        <f t="shared" ref="D198:O198" si="71">D199+D207</f>
        <v>0</v>
      </c>
      <c r="E198" s="471">
        <f t="shared" si="71"/>
        <v>0</v>
      </c>
      <c r="F198" s="465">
        <f t="shared" si="71"/>
        <v>0</v>
      </c>
      <c r="G198" s="466">
        <f t="shared" si="71"/>
        <v>0</v>
      </c>
      <c r="H198" s="467">
        <f t="shared" si="71"/>
        <v>0</v>
      </c>
      <c r="I198" s="471">
        <f t="shared" si="71"/>
        <v>0</v>
      </c>
      <c r="J198" s="466">
        <f t="shared" si="71"/>
        <v>0</v>
      </c>
      <c r="K198" s="471">
        <f t="shared" si="71"/>
        <v>0</v>
      </c>
      <c r="L198" s="465">
        <f t="shared" si="71"/>
        <v>0</v>
      </c>
      <c r="M198" s="239">
        <f t="shared" si="71"/>
        <v>0</v>
      </c>
      <c r="N198" s="245">
        <f t="shared" si="71"/>
        <v>0</v>
      </c>
      <c r="O198" s="320">
        <f t="shared" si="71"/>
        <v>0</v>
      </c>
      <c r="P198" s="243"/>
      <c r="R198" s="53"/>
      <c r="S198" s="53"/>
    </row>
    <row r="199" spans="1:19" hidden="1" x14ac:dyDescent="0.25">
      <c r="A199" s="99">
        <v>5100</v>
      </c>
      <c r="B199" s="247" t="s">
        <v>215</v>
      </c>
      <c r="C199" s="103">
        <f t="shared" si="63"/>
        <v>0</v>
      </c>
      <c r="D199" s="112">
        <f t="shared" ref="D199:O199" si="72">D200+D201+D204+D205+D206</f>
        <v>0</v>
      </c>
      <c r="E199" s="248">
        <f t="shared" si="72"/>
        <v>0</v>
      </c>
      <c r="F199" s="313">
        <f t="shared" si="72"/>
        <v>0</v>
      </c>
      <c r="G199" s="112">
        <f t="shared" si="72"/>
        <v>0</v>
      </c>
      <c r="H199" s="293">
        <f t="shared" si="72"/>
        <v>0</v>
      </c>
      <c r="I199" s="248">
        <f t="shared" si="72"/>
        <v>0</v>
      </c>
      <c r="J199" s="112">
        <f t="shared" si="72"/>
        <v>0</v>
      </c>
      <c r="K199" s="248">
        <f t="shared" si="72"/>
        <v>0</v>
      </c>
      <c r="L199" s="313">
        <f t="shared" si="72"/>
        <v>0</v>
      </c>
      <c r="M199" s="112">
        <f t="shared" si="72"/>
        <v>0</v>
      </c>
      <c r="N199" s="293">
        <f t="shared" si="72"/>
        <v>0</v>
      </c>
      <c r="O199" s="313">
        <f t="shared" si="72"/>
        <v>0</v>
      </c>
      <c r="P199" s="114"/>
      <c r="R199" s="53"/>
      <c r="S199" s="53"/>
    </row>
    <row r="200" spans="1:19" hidden="1" x14ac:dyDescent="0.25">
      <c r="A200" s="656">
        <v>5110</v>
      </c>
      <c r="B200" s="116" t="s">
        <v>216</v>
      </c>
      <c r="C200" s="70">
        <f t="shared" si="63"/>
        <v>0</v>
      </c>
      <c r="D200" s="123"/>
      <c r="E200" s="295"/>
      <c r="F200" s="473">
        <f>D200+E200</f>
        <v>0</v>
      </c>
      <c r="G200" s="123"/>
      <c r="H200" s="262"/>
      <c r="I200" s="295">
        <f>G200+H200</f>
        <v>0</v>
      </c>
      <c r="J200" s="123"/>
      <c r="K200" s="295"/>
      <c r="L200" s="473">
        <f>J200+K200</f>
        <v>0</v>
      </c>
      <c r="M200" s="123"/>
      <c r="N200" s="262"/>
      <c r="O200" s="473">
        <f>N200+M200</f>
        <v>0</v>
      </c>
      <c r="P200" s="442"/>
      <c r="R200" s="53"/>
      <c r="S200" s="53"/>
    </row>
    <row r="201" spans="1:19" ht="24" hidden="1" x14ac:dyDescent="0.25">
      <c r="A201" s="276">
        <v>5120</v>
      </c>
      <c r="B201" s="127" t="s">
        <v>217</v>
      </c>
      <c r="C201" s="429">
        <f t="shared" si="63"/>
        <v>0</v>
      </c>
      <c r="D201" s="277">
        <f t="shared" ref="D201:O201" si="73">D202+D203</f>
        <v>0</v>
      </c>
      <c r="E201" s="278">
        <f t="shared" si="73"/>
        <v>0</v>
      </c>
      <c r="F201" s="286">
        <f t="shared" si="73"/>
        <v>0</v>
      </c>
      <c r="G201" s="277">
        <f t="shared" si="73"/>
        <v>0</v>
      </c>
      <c r="H201" s="282">
        <f t="shared" si="73"/>
        <v>0</v>
      </c>
      <c r="I201" s="278">
        <f t="shared" si="73"/>
        <v>0</v>
      </c>
      <c r="J201" s="277">
        <f t="shared" si="73"/>
        <v>0</v>
      </c>
      <c r="K201" s="278">
        <f t="shared" si="73"/>
        <v>0</v>
      </c>
      <c r="L201" s="286">
        <f t="shared" si="73"/>
        <v>0</v>
      </c>
      <c r="M201" s="277">
        <f t="shared" si="73"/>
        <v>0</v>
      </c>
      <c r="N201" s="282">
        <f t="shared" si="73"/>
        <v>0</v>
      </c>
      <c r="O201" s="286">
        <f t="shared" si="73"/>
        <v>0</v>
      </c>
      <c r="P201" s="136"/>
      <c r="R201" s="53"/>
      <c r="S201" s="53"/>
    </row>
    <row r="202" spans="1:19" hidden="1" x14ac:dyDescent="0.25">
      <c r="A202" s="76">
        <v>5121</v>
      </c>
      <c r="B202" s="127" t="s">
        <v>218</v>
      </c>
      <c r="C202" s="429">
        <f t="shared" si="63"/>
        <v>0</v>
      </c>
      <c r="D202" s="134"/>
      <c r="E202" s="283"/>
      <c r="F202" s="475">
        <f>D202+E202</f>
        <v>0</v>
      </c>
      <c r="G202" s="134"/>
      <c r="H202" s="285"/>
      <c r="I202" s="283">
        <f>G202+H202</f>
        <v>0</v>
      </c>
      <c r="J202" s="134"/>
      <c r="K202" s="283"/>
      <c r="L202" s="475">
        <f>J202+K202</f>
        <v>0</v>
      </c>
      <c r="M202" s="134"/>
      <c r="N202" s="285"/>
      <c r="O202" s="475">
        <f>N202+M202</f>
        <v>0</v>
      </c>
      <c r="P202" s="443"/>
      <c r="R202" s="53"/>
      <c r="S202" s="53"/>
    </row>
    <row r="203" spans="1:19" ht="36" hidden="1" x14ac:dyDescent="0.25">
      <c r="A203" s="76">
        <v>5129</v>
      </c>
      <c r="B203" s="127" t="s">
        <v>219</v>
      </c>
      <c r="C203" s="429">
        <f t="shared" si="63"/>
        <v>0</v>
      </c>
      <c r="D203" s="134"/>
      <c r="E203" s="283"/>
      <c r="F203" s="475">
        <f>D203+E203</f>
        <v>0</v>
      </c>
      <c r="G203" s="134"/>
      <c r="H203" s="285"/>
      <c r="I203" s="283">
        <f>G203+H203</f>
        <v>0</v>
      </c>
      <c r="J203" s="134"/>
      <c r="K203" s="283"/>
      <c r="L203" s="475">
        <f>J203+K203</f>
        <v>0</v>
      </c>
      <c r="M203" s="134"/>
      <c r="N203" s="285"/>
      <c r="O203" s="475">
        <f>N203+M203</f>
        <v>0</v>
      </c>
      <c r="P203" s="443"/>
      <c r="R203" s="53"/>
      <c r="S203" s="53"/>
    </row>
    <row r="204" spans="1:19" hidden="1" x14ac:dyDescent="0.25">
      <c r="A204" s="276">
        <v>5130</v>
      </c>
      <c r="B204" s="127" t="s">
        <v>220</v>
      </c>
      <c r="C204" s="429">
        <f t="shared" si="63"/>
        <v>0</v>
      </c>
      <c r="D204" s="134"/>
      <c r="E204" s="283"/>
      <c r="F204" s="475">
        <f>D204+E204</f>
        <v>0</v>
      </c>
      <c r="G204" s="134"/>
      <c r="H204" s="285"/>
      <c r="I204" s="283">
        <f>G204+H204</f>
        <v>0</v>
      </c>
      <c r="J204" s="134"/>
      <c r="K204" s="283"/>
      <c r="L204" s="475">
        <f>J204+K204</f>
        <v>0</v>
      </c>
      <c r="M204" s="134"/>
      <c r="N204" s="285"/>
      <c r="O204" s="475">
        <f>N204+M204</f>
        <v>0</v>
      </c>
      <c r="P204" s="443"/>
      <c r="R204" s="53"/>
      <c r="S204" s="53"/>
    </row>
    <row r="205" spans="1:19" hidden="1" x14ac:dyDescent="0.25">
      <c r="A205" s="276">
        <v>5140</v>
      </c>
      <c r="B205" s="127" t="s">
        <v>221</v>
      </c>
      <c r="C205" s="429">
        <f t="shared" si="63"/>
        <v>0</v>
      </c>
      <c r="D205" s="134"/>
      <c r="E205" s="283"/>
      <c r="F205" s="475">
        <f>D205+E205</f>
        <v>0</v>
      </c>
      <c r="G205" s="134"/>
      <c r="H205" s="285"/>
      <c r="I205" s="283">
        <f>G205+H205</f>
        <v>0</v>
      </c>
      <c r="J205" s="134"/>
      <c r="K205" s="283"/>
      <c r="L205" s="475">
        <f>J205+K205</f>
        <v>0</v>
      </c>
      <c r="M205" s="134"/>
      <c r="N205" s="285"/>
      <c r="O205" s="475">
        <f>N205+M205</f>
        <v>0</v>
      </c>
      <c r="P205" s="443"/>
      <c r="R205" s="53"/>
      <c r="S205" s="53"/>
    </row>
    <row r="206" spans="1:19" ht="24" hidden="1" x14ac:dyDescent="0.25">
      <c r="A206" s="276">
        <v>5170</v>
      </c>
      <c r="B206" s="127" t="s">
        <v>222</v>
      </c>
      <c r="C206" s="429">
        <f t="shared" si="63"/>
        <v>0</v>
      </c>
      <c r="D206" s="134"/>
      <c r="E206" s="283"/>
      <c r="F206" s="475">
        <f>D206+E206</f>
        <v>0</v>
      </c>
      <c r="G206" s="134"/>
      <c r="H206" s="285"/>
      <c r="I206" s="283">
        <f>G206+H206</f>
        <v>0</v>
      </c>
      <c r="J206" s="134"/>
      <c r="K206" s="283"/>
      <c r="L206" s="475">
        <f>J206+K206</f>
        <v>0</v>
      </c>
      <c r="M206" s="134"/>
      <c r="N206" s="285"/>
      <c r="O206" s="475">
        <f>N206+M206</f>
        <v>0</v>
      </c>
      <c r="P206" s="443"/>
      <c r="R206" s="53"/>
      <c r="S206" s="53"/>
    </row>
    <row r="207" spans="1:19" hidden="1" x14ac:dyDescent="0.25">
      <c r="A207" s="99">
        <v>5200</v>
      </c>
      <c r="B207" s="247" t="s">
        <v>223</v>
      </c>
      <c r="C207" s="103">
        <f t="shared" si="63"/>
        <v>0</v>
      </c>
      <c r="D207" s="112">
        <f t="shared" ref="D207:O207" si="74">D208+D218+D219+D228+D229+D230+D232</f>
        <v>0</v>
      </c>
      <c r="E207" s="248">
        <f t="shared" si="74"/>
        <v>0</v>
      </c>
      <c r="F207" s="313">
        <f t="shared" si="74"/>
        <v>0</v>
      </c>
      <c r="G207" s="112">
        <f t="shared" si="74"/>
        <v>0</v>
      </c>
      <c r="H207" s="293">
        <f t="shared" si="74"/>
        <v>0</v>
      </c>
      <c r="I207" s="248">
        <f t="shared" si="74"/>
        <v>0</v>
      </c>
      <c r="J207" s="112">
        <f t="shared" si="74"/>
        <v>0</v>
      </c>
      <c r="K207" s="248">
        <f t="shared" si="74"/>
        <v>0</v>
      </c>
      <c r="L207" s="313">
        <f t="shared" si="74"/>
        <v>0</v>
      </c>
      <c r="M207" s="112">
        <f t="shared" si="74"/>
        <v>0</v>
      </c>
      <c r="N207" s="293">
        <f t="shared" si="74"/>
        <v>0</v>
      </c>
      <c r="O207" s="313">
        <f t="shared" si="74"/>
        <v>0</v>
      </c>
      <c r="P207" s="114"/>
      <c r="R207" s="53"/>
      <c r="S207" s="53"/>
    </row>
    <row r="208" spans="1:19" hidden="1" x14ac:dyDescent="0.25">
      <c r="A208" s="254">
        <v>5210</v>
      </c>
      <c r="B208" s="179" t="s">
        <v>224</v>
      </c>
      <c r="C208" s="454">
        <f t="shared" si="63"/>
        <v>0</v>
      </c>
      <c r="D208" s="255">
        <f t="shared" ref="D208:O208" si="75">SUM(D209:D217)</f>
        <v>0</v>
      </c>
      <c r="E208" s="256">
        <f t="shared" si="75"/>
        <v>0</v>
      </c>
      <c r="F208" s="310">
        <f t="shared" si="75"/>
        <v>0</v>
      </c>
      <c r="G208" s="255">
        <f t="shared" si="75"/>
        <v>0</v>
      </c>
      <c r="H208" s="261">
        <f t="shared" si="75"/>
        <v>0</v>
      </c>
      <c r="I208" s="256">
        <f t="shared" si="75"/>
        <v>0</v>
      </c>
      <c r="J208" s="255">
        <f t="shared" si="75"/>
        <v>0</v>
      </c>
      <c r="K208" s="256">
        <f t="shared" si="75"/>
        <v>0</v>
      </c>
      <c r="L208" s="310">
        <f t="shared" si="75"/>
        <v>0</v>
      </c>
      <c r="M208" s="255">
        <f t="shared" si="75"/>
        <v>0</v>
      </c>
      <c r="N208" s="261">
        <f t="shared" si="75"/>
        <v>0</v>
      </c>
      <c r="O208" s="310">
        <f t="shared" si="75"/>
        <v>0</v>
      </c>
      <c r="P208" s="259"/>
      <c r="R208" s="53"/>
      <c r="S208" s="53"/>
    </row>
    <row r="209" spans="1:19" hidden="1" x14ac:dyDescent="0.25">
      <c r="A209" s="66">
        <v>5211</v>
      </c>
      <c r="B209" s="116" t="s">
        <v>225</v>
      </c>
      <c r="C209" s="70">
        <f t="shared" si="63"/>
        <v>0</v>
      </c>
      <c r="D209" s="123"/>
      <c r="E209" s="295"/>
      <c r="F209" s="473">
        <f t="shared" ref="F209:F218" si="76">D209+E209</f>
        <v>0</v>
      </c>
      <c r="G209" s="123"/>
      <c r="H209" s="262"/>
      <c r="I209" s="295">
        <f t="shared" ref="I209:I218" si="77">G209+H209</f>
        <v>0</v>
      </c>
      <c r="J209" s="123"/>
      <c r="K209" s="295"/>
      <c r="L209" s="473">
        <f t="shared" ref="L209:L218" si="78">J209+K209</f>
        <v>0</v>
      </c>
      <c r="M209" s="123"/>
      <c r="N209" s="262"/>
      <c r="O209" s="473">
        <f t="shared" ref="O209:O218" si="79">N209+M209</f>
        <v>0</v>
      </c>
      <c r="P209" s="442"/>
      <c r="R209" s="53"/>
      <c r="S209" s="53"/>
    </row>
    <row r="210" spans="1:19" hidden="1" x14ac:dyDescent="0.25">
      <c r="A210" s="76">
        <v>5212</v>
      </c>
      <c r="B210" s="127" t="s">
        <v>226</v>
      </c>
      <c r="C210" s="429">
        <f t="shared" si="63"/>
        <v>0</v>
      </c>
      <c r="D210" s="134"/>
      <c r="E210" s="283"/>
      <c r="F210" s="475">
        <f t="shared" si="76"/>
        <v>0</v>
      </c>
      <c r="G210" s="134"/>
      <c r="H210" s="285"/>
      <c r="I210" s="283">
        <f t="shared" si="77"/>
        <v>0</v>
      </c>
      <c r="J210" s="134"/>
      <c r="K210" s="283"/>
      <c r="L210" s="475">
        <f t="shared" si="78"/>
        <v>0</v>
      </c>
      <c r="M210" s="134"/>
      <c r="N210" s="285"/>
      <c r="O210" s="475">
        <f t="shared" si="79"/>
        <v>0</v>
      </c>
      <c r="P210" s="443"/>
      <c r="R210" s="53"/>
      <c r="S210" s="53"/>
    </row>
    <row r="211" spans="1:19" hidden="1" x14ac:dyDescent="0.25">
      <c r="A211" s="76">
        <v>5213</v>
      </c>
      <c r="B211" s="127" t="s">
        <v>227</v>
      </c>
      <c r="C211" s="429">
        <f t="shared" si="63"/>
        <v>0</v>
      </c>
      <c r="D211" s="134"/>
      <c r="E211" s="283"/>
      <c r="F211" s="475">
        <f t="shared" si="76"/>
        <v>0</v>
      </c>
      <c r="G211" s="134"/>
      <c r="H211" s="285"/>
      <c r="I211" s="283">
        <f t="shared" si="77"/>
        <v>0</v>
      </c>
      <c r="J211" s="134"/>
      <c r="K211" s="283"/>
      <c r="L211" s="475">
        <f t="shared" si="78"/>
        <v>0</v>
      </c>
      <c r="M211" s="134"/>
      <c r="N211" s="285"/>
      <c r="O211" s="475">
        <f t="shared" si="79"/>
        <v>0</v>
      </c>
      <c r="P211" s="443"/>
      <c r="R211" s="53"/>
      <c r="S211" s="53"/>
    </row>
    <row r="212" spans="1:19" hidden="1" x14ac:dyDescent="0.25">
      <c r="A212" s="76">
        <v>5214</v>
      </c>
      <c r="B212" s="127" t="s">
        <v>228</v>
      </c>
      <c r="C212" s="429">
        <f t="shared" si="63"/>
        <v>0</v>
      </c>
      <c r="D212" s="134"/>
      <c r="E212" s="283"/>
      <c r="F212" s="475">
        <f t="shared" si="76"/>
        <v>0</v>
      </c>
      <c r="G212" s="134"/>
      <c r="H212" s="285"/>
      <c r="I212" s="283">
        <f t="shared" si="77"/>
        <v>0</v>
      </c>
      <c r="J212" s="134"/>
      <c r="K212" s="283"/>
      <c r="L212" s="475">
        <f t="shared" si="78"/>
        <v>0</v>
      </c>
      <c r="M212" s="134"/>
      <c r="N212" s="285"/>
      <c r="O212" s="475">
        <f t="shared" si="79"/>
        <v>0</v>
      </c>
      <c r="P212" s="443"/>
      <c r="R212" s="53"/>
      <c r="S212" s="53"/>
    </row>
    <row r="213" spans="1:19" hidden="1" x14ac:dyDescent="0.25">
      <c r="A213" s="76">
        <v>5215</v>
      </c>
      <c r="B213" s="127" t="s">
        <v>229</v>
      </c>
      <c r="C213" s="429">
        <f t="shared" si="63"/>
        <v>0</v>
      </c>
      <c r="D213" s="134"/>
      <c r="E213" s="283"/>
      <c r="F213" s="475">
        <f t="shared" si="76"/>
        <v>0</v>
      </c>
      <c r="G213" s="134"/>
      <c r="H213" s="285"/>
      <c r="I213" s="283">
        <f t="shared" si="77"/>
        <v>0</v>
      </c>
      <c r="J213" s="134"/>
      <c r="K213" s="283"/>
      <c r="L213" s="475">
        <f t="shared" si="78"/>
        <v>0</v>
      </c>
      <c r="M213" s="134"/>
      <c r="N213" s="285"/>
      <c r="O213" s="475">
        <f t="shared" si="79"/>
        <v>0</v>
      </c>
      <c r="P213" s="443"/>
      <c r="R213" s="53"/>
      <c r="S213" s="53"/>
    </row>
    <row r="214" spans="1:19" ht="24" hidden="1" x14ac:dyDescent="0.25">
      <c r="A214" s="76">
        <v>5216</v>
      </c>
      <c r="B214" s="127" t="s">
        <v>230</v>
      </c>
      <c r="C214" s="429">
        <f t="shared" si="63"/>
        <v>0</v>
      </c>
      <c r="D214" s="134"/>
      <c r="E214" s="283"/>
      <c r="F214" s="475">
        <f t="shared" si="76"/>
        <v>0</v>
      </c>
      <c r="G214" s="134"/>
      <c r="H214" s="285"/>
      <c r="I214" s="283">
        <f t="shared" si="77"/>
        <v>0</v>
      </c>
      <c r="J214" s="134"/>
      <c r="K214" s="283"/>
      <c r="L214" s="475">
        <f t="shared" si="78"/>
        <v>0</v>
      </c>
      <c r="M214" s="134"/>
      <c r="N214" s="285"/>
      <c r="O214" s="475">
        <f t="shared" si="79"/>
        <v>0</v>
      </c>
      <c r="P214" s="443"/>
      <c r="R214" s="53"/>
      <c r="S214" s="53"/>
    </row>
    <row r="215" spans="1:19" hidden="1" x14ac:dyDescent="0.25">
      <c r="A215" s="76">
        <v>5217</v>
      </c>
      <c r="B215" s="127" t="s">
        <v>231</v>
      </c>
      <c r="C215" s="429">
        <f t="shared" si="63"/>
        <v>0</v>
      </c>
      <c r="D215" s="134"/>
      <c r="E215" s="283"/>
      <c r="F215" s="475">
        <f t="shared" si="76"/>
        <v>0</v>
      </c>
      <c r="G215" s="134"/>
      <c r="H215" s="285"/>
      <c r="I215" s="283">
        <f t="shared" si="77"/>
        <v>0</v>
      </c>
      <c r="J215" s="134"/>
      <c r="K215" s="283"/>
      <c r="L215" s="475">
        <f t="shared" si="78"/>
        <v>0</v>
      </c>
      <c r="M215" s="134"/>
      <c r="N215" s="285"/>
      <c r="O215" s="475">
        <f t="shared" si="79"/>
        <v>0</v>
      </c>
      <c r="P215" s="443"/>
      <c r="R215" s="53"/>
      <c r="S215" s="53"/>
    </row>
    <row r="216" spans="1:19" hidden="1" x14ac:dyDescent="0.25">
      <c r="A216" s="76">
        <v>5218</v>
      </c>
      <c r="B216" s="127" t="s">
        <v>232</v>
      </c>
      <c r="C216" s="429">
        <f t="shared" si="63"/>
        <v>0</v>
      </c>
      <c r="D216" s="134"/>
      <c r="E216" s="283"/>
      <c r="F216" s="475">
        <f t="shared" si="76"/>
        <v>0</v>
      </c>
      <c r="G216" s="134"/>
      <c r="H216" s="285"/>
      <c r="I216" s="283">
        <f t="shared" si="77"/>
        <v>0</v>
      </c>
      <c r="J216" s="134"/>
      <c r="K216" s="283"/>
      <c r="L216" s="475">
        <f t="shared" si="78"/>
        <v>0</v>
      </c>
      <c r="M216" s="134"/>
      <c r="N216" s="285"/>
      <c r="O216" s="475">
        <f t="shared" si="79"/>
        <v>0</v>
      </c>
      <c r="P216" s="443"/>
      <c r="R216" s="53"/>
      <c r="S216" s="53"/>
    </row>
    <row r="217" spans="1:19" hidden="1" x14ac:dyDescent="0.25">
      <c r="A217" s="76">
        <v>5219</v>
      </c>
      <c r="B217" s="127" t="s">
        <v>233</v>
      </c>
      <c r="C217" s="429">
        <f t="shared" si="63"/>
        <v>0</v>
      </c>
      <c r="D217" s="134"/>
      <c r="E217" s="283"/>
      <c r="F217" s="475">
        <f t="shared" si="76"/>
        <v>0</v>
      </c>
      <c r="G217" s="134"/>
      <c r="H217" s="285"/>
      <c r="I217" s="283">
        <f t="shared" si="77"/>
        <v>0</v>
      </c>
      <c r="J217" s="134"/>
      <c r="K217" s="283"/>
      <c r="L217" s="475">
        <f t="shared" si="78"/>
        <v>0</v>
      </c>
      <c r="M217" s="134"/>
      <c r="N217" s="285"/>
      <c r="O217" s="475">
        <f t="shared" si="79"/>
        <v>0</v>
      </c>
      <c r="P217" s="443"/>
      <c r="R217" s="53"/>
      <c r="S217" s="53"/>
    </row>
    <row r="218" spans="1:19" ht="13.5" hidden="1" customHeight="1" x14ac:dyDescent="0.25">
      <c r="A218" s="276">
        <v>5220</v>
      </c>
      <c r="B218" s="127" t="s">
        <v>234</v>
      </c>
      <c r="C218" s="429">
        <f t="shared" si="63"/>
        <v>0</v>
      </c>
      <c r="D218" s="134"/>
      <c r="E218" s="283"/>
      <c r="F218" s="475">
        <f t="shared" si="76"/>
        <v>0</v>
      </c>
      <c r="G218" s="134"/>
      <c r="H218" s="285"/>
      <c r="I218" s="283">
        <f t="shared" si="77"/>
        <v>0</v>
      </c>
      <c r="J218" s="134"/>
      <c r="K218" s="283"/>
      <c r="L218" s="475">
        <f t="shared" si="78"/>
        <v>0</v>
      </c>
      <c r="M218" s="134"/>
      <c r="N218" s="285"/>
      <c r="O218" s="475">
        <f t="shared" si="79"/>
        <v>0</v>
      </c>
      <c r="P218" s="443"/>
      <c r="R218" s="53"/>
      <c r="S218" s="53"/>
    </row>
    <row r="219" spans="1:19" hidden="1" x14ac:dyDescent="0.25">
      <c r="A219" s="276">
        <v>5230</v>
      </c>
      <c r="B219" s="127" t="s">
        <v>235</v>
      </c>
      <c r="C219" s="429">
        <f t="shared" si="63"/>
        <v>0</v>
      </c>
      <c r="D219" s="277">
        <f t="shared" ref="D219:O219" si="80">SUM(D220:D227)</f>
        <v>0</v>
      </c>
      <c r="E219" s="278">
        <f t="shared" si="80"/>
        <v>0</v>
      </c>
      <c r="F219" s="286">
        <f t="shared" si="80"/>
        <v>0</v>
      </c>
      <c r="G219" s="277">
        <f t="shared" si="80"/>
        <v>0</v>
      </c>
      <c r="H219" s="282">
        <f t="shared" si="80"/>
        <v>0</v>
      </c>
      <c r="I219" s="278">
        <f t="shared" si="80"/>
        <v>0</v>
      </c>
      <c r="J219" s="277">
        <f t="shared" si="80"/>
        <v>0</v>
      </c>
      <c r="K219" s="278">
        <f t="shared" si="80"/>
        <v>0</v>
      </c>
      <c r="L219" s="286">
        <f t="shared" si="80"/>
        <v>0</v>
      </c>
      <c r="M219" s="277">
        <f t="shared" si="80"/>
        <v>0</v>
      </c>
      <c r="N219" s="282">
        <f t="shared" si="80"/>
        <v>0</v>
      </c>
      <c r="O219" s="286">
        <f t="shared" si="80"/>
        <v>0</v>
      </c>
      <c r="P219" s="136"/>
      <c r="R219" s="53"/>
      <c r="S219" s="53"/>
    </row>
    <row r="220" spans="1:19" hidden="1" x14ac:dyDescent="0.25">
      <c r="A220" s="76">
        <v>5231</v>
      </c>
      <c r="B220" s="127" t="s">
        <v>236</v>
      </c>
      <c r="C220" s="429">
        <f t="shared" si="63"/>
        <v>0</v>
      </c>
      <c r="D220" s="134"/>
      <c r="E220" s="283"/>
      <c r="F220" s="475">
        <f t="shared" ref="F220:F229" si="81">D220+E220</f>
        <v>0</v>
      </c>
      <c r="G220" s="134"/>
      <c r="H220" s="285"/>
      <c r="I220" s="283">
        <f t="shared" ref="I220:I229" si="82">G220+H220</f>
        <v>0</v>
      </c>
      <c r="J220" s="134"/>
      <c r="K220" s="283"/>
      <c r="L220" s="475">
        <f t="shared" ref="L220:L229" si="83">J220+K220</f>
        <v>0</v>
      </c>
      <c r="M220" s="134"/>
      <c r="N220" s="285"/>
      <c r="O220" s="475">
        <f t="shared" ref="O220:O229" si="84">N220+M220</f>
        <v>0</v>
      </c>
      <c r="P220" s="443"/>
      <c r="R220" s="53"/>
      <c r="S220" s="53"/>
    </row>
    <row r="221" spans="1:19" hidden="1" x14ac:dyDescent="0.25">
      <c r="A221" s="76">
        <v>5232</v>
      </c>
      <c r="B221" s="127" t="s">
        <v>237</v>
      </c>
      <c r="C221" s="429">
        <f t="shared" si="63"/>
        <v>0</v>
      </c>
      <c r="D221" s="134"/>
      <c r="E221" s="283"/>
      <c r="F221" s="475">
        <f t="shared" si="81"/>
        <v>0</v>
      </c>
      <c r="G221" s="134"/>
      <c r="H221" s="285"/>
      <c r="I221" s="283">
        <f t="shared" si="82"/>
        <v>0</v>
      </c>
      <c r="J221" s="134"/>
      <c r="K221" s="283"/>
      <c r="L221" s="475">
        <f t="shared" si="83"/>
        <v>0</v>
      </c>
      <c r="M221" s="134"/>
      <c r="N221" s="285"/>
      <c r="O221" s="475">
        <f t="shared" si="84"/>
        <v>0</v>
      </c>
      <c r="P221" s="443"/>
      <c r="R221" s="53"/>
      <c r="S221" s="53"/>
    </row>
    <row r="222" spans="1:19" hidden="1" x14ac:dyDescent="0.25">
      <c r="A222" s="76">
        <v>5233</v>
      </c>
      <c r="B222" s="127" t="s">
        <v>238</v>
      </c>
      <c r="C222" s="429">
        <f t="shared" si="63"/>
        <v>0</v>
      </c>
      <c r="D222" s="134"/>
      <c r="E222" s="283"/>
      <c r="F222" s="475">
        <f t="shared" si="81"/>
        <v>0</v>
      </c>
      <c r="G222" s="134"/>
      <c r="H222" s="285"/>
      <c r="I222" s="283">
        <f t="shared" si="82"/>
        <v>0</v>
      </c>
      <c r="J222" s="134"/>
      <c r="K222" s="283"/>
      <c r="L222" s="475">
        <f t="shared" si="83"/>
        <v>0</v>
      </c>
      <c r="M222" s="134"/>
      <c r="N222" s="285"/>
      <c r="O222" s="475">
        <f t="shared" si="84"/>
        <v>0</v>
      </c>
      <c r="P222" s="443"/>
      <c r="R222" s="53"/>
      <c r="S222" s="53"/>
    </row>
    <row r="223" spans="1:19" ht="24" hidden="1" x14ac:dyDescent="0.25">
      <c r="A223" s="76">
        <v>5234</v>
      </c>
      <c r="B223" s="127" t="s">
        <v>239</v>
      </c>
      <c r="C223" s="429">
        <f t="shared" si="63"/>
        <v>0</v>
      </c>
      <c r="D223" s="134"/>
      <c r="E223" s="283"/>
      <c r="F223" s="475">
        <f t="shared" si="81"/>
        <v>0</v>
      </c>
      <c r="G223" s="134"/>
      <c r="H223" s="285"/>
      <c r="I223" s="283">
        <f t="shared" si="82"/>
        <v>0</v>
      </c>
      <c r="J223" s="134"/>
      <c r="K223" s="283"/>
      <c r="L223" s="475">
        <f t="shared" si="83"/>
        <v>0</v>
      </c>
      <c r="M223" s="134"/>
      <c r="N223" s="285"/>
      <c r="O223" s="475">
        <f t="shared" si="84"/>
        <v>0</v>
      </c>
      <c r="P223" s="443"/>
      <c r="R223" s="53"/>
      <c r="S223" s="53"/>
    </row>
    <row r="224" spans="1:19" ht="14.25" hidden="1" customHeight="1" x14ac:dyDescent="0.25">
      <c r="A224" s="76">
        <v>5236</v>
      </c>
      <c r="B224" s="127" t="s">
        <v>240</v>
      </c>
      <c r="C224" s="429">
        <f t="shared" si="63"/>
        <v>0</v>
      </c>
      <c r="D224" s="134"/>
      <c r="E224" s="283"/>
      <c r="F224" s="475">
        <f t="shared" si="81"/>
        <v>0</v>
      </c>
      <c r="G224" s="134"/>
      <c r="H224" s="285"/>
      <c r="I224" s="283">
        <f t="shared" si="82"/>
        <v>0</v>
      </c>
      <c r="J224" s="134"/>
      <c r="K224" s="283"/>
      <c r="L224" s="475">
        <f t="shared" si="83"/>
        <v>0</v>
      </c>
      <c r="M224" s="134"/>
      <c r="N224" s="285"/>
      <c r="O224" s="475">
        <f t="shared" si="84"/>
        <v>0</v>
      </c>
      <c r="P224" s="443"/>
      <c r="R224" s="53"/>
      <c r="S224" s="53"/>
    </row>
    <row r="225" spans="1:19" ht="14.25" hidden="1" customHeight="1" x14ac:dyDescent="0.25">
      <c r="A225" s="76">
        <v>5237</v>
      </c>
      <c r="B225" s="127" t="s">
        <v>241</v>
      </c>
      <c r="C225" s="429">
        <f t="shared" si="63"/>
        <v>0</v>
      </c>
      <c r="D225" s="134"/>
      <c r="E225" s="283"/>
      <c r="F225" s="475">
        <f t="shared" si="81"/>
        <v>0</v>
      </c>
      <c r="G225" s="134"/>
      <c r="H225" s="285"/>
      <c r="I225" s="283">
        <f t="shared" si="82"/>
        <v>0</v>
      </c>
      <c r="J225" s="134"/>
      <c r="K225" s="283"/>
      <c r="L225" s="475">
        <f t="shared" si="83"/>
        <v>0</v>
      </c>
      <c r="M225" s="134"/>
      <c r="N225" s="285"/>
      <c r="O225" s="475">
        <f t="shared" si="84"/>
        <v>0</v>
      </c>
      <c r="P225" s="443"/>
      <c r="R225" s="53"/>
      <c r="S225" s="53"/>
    </row>
    <row r="226" spans="1:19" ht="24" hidden="1" x14ac:dyDescent="0.25">
      <c r="A226" s="76">
        <v>5238</v>
      </c>
      <c r="B226" s="127" t="s">
        <v>242</v>
      </c>
      <c r="C226" s="429">
        <f t="shared" si="63"/>
        <v>0</v>
      </c>
      <c r="D226" s="134"/>
      <c r="E226" s="283"/>
      <c r="F226" s="475">
        <f t="shared" si="81"/>
        <v>0</v>
      </c>
      <c r="G226" s="134"/>
      <c r="H226" s="285"/>
      <c r="I226" s="283">
        <f t="shared" si="82"/>
        <v>0</v>
      </c>
      <c r="J226" s="134"/>
      <c r="K226" s="283"/>
      <c r="L226" s="475">
        <f t="shared" si="83"/>
        <v>0</v>
      </c>
      <c r="M226" s="134"/>
      <c r="N226" s="285"/>
      <c r="O226" s="475">
        <f t="shared" si="84"/>
        <v>0</v>
      </c>
      <c r="P226" s="443"/>
      <c r="R226" s="53"/>
      <c r="S226" s="53"/>
    </row>
    <row r="227" spans="1:19" ht="24" hidden="1" x14ac:dyDescent="0.25">
      <c r="A227" s="76">
        <v>5239</v>
      </c>
      <c r="B227" s="127" t="s">
        <v>243</v>
      </c>
      <c r="C227" s="429">
        <f t="shared" si="63"/>
        <v>0</v>
      </c>
      <c r="D227" s="134"/>
      <c r="E227" s="283"/>
      <c r="F227" s="475">
        <f t="shared" si="81"/>
        <v>0</v>
      </c>
      <c r="G227" s="134"/>
      <c r="H227" s="285"/>
      <c r="I227" s="283">
        <f t="shared" si="82"/>
        <v>0</v>
      </c>
      <c r="J227" s="134"/>
      <c r="K227" s="283"/>
      <c r="L227" s="475">
        <f t="shared" si="83"/>
        <v>0</v>
      </c>
      <c r="M227" s="134"/>
      <c r="N227" s="285"/>
      <c r="O227" s="475">
        <f t="shared" si="84"/>
        <v>0</v>
      </c>
      <c r="P227" s="443"/>
      <c r="R227" s="53"/>
      <c r="S227" s="53"/>
    </row>
    <row r="228" spans="1:19" ht="24" hidden="1" x14ac:dyDescent="0.25">
      <c r="A228" s="276">
        <v>5240</v>
      </c>
      <c r="B228" s="127" t="s">
        <v>244</v>
      </c>
      <c r="C228" s="429">
        <f t="shared" si="63"/>
        <v>0</v>
      </c>
      <c r="D228" s="134"/>
      <c r="E228" s="283"/>
      <c r="F228" s="475">
        <f t="shared" si="81"/>
        <v>0</v>
      </c>
      <c r="G228" s="134"/>
      <c r="H228" s="285"/>
      <c r="I228" s="283">
        <f t="shared" si="82"/>
        <v>0</v>
      </c>
      <c r="J228" s="134"/>
      <c r="K228" s="283"/>
      <c r="L228" s="475">
        <f t="shared" si="83"/>
        <v>0</v>
      </c>
      <c r="M228" s="134"/>
      <c r="N228" s="285"/>
      <c r="O228" s="475">
        <f t="shared" si="84"/>
        <v>0</v>
      </c>
      <c r="P228" s="443"/>
      <c r="R228" s="53"/>
      <c r="S228" s="53"/>
    </row>
    <row r="229" spans="1:19" hidden="1" x14ac:dyDescent="0.25">
      <c r="A229" s="276">
        <v>5250</v>
      </c>
      <c r="B229" s="127" t="s">
        <v>245</v>
      </c>
      <c r="C229" s="429">
        <f t="shared" si="63"/>
        <v>0</v>
      </c>
      <c r="D229" s="134"/>
      <c r="E229" s="283"/>
      <c r="F229" s="475">
        <f t="shared" si="81"/>
        <v>0</v>
      </c>
      <c r="G229" s="134"/>
      <c r="H229" s="285"/>
      <c r="I229" s="283">
        <f t="shared" si="82"/>
        <v>0</v>
      </c>
      <c r="J229" s="134"/>
      <c r="K229" s="283"/>
      <c r="L229" s="475">
        <f t="shared" si="83"/>
        <v>0</v>
      </c>
      <c r="M229" s="134"/>
      <c r="N229" s="285"/>
      <c r="O229" s="475">
        <f t="shared" si="84"/>
        <v>0</v>
      </c>
      <c r="P229" s="443"/>
      <c r="R229" s="53"/>
      <c r="S229" s="53"/>
    </row>
    <row r="230" spans="1:19" hidden="1" x14ac:dyDescent="0.25">
      <c r="A230" s="276">
        <v>5260</v>
      </c>
      <c r="B230" s="127" t="s">
        <v>246</v>
      </c>
      <c r="C230" s="429">
        <f t="shared" si="63"/>
        <v>0</v>
      </c>
      <c r="D230" s="277">
        <f t="shared" ref="D230:O230" si="85">SUM(D231)</f>
        <v>0</v>
      </c>
      <c r="E230" s="278">
        <f t="shared" si="85"/>
        <v>0</v>
      </c>
      <c r="F230" s="286">
        <f t="shared" si="85"/>
        <v>0</v>
      </c>
      <c r="G230" s="277">
        <f t="shared" si="85"/>
        <v>0</v>
      </c>
      <c r="H230" s="282">
        <f t="shared" si="85"/>
        <v>0</v>
      </c>
      <c r="I230" s="278">
        <f t="shared" si="85"/>
        <v>0</v>
      </c>
      <c r="J230" s="277">
        <f t="shared" si="85"/>
        <v>0</v>
      </c>
      <c r="K230" s="278">
        <f t="shared" si="85"/>
        <v>0</v>
      </c>
      <c r="L230" s="286">
        <f t="shared" si="85"/>
        <v>0</v>
      </c>
      <c r="M230" s="277">
        <f t="shared" si="85"/>
        <v>0</v>
      </c>
      <c r="N230" s="282">
        <f t="shared" si="85"/>
        <v>0</v>
      </c>
      <c r="O230" s="286">
        <f t="shared" si="85"/>
        <v>0</v>
      </c>
      <c r="P230" s="136"/>
      <c r="R230" s="53"/>
      <c r="S230" s="53"/>
    </row>
    <row r="231" spans="1:19" ht="24" hidden="1" x14ac:dyDescent="0.25">
      <c r="A231" s="76">
        <v>5269</v>
      </c>
      <c r="B231" s="127" t="s">
        <v>247</v>
      </c>
      <c r="C231" s="429">
        <f t="shared" si="63"/>
        <v>0</v>
      </c>
      <c r="D231" s="134"/>
      <c r="E231" s="283"/>
      <c r="F231" s="475">
        <f>D231+E231</f>
        <v>0</v>
      </c>
      <c r="G231" s="134"/>
      <c r="H231" s="285"/>
      <c r="I231" s="283">
        <f>G231+H231</f>
        <v>0</v>
      </c>
      <c r="J231" s="134"/>
      <c r="K231" s="283"/>
      <c r="L231" s="475">
        <f>J231+K231</f>
        <v>0</v>
      </c>
      <c r="M231" s="134"/>
      <c r="N231" s="285"/>
      <c r="O231" s="475">
        <f>N231+M231</f>
        <v>0</v>
      </c>
      <c r="P231" s="443"/>
      <c r="R231" s="53"/>
      <c r="S231" s="53"/>
    </row>
    <row r="232" spans="1:19" ht="24" hidden="1" x14ac:dyDescent="0.25">
      <c r="A232" s="254">
        <v>5270</v>
      </c>
      <c r="B232" s="179" t="s">
        <v>248</v>
      </c>
      <c r="C232" s="454">
        <f t="shared" si="63"/>
        <v>0</v>
      </c>
      <c r="D232" s="287"/>
      <c r="E232" s="288"/>
      <c r="F232" s="478">
        <f>D232+E232</f>
        <v>0</v>
      </c>
      <c r="G232" s="287"/>
      <c r="H232" s="291"/>
      <c r="I232" s="288">
        <f>G232+H232</f>
        <v>0</v>
      </c>
      <c r="J232" s="287"/>
      <c r="K232" s="288"/>
      <c r="L232" s="478">
        <f>J232+K232</f>
        <v>0</v>
      </c>
      <c r="M232" s="287"/>
      <c r="N232" s="291"/>
      <c r="O232" s="478">
        <f>N232+M232</f>
        <v>0</v>
      </c>
      <c r="P232" s="476"/>
      <c r="R232" s="53"/>
      <c r="S232" s="53"/>
    </row>
    <row r="233" spans="1:19" hidden="1" x14ac:dyDescent="0.25">
      <c r="A233" s="237">
        <v>6000</v>
      </c>
      <c r="B233" s="237" t="s">
        <v>249</v>
      </c>
      <c r="C233" s="709">
        <f t="shared" si="63"/>
        <v>0</v>
      </c>
      <c r="D233" s="466">
        <f t="shared" ref="D233:O233" si="86">D234+D254+D261</f>
        <v>0</v>
      </c>
      <c r="E233" s="471">
        <f t="shared" si="86"/>
        <v>0</v>
      </c>
      <c r="F233" s="465">
        <f t="shared" si="86"/>
        <v>0</v>
      </c>
      <c r="G233" s="466">
        <f t="shared" si="86"/>
        <v>0</v>
      </c>
      <c r="H233" s="467">
        <f t="shared" si="86"/>
        <v>0</v>
      </c>
      <c r="I233" s="471">
        <f t="shared" si="86"/>
        <v>0</v>
      </c>
      <c r="J233" s="466">
        <f t="shared" si="86"/>
        <v>0</v>
      </c>
      <c r="K233" s="471">
        <f t="shared" si="86"/>
        <v>0</v>
      </c>
      <c r="L233" s="465">
        <f t="shared" si="86"/>
        <v>0</v>
      </c>
      <c r="M233" s="239">
        <f t="shared" si="86"/>
        <v>0</v>
      </c>
      <c r="N233" s="245">
        <f t="shared" si="86"/>
        <v>0</v>
      </c>
      <c r="O233" s="320">
        <f t="shared" si="86"/>
        <v>0</v>
      </c>
      <c r="P233" s="243"/>
      <c r="R233" s="53"/>
      <c r="S233" s="53"/>
    </row>
    <row r="234" spans="1:19" ht="14.25" hidden="1" customHeight="1" x14ac:dyDescent="0.25">
      <c r="A234" s="160">
        <v>6200</v>
      </c>
      <c r="B234" s="321" t="s">
        <v>250</v>
      </c>
      <c r="C234" s="163">
        <f t="shared" si="63"/>
        <v>0</v>
      </c>
      <c r="D234" s="334">
        <f t="shared" ref="D234:O234" si="87">SUM(D235,D236,D238,D241,D247,D248,D249)</f>
        <v>0</v>
      </c>
      <c r="E234" s="684">
        <f t="shared" si="87"/>
        <v>0</v>
      </c>
      <c r="F234" s="335">
        <f t="shared" si="87"/>
        <v>0</v>
      </c>
      <c r="G234" s="334">
        <f t="shared" si="87"/>
        <v>0</v>
      </c>
      <c r="H234" s="251">
        <f t="shared" si="87"/>
        <v>0</v>
      </c>
      <c r="I234" s="684">
        <f t="shared" si="87"/>
        <v>0</v>
      </c>
      <c r="J234" s="334">
        <f t="shared" si="87"/>
        <v>0</v>
      </c>
      <c r="K234" s="684">
        <f t="shared" si="87"/>
        <v>0</v>
      </c>
      <c r="L234" s="335">
        <f t="shared" si="87"/>
        <v>0</v>
      </c>
      <c r="M234" s="334">
        <f t="shared" si="87"/>
        <v>0</v>
      </c>
      <c r="N234" s="251">
        <f t="shared" si="87"/>
        <v>0</v>
      </c>
      <c r="O234" s="335">
        <f t="shared" si="87"/>
        <v>0</v>
      </c>
      <c r="P234" s="252"/>
      <c r="R234" s="53"/>
      <c r="S234" s="53"/>
    </row>
    <row r="235" spans="1:19" ht="24" hidden="1" x14ac:dyDescent="0.25">
      <c r="A235" s="656">
        <v>6220</v>
      </c>
      <c r="B235" s="116" t="s">
        <v>251</v>
      </c>
      <c r="C235" s="70">
        <f t="shared" si="63"/>
        <v>0</v>
      </c>
      <c r="D235" s="123"/>
      <c r="E235" s="295"/>
      <c r="F235" s="473">
        <f>D235+E235</f>
        <v>0</v>
      </c>
      <c r="G235" s="123"/>
      <c r="H235" s="262"/>
      <c r="I235" s="295">
        <f>G235+H235</f>
        <v>0</v>
      </c>
      <c r="J235" s="123"/>
      <c r="K235" s="295"/>
      <c r="L235" s="473">
        <f>J235+K235</f>
        <v>0</v>
      </c>
      <c r="M235" s="123"/>
      <c r="N235" s="262"/>
      <c r="O235" s="473">
        <f>N235+M235</f>
        <v>0</v>
      </c>
      <c r="P235" s="442"/>
      <c r="R235" s="53"/>
      <c r="S235" s="53"/>
    </row>
    <row r="236" spans="1:19" hidden="1" x14ac:dyDescent="0.25">
      <c r="A236" s="276">
        <v>6230</v>
      </c>
      <c r="B236" s="127" t="s">
        <v>252</v>
      </c>
      <c r="C236" s="429">
        <f t="shared" si="63"/>
        <v>0</v>
      </c>
      <c r="D236" s="277">
        <f t="shared" ref="D236:O236" si="88">SUM(D237)</f>
        <v>0</v>
      </c>
      <c r="E236" s="278">
        <f t="shared" si="88"/>
        <v>0</v>
      </c>
      <c r="F236" s="286">
        <f t="shared" si="88"/>
        <v>0</v>
      </c>
      <c r="G236" s="277">
        <f t="shared" si="88"/>
        <v>0</v>
      </c>
      <c r="H236" s="282">
        <f t="shared" si="88"/>
        <v>0</v>
      </c>
      <c r="I236" s="278">
        <f t="shared" si="88"/>
        <v>0</v>
      </c>
      <c r="J236" s="277">
        <f t="shared" si="88"/>
        <v>0</v>
      </c>
      <c r="K236" s="278">
        <f t="shared" si="88"/>
        <v>0</v>
      </c>
      <c r="L236" s="286">
        <f t="shared" si="88"/>
        <v>0</v>
      </c>
      <c r="M236" s="277">
        <f t="shared" si="88"/>
        <v>0</v>
      </c>
      <c r="N236" s="282">
        <f t="shared" si="88"/>
        <v>0</v>
      </c>
      <c r="O236" s="286">
        <f t="shared" si="88"/>
        <v>0</v>
      </c>
      <c r="P236" s="136"/>
      <c r="R236" s="53"/>
      <c r="S236" s="53"/>
    </row>
    <row r="237" spans="1:19" ht="24" hidden="1" x14ac:dyDescent="0.25">
      <c r="A237" s="76">
        <v>6239</v>
      </c>
      <c r="B237" s="116" t="s">
        <v>253</v>
      </c>
      <c r="C237" s="429">
        <f t="shared" si="63"/>
        <v>0</v>
      </c>
      <c r="D237" s="123"/>
      <c r="E237" s="295"/>
      <c r="F237" s="473">
        <f>D237+E237</f>
        <v>0</v>
      </c>
      <c r="G237" s="123"/>
      <c r="H237" s="262"/>
      <c r="I237" s="295">
        <f>G237+H237</f>
        <v>0</v>
      </c>
      <c r="J237" s="123"/>
      <c r="K237" s="295"/>
      <c r="L237" s="473">
        <f>J237+K237</f>
        <v>0</v>
      </c>
      <c r="M237" s="123"/>
      <c r="N237" s="262"/>
      <c r="O237" s="473">
        <f>N237+M237</f>
        <v>0</v>
      </c>
      <c r="P237" s="442"/>
      <c r="R237" s="53"/>
      <c r="S237" s="53"/>
    </row>
    <row r="238" spans="1:19" ht="24" hidden="1" x14ac:dyDescent="0.25">
      <c r="A238" s="276">
        <v>6240</v>
      </c>
      <c r="B238" s="127" t="s">
        <v>254</v>
      </c>
      <c r="C238" s="429">
        <f t="shared" si="63"/>
        <v>0</v>
      </c>
      <c r="D238" s="277">
        <f t="shared" ref="D238:O238" si="89">SUM(D239:D240)</f>
        <v>0</v>
      </c>
      <c r="E238" s="278">
        <f t="shared" si="89"/>
        <v>0</v>
      </c>
      <c r="F238" s="286">
        <f t="shared" si="89"/>
        <v>0</v>
      </c>
      <c r="G238" s="277">
        <f t="shared" si="89"/>
        <v>0</v>
      </c>
      <c r="H238" s="282">
        <f t="shared" si="89"/>
        <v>0</v>
      </c>
      <c r="I238" s="278">
        <f t="shared" si="89"/>
        <v>0</v>
      </c>
      <c r="J238" s="277">
        <f t="shared" si="89"/>
        <v>0</v>
      </c>
      <c r="K238" s="278">
        <f t="shared" si="89"/>
        <v>0</v>
      </c>
      <c r="L238" s="286">
        <f t="shared" si="89"/>
        <v>0</v>
      </c>
      <c r="M238" s="277">
        <f t="shared" si="89"/>
        <v>0</v>
      </c>
      <c r="N238" s="282">
        <f t="shared" si="89"/>
        <v>0</v>
      </c>
      <c r="O238" s="286">
        <f t="shared" si="89"/>
        <v>0</v>
      </c>
      <c r="P238" s="136"/>
      <c r="R238" s="53"/>
      <c r="S238" s="53"/>
    </row>
    <row r="239" spans="1:19" hidden="1" x14ac:dyDescent="0.25">
      <c r="A239" s="76">
        <v>6241</v>
      </c>
      <c r="B239" s="127" t="s">
        <v>255</v>
      </c>
      <c r="C239" s="429">
        <f t="shared" si="63"/>
        <v>0</v>
      </c>
      <c r="D239" s="134"/>
      <c r="E239" s="283"/>
      <c r="F239" s="475">
        <f>D239+E239</f>
        <v>0</v>
      </c>
      <c r="G239" s="134"/>
      <c r="H239" s="285"/>
      <c r="I239" s="283">
        <f>G239+H239</f>
        <v>0</v>
      </c>
      <c r="J239" s="134"/>
      <c r="K239" s="283"/>
      <c r="L239" s="475">
        <f>J239+K239</f>
        <v>0</v>
      </c>
      <c r="M239" s="134"/>
      <c r="N239" s="285"/>
      <c r="O239" s="475">
        <f>N239+M239</f>
        <v>0</v>
      </c>
      <c r="P239" s="443"/>
      <c r="R239" s="53"/>
      <c r="S239" s="53"/>
    </row>
    <row r="240" spans="1:19" hidden="1" x14ac:dyDescent="0.25">
      <c r="A240" s="76">
        <v>6242</v>
      </c>
      <c r="B240" s="127" t="s">
        <v>256</v>
      </c>
      <c r="C240" s="429">
        <f t="shared" si="63"/>
        <v>0</v>
      </c>
      <c r="D240" s="134"/>
      <c r="E240" s="283"/>
      <c r="F240" s="475">
        <f>D240+E240</f>
        <v>0</v>
      </c>
      <c r="G240" s="134"/>
      <c r="H240" s="285"/>
      <c r="I240" s="283">
        <f>G240+H240</f>
        <v>0</v>
      </c>
      <c r="J240" s="134"/>
      <c r="K240" s="283"/>
      <c r="L240" s="475">
        <f>J240+K240</f>
        <v>0</v>
      </c>
      <c r="M240" s="134"/>
      <c r="N240" s="285"/>
      <c r="O240" s="475">
        <f>N240+M240</f>
        <v>0</v>
      </c>
      <c r="P240" s="443"/>
      <c r="R240" s="53"/>
      <c r="S240" s="53"/>
    </row>
    <row r="241" spans="1:19" ht="25.5" hidden="1" customHeight="1" x14ac:dyDescent="0.25">
      <c r="A241" s="276">
        <v>6250</v>
      </c>
      <c r="B241" s="127" t="s">
        <v>257</v>
      </c>
      <c r="C241" s="429">
        <f t="shared" si="63"/>
        <v>0</v>
      </c>
      <c r="D241" s="277">
        <f t="shared" ref="D241:O241" si="90">SUM(D242:D246)</f>
        <v>0</v>
      </c>
      <c r="E241" s="278">
        <f t="shared" si="90"/>
        <v>0</v>
      </c>
      <c r="F241" s="286">
        <f t="shared" si="90"/>
        <v>0</v>
      </c>
      <c r="G241" s="277">
        <f t="shared" si="90"/>
        <v>0</v>
      </c>
      <c r="H241" s="282">
        <f t="shared" si="90"/>
        <v>0</v>
      </c>
      <c r="I241" s="278">
        <f t="shared" si="90"/>
        <v>0</v>
      </c>
      <c r="J241" s="277">
        <f t="shared" si="90"/>
        <v>0</v>
      </c>
      <c r="K241" s="278">
        <f t="shared" si="90"/>
        <v>0</v>
      </c>
      <c r="L241" s="286">
        <f t="shared" si="90"/>
        <v>0</v>
      </c>
      <c r="M241" s="277">
        <f t="shared" si="90"/>
        <v>0</v>
      </c>
      <c r="N241" s="282">
        <f t="shared" si="90"/>
        <v>0</v>
      </c>
      <c r="O241" s="286">
        <f t="shared" si="90"/>
        <v>0</v>
      </c>
      <c r="P241" s="136"/>
      <c r="R241" s="53"/>
      <c r="S241" s="53"/>
    </row>
    <row r="242" spans="1:19" ht="14.25" hidden="1" customHeight="1" x14ac:dyDescent="0.25">
      <c r="A242" s="76">
        <v>6252</v>
      </c>
      <c r="B242" s="127" t="s">
        <v>258</v>
      </c>
      <c r="C242" s="429">
        <f t="shared" si="63"/>
        <v>0</v>
      </c>
      <c r="D242" s="134"/>
      <c r="E242" s="283"/>
      <c r="F242" s="475">
        <f t="shared" ref="F242:F248" si="91">D242+E242</f>
        <v>0</v>
      </c>
      <c r="G242" s="134"/>
      <c r="H242" s="285"/>
      <c r="I242" s="283">
        <f t="shared" ref="I242:I248" si="92">G242+H242</f>
        <v>0</v>
      </c>
      <c r="J242" s="134"/>
      <c r="K242" s="283"/>
      <c r="L242" s="475">
        <f t="shared" ref="L242:L248" si="93">J242+K242</f>
        <v>0</v>
      </c>
      <c r="M242" s="134"/>
      <c r="N242" s="285"/>
      <c r="O242" s="475">
        <f t="shared" ref="O242:O248" si="94">N242+M242</f>
        <v>0</v>
      </c>
      <c r="P242" s="443"/>
      <c r="R242" s="53"/>
      <c r="S242" s="53"/>
    </row>
    <row r="243" spans="1:19" ht="14.25" hidden="1" customHeight="1" x14ac:dyDescent="0.25">
      <c r="A243" s="76">
        <v>6253</v>
      </c>
      <c r="B243" s="127" t="s">
        <v>259</v>
      </c>
      <c r="C243" s="429">
        <f t="shared" si="63"/>
        <v>0</v>
      </c>
      <c r="D243" s="134"/>
      <c r="E243" s="283"/>
      <c r="F243" s="475">
        <f t="shared" si="91"/>
        <v>0</v>
      </c>
      <c r="G243" s="134"/>
      <c r="H243" s="285"/>
      <c r="I243" s="283">
        <f t="shared" si="92"/>
        <v>0</v>
      </c>
      <c r="J243" s="134"/>
      <c r="K243" s="283"/>
      <c r="L243" s="475">
        <f t="shared" si="93"/>
        <v>0</v>
      </c>
      <c r="M243" s="134"/>
      <c r="N243" s="285"/>
      <c r="O243" s="475">
        <f t="shared" si="94"/>
        <v>0</v>
      </c>
      <c r="P243" s="443"/>
      <c r="R243" s="53"/>
      <c r="S243" s="53"/>
    </row>
    <row r="244" spans="1:19" ht="24" hidden="1" x14ac:dyDescent="0.25">
      <c r="A244" s="76">
        <v>6254</v>
      </c>
      <c r="B244" s="127" t="s">
        <v>260</v>
      </c>
      <c r="C244" s="429">
        <f t="shared" si="63"/>
        <v>0</v>
      </c>
      <c r="D244" s="134"/>
      <c r="E244" s="283"/>
      <c r="F244" s="475">
        <f t="shared" si="91"/>
        <v>0</v>
      </c>
      <c r="G244" s="134"/>
      <c r="H244" s="285"/>
      <c r="I244" s="283">
        <f t="shared" si="92"/>
        <v>0</v>
      </c>
      <c r="J244" s="134"/>
      <c r="K244" s="283"/>
      <c r="L244" s="475">
        <f t="shared" si="93"/>
        <v>0</v>
      </c>
      <c r="M244" s="134"/>
      <c r="N244" s="285"/>
      <c r="O244" s="475">
        <f t="shared" si="94"/>
        <v>0</v>
      </c>
      <c r="P244" s="443"/>
      <c r="R244" s="53"/>
      <c r="S244" s="53"/>
    </row>
    <row r="245" spans="1:19" ht="24" hidden="1" x14ac:dyDescent="0.25">
      <c r="A245" s="76">
        <v>6255</v>
      </c>
      <c r="B245" s="127" t="s">
        <v>261</v>
      </c>
      <c r="C245" s="429">
        <f t="shared" ref="C245:C299" si="95">SUM(F245,I245,L245,O245)</f>
        <v>0</v>
      </c>
      <c r="D245" s="134"/>
      <c r="E245" s="283"/>
      <c r="F245" s="475">
        <f t="shared" si="91"/>
        <v>0</v>
      </c>
      <c r="G245" s="134"/>
      <c r="H245" s="285"/>
      <c r="I245" s="283">
        <f t="shared" si="92"/>
        <v>0</v>
      </c>
      <c r="J245" s="134"/>
      <c r="K245" s="283"/>
      <c r="L245" s="475">
        <f t="shared" si="93"/>
        <v>0</v>
      </c>
      <c r="M245" s="134"/>
      <c r="N245" s="285"/>
      <c r="O245" s="475">
        <f t="shared" si="94"/>
        <v>0</v>
      </c>
      <c r="P245" s="443"/>
      <c r="R245" s="53"/>
      <c r="S245" s="53"/>
    </row>
    <row r="246" spans="1:19" hidden="1" x14ac:dyDescent="0.25">
      <c r="A246" s="76">
        <v>6259</v>
      </c>
      <c r="B246" s="127" t="s">
        <v>262</v>
      </c>
      <c r="C246" s="429">
        <f t="shared" si="95"/>
        <v>0</v>
      </c>
      <c r="D246" s="134"/>
      <c r="E246" s="283"/>
      <c r="F246" s="475">
        <f t="shared" si="91"/>
        <v>0</v>
      </c>
      <c r="G246" s="134"/>
      <c r="H246" s="285"/>
      <c r="I246" s="283">
        <f t="shared" si="92"/>
        <v>0</v>
      </c>
      <c r="J246" s="134"/>
      <c r="K246" s="283"/>
      <c r="L246" s="475">
        <f t="shared" si="93"/>
        <v>0</v>
      </c>
      <c r="M246" s="134"/>
      <c r="N246" s="285"/>
      <c r="O246" s="475">
        <f t="shared" si="94"/>
        <v>0</v>
      </c>
      <c r="P246" s="443"/>
      <c r="R246" s="53"/>
      <c r="S246" s="53"/>
    </row>
    <row r="247" spans="1:19" ht="36" hidden="1" x14ac:dyDescent="0.25">
      <c r="A247" s="276">
        <v>6260</v>
      </c>
      <c r="B247" s="127" t="s">
        <v>263</v>
      </c>
      <c r="C247" s="429">
        <f t="shared" si="95"/>
        <v>0</v>
      </c>
      <c r="D247" s="134"/>
      <c r="E247" s="283"/>
      <c r="F247" s="475">
        <f t="shared" si="91"/>
        <v>0</v>
      </c>
      <c r="G247" s="134"/>
      <c r="H247" s="285"/>
      <c r="I247" s="283">
        <f t="shared" si="92"/>
        <v>0</v>
      </c>
      <c r="J247" s="134"/>
      <c r="K247" s="283"/>
      <c r="L247" s="475">
        <f t="shared" si="93"/>
        <v>0</v>
      </c>
      <c r="M247" s="134"/>
      <c r="N247" s="285"/>
      <c r="O247" s="475">
        <f t="shared" si="94"/>
        <v>0</v>
      </c>
      <c r="P247" s="443"/>
      <c r="R247" s="53"/>
      <c r="S247" s="53"/>
    </row>
    <row r="248" spans="1:19" hidden="1" x14ac:dyDescent="0.25">
      <c r="A248" s="276">
        <v>6270</v>
      </c>
      <c r="B248" s="127" t="s">
        <v>264</v>
      </c>
      <c r="C248" s="429">
        <f t="shared" si="95"/>
        <v>0</v>
      </c>
      <c r="D248" s="134"/>
      <c r="E248" s="283"/>
      <c r="F248" s="475">
        <f t="shared" si="91"/>
        <v>0</v>
      </c>
      <c r="G248" s="134"/>
      <c r="H248" s="285"/>
      <c r="I248" s="283">
        <f t="shared" si="92"/>
        <v>0</v>
      </c>
      <c r="J248" s="134"/>
      <c r="K248" s="283"/>
      <c r="L248" s="475">
        <f t="shared" si="93"/>
        <v>0</v>
      </c>
      <c r="M248" s="134"/>
      <c r="N248" s="285"/>
      <c r="O248" s="475">
        <f t="shared" si="94"/>
        <v>0</v>
      </c>
      <c r="P248" s="443"/>
      <c r="R248" s="53"/>
      <c r="S248" s="53"/>
    </row>
    <row r="249" spans="1:19" ht="24" hidden="1" x14ac:dyDescent="0.25">
      <c r="A249" s="656">
        <v>6290</v>
      </c>
      <c r="B249" s="116" t="s">
        <v>265</v>
      </c>
      <c r="C249" s="713">
        <f t="shared" si="95"/>
        <v>0</v>
      </c>
      <c r="D249" s="297">
        <f t="shared" ref="D249:O249" si="96">SUM(D250:D253)</f>
        <v>0</v>
      </c>
      <c r="E249" s="298">
        <f t="shared" si="96"/>
        <v>0</v>
      </c>
      <c r="F249" s="263">
        <f t="shared" si="96"/>
        <v>0</v>
      </c>
      <c r="G249" s="297">
        <f t="shared" si="96"/>
        <v>0</v>
      </c>
      <c r="H249" s="301">
        <f t="shared" si="96"/>
        <v>0</v>
      </c>
      <c r="I249" s="298">
        <f t="shared" si="96"/>
        <v>0</v>
      </c>
      <c r="J249" s="297">
        <f t="shared" si="96"/>
        <v>0</v>
      </c>
      <c r="K249" s="298">
        <f t="shared" si="96"/>
        <v>0</v>
      </c>
      <c r="L249" s="263">
        <f t="shared" si="96"/>
        <v>0</v>
      </c>
      <c r="M249" s="490">
        <f t="shared" si="96"/>
        <v>0</v>
      </c>
      <c r="N249" s="301">
        <f t="shared" si="96"/>
        <v>0</v>
      </c>
      <c r="O249" s="263">
        <f t="shared" si="96"/>
        <v>0</v>
      </c>
      <c r="P249" s="125"/>
      <c r="R249" s="53"/>
      <c r="S249" s="53"/>
    </row>
    <row r="250" spans="1:19" hidden="1" x14ac:dyDescent="0.25">
      <c r="A250" s="76">
        <v>6291</v>
      </c>
      <c r="B250" s="127" t="s">
        <v>266</v>
      </c>
      <c r="C250" s="429">
        <f t="shared" si="95"/>
        <v>0</v>
      </c>
      <c r="D250" s="134"/>
      <c r="E250" s="283"/>
      <c r="F250" s="475">
        <f>D250+E250</f>
        <v>0</v>
      </c>
      <c r="G250" s="134"/>
      <c r="H250" s="285"/>
      <c r="I250" s="283">
        <f>G250+H250</f>
        <v>0</v>
      </c>
      <c r="J250" s="134"/>
      <c r="K250" s="283"/>
      <c r="L250" s="475">
        <f>J250+K250</f>
        <v>0</v>
      </c>
      <c r="M250" s="134"/>
      <c r="N250" s="285"/>
      <c r="O250" s="475">
        <f>N250+M250</f>
        <v>0</v>
      </c>
      <c r="P250" s="443"/>
      <c r="R250" s="53"/>
      <c r="S250" s="53"/>
    </row>
    <row r="251" spans="1:19" hidden="1" x14ac:dyDescent="0.25">
      <c r="A251" s="76">
        <v>6292</v>
      </c>
      <c r="B251" s="127" t="s">
        <v>267</v>
      </c>
      <c r="C251" s="429">
        <f t="shared" si="95"/>
        <v>0</v>
      </c>
      <c r="D251" s="134"/>
      <c r="E251" s="283"/>
      <c r="F251" s="475">
        <f>D251+E251</f>
        <v>0</v>
      </c>
      <c r="G251" s="134"/>
      <c r="H251" s="285"/>
      <c r="I251" s="283">
        <f>G251+H251</f>
        <v>0</v>
      </c>
      <c r="J251" s="134"/>
      <c r="K251" s="283"/>
      <c r="L251" s="475">
        <f>J251+K251</f>
        <v>0</v>
      </c>
      <c r="M251" s="134"/>
      <c r="N251" s="285"/>
      <c r="O251" s="475">
        <f>N251+M251</f>
        <v>0</v>
      </c>
      <c r="P251" s="443"/>
      <c r="R251" s="53"/>
      <c r="S251" s="53"/>
    </row>
    <row r="252" spans="1:19" ht="84" hidden="1" x14ac:dyDescent="0.25">
      <c r="A252" s="76">
        <v>6296</v>
      </c>
      <c r="B252" s="127" t="s">
        <v>268</v>
      </c>
      <c r="C252" s="429">
        <f t="shared" si="95"/>
        <v>0</v>
      </c>
      <c r="D252" s="134"/>
      <c r="E252" s="283"/>
      <c r="F252" s="475">
        <f>D252+E252</f>
        <v>0</v>
      </c>
      <c r="G252" s="134"/>
      <c r="H252" s="285"/>
      <c r="I252" s="283">
        <f>G252+H252</f>
        <v>0</v>
      </c>
      <c r="J252" s="134"/>
      <c r="K252" s="283"/>
      <c r="L252" s="475">
        <f>J252+K252</f>
        <v>0</v>
      </c>
      <c r="M252" s="134"/>
      <c r="N252" s="285"/>
      <c r="O252" s="475">
        <f>N252+M252</f>
        <v>0</v>
      </c>
      <c r="P252" s="443"/>
      <c r="R252" s="53"/>
      <c r="S252" s="53"/>
    </row>
    <row r="253" spans="1:19" ht="39.75" hidden="1" customHeight="1" x14ac:dyDescent="0.25">
      <c r="A253" s="76">
        <v>6299</v>
      </c>
      <c r="B253" s="127" t="s">
        <v>269</v>
      </c>
      <c r="C253" s="429">
        <f t="shared" si="95"/>
        <v>0</v>
      </c>
      <c r="D253" s="134"/>
      <c r="E253" s="283"/>
      <c r="F253" s="475">
        <f>D253+E253</f>
        <v>0</v>
      </c>
      <c r="G253" s="134"/>
      <c r="H253" s="285"/>
      <c r="I253" s="283">
        <f>G253+H253</f>
        <v>0</v>
      </c>
      <c r="J253" s="134"/>
      <c r="K253" s="283"/>
      <c r="L253" s="475">
        <f>J253+K253</f>
        <v>0</v>
      </c>
      <c r="M253" s="134"/>
      <c r="N253" s="285"/>
      <c r="O253" s="475">
        <f>N253+M253</f>
        <v>0</v>
      </c>
      <c r="P253" s="443"/>
      <c r="R253" s="53"/>
      <c r="S253" s="53"/>
    </row>
    <row r="254" spans="1:19" hidden="1" x14ac:dyDescent="0.25">
      <c r="A254" s="99">
        <v>6300</v>
      </c>
      <c r="B254" s="247" t="s">
        <v>270</v>
      </c>
      <c r="C254" s="103">
        <f t="shared" si="95"/>
        <v>0</v>
      </c>
      <c r="D254" s="112">
        <f t="shared" ref="D254:O254" si="97">SUM(D255,D259,D260)</f>
        <v>0</v>
      </c>
      <c r="E254" s="248">
        <f t="shared" si="97"/>
        <v>0</v>
      </c>
      <c r="F254" s="313">
        <f t="shared" si="97"/>
        <v>0</v>
      </c>
      <c r="G254" s="112">
        <f t="shared" si="97"/>
        <v>0</v>
      </c>
      <c r="H254" s="293">
        <f t="shared" si="97"/>
        <v>0</v>
      </c>
      <c r="I254" s="248">
        <f t="shared" si="97"/>
        <v>0</v>
      </c>
      <c r="J254" s="112">
        <f t="shared" si="97"/>
        <v>0</v>
      </c>
      <c r="K254" s="248">
        <f t="shared" si="97"/>
        <v>0</v>
      </c>
      <c r="L254" s="313">
        <f t="shared" si="97"/>
        <v>0</v>
      </c>
      <c r="M254" s="360">
        <f t="shared" si="97"/>
        <v>0</v>
      </c>
      <c r="N254" s="293">
        <f t="shared" si="97"/>
        <v>0</v>
      </c>
      <c r="O254" s="313">
        <f t="shared" si="97"/>
        <v>0</v>
      </c>
      <c r="P254" s="114"/>
      <c r="R254" s="53"/>
      <c r="S254" s="53"/>
    </row>
    <row r="255" spans="1:19" ht="24" hidden="1" x14ac:dyDescent="0.25">
      <c r="A255" s="656">
        <v>6320</v>
      </c>
      <c r="B255" s="116" t="s">
        <v>271</v>
      </c>
      <c r="C255" s="713">
        <f t="shared" si="95"/>
        <v>0</v>
      </c>
      <c r="D255" s="297">
        <f t="shared" ref="D255:O255" si="98">SUM(D256:D258)</f>
        <v>0</v>
      </c>
      <c r="E255" s="298">
        <f t="shared" si="98"/>
        <v>0</v>
      </c>
      <c r="F255" s="263">
        <f t="shared" si="98"/>
        <v>0</v>
      </c>
      <c r="G255" s="297">
        <f t="shared" si="98"/>
        <v>0</v>
      </c>
      <c r="H255" s="301">
        <f t="shared" si="98"/>
        <v>0</v>
      </c>
      <c r="I255" s="298">
        <f t="shared" si="98"/>
        <v>0</v>
      </c>
      <c r="J255" s="297">
        <f t="shared" si="98"/>
        <v>0</v>
      </c>
      <c r="K255" s="298">
        <f t="shared" si="98"/>
        <v>0</v>
      </c>
      <c r="L255" s="263">
        <f t="shared" si="98"/>
        <v>0</v>
      </c>
      <c r="M255" s="297">
        <f t="shared" si="98"/>
        <v>0</v>
      </c>
      <c r="N255" s="301">
        <f t="shared" si="98"/>
        <v>0</v>
      </c>
      <c r="O255" s="263">
        <f t="shared" si="98"/>
        <v>0</v>
      </c>
      <c r="P255" s="125"/>
      <c r="R255" s="53"/>
      <c r="S255" s="53"/>
    </row>
    <row r="256" spans="1:19" hidden="1" x14ac:dyDescent="0.25">
      <c r="A256" s="76">
        <v>6322</v>
      </c>
      <c r="B256" s="127" t="s">
        <v>272</v>
      </c>
      <c r="C256" s="429">
        <f t="shared" si="95"/>
        <v>0</v>
      </c>
      <c r="D256" s="134"/>
      <c r="E256" s="283"/>
      <c r="F256" s="475">
        <f>D256+E256</f>
        <v>0</v>
      </c>
      <c r="G256" s="134"/>
      <c r="H256" s="285"/>
      <c r="I256" s="283">
        <f>G256+H256</f>
        <v>0</v>
      </c>
      <c r="J256" s="134"/>
      <c r="K256" s="283"/>
      <c r="L256" s="475">
        <f>J256+K256</f>
        <v>0</v>
      </c>
      <c r="M256" s="134"/>
      <c r="N256" s="285"/>
      <c r="O256" s="475">
        <f>N256+M256</f>
        <v>0</v>
      </c>
      <c r="P256" s="443"/>
      <c r="R256" s="53"/>
      <c r="S256" s="53"/>
    </row>
    <row r="257" spans="1:19" ht="24" hidden="1" x14ac:dyDescent="0.25">
      <c r="A257" s="76">
        <v>6323</v>
      </c>
      <c r="B257" s="127" t="s">
        <v>273</v>
      </c>
      <c r="C257" s="429">
        <f t="shared" si="95"/>
        <v>0</v>
      </c>
      <c r="D257" s="134"/>
      <c r="E257" s="283"/>
      <c r="F257" s="475">
        <f>D257+E257</f>
        <v>0</v>
      </c>
      <c r="G257" s="134"/>
      <c r="H257" s="285"/>
      <c r="I257" s="283">
        <f>G257+H257</f>
        <v>0</v>
      </c>
      <c r="J257" s="134"/>
      <c r="K257" s="283"/>
      <c r="L257" s="475">
        <f>J257+K257</f>
        <v>0</v>
      </c>
      <c r="M257" s="134"/>
      <c r="N257" s="285"/>
      <c r="O257" s="475">
        <f>N257+M257</f>
        <v>0</v>
      </c>
      <c r="P257" s="443"/>
      <c r="R257" s="53"/>
      <c r="S257" s="53"/>
    </row>
    <row r="258" spans="1:19" ht="24" hidden="1" x14ac:dyDescent="0.25">
      <c r="A258" s="66">
        <v>6324</v>
      </c>
      <c r="B258" s="116" t="s">
        <v>274</v>
      </c>
      <c r="C258" s="70">
        <f t="shared" si="95"/>
        <v>0</v>
      </c>
      <c r="D258" s="123"/>
      <c r="E258" s="295"/>
      <c r="F258" s="473">
        <f>D258+E258</f>
        <v>0</v>
      </c>
      <c r="G258" s="123"/>
      <c r="H258" s="262"/>
      <c r="I258" s="295">
        <f>G258+H258</f>
        <v>0</v>
      </c>
      <c r="J258" s="123"/>
      <c r="K258" s="295"/>
      <c r="L258" s="473">
        <f>J258+K258</f>
        <v>0</v>
      </c>
      <c r="M258" s="123"/>
      <c r="N258" s="262"/>
      <c r="O258" s="473">
        <f>N258+M258</f>
        <v>0</v>
      </c>
      <c r="P258" s="442"/>
      <c r="R258" s="53"/>
      <c r="S258" s="53"/>
    </row>
    <row r="259" spans="1:19" ht="24" hidden="1" x14ac:dyDescent="0.25">
      <c r="A259" s="344">
        <v>6330</v>
      </c>
      <c r="B259" s="345" t="s">
        <v>275</v>
      </c>
      <c r="C259" s="713">
        <f t="shared" si="95"/>
        <v>0</v>
      </c>
      <c r="D259" s="328"/>
      <c r="E259" s="683"/>
      <c r="F259" s="492">
        <f>D259+E259</f>
        <v>0</v>
      </c>
      <c r="G259" s="328"/>
      <c r="H259" s="329"/>
      <c r="I259" s="683">
        <f>G259+H259</f>
        <v>0</v>
      </c>
      <c r="J259" s="328"/>
      <c r="K259" s="683"/>
      <c r="L259" s="492">
        <f>J259+K259</f>
        <v>0</v>
      </c>
      <c r="M259" s="328"/>
      <c r="N259" s="329"/>
      <c r="O259" s="492">
        <f>N259+M259</f>
        <v>0</v>
      </c>
      <c r="P259" s="491"/>
      <c r="R259" s="53"/>
      <c r="S259" s="53"/>
    </row>
    <row r="260" spans="1:19" hidden="1" x14ac:dyDescent="0.25">
      <c r="A260" s="276">
        <v>6360</v>
      </c>
      <c r="B260" s="127" t="s">
        <v>276</v>
      </c>
      <c r="C260" s="429">
        <f t="shared" si="95"/>
        <v>0</v>
      </c>
      <c r="D260" s="134"/>
      <c r="E260" s="283"/>
      <c r="F260" s="475">
        <f>D260+E260</f>
        <v>0</v>
      </c>
      <c r="G260" s="134"/>
      <c r="H260" s="285"/>
      <c r="I260" s="283">
        <f>G260+H260</f>
        <v>0</v>
      </c>
      <c r="J260" s="134"/>
      <c r="K260" s="283"/>
      <c r="L260" s="475">
        <f>J260+K260</f>
        <v>0</v>
      </c>
      <c r="M260" s="134"/>
      <c r="N260" s="285"/>
      <c r="O260" s="475">
        <f>N260+M260</f>
        <v>0</v>
      </c>
      <c r="P260" s="443"/>
      <c r="R260" s="53"/>
      <c r="S260" s="53"/>
    </row>
    <row r="261" spans="1:19" ht="36" hidden="1" x14ac:dyDescent="0.25">
      <c r="A261" s="99">
        <v>6400</v>
      </c>
      <c r="B261" s="247" t="s">
        <v>277</v>
      </c>
      <c r="C261" s="103">
        <f t="shared" si="95"/>
        <v>0</v>
      </c>
      <c r="D261" s="112">
        <f t="shared" ref="D261:O261" si="99">SUM(D262,D266)</f>
        <v>0</v>
      </c>
      <c r="E261" s="248">
        <f t="shared" si="99"/>
        <v>0</v>
      </c>
      <c r="F261" s="313">
        <f t="shared" si="99"/>
        <v>0</v>
      </c>
      <c r="G261" s="112">
        <f t="shared" si="99"/>
        <v>0</v>
      </c>
      <c r="H261" s="293">
        <f t="shared" si="99"/>
        <v>0</v>
      </c>
      <c r="I261" s="248">
        <f t="shared" si="99"/>
        <v>0</v>
      </c>
      <c r="J261" s="112">
        <f t="shared" si="99"/>
        <v>0</v>
      </c>
      <c r="K261" s="248">
        <f t="shared" si="99"/>
        <v>0</v>
      </c>
      <c r="L261" s="313">
        <f t="shared" si="99"/>
        <v>0</v>
      </c>
      <c r="M261" s="360">
        <f t="shared" si="99"/>
        <v>0</v>
      </c>
      <c r="N261" s="293">
        <f t="shared" si="99"/>
        <v>0</v>
      </c>
      <c r="O261" s="313">
        <f t="shared" si="99"/>
        <v>0</v>
      </c>
      <c r="P261" s="114"/>
      <c r="R261" s="53"/>
      <c r="S261" s="53"/>
    </row>
    <row r="262" spans="1:19" ht="24" hidden="1" x14ac:dyDescent="0.25">
      <c r="A262" s="656">
        <v>6410</v>
      </c>
      <c r="B262" s="116" t="s">
        <v>278</v>
      </c>
      <c r="C262" s="70">
        <f t="shared" si="95"/>
        <v>0</v>
      </c>
      <c r="D262" s="297">
        <f t="shared" ref="D262:O262" si="100">SUM(D263:D265)</f>
        <v>0</v>
      </c>
      <c r="E262" s="298">
        <f t="shared" si="100"/>
        <v>0</v>
      </c>
      <c r="F262" s="263">
        <f t="shared" si="100"/>
        <v>0</v>
      </c>
      <c r="G262" s="297">
        <f t="shared" si="100"/>
        <v>0</v>
      </c>
      <c r="H262" s="301">
        <f t="shared" si="100"/>
        <v>0</v>
      </c>
      <c r="I262" s="298">
        <f t="shared" si="100"/>
        <v>0</v>
      </c>
      <c r="J262" s="297">
        <f t="shared" si="100"/>
        <v>0</v>
      </c>
      <c r="K262" s="298">
        <f t="shared" si="100"/>
        <v>0</v>
      </c>
      <c r="L262" s="263">
        <f t="shared" si="100"/>
        <v>0</v>
      </c>
      <c r="M262" s="308">
        <f t="shared" si="100"/>
        <v>0</v>
      </c>
      <c r="N262" s="301">
        <f t="shared" si="100"/>
        <v>0</v>
      </c>
      <c r="O262" s="263">
        <f t="shared" si="100"/>
        <v>0</v>
      </c>
      <c r="P262" s="125"/>
      <c r="R262" s="53"/>
      <c r="S262" s="53"/>
    </row>
    <row r="263" spans="1:19" hidden="1" x14ac:dyDescent="0.25">
      <c r="A263" s="76">
        <v>6411</v>
      </c>
      <c r="B263" s="346" t="s">
        <v>279</v>
      </c>
      <c r="C263" s="429">
        <f t="shared" si="95"/>
        <v>0</v>
      </c>
      <c r="D263" s="134"/>
      <c r="E263" s="283"/>
      <c r="F263" s="475">
        <f>D263+E263</f>
        <v>0</v>
      </c>
      <c r="G263" s="134"/>
      <c r="H263" s="285"/>
      <c r="I263" s="283">
        <f>G263+H263</f>
        <v>0</v>
      </c>
      <c r="J263" s="134"/>
      <c r="K263" s="283"/>
      <c r="L263" s="475">
        <f>J263+K263</f>
        <v>0</v>
      </c>
      <c r="M263" s="134"/>
      <c r="N263" s="285"/>
      <c r="O263" s="475">
        <f>N263+M263</f>
        <v>0</v>
      </c>
      <c r="P263" s="443"/>
      <c r="R263" s="53"/>
      <c r="S263" s="53"/>
    </row>
    <row r="264" spans="1:19" ht="48" hidden="1" x14ac:dyDescent="0.25">
      <c r="A264" s="76">
        <v>6412</v>
      </c>
      <c r="B264" s="127" t="s">
        <v>280</v>
      </c>
      <c r="C264" s="429">
        <f t="shared" si="95"/>
        <v>0</v>
      </c>
      <c r="D264" s="134"/>
      <c r="E264" s="283"/>
      <c r="F264" s="475">
        <f>D264+E264</f>
        <v>0</v>
      </c>
      <c r="G264" s="134"/>
      <c r="H264" s="285"/>
      <c r="I264" s="283">
        <f>G264+H264</f>
        <v>0</v>
      </c>
      <c r="J264" s="134"/>
      <c r="K264" s="283"/>
      <c r="L264" s="475">
        <f>J264+K264</f>
        <v>0</v>
      </c>
      <c r="M264" s="134"/>
      <c r="N264" s="285"/>
      <c r="O264" s="475">
        <f>N264+M264</f>
        <v>0</v>
      </c>
      <c r="P264" s="443"/>
      <c r="R264" s="53"/>
      <c r="S264" s="53"/>
    </row>
    <row r="265" spans="1:19" ht="36" hidden="1" x14ac:dyDescent="0.25">
      <c r="A265" s="76">
        <v>6419</v>
      </c>
      <c r="B265" s="127" t="s">
        <v>281</v>
      </c>
      <c r="C265" s="429">
        <f t="shared" si="95"/>
        <v>0</v>
      </c>
      <c r="D265" s="134"/>
      <c r="E265" s="283"/>
      <c r="F265" s="475">
        <f>D265+E265</f>
        <v>0</v>
      </c>
      <c r="G265" s="134"/>
      <c r="H265" s="285"/>
      <c r="I265" s="283">
        <f>G265+H265</f>
        <v>0</v>
      </c>
      <c r="J265" s="134"/>
      <c r="K265" s="283"/>
      <c r="L265" s="475">
        <f>J265+K265</f>
        <v>0</v>
      </c>
      <c r="M265" s="134"/>
      <c r="N265" s="285"/>
      <c r="O265" s="475">
        <f>N265+M265</f>
        <v>0</v>
      </c>
      <c r="P265" s="443"/>
      <c r="R265" s="53"/>
      <c r="S265" s="53"/>
    </row>
    <row r="266" spans="1:19" ht="36" hidden="1" x14ac:dyDescent="0.25">
      <c r="A266" s="276">
        <v>6420</v>
      </c>
      <c r="B266" s="127" t="s">
        <v>282</v>
      </c>
      <c r="C266" s="429">
        <f t="shared" si="95"/>
        <v>0</v>
      </c>
      <c r="D266" s="277">
        <f t="shared" ref="D266:O266" si="101">SUM(D267:D270)</f>
        <v>0</v>
      </c>
      <c r="E266" s="278">
        <f t="shared" si="101"/>
        <v>0</v>
      </c>
      <c r="F266" s="286">
        <f t="shared" si="101"/>
        <v>0</v>
      </c>
      <c r="G266" s="277">
        <f t="shared" si="101"/>
        <v>0</v>
      </c>
      <c r="H266" s="282">
        <f t="shared" si="101"/>
        <v>0</v>
      </c>
      <c r="I266" s="278">
        <f t="shared" si="101"/>
        <v>0</v>
      </c>
      <c r="J266" s="277">
        <f t="shared" si="101"/>
        <v>0</v>
      </c>
      <c r="K266" s="278">
        <f t="shared" si="101"/>
        <v>0</v>
      </c>
      <c r="L266" s="286">
        <f t="shared" si="101"/>
        <v>0</v>
      </c>
      <c r="M266" s="277">
        <f t="shared" si="101"/>
        <v>0</v>
      </c>
      <c r="N266" s="282">
        <f t="shared" si="101"/>
        <v>0</v>
      </c>
      <c r="O266" s="286">
        <f t="shared" si="101"/>
        <v>0</v>
      </c>
      <c r="P266" s="136"/>
      <c r="R266" s="53"/>
      <c r="S266" s="53"/>
    </row>
    <row r="267" spans="1:19" hidden="1" x14ac:dyDescent="0.25">
      <c r="A267" s="76">
        <v>6421</v>
      </c>
      <c r="B267" s="127" t="s">
        <v>283</v>
      </c>
      <c r="C267" s="429">
        <f t="shared" si="95"/>
        <v>0</v>
      </c>
      <c r="D267" s="134"/>
      <c r="E267" s="283"/>
      <c r="F267" s="475">
        <f>D267+E267</f>
        <v>0</v>
      </c>
      <c r="G267" s="134"/>
      <c r="H267" s="285"/>
      <c r="I267" s="283">
        <f>G267+H267</f>
        <v>0</v>
      </c>
      <c r="J267" s="134"/>
      <c r="K267" s="283"/>
      <c r="L267" s="475">
        <f>J267+K267</f>
        <v>0</v>
      </c>
      <c r="M267" s="134"/>
      <c r="N267" s="285"/>
      <c r="O267" s="475">
        <f>N267+M267</f>
        <v>0</v>
      </c>
      <c r="P267" s="443"/>
      <c r="R267" s="53"/>
      <c r="S267" s="53"/>
    </row>
    <row r="268" spans="1:19" hidden="1" x14ac:dyDescent="0.25">
      <c r="A268" s="76">
        <v>6422</v>
      </c>
      <c r="B268" s="127" t="s">
        <v>284</v>
      </c>
      <c r="C268" s="429">
        <f t="shared" si="95"/>
        <v>0</v>
      </c>
      <c r="D268" s="134"/>
      <c r="E268" s="283"/>
      <c r="F268" s="475">
        <f>D268+E268</f>
        <v>0</v>
      </c>
      <c r="G268" s="134"/>
      <c r="H268" s="285"/>
      <c r="I268" s="283">
        <f>G268+H268</f>
        <v>0</v>
      </c>
      <c r="J268" s="134"/>
      <c r="K268" s="283"/>
      <c r="L268" s="475">
        <f>J268+K268</f>
        <v>0</v>
      </c>
      <c r="M268" s="134"/>
      <c r="N268" s="285"/>
      <c r="O268" s="475">
        <f>N268+M268</f>
        <v>0</v>
      </c>
      <c r="P268" s="443"/>
      <c r="R268" s="53"/>
      <c r="S268" s="53"/>
    </row>
    <row r="269" spans="1:19" ht="24" hidden="1" x14ac:dyDescent="0.25">
      <c r="A269" s="76">
        <v>6423</v>
      </c>
      <c r="B269" s="127" t="s">
        <v>285</v>
      </c>
      <c r="C269" s="429">
        <f t="shared" si="95"/>
        <v>0</v>
      </c>
      <c r="D269" s="134"/>
      <c r="E269" s="283"/>
      <c r="F269" s="475">
        <f>D269+E269</f>
        <v>0</v>
      </c>
      <c r="G269" s="134"/>
      <c r="H269" s="285"/>
      <c r="I269" s="283">
        <f>G269+H269</f>
        <v>0</v>
      </c>
      <c r="J269" s="134"/>
      <c r="K269" s="283"/>
      <c r="L269" s="475">
        <f>J269+K269</f>
        <v>0</v>
      </c>
      <c r="M269" s="134"/>
      <c r="N269" s="285"/>
      <c r="O269" s="475">
        <f>N269+M269</f>
        <v>0</v>
      </c>
      <c r="P269" s="443"/>
      <c r="R269" s="53"/>
      <c r="S269" s="53"/>
    </row>
    <row r="270" spans="1:19" ht="36" hidden="1" x14ac:dyDescent="0.25">
      <c r="A270" s="76">
        <v>6424</v>
      </c>
      <c r="B270" s="127" t="s">
        <v>286</v>
      </c>
      <c r="C270" s="429">
        <f t="shared" si="95"/>
        <v>0</v>
      </c>
      <c r="D270" s="134"/>
      <c r="E270" s="283"/>
      <c r="F270" s="475">
        <f>D270+E270</f>
        <v>0</v>
      </c>
      <c r="G270" s="134"/>
      <c r="H270" s="285"/>
      <c r="I270" s="283">
        <f>G270+H270</f>
        <v>0</v>
      </c>
      <c r="J270" s="134"/>
      <c r="K270" s="283"/>
      <c r="L270" s="475">
        <f>J270+K270</f>
        <v>0</v>
      </c>
      <c r="M270" s="134"/>
      <c r="N270" s="285"/>
      <c r="O270" s="475">
        <f>N270+M270</f>
        <v>0</v>
      </c>
      <c r="P270" s="443"/>
      <c r="Q270" s="358"/>
      <c r="R270" s="53"/>
      <c r="S270" s="53"/>
    </row>
    <row r="271" spans="1:19" ht="36" hidden="1" x14ac:dyDescent="0.25">
      <c r="A271" s="347">
        <v>7000</v>
      </c>
      <c r="B271" s="347" t="s">
        <v>287</v>
      </c>
      <c r="C271" s="714">
        <f t="shared" si="95"/>
        <v>0</v>
      </c>
      <c r="D271" s="496">
        <f t="shared" ref="D271:O271" si="102">SUM(D272,D282)</f>
        <v>0</v>
      </c>
      <c r="E271" s="715">
        <f t="shared" si="102"/>
        <v>0</v>
      </c>
      <c r="F271" s="495">
        <f t="shared" si="102"/>
        <v>0</v>
      </c>
      <c r="G271" s="496">
        <f t="shared" si="102"/>
        <v>0</v>
      </c>
      <c r="H271" s="497">
        <f t="shared" si="102"/>
        <v>0</v>
      </c>
      <c r="I271" s="715">
        <f t="shared" si="102"/>
        <v>0</v>
      </c>
      <c r="J271" s="496">
        <f t="shared" si="102"/>
        <v>0</v>
      </c>
      <c r="K271" s="715">
        <f t="shared" si="102"/>
        <v>0</v>
      </c>
      <c r="L271" s="495">
        <f t="shared" si="102"/>
        <v>0</v>
      </c>
      <c r="M271" s="501">
        <f t="shared" si="102"/>
        <v>0</v>
      </c>
      <c r="N271" s="407">
        <f t="shared" si="102"/>
        <v>0</v>
      </c>
      <c r="O271" s="408">
        <f t="shared" si="102"/>
        <v>0</v>
      </c>
      <c r="P271" s="353"/>
      <c r="R271" s="53"/>
      <c r="S271" s="53"/>
    </row>
    <row r="272" spans="1:19" ht="24" hidden="1" x14ac:dyDescent="0.25">
      <c r="A272" s="99">
        <v>7200</v>
      </c>
      <c r="B272" s="247" t="s">
        <v>288</v>
      </c>
      <c r="C272" s="103">
        <f t="shared" si="95"/>
        <v>0</v>
      </c>
      <c r="D272" s="112">
        <f t="shared" ref="D272:O272" si="103">SUM(D273,D274,D277,D278,D281)</f>
        <v>0</v>
      </c>
      <c r="E272" s="248">
        <f t="shared" si="103"/>
        <v>0</v>
      </c>
      <c r="F272" s="313">
        <f t="shared" si="103"/>
        <v>0</v>
      </c>
      <c r="G272" s="112">
        <f t="shared" si="103"/>
        <v>0</v>
      </c>
      <c r="H272" s="293">
        <f t="shared" si="103"/>
        <v>0</v>
      </c>
      <c r="I272" s="248">
        <f t="shared" si="103"/>
        <v>0</v>
      </c>
      <c r="J272" s="112">
        <f t="shared" si="103"/>
        <v>0</v>
      </c>
      <c r="K272" s="248">
        <f t="shared" si="103"/>
        <v>0</v>
      </c>
      <c r="L272" s="313">
        <f t="shared" si="103"/>
        <v>0</v>
      </c>
      <c r="M272" s="334">
        <f t="shared" si="103"/>
        <v>0</v>
      </c>
      <c r="N272" s="293">
        <f t="shared" si="103"/>
        <v>0</v>
      </c>
      <c r="O272" s="313">
        <f t="shared" si="103"/>
        <v>0</v>
      </c>
      <c r="P272" s="114"/>
      <c r="R272" s="53"/>
      <c r="S272" s="53"/>
    </row>
    <row r="273" spans="1:19" ht="24" hidden="1" x14ac:dyDescent="0.25">
      <c r="A273" s="656">
        <v>7210</v>
      </c>
      <c r="B273" s="116" t="s">
        <v>289</v>
      </c>
      <c r="C273" s="70">
        <f t="shared" si="95"/>
        <v>0</v>
      </c>
      <c r="D273" s="123"/>
      <c r="E273" s="295"/>
      <c r="F273" s="473">
        <f>D273+E273</f>
        <v>0</v>
      </c>
      <c r="G273" s="123"/>
      <c r="H273" s="262"/>
      <c r="I273" s="295">
        <f>G273+H273</f>
        <v>0</v>
      </c>
      <c r="J273" s="123"/>
      <c r="K273" s="295"/>
      <c r="L273" s="473">
        <f>J273+K273</f>
        <v>0</v>
      </c>
      <c r="M273" s="123"/>
      <c r="N273" s="262"/>
      <c r="O273" s="473">
        <f>N273+M273</f>
        <v>0</v>
      </c>
      <c r="P273" s="442"/>
      <c r="R273" s="53"/>
      <c r="S273" s="53"/>
    </row>
    <row r="274" spans="1:19" s="358" customFormat="1" ht="36" hidden="1" x14ac:dyDescent="0.25">
      <c r="A274" s="276">
        <v>7220</v>
      </c>
      <c r="B274" s="127" t="s">
        <v>290</v>
      </c>
      <c r="C274" s="429">
        <f t="shared" si="95"/>
        <v>0</v>
      </c>
      <c r="D274" s="277">
        <f t="shared" ref="D274:O274" si="104">SUM(D275:D276)</f>
        <v>0</v>
      </c>
      <c r="E274" s="278">
        <f t="shared" si="104"/>
        <v>0</v>
      </c>
      <c r="F274" s="286">
        <f t="shared" si="104"/>
        <v>0</v>
      </c>
      <c r="G274" s="277">
        <f t="shared" si="104"/>
        <v>0</v>
      </c>
      <c r="H274" s="282">
        <f t="shared" si="104"/>
        <v>0</v>
      </c>
      <c r="I274" s="278">
        <f t="shared" si="104"/>
        <v>0</v>
      </c>
      <c r="J274" s="277">
        <f t="shared" si="104"/>
        <v>0</v>
      </c>
      <c r="K274" s="278">
        <f t="shared" si="104"/>
        <v>0</v>
      </c>
      <c r="L274" s="286">
        <f t="shared" si="104"/>
        <v>0</v>
      </c>
      <c r="M274" s="277">
        <f t="shared" si="104"/>
        <v>0</v>
      </c>
      <c r="N274" s="282">
        <f t="shared" si="104"/>
        <v>0</v>
      </c>
      <c r="O274" s="286">
        <f t="shared" si="104"/>
        <v>0</v>
      </c>
      <c r="P274" s="136"/>
      <c r="R274" s="53"/>
      <c r="S274" s="53"/>
    </row>
    <row r="275" spans="1:19" s="358" customFormat="1" ht="36" hidden="1" x14ac:dyDescent="0.25">
      <c r="A275" s="76">
        <v>7221</v>
      </c>
      <c r="B275" s="127" t="s">
        <v>291</v>
      </c>
      <c r="C275" s="429">
        <f t="shared" si="95"/>
        <v>0</v>
      </c>
      <c r="D275" s="134"/>
      <c r="E275" s="283"/>
      <c r="F275" s="475">
        <f>D275+E275</f>
        <v>0</v>
      </c>
      <c r="G275" s="134"/>
      <c r="H275" s="285"/>
      <c r="I275" s="283">
        <f>G275+H275</f>
        <v>0</v>
      </c>
      <c r="J275" s="134"/>
      <c r="K275" s="283"/>
      <c r="L275" s="475">
        <f>J275+K275</f>
        <v>0</v>
      </c>
      <c r="M275" s="134"/>
      <c r="N275" s="285"/>
      <c r="O275" s="475">
        <f>N275+M275</f>
        <v>0</v>
      </c>
      <c r="P275" s="443"/>
      <c r="R275" s="53"/>
      <c r="S275" s="53"/>
    </row>
    <row r="276" spans="1:19" s="358" customFormat="1" ht="36" hidden="1" x14ac:dyDescent="0.25">
      <c r="A276" s="76">
        <v>7222</v>
      </c>
      <c r="B276" s="127" t="s">
        <v>292</v>
      </c>
      <c r="C276" s="429">
        <f t="shared" si="95"/>
        <v>0</v>
      </c>
      <c r="D276" s="134"/>
      <c r="E276" s="283"/>
      <c r="F276" s="475">
        <f>D276+E276</f>
        <v>0</v>
      </c>
      <c r="G276" s="134"/>
      <c r="H276" s="285"/>
      <c r="I276" s="283">
        <f>G276+H276</f>
        <v>0</v>
      </c>
      <c r="J276" s="134"/>
      <c r="K276" s="283"/>
      <c r="L276" s="475">
        <f>J276+K276</f>
        <v>0</v>
      </c>
      <c r="M276" s="134"/>
      <c r="N276" s="285"/>
      <c r="O276" s="475">
        <f>N276+M276</f>
        <v>0</v>
      </c>
      <c r="P276" s="443"/>
      <c r="R276" s="53"/>
      <c r="S276" s="53"/>
    </row>
    <row r="277" spans="1:19" ht="24" hidden="1" x14ac:dyDescent="0.25">
      <c r="A277" s="276">
        <v>7230</v>
      </c>
      <c r="B277" s="127" t="s">
        <v>293</v>
      </c>
      <c r="C277" s="429">
        <f t="shared" si="95"/>
        <v>0</v>
      </c>
      <c r="D277" s="134"/>
      <c r="E277" s="283"/>
      <c r="F277" s="475">
        <f>D277+E277</f>
        <v>0</v>
      </c>
      <c r="G277" s="134"/>
      <c r="H277" s="285"/>
      <c r="I277" s="283">
        <f>G277+H277</f>
        <v>0</v>
      </c>
      <c r="J277" s="134"/>
      <c r="K277" s="283"/>
      <c r="L277" s="475">
        <f>J277+K277</f>
        <v>0</v>
      </c>
      <c r="M277" s="134"/>
      <c r="N277" s="285"/>
      <c r="O277" s="475">
        <f>N277+M277</f>
        <v>0</v>
      </c>
      <c r="P277" s="443"/>
      <c r="R277" s="53"/>
      <c r="S277" s="53"/>
    </row>
    <row r="278" spans="1:19" ht="24" hidden="1" x14ac:dyDescent="0.25">
      <c r="A278" s="276">
        <v>7240</v>
      </c>
      <c r="B278" s="127" t="s">
        <v>294</v>
      </c>
      <c r="C278" s="429">
        <f t="shared" si="95"/>
        <v>0</v>
      </c>
      <c r="D278" s="277">
        <f t="shared" ref="D278:O278" si="105">SUM(D279:D280)</f>
        <v>0</v>
      </c>
      <c r="E278" s="278">
        <f t="shared" si="105"/>
        <v>0</v>
      </c>
      <c r="F278" s="286">
        <f t="shared" si="105"/>
        <v>0</v>
      </c>
      <c r="G278" s="277">
        <f t="shared" si="105"/>
        <v>0</v>
      </c>
      <c r="H278" s="282">
        <f t="shared" si="105"/>
        <v>0</v>
      </c>
      <c r="I278" s="278">
        <f t="shared" si="105"/>
        <v>0</v>
      </c>
      <c r="J278" s="277">
        <f t="shared" si="105"/>
        <v>0</v>
      </c>
      <c r="K278" s="278">
        <f t="shared" si="105"/>
        <v>0</v>
      </c>
      <c r="L278" s="286">
        <f t="shared" si="105"/>
        <v>0</v>
      </c>
      <c r="M278" s="277">
        <f t="shared" si="105"/>
        <v>0</v>
      </c>
      <c r="N278" s="282">
        <f t="shared" si="105"/>
        <v>0</v>
      </c>
      <c r="O278" s="286">
        <f t="shared" si="105"/>
        <v>0</v>
      </c>
      <c r="P278" s="136"/>
      <c r="R278" s="53"/>
      <c r="S278" s="53"/>
    </row>
    <row r="279" spans="1:19" ht="15.75" hidden="1" customHeight="1" x14ac:dyDescent="0.25">
      <c r="A279" s="76">
        <v>7245</v>
      </c>
      <c r="B279" s="127" t="s">
        <v>295</v>
      </c>
      <c r="C279" s="429">
        <f t="shared" si="95"/>
        <v>0</v>
      </c>
      <c r="D279" s="134"/>
      <c r="E279" s="283"/>
      <c r="F279" s="475">
        <f>D279+E279</f>
        <v>0</v>
      </c>
      <c r="G279" s="134"/>
      <c r="H279" s="285"/>
      <c r="I279" s="283">
        <f>G279+H279</f>
        <v>0</v>
      </c>
      <c r="J279" s="134"/>
      <c r="K279" s="283"/>
      <c r="L279" s="475">
        <f>J279+K279</f>
        <v>0</v>
      </c>
      <c r="M279" s="134"/>
      <c r="N279" s="285"/>
      <c r="O279" s="475">
        <f>N279+M279</f>
        <v>0</v>
      </c>
      <c r="P279" s="443"/>
      <c r="R279" s="53"/>
      <c r="S279" s="53"/>
    </row>
    <row r="280" spans="1:19" ht="16.5" hidden="1" customHeight="1" x14ac:dyDescent="0.25">
      <c r="A280" s="76">
        <v>7246</v>
      </c>
      <c r="B280" s="127" t="s">
        <v>296</v>
      </c>
      <c r="C280" s="429">
        <f t="shared" si="95"/>
        <v>0</v>
      </c>
      <c r="D280" s="134"/>
      <c r="E280" s="283"/>
      <c r="F280" s="475">
        <f>D280+E280</f>
        <v>0</v>
      </c>
      <c r="G280" s="134"/>
      <c r="H280" s="285"/>
      <c r="I280" s="283">
        <f>G280+H280</f>
        <v>0</v>
      </c>
      <c r="J280" s="134"/>
      <c r="K280" s="283"/>
      <c r="L280" s="475">
        <f>J280+K280</f>
        <v>0</v>
      </c>
      <c r="M280" s="134"/>
      <c r="N280" s="285"/>
      <c r="O280" s="475">
        <f>N280+M280</f>
        <v>0</v>
      </c>
      <c r="P280" s="443"/>
      <c r="R280" s="53"/>
      <c r="S280" s="53"/>
    </row>
    <row r="281" spans="1:19" ht="24" hidden="1" x14ac:dyDescent="0.25">
      <c r="A281" s="344">
        <v>7260</v>
      </c>
      <c r="B281" s="116" t="s">
        <v>297</v>
      </c>
      <c r="C281" s="70">
        <f t="shared" si="95"/>
        <v>0</v>
      </c>
      <c r="D281" s="123"/>
      <c r="E281" s="295"/>
      <c r="F281" s="473">
        <f>D281+E281</f>
        <v>0</v>
      </c>
      <c r="G281" s="123"/>
      <c r="H281" s="262"/>
      <c r="I281" s="295">
        <f>G281+H281</f>
        <v>0</v>
      </c>
      <c r="J281" s="123"/>
      <c r="K281" s="295"/>
      <c r="L281" s="473">
        <f>J281+K281</f>
        <v>0</v>
      </c>
      <c r="M281" s="123"/>
      <c r="N281" s="262"/>
      <c r="O281" s="473">
        <f>N281+M281</f>
        <v>0</v>
      </c>
      <c r="P281" s="442"/>
      <c r="R281" s="53"/>
      <c r="S281" s="53"/>
    </row>
    <row r="282" spans="1:19" hidden="1" x14ac:dyDescent="0.25">
      <c r="A282" s="169">
        <v>7700</v>
      </c>
      <c r="B282" s="502" t="s">
        <v>298</v>
      </c>
      <c r="C282" s="671">
        <f t="shared" si="95"/>
        <v>0</v>
      </c>
      <c r="D282" s="360">
        <f t="shared" ref="D282:O282" si="106">D283</f>
        <v>0</v>
      </c>
      <c r="E282" s="679">
        <f t="shared" si="106"/>
        <v>0</v>
      </c>
      <c r="F282" s="316">
        <f t="shared" si="106"/>
        <v>0</v>
      </c>
      <c r="G282" s="360">
        <f t="shared" si="106"/>
        <v>0</v>
      </c>
      <c r="H282" s="304">
        <f t="shared" si="106"/>
        <v>0</v>
      </c>
      <c r="I282" s="679">
        <f t="shared" si="106"/>
        <v>0</v>
      </c>
      <c r="J282" s="360">
        <f t="shared" si="106"/>
        <v>0</v>
      </c>
      <c r="K282" s="679">
        <f t="shared" si="106"/>
        <v>0</v>
      </c>
      <c r="L282" s="316">
        <f t="shared" si="106"/>
        <v>0</v>
      </c>
      <c r="M282" s="360">
        <f t="shared" si="106"/>
        <v>0</v>
      </c>
      <c r="N282" s="304">
        <f t="shared" si="106"/>
        <v>0</v>
      </c>
      <c r="O282" s="316">
        <f t="shared" si="106"/>
        <v>0</v>
      </c>
      <c r="P282" s="305"/>
      <c r="R282" s="53"/>
      <c r="S282" s="53"/>
    </row>
    <row r="283" spans="1:19" hidden="1" x14ac:dyDescent="0.25">
      <c r="A283" s="254">
        <v>7720</v>
      </c>
      <c r="B283" s="116" t="s">
        <v>299</v>
      </c>
      <c r="C283" s="448">
        <f t="shared" si="95"/>
        <v>0</v>
      </c>
      <c r="D283" s="149"/>
      <c r="E283" s="686"/>
      <c r="F283" s="503">
        <f>D283+E283</f>
        <v>0</v>
      </c>
      <c r="G283" s="149"/>
      <c r="H283" s="363"/>
      <c r="I283" s="686">
        <f>G283+H283</f>
        <v>0</v>
      </c>
      <c r="J283" s="149"/>
      <c r="K283" s="686"/>
      <c r="L283" s="503">
        <f>J283+K283</f>
        <v>0</v>
      </c>
      <c r="M283" s="149"/>
      <c r="N283" s="363"/>
      <c r="O283" s="503">
        <f>N283+M283</f>
        <v>0</v>
      </c>
      <c r="P283" s="445"/>
      <c r="R283" s="53"/>
      <c r="S283" s="53"/>
    </row>
    <row r="284" spans="1:19" hidden="1" x14ac:dyDescent="0.25">
      <c r="A284" s="346"/>
      <c r="B284" s="127" t="s">
        <v>300</v>
      </c>
      <c r="C284" s="429">
        <f t="shared" si="95"/>
        <v>0</v>
      </c>
      <c r="D284" s="277">
        <f t="shared" ref="D284:O284" si="107">SUM(D285:D286)</f>
        <v>0</v>
      </c>
      <c r="E284" s="278">
        <f t="shared" si="107"/>
        <v>0</v>
      </c>
      <c r="F284" s="286">
        <f t="shared" si="107"/>
        <v>0</v>
      </c>
      <c r="G284" s="277">
        <f t="shared" si="107"/>
        <v>0</v>
      </c>
      <c r="H284" s="282">
        <f t="shared" si="107"/>
        <v>0</v>
      </c>
      <c r="I284" s="278">
        <f t="shared" si="107"/>
        <v>0</v>
      </c>
      <c r="J284" s="277">
        <f t="shared" si="107"/>
        <v>0</v>
      </c>
      <c r="K284" s="278">
        <f t="shared" si="107"/>
        <v>0</v>
      </c>
      <c r="L284" s="286">
        <f t="shared" si="107"/>
        <v>0</v>
      </c>
      <c r="M284" s="277">
        <f t="shared" si="107"/>
        <v>0</v>
      </c>
      <c r="N284" s="282">
        <f t="shared" si="107"/>
        <v>0</v>
      </c>
      <c r="O284" s="286">
        <f t="shared" si="107"/>
        <v>0</v>
      </c>
      <c r="P284" s="136"/>
      <c r="R284" s="53"/>
      <c r="S284" s="53"/>
    </row>
    <row r="285" spans="1:19" hidden="1" x14ac:dyDescent="0.25">
      <c r="A285" s="346" t="s">
        <v>301</v>
      </c>
      <c r="B285" s="76" t="s">
        <v>302</v>
      </c>
      <c r="C285" s="429">
        <f t="shared" si="95"/>
        <v>0</v>
      </c>
      <c r="D285" s="134"/>
      <c r="E285" s="283"/>
      <c r="F285" s="475">
        <f>D285+E285</f>
        <v>0</v>
      </c>
      <c r="G285" s="134"/>
      <c r="H285" s="285"/>
      <c r="I285" s="283">
        <f>G285+H285</f>
        <v>0</v>
      </c>
      <c r="J285" s="134"/>
      <c r="K285" s="283"/>
      <c r="L285" s="475">
        <f>J285+K285</f>
        <v>0</v>
      </c>
      <c r="M285" s="134"/>
      <c r="N285" s="285"/>
      <c r="O285" s="475">
        <f>N285+M285</f>
        <v>0</v>
      </c>
      <c r="P285" s="443"/>
      <c r="R285" s="53"/>
      <c r="S285" s="53"/>
    </row>
    <row r="286" spans="1:19" ht="24" hidden="1" x14ac:dyDescent="0.25">
      <c r="A286" s="346" t="s">
        <v>303</v>
      </c>
      <c r="B286" s="367" t="s">
        <v>304</v>
      </c>
      <c r="C286" s="70">
        <f t="shared" si="95"/>
        <v>0</v>
      </c>
      <c r="D286" s="123"/>
      <c r="E286" s="295"/>
      <c r="F286" s="473">
        <f>D286+E286</f>
        <v>0</v>
      </c>
      <c r="G286" s="123"/>
      <c r="H286" s="262"/>
      <c r="I286" s="295">
        <f>G286+H286</f>
        <v>0</v>
      </c>
      <c r="J286" s="123"/>
      <c r="K286" s="295"/>
      <c r="L286" s="473">
        <f>J286+K286</f>
        <v>0</v>
      </c>
      <c r="M286" s="123"/>
      <c r="N286" s="262"/>
      <c r="O286" s="473">
        <f>N286+M286</f>
        <v>0</v>
      </c>
      <c r="P286" s="442"/>
      <c r="R286" s="53"/>
      <c r="S286" s="53"/>
    </row>
    <row r="287" spans="1:19" ht="12.75" thickBot="1" x14ac:dyDescent="0.3">
      <c r="A287" s="504"/>
      <c r="B287" s="504" t="s">
        <v>305</v>
      </c>
      <c r="C287" s="716">
        <f t="shared" si="95"/>
        <v>542482</v>
      </c>
      <c r="D287" s="506">
        <f t="shared" ref="D287:O287" si="108">SUM(D284,D271,D233,D198,D190,D176,D78,D56)</f>
        <v>509194</v>
      </c>
      <c r="E287" s="511">
        <f t="shared" si="108"/>
        <v>9760</v>
      </c>
      <c r="F287" s="505">
        <f t="shared" si="108"/>
        <v>518954</v>
      </c>
      <c r="G287" s="506">
        <f t="shared" si="108"/>
        <v>0</v>
      </c>
      <c r="H287" s="507">
        <f t="shared" si="108"/>
        <v>0</v>
      </c>
      <c r="I287" s="511">
        <f t="shared" si="108"/>
        <v>0</v>
      </c>
      <c r="J287" s="506">
        <f t="shared" si="108"/>
        <v>23528</v>
      </c>
      <c r="K287" s="511">
        <f t="shared" si="108"/>
        <v>0</v>
      </c>
      <c r="L287" s="505">
        <f t="shared" si="108"/>
        <v>23528</v>
      </c>
      <c r="M287" s="506">
        <f t="shared" si="108"/>
        <v>0</v>
      </c>
      <c r="N287" s="507">
        <f t="shared" si="108"/>
        <v>0</v>
      </c>
      <c r="O287" s="505">
        <f t="shared" si="108"/>
        <v>0</v>
      </c>
      <c r="P287" s="508"/>
      <c r="R287" s="53"/>
      <c r="S287" s="53"/>
    </row>
    <row r="288" spans="1:19" s="41" customFormat="1" ht="13.5" hidden="1" thickTop="1" thickBot="1" x14ac:dyDescent="0.3">
      <c r="A288" s="1612" t="s">
        <v>306</v>
      </c>
      <c r="B288" s="1613"/>
      <c r="C288" s="717">
        <f t="shared" si="95"/>
        <v>0</v>
      </c>
      <c r="D288" s="514">
        <f t="shared" ref="D288:I288" si="109">SUM(D28,D29,D45)-D54</f>
        <v>0</v>
      </c>
      <c r="E288" s="718">
        <f t="shared" si="109"/>
        <v>0</v>
      </c>
      <c r="F288" s="513">
        <f t="shared" si="109"/>
        <v>0</v>
      </c>
      <c r="G288" s="514">
        <f t="shared" si="109"/>
        <v>0</v>
      </c>
      <c r="H288" s="515">
        <f t="shared" si="109"/>
        <v>0</v>
      </c>
      <c r="I288" s="718">
        <f t="shared" si="109"/>
        <v>0</v>
      </c>
      <c r="J288" s="514">
        <f>(J30+J46)-J54</f>
        <v>0</v>
      </c>
      <c r="K288" s="718">
        <f>(K30+K46)-K54</f>
        <v>0</v>
      </c>
      <c r="L288" s="513">
        <f>(L30+L46)-L54</f>
        <v>0</v>
      </c>
      <c r="M288" s="514">
        <f>M48-M54</f>
        <v>0</v>
      </c>
      <c r="N288" s="515">
        <f>N48-N54</f>
        <v>0</v>
      </c>
      <c r="O288" s="513">
        <f>O48-O54</f>
        <v>0</v>
      </c>
      <c r="P288" s="516"/>
      <c r="R288" s="53"/>
      <c r="S288" s="53"/>
    </row>
    <row r="289" spans="1:19" s="41" customFormat="1" ht="12.75" hidden="1" thickTop="1" x14ac:dyDescent="0.25">
      <c r="A289" s="1614" t="s">
        <v>307</v>
      </c>
      <c r="B289" s="1615"/>
      <c r="C289" s="719">
        <f t="shared" si="95"/>
        <v>0</v>
      </c>
      <c r="D289" s="519">
        <f t="shared" ref="D289:O289" si="110">SUM(D290,D291)-D298+D299</f>
        <v>0</v>
      </c>
      <c r="E289" s="685">
        <f t="shared" si="110"/>
        <v>0</v>
      </c>
      <c r="F289" s="400">
        <f t="shared" si="110"/>
        <v>0</v>
      </c>
      <c r="G289" s="519">
        <f t="shared" si="110"/>
        <v>0</v>
      </c>
      <c r="H289" s="520">
        <f t="shared" si="110"/>
        <v>0</v>
      </c>
      <c r="I289" s="685">
        <f t="shared" si="110"/>
        <v>0</v>
      </c>
      <c r="J289" s="519">
        <f t="shared" si="110"/>
        <v>0</v>
      </c>
      <c r="K289" s="685">
        <f t="shared" si="110"/>
        <v>0</v>
      </c>
      <c r="L289" s="400">
        <f t="shared" si="110"/>
        <v>0</v>
      </c>
      <c r="M289" s="519">
        <f t="shared" si="110"/>
        <v>0</v>
      </c>
      <c r="N289" s="520">
        <f t="shared" si="110"/>
        <v>0</v>
      </c>
      <c r="O289" s="400">
        <f t="shared" si="110"/>
        <v>0</v>
      </c>
      <c r="P289" s="521"/>
      <c r="R289" s="53"/>
      <c r="S289" s="53"/>
    </row>
    <row r="290" spans="1:19" s="41" customFormat="1" ht="13.5" hidden="1" thickTop="1" thickBot="1" x14ac:dyDescent="0.3">
      <c r="A290" s="209" t="s">
        <v>308</v>
      </c>
      <c r="B290" s="209" t="s">
        <v>309</v>
      </c>
      <c r="C290" s="425">
        <f t="shared" si="95"/>
        <v>0</v>
      </c>
      <c r="D290" s="211">
        <f t="shared" ref="D290:O290" si="111">D25-D284</f>
        <v>0</v>
      </c>
      <c r="E290" s="212">
        <f t="shared" si="111"/>
        <v>0</v>
      </c>
      <c r="F290" s="463">
        <f t="shared" si="111"/>
        <v>0</v>
      </c>
      <c r="G290" s="211">
        <f t="shared" si="111"/>
        <v>0</v>
      </c>
      <c r="H290" s="217">
        <f t="shared" si="111"/>
        <v>0</v>
      </c>
      <c r="I290" s="212">
        <f t="shared" si="111"/>
        <v>0</v>
      </c>
      <c r="J290" s="211">
        <f t="shared" si="111"/>
        <v>0</v>
      </c>
      <c r="K290" s="212">
        <f t="shared" si="111"/>
        <v>0</v>
      </c>
      <c r="L290" s="463">
        <f t="shared" si="111"/>
        <v>0</v>
      </c>
      <c r="M290" s="211">
        <f t="shared" si="111"/>
        <v>0</v>
      </c>
      <c r="N290" s="217">
        <f t="shared" si="111"/>
        <v>0</v>
      </c>
      <c r="O290" s="463">
        <f t="shared" si="111"/>
        <v>0</v>
      </c>
      <c r="P290" s="215"/>
      <c r="R290" s="53"/>
      <c r="S290" s="53"/>
    </row>
    <row r="291" spans="1:19" s="41" customFormat="1" ht="12.75" hidden="1" thickTop="1" x14ac:dyDescent="0.25">
      <c r="A291" s="524" t="s">
        <v>310</v>
      </c>
      <c r="B291" s="524" t="s">
        <v>311</v>
      </c>
      <c r="C291" s="719">
        <f t="shared" si="95"/>
        <v>0</v>
      </c>
      <c r="D291" s="519">
        <f t="shared" ref="D291:O291" si="112">SUM(D292,D294,D296)-SUM(D293,D295,D297)</f>
        <v>0</v>
      </c>
      <c r="E291" s="685">
        <f t="shared" si="112"/>
        <v>0</v>
      </c>
      <c r="F291" s="400">
        <f t="shared" si="112"/>
        <v>0</v>
      </c>
      <c r="G291" s="519">
        <f t="shared" si="112"/>
        <v>0</v>
      </c>
      <c r="H291" s="520">
        <f t="shared" si="112"/>
        <v>0</v>
      </c>
      <c r="I291" s="685">
        <f t="shared" si="112"/>
        <v>0</v>
      </c>
      <c r="J291" s="519">
        <f t="shared" si="112"/>
        <v>0</v>
      </c>
      <c r="K291" s="685">
        <f t="shared" si="112"/>
        <v>0</v>
      </c>
      <c r="L291" s="400">
        <f t="shared" si="112"/>
        <v>0</v>
      </c>
      <c r="M291" s="519">
        <f t="shared" si="112"/>
        <v>0</v>
      </c>
      <c r="N291" s="520">
        <f t="shared" si="112"/>
        <v>0</v>
      </c>
      <c r="O291" s="400">
        <f t="shared" si="112"/>
        <v>0</v>
      </c>
      <c r="P291" s="521"/>
      <c r="R291" s="53"/>
      <c r="S291" s="53"/>
    </row>
    <row r="292" spans="1:19" ht="12.75" hidden="1" thickTop="1" x14ac:dyDescent="0.25">
      <c r="A292" s="366" t="s">
        <v>312</v>
      </c>
      <c r="B292" s="190" t="s">
        <v>313</v>
      </c>
      <c r="C292" s="448">
        <f t="shared" si="95"/>
        <v>0</v>
      </c>
      <c r="D292" s="149"/>
      <c r="E292" s="686"/>
      <c r="F292" s="503">
        <f t="shared" ref="F292:F299" si="113">D292+E292</f>
        <v>0</v>
      </c>
      <c r="G292" s="149"/>
      <c r="H292" s="363"/>
      <c r="I292" s="686">
        <f t="shared" ref="I292:I299" si="114">G292+H292</f>
        <v>0</v>
      </c>
      <c r="J292" s="149"/>
      <c r="K292" s="686"/>
      <c r="L292" s="503">
        <f t="shared" ref="L292:L299" si="115">J292+K292</f>
        <v>0</v>
      </c>
      <c r="M292" s="149"/>
      <c r="N292" s="363"/>
      <c r="O292" s="503">
        <f t="shared" ref="O292:O299" si="116">N292+M292</f>
        <v>0</v>
      </c>
      <c r="P292" s="445"/>
      <c r="R292" s="53"/>
      <c r="S292" s="53"/>
    </row>
    <row r="293" spans="1:19" ht="24.75" hidden="1" thickTop="1" x14ac:dyDescent="0.25">
      <c r="A293" s="346" t="s">
        <v>314</v>
      </c>
      <c r="B293" s="75" t="s">
        <v>315</v>
      </c>
      <c r="C293" s="429">
        <f t="shared" si="95"/>
        <v>0</v>
      </c>
      <c r="D293" s="134"/>
      <c r="E293" s="283"/>
      <c r="F293" s="475">
        <f t="shared" si="113"/>
        <v>0</v>
      </c>
      <c r="G293" s="134"/>
      <c r="H293" s="285"/>
      <c r="I293" s="283">
        <f t="shared" si="114"/>
        <v>0</v>
      </c>
      <c r="J293" s="134"/>
      <c r="K293" s="283"/>
      <c r="L293" s="475">
        <f t="shared" si="115"/>
        <v>0</v>
      </c>
      <c r="M293" s="134"/>
      <c r="N293" s="285"/>
      <c r="O293" s="475">
        <f t="shared" si="116"/>
        <v>0</v>
      </c>
      <c r="P293" s="443"/>
      <c r="R293" s="53"/>
      <c r="S293" s="53"/>
    </row>
    <row r="294" spans="1:19" ht="12.75" hidden="1" thickTop="1" x14ac:dyDescent="0.25">
      <c r="A294" s="346" t="s">
        <v>316</v>
      </c>
      <c r="B294" s="75" t="s">
        <v>317</v>
      </c>
      <c r="C294" s="429">
        <f t="shared" si="95"/>
        <v>0</v>
      </c>
      <c r="D294" s="134"/>
      <c r="E294" s="283"/>
      <c r="F294" s="475">
        <f t="shared" si="113"/>
        <v>0</v>
      </c>
      <c r="G294" s="134"/>
      <c r="H294" s="285"/>
      <c r="I294" s="283">
        <f t="shared" si="114"/>
        <v>0</v>
      </c>
      <c r="J294" s="134"/>
      <c r="K294" s="283"/>
      <c r="L294" s="475">
        <f t="shared" si="115"/>
        <v>0</v>
      </c>
      <c r="M294" s="134"/>
      <c r="N294" s="285"/>
      <c r="O294" s="475">
        <f t="shared" si="116"/>
        <v>0</v>
      </c>
      <c r="P294" s="443"/>
      <c r="R294" s="53"/>
      <c r="S294" s="53"/>
    </row>
    <row r="295" spans="1:19" ht="24.75" hidden="1" thickTop="1" x14ac:dyDescent="0.25">
      <c r="A295" s="346" t="s">
        <v>318</v>
      </c>
      <c r="B295" s="75" t="s">
        <v>319</v>
      </c>
      <c r="C295" s="429">
        <f t="shared" si="95"/>
        <v>0</v>
      </c>
      <c r="D295" s="134"/>
      <c r="E295" s="283"/>
      <c r="F295" s="475">
        <f t="shared" si="113"/>
        <v>0</v>
      </c>
      <c r="G295" s="134"/>
      <c r="H295" s="285"/>
      <c r="I295" s="283">
        <f t="shared" si="114"/>
        <v>0</v>
      </c>
      <c r="J295" s="134"/>
      <c r="K295" s="283"/>
      <c r="L295" s="475">
        <f t="shared" si="115"/>
        <v>0</v>
      </c>
      <c r="M295" s="134"/>
      <c r="N295" s="285"/>
      <c r="O295" s="475">
        <f t="shared" si="116"/>
        <v>0</v>
      </c>
      <c r="P295" s="443"/>
      <c r="R295" s="53"/>
      <c r="S295" s="53"/>
    </row>
    <row r="296" spans="1:19" ht="12.75" hidden="1" thickTop="1" x14ac:dyDescent="0.25">
      <c r="A296" s="346" t="s">
        <v>320</v>
      </c>
      <c r="B296" s="75" t="s">
        <v>321</v>
      </c>
      <c r="C296" s="429">
        <f t="shared" si="95"/>
        <v>0</v>
      </c>
      <c r="D296" s="134"/>
      <c r="E296" s="283"/>
      <c r="F296" s="475">
        <f t="shared" si="113"/>
        <v>0</v>
      </c>
      <c r="G296" s="134"/>
      <c r="H296" s="285"/>
      <c r="I296" s="283">
        <f t="shared" si="114"/>
        <v>0</v>
      </c>
      <c r="J296" s="134"/>
      <c r="K296" s="283"/>
      <c r="L296" s="475">
        <f t="shared" si="115"/>
        <v>0</v>
      </c>
      <c r="M296" s="134"/>
      <c r="N296" s="285"/>
      <c r="O296" s="475">
        <f t="shared" si="116"/>
        <v>0</v>
      </c>
      <c r="P296" s="443"/>
      <c r="R296" s="53"/>
      <c r="S296" s="53"/>
    </row>
    <row r="297" spans="1:19" ht="24.75" hidden="1" thickTop="1" x14ac:dyDescent="0.25">
      <c r="A297" s="389" t="s">
        <v>322</v>
      </c>
      <c r="B297" s="390" t="s">
        <v>323</v>
      </c>
      <c r="C297" s="713">
        <f t="shared" si="95"/>
        <v>0</v>
      </c>
      <c r="D297" s="328"/>
      <c r="E297" s="683"/>
      <c r="F297" s="492">
        <f t="shared" si="113"/>
        <v>0</v>
      </c>
      <c r="G297" s="328"/>
      <c r="H297" s="329"/>
      <c r="I297" s="683">
        <f t="shared" si="114"/>
        <v>0</v>
      </c>
      <c r="J297" s="328"/>
      <c r="K297" s="683"/>
      <c r="L297" s="492">
        <f t="shared" si="115"/>
        <v>0</v>
      </c>
      <c r="M297" s="328"/>
      <c r="N297" s="329"/>
      <c r="O297" s="492">
        <f t="shared" si="116"/>
        <v>0</v>
      </c>
      <c r="P297" s="491"/>
      <c r="R297" s="53"/>
      <c r="S297" s="53"/>
    </row>
    <row r="298" spans="1:19" s="41" customFormat="1" ht="13.5" hidden="1" thickTop="1" thickBot="1" x14ac:dyDescent="0.3">
      <c r="A298" s="525" t="s">
        <v>324</v>
      </c>
      <c r="B298" s="525" t="s">
        <v>325</v>
      </c>
      <c r="C298" s="717">
        <f t="shared" si="95"/>
        <v>0</v>
      </c>
      <c r="D298" s="526"/>
      <c r="E298" s="720"/>
      <c r="F298" s="531">
        <f t="shared" si="113"/>
        <v>0</v>
      </c>
      <c r="G298" s="526"/>
      <c r="H298" s="527"/>
      <c r="I298" s="720">
        <f t="shared" si="114"/>
        <v>0</v>
      </c>
      <c r="J298" s="526"/>
      <c r="K298" s="720"/>
      <c r="L298" s="531">
        <f t="shared" si="115"/>
        <v>0</v>
      </c>
      <c r="M298" s="526"/>
      <c r="N298" s="527"/>
      <c r="O298" s="531">
        <f t="shared" si="116"/>
        <v>0</v>
      </c>
      <c r="P298" s="528"/>
      <c r="R298" s="53"/>
      <c r="S298" s="53"/>
    </row>
    <row r="299" spans="1:19" s="41" customFormat="1" ht="48.75" hidden="1" thickTop="1" x14ac:dyDescent="0.25">
      <c r="A299" s="524" t="s">
        <v>326</v>
      </c>
      <c r="B299" s="396" t="s">
        <v>327</v>
      </c>
      <c r="C299" s="719">
        <f t="shared" si="95"/>
        <v>0</v>
      </c>
      <c r="D299" s="311"/>
      <c r="E299" s="712"/>
      <c r="F299" s="489">
        <f t="shared" si="113"/>
        <v>0</v>
      </c>
      <c r="G299" s="311"/>
      <c r="H299" s="312"/>
      <c r="I299" s="712">
        <f t="shared" si="114"/>
        <v>0</v>
      </c>
      <c r="J299" s="311"/>
      <c r="K299" s="712"/>
      <c r="L299" s="489">
        <f t="shared" si="115"/>
        <v>0</v>
      </c>
      <c r="M299" s="311"/>
      <c r="N299" s="312"/>
      <c r="O299" s="489">
        <f t="shared" si="116"/>
        <v>0</v>
      </c>
      <c r="P299" s="488"/>
      <c r="R299" s="53"/>
      <c r="S299" s="53"/>
    </row>
    <row r="300" spans="1:19" ht="12.75" thickTop="1" x14ac:dyDescent="0.2">
      <c r="A300" s="533" t="s">
        <v>328</v>
      </c>
      <c r="B300" s="402"/>
      <c r="C300" s="402"/>
      <c r="D300" s="402"/>
      <c r="E300" s="402"/>
      <c r="F300" s="402"/>
      <c r="G300" s="402"/>
      <c r="H300" s="402"/>
      <c r="I300" s="402"/>
      <c r="J300" s="402"/>
      <c r="K300" s="402"/>
      <c r="L300" s="402"/>
      <c r="M300" s="402"/>
      <c r="N300" s="402"/>
      <c r="O300" s="402"/>
      <c r="P300" s="403"/>
      <c r="Q300" s="7"/>
    </row>
    <row r="301" spans="1:19" ht="12.75" x14ac:dyDescent="0.25">
      <c r="A301" s="1620" t="s">
        <v>530</v>
      </c>
      <c r="B301" s="1621"/>
      <c r="C301" s="1621"/>
      <c r="D301" s="1621"/>
      <c r="E301" s="1621"/>
      <c r="F301" s="1621"/>
      <c r="G301" s="1621"/>
      <c r="H301" s="1621"/>
      <c r="I301" s="1621"/>
      <c r="J301" s="1621"/>
      <c r="K301" s="1621"/>
      <c r="L301" s="1621"/>
      <c r="M301" s="1621"/>
      <c r="N301" s="1621"/>
      <c r="O301" s="1622"/>
      <c r="P301" s="1622"/>
      <c r="Q301" s="7"/>
    </row>
    <row r="302" spans="1:19" hidden="1" x14ac:dyDescent="0.25">
      <c r="A302" s="721"/>
      <c r="B302" s="722"/>
      <c r="C302" s="722"/>
      <c r="D302" s="722"/>
      <c r="E302" s="722"/>
      <c r="F302" s="722"/>
      <c r="G302" s="722"/>
      <c r="H302" s="722"/>
      <c r="I302" s="722"/>
      <c r="J302" s="722"/>
      <c r="K302" s="722"/>
      <c r="L302" s="722"/>
      <c r="M302" s="722"/>
      <c r="N302" s="722"/>
      <c r="O302" s="723"/>
      <c r="P302" s="723"/>
    </row>
    <row r="303" spans="1:19" hidden="1" x14ac:dyDescent="0.25">
      <c r="A303" s="721" t="s">
        <v>531</v>
      </c>
      <c r="B303" s="724"/>
      <c r="C303" s="722"/>
      <c r="D303" s="722"/>
      <c r="E303" s="722"/>
      <c r="F303" s="722"/>
      <c r="G303" s="722"/>
      <c r="H303" s="722"/>
      <c r="I303" s="722"/>
      <c r="J303" s="722"/>
      <c r="K303" s="722"/>
      <c r="L303" s="722"/>
      <c r="M303" s="722"/>
      <c r="N303" s="722"/>
      <c r="O303" s="723"/>
      <c r="P303" s="723"/>
    </row>
    <row r="304" spans="1:19" ht="12.75" thickBot="1" x14ac:dyDescent="0.3">
      <c r="A304" s="538"/>
      <c r="B304" s="539"/>
      <c r="C304" s="539"/>
      <c r="D304" s="539"/>
      <c r="E304" s="539"/>
      <c r="F304" s="539"/>
      <c r="G304" s="539"/>
      <c r="H304" s="539"/>
      <c r="I304" s="539"/>
      <c r="J304" s="539"/>
      <c r="K304" s="539"/>
      <c r="L304" s="539"/>
      <c r="M304" s="539"/>
      <c r="N304" s="539"/>
      <c r="O304" s="539"/>
      <c r="P304" s="725"/>
      <c r="Q304" s="7"/>
    </row>
    <row r="305" spans="1:16" x14ac:dyDescent="0.25">
      <c r="A305" s="5"/>
      <c r="B305" s="5"/>
      <c r="C305" s="5"/>
      <c r="D305" s="5"/>
      <c r="E305" s="5"/>
      <c r="F305" s="5"/>
      <c r="G305" s="5"/>
      <c r="H305" s="5"/>
      <c r="I305" s="5"/>
      <c r="J305" s="5"/>
      <c r="K305" s="5"/>
      <c r="L305" s="5"/>
      <c r="M305" s="5"/>
      <c r="N305" s="5"/>
      <c r="O305" s="541"/>
      <c r="P305" s="541"/>
    </row>
    <row r="306" spans="1:16" x14ac:dyDescent="0.25">
      <c r="A306" s="5"/>
      <c r="B306" s="5"/>
      <c r="C306" s="5"/>
      <c r="D306" s="5"/>
      <c r="E306" s="5"/>
      <c r="F306" s="5"/>
      <c r="G306" s="5"/>
      <c r="H306" s="5"/>
      <c r="I306" s="5"/>
      <c r="J306" s="5"/>
      <c r="K306" s="5"/>
      <c r="L306" s="5"/>
      <c r="M306" s="5"/>
      <c r="N306" s="5"/>
      <c r="O306" s="5"/>
      <c r="P306" s="5"/>
    </row>
    <row r="307" spans="1:16" x14ac:dyDescent="0.25">
      <c r="A307" s="5"/>
      <c r="B307" s="5"/>
      <c r="C307" s="5"/>
      <c r="D307" s="5"/>
      <c r="E307" s="5"/>
      <c r="F307" s="5"/>
      <c r="G307" s="5"/>
      <c r="H307" s="5"/>
      <c r="I307" s="5"/>
      <c r="J307" s="5"/>
      <c r="K307" s="5"/>
      <c r="L307" s="5"/>
      <c r="M307" s="5"/>
      <c r="N307" s="5"/>
      <c r="O307" s="5"/>
      <c r="P307" s="5"/>
    </row>
    <row r="308" spans="1:16" x14ac:dyDescent="0.25">
      <c r="A308" s="5"/>
      <c r="B308" s="5"/>
      <c r="C308" s="5"/>
      <c r="D308" s="5"/>
      <c r="E308" s="5"/>
      <c r="F308" s="5"/>
      <c r="G308" s="5"/>
      <c r="H308" s="5"/>
      <c r="I308" s="5"/>
      <c r="J308" s="5"/>
      <c r="K308" s="5"/>
      <c r="L308" s="5"/>
      <c r="M308" s="5"/>
      <c r="N308" s="5"/>
      <c r="O308" s="5"/>
      <c r="P308" s="5"/>
    </row>
    <row r="309" spans="1:16" x14ac:dyDescent="0.25">
      <c r="A309" s="5"/>
      <c r="B309" s="5"/>
      <c r="C309" s="5"/>
      <c r="D309" s="5"/>
      <c r="E309" s="5"/>
      <c r="F309" s="5"/>
      <c r="G309" s="5"/>
      <c r="H309" s="5"/>
      <c r="I309" s="5"/>
      <c r="J309" s="5"/>
      <c r="K309" s="5"/>
      <c r="L309" s="5"/>
      <c r="M309" s="5"/>
      <c r="N309" s="5"/>
      <c r="O309" s="5"/>
      <c r="P309" s="5"/>
    </row>
    <row r="310" spans="1:16" x14ac:dyDescent="0.25">
      <c r="A310" s="5"/>
      <c r="B310" s="5"/>
      <c r="C310" s="5"/>
      <c r="D310" s="5"/>
      <c r="E310" s="5"/>
      <c r="F310" s="5"/>
      <c r="G310" s="5"/>
      <c r="H310" s="5"/>
      <c r="I310" s="5"/>
      <c r="J310" s="5"/>
      <c r="K310" s="5"/>
      <c r="L310" s="5"/>
      <c r="M310" s="5"/>
      <c r="N310" s="5"/>
      <c r="O310" s="5"/>
      <c r="P310" s="5"/>
    </row>
    <row r="311" spans="1:16" x14ac:dyDescent="0.25">
      <c r="A311" s="5"/>
      <c r="B311" s="5"/>
      <c r="C311" s="5"/>
      <c r="D311" s="5"/>
      <c r="E311" s="5"/>
      <c r="F311" s="5"/>
      <c r="G311" s="5"/>
      <c r="H311" s="5"/>
      <c r="I311" s="5"/>
      <c r="J311" s="5"/>
      <c r="K311" s="5"/>
      <c r="L311" s="5"/>
      <c r="M311" s="5"/>
      <c r="N311" s="5"/>
      <c r="O311" s="5"/>
      <c r="P311" s="5"/>
    </row>
    <row r="312" spans="1:16" x14ac:dyDescent="0.25">
      <c r="A312" s="5"/>
      <c r="B312" s="5"/>
      <c r="C312" s="5"/>
      <c r="D312" s="5"/>
      <c r="E312" s="5"/>
      <c r="F312" s="5"/>
      <c r="G312" s="5"/>
      <c r="H312" s="5"/>
      <c r="I312" s="5"/>
      <c r="J312" s="5"/>
      <c r="K312" s="5"/>
      <c r="L312" s="5"/>
      <c r="M312" s="5"/>
      <c r="N312" s="5"/>
      <c r="O312" s="5"/>
      <c r="P312" s="5"/>
    </row>
    <row r="313" spans="1:16" x14ac:dyDescent="0.25">
      <c r="A313" s="5"/>
      <c r="B313" s="5"/>
      <c r="C313" s="5"/>
      <c r="D313" s="5"/>
      <c r="E313" s="5"/>
      <c r="F313" s="5"/>
      <c r="G313" s="5"/>
      <c r="H313" s="5"/>
      <c r="I313" s="5"/>
      <c r="J313" s="5"/>
      <c r="K313" s="5"/>
      <c r="L313" s="5"/>
      <c r="M313" s="5"/>
      <c r="N313" s="5"/>
      <c r="O313" s="5"/>
      <c r="P313" s="5"/>
    </row>
    <row r="314" spans="1:16" x14ac:dyDescent="0.25">
      <c r="A314" s="5"/>
      <c r="B314" s="5"/>
      <c r="C314" s="5"/>
      <c r="D314" s="5"/>
      <c r="E314" s="5"/>
      <c r="F314" s="5"/>
      <c r="G314" s="5"/>
      <c r="H314" s="5"/>
      <c r="I314" s="5"/>
      <c r="J314" s="5"/>
      <c r="K314" s="5"/>
      <c r="L314" s="5"/>
      <c r="M314" s="5"/>
      <c r="N314" s="5"/>
      <c r="O314" s="5"/>
      <c r="P314" s="5"/>
    </row>
    <row r="315" spans="1:16" x14ac:dyDescent="0.25">
      <c r="A315" s="5"/>
      <c r="B315" s="5"/>
      <c r="C315" s="5"/>
      <c r="D315" s="5"/>
      <c r="E315" s="5"/>
      <c r="F315" s="5"/>
      <c r="G315" s="5"/>
      <c r="H315" s="5"/>
      <c r="I315" s="5"/>
      <c r="J315" s="5"/>
      <c r="K315" s="5"/>
      <c r="L315" s="5"/>
      <c r="M315" s="5"/>
      <c r="N315" s="5"/>
      <c r="O315" s="5"/>
      <c r="P315" s="5"/>
    </row>
    <row r="316" spans="1:16" x14ac:dyDescent="0.25">
      <c r="A316" s="5"/>
      <c r="B316" s="5"/>
      <c r="C316" s="5"/>
      <c r="D316" s="5"/>
      <c r="E316" s="5"/>
      <c r="F316" s="5"/>
      <c r="G316" s="5"/>
      <c r="H316" s="5"/>
      <c r="I316" s="5"/>
      <c r="J316" s="5"/>
      <c r="K316" s="5"/>
      <c r="L316" s="5"/>
      <c r="M316" s="5"/>
      <c r="N316" s="5"/>
      <c r="O316" s="5"/>
      <c r="P316" s="5"/>
    </row>
    <row r="317" spans="1:16" x14ac:dyDescent="0.25">
      <c r="A317" s="5"/>
      <c r="B317" s="5"/>
      <c r="C317" s="5"/>
      <c r="D317" s="5"/>
      <c r="E317" s="5"/>
      <c r="F317" s="5"/>
      <c r="G317" s="5"/>
      <c r="H317" s="5"/>
      <c r="I317" s="5"/>
      <c r="J317" s="5"/>
      <c r="K317" s="5"/>
      <c r="L317" s="5"/>
      <c r="M317" s="5"/>
      <c r="N317" s="5"/>
      <c r="O317" s="5"/>
      <c r="P317" s="5"/>
    </row>
    <row r="318" spans="1:16" x14ac:dyDescent="0.25">
      <c r="A318" s="5"/>
      <c r="B318" s="5"/>
      <c r="C318" s="5"/>
      <c r="D318" s="5"/>
      <c r="E318" s="5"/>
      <c r="F318" s="5"/>
      <c r="G318" s="5"/>
      <c r="H318" s="5"/>
      <c r="I318" s="5"/>
      <c r="J318" s="5"/>
      <c r="K318" s="5"/>
      <c r="L318" s="5"/>
      <c r="M318" s="5"/>
      <c r="N318" s="5"/>
      <c r="O318" s="5"/>
      <c r="P318" s="5"/>
    </row>
    <row r="319" spans="1:16" x14ac:dyDescent="0.25">
      <c r="A319" s="5"/>
      <c r="B319" s="5"/>
      <c r="C319" s="5"/>
      <c r="D319" s="5"/>
      <c r="E319" s="5"/>
      <c r="F319" s="5"/>
      <c r="G319" s="5"/>
      <c r="H319" s="5"/>
      <c r="I319" s="5"/>
      <c r="J319" s="5"/>
      <c r="K319" s="5"/>
      <c r="L319" s="5"/>
      <c r="M319" s="5"/>
      <c r="N319" s="5"/>
      <c r="O319" s="5"/>
      <c r="P319" s="5"/>
    </row>
  </sheetData>
  <sheetProtection algorithmName="SHA-512" hashValue="9pOMinG0Ub+zTRCleH7AuFISdVTLOBpyxYl78HWntLVlzD+wr51GvseL1cYumugk6qPnSaTd+7v3pdO3cK9pMg==" saltValue="xOVI1DS4dueXhkD/xqodXQ==" spinCount="100000" sheet="1" objects="1" scenarios="1" formatCells="0" formatColumns="0" formatRows="0"/>
  <autoFilter ref="A22:P301">
    <filterColumn colId="2">
      <filters blank="1">
        <filter val="1 014"/>
        <filter val="1 044"/>
        <filter val="1 100"/>
        <filter val="1 200"/>
        <filter val="1 340"/>
        <filter val="1 365"/>
        <filter val="1 500"/>
        <filter val="10 000"/>
        <filter val="10 143"/>
        <filter val="10 391"/>
        <filter val="10 395"/>
        <filter val="100"/>
        <filter val="105"/>
        <filter val="109 959"/>
        <filter val="11 716"/>
        <filter val="112"/>
        <filter val="130"/>
        <filter val="14"/>
        <filter val="14 563"/>
        <filter val="143"/>
        <filter val="150"/>
        <filter val="160"/>
        <filter val="18 522"/>
        <filter val="180"/>
        <filter val="2 136"/>
        <filter val="2 338"/>
        <filter val="2 514"/>
        <filter val="2 768"/>
        <filter val="200"/>
        <filter val="23 228"/>
        <filter val="23 528"/>
        <filter val="26 334"/>
        <filter val="298 792"/>
        <filter val="3 608"/>
        <filter val="3 714"/>
        <filter val="30 000"/>
        <filter val="32"/>
        <filter val="382 075"/>
        <filter val="4 380"/>
        <filter val="4 548"/>
        <filter val="406"/>
        <filter val="492 034"/>
        <filter val="50 448"/>
        <filter val="511"/>
        <filter val="518 954"/>
        <filter val="536"/>
        <filter val="542 482"/>
        <filter val="558"/>
        <filter val="6 255"/>
        <filter val="7 593"/>
        <filter val="719"/>
        <filter val="751"/>
        <filter val="8 880"/>
        <filter val="80 945"/>
        <filter val="800"/>
        <filter val="834"/>
        <filter val="87"/>
        <filter val="9 672"/>
        <filter val="9 760"/>
        <filter val="9 885"/>
        <filter val="91 437"/>
      </filters>
    </filterColumn>
  </autoFilter>
  <mergeCells count="32">
    <mergeCell ref="A288:B288"/>
    <mergeCell ref="A289:B289"/>
    <mergeCell ref="A301:P301"/>
    <mergeCell ref="I20:I21"/>
    <mergeCell ref="J20:J21"/>
    <mergeCell ref="K20:K21"/>
    <mergeCell ref="L20:L21"/>
    <mergeCell ref="M20:M21"/>
    <mergeCell ref="N20:N21"/>
    <mergeCell ref="A19:A21"/>
    <mergeCell ref="B19:B21"/>
    <mergeCell ref="C19:O19"/>
    <mergeCell ref="P19:P21"/>
    <mergeCell ref="C20:C21"/>
    <mergeCell ref="D20:D21"/>
    <mergeCell ref="E20:E21"/>
    <mergeCell ref="F20:F21"/>
    <mergeCell ref="G20:G21"/>
    <mergeCell ref="H20:H21"/>
    <mergeCell ref="C12:P12"/>
    <mergeCell ref="C13:P13"/>
    <mergeCell ref="C14:P14"/>
    <mergeCell ref="C15:P15"/>
    <mergeCell ref="C16:P16"/>
    <mergeCell ref="C17:P17"/>
    <mergeCell ref="O20:O21"/>
    <mergeCell ref="C10:P10"/>
    <mergeCell ref="A4:P4"/>
    <mergeCell ref="C6:P6"/>
    <mergeCell ref="C7:P7"/>
    <mergeCell ref="C8:P8"/>
    <mergeCell ref="C9:P9"/>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78.pielikums Jūrmalas pilsētas domes
2017.gada 30.janvāra saistošajiem noteikumiem Nr.10
(Protokols Nr.4, 1.punkts)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18"/>
  <sheetViews>
    <sheetView showGridLines="0" view="pageLayout" zoomScaleNormal="100" workbookViewId="0">
      <selection activeCell="U15" sqref="U15"/>
    </sheetView>
  </sheetViews>
  <sheetFormatPr defaultRowHeight="12" outlineLevelCol="1" x14ac:dyDescent="0.25"/>
  <cols>
    <col min="1" max="1" width="6.7109375" style="1" customWidth="1"/>
    <col min="2" max="2" width="27.28515625" style="1" customWidth="1"/>
    <col min="3" max="3" width="8.7109375" style="1" customWidth="1"/>
    <col min="4" max="4" width="7.85546875" style="1" hidden="1" customWidth="1" outlineLevel="1"/>
    <col min="5" max="5" width="7.5703125" style="1" hidden="1" customWidth="1" outlineLevel="1"/>
    <col min="6" max="6" width="7" style="1" customWidth="1" collapsed="1"/>
    <col min="7" max="8" width="8.140625" style="1" hidden="1" customWidth="1" outlineLevel="1"/>
    <col min="9" max="9" width="8.140625" style="1" customWidth="1" collapsed="1"/>
    <col min="10" max="10" width="8.7109375" style="1" hidden="1" customWidth="1" outlineLevel="1"/>
    <col min="11" max="11" width="7" style="1" hidden="1" customWidth="1" outlineLevel="1"/>
    <col min="12" max="12" width="7" style="1" customWidth="1" collapsed="1"/>
    <col min="13" max="14" width="6.7109375" style="1" hidden="1" customWidth="1" outlineLevel="1"/>
    <col min="15" max="15" width="6.7109375" style="1" customWidth="1" collapsed="1"/>
    <col min="16" max="16" width="28.42578125" style="1" hidden="1" customWidth="1" outlineLevel="1"/>
    <col min="17" max="17" width="9.140625" style="5" customWidth="1" collapsed="1"/>
    <col min="18" max="16384" width="9.140625" style="5"/>
  </cols>
  <sheetData>
    <row r="1" spans="1:17" x14ac:dyDescent="0.25">
      <c r="B1" s="409"/>
      <c r="C1" s="409"/>
      <c r="D1" s="409"/>
      <c r="E1" s="409"/>
      <c r="F1" s="409"/>
      <c r="G1" s="409"/>
      <c r="H1" s="409"/>
      <c r="I1" s="409"/>
      <c r="J1" s="409"/>
      <c r="K1" s="409"/>
      <c r="L1" s="409"/>
      <c r="M1" s="409"/>
      <c r="N1" s="409"/>
      <c r="O1" s="410" t="s">
        <v>532</v>
      </c>
      <c r="P1" s="409"/>
    </row>
    <row r="2" spans="1:17" x14ac:dyDescent="0.25">
      <c r="B2" s="409"/>
      <c r="C2" s="409"/>
      <c r="D2" s="409"/>
      <c r="E2" s="409"/>
      <c r="F2" s="409"/>
      <c r="G2" s="409"/>
      <c r="H2" s="409"/>
      <c r="I2" s="409"/>
      <c r="J2" s="409"/>
      <c r="K2" s="409"/>
      <c r="L2" s="409"/>
      <c r="M2" s="409"/>
      <c r="N2" s="409"/>
      <c r="O2" s="410"/>
      <c r="P2" s="409"/>
    </row>
    <row r="3" spans="1:17" x14ac:dyDescent="0.25">
      <c r="A3" s="411"/>
      <c r="B3" s="412"/>
      <c r="C3" s="412"/>
      <c r="D3" s="412"/>
      <c r="E3" s="412"/>
      <c r="F3" s="412"/>
      <c r="G3" s="412"/>
      <c r="H3" s="412"/>
      <c r="I3" s="412"/>
      <c r="J3" s="412"/>
      <c r="K3" s="412"/>
      <c r="L3" s="412"/>
      <c r="M3" s="412"/>
      <c r="N3" s="412"/>
      <c r="O3" s="413"/>
      <c r="P3" s="414"/>
      <c r="Q3" s="7"/>
    </row>
    <row r="4" spans="1:17" ht="15.75" x14ac:dyDescent="0.25">
      <c r="A4" s="1560" t="s">
        <v>1</v>
      </c>
      <c r="B4" s="1561"/>
      <c r="C4" s="1561"/>
      <c r="D4" s="1561"/>
      <c r="E4" s="1561"/>
      <c r="F4" s="1561"/>
      <c r="G4" s="1561"/>
      <c r="H4" s="1561"/>
      <c r="I4" s="1561"/>
      <c r="J4" s="1561"/>
      <c r="K4" s="1561"/>
      <c r="L4" s="1561"/>
      <c r="M4" s="1561"/>
      <c r="N4" s="1561"/>
      <c r="O4" s="1561"/>
      <c r="P4" s="1561"/>
      <c r="Q4" s="7"/>
    </row>
    <row r="5" spans="1:17" ht="15.75" x14ac:dyDescent="0.25">
      <c r="A5" s="653"/>
      <c r="B5" s="654"/>
      <c r="C5" s="654"/>
      <c r="D5" s="654"/>
      <c r="E5" s="654"/>
      <c r="F5" s="654"/>
      <c r="G5" s="654"/>
      <c r="H5" s="654"/>
      <c r="I5" s="654"/>
      <c r="J5" s="654"/>
      <c r="K5" s="654"/>
      <c r="L5" s="654"/>
      <c r="M5" s="654"/>
      <c r="N5" s="654"/>
      <c r="O5" s="654"/>
      <c r="P5" s="654"/>
      <c r="Q5" s="7"/>
    </row>
    <row r="6" spans="1:17" ht="12.75" customHeight="1" x14ac:dyDescent="0.25">
      <c r="A6" s="13" t="s">
        <v>2</v>
      </c>
      <c r="B6" s="14"/>
      <c r="C6" s="1555" t="s">
        <v>521</v>
      </c>
      <c r="D6" s="1555"/>
      <c r="E6" s="1555"/>
      <c r="F6" s="1555"/>
      <c r="G6" s="1555"/>
      <c r="H6" s="1555"/>
      <c r="I6" s="1555"/>
      <c r="J6" s="1555"/>
      <c r="K6" s="1555"/>
      <c r="L6" s="1555"/>
      <c r="M6" s="1555"/>
      <c r="N6" s="1555"/>
      <c r="O6" s="1555"/>
      <c r="P6" s="1555"/>
      <c r="Q6" s="7"/>
    </row>
    <row r="7" spans="1:17" ht="12.75" customHeight="1" x14ac:dyDescent="0.25">
      <c r="A7" s="13" t="s">
        <v>4</v>
      </c>
      <c r="B7" s="14"/>
      <c r="C7" s="1555" t="s">
        <v>522</v>
      </c>
      <c r="D7" s="1555"/>
      <c r="E7" s="1555"/>
      <c r="F7" s="1555"/>
      <c r="G7" s="1555"/>
      <c r="H7" s="1555"/>
      <c r="I7" s="1555"/>
      <c r="J7" s="1555"/>
      <c r="K7" s="1555"/>
      <c r="L7" s="1555"/>
      <c r="M7" s="1555"/>
      <c r="N7" s="1555"/>
      <c r="O7" s="1555"/>
      <c r="P7" s="1555"/>
      <c r="Q7" s="7"/>
    </row>
    <row r="8" spans="1:17" ht="12.75" customHeight="1" x14ac:dyDescent="0.25">
      <c r="A8" s="8" t="s">
        <v>6</v>
      </c>
      <c r="B8" s="9"/>
      <c r="C8" s="1553" t="s">
        <v>533</v>
      </c>
      <c r="D8" s="1553"/>
      <c r="E8" s="1553"/>
      <c r="F8" s="1553"/>
      <c r="G8" s="1553"/>
      <c r="H8" s="1553"/>
      <c r="I8" s="1553"/>
      <c r="J8" s="1553"/>
      <c r="K8" s="1553"/>
      <c r="L8" s="1553"/>
      <c r="M8" s="1553"/>
      <c r="N8" s="1553"/>
      <c r="O8" s="1553"/>
      <c r="P8" s="1553"/>
      <c r="Q8" s="7"/>
    </row>
    <row r="9" spans="1:17" ht="12.75" customHeight="1" x14ac:dyDescent="0.25">
      <c r="A9" s="8" t="s">
        <v>8</v>
      </c>
      <c r="B9" s="9"/>
      <c r="C9" s="1553" t="s">
        <v>524</v>
      </c>
      <c r="D9" s="1553"/>
      <c r="E9" s="1553"/>
      <c r="F9" s="1553"/>
      <c r="G9" s="1553"/>
      <c r="H9" s="1553"/>
      <c r="I9" s="1553"/>
      <c r="J9" s="1553"/>
      <c r="K9" s="1553"/>
      <c r="L9" s="1553"/>
      <c r="M9" s="1553"/>
      <c r="N9" s="1553"/>
      <c r="O9" s="1553"/>
      <c r="P9" s="1553"/>
      <c r="Q9" s="7"/>
    </row>
    <row r="10" spans="1:17" ht="24.75" customHeight="1" x14ac:dyDescent="0.25">
      <c r="A10" s="8" t="s">
        <v>10</v>
      </c>
      <c r="B10" s="9"/>
      <c r="C10" s="1555" t="s">
        <v>534</v>
      </c>
      <c r="D10" s="1555"/>
      <c r="E10" s="1555"/>
      <c r="F10" s="1555"/>
      <c r="G10" s="1555"/>
      <c r="H10" s="1555"/>
      <c r="I10" s="1555"/>
      <c r="J10" s="1555"/>
      <c r="K10" s="1555"/>
      <c r="L10" s="1555"/>
      <c r="M10" s="1555"/>
      <c r="N10" s="1555"/>
      <c r="O10" s="1555"/>
      <c r="P10" s="1555"/>
      <c r="Q10" s="7"/>
    </row>
    <row r="11" spans="1:17" x14ac:dyDescent="0.25">
      <c r="A11" s="8" t="s">
        <v>12</v>
      </c>
      <c r="B11" s="9"/>
      <c r="C11" s="655"/>
      <c r="D11" s="655"/>
      <c r="E11" s="655"/>
      <c r="F11" s="655"/>
      <c r="H11" s="655"/>
      <c r="I11" s="655"/>
      <c r="J11" s="655"/>
      <c r="K11" s="655" t="s">
        <v>535</v>
      </c>
      <c r="L11" s="655"/>
      <c r="M11" s="655"/>
      <c r="N11" s="655"/>
      <c r="O11" s="655"/>
      <c r="P11" s="655"/>
      <c r="Q11" s="7"/>
    </row>
    <row r="12" spans="1:17" ht="12.75" customHeight="1" x14ac:dyDescent="0.25">
      <c r="A12" s="15" t="s">
        <v>14</v>
      </c>
      <c r="B12" s="9"/>
      <c r="C12" s="1599"/>
      <c r="D12" s="1599"/>
      <c r="E12" s="1599"/>
      <c r="F12" s="1599"/>
      <c r="G12" s="1599"/>
      <c r="H12" s="1599"/>
      <c r="I12" s="1599"/>
      <c r="J12" s="1599"/>
      <c r="K12" s="1599"/>
      <c r="L12" s="1599"/>
      <c r="M12" s="1599"/>
      <c r="N12" s="1599"/>
      <c r="O12" s="1599"/>
      <c r="P12" s="1599"/>
      <c r="Q12" s="7"/>
    </row>
    <row r="13" spans="1:17" ht="12.75" customHeight="1" x14ac:dyDescent="0.25">
      <c r="A13" s="8"/>
      <c r="B13" s="9" t="s">
        <v>15</v>
      </c>
      <c r="C13" s="1553" t="s">
        <v>526</v>
      </c>
      <c r="D13" s="1553"/>
      <c r="E13" s="1553"/>
      <c r="F13" s="1553"/>
      <c r="G13" s="1553"/>
      <c r="H13" s="1553"/>
      <c r="I13" s="1553"/>
      <c r="J13" s="1553"/>
      <c r="K13" s="1553"/>
      <c r="L13" s="1553"/>
      <c r="M13" s="1553"/>
      <c r="N13" s="1553"/>
      <c r="O13" s="1553"/>
      <c r="P13" s="1553"/>
      <c r="Q13" s="7"/>
    </row>
    <row r="14" spans="1:17" ht="12.75" customHeight="1" x14ac:dyDescent="0.25">
      <c r="A14" s="8"/>
      <c r="B14" s="9" t="s">
        <v>17</v>
      </c>
      <c r="C14" s="1553"/>
      <c r="D14" s="1553"/>
      <c r="E14" s="1553"/>
      <c r="F14" s="1553"/>
      <c r="G14" s="1553"/>
      <c r="H14" s="1553"/>
      <c r="I14" s="1553"/>
      <c r="J14" s="1553"/>
      <c r="K14" s="1553"/>
      <c r="L14" s="1553"/>
      <c r="M14" s="1553"/>
      <c r="N14" s="1553"/>
      <c r="O14" s="1553"/>
      <c r="P14" s="1553"/>
      <c r="Q14" s="7"/>
    </row>
    <row r="15" spans="1:17" ht="12.75" customHeight="1" x14ac:dyDescent="0.25">
      <c r="A15" s="8"/>
      <c r="B15" s="9" t="s">
        <v>19</v>
      </c>
      <c r="C15" s="1599"/>
      <c r="D15" s="1599"/>
      <c r="E15" s="1599"/>
      <c r="F15" s="1599"/>
      <c r="G15" s="1599"/>
      <c r="H15" s="1599"/>
      <c r="I15" s="1599"/>
      <c r="J15" s="1599"/>
      <c r="K15" s="1599"/>
      <c r="L15" s="1599"/>
      <c r="M15" s="1599"/>
      <c r="N15" s="1599"/>
      <c r="O15" s="1599"/>
      <c r="P15" s="1599"/>
      <c r="Q15" s="7"/>
    </row>
    <row r="16" spans="1:17" ht="12.75" customHeight="1" x14ac:dyDescent="0.25">
      <c r="A16" s="8"/>
      <c r="B16" s="9" t="s">
        <v>20</v>
      </c>
      <c r="C16" s="1553" t="s">
        <v>527</v>
      </c>
      <c r="D16" s="1553"/>
      <c r="E16" s="1553"/>
      <c r="F16" s="1553"/>
      <c r="G16" s="1553"/>
      <c r="H16" s="1553"/>
      <c r="I16" s="1553"/>
      <c r="J16" s="1553"/>
      <c r="K16" s="1553"/>
      <c r="L16" s="1553"/>
      <c r="M16" s="1553"/>
      <c r="N16" s="1553"/>
      <c r="O16" s="1553"/>
      <c r="P16" s="1553"/>
      <c r="Q16" s="7"/>
    </row>
    <row r="17" spans="1:19" ht="12.75" customHeight="1" x14ac:dyDescent="0.25">
      <c r="A17" s="8"/>
      <c r="B17" s="9" t="s">
        <v>22</v>
      </c>
      <c r="C17" s="1553" t="s">
        <v>528</v>
      </c>
      <c r="D17" s="1553"/>
      <c r="E17" s="1553"/>
      <c r="F17" s="1553"/>
      <c r="G17" s="1553"/>
      <c r="H17" s="1553"/>
      <c r="I17" s="1553"/>
      <c r="J17" s="1553"/>
      <c r="K17" s="1553"/>
      <c r="L17" s="1553"/>
      <c r="M17" s="1553"/>
      <c r="N17" s="1553"/>
      <c r="O17" s="1553"/>
      <c r="P17" s="1553"/>
      <c r="Q17" s="7"/>
    </row>
    <row r="18" spans="1:19" ht="12.75" customHeight="1" x14ac:dyDescent="0.25">
      <c r="A18" s="18"/>
      <c r="B18" s="19"/>
      <c r="C18" s="419"/>
      <c r="D18" s="419"/>
      <c r="E18" s="419"/>
      <c r="F18" s="419"/>
      <c r="G18" s="419"/>
      <c r="H18" s="419"/>
      <c r="I18" s="419"/>
      <c r="J18" s="419"/>
      <c r="K18" s="419"/>
      <c r="L18" s="419"/>
      <c r="M18" s="419"/>
      <c r="N18" s="419"/>
      <c r="O18" s="419"/>
      <c r="P18" s="419"/>
      <c r="Q18" s="7"/>
    </row>
    <row r="19" spans="1:19" s="20" customFormat="1" ht="12.75" customHeight="1" x14ac:dyDescent="0.25">
      <c r="A19" s="1571" t="s">
        <v>23</v>
      </c>
      <c r="B19" s="1574" t="s">
        <v>24</v>
      </c>
      <c r="C19" s="1602" t="s">
        <v>25</v>
      </c>
      <c r="D19" s="1603"/>
      <c r="E19" s="1603"/>
      <c r="F19" s="1603"/>
      <c r="G19" s="1603"/>
      <c r="H19" s="1603"/>
      <c r="I19" s="1603"/>
      <c r="J19" s="1603"/>
      <c r="K19" s="1603"/>
      <c r="L19" s="1603"/>
      <c r="M19" s="1603"/>
      <c r="N19" s="1603"/>
      <c r="O19" s="1604"/>
      <c r="P19" s="1605" t="s">
        <v>26</v>
      </c>
    </row>
    <row r="20" spans="1:19" s="20" customFormat="1" ht="12.75" customHeight="1" x14ac:dyDescent="0.25">
      <c r="A20" s="1601"/>
      <c r="B20" s="1575"/>
      <c r="C20" s="1580" t="s">
        <v>27</v>
      </c>
      <c r="D20" s="1608" t="s">
        <v>28</v>
      </c>
      <c r="E20" s="1567" t="s">
        <v>29</v>
      </c>
      <c r="F20" s="1563" t="s">
        <v>30</v>
      </c>
      <c r="G20" s="1610" t="s">
        <v>31</v>
      </c>
      <c r="H20" s="1567" t="s">
        <v>32</v>
      </c>
      <c r="I20" s="1565" t="s">
        <v>33</v>
      </c>
      <c r="J20" s="1610" t="s">
        <v>34</v>
      </c>
      <c r="K20" s="1582" t="s">
        <v>35</v>
      </c>
      <c r="L20" s="1593" t="s">
        <v>36</v>
      </c>
      <c r="M20" s="1610" t="s">
        <v>37</v>
      </c>
      <c r="N20" s="1567" t="s">
        <v>38</v>
      </c>
      <c r="O20" s="1563" t="s">
        <v>39</v>
      </c>
      <c r="P20" s="1606"/>
    </row>
    <row r="21" spans="1:19" s="21" customFormat="1" ht="72.75" customHeight="1" thickBot="1" x14ac:dyDescent="0.3">
      <c r="A21" s="1573"/>
      <c r="B21" s="1575"/>
      <c r="C21" s="1581"/>
      <c r="D21" s="1609"/>
      <c r="E21" s="1568"/>
      <c r="F21" s="1564"/>
      <c r="G21" s="1611"/>
      <c r="H21" s="1568"/>
      <c r="I21" s="1566"/>
      <c r="J21" s="1611"/>
      <c r="K21" s="1583"/>
      <c r="L21" s="1594"/>
      <c r="M21" s="1611"/>
      <c r="N21" s="1568"/>
      <c r="O21" s="1564"/>
      <c r="P21" s="1607"/>
    </row>
    <row r="22" spans="1:19" s="21" customFormat="1" ht="9.75" customHeight="1" thickTop="1" x14ac:dyDescent="0.25">
      <c r="A22" s="22" t="s">
        <v>40</v>
      </c>
      <c r="B22" s="22">
        <v>2</v>
      </c>
      <c r="C22" s="661">
        <v>3</v>
      </c>
      <c r="D22" s="24">
        <v>4</v>
      </c>
      <c r="E22" s="25">
        <v>5</v>
      </c>
      <c r="F22" s="661">
        <v>6</v>
      </c>
      <c r="G22" s="24">
        <v>7</v>
      </c>
      <c r="H22" s="29">
        <v>8</v>
      </c>
      <c r="I22" s="25">
        <v>9</v>
      </c>
      <c r="J22" s="24">
        <v>10</v>
      </c>
      <c r="K22" s="25">
        <v>11</v>
      </c>
      <c r="L22" s="661">
        <v>12</v>
      </c>
      <c r="M22" s="24">
        <v>13</v>
      </c>
      <c r="N22" s="29">
        <v>14</v>
      </c>
      <c r="O22" s="661">
        <v>15</v>
      </c>
      <c r="P22" s="27">
        <v>16</v>
      </c>
    </row>
    <row r="23" spans="1:19" s="41" customFormat="1" x14ac:dyDescent="0.25">
      <c r="A23" s="30"/>
      <c r="B23" s="31" t="s">
        <v>41</v>
      </c>
      <c r="C23" s="421"/>
      <c r="D23" s="33"/>
      <c r="E23" s="34"/>
      <c r="F23" s="424"/>
      <c r="G23" s="33"/>
      <c r="H23" s="39"/>
      <c r="I23" s="34"/>
      <c r="J23" s="33"/>
      <c r="K23" s="34"/>
      <c r="L23" s="424"/>
      <c r="M23" s="33"/>
      <c r="N23" s="39"/>
      <c r="O23" s="424"/>
      <c r="P23" s="422"/>
    </row>
    <row r="24" spans="1:19" s="41" customFormat="1" ht="12.75" thickBot="1" x14ac:dyDescent="0.3">
      <c r="A24" s="42"/>
      <c r="B24" s="43" t="s">
        <v>42</v>
      </c>
      <c r="C24" s="425">
        <f>SUM(F24,I24,L24,O24)</f>
        <v>79790</v>
      </c>
      <c r="D24" s="45">
        <f>SUM(D25,D28,D29,D45,D46)</f>
        <v>85939</v>
      </c>
      <c r="E24" s="46">
        <f>SUM(E25,E28,E29,E45,E46)</f>
        <v>-9760</v>
      </c>
      <c r="F24" s="425">
        <f>SUM(F25,F28,F29,F45,F46)</f>
        <v>76179</v>
      </c>
      <c r="G24" s="45">
        <f>SUM(G25,G28,G46)</f>
        <v>0</v>
      </c>
      <c r="H24" s="51">
        <f>SUM(H25,H28,H29,H45,H46)</f>
        <v>0</v>
      </c>
      <c r="I24" s="46">
        <f>SUM(I25,I28,I29,I45,I46)</f>
        <v>0</v>
      </c>
      <c r="J24" s="45">
        <f>SUM(J25,J30,J46)</f>
        <v>3611</v>
      </c>
      <c r="K24" s="46">
        <f>SUM(K25,K30,K46)</f>
        <v>0</v>
      </c>
      <c r="L24" s="425">
        <f>SUM(L25,L30,L46)</f>
        <v>3611</v>
      </c>
      <c r="M24" s="45">
        <f>SUM(M25,M48)</f>
        <v>0</v>
      </c>
      <c r="N24" s="51">
        <f>SUM(N25,N48)</f>
        <v>0</v>
      </c>
      <c r="O24" s="49">
        <f>SUM(O25,O48)</f>
        <v>0</v>
      </c>
      <c r="P24" s="49"/>
      <c r="R24" s="53"/>
      <c r="S24" s="53"/>
    </row>
    <row r="25" spans="1:19" ht="12.75" hidden="1" thickTop="1" x14ac:dyDescent="0.25">
      <c r="A25" s="54"/>
      <c r="B25" s="55" t="s">
        <v>43</v>
      </c>
      <c r="C25" s="426">
        <f t="shared" ref="C25:C50" si="0">SUM(F25,I25,L25,O25)</f>
        <v>0</v>
      </c>
      <c r="D25" s="57">
        <f t="shared" ref="D25:O25" si="1">SUM(D26:D27)</f>
        <v>0</v>
      </c>
      <c r="E25" s="58">
        <f t="shared" si="1"/>
        <v>0</v>
      </c>
      <c r="F25" s="426">
        <f t="shared" si="1"/>
        <v>0</v>
      </c>
      <c r="G25" s="57">
        <f t="shared" si="1"/>
        <v>0</v>
      </c>
      <c r="H25" s="63">
        <f t="shared" si="1"/>
        <v>0</v>
      </c>
      <c r="I25" s="58">
        <f t="shared" si="1"/>
        <v>0</v>
      </c>
      <c r="J25" s="57">
        <f t="shared" si="1"/>
        <v>0</v>
      </c>
      <c r="K25" s="58">
        <f t="shared" si="1"/>
        <v>0</v>
      </c>
      <c r="L25" s="426">
        <f t="shared" si="1"/>
        <v>0</v>
      </c>
      <c r="M25" s="57">
        <f t="shared" si="1"/>
        <v>0</v>
      </c>
      <c r="N25" s="63">
        <f t="shared" si="1"/>
        <v>0</v>
      </c>
      <c r="O25" s="61">
        <f t="shared" si="1"/>
        <v>0</v>
      </c>
      <c r="P25" s="61"/>
      <c r="R25" s="53"/>
      <c r="S25" s="53"/>
    </row>
    <row r="26" spans="1:19" ht="12.75" hidden="1" thickTop="1" x14ac:dyDescent="0.25">
      <c r="A26" s="65"/>
      <c r="B26" s="66" t="s">
        <v>44</v>
      </c>
      <c r="C26" s="70">
        <f t="shared" si="0"/>
        <v>0</v>
      </c>
      <c r="D26" s="68"/>
      <c r="E26" s="673"/>
      <c r="F26" s="428">
        <f>D26+E26</f>
        <v>0</v>
      </c>
      <c r="G26" s="68"/>
      <c r="H26" s="69"/>
      <c r="I26" s="673">
        <f>G26+H26</f>
        <v>0</v>
      </c>
      <c r="J26" s="68"/>
      <c r="K26" s="673"/>
      <c r="L26" s="428">
        <f>J26+K26</f>
        <v>0</v>
      </c>
      <c r="M26" s="68"/>
      <c r="N26" s="69"/>
      <c r="O26" s="428">
        <f>N26+M26</f>
        <v>0</v>
      </c>
      <c r="P26" s="427"/>
      <c r="R26" s="53"/>
      <c r="S26" s="53"/>
    </row>
    <row r="27" spans="1:19" ht="12.75" hidden="1" thickTop="1" x14ac:dyDescent="0.25">
      <c r="A27" s="75"/>
      <c r="B27" s="76" t="s">
        <v>45</v>
      </c>
      <c r="C27" s="429">
        <f t="shared" si="0"/>
        <v>0</v>
      </c>
      <c r="D27" s="78"/>
      <c r="E27" s="79"/>
      <c r="F27" s="432">
        <f>D27+E27</f>
        <v>0</v>
      </c>
      <c r="G27" s="78"/>
      <c r="H27" s="84"/>
      <c r="I27" s="79">
        <f>G27+H27</f>
        <v>0</v>
      </c>
      <c r="J27" s="78"/>
      <c r="K27" s="79"/>
      <c r="L27" s="432">
        <f>J27+K27</f>
        <v>0</v>
      </c>
      <c r="M27" s="431"/>
      <c r="N27" s="84"/>
      <c r="O27" s="432">
        <f>N27+M27</f>
        <v>0</v>
      </c>
      <c r="P27" s="430"/>
      <c r="R27" s="53"/>
      <c r="S27" s="53"/>
    </row>
    <row r="28" spans="1:19" s="41" customFormat="1" ht="33" customHeight="1" thickTop="1" thickBot="1" x14ac:dyDescent="0.3">
      <c r="A28" s="86">
        <v>19300</v>
      </c>
      <c r="B28" s="86" t="s">
        <v>46</v>
      </c>
      <c r="C28" s="696">
        <f t="shared" si="0"/>
        <v>76179</v>
      </c>
      <c r="D28" s="88">
        <f>D54</f>
        <v>85939</v>
      </c>
      <c r="E28" s="89">
        <v>-9760</v>
      </c>
      <c r="F28" s="697">
        <f>D28+E28</f>
        <v>76179</v>
      </c>
      <c r="G28" s="88"/>
      <c r="H28" s="434"/>
      <c r="I28" s="698">
        <f>G28+H28</f>
        <v>0</v>
      </c>
      <c r="J28" s="93" t="s">
        <v>47</v>
      </c>
      <c r="K28" s="437" t="s">
        <v>47</v>
      </c>
      <c r="L28" s="699" t="s">
        <v>47</v>
      </c>
      <c r="M28" s="93" t="s">
        <v>47</v>
      </c>
      <c r="N28" s="97"/>
      <c r="O28" s="95" t="s">
        <v>47</v>
      </c>
      <c r="P28" s="95"/>
      <c r="R28" s="53"/>
      <c r="S28" s="53"/>
    </row>
    <row r="29" spans="1:19" s="41" customFormat="1" ht="36.75" hidden="1" thickTop="1" x14ac:dyDescent="0.25">
      <c r="A29" s="99"/>
      <c r="B29" s="99" t="s">
        <v>48</v>
      </c>
      <c r="C29" s="103">
        <f t="shared" si="0"/>
        <v>0</v>
      </c>
      <c r="D29" s="101"/>
      <c r="E29" s="665"/>
      <c r="F29" s="700">
        <f>D29+E29</f>
        <v>0</v>
      </c>
      <c r="G29" s="104" t="s">
        <v>47</v>
      </c>
      <c r="H29" s="108" t="s">
        <v>47</v>
      </c>
      <c r="I29" s="110" t="s">
        <v>47</v>
      </c>
      <c r="J29" s="104" t="s">
        <v>47</v>
      </c>
      <c r="K29" s="110" t="s">
        <v>47</v>
      </c>
      <c r="L29" s="140" t="s">
        <v>47</v>
      </c>
      <c r="M29" s="104" t="s">
        <v>47</v>
      </c>
      <c r="N29" s="108"/>
      <c r="O29" s="106" t="s">
        <v>47</v>
      </c>
      <c r="P29" s="106"/>
      <c r="R29" s="53"/>
      <c r="S29" s="53"/>
    </row>
    <row r="30" spans="1:19" s="41" customFormat="1" ht="36.75" thickTop="1" x14ac:dyDescent="0.25">
      <c r="A30" s="99">
        <v>21300</v>
      </c>
      <c r="B30" s="99" t="s">
        <v>49</v>
      </c>
      <c r="C30" s="103">
        <f t="shared" si="0"/>
        <v>3611</v>
      </c>
      <c r="D30" s="104" t="s">
        <v>47</v>
      </c>
      <c r="E30" s="110" t="s">
        <v>47</v>
      </c>
      <c r="F30" s="140" t="s">
        <v>47</v>
      </c>
      <c r="G30" s="104" t="s">
        <v>47</v>
      </c>
      <c r="H30" s="108" t="s">
        <v>47</v>
      </c>
      <c r="I30" s="110" t="s">
        <v>47</v>
      </c>
      <c r="J30" s="112">
        <f>SUM(J31,J35,J37,J40)</f>
        <v>3611</v>
      </c>
      <c r="K30" s="248">
        <f>SUM(K31,K35,K37,K40)</f>
        <v>0</v>
      </c>
      <c r="L30" s="313">
        <f>SUM(L31,L35,L37,L40)</f>
        <v>3611</v>
      </c>
      <c r="M30" s="104" t="s">
        <v>47</v>
      </c>
      <c r="N30" s="293"/>
      <c r="O30" s="106" t="s">
        <v>47</v>
      </c>
      <c r="P30" s="114"/>
      <c r="R30" s="53"/>
      <c r="S30" s="53"/>
    </row>
    <row r="31" spans="1:19" s="41" customFormat="1" ht="24" hidden="1" x14ac:dyDescent="0.25">
      <c r="A31" s="115">
        <v>21350</v>
      </c>
      <c r="B31" s="99" t="s">
        <v>50</v>
      </c>
      <c r="C31" s="103">
        <f t="shared" si="0"/>
        <v>0</v>
      </c>
      <c r="D31" s="104" t="s">
        <v>47</v>
      </c>
      <c r="E31" s="110" t="s">
        <v>47</v>
      </c>
      <c r="F31" s="140" t="s">
        <v>47</v>
      </c>
      <c r="G31" s="104" t="s">
        <v>47</v>
      </c>
      <c r="H31" s="108" t="s">
        <v>47</v>
      </c>
      <c r="I31" s="110" t="s">
        <v>47</v>
      </c>
      <c r="J31" s="112">
        <f>SUM(J32:J34)</f>
        <v>0</v>
      </c>
      <c r="K31" s="248">
        <f>SUM(K32:K34)</f>
        <v>0</v>
      </c>
      <c r="L31" s="313">
        <f>SUM(L32:L34)</f>
        <v>0</v>
      </c>
      <c r="M31" s="104" t="s">
        <v>47</v>
      </c>
      <c r="N31" s="293"/>
      <c r="O31" s="106" t="s">
        <v>47</v>
      </c>
      <c r="P31" s="114"/>
      <c r="R31" s="53"/>
      <c r="S31" s="53"/>
    </row>
    <row r="32" spans="1:19" hidden="1" x14ac:dyDescent="0.25">
      <c r="A32" s="65">
        <v>21351</v>
      </c>
      <c r="B32" s="116" t="s">
        <v>51</v>
      </c>
      <c r="C32" s="70">
        <f t="shared" si="0"/>
        <v>0</v>
      </c>
      <c r="D32" s="118" t="s">
        <v>47</v>
      </c>
      <c r="E32" s="154" t="s">
        <v>47</v>
      </c>
      <c r="F32" s="120" t="s">
        <v>47</v>
      </c>
      <c r="G32" s="118" t="s">
        <v>47</v>
      </c>
      <c r="H32" s="119" t="s">
        <v>47</v>
      </c>
      <c r="I32" s="154" t="s">
        <v>47</v>
      </c>
      <c r="J32" s="123"/>
      <c r="K32" s="295"/>
      <c r="L32" s="428">
        <f>J32+K32</f>
        <v>0</v>
      </c>
      <c r="M32" s="118" t="s">
        <v>47</v>
      </c>
      <c r="N32" s="262"/>
      <c r="O32" s="122" t="s">
        <v>47</v>
      </c>
      <c r="P32" s="442"/>
      <c r="R32" s="53"/>
      <c r="S32" s="53"/>
    </row>
    <row r="33" spans="1:19" hidden="1" x14ac:dyDescent="0.25">
      <c r="A33" s="75">
        <v>21352</v>
      </c>
      <c r="B33" s="127" t="s">
        <v>52</v>
      </c>
      <c r="C33" s="429">
        <f t="shared" si="0"/>
        <v>0</v>
      </c>
      <c r="D33" s="129" t="s">
        <v>47</v>
      </c>
      <c r="E33" s="130" t="s">
        <v>47</v>
      </c>
      <c r="F33" s="139" t="s">
        <v>47</v>
      </c>
      <c r="G33" s="129" t="s">
        <v>47</v>
      </c>
      <c r="H33" s="138" t="s">
        <v>47</v>
      </c>
      <c r="I33" s="130" t="s">
        <v>47</v>
      </c>
      <c r="J33" s="134"/>
      <c r="K33" s="283"/>
      <c r="L33" s="432">
        <f>J33+K33</f>
        <v>0</v>
      </c>
      <c r="M33" s="129" t="s">
        <v>47</v>
      </c>
      <c r="N33" s="285"/>
      <c r="O33" s="133" t="s">
        <v>47</v>
      </c>
      <c r="P33" s="443"/>
      <c r="R33" s="53"/>
      <c r="S33" s="53"/>
    </row>
    <row r="34" spans="1:19" ht="24" hidden="1" x14ac:dyDescent="0.25">
      <c r="A34" s="75">
        <v>21359</v>
      </c>
      <c r="B34" s="127" t="s">
        <v>53</v>
      </c>
      <c r="C34" s="429">
        <f t="shared" si="0"/>
        <v>0</v>
      </c>
      <c r="D34" s="129" t="s">
        <v>47</v>
      </c>
      <c r="E34" s="130" t="s">
        <v>47</v>
      </c>
      <c r="F34" s="139" t="s">
        <v>47</v>
      </c>
      <c r="G34" s="129" t="s">
        <v>47</v>
      </c>
      <c r="H34" s="138" t="s">
        <v>47</v>
      </c>
      <c r="I34" s="130" t="s">
        <v>47</v>
      </c>
      <c r="J34" s="134"/>
      <c r="K34" s="283"/>
      <c r="L34" s="432">
        <f>J34+K34</f>
        <v>0</v>
      </c>
      <c r="M34" s="129" t="s">
        <v>47</v>
      </c>
      <c r="N34" s="285"/>
      <c r="O34" s="133" t="s">
        <v>47</v>
      </c>
      <c r="P34" s="443"/>
      <c r="R34" s="53"/>
      <c r="S34" s="53"/>
    </row>
    <row r="35" spans="1:19" s="41" customFormat="1" ht="36" hidden="1" x14ac:dyDescent="0.25">
      <c r="A35" s="115">
        <v>21370</v>
      </c>
      <c r="B35" s="99" t="s">
        <v>54</v>
      </c>
      <c r="C35" s="103">
        <f t="shared" si="0"/>
        <v>0</v>
      </c>
      <c r="D35" s="104" t="s">
        <v>47</v>
      </c>
      <c r="E35" s="110" t="s">
        <v>47</v>
      </c>
      <c r="F35" s="140" t="s">
        <v>47</v>
      </c>
      <c r="G35" s="104" t="s">
        <v>47</v>
      </c>
      <c r="H35" s="108" t="s">
        <v>47</v>
      </c>
      <c r="I35" s="110" t="s">
        <v>47</v>
      </c>
      <c r="J35" s="112">
        <f>SUM(J36)</f>
        <v>0</v>
      </c>
      <c r="K35" s="248">
        <f>SUM(K36)</f>
        <v>0</v>
      </c>
      <c r="L35" s="313">
        <f>SUM(L36)</f>
        <v>0</v>
      </c>
      <c r="M35" s="104" t="s">
        <v>47</v>
      </c>
      <c r="N35" s="293"/>
      <c r="O35" s="106" t="s">
        <v>47</v>
      </c>
      <c r="P35" s="114"/>
      <c r="R35" s="53"/>
      <c r="S35" s="53"/>
    </row>
    <row r="36" spans="1:19" ht="36" hidden="1" x14ac:dyDescent="0.25">
      <c r="A36" s="141">
        <v>21379</v>
      </c>
      <c r="B36" s="142" t="s">
        <v>55</v>
      </c>
      <c r="C36" s="448">
        <f t="shared" si="0"/>
        <v>0</v>
      </c>
      <c r="D36" s="144" t="s">
        <v>47</v>
      </c>
      <c r="E36" s="668" t="s">
        <v>47</v>
      </c>
      <c r="F36" s="146" t="s">
        <v>47</v>
      </c>
      <c r="G36" s="144" t="s">
        <v>47</v>
      </c>
      <c r="H36" s="145" t="s">
        <v>47</v>
      </c>
      <c r="I36" s="668" t="s">
        <v>47</v>
      </c>
      <c r="J36" s="149"/>
      <c r="K36" s="686"/>
      <c r="L36" s="701">
        <f>J36+K36</f>
        <v>0</v>
      </c>
      <c r="M36" s="144" t="s">
        <v>47</v>
      </c>
      <c r="N36" s="363"/>
      <c r="O36" s="148" t="s">
        <v>47</v>
      </c>
      <c r="P36" s="445"/>
      <c r="R36" s="53"/>
      <c r="S36" s="53"/>
    </row>
    <row r="37" spans="1:19" s="41" customFormat="1" x14ac:dyDescent="0.25">
      <c r="A37" s="115">
        <v>21380</v>
      </c>
      <c r="B37" s="99" t="s">
        <v>56</v>
      </c>
      <c r="C37" s="103">
        <f t="shared" si="0"/>
        <v>3611</v>
      </c>
      <c r="D37" s="104" t="s">
        <v>47</v>
      </c>
      <c r="E37" s="110" t="s">
        <v>47</v>
      </c>
      <c r="F37" s="140" t="s">
        <v>47</v>
      </c>
      <c r="G37" s="104" t="s">
        <v>47</v>
      </c>
      <c r="H37" s="108" t="s">
        <v>47</v>
      </c>
      <c r="I37" s="110" t="s">
        <v>47</v>
      </c>
      <c r="J37" s="112">
        <f>SUM(J38:J39)</f>
        <v>3611</v>
      </c>
      <c r="K37" s="248">
        <f>SUM(K38:K39)</f>
        <v>0</v>
      </c>
      <c r="L37" s="313">
        <f>SUM(L38:L39)</f>
        <v>3611</v>
      </c>
      <c r="M37" s="104" t="s">
        <v>47</v>
      </c>
      <c r="N37" s="293"/>
      <c r="O37" s="106" t="s">
        <v>47</v>
      </c>
      <c r="P37" s="114"/>
      <c r="R37" s="53"/>
      <c r="S37" s="53"/>
    </row>
    <row r="38" spans="1:19" x14ac:dyDescent="0.25">
      <c r="A38" s="66">
        <v>21381</v>
      </c>
      <c r="B38" s="116" t="s">
        <v>57</v>
      </c>
      <c r="C38" s="70">
        <f t="shared" si="0"/>
        <v>3611</v>
      </c>
      <c r="D38" s="118" t="s">
        <v>47</v>
      </c>
      <c r="E38" s="154" t="s">
        <v>47</v>
      </c>
      <c r="F38" s="120" t="s">
        <v>47</v>
      </c>
      <c r="G38" s="118" t="s">
        <v>47</v>
      </c>
      <c r="H38" s="119" t="s">
        <v>47</v>
      </c>
      <c r="I38" s="154" t="s">
        <v>47</v>
      </c>
      <c r="J38" s="123">
        <v>3611</v>
      </c>
      <c r="K38" s="295"/>
      <c r="L38" s="428">
        <v>3611</v>
      </c>
      <c r="M38" s="118" t="s">
        <v>47</v>
      </c>
      <c r="N38" s="262"/>
      <c r="O38" s="122" t="s">
        <v>47</v>
      </c>
      <c r="P38" s="487"/>
      <c r="R38" s="53"/>
      <c r="S38" s="53"/>
    </row>
    <row r="39" spans="1:19" ht="24" hidden="1" x14ac:dyDescent="0.25">
      <c r="A39" s="76">
        <v>21383</v>
      </c>
      <c r="B39" s="127" t="s">
        <v>58</v>
      </c>
      <c r="C39" s="429">
        <f t="shared" si="0"/>
        <v>0</v>
      </c>
      <c r="D39" s="129" t="s">
        <v>47</v>
      </c>
      <c r="E39" s="130" t="s">
        <v>47</v>
      </c>
      <c r="F39" s="139" t="s">
        <v>47</v>
      </c>
      <c r="G39" s="129" t="s">
        <v>47</v>
      </c>
      <c r="H39" s="138" t="s">
        <v>47</v>
      </c>
      <c r="I39" s="130" t="s">
        <v>47</v>
      </c>
      <c r="J39" s="134"/>
      <c r="K39" s="283"/>
      <c r="L39" s="432">
        <f>J39+K39</f>
        <v>0</v>
      </c>
      <c r="M39" s="129" t="s">
        <v>47</v>
      </c>
      <c r="N39" s="285"/>
      <c r="O39" s="133" t="s">
        <v>47</v>
      </c>
      <c r="P39" s="443"/>
      <c r="R39" s="53"/>
      <c r="S39" s="53"/>
    </row>
    <row r="40" spans="1:19" s="41" customFormat="1" ht="24" hidden="1" x14ac:dyDescent="0.25">
      <c r="A40" s="115">
        <v>21390</v>
      </c>
      <c r="B40" s="99" t="s">
        <v>59</v>
      </c>
      <c r="C40" s="103">
        <f t="shared" si="0"/>
        <v>0</v>
      </c>
      <c r="D40" s="104" t="s">
        <v>47</v>
      </c>
      <c r="E40" s="110" t="s">
        <v>47</v>
      </c>
      <c r="F40" s="140" t="s">
        <v>47</v>
      </c>
      <c r="G40" s="104" t="s">
        <v>47</v>
      </c>
      <c r="H40" s="108" t="s">
        <v>47</v>
      </c>
      <c r="I40" s="110" t="s">
        <v>47</v>
      </c>
      <c r="J40" s="112">
        <f>SUM(J41:J44)</f>
        <v>0</v>
      </c>
      <c r="K40" s="248">
        <f>SUM(K41:K44)</f>
        <v>0</v>
      </c>
      <c r="L40" s="313">
        <f>SUM(L41:L44)</f>
        <v>0</v>
      </c>
      <c r="M40" s="104" t="s">
        <v>47</v>
      </c>
      <c r="N40" s="293"/>
      <c r="O40" s="106" t="s">
        <v>47</v>
      </c>
      <c r="P40" s="114"/>
      <c r="R40" s="53"/>
      <c r="S40" s="53"/>
    </row>
    <row r="41" spans="1:19" ht="24" hidden="1" x14ac:dyDescent="0.25">
      <c r="A41" s="66">
        <v>21391</v>
      </c>
      <c r="B41" s="116" t="s">
        <v>60</v>
      </c>
      <c r="C41" s="70">
        <f t="shared" si="0"/>
        <v>0</v>
      </c>
      <c r="D41" s="118" t="s">
        <v>47</v>
      </c>
      <c r="E41" s="154" t="s">
        <v>47</v>
      </c>
      <c r="F41" s="120" t="s">
        <v>47</v>
      </c>
      <c r="G41" s="118" t="s">
        <v>47</v>
      </c>
      <c r="H41" s="119" t="s">
        <v>47</v>
      </c>
      <c r="I41" s="154" t="s">
        <v>47</v>
      </c>
      <c r="J41" s="123"/>
      <c r="K41" s="295"/>
      <c r="L41" s="428">
        <f>J41+K41</f>
        <v>0</v>
      </c>
      <c r="M41" s="118" t="s">
        <v>47</v>
      </c>
      <c r="N41" s="262"/>
      <c r="O41" s="122" t="s">
        <v>47</v>
      </c>
      <c r="P41" s="442"/>
      <c r="R41" s="53"/>
      <c r="S41" s="53"/>
    </row>
    <row r="42" spans="1:19" hidden="1" x14ac:dyDescent="0.25">
      <c r="A42" s="76">
        <v>21393</v>
      </c>
      <c r="B42" s="127" t="s">
        <v>61</v>
      </c>
      <c r="C42" s="429">
        <f t="shared" si="0"/>
        <v>0</v>
      </c>
      <c r="D42" s="129" t="s">
        <v>47</v>
      </c>
      <c r="E42" s="130" t="s">
        <v>47</v>
      </c>
      <c r="F42" s="139" t="s">
        <v>47</v>
      </c>
      <c r="G42" s="129" t="s">
        <v>47</v>
      </c>
      <c r="H42" s="138" t="s">
        <v>47</v>
      </c>
      <c r="I42" s="130" t="s">
        <v>47</v>
      </c>
      <c r="J42" s="134"/>
      <c r="K42" s="283"/>
      <c r="L42" s="432">
        <f>J42+K42</f>
        <v>0</v>
      </c>
      <c r="M42" s="129" t="s">
        <v>47</v>
      </c>
      <c r="N42" s="285"/>
      <c r="O42" s="133" t="s">
        <v>47</v>
      </c>
      <c r="P42" s="443"/>
      <c r="R42" s="53"/>
      <c r="S42" s="53"/>
    </row>
    <row r="43" spans="1:19" hidden="1" x14ac:dyDescent="0.25">
      <c r="A43" s="76">
        <v>21395</v>
      </c>
      <c r="B43" s="127" t="s">
        <v>62</v>
      </c>
      <c r="C43" s="429">
        <f t="shared" si="0"/>
        <v>0</v>
      </c>
      <c r="D43" s="129" t="s">
        <v>47</v>
      </c>
      <c r="E43" s="130" t="s">
        <v>47</v>
      </c>
      <c r="F43" s="139" t="s">
        <v>47</v>
      </c>
      <c r="G43" s="129" t="s">
        <v>47</v>
      </c>
      <c r="H43" s="138" t="s">
        <v>47</v>
      </c>
      <c r="I43" s="130" t="s">
        <v>47</v>
      </c>
      <c r="J43" s="134"/>
      <c r="K43" s="283"/>
      <c r="L43" s="432">
        <f>J43+K43</f>
        <v>0</v>
      </c>
      <c r="M43" s="129" t="s">
        <v>47</v>
      </c>
      <c r="N43" s="285"/>
      <c r="O43" s="133" t="s">
        <v>47</v>
      </c>
      <c r="P43" s="443"/>
      <c r="R43" s="53"/>
      <c r="S43" s="53"/>
    </row>
    <row r="44" spans="1:19" ht="24" hidden="1" x14ac:dyDescent="0.25">
      <c r="A44" s="76">
        <v>21399</v>
      </c>
      <c r="B44" s="127" t="s">
        <v>63</v>
      </c>
      <c r="C44" s="429">
        <f t="shared" si="0"/>
        <v>0</v>
      </c>
      <c r="D44" s="129" t="s">
        <v>47</v>
      </c>
      <c r="E44" s="130" t="s">
        <v>47</v>
      </c>
      <c r="F44" s="139" t="s">
        <v>47</v>
      </c>
      <c r="G44" s="129" t="s">
        <v>47</v>
      </c>
      <c r="H44" s="138" t="s">
        <v>47</v>
      </c>
      <c r="I44" s="130" t="s">
        <v>47</v>
      </c>
      <c r="J44" s="134"/>
      <c r="K44" s="283"/>
      <c r="L44" s="432">
        <f>J44+K44</f>
        <v>0</v>
      </c>
      <c r="M44" s="129" t="s">
        <v>47</v>
      </c>
      <c r="N44" s="285"/>
      <c r="O44" s="133" t="s">
        <v>47</v>
      </c>
      <c r="P44" s="443"/>
      <c r="R44" s="53"/>
      <c r="S44" s="53"/>
    </row>
    <row r="45" spans="1:19" s="41" customFormat="1" ht="24" hidden="1" x14ac:dyDescent="0.25">
      <c r="A45" s="115">
        <v>21420</v>
      </c>
      <c r="B45" s="99" t="s">
        <v>64</v>
      </c>
      <c r="C45" s="103">
        <f t="shared" si="0"/>
        <v>0</v>
      </c>
      <c r="D45" s="157"/>
      <c r="E45" s="702"/>
      <c r="F45" s="700">
        <f>D45+E45</f>
        <v>0</v>
      </c>
      <c r="G45" s="104" t="s">
        <v>47</v>
      </c>
      <c r="H45" s="108" t="s">
        <v>47</v>
      </c>
      <c r="I45" s="110" t="s">
        <v>47</v>
      </c>
      <c r="J45" s="104" t="s">
        <v>47</v>
      </c>
      <c r="K45" s="110" t="s">
        <v>47</v>
      </c>
      <c r="L45" s="140" t="s">
        <v>47</v>
      </c>
      <c r="M45" s="104" t="s">
        <v>47</v>
      </c>
      <c r="N45" s="108"/>
      <c r="O45" s="106" t="s">
        <v>47</v>
      </c>
      <c r="P45" s="106"/>
      <c r="R45" s="53"/>
      <c r="S45" s="53"/>
    </row>
    <row r="46" spans="1:19" s="41" customFormat="1" ht="24" hidden="1" x14ac:dyDescent="0.25">
      <c r="A46" s="159">
        <v>21490</v>
      </c>
      <c r="B46" s="160" t="s">
        <v>65</v>
      </c>
      <c r="C46" s="103">
        <f t="shared" si="0"/>
        <v>0</v>
      </c>
      <c r="D46" s="161">
        <f t="shared" ref="D46:L46" si="2">D47</f>
        <v>0</v>
      </c>
      <c r="E46" s="672">
        <f t="shared" si="2"/>
        <v>0</v>
      </c>
      <c r="F46" s="163">
        <f t="shared" si="2"/>
        <v>0</v>
      </c>
      <c r="G46" s="161">
        <f t="shared" si="2"/>
        <v>0</v>
      </c>
      <c r="H46" s="162">
        <f t="shared" si="2"/>
        <v>0</v>
      </c>
      <c r="I46" s="672">
        <f t="shared" si="2"/>
        <v>0</v>
      </c>
      <c r="J46" s="161">
        <f t="shared" si="2"/>
        <v>0</v>
      </c>
      <c r="K46" s="703">
        <f t="shared" si="2"/>
        <v>0</v>
      </c>
      <c r="L46" s="103">
        <f t="shared" si="2"/>
        <v>0</v>
      </c>
      <c r="M46" s="104" t="s">
        <v>47</v>
      </c>
      <c r="N46" s="176"/>
      <c r="O46" s="106" t="s">
        <v>47</v>
      </c>
      <c r="P46" s="177"/>
      <c r="R46" s="53"/>
      <c r="S46" s="53"/>
    </row>
    <row r="47" spans="1:19" s="41" customFormat="1" ht="24" hidden="1" x14ac:dyDescent="0.25">
      <c r="A47" s="76">
        <v>21499</v>
      </c>
      <c r="B47" s="127" t="s">
        <v>66</v>
      </c>
      <c r="C47" s="448">
        <f t="shared" si="0"/>
        <v>0</v>
      </c>
      <c r="D47" s="626"/>
      <c r="E47" s="662"/>
      <c r="F47" s="701">
        <f>D47+E47</f>
        <v>0</v>
      </c>
      <c r="G47" s="704"/>
      <c r="H47" s="450"/>
      <c r="I47" s="662">
        <f>G47+H47</f>
        <v>0</v>
      </c>
      <c r="J47" s="626"/>
      <c r="K47" s="705"/>
      <c r="L47" s="701">
        <f>J47+K47</f>
        <v>0</v>
      </c>
      <c r="M47" s="144" t="s">
        <v>47</v>
      </c>
      <c r="N47" s="450"/>
      <c r="O47" s="148" t="s">
        <v>47</v>
      </c>
      <c r="P47" s="706"/>
      <c r="R47" s="53"/>
      <c r="S47" s="53"/>
    </row>
    <row r="48" spans="1:19" ht="24" hidden="1" x14ac:dyDescent="0.25">
      <c r="A48" s="168">
        <v>23000</v>
      </c>
      <c r="B48" s="169" t="s">
        <v>67</v>
      </c>
      <c r="C48" s="103">
        <f t="shared" si="0"/>
        <v>0</v>
      </c>
      <c r="D48" s="104" t="s">
        <v>47</v>
      </c>
      <c r="E48" s="110" t="s">
        <v>47</v>
      </c>
      <c r="F48" s="140" t="s">
        <v>47</v>
      </c>
      <c r="G48" s="104" t="s">
        <v>47</v>
      </c>
      <c r="H48" s="108" t="s">
        <v>47</v>
      </c>
      <c r="I48" s="110" t="s">
        <v>47</v>
      </c>
      <c r="J48" s="104" t="s">
        <v>47</v>
      </c>
      <c r="K48" s="110" t="s">
        <v>47</v>
      </c>
      <c r="L48" s="140" t="s">
        <v>47</v>
      </c>
      <c r="M48" s="453">
        <f>SUM(M49:M50)</f>
        <v>0</v>
      </c>
      <c r="N48" s="176">
        <f>SUM(N49:N50)</f>
        <v>0</v>
      </c>
      <c r="O48" s="177">
        <f>SUM(O49:O50)</f>
        <v>0</v>
      </c>
      <c r="P48" s="106"/>
      <c r="R48" s="53"/>
      <c r="S48" s="53"/>
    </row>
    <row r="49" spans="1:19" ht="24" hidden="1" x14ac:dyDescent="0.25">
      <c r="A49" s="178">
        <v>23410</v>
      </c>
      <c r="B49" s="179" t="s">
        <v>68</v>
      </c>
      <c r="C49" s="454">
        <f t="shared" si="0"/>
        <v>0</v>
      </c>
      <c r="D49" s="181" t="s">
        <v>47</v>
      </c>
      <c r="E49" s="674" t="s">
        <v>47</v>
      </c>
      <c r="F49" s="183" t="s">
        <v>47</v>
      </c>
      <c r="G49" s="181" t="s">
        <v>47</v>
      </c>
      <c r="H49" s="182" t="s">
        <v>47</v>
      </c>
      <c r="I49" s="674" t="s">
        <v>47</v>
      </c>
      <c r="J49" s="181" t="s">
        <v>47</v>
      </c>
      <c r="K49" s="674" t="s">
        <v>47</v>
      </c>
      <c r="L49" s="183" t="s">
        <v>47</v>
      </c>
      <c r="M49" s="196"/>
      <c r="N49" s="182"/>
      <c r="O49" s="454">
        <f>N49+M49</f>
        <v>0</v>
      </c>
      <c r="P49" s="185"/>
      <c r="R49" s="53"/>
      <c r="S49" s="53"/>
    </row>
    <row r="50" spans="1:19" ht="24" hidden="1" x14ac:dyDescent="0.25">
      <c r="A50" s="178">
        <v>23510</v>
      </c>
      <c r="B50" s="179" t="s">
        <v>69</v>
      </c>
      <c r="C50" s="454">
        <f t="shared" si="0"/>
        <v>0</v>
      </c>
      <c r="D50" s="181" t="s">
        <v>47</v>
      </c>
      <c r="E50" s="674" t="s">
        <v>47</v>
      </c>
      <c r="F50" s="183" t="s">
        <v>47</v>
      </c>
      <c r="G50" s="181" t="s">
        <v>47</v>
      </c>
      <c r="H50" s="182" t="s">
        <v>47</v>
      </c>
      <c r="I50" s="674" t="s">
        <v>47</v>
      </c>
      <c r="J50" s="181" t="s">
        <v>47</v>
      </c>
      <c r="K50" s="674" t="s">
        <v>47</v>
      </c>
      <c r="L50" s="183" t="s">
        <v>47</v>
      </c>
      <c r="M50" s="196"/>
      <c r="N50" s="182"/>
      <c r="O50" s="454">
        <f>N50+M50</f>
        <v>0</v>
      </c>
      <c r="P50" s="185"/>
      <c r="R50" s="53"/>
      <c r="S50" s="53"/>
    </row>
    <row r="51" spans="1:19" x14ac:dyDescent="0.25">
      <c r="A51" s="190"/>
      <c r="B51" s="179"/>
      <c r="C51" s="454"/>
      <c r="D51" s="181"/>
      <c r="E51" s="674"/>
      <c r="F51" s="183"/>
      <c r="G51" s="181"/>
      <c r="H51" s="182"/>
      <c r="I51" s="674"/>
      <c r="J51" s="456"/>
      <c r="K51" s="457"/>
      <c r="L51" s="454"/>
      <c r="M51" s="456"/>
      <c r="N51" s="458"/>
      <c r="O51" s="454"/>
      <c r="P51" s="188"/>
      <c r="R51" s="53"/>
      <c r="S51" s="53"/>
    </row>
    <row r="52" spans="1:19" s="41" customFormat="1" x14ac:dyDescent="0.25">
      <c r="A52" s="198"/>
      <c r="B52" s="199" t="s">
        <v>70</v>
      </c>
      <c r="C52" s="707"/>
      <c r="D52" s="230"/>
      <c r="E52" s="231"/>
      <c r="F52" s="459"/>
      <c r="G52" s="230"/>
      <c r="H52" s="235"/>
      <c r="I52" s="231"/>
      <c r="J52" s="230"/>
      <c r="K52" s="231"/>
      <c r="L52" s="459"/>
      <c r="M52" s="460"/>
      <c r="N52" s="461"/>
      <c r="O52" s="462"/>
      <c r="P52" s="205"/>
      <c r="R52" s="53"/>
      <c r="S52" s="53"/>
    </row>
    <row r="53" spans="1:19" s="41" customFormat="1" ht="12.75" thickBot="1" x14ac:dyDescent="0.3">
      <c r="A53" s="209"/>
      <c r="B53" s="42" t="s">
        <v>71</v>
      </c>
      <c r="C53" s="425">
        <f t="shared" ref="C53:C116" si="3">SUM(F53,I53,L53,O53)</f>
        <v>79790</v>
      </c>
      <c r="D53" s="211">
        <f t="shared" ref="D53:O53" si="4">SUM(D54,D284)</f>
        <v>85939</v>
      </c>
      <c r="E53" s="212">
        <f t="shared" si="4"/>
        <v>-9760</v>
      </c>
      <c r="F53" s="463">
        <f t="shared" si="4"/>
        <v>76179</v>
      </c>
      <c r="G53" s="211">
        <f t="shared" si="4"/>
        <v>0</v>
      </c>
      <c r="H53" s="217">
        <f t="shared" si="4"/>
        <v>0</v>
      </c>
      <c r="I53" s="212">
        <f t="shared" si="4"/>
        <v>0</v>
      </c>
      <c r="J53" s="211">
        <f t="shared" si="4"/>
        <v>3611</v>
      </c>
      <c r="K53" s="212">
        <f t="shared" si="4"/>
        <v>0</v>
      </c>
      <c r="L53" s="463">
        <f t="shared" si="4"/>
        <v>3611</v>
      </c>
      <c r="M53" s="211">
        <f t="shared" si="4"/>
        <v>0</v>
      </c>
      <c r="N53" s="217">
        <f t="shared" si="4"/>
        <v>0</v>
      </c>
      <c r="O53" s="463">
        <f t="shared" si="4"/>
        <v>0</v>
      </c>
      <c r="P53" s="215"/>
      <c r="R53" s="53"/>
      <c r="S53" s="53"/>
    </row>
    <row r="54" spans="1:19" s="41" customFormat="1" ht="36.75" thickTop="1" x14ac:dyDescent="0.25">
      <c r="A54" s="218"/>
      <c r="B54" s="219" t="s">
        <v>72</v>
      </c>
      <c r="C54" s="708">
        <f t="shared" si="3"/>
        <v>79790</v>
      </c>
      <c r="D54" s="221">
        <f t="shared" ref="D54:O54" si="5">SUM(D55,D197)</f>
        <v>85939</v>
      </c>
      <c r="E54" s="222">
        <f t="shared" si="5"/>
        <v>-9760</v>
      </c>
      <c r="F54" s="464">
        <f t="shared" si="5"/>
        <v>76179</v>
      </c>
      <c r="G54" s="221">
        <f t="shared" si="5"/>
        <v>0</v>
      </c>
      <c r="H54" s="227">
        <f t="shared" si="5"/>
        <v>0</v>
      </c>
      <c r="I54" s="222">
        <f t="shared" si="5"/>
        <v>0</v>
      </c>
      <c r="J54" s="221">
        <f t="shared" si="5"/>
        <v>3611</v>
      </c>
      <c r="K54" s="222">
        <f t="shared" si="5"/>
        <v>0</v>
      </c>
      <c r="L54" s="464">
        <f t="shared" si="5"/>
        <v>3611</v>
      </c>
      <c r="M54" s="221">
        <f t="shared" si="5"/>
        <v>0</v>
      </c>
      <c r="N54" s="227">
        <f t="shared" si="5"/>
        <v>0</v>
      </c>
      <c r="O54" s="464">
        <f t="shared" si="5"/>
        <v>0</v>
      </c>
      <c r="P54" s="225"/>
      <c r="R54" s="53"/>
      <c r="S54" s="53"/>
    </row>
    <row r="55" spans="1:19" s="41" customFormat="1" ht="24" x14ac:dyDescent="0.25">
      <c r="A55" s="35"/>
      <c r="B55" s="30" t="s">
        <v>73</v>
      </c>
      <c r="C55" s="707">
        <f t="shared" si="3"/>
        <v>59902</v>
      </c>
      <c r="D55" s="230">
        <f t="shared" ref="D55:O55" si="6">SUM(D56,D78,D176,D190)</f>
        <v>66051</v>
      </c>
      <c r="E55" s="231">
        <f t="shared" si="6"/>
        <v>-9760</v>
      </c>
      <c r="F55" s="459">
        <f t="shared" si="6"/>
        <v>56291</v>
      </c>
      <c r="G55" s="230">
        <f t="shared" si="6"/>
        <v>0</v>
      </c>
      <c r="H55" s="235">
        <f t="shared" si="6"/>
        <v>0</v>
      </c>
      <c r="I55" s="231">
        <f t="shared" si="6"/>
        <v>0</v>
      </c>
      <c r="J55" s="230">
        <f t="shared" si="6"/>
        <v>3611</v>
      </c>
      <c r="K55" s="231">
        <f t="shared" si="6"/>
        <v>0</v>
      </c>
      <c r="L55" s="459">
        <f t="shared" si="6"/>
        <v>3611</v>
      </c>
      <c r="M55" s="230">
        <f t="shared" si="6"/>
        <v>0</v>
      </c>
      <c r="N55" s="235">
        <f t="shared" si="6"/>
        <v>0</v>
      </c>
      <c r="O55" s="459">
        <f t="shared" si="6"/>
        <v>0</v>
      </c>
      <c r="P55" s="234"/>
      <c r="R55" s="53"/>
      <c r="S55" s="53"/>
    </row>
    <row r="56" spans="1:19" s="41" customFormat="1" hidden="1" x14ac:dyDescent="0.25">
      <c r="A56" s="237">
        <v>1000</v>
      </c>
      <c r="B56" s="237" t="s">
        <v>74</v>
      </c>
      <c r="C56" s="709">
        <f t="shared" si="3"/>
        <v>0</v>
      </c>
      <c r="D56" s="466">
        <f t="shared" ref="D56:O56" si="7">SUM(D57,D70)</f>
        <v>0</v>
      </c>
      <c r="E56" s="471">
        <f t="shared" si="7"/>
        <v>0</v>
      </c>
      <c r="F56" s="465">
        <f t="shared" si="7"/>
        <v>0</v>
      </c>
      <c r="G56" s="466">
        <f t="shared" si="7"/>
        <v>0</v>
      </c>
      <c r="H56" s="467">
        <f t="shared" si="7"/>
        <v>0</v>
      </c>
      <c r="I56" s="471">
        <f t="shared" si="7"/>
        <v>0</v>
      </c>
      <c r="J56" s="466">
        <f t="shared" si="7"/>
        <v>0</v>
      </c>
      <c r="K56" s="471">
        <f t="shared" si="7"/>
        <v>0</v>
      </c>
      <c r="L56" s="465">
        <f t="shared" si="7"/>
        <v>0</v>
      </c>
      <c r="M56" s="239">
        <f t="shared" si="7"/>
        <v>0</v>
      </c>
      <c r="N56" s="245">
        <f t="shared" si="7"/>
        <v>0</v>
      </c>
      <c r="O56" s="320">
        <f t="shared" si="7"/>
        <v>0</v>
      </c>
      <c r="P56" s="243"/>
      <c r="R56" s="53"/>
      <c r="S56" s="53"/>
    </row>
    <row r="57" spans="1:19" hidden="1" x14ac:dyDescent="0.25">
      <c r="A57" s="99">
        <v>1100</v>
      </c>
      <c r="B57" s="247" t="s">
        <v>75</v>
      </c>
      <c r="C57" s="103">
        <f t="shared" si="3"/>
        <v>0</v>
      </c>
      <c r="D57" s="112">
        <f t="shared" ref="D57:O57" si="8">SUM(D58,D61,D69)</f>
        <v>0</v>
      </c>
      <c r="E57" s="248">
        <f t="shared" si="8"/>
        <v>0</v>
      </c>
      <c r="F57" s="313">
        <f t="shared" si="8"/>
        <v>0</v>
      </c>
      <c r="G57" s="112">
        <f t="shared" si="8"/>
        <v>0</v>
      </c>
      <c r="H57" s="293">
        <f t="shared" si="8"/>
        <v>0</v>
      </c>
      <c r="I57" s="248">
        <f t="shared" si="8"/>
        <v>0</v>
      </c>
      <c r="J57" s="112">
        <f t="shared" si="8"/>
        <v>0</v>
      </c>
      <c r="K57" s="248">
        <f t="shared" si="8"/>
        <v>0</v>
      </c>
      <c r="L57" s="313">
        <f t="shared" si="8"/>
        <v>0</v>
      </c>
      <c r="M57" s="334">
        <f t="shared" si="8"/>
        <v>0</v>
      </c>
      <c r="N57" s="293">
        <f t="shared" si="8"/>
        <v>0</v>
      </c>
      <c r="O57" s="313">
        <f t="shared" si="8"/>
        <v>0</v>
      </c>
      <c r="P57" s="114"/>
      <c r="R57" s="53"/>
      <c r="S57" s="53"/>
    </row>
    <row r="58" spans="1:19" hidden="1" x14ac:dyDescent="0.25">
      <c r="A58" s="254">
        <v>1110</v>
      </c>
      <c r="B58" s="179" t="s">
        <v>76</v>
      </c>
      <c r="C58" s="454">
        <f t="shared" si="3"/>
        <v>0</v>
      </c>
      <c r="D58" s="255">
        <f t="shared" ref="D58:O58" si="9">SUM(D59:D60)</f>
        <v>0</v>
      </c>
      <c r="E58" s="256">
        <f t="shared" si="9"/>
        <v>0</v>
      </c>
      <c r="F58" s="310">
        <f t="shared" si="9"/>
        <v>0</v>
      </c>
      <c r="G58" s="255">
        <f t="shared" si="9"/>
        <v>0</v>
      </c>
      <c r="H58" s="261">
        <f t="shared" si="9"/>
        <v>0</v>
      </c>
      <c r="I58" s="256">
        <f t="shared" si="9"/>
        <v>0</v>
      </c>
      <c r="J58" s="255">
        <f t="shared" si="9"/>
        <v>0</v>
      </c>
      <c r="K58" s="256">
        <f t="shared" si="9"/>
        <v>0</v>
      </c>
      <c r="L58" s="310">
        <f t="shared" si="9"/>
        <v>0</v>
      </c>
      <c r="M58" s="255">
        <f t="shared" si="9"/>
        <v>0</v>
      </c>
      <c r="N58" s="261">
        <f t="shared" si="9"/>
        <v>0</v>
      </c>
      <c r="O58" s="310">
        <f t="shared" si="9"/>
        <v>0</v>
      </c>
      <c r="P58" s="259"/>
      <c r="R58" s="53"/>
      <c r="S58" s="53"/>
    </row>
    <row r="59" spans="1:19" hidden="1" x14ac:dyDescent="0.25">
      <c r="A59" s="66">
        <v>1111</v>
      </c>
      <c r="B59" s="116" t="s">
        <v>77</v>
      </c>
      <c r="C59" s="70">
        <f t="shared" si="3"/>
        <v>0</v>
      </c>
      <c r="D59" s="123"/>
      <c r="E59" s="295"/>
      <c r="F59" s="473">
        <f>D59+E59</f>
        <v>0</v>
      </c>
      <c r="G59" s="123"/>
      <c r="H59" s="262"/>
      <c r="I59" s="295">
        <f>G59+H59</f>
        <v>0</v>
      </c>
      <c r="J59" s="123"/>
      <c r="K59" s="295"/>
      <c r="L59" s="473">
        <f>J59+K59</f>
        <v>0</v>
      </c>
      <c r="M59" s="123"/>
      <c r="N59" s="262"/>
      <c r="O59" s="473">
        <f>N59+M59</f>
        <v>0</v>
      </c>
      <c r="P59" s="442"/>
      <c r="R59" s="53"/>
      <c r="S59" s="53"/>
    </row>
    <row r="60" spans="1:19" ht="24" hidden="1" customHeight="1" x14ac:dyDescent="0.25">
      <c r="A60" s="76">
        <v>1119</v>
      </c>
      <c r="B60" s="127" t="s">
        <v>78</v>
      </c>
      <c r="C60" s="429">
        <f t="shared" si="3"/>
        <v>0</v>
      </c>
      <c r="D60" s="134"/>
      <c r="E60" s="283"/>
      <c r="F60" s="475">
        <f>D60+E60</f>
        <v>0</v>
      </c>
      <c r="G60" s="134"/>
      <c r="H60" s="285"/>
      <c r="I60" s="283">
        <f>G60+H60</f>
        <v>0</v>
      </c>
      <c r="J60" s="134"/>
      <c r="K60" s="283"/>
      <c r="L60" s="475">
        <f>J60+K60</f>
        <v>0</v>
      </c>
      <c r="M60" s="134"/>
      <c r="N60" s="285"/>
      <c r="O60" s="475">
        <f>N60+M60</f>
        <v>0</v>
      </c>
      <c r="P60" s="441"/>
      <c r="R60" s="53"/>
      <c r="S60" s="53"/>
    </row>
    <row r="61" spans="1:19" ht="23.25" hidden="1" customHeight="1" x14ac:dyDescent="0.25">
      <c r="A61" s="276">
        <v>1140</v>
      </c>
      <c r="B61" s="127" t="s">
        <v>79</v>
      </c>
      <c r="C61" s="429">
        <f t="shared" si="3"/>
        <v>0</v>
      </c>
      <c r="D61" s="277">
        <f t="shared" ref="D61:O61" si="10">SUM(D62:D68)</f>
        <v>0</v>
      </c>
      <c r="E61" s="278">
        <f t="shared" si="10"/>
        <v>0</v>
      </c>
      <c r="F61" s="286">
        <f t="shared" si="10"/>
        <v>0</v>
      </c>
      <c r="G61" s="277">
        <f t="shared" si="10"/>
        <v>0</v>
      </c>
      <c r="H61" s="282">
        <f t="shared" si="10"/>
        <v>0</v>
      </c>
      <c r="I61" s="278">
        <f t="shared" si="10"/>
        <v>0</v>
      </c>
      <c r="J61" s="277">
        <f t="shared" si="10"/>
        <v>0</v>
      </c>
      <c r="K61" s="278">
        <f t="shared" si="10"/>
        <v>0</v>
      </c>
      <c r="L61" s="286">
        <f t="shared" si="10"/>
        <v>0</v>
      </c>
      <c r="M61" s="277">
        <f t="shared" si="10"/>
        <v>0</v>
      </c>
      <c r="N61" s="282">
        <f t="shared" si="10"/>
        <v>0</v>
      </c>
      <c r="O61" s="286">
        <f t="shared" si="10"/>
        <v>0</v>
      </c>
      <c r="P61" s="136"/>
      <c r="R61" s="53"/>
      <c r="S61" s="53"/>
    </row>
    <row r="62" spans="1:19" hidden="1" x14ac:dyDescent="0.25">
      <c r="A62" s="76">
        <v>1141</v>
      </c>
      <c r="B62" s="127" t="s">
        <v>80</v>
      </c>
      <c r="C62" s="429">
        <f t="shared" si="3"/>
        <v>0</v>
      </c>
      <c r="D62" s="134"/>
      <c r="E62" s="283"/>
      <c r="F62" s="475">
        <f t="shared" ref="F62:F69" si="11">D62+E62</f>
        <v>0</v>
      </c>
      <c r="G62" s="134"/>
      <c r="H62" s="285"/>
      <c r="I62" s="283">
        <f t="shared" ref="I62:I69" si="12">G62+H62</f>
        <v>0</v>
      </c>
      <c r="J62" s="134"/>
      <c r="K62" s="283"/>
      <c r="L62" s="475">
        <f t="shared" ref="L62:L69" si="13">J62+K62</f>
        <v>0</v>
      </c>
      <c r="M62" s="134"/>
      <c r="N62" s="285"/>
      <c r="O62" s="475">
        <f t="shared" ref="O62:O69" si="14">N62+M62</f>
        <v>0</v>
      </c>
      <c r="P62" s="443"/>
      <c r="R62" s="53"/>
      <c r="S62" s="53"/>
    </row>
    <row r="63" spans="1:19" ht="111.75" hidden="1" customHeight="1" x14ac:dyDescent="0.25">
      <c r="A63" s="76">
        <v>1142</v>
      </c>
      <c r="B63" s="127" t="s">
        <v>81</v>
      </c>
      <c r="C63" s="429">
        <f t="shared" si="3"/>
        <v>0</v>
      </c>
      <c r="D63" s="134"/>
      <c r="E63" s="283"/>
      <c r="F63" s="475">
        <f t="shared" si="11"/>
        <v>0</v>
      </c>
      <c r="G63" s="134"/>
      <c r="H63" s="285"/>
      <c r="I63" s="283">
        <f t="shared" si="12"/>
        <v>0</v>
      </c>
      <c r="J63" s="134"/>
      <c r="K63" s="283"/>
      <c r="L63" s="475">
        <f t="shared" si="13"/>
        <v>0</v>
      </c>
      <c r="M63" s="134"/>
      <c r="N63" s="285"/>
      <c r="O63" s="475">
        <f t="shared" si="14"/>
        <v>0</v>
      </c>
      <c r="P63" s="710"/>
      <c r="R63" s="53"/>
      <c r="S63" s="53"/>
    </row>
    <row r="64" spans="1:19" ht="24" hidden="1" x14ac:dyDescent="0.25">
      <c r="A64" s="76">
        <v>1145</v>
      </c>
      <c r="B64" s="127" t="s">
        <v>82</v>
      </c>
      <c r="C64" s="429">
        <f t="shared" si="3"/>
        <v>0</v>
      </c>
      <c r="D64" s="134"/>
      <c r="E64" s="283"/>
      <c r="F64" s="475">
        <f t="shared" si="11"/>
        <v>0</v>
      </c>
      <c r="G64" s="134"/>
      <c r="H64" s="285"/>
      <c r="I64" s="283">
        <f t="shared" si="12"/>
        <v>0</v>
      </c>
      <c r="J64" s="134"/>
      <c r="K64" s="283"/>
      <c r="L64" s="475">
        <f t="shared" si="13"/>
        <v>0</v>
      </c>
      <c r="M64" s="134"/>
      <c r="N64" s="285"/>
      <c r="O64" s="475">
        <f t="shared" si="14"/>
        <v>0</v>
      </c>
      <c r="P64" s="443"/>
      <c r="R64" s="53"/>
      <c r="S64" s="53"/>
    </row>
    <row r="65" spans="1:19" ht="27.75" hidden="1" customHeight="1" x14ac:dyDescent="0.25">
      <c r="A65" s="76">
        <v>1146</v>
      </c>
      <c r="B65" s="127" t="s">
        <v>83</v>
      </c>
      <c r="C65" s="429">
        <f t="shared" si="3"/>
        <v>0</v>
      </c>
      <c r="D65" s="134">
        <v>0</v>
      </c>
      <c r="E65" s="283"/>
      <c r="F65" s="475">
        <f t="shared" si="11"/>
        <v>0</v>
      </c>
      <c r="G65" s="134"/>
      <c r="H65" s="285"/>
      <c r="I65" s="283">
        <f t="shared" si="12"/>
        <v>0</v>
      </c>
      <c r="J65" s="134"/>
      <c r="K65" s="283"/>
      <c r="L65" s="475">
        <f t="shared" si="13"/>
        <v>0</v>
      </c>
      <c r="M65" s="134"/>
      <c r="N65" s="285"/>
      <c r="O65" s="475">
        <f t="shared" si="14"/>
        <v>0</v>
      </c>
      <c r="P65" s="443"/>
      <c r="R65" s="53"/>
      <c r="S65" s="53"/>
    </row>
    <row r="66" spans="1:19" hidden="1" x14ac:dyDescent="0.25">
      <c r="A66" s="76">
        <v>1147</v>
      </c>
      <c r="B66" s="127" t="s">
        <v>84</v>
      </c>
      <c r="C66" s="429">
        <f t="shared" si="3"/>
        <v>0</v>
      </c>
      <c r="D66" s="134"/>
      <c r="E66" s="283"/>
      <c r="F66" s="475">
        <f t="shared" si="11"/>
        <v>0</v>
      </c>
      <c r="G66" s="134"/>
      <c r="H66" s="285"/>
      <c r="I66" s="283">
        <f t="shared" si="12"/>
        <v>0</v>
      </c>
      <c r="J66" s="134"/>
      <c r="K66" s="283"/>
      <c r="L66" s="475">
        <f t="shared" si="13"/>
        <v>0</v>
      </c>
      <c r="M66" s="134"/>
      <c r="N66" s="285"/>
      <c r="O66" s="475">
        <f t="shared" si="14"/>
        <v>0</v>
      </c>
      <c r="P66" s="443"/>
      <c r="R66" s="53"/>
      <c r="S66" s="53"/>
    </row>
    <row r="67" spans="1:19" hidden="1" x14ac:dyDescent="0.25">
      <c r="A67" s="76">
        <v>1148</v>
      </c>
      <c r="B67" s="127" t="s">
        <v>85</v>
      </c>
      <c r="C67" s="429">
        <f t="shared" si="3"/>
        <v>0</v>
      </c>
      <c r="D67" s="134"/>
      <c r="E67" s="283"/>
      <c r="F67" s="475">
        <f t="shared" si="11"/>
        <v>0</v>
      </c>
      <c r="G67" s="134"/>
      <c r="H67" s="285"/>
      <c r="I67" s="283">
        <f t="shared" si="12"/>
        <v>0</v>
      </c>
      <c r="J67" s="134"/>
      <c r="K67" s="283"/>
      <c r="L67" s="475">
        <f t="shared" si="13"/>
        <v>0</v>
      </c>
      <c r="M67" s="134"/>
      <c r="N67" s="285"/>
      <c r="O67" s="475">
        <f t="shared" si="14"/>
        <v>0</v>
      </c>
      <c r="P67" s="443"/>
      <c r="R67" s="53"/>
      <c r="S67" s="53"/>
    </row>
    <row r="68" spans="1:19" ht="36" hidden="1" x14ac:dyDescent="0.25">
      <c r="A68" s="76">
        <v>1149</v>
      </c>
      <c r="B68" s="127" t="s">
        <v>86</v>
      </c>
      <c r="C68" s="429">
        <f t="shared" si="3"/>
        <v>0</v>
      </c>
      <c r="D68" s="134"/>
      <c r="E68" s="283"/>
      <c r="F68" s="475">
        <f t="shared" si="11"/>
        <v>0</v>
      </c>
      <c r="G68" s="134"/>
      <c r="H68" s="285"/>
      <c r="I68" s="283">
        <f t="shared" si="12"/>
        <v>0</v>
      </c>
      <c r="J68" s="134"/>
      <c r="K68" s="283"/>
      <c r="L68" s="475">
        <f t="shared" si="13"/>
        <v>0</v>
      </c>
      <c r="M68" s="134"/>
      <c r="N68" s="285"/>
      <c r="O68" s="475">
        <f t="shared" si="14"/>
        <v>0</v>
      </c>
      <c r="P68" s="443"/>
      <c r="R68" s="53"/>
      <c r="S68" s="53"/>
    </row>
    <row r="69" spans="1:19" ht="36" hidden="1" x14ac:dyDescent="0.25">
      <c r="A69" s="254">
        <v>1150</v>
      </c>
      <c r="B69" s="179" t="s">
        <v>87</v>
      </c>
      <c r="C69" s="454">
        <f t="shared" si="3"/>
        <v>0</v>
      </c>
      <c r="D69" s="287"/>
      <c r="E69" s="288"/>
      <c r="F69" s="478">
        <f t="shared" si="11"/>
        <v>0</v>
      </c>
      <c r="G69" s="287"/>
      <c r="H69" s="291"/>
      <c r="I69" s="288">
        <f t="shared" si="12"/>
        <v>0</v>
      </c>
      <c r="J69" s="287"/>
      <c r="K69" s="288"/>
      <c r="L69" s="478">
        <f t="shared" si="13"/>
        <v>0</v>
      </c>
      <c r="M69" s="287"/>
      <c r="N69" s="291"/>
      <c r="O69" s="478">
        <f t="shared" si="14"/>
        <v>0</v>
      </c>
      <c r="P69" s="710"/>
      <c r="R69" s="53"/>
      <c r="S69" s="53"/>
    </row>
    <row r="70" spans="1:19" ht="36" hidden="1" x14ac:dyDescent="0.25">
      <c r="A70" s="99">
        <v>1200</v>
      </c>
      <c r="B70" s="247" t="s">
        <v>88</v>
      </c>
      <c r="C70" s="103">
        <f t="shared" si="3"/>
        <v>0</v>
      </c>
      <c r="D70" s="112">
        <f t="shared" ref="D70:O70" si="15">SUM(D71:D72)</f>
        <v>0</v>
      </c>
      <c r="E70" s="248">
        <f t="shared" si="15"/>
        <v>0</v>
      </c>
      <c r="F70" s="313">
        <f t="shared" si="15"/>
        <v>0</v>
      </c>
      <c r="G70" s="112">
        <f t="shared" si="15"/>
        <v>0</v>
      </c>
      <c r="H70" s="293">
        <f t="shared" si="15"/>
        <v>0</v>
      </c>
      <c r="I70" s="248">
        <f t="shared" si="15"/>
        <v>0</v>
      </c>
      <c r="J70" s="112">
        <f t="shared" si="15"/>
        <v>0</v>
      </c>
      <c r="K70" s="248">
        <f t="shared" si="15"/>
        <v>0</v>
      </c>
      <c r="L70" s="313">
        <f t="shared" si="15"/>
        <v>0</v>
      </c>
      <c r="M70" s="112">
        <f t="shared" si="15"/>
        <v>0</v>
      </c>
      <c r="N70" s="293">
        <f t="shared" si="15"/>
        <v>0</v>
      </c>
      <c r="O70" s="313">
        <f t="shared" si="15"/>
        <v>0</v>
      </c>
      <c r="P70" s="114"/>
      <c r="R70" s="53"/>
      <c r="S70" s="53"/>
    </row>
    <row r="71" spans="1:19" ht="24" hidden="1" x14ac:dyDescent="0.25">
      <c r="A71" s="656">
        <v>1210</v>
      </c>
      <c r="B71" s="116" t="s">
        <v>89</v>
      </c>
      <c r="C71" s="70">
        <f t="shared" si="3"/>
        <v>0</v>
      </c>
      <c r="D71" s="123"/>
      <c r="E71" s="295"/>
      <c r="F71" s="473">
        <f>D71+E71</f>
        <v>0</v>
      </c>
      <c r="G71" s="123"/>
      <c r="H71" s="262"/>
      <c r="I71" s="295">
        <f>G71+H71</f>
        <v>0</v>
      </c>
      <c r="J71" s="123"/>
      <c r="K71" s="295"/>
      <c r="L71" s="473">
        <f>J71+K71</f>
        <v>0</v>
      </c>
      <c r="M71" s="123"/>
      <c r="N71" s="262"/>
      <c r="O71" s="473">
        <f>N71+M71</f>
        <v>0</v>
      </c>
      <c r="P71" s="442"/>
      <c r="R71" s="53"/>
      <c r="S71" s="53"/>
    </row>
    <row r="72" spans="1:19" ht="24" hidden="1" x14ac:dyDescent="0.25">
      <c r="A72" s="276">
        <v>1220</v>
      </c>
      <c r="B72" s="127" t="s">
        <v>90</v>
      </c>
      <c r="C72" s="429">
        <f t="shared" si="3"/>
        <v>0</v>
      </c>
      <c r="D72" s="277">
        <f t="shared" ref="D72:O72" si="16">SUM(D73:D77)</f>
        <v>0</v>
      </c>
      <c r="E72" s="278">
        <f t="shared" si="16"/>
        <v>0</v>
      </c>
      <c r="F72" s="286">
        <f t="shared" si="16"/>
        <v>0</v>
      </c>
      <c r="G72" s="277">
        <f t="shared" si="16"/>
        <v>0</v>
      </c>
      <c r="H72" s="282">
        <f t="shared" si="16"/>
        <v>0</v>
      </c>
      <c r="I72" s="278">
        <f t="shared" si="16"/>
        <v>0</v>
      </c>
      <c r="J72" s="277">
        <f t="shared" si="16"/>
        <v>0</v>
      </c>
      <c r="K72" s="278">
        <f t="shared" si="16"/>
        <v>0</v>
      </c>
      <c r="L72" s="286">
        <f t="shared" si="16"/>
        <v>0</v>
      </c>
      <c r="M72" s="277">
        <f t="shared" si="16"/>
        <v>0</v>
      </c>
      <c r="N72" s="282">
        <f t="shared" si="16"/>
        <v>0</v>
      </c>
      <c r="O72" s="286">
        <f t="shared" si="16"/>
        <v>0</v>
      </c>
      <c r="P72" s="136"/>
      <c r="R72" s="53"/>
      <c r="S72" s="53"/>
    </row>
    <row r="73" spans="1:19" ht="60" hidden="1" x14ac:dyDescent="0.25">
      <c r="A73" s="76">
        <v>1221</v>
      </c>
      <c r="B73" s="127" t="s">
        <v>91</v>
      </c>
      <c r="C73" s="429">
        <f t="shared" si="3"/>
        <v>0</v>
      </c>
      <c r="D73" s="134"/>
      <c r="E73" s="283"/>
      <c r="F73" s="475">
        <f>D73+E73</f>
        <v>0</v>
      </c>
      <c r="G73" s="134"/>
      <c r="H73" s="285"/>
      <c r="I73" s="283">
        <f>G73+H73</f>
        <v>0</v>
      </c>
      <c r="J73" s="134"/>
      <c r="K73" s="283"/>
      <c r="L73" s="475">
        <f>J73+K73</f>
        <v>0</v>
      </c>
      <c r="M73" s="134"/>
      <c r="N73" s="285"/>
      <c r="O73" s="475">
        <f>N73+M73</f>
        <v>0</v>
      </c>
      <c r="P73" s="441"/>
      <c r="R73" s="53"/>
      <c r="S73" s="53"/>
    </row>
    <row r="74" spans="1:19" hidden="1" x14ac:dyDescent="0.25">
      <c r="A74" s="76">
        <v>1223</v>
      </c>
      <c r="B74" s="127" t="s">
        <v>92</v>
      </c>
      <c r="C74" s="429">
        <f t="shared" si="3"/>
        <v>0</v>
      </c>
      <c r="D74" s="134"/>
      <c r="E74" s="283"/>
      <c r="F74" s="475">
        <f>D74+E74</f>
        <v>0</v>
      </c>
      <c r="G74" s="134"/>
      <c r="H74" s="285"/>
      <c r="I74" s="283">
        <f>G74+H74</f>
        <v>0</v>
      </c>
      <c r="J74" s="134"/>
      <c r="K74" s="283"/>
      <c r="L74" s="475">
        <f>J74+K74</f>
        <v>0</v>
      </c>
      <c r="M74" s="134"/>
      <c r="N74" s="285"/>
      <c r="O74" s="475">
        <f>N74+M74</f>
        <v>0</v>
      </c>
      <c r="P74" s="443"/>
      <c r="R74" s="53"/>
      <c r="S74" s="53"/>
    </row>
    <row r="75" spans="1:19" hidden="1" x14ac:dyDescent="0.25">
      <c r="A75" s="76">
        <v>1225</v>
      </c>
      <c r="B75" s="127" t="s">
        <v>93</v>
      </c>
      <c r="C75" s="429">
        <f t="shared" si="3"/>
        <v>0</v>
      </c>
      <c r="D75" s="134"/>
      <c r="E75" s="283"/>
      <c r="F75" s="475">
        <f>D75+E75</f>
        <v>0</v>
      </c>
      <c r="G75" s="134"/>
      <c r="H75" s="285"/>
      <c r="I75" s="283">
        <f>G75+H75</f>
        <v>0</v>
      </c>
      <c r="J75" s="134"/>
      <c r="K75" s="283"/>
      <c r="L75" s="475">
        <f>J75+K75</f>
        <v>0</v>
      </c>
      <c r="M75" s="134"/>
      <c r="N75" s="285"/>
      <c r="O75" s="475">
        <f>N75+M75</f>
        <v>0</v>
      </c>
      <c r="P75" s="443"/>
      <c r="R75" s="53"/>
      <c r="S75" s="53"/>
    </row>
    <row r="76" spans="1:19" ht="36" hidden="1" x14ac:dyDescent="0.25">
      <c r="A76" s="76">
        <v>1227</v>
      </c>
      <c r="B76" s="127" t="s">
        <v>94</v>
      </c>
      <c r="C76" s="429">
        <f t="shared" si="3"/>
        <v>0</v>
      </c>
      <c r="D76" s="134"/>
      <c r="E76" s="283"/>
      <c r="F76" s="475">
        <f>D76+E76</f>
        <v>0</v>
      </c>
      <c r="G76" s="134"/>
      <c r="H76" s="285"/>
      <c r="I76" s="283">
        <f>G76+H76</f>
        <v>0</v>
      </c>
      <c r="J76" s="134"/>
      <c r="K76" s="283"/>
      <c r="L76" s="475">
        <f>J76+K76</f>
        <v>0</v>
      </c>
      <c r="M76" s="134"/>
      <c r="N76" s="285"/>
      <c r="O76" s="475">
        <f>N76+M76</f>
        <v>0</v>
      </c>
      <c r="P76" s="443"/>
      <c r="R76" s="53"/>
      <c r="S76" s="53"/>
    </row>
    <row r="77" spans="1:19" ht="60" hidden="1" x14ac:dyDescent="0.25">
      <c r="A77" s="76">
        <v>1228</v>
      </c>
      <c r="B77" s="127" t="s">
        <v>95</v>
      </c>
      <c r="C77" s="429">
        <f t="shared" si="3"/>
        <v>0</v>
      </c>
      <c r="D77" s="134"/>
      <c r="E77" s="283"/>
      <c r="F77" s="475">
        <f>D77+E77</f>
        <v>0</v>
      </c>
      <c r="G77" s="134"/>
      <c r="H77" s="285"/>
      <c r="I77" s="283">
        <f>G77+H77</f>
        <v>0</v>
      </c>
      <c r="J77" s="134"/>
      <c r="K77" s="283"/>
      <c r="L77" s="475">
        <f>J77+K77</f>
        <v>0</v>
      </c>
      <c r="M77" s="134"/>
      <c r="N77" s="285"/>
      <c r="O77" s="475">
        <f>N77+M77</f>
        <v>0</v>
      </c>
      <c r="P77" s="443"/>
      <c r="R77" s="53"/>
      <c r="S77" s="53"/>
    </row>
    <row r="78" spans="1:19" x14ac:dyDescent="0.25">
      <c r="A78" s="237">
        <v>2000</v>
      </c>
      <c r="B78" s="237" t="s">
        <v>96</v>
      </c>
      <c r="C78" s="709">
        <f t="shared" si="3"/>
        <v>59902</v>
      </c>
      <c r="D78" s="466">
        <f t="shared" ref="D78:O78" si="17">SUM(D79,D86,D133,D167,D168,D175)</f>
        <v>66051</v>
      </c>
      <c r="E78" s="471">
        <f t="shared" si="17"/>
        <v>-9760</v>
      </c>
      <c r="F78" s="465">
        <f t="shared" si="17"/>
        <v>56291</v>
      </c>
      <c r="G78" s="466">
        <f t="shared" si="17"/>
        <v>0</v>
      </c>
      <c r="H78" s="467">
        <f t="shared" si="17"/>
        <v>0</v>
      </c>
      <c r="I78" s="471">
        <f t="shared" si="17"/>
        <v>0</v>
      </c>
      <c r="J78" s="466">
        <f t="shared" si="17"/>
        <v>3611</v>
      </c>
      <c r="K78" s="471">
        <f t="shared" si="17"/>
        <v>0</v>
      </c>
      <c r="L78" s="465">
        <f t="shared" si="17"/>
        <v>3611</v>
      </c>
      <c r="M78" s="239">
        <f t="shared" si="17"/>
        <v>0</v>
      </c>
      <c r="N78" s="245">
        <f t="shared" si="17"/>
        <v>0</v>
      </c>
      <c r="O78" s="320">
        <f t="shared" si="17"/>
        <v>0</v>
      </c>
      <c r="P78" s="243"/>
      <c r="R78" s="53"/>
      <c r="S78" s="53"/>
    </row>
    <row r="79" spans="1:19" ht="24" hidden="1" x14ac:dyDescent="0.25">
      <c r="A79" s="99">
        <v>2100</v>
      </c>
      <c r="B79" s="247" t="s">
        <v>97</v>
      </c>
      <c r="C79" s="103">
        <f t="shared" si="3"/>
        <v>0</v>
      </c>
      <c r="D79" s="112">
        <f t="shared" ref="D79:O79" si="18">SUM(D80,D83)</f>
        <v>0</v>
      </c>
      <c r="E79" s="248">
        <f t="shared" si="18"/>
        <v>0</v>
      </c>
      <c r="F79" s="313">
        <f t="shared" si="18"/>
        <v>0</v>
      </c>
      <c r="G79" s="112">
        <f t="shared" si="18"/>
        <v>0</v>
      </c>
      <c r="H79" s="293">
        <f t="shared" si="18"/>
        <v>0</v>
      </c>
      <c r="I79" s="248">
        <f t="shared" si="18"/>
        <v>0</v>
      </c>
      <c r="J79" s="112">
        <f t="shared" si="18"/>
        <v>0</v>
      </c>
      <c r="K79" s="248">
        <f t="shared" si="18"/>
        <v>0</v>
      </c>
      <c r="L79" s="313">
        <f t="shared" si="18"/>
        <v>0</v>
      </c>
      <c r="M79" s="112">
        <f t="shared" si="18"/>
        <v>0</v>
      </c>
      <c r="N79" s="293">
        <f t="shared" si="18"/>
        <v>0</v>
      </c>
      <c r="O79" s="313">
        <f t="shared" si="18"/>
        <v>0</v>
      </c>
      <c r="P79" s="114"/>
      <c r="R79" s="53"/>
      <c r="S79" s="53"/>
    </row>
    <row r="80" spans="1:19" ht="24" hidden="1" x14ac:dyDescent="0.25">
      <c r="A80" s="656">
        <v>2110</v>
      </c>
      <c r="B80" s="116" t="s">
        <v>98</v>
      </c>
      <c r="C80" s="70">
        <f t="shared" si="3"/>
        <v>0</v>
      </c>
      <c r="D80" s="297">
        <f t="shared" ref="D80:O80" si="19">SUM(D81:D82)</f>
        <v>0</v>
      </c>
      <c r="E80" s="298">
        <f t="shared" si="19"/>
        <v>0</v>
      </c>
      <c r="F80" s="263">
        <f t="shared" si="19"/>
        <v>0</v>
      </c>
      <c r="G80" s="297">
        <f t="shared" si="19"/>
        <v>0</v>
      </c>
      <c r="H80" s="301">
        <f t="shared" si="19"/>
        <v>0</v>
      </c>
      <c r="I80" s="298">
        <f t="shared" si="19"/>
        <v>0</v>
      </c>
      <c r="J80" s="297">
        <f t="shared" si="19"/>
        <v>0</v>
      </c>
      <c r="K80" s="298">
        <f t="shared" si="19"/>
        <v>0</v>
      </c>
      <c r="L80" s="263">
        <f t="shared" si="19"/>
        <v>0</v>
      </c>
      <c r="M80" s="297">
        <f t="shared" si="19"/>
        <v>0</v>
      </c>
      <c r="N80" s="301">
        <f t="shared" si="19"/>
        <v>0</v>
      </c>
      <c r="O80" s="263">
        <f t="shared" si="19"/>
        <v>0</v>
      </c>
      <c r="P80" s="125"/>
      <c r="R80" s="53"/>
      <c r="S80" s="53"/>
    </row>
    <row r="81" spans="1:19" hidden="1" x14ac:dyDescent="0.25">
      <c r="A81" s="76">
        <v>2111</v>
      </c>
      <c r="B81" s="127" t="s">
        <v>99</v>
      </c>
      <c r="C81" s="429">
        <f t="shared" si="3"/>
        <v>0</v>
      </c>
      <c r="D81" s="134">
        <v>0</v>
      </c>
      <c r="E81" s="283"/>
      <c r="F81" s="475">
        <f>D81+E81</f>
        <v>0</v>
      </c>
      <c r="G81" s="134"/>
      <c r="H81" s="285"/>
      <c r="I81" s="283">
        <f>G81+H81</f>
        <v>0</v>
      </c>
      <c r="J81" s="134"/>
      <c r="K81" s="283"/>
      <c r="L81" s="475">
        <f>J81+K81</f>
        <v>0</v>
      </c>
      <c r="M81" s="134"/>
      <c r="N81" s="285"/>
      <c r="O81" s="475">
        <f>N81+M81</f>
        <v>0</v>
      </c>
      <c r="P81" s="443"/>
      <c r="R81" s="53"/>
      <c r="S81" s="53"/>
    </row>
    <row r="82" spans="1:19" ht="24" hidden="1" x14ac:dyDescent="0.25">
      <c r="A82" s="76">
        <v>2112</v>
      </c>
      <c r="B82" s="127" t="s">
        <v>100</v>
      </c>
      <c r="C82" s="429">
        <f t="shared" si="3"/>
        <v>0</v>
      </c>
      <c r="D82" s="134">
        <v>0</v>
      </c>
      <c r="E82" s="283"/>
      <c r="F82" s="475">
        <f>D82+E82</f>
        <v>0</v>
      </c>
      <c r="G82" s="134"/>
      <c r="H82" s="285"/>
      <c r="I82" s="283">
        <f>G82+H82</f>
        <v>0</v>
      </c>
      <c r="J82" s="134"/>
      <c r="K82" s="283"/>
      <c r="L82" s="475">
        <f>J82+K82</f>
        <v>0</v>
      </c>
      <c r="M82" s="134"/>
      <c r="N82" s="285"/>
      <c r="O82" s="475">
        <f>N82+M82</f>
        <v>0</v>
      </c>
      <c r="P82" s="443"/>
      <c r="R82" s="53"/>
      <c r="S82" s="53"/>
    </row>
    <row r="83" spans="1:19" ht="24" hidden="1" x14ac:dyDescent="0.25">
      <c r="A83" s="276">
        <v>2120</v>
      </c>
      <c r="B83" s="127" t="s">
        <v>101</v>
      </c>
      <c r="C83" s="429">
        <f t="shared" si="3"/>
        <v>0</v>
      </c>
      <c r="D83" s="277">
        <f t="shared" ref="D83:O83" si="20">SUM(D84:D85)</f>
        <v>0</v>
      </c>
      <c r="E83" s="278">
        <f t="shared" si="20"/>
        <v>0</v>
      </c>
      <c r="F83" s="286">
        <f t="shared" si="20"/>
        <v>0</v>
      </c>
      <c r="G83" s="277">
        <f t="shared" si="20"/>
        <v>0</v>
      </c>
      <c r="H83" s="282">
        <f t="shared" si="20"/>
        <v>0</v>
      </c>
      <c r="I83" s="278">
        <f t="shared" si="20"/>
        <v>0</v>
      </c>
      <c r="J83" s="277">
        <f t="shared" si="20"/>
        <v>0</v>
      </c>
      <c r="K83" s="278">
        <f t="shared" si="20"/>
        <v>0</v>
      </c>
      <c r="L83" s="286">
        <f t="shared" si="20"/>
        <v>0</v>
      </c>
      <c r="M83" s="277">
        <f t="shared" si="20"/>
        <v>0</v>
      </c>
      <c r="N83" s="282">
        <f t="shared" si="20"/>
        <v>0</v>
      </c>
      <c r="O83" s="286">
        <f t="shared" si="20"/>
        <v>0</v>
      </c>
      <c r="P83" s="136"/>
      <c r="R83" s="53"/>
      <c r="S83" s="53"/>
    </row>
    <row r="84" spans="1:19" hidden="1" x14ac:dyDescent="0.25">
      <c r="A84" s="76">
        <v>2121</v>
      </c>
      <c r="B84" s="127" t="s">
        <v>99</v>
      </c>
      <c r="C84" s="429">
        <f t="shared" si="3"/>
        <v>0</v>
      </c>
      <c r="D84" s="134">
        <v>0</v>
      </c>
      <c r="E84" s="283"/>
      <c r="F84" s="475">
        <f>D84+E84</f>
        <v>0</v>
      </c>
      <c r="G84" s="134"/>
      <c r="H84" s="285"/>
      <c r="I84" s="283">
        <f>G84+H84</f>
        <v>0</v>
      </c>
      <c r="J84" s="134"/>
      <c r="K84" s="283"/>
      <c r="L84" s="475">
        <f>J84+K84</f>
        <v>0</v>
      </c>
      <c r="M84" s="134"/>
      <c r="N84" s="285"/>
      <c r="O84" s="475">
        <f>N84+M84</f>
        <v>0</v>
      </c>
      <c r="P84" s="443"/>
      <c r="R84" s="53"/>
      <c r="S84" s="53"/>
    </row>
    <row r="85" spans="1:19" ht="24" hidden="1" x14ac:dyDescent="0.25">
      <c r="A85" s="76">
        <v>2122</v>
      </c>
      <c r="B85" s="127" t="s">
        <v>100</v>
      </c>
      <c r="C85" s="429">
        <f t="shared" si="3"/>
        <v>0</v>
      </c>
      <c r="D85" s="134">
        <v>0</v>
      </c>
      <c r="E85" s="283"/>
      <c r="F85" s="475">
        <f>D85+E85</f>
        <v>0</v>
      </c>
      <c r="G85" s="134"/>
      <c r="H85" s="285"/>
      <c r="I85" s="283">
        <f>G85+H85</f>
        <v>0</v>
      </c>
      <c r="J85" s="134"/>
      <c r="K85" s="283"/>
      <c r="L85" s="475">
        <f>J85+K85</f>
        <v>0</v>
      </c>
      <c r="M85" s="134"/>
      <c r="N85" s="285"/>
      <c r="O85" s="475">
        <f>N85+M85</f>
        <v>0</v>
      </c>
      <c r="P85" s="443"/>
      <c r="R85" s="53"/>
      <c r="S85" s="53"/>
    </row>
    <row r="86" spans="1:19" x14ac:dyDescent="0.25">
      <c r="A86" s="99">
        <v>2200</v>
      </c>
      <c r="B86" s="247" t="s">
        <v>102</v>
      </c>
      <c r="C86" s="103">
        <f t="shared" si="3"/>
        <v>56850</v>
      </c>
      <c r="D86" s="112">
        <f t="shared" ref="D86:O86" si="21">SUM(D87,D92,D98,D106,D115,D119,D125,D131)</f>
        <v>63239</v>
      </c>
      <c r="E86" s="248">
        <f t="shared" si="21"/>
        <v>-9760</v>
      </c>
      <c r="F86" s="313">
        <f t="shared" si="21"/>
        <v>53479</v>
      </c>
      <c r="G86" s="112">
        <f t="shared" si="21"/>
        <v>0</v>
      </c>
      <c r="H86" s="293">
        <f t="shared" si="21"/>
        <v>0</v>
      </c>
      <c r="I86" s="248">
        <f t="shared" si="21"/>
        <v>0</v>
      </c>
      <c r="J86" s="112">
        <f t="shared" si="21"/>
        <v>3371</v>
      </c>
      <c r="K86" s="248">
        <f t="shared" si="21"/>
        <v>0</v>
      </c>
      <c r="L86" s="313">
        <f t="shared" si="21"/>
        <v>3371</v>
      </c>
      <c r="M86" s="360">
        <f t="shared" si="21"/>
        <v>0</v>
      </c>
      <c r="N86" s="293">
        <f t="shared" si="21"/>
        <v>0</v>
      </c>
      <c r="O86" s="313">
        <f t="shared" si="21"/>
        <v>0</v>
      </c>
      <c r="P86" s="114"/>
      <c r="R86" s="53"/>
      <c r="S86" s="53"/>
    </row>
    <row r="87" spans="1:19" ht="24" hidden="1" x14ac:dyDescent="0.25">
      <c r="A87" s="254">
        <v>2210</v>
      </c>
      <c r="B87" s="179" t="s">
        <v>103</v>
      </c>
      <c r="C87" s="454">
        <f t="shared" si="3"/>
        <v>0</v>
      </c>
      <c r="D87" s="255">
        <f t="shared" ref="D87:O87" si="22">SUM(D88:D91)</f>
        <v>0</v>
      </c>
      <c r="E87" s="256">
        <f t="shared" si="22"/>
        <v>0</v>
      </c>
      <c r="F87" s="310">
        <f t="shared" si="22"/>
        <v>0</v>
      </c>
      <c r="G87" s="255">
        <f t="shared" si="22"/>
        <v>0</v>
      </c>
      <c r="H87" s="261">
        <f t="shared" si="22"/>
        <v>0</v>
      </c>
      <c r="I87" s="256">
        <f t="shared" si="22"/>
        <v>0</v>
      </c>
      <c r="J87" s="255">
        <f t="shared" si="22"/>
        <v>0</v>
      </c>
      <c r="K87" s="256">
        <f t="shared" si="22"/>
        <v>0</v>
      </c>
      <c r="L87" s="310">
        <f t="shared" si="22"/>
        <v>0</v>
      </c>
      <c r="M87" s="255">
        <f t="shared" si="22"/>
        <v>0</v>
      </c>
      <c r="N87" s="261">
        <f t="shared" si="22"/>
        <v>0</v>
      </c>
      <c r="O87" s="310">
        <f t="shared" si="22"/>
        <v>0</v>
      </c>
      <c r="P87" s="259"/>
      <c r="R87" s="53"/>
      <c r="S87" s="53"/>
    </row>
    <row r="88" spans="1:19" ht="24" hidden="1" x14ac:dyDescent="0.25">
      <c r="A88" s="66">
        <v>2211</v>
      </c>
      <c r="B88" s="116" t="s">
        <v>104</v>
      </c>
      <c r="C88" s="70">
        <f t="shared" si="3"/>
        <v>0</v>
      </c>
      <c r="D88" s="123"/>
      <c r="E88" s="295"/>
      <c r="F88" s="473">
        <f>D88+E88</f>
        <v>0</v>
      </c>
      <c r="G88" s="123"/>
      <c r="H88" s="262"/>
      <c r="I88" s="295">
        <f>G88+H88</f>
        <v>0</v>
      </c>
      <c r="J88" s="123"/>
      <c r="K88" s="295"/>
      <c r="L88" s="473">
        <f>J88+K88</f>
        <v>0</v>
      </c>
      <c r="M88" s="123"/>
      <c r="N88" s="262"/>
      <c r="O88" s="473">
        <f>N88+M88</f>
        <v>0</v>
      </c>
      <c r="P88" s="442"/>
      <c r="R88" s="53"/>
      <c r="S88" s="53"/>
    </row>
    <row r="89" spans="1:19" ht="36" hidden="1" x14ac:dyDescent="0.25">
      <c r="A89" s="76">
        <v>2212</v>
      </c>
      <c r="B89" s="127" t="s">
        <v>105</v>
      </c>
      <c r="C89" s="429">
        <f t="shared" si="3"/>
        <v>0</v>
      </c>
      <c r="D89" s="134"/>
      <c r="E89" s="283"/>
      <c r="F89" s="475">
        <f>D89+E89</f>
        <v>0</v>
      </c>
      <c r="G89" s="134"/>
      <c r="H89" s="285"/>
      <c r="I89" s="283">
        <f>G89+H89</f>
        <v>0</v>
      </c>
      <c r="J89" s="134"/>
      <c r="K89" s="283"/>
      <c r="L89" s="475">
        <f>J89+K89</f>
        <v>0</v>
      </c>
      <c r="M89" s="134"/>
      <c r="N89" s="285"/>
      <c r="O89" s="475">
        <f>N89+M89</f>
        <v>0</v>
      </c>
      <c r="P89" s="441"/>
      <c r="R89" s="53"/>
      <c r="S89" s="53"/>
    </row>
    <row r="90" spans="1:19" ht="24" hidden="1" x14ac:dyDescent="0.25">
      <c r="A90" s="76">
        <v>2214</v>
      </c>
      <c r="B90" s="127" t="s">
        <v>106</v>
      </c>
      <c r="C90" s="429">
        <f t="shared" si="3"/>
        <v>0</v>
      </c>
      <c r="D90" s="134"/>
      <c r="E90" s="283"/>
      <c r="F90" s="475">
        <f>D90+E90</f>
        <v>0</v>
      </c>
      <c r="G90" s="134"/>
      <c r="H90" s="285"/>
      <c r="I90" s="283">
        <f>G90+H90</f>
        <v>0</v>
      </c>
      <c r="J90" s="134"/>
      <c r="K90" s="283"/>
      <c r="L90" s="475">
        <f>J90+K90</f>
        <v>0</v>
      </c>
      <c r="M90" s="134"/>
      <c r="N90" s="285"/>
      <c r="O90" s="475">
        <f>N90+M90</f>
        <v>0</v>
      </c>
      <c r="P90" s="441"/>
      <c r="R90" s="53"/>
      <c r="S90" s="53"/>
    </row>
    <row r="91" spans="1:19" hidden="1" x14ac:dyDescent="0.25">
      <c r="A91" s="76">
        <v>2219</v>
      </c>
      <c r="B91" s="127" t="s">
        <v>107</v>
      </c>
      <c r="C91" s="429">
        <f t="shared" si="3"/>
        <v>0</v>
      </c>
      <c r="D91" s="134"/>
      <c r="E91" s="283"/>
      <c r="F91" s="475">
        <f>D91+E91</f>
        <v>0</v>
      </c>
      <c r="G91" s="134"/>
      <c r="H91" s="285"/>
      <c r="I91" s="283">
        <f>G91+H91</f>
        <v>0</v>
      </c>
      <c r="J91" s="134"/>
      <c r="K91" s="283"/>
      <c r="L91" s="475">
        <f>J91+K91</f>
        <v>0</v>
      </c>
      <c r="M91" s="134"/>
      <c r="N91" s="285"/>
      <c r="O91" s="475">
        <f>N91+M91</f>
        <v>0</v>
      </c>
      <c r="P91" s="443"/>
      <c r="R91" s="53"/>
      <c r="S91" s="53"/>
    </row>
    <row r="92" spans="1:19" ht="24" x14ac:dyDescent="0.25">
      <c r="A92" s="276">
        <v>2220</v>
      </c>
      <c r="B92" s="127" t="s">
        <v>108</v>
      </c>
      <c r="C92" s="429">
        <f t="shared" si="3"/>
        <v>47378</v>
      </c>
      <c r="D92" s="277">
        <f t="shared" ref="D92:O92" si="23">SUM(D93:D97)</f>
        <v>44407</v>
      </c>
      <c r="E92" s="278">
        <f t="shared" si="23"/>
        <v>0</v>
      </c>
      <c r="F92" s="286">
        <f t="shared" si="23"/>
        <v>44407</v>
      </c>
      <c r="G92" s="277">
        <f t="shared" si="23"/>
        <v>0</v>
      </c>
      <c r="H92" s="282">
        <f t="shared" si="23"/>
        <v>0</v>
      </c>
      <c r="I92" s="278">
        <f t="shared" si="23"/>
        <v>0</v>
      </c>
      <c r="J92" s="277">
        <f t="shared" si="23"/>
        <v>2971</v>
      </c>
      <c r="K92" s="278">
        <f t="shared" si="23"/>
        <v>0</v>
      </c>
      <c r="L92" s="286">
        <f t="shared" si="23"/>
        <v>2971</v>
      </c>
      <c r="M92" s="277">
        <f t="shared" si="23"/>
        <v>0</v>
      </c>
      <c r="N92" s="282">
        <f t="shared" si="23"/>
        <v>0</v>
      </c>
      <c r="O92" s="286">
        <f t="shared" si="23"/>
        <v>0</v>
      </c>
      <c r="P92" s="136"/>
      <c r="R92" s="53"/>
      <c r="S92" s="53"/>
    </row>
    <row r="93" spans="1:19" x14ac:dyDescent="0.25">
      <c r="A93" s="76">
        <v>2221</v>
      </c>
      <c r="B93" s="127" t="s">
        <v>109</v>
      </c>
      <c r="C93" s="429">
        <f t="shared" si="3"/>
        <v>24040</v>
      </c>
      <c r="D93" s="134">
        <v>22915</v>
      </c>
      <c r="E93" s="283"/>
      <c r="F93" s="475">
        <f>D93+E93</f>
        <v>22915</v>
      </c>
      <c r="G93" s="134"/>
      <c r="H93" s="285"/>
      <c r="I93" s="283">
        <f>G93+H93</f>
        <v>0</v>
      </c>
      <c r="J93" s="134">
        <v>1125</v>
      </c>
      <c r="K93" s="283"/>
      <c r="L93" s="475">
        <f>J93+K93</f>
        <v>1125</v>
      </c>
      <c r="M93" s="134"/>
      <c r="N93" s="285"/>
      <c r="O93" s="475">
        <f>N93+M93</f>
        <v>0</v>
      </c>
      <c r="P93" s="443"/>
      <c r="R93" s="53"/>
      <c r="S93" s="53"/>
    </row>
    <row r="94" spans="1:19" x14ac:dyDescent="0.25">
      <c r="A94" s="76">
        <v>2222</v>
      </c>
      <c r="B94" s="127" t="s">
        <v>110</v>
      </c>
      <c r="C94" s="429">
        <f t="shared" si="3"/>
        <v>2995</v>
      </c>
      <c r="D94" s="134">
        <v>2249</v>
      </c>
      <c r="E94" s="283"/>
      <c r="F94" s="475">
        <f>D94+E94</f>
        <v>2249</v>
      </c>
      <c r="G94" s="134"/>
      <c r="H94" s="285"/>
      <c r="I94" s="283">
        <f>G94+H94</f>
        <v>0</v>
      </c>
      <c r="J94" s="134">
        <v>746</v>
      </c>
      <c r="K94" s="283"/>
      <c r="L94" s="475">
        <f>J94+K94</f>
        <v>746</v>
      </c>
      <c r="M94" s="134"/>
      <c r="N94" s="285"/>
      <c r="O94" s="475">
        <f>N94+M94</f>
        <v>0</v>
      </c>
      <c r="P94" s="443"/>
      <c r="R94" s="53"/>
      <c r="S94" s="53"/>
    </row>
    <row r="95" spans="1:19" x14ac:dyDescent="0.25">
      <c r="A95" s="76">
        <v>2223</v>
      </c>
      <c r="B95" s="127" t="s">
        <v>111</v>
      </c>
      <c r="C95" s="429">
        <f t="shared" si="3"/>
        <v>20135</v>
      </c>
      <c r="D95" s="134">
        <v>19035</v>
      </c>
      <c r="E95" s="283"/>
      <c r="F95" s="475">
        <f>D95+E95</f>
        <v>19035</v>
      </c>
      <c r="G95" s="134"/>
      <c r="H95" s="285"/>
      <c r="I95" s="283">
        <f>G95+H95</f>
        <v>0</v>
      </c>
      <c r="J95" s="134">
        <v>1100</v>
      </c>
      <c r="K95" s="283"/>
      <c r="L95" s="475">
        <f>J95+K95</f>
        <v>1100</v>
      </c>
      <c r="M95" s="134"/>
      <c r="N95" s="285"/>
      <c r="O95" s="475">
        <f>N95+M95</f>
        <v>0</v>
      </c>
      <c r="P95" s="443"/>
      <c r="R95" s="53"/>
      <c r="S95" s="53"/>
    </row>
    <row r="96" spans="1:19" ht="48" x14ac:dyDescent="0.25">
      <c r="A96" s="76">
        <v>2224</v>
      </c>
      <c r="B96" s="127" t="s">
        <v>112</v>
      </c>
      <c r="C96" s="429">
        <f t="shared" si="3"/>
        <v>208</v>
      </c>
      <c r="D96" s="134">
        <v>208</v>
      </c>
      <c r="E96" s="283"/>
      <c r="F96" s="475">
        <f>D96+E96</f>
        <v>208</v>
      </c>
      <c r="G96" s="134"/>
      <c r="H96" s="285"/>
      <c r="I96" s="283">
        <f>G96+H96</f>
        <v>0</v>
      </c>
      <c r="J96" s="134"/>
      <c r="K96" s="283"/>
      <c r="L96" s="475">
        <f>J96+K96</f>
        <v>0</v>
      </c>
      <c r="M96" s="134"/>
      <c r="N96" s="285"/>
      <c r="O96" s="475">
        <f>N96+M96</f>
        <v>0</v>
      </c>
      <c r="P96" s="443"/>
      <c r="R96" s="53"/>
      <c r="S96" s="53"/>
    </row>
    <row r="97" spans="1:19" ht="24" hidden="1" x14ac:dyDescent="0.25">
      <c r="A97" s="76">
        <v>2229</v>
      </c>
      <c r="B97" s="127" t="s">
        <v>113</v>
      </c>
      <c r="C97" s="429">
        <f t="shared" si="3"/>
        <v>0</v>
      </c>
      <c r="D97" s="134"/>
      <c r="E97" s="283"/>
      <c r="F97" s="475">
        <f>D97+E97</f>
        <v>0</v>
      </c>
      <c r="G97" s="134"/>
      <c r="H97" s="285"/>
      <c r="I97" s="283">
        <f>G97+H97</f>
        <v>0</v>
      </c>
      <c r="J97" s="134"/>
      <c r="K97" s="283"/>
      <c r="L97" s="475">
        <f>J97+K97</f>
        <v>0</v>
      </c>
      <c r="M97" s="134"/>
      <c r="N97" s="285"/>
      <c r="O97" s="475">
        <f>N97+M97</f>
        <v>0</v>
      </c>
      <c r="P97" s="443"/>
      <c r="R97" s="53"/>
      <c r="S97" s="53"/>
    </row>
    <row r="98" spans="1:19" ht="36" hidden="1" x14ac:dyDescent="0.25">
      <c r="A98" s="276">
        <v>2230</v>
      </c>
      <c r="B98" s="127" t="s">
        <v>114</v>
      </c>
      <c r="C98" s="429">
        <f t="shared" si="3"/>
        <v>0</v>
      </c>
      <c r="D98" s="277">
        <f t="shared" ref="D98:O98" si="24">SUM(D99:D105)</f>
        <v>0</v>
      </c>
      <c r="E98" s="278">
        <f t="shared" si="24"/>
        <v>0</v>
      </c>
      <c r="F98" s="286">
        <f t="shared" si="24"/>
        <v>0</v>
      </c>
      <c r="G98" s="277">
        <f t="shared" si="24"/>
        <v>0</v>
      </c>
      <c r="H98" s="282">
        <f t="shared" si="24"/>
        <v>0</v>
      </c>
      <c r="I98" s="278">
        <f t="shared" si="24"/>
        <v>0</v>
      </c>
      <c r="J98" s="277">
        <f t="shared" si="24"/>
        <v>0</v>
      </c>
      <c r="K98" s="278">
        <f t="shared" si="24"/>
        <v>0</v>
      </c>
      <c r="L98" s="286">
        <f t="shared" si="24"/>
        <v>0</v>
      </c>
      <c r="M98" s="277">
        <f t="shared" si="24"/>
        <v>0</v>
      </c>
      <c r="N98" s="282">
        <f t="shared" si="24"/>
        <v>0</v>
      </c>
      <c r="O98" s="286">
        <f t="shared" si="24"/>
        <v>0</v>
      </c>
      <c r="P98" s="136"/>
      <c r="R98" s="53"/>
      <c r="S98" s="53"/>
    </row>
    <row r="99" spans="1:19" ht="24" hidden="1" x14ac:dyDescent="0.25">
      <c r="A99" s="76">
        <v>2231</v>
      </c>
      <c r="B99" s="127" t="s">
        <v>115</v>
      </c>
      <c r="C99" s="429">
        <f t="shared" si="3"/>
        <v>0</v>
      </c>
      <c r="D99" s="134"/>
      <c r="E99" s="283"/>
      <c r="F99" s="475">
        <f t="shared" ref="F99:F105" si="25">D99+E99</f>
        <v>0</v>
      </c>
      <c r="G99" s="134"/>
      <c r="H99" s="285"/>
      <c r="I99" s="283">
        <f t="shared" ref="I99:I105" si="26">G99+H99</f>
        <v>0</v>
      </c>
      <c r="J99" s="134"/>
      <c r="K99" s="283"/>
      <c r="L99" s="475">
        <f t="shared" ref="L99:L105" si="27">J99+K99</f>
        <v>0</v>
      </c>
      <c r="M99" s="134"/>
      <c r="N99" s="285"/>
      <c r="O99" s="475">
        <f t="shared" ref="O99:O105" si="28">N99+M99</f>
        <v>0</v>
      </c>
      <c r="P99" s="443"/>
      <c r="R99" s="53"/>
      <c r="S99" s="53"/>
    </row>
    <row r="100" spans="1:19" ht="36" hidden="1" x14ac:dyDescent="0.25">
      <c r="A100" s="76">
        <v>2232</v>
      </c>
      <c r="B100" s="127" t="s">
        <v>116</v>
      </c>
      <c r="C100" s="429">
        <f t="shared" si="3"/>
        <v>0</v>
      </c>
      <c r="D100" s="134"/>
      <c r="E100" s="283"/>
      <c r="F100" s="475">
        <f t="shared" si="25"/>
        <v>0</v>
      </c>
      <c r="G100" s="134"/>
      <c r="H100" s="285"/>
      <c r="I100" s="283">
        <f t="shared" si="26"/>
        <v>0</v>
      </c>
      <c r="J100" s="134"/>
      <c r="K100" s="283"/>
      <c r="L100" s="475">
        <f t="shared" si="27"/>
        <v>0</v>
      </c>
      <c r="M100" s="134"/>
      <c r="N100" s="285"/>
      <c r="O100" s="475">
        <f t="shared" si="28"/>
        <v>0</v>
      </c>
      <c r="P100" s="443"/>
      <c r="R100" s="53"/>
      <c r="S100" s="53"/>
    </row>
    <row r="101" spans="1:19" ht="24" hidden="1" x14ac:dyDescent="0.25">
      <c r="A101" s="66">
        <v>2233</v>
      </c>
      <c r="B101" s="116" t="s">
        <v>117</v>
      </c>
      <c r="C101" s="70">
        <f t="shared" si="3"/>
        <v>0</v>
      </c>
      <c r="D101" s="123"/>
      <c r="E101" s="295"/>
      <c r="F101" s="473">
        <f t="shared" si="25"/>
        <v>0</v>
      </c>
      <c r="G101" s="123"/>
      <c r="H101" s="262"/>
      <c r="I101" s="295">
        <f t="shared" si="26"/>
        <v>0</v>
      </c>
      <c r="J101" s="123"/>
      <c r="K101" s="295"/>
      <c r="L101" s="473">
        <f t="shared" si="27"/>
        <v>0</v>
      </c>
      <c r="M101" s="123"/>
      <c r="N101" s="262"/>
      <c r="O101" s="473">
        <f t="shared" si="28"/>
        <v>0</v>
      </c>
      <c r="P101" s="442"/>
      <c r="R101" s="53"/>
      <c r="S101" s="53"/>
    </row>
    <row r="102" spans="1:19" ht="36" hidden="1" x14ac:dyDescent="0.25">
      <c r="A102" s="76">
        <v>2234</v>
      </c>
      <c r="B102" s="127" t="s">
        <v>118</v>
      </c>
      <c r="C102" s="429">
        <f t="shared" si="3"/>
        <v>0</v>
      </c>
      <c r="D102" s="134"/>
      <c r="E102" s="283"/>
      <c r="F102" s="475">
        <f t="shared" si="25"/>
        <v>0</v>
      </c>
      <c r="G102" s="134"/>
      <c r="H102" s="285"/>
      <c r="I102" s="283">
        <f t="shared" si="26"/>
        <v>0</v>
      </c>
      <c r="J102" s="134"/>
      <c r="K102" s="283"/>
      <c r="L102" s="475">
        <f t="shared" si="27"/>
        <v>0</v>
      </c>
      <c r="M102" s="134"/>
      <c r="N102" s="285"/>
      <c r="O102" s="475">
        <f t="shared" si="28"/>
        <v>0</v>
      </c>
      <c r="P102" s="443"/>
      <c r="R102" s="53"/>
      <c r="S102" s="53"/>
    </row>
    <row r="103" spans="1:19" ht="24" hidden="1" x14ac:dyDescent="0.25">
      <c r="A103" s="76">
        <v>2235</v>
      </c>
      <c r="B103" s="127" t="s">
        <v>119</v>
      </c>
      <c r="C103" s="429">
        <f t="shared" si="3"/>
        <v>0</v>
      </c>
      <c r="D103" s="134"/>
      <c r="E103" s="283"/>
      <c r="F103" s="475">
        <f t="shared" si="25"/>
        <v>0</v>
      </c>
      <c r="G103" s="134"/>
      <c r="H103" s="285"/>
      <c r="I103" s="283">
        <f t="shared" si="26"/>
        <v>0</v>
      </c>
      <c r="J103" s="134"/>
      <c r="K103" s="283"/>
      <c r="L103" s="475">
        <f t="shared" si="27"/>
        <v>0</v>
      </c>
      <c r="M103" s="134"/>
      <c r="N103" s="285"/>
      <c r="O103" s="475">
        <f t="shared" si="28"/>
        <v>0</v>
      </c>
      <c r="P103" s="443"/>
      <c r="R103" s="53"/>
      <c r="S103" s="53"/>
    </row>
    <row r="104" spans="1:19" hidden="1" x14ac:dyDescent="0.25">
      <c r="A104" s="76">
        <v>2236</v>
      </c>
      <c r="B104" s="127" t="s">
        <v>120</v>
      </c>
      <c r="C104" s="429">
        <f t="shared" si="3"/>
        <v>0</v>
      </c>
      <c r="D104" s="134"/>
      <c r="E104" s="283"/>
      <c r="F104" s="475">
        <f t="shared" si="25"/>
        <v>0</v>
      </c>
      <c r="G104" s="134"/>
      <c r="H104" s="285"/>
      <c r="I104" s="283">
        <f t="shared" si="26"/>
        <v>0</v>
      </c>
      <c r="J104" s="134"/>
      <c r="K104" s="283"/>
      <c r="L104" s="475">
        <f t="shared" si="27"/>
        <v>0</v>
      </c>
      <c r="M104" s="134"/>
      <c r="N104" s="285"/>
      <c r="O104" s="475">
        <f t="shared" si="28"/>
        <v>0</v>
      </c>
      <c r="P104" s="443"/>
      <c r="R104" s="53"/>
      <c r="S104" s="53"/>
    </row>
    <row r="105" spans="1:19" ht="24" hidden="1" x14ac:dyDescent="0.25">
      <c r="A105" s="76">
        <v>2239</v>
      </c>
      <c r="B105" s="127" t="s">
        <v>121</v>
      </c>
      <c r="C105" s="429">
        <f t="shared" si="3"/>
        <v>0</v>
      </c>
      <c r="D105" s="134"/>
      <c r="E105" s="283"/>
      <c r="F105" s="475">
        <f t="shared" si="25"/>
        <v>0</v>
      </c>
      <c r="G105" s="134"/>
      <c r="H105" s="285"/>
      <c r="I105" s="283">
        <f t="shared" si="26"/>
        <v>0</v>
      </c>
      <c r="J105" s="134"/>
      <c r="K105" s="283"/>
      <c r="L105" s="475">
        <f t="shared" si="27"/>
        <v>0</v>
      </c>
      <c r="M105" s="134"/>
      <c r="N105" s="285"/>
      <c r="O105" s="475">
        <f t="shared" si="28"/>
        <v>0</v>
      </c>
      <c r="P105" s="443"/>
      <c r="R105" s="53"/>
      <c r="S105" s="53"/>
    </row>
    <row r="106" spans="1:19" ht="36" x14ac:dyDescent="0.25">
      <c r="A106" s="276">
        <v>2240</v>
      </c>
      <c r="B106" s="127" t="s">
        <v>122</v>
      </c>
      <c r="C106" s="429">
        <f t="shared" si="3"/>
        <v>9458</v>
      </c>
      <c r="D106" s="277">
        <f t="shared" ref="D106:O106" si="29">SUM(D107:D114)</f>
        <v>18818</v>
      </c>
      <c r="E106" s="278">
        <f t="shared" si="29"/>
        <v>-9760</v>
      </c>
      <c r="F106" s="286">
        <f t="shared" si="29"/>
        <v>9058</v>
      </c>
      <c r="G106" s="277">
        <f t="shared" si="29"/>
        <v>0</v>
      </c>
      <c r="H106" s="282">
        <f t="shared" si="29"/>
        <v>0</v>
      </c>
      <c r="I106" s="278">
        <f t="shared" si="29"/>
        <v>0</v>
      </c>
      <c r="J106" s="277">
        <f t="shared" si="29"/>
        <v>400</v>
      </c>
      <c r="K106" s="278">
        <f t="shared" si="29"/>
        <v>0</v>
      </c>
      <c r="L106" s="286">
        <f t="shared" si="29"/>
        <v>400</v>
      </c>
      <c r="M106" s="277">
        <f t="shared" si="29"/>
        <v>0</v>
      </c>
      <c r="N106" s="282">
        <f t="shared" si="29"/>
        <v>0</v>
      </c>
      <c r="O106" s="286">
        <f t="shared" si="29"/>
        <v>0</v>
      </c>
      <c r="P106" s="136"/>
      <c r="R106" s="53"/>
      <c r="S106" s="53"/>
    </row>
    <row r="107" spans="1:19" hidden="1" x14ac:dyDescent="0.25">
      <c r="A107" s="76">
        <v>2241</v>
      </c>
      <c r="B107" s="127" t="s">
        <v>123</v>
      </c>
      <c r="C107" s="429">
        <f t="shared" si="3"/>
        <v>0</v>
      </c>
      <c r="D107" s="134"/>
      <c r="E107" s="283"/>
      <c r="F107" s="475">
        <f t="shared" ref="F107:F114" si="30">D107+E107</f>
        <v>0</v>
      </c>
      <c r="G107" s="134"/>
      <c r="H107" s="285"/>
      <c r="I107" s="283">
        <f t="shared" ref="I107:I114" si="31">G107+H107</f>
        <v>0</v>
      </c>
      <c r="J107" s="134"/>
      <c r="K107" s="283"/>
      <c r="L107" s="475">
        <f t="shared" ref="L107:L114" si="32">J107+K107</f>
        <v>0</v>
      </c>
      <c r="M107" s="134"/>
      <c r="N107" s="285"/>
      <c r="O107" s="475">
        <f t="shared" ref="O107:O114" si="33">N107+M107</f>
        <v>0</v>
      </c>
      <c r="P107" s="443"/>
      <c r="R107" s="53"/>
      <c r="S107" s="53"/>
    </row>
    <row r="108" spans="1:19" ht="24" hidden="1" x14ac:dyDescent="0.25">
      <c r="A108" s="76">
        <v>2242</v>
      </c>
      <c r="B108" s="127" t="s">
        <v>124</v>
      </c>
      <c r="C108" s="429">
        <f t="shared" si="3"/>
        <v>0</v>
      </c>
      <c r="D108" s="134"/>
      <c r="E108" s="283"/>
      <c r="F108" s="475">
        <f t="shared" si="30"/>
        <v>0</v>
      </c>
      <c r="G108" s="134"/>
      <c r="H108" s="285"/>
      <c r="I108" s="283">
        <f t="shared" si="31"/>
        <v>0</v>
      </c>
      <c r="J108" s="134"/>
      <c r="K108" s="283"/>
      <c r="L108" s="475">
        <f t="shared" si="32"/>
        <v>0</v>
      </c>
      <c r="M108" s="134"/>
      <c r="N108" s="285"/>
      <c r="O108" s="475">
        <f t="shared" si="33"/>
        <v>0</v>
      </c>
      <c r="P108" s="443"/>
      <c r="R108" s="53"/>
      <c r="S108" s="53"/>
    </row>
    <row r="109" spans="1:19" ht="24" x14ac:dyDescent="0.25">
      <c r="A109" s="76">
        <v>2243</v>
      </c>
      <c r="B109" s="127" t="s">
        <v>125</v>
      </c>
      <c r="C109" s="429">
        <f t="shared" si="3"/>
        <v>200</v>
      </c>
      <c r="D109" s="134"/>
      <c r="E109" s="283"/>
      <c r="F109" s="475">
        <f t="shared" si="30"/>
        <v>0</v>
      </c>
      <c r="G109" s="134"/>
      <c r="H109" s="285"/>
      <c r="I109" s="283">
        <f t="shared" si="31"/>
        <v>0</v>
      </c>
      <c r="J109" s="134">
        <v>200</v>
      </c>
      <c r="K109" s="283"/>
      <c r="L109" s="475">
        <f t="shared" si="32"/>
        <v>200</v>
      </c>
      <c r="M109" s="134"/>
      <c r="N109" s="285"/>
      <c r="O109" s="475">
        <f t="shared" si="33"/>
        <v>0</v>
      </c>
      <c r="P109" s="443"/>
      <c r="R109" s="53"/>
      <c r="S109" s="53"/>
    </row>
    <row r="110" spans="1:19" ht="24" x14ac:dyDescent="0.25">
      <c r="A110" s="76">
        <v>2244</v>
      </c>
      <c r="B110" s="127" t="s">
        <v>126</v>
      </c>
      <c r="C110" s="429">
        <f t="shared" si="3"/>
        <v>9258</v>
      </c>
      <c r="D110" s="134">
        <v>18818</v>
      </c>
      <c r="E110" s="283">
        <v>-9760</v>
      </c>
      <c r="F110" s="475">
        <f t="shared" si="30"/>
        <v>9058</v>
      </c>
      <c r="G110" s="134"/>
      <c r="H110" s="285"/>
      <c r="I110" s="283">
        <f t="shared" si="31"/>
        <v>0</v>
      </c>
      <c r="J110" s="134">
        <v>200</v>
      </c>
      <c r="K110" s="283"/>
      <c r="L110" s="475">
        <f t="shared" si="32"/>
        <v>200</v>
      </c>
      <c r="M110" s="134"/>
      <c r="N110" s="285"/>
      <c r="O110" s="475">
        <f t="shared" si="33"/>
        <v>0</v>
      </c>
      <c r="P110" s="691" t="s">
        <v>529</v>
      </c>
      <c r="R110" s="53"/>
      <c r="S110" s="53"/>
    </row>
    <row r="111" spans="1:19" ht="24" hidden="1" x14ac:dyDescent="0.25">
      <c r="A111" s="76">
        <v>2246</v>
      </c>
      <c r="B111" s="127" t="s">
        <v>127</v>
      </c>
      <c r="C111" s="429">
        <f t="shared" si="3"/>
        <v>0</v>
      </c>
      <c r="D111" s="134"/>
      <c r="E111" s="283"/>
      <c r="F111" s="475">
        <f t="shared" si="30"/>
        <v>0</v>
      </c>
      <c r="G111" s="134"/>
      <c r="H111" s="285"/>
      <c r="I111" s="283">
        <f t="shared" si="31"/>
        <v>0</v>
      </c>
      <c r="J111" s="134"/>
      <c r="K111" s="283"/>
      <c r="L111" s="475">
        <f t="shared" si="32"/>
        <v>0</v>
      </c>
      <c r="M111" s="134"/>
      <c r="N111" s="285"/>
      <c r="O111" s="475">
        <f t="shared" si="33"/>
        <v>0</v>
      </c>
      <c r="P111" s="443"/>
      <c r="R111" s="53"/>
      <c r="S111" s="53"/>
    </row>
    <row r="112" spans="1:19" hidden="1" x14ac:dyDescent="0.25">
      <c r="A112" s="76">
        <v>2247</v>
      </c>
      <c r="B112" s="127" t="s">
        <v>128</v>
      </c>
      <c r="C112" s="429">
        <f t="shared" si="3"/>
        <v>0</v>
      </c>
      <c r="D112" s="134"/>
      <c r="E112" s="283"/>
      <c r="F112" s="475">
        <f t="shared" si="30"/>
        <v>0</v>
      </c>
      <c r="G112" s="134"/>
      <c r="H112" s="285"/>
      <c r="I112" s="283">
        <f t="shared" si="31"/>
        <v>0</v>
      </c>
      <c r="J112" s="134"/>
      <c r="K112" s="283"/>
      <c r="L112" s="475">
        <f t="shared" si="32"/>
        <v>0</v>
      </c>
      <c r="M112" s="134"/>
      <c r="N112" s="285"/>
      <c r="O112" s="475">
        <f t="shared" si="33"/>
        <v>0</v>
      </c>
      <c r="P112" s="443"/>
      <c r="R112" s="53"/>
      <c r="S112" s="53"/>
    </row>
    <row r="113" spans="1:19" ht="24" hidden="1" x14ac:dyDescent="0.25">
      <c r="A113" s="76">
        <v>2248</v>
      </c>
      <c r="B113" s="127" t="s">
        <v>129</v>
      </c>
      <c r="C113" s="429">
        <f t="shared" si="3"/>
        <v>0</v>
      </c>
      <c r="D113" s="134"/>
      <c r="E113" s="283"/>
      <c r="F113" s="475">
        <f t="shared" si="30"/>
        <v>0</v>
      </c>
      <c r="G113" s="134"/>
      <c r="H113" s="285"/>
      <c r="I113" s="283">
        <f t="shared" si="31"/>
        <v>0</v>
      </c>
      <c r="J113" s="134"/>
      <c r="K113" s="283"/>
      <c r="L113" s="475">
        <f t="shared" si="32"/>
        <v>0</v>
      </c>
      <c r="M113" s="134"/>
      <c r="N113" s="285"/>
      <c r="O113" s="475">
        <f t="shared" si="33"/>
        <v>0</v>
      </c>
      <c r="P113" s="443"/>
      <c r="R113" s="53"/>
      <c r="S113" s="53"/>
    </row>
    <row r="114" spans="1:19" ht="24" hidden="1" x14ac:dyDescent="0.25">
      <c r="A114" s="76">
        <v>2249</v>
      </c>
      <c r="B114" s="127" t="s">
        <v>130</v>
      </c>
      <c r="C114" s="429">
        <f t="shared" si="3"/>
        <v>0</v>
      </c>
      <c r="D114" s="134"/>
      <c r="E114" s="283"/>
      <c r="F114" s="475">
        <f t="shared" si="30"/>
        <v>0</v>
      </c>
      <c r="G114" s="134"/>
      <c r="H114" s="285"/>
      <c r="I114" s="283">
        <f t="shared" si="31"/>
        <v>0</v>
      </c>
      <c r="J114" s="134"/>
      <c r="K114" s="283"/>
      <c r="L114" s="475">
        <f t="shared" si="32"/>
        <v>0</v>
      </c>
      <c r="M114" s="134"/>
      <c r="N114" s="285"/>
      <c r="O114" s="475">
        <f t="shared" si="33"/>
        <v>0</v>
      </c>
      <c r="P114" s="443"/>
      <c r="R114" s="53"/>
      <c r="S114" s="53"/>
    </row>
    <row r="115" spans="1:19" ht="24" hidden="1" x14ac:dyDescent="0.25">
      <c r="A115" s="276">
        <v>2250</v>
      </c>
      <c r="B115" s="127" t="s">
        <v>131</v>
      </c>
      <c r="C115" s="429">
        <f t="shared" si="3"/>
        <v>0</v>
      </c>
      <c r="D115" s="277">
        <f t="shared" ref="D115:O115" si="34">SUM(D116:D118)</f>
        <v>0</v>
      </c>
      <c r="E115" s="278">
        <f t="shared" si="34"/>
        <v>0</v>
      </c>
      <c r="F115" s="286">
        <f t="shared" si="34"/>
        <v>0</v>
      </c>
      <c r="G115" s="277">
        <f t="shared" si="34"/>
        <v>0</v>
      </c>
      <c r="H115" s="282">
        <f t="shared" si="34"/>
        <v>0</v>
      </c>
      <c r="I115" s="278">
        <f t="shared" si="34"/>
        <v>0</v>
      </c>
      <c r="J115" s="277">
        <f t="shared" si="34"/>
        <v>0</v>
      </c>
      <c r="K115" s="278">
        <f t="shared" si="34"/>
        <v>0</v>
      </c>
      <c r="L115" s="286">
        <f t="shared" si="34"/>
        <v>0</v>
      </c>
      <c r="M115" s="277">
        <f t="shared" si="34"/>
        <v>0</v>
      </c>
      <c r="N115" s="282">
        <f t="shared" si="34"/>
        <v>0</v>
      </c>
      <c r="O115" s="286">
        <f t="shared" si="34"/>
        <v>0</v>
      </c>
      <c r="P115" s="136"/>
      <c r="R115" s="53"/>
      <c r="S115" s="53"/>
    </row>
    <row r="116" spans="1:19" hidden="1" x14ac:dyDescent="0.25">
      <c r="A116" s="76">
        <v>2251</v>
      </c>
      <c r="B116" s="127" t="s">
        <v>132</v>
      </c>
      <c r="C116" s="429">
        <f t="shared" si="3"/>
        <v>0</v>
      </c>
      <c r="D116" s="134"/>
      <c r="E116" s="283"/>
      <c r="F116" s="475">
        <f>D116+E116</f>
        <v>0</v>
      </c>
      <c r="G116" s="134"/>
      <c r="H116" s="285"/>
      <c r="I116" s="283">
        <f>G116+H116</f>
        <v>0</v>
      </c>
      <c r="J116" s="134"/>
      <c r="K116" s="283"/>
      <c r="L116" s="475">
        <f>J116+K116</f>
        <v>0</v>
      </c>
      <c r="M116" s="134"/>
      <c r="N116" s="285"/>
      <c r="O116" s="475">
        <f>N116+M116</f>
        <v>0</v>
      </c>
      <c r="P116" s="443"/>
      <c r="R116" s="53"/>
      <c r="S116" s="53"/>
    </row>
    <row r="117" spans="1:19" ht="24" hidden="1" x14ac:dyDescent="0.25">
      <c r="A117" s="76">
        <v>2252</v>
      </c>
      <c r="B117" s="127" t="s">
        <v>133</v>
      </c>
      <c r="C117" s="429">
        <f t="shared" ref="C117:C180" si="35">SUM(F117,I117,L117,O117)</f>
        <v>0</v>
      </c>
      <c r="D117" s="134"/>
      <c r="E117" s="283"/>
      <c r="F117" s="475">
        <f>D117+E117</f>
        <v>0</v>
      </c>
      <c r="G117" s="134"/>
      <c r="H117" s="285"/>
      <c r="I117" s="283">
        <f>G117+H117</f>
        <v>0</v>
      </c>
      <c r="J117" s="134"/>
      <c r="K117" s="283"/>
      <c r="L117" s="475">
        <f>J117+K117</f>
        <v>0</v>
      </c>
      <c r="M117" s="134"/>
      <c r="N117" s="285"/>
      <c r="O117" s="475">
        <f>N117+M117</f>
        <v>0</v>
      </c>
      <c r="P117" s="443"/>
      <c r="R117" s="53"/>
      <c r="S117" s="53"/>
    </row>
    <row r="118" spans="1:19" ht="24" hidden="1" x14ac:dyDescent="0.25">
      <c r="A118" s="76">
        <v>2259</v>
      </c>
      <c r="B118" s="127" t="s">
        <v>134</v>
      </c>
      <c r="C118" s="429">
        <f t="shared" si="35"/>
        <v>0</v>
      </c>
      <c r="D118" s="134"/>
      <c r="E118" s="283"/>
      <c r="F118" s="475">
        <f>D118+E118</f>
        <v>0</v>
      </c>
      <c r="G118" s="134"/>
      <c r="H118" s="285"/>
      <c r="I118" s="283">
        <f>G118+H118</f>
        <v>0</v>
      </c>
      <c r="J118" s="134"/>
      <c r="K118" s="283"/>
      <c r="L118" s="475">
        <f>J118+K118</f>
        <v>0</v>
      </c>
      <c r="M118" s="134"/>
      <c r="N118" s="285"/>
      <c r="O118" s="475">
        <f>N118+M118</f>
        <v>0</v>
      </c>
      <c r="P118" s="443"/>
      <c r="R118" s="53"/>
      <c r="S118" s="53"/>
    </row>
    <row r="119" spans="1:19" x14ac:dyDescent="0.25">
      <c r="A119" s="276">
        <v>2260</v>
      </c>
      <c r="B119" s="127" t="s">
        <v>135</v>
      </c>
      <c r="C119" s="429">
        <f t="shared" si="35"/>
        <v>14</v>
      </c>
      <c r="D119" s="277">
        <f t="shared" ref="D119:O119" si="36">SUM(D120:D124)</f>
        <v>14</v>
      </c>
      <c r="E119" s="278">
        <f t="shared" si="36"/>
        <v>0</v>
      </c>
      <c r="F119" s="286">
        <f t="shared" si="36"/>
        <v>14</v>
      </c>
      <c r="G119" s="277">
        <f t="shared" si="36"/>
        <v>0</v>
      </c>
      <c r="H119" s="282">
        <f t="shared" si="36"/>
        <v>0</v>
      </c>
      <c r="I119" s="278">
        <f t="shared" si="36"/>
        <v>0</v>
      </c>
      <c r="J119" s="277">
        <f t="shared" si="36"/>
        <v>0</v>
      </c>
      <c r="K119" s="278">
        <f t="shared" si="36"/>
        <v>0</v>
      </c>
      <c r="L119" s="286">
        <f t="shared" si="36"/>
        <v>0</v>
      </c>
      <c r="M119" s="277">
        <f t="shared" si="36"/>
        <v>0</v>
      </c>
      <c r="N119" s="282">
        <f t="shared" si="36"/>
        <v>0</v>
      </c>
      <c r="O119" s="286">
        <f t="shared" si="36"/>
        <v>0</v>
      </c>
      <c r="P119" s="136"/>
      <c r="R119" s="53"/>
      <c r="S119" s="53"/>
    </row>
    <row r="120" spans="1:19" hidden="1" x14ac:dyDescent="0.25">
      <c r="A120" s="76">
        <v>2261</v>
      </c>
      <c r="B120" s="127" t="s">
        <v>136</v>
      </c>
      <c r="C120" s="429">
        <f t="shared" si="35"/>
        <v>0</v>
      </c>
      <c r="D120" s="134"/>
      <c r="E120" s="283"/>
      <c r="F120" s="475">
        <f>D120+E120</f>
        <v>0</v>
      </c>
      <c r="G120" s="134"/>
      <c r="H120" s="285"/>
      <c r="I120" s="283">
        <f>G120+H120</f>
        <v>0</v>
      </c>
      <c r="J120" s="134"/>
      <c r="K120" s="283"/>
      <c r="L120" s="475">
        <f>J120+K120</f>
        <v>0</v>
      </c>
      <c r="M120" s="134"/>
      <c r="N120" s="285"/>
      <c r="O120" s="475">
        <f>N120+M120</f>
        <v>0</v>
      </c>
      <c r="P120" s="443"/>
      <c r="R120" s="53"/>
      <c r="S120" s="53"/>
    </row>
    <row r="121" spans="1:19" hidden="1" x14ac:dyDescent="0.25">
      <c r="A121" s="76">
        <v>2262</v>
      </c>
      <c r="B121" s="127" t="s">
        <v>137</v>
      </c>
      <c r="C121" s="429">
        <f t="shared" si="35"/>
        <v>0</v>
      </c>
      <c r="D121" s="134"/>
      <c r="E121" s="283"/>
      <c r="F121" s="475">
        <f>D121+E121</f>
        <v>0</v>
      </c>
      <c r="G121" s="134"/>
      <c r="H121" s="285"/>
      <c r="I121" s="283">
        <f>G121+H121</f>
        <v>0</v>
      </c>
      <c r="J121" s="134"/>
      <c r="K121" s="283"/>
      <c r="L121" s="475">
        <f>J121+K121</f>
        <v>0</v>
      </c>
      <c r="M121" s="134"/>
      <c r="N121" s="285"/>
      <c r="O121" s="475">
        <f>N121+M121</f>
        <v>0</v>
      </c>
      <c r="P121" s="443"/>
      <c r="R121" s="53"/>
      <c r="S121" s="53"/>
    </row>
    <row r="122" spans="1:19" hidden="1" x14ac:dyDescent="0.25">
      <c r="A122" s="76">
        <v>2263</v>
      </c>
      <c r="B122" s="127" t="s">
        <v>138</v>
      </c>
      <c r="C122" s="429">
        <f t="shared" si="35"/>
        <v>0</v>
      </c>
      <c r="D122" s="134"/>
      <c r="E122" s="283"/>
      <c r="F122" s="475">
        <f>D122+E122</f>
        <v>0</v>
      </c>
      <c r="G122" s="134"/>
      <c r="H122" s="285"/>
      <c r="I122" s="283">
        <f>G122+H122</f>
        <v>0</v>
      </c>
      <c r="J122" s="134"/>
      <c r="K122" s="283"/>
      <c r="L122" s="475">
        <f>J122+K122</f>
        <v>0</v>
      </c>
      <c r="M122" s="134"/>
      <c r="N122" s="285"/>
      <c r="O122" s="475">
        <f>N122+M122</f>
        <v>0</v>
      </c>
      <c r="P122" s="443"/>
      <c r="R122" s="53"/>
      <c r="S122" s="53"/>
    </row>
    <row r="123" spans="1:19" ht="24" hidden="1" x14ac:dyDescent="0.25">
      <c r="A123" s="76">
        <v>2264</v>
      </c>
      <c r="B123" s="127" t="s">
        <v>139</v>
      </c>
      <c r="C123" s="429">
        <f t="shared" si="35"/>
        <v>0</v>
      </c>
      <c r="D123" s="134"/>
      <c r="E123" s="283"/>
      <c r="F123" s="475">
        <f>D123+E123</f>
        <v>0</v>
      </c>
      <c r="G123" s="134"/>
      <c r="H123" s="285"/>
      <c r="I123" s="283">
        <f>G123+H123</f>
        <v>0</v>
      </c>
      <c r="J123" s="134"/>
      <c r="K123" s="283"/>
      <c r="L123" s="475">
        <f>J123+K123</f>
        <v>0</v>
      </c>
      <c r="M123" s="134"/>
      <c r="N123" s="285"/>
      <c r="O123" s="475">
        <f>N123+M123</f>
        <v>0</v>
      </c>
      <c r="P123" s="443"/>
      <c r="R123" s="53"/>
      <c r="S123" s="53"/>
    </row>
    <row r="124" spans="1:19" x14ac:dyDescent="0.25">
      <c r="A124" s="76">
        <v>2269</v>
      </c>
      <c r="B124" s="127" t="s">
        <v>140</v>
      </c>
      <c r="C124" s="429">
        <f t="shared" si="35"/>
        <v>14</v>
      </c>
      <c r="D124" s="134">
        <v>14</v>
      </c>
      <c r="E124" s="283"/>
      <c r="F124" s="475">
        <f>D124+E124</f>
        <v>14</v>
      </c>
      <c r="G124" s="134"/>
      <c r="H124" s="285"/>
      <c r="I124" s="283">
        <f>G124+H124</f>
        <v>0</v>
      </c>
      <c r="J124" s="134"/>
      <c r="K124" s="283"/>
      <c r="L124" s="475">
        <f>J124+K124</f>
        <v>0</v>
      </c>
      <c r="M124" s="134"/>
      <c r="N124" s="285"/>
      <c r="O124" s="475">
        <f>N124+M124</f>
        <v>0</v>
      </c>
      <c r="P124" s="443"/>
      <c r="R124" s="53"/>
      <c r="S124" s="53"/>
    </row>
    <row r="125" spans="1:19" hidden="1" x14ac:dyDescent="0.25">
      <c r="A125" s="276">
        <v>2270</v>
      </c>
      <c r="B125" s="127" t="s">
        <v>141</v>
      </c>
      <c r="C125" s="429">
        <f t="shared" si="35"/>
        <v>0</v>
      </c>
      <c r="D125" s="277">
        <f t="shared" ref="D125:O125" si="37">SUM(D126:D130)</f>
        <v>0</v>
      </c>
      <c r="E125" s="278">
        <f t="shared" si="37"/>
        <v>0</v>
      </c>
      <c r="F125" s="286">
        <f t="shared" si="37"/>
        <v>0</v>
      </c>
      <c r="G125" s="277">
        <f t="shared" si="37"/>
        <v>0</v>
      </c>
      <c r="H125" s="282">
        <f t="shared" si="37"/>
        <v>0</v>
      </c>
      <c r="I125" s="278">
        <f t="shared" si="37"/>
        <v>0</v>
      </c>
      <c r="J125" s="277">
        <f t="shared" si="37"/>
        <v>0</v>
      </c>
      <c r="K125" s="278">
        <f t="shared" si="37"/>
        <v>0</v>
      </c>
      <c r="L125" s="286">
        <f t="shared" si="37"/>
        <v>0</v>
      </c>
      <c r="M125" s="277">
        <f t="shared" si="37"/>
        <v>0</v>
      </c>
      <c r="N125" s="282">
        <f t="shared" si="37"/>
        <v>0</v>
      </c>
      <c r="O125" s="286">
        <f t="shared" si="37"/>
        <v>0</v>
      </c>
      <c r="P125" s="136"/>
      <c r="R125" s="53"/>
      <c r="S125" s="53"/>
    </row>
    <row r="126" spans="1:19" hidden="1" x14ac:dyDescent="0.25">
      <c r="A126" s="76">
        <v>2272</v>
      </c>
      <c r="B126" s="5" t="s">
        <v>142</v>
      </c>
      <c r="C126" s="429">
        <f t="shared" si="35"/>
        <v>0</v>
      </c>
      <c r="D126" s="134"/>
      <c r="E126" s="283"/>
      <c r="F126" s="475">
        <f>D126+E126</f>
        <v>0</v>
      </c>
      <c r="G126" s="134"/>
      <c r="H126" s="285"/>
      <c r="I126" s="283">
        <f>G126+H126</f>
        <v>0</v>
      </c>
      <c r="J126" s="134"/>
      <c r="K126" s="283"/>
      <c r="L126" s="475">
        <f>J126+K126</f>
        <v>0</v>
      </c>
      <c r="M126" s="134"/>
      <c r="N126" s="285"/>
      <c r="O126" s="475">
        <f>N126+M126</f>
        <v>0</v>
      </c>
      <c r="P126" s="443"/>
      <c r="R126" s="53"/>
      <c r="S126" s="53"/>
    </row>
    <row r="127" spans="1:19" ht="24" hidden="1" x14ac:dyDescent="0.25">
      <c r="A127" s="76">
        <v>2275</v>
      </c>
      <c r="B127" s="127" t="s">
        <v>143</v>
      </c>
      <c r="C127" s="429">
        <f t="shared" si="35"/>
        <v>0</v>
      </c>
      <c r="D127" s="134"/>
      <c r="E127" s="283"/>
      <c r="F127" s="475">
        <f>D127+E127</f>
        <v>0</v>
      </c>
      <c r="G127" s="134"/>
      <c r="H127" s="285"/>
      <c r="I127" s="283">
        <f>G127+H127</f>
        <v>0</v>
      </c>
      <c r="J127" s="134"/>
      <c r="K127" s="283"/>
      <c r="L127" s="475">
        <f>J127+K127</f>
        <v>0</v>
      </c>
      <c r="M127" s="134"/>
      <c r="N127" s="285"/>
      <c r="O127" s="475">
        <f>N127+M127</f>
        <v>0</v>
      </c>
      <c r="P127" s="443"/>
      <c r="R127" s="53"/>
      <c r="S127" s="53"/>
    </row>
    <row r="128" spans="1:19" ht="36" hidden="1" x14ac:dyDescent="0.25">
      <c r="A128" s="76">
        <v>2276</v>
      </c>
      <c r="B128" s="127" t="s">
        <v>144</v>
      </c>
      <c r="C128" s="429">
        <f t="shared" si="35"/>
        <v>0</v>
      </c>
      <c r="D128" s="134"/>
      <c r="E128" s="283"/>
      <c r="F128" s="475">
        <f>D128+E128</f>
        <v>0</v>
      </c>
      <c r="G128" s="134"/>
      <c r="H128" s="285"/>
      <c r="I128" s="283">
        <f>G128+H128</f>
        <v>0</v>
      </c>
      <c r="J128" s="134"/>
      <c r="K128" s="283"/>
      <c r="L128" s="475">
        <f>J128+K128</f>
        <v>0</v>
      </c>
      <c r="M128" s="134"/>
      <c r="N128" s="285"/>
      <c r="O128" s="475">
        <f>N128+M128</f>
        <v>0</v>
      </c>
      <c r="P128" s="443"/>
      <c r="R128" s="53"/>
      <c r="S128" s="53"/>
    </row>
    <row r="129" spans="1:19" ht="24" hidden="1" customHeight="1" x14ac:dyDescent="0.25">
      <c r="A129" s="76">
        <v>2278</v>
      </c>
      <c r="B129" s="127" t="s">
        <v>145</v>
      </c>
      <c r="C129" s="429">
        <f t="shared" si="35"/>
        <v>0</v>
      </c>
      <c r="D129" s="134"/>
      <c r="E129" s="283"/>
      <c r="F129" s="475">
        <f>D129+E129</f>
        <v>0</v>
      </c>
      <c r="G129" s="134"/>
      <c r="H129" s="285"/>
      <c r="I129" s="283">
        <f>G129+H129</f>
        <v>0</v>
      </c>
      <c r="J129" s="134"/>
      <c r="K129" s="283"/>
      <c r="L129" s="475">
        <f>J129+K129</f>
        <v>0</v>
      </c>
      <c r="M129" s="134"/>
      <c r="N129" s="285"/>
      <c r="O129" s="475">
        <f>N129+M129</f>
        <v>0</v>
      </c>
      <c r="P129" s="443"/>
      <c r="R129" s="53"/>
      <c r="S129" s="53"/>
    </row>
    <row r="130" spans="1:19" ht="24" hidden="1" x14ac:dyDescent="0.25">
      <c r="A130" s="76">
        <v>2279</v>
      </c>
      <c r="B130" s="127" t="s">
        <v>146</v>
      </c>
      <c r="C130" s="429">
        <f t="shared" si="35"/>
        <v>0</v>
      </c>
      <c r="D130" s="134"/>
      <c r="E130" s="283"/>
      <c r="F130" s="475">
        <f>D130+E130</f>
        <v>0</v>
      </c>
      <c r="G130" s="134"/>
      <c r="H130" s="285"/>
      <c r="I130" s="283">
        <f>G130+H130</f>
        <v>0</v>
      </c>
      <c r="J130" s="134"/>
      <c r="K130" s="283"/>
      <c r="L130" s="475">
        <f>J130+K130</f>
        <v>0</v>
      </c>
      <c r="M130" s="134"/>
      <c r="N130" s="285"/>
      <c r="O130" s="475">
        <f>N130+M130</f>
        <v>0</v>
      </c>
      <c r="P130" s="443"/>
      <c r="R130" s="53"/>
      <c r="S130" s="53"/>
    </row>
    <row r="131" spans="1:19" ht="24" hidden="1" x14ac:dyDescent="0.25">
      <c r="A131" s="656">
        <v>2280</v>
      </c>
      <c r="B131" s="116" t="s">
        <v>147</v>
      </c>
      <c r="C131" s="70">
        <f t="shared" si="35"/>
        <v>0</v>
      </c>
      <c r="D131" s="297">
        <f t="shared" ref="D131:O131" si="38">SUM(D132)</f>
        <v>0</v>
      </c>
      <c r="E131" s="298">
        <f t="shared" si="38"/>
        <v>0</v>
      </c>
      <c r="F131" s="263">
        <f t="shared" si="38"/>
        <v>0</v>
      </c>
      <c r="G131" s="297">
        <f t="shared" si="38"/>
        <v>0</v>
      </c>
      <c r="H131" s="301">
        <f t="shared" si="38"/>
        <v>0</v>
      </c>
      <c r="I131" s="298">
        <f t="shared" si="38"/>
        <v>0</v>
      </c>
      <c r="J131" s="297">
        <f t="shared" si="38"/>
        <v>0</v>
      </c>
      <c r="K131" s="298">
        <f t="shared" si="38"/>
        <v>0</v>
      </c>
      <c r="L131" s="263">
        <f t="shared" si="38"/>
        <v>0</v>
      </c>
      <c r="M131" s="277">
        <f t="shared" si="38"/>
        <v>0</v>
      </c>
      <c r="N131" s="301">
        <f t="shared" si="38"/>
        <v>0</v>
      </c>
      <c r="O131" s="263">
        <f t="shared" si="38"/>
        <v>0</v>
      </c>
      <c r="P131" s="125"/>
      <c r="R131" s="53"/>
      <c r="S131" s="53"/>
    </row>
    <row r="132" spans="1:19" ht="24" hidden="1" x14ac:dyDescent="0.25">
      <c r="A132" s="76">
        <v>2283</v>
      </c>
      <c r="B132" s="127" t="s">
        <v>148</v>
      </c>
      <c r="C132" s="429">
        <f t="shared" si="35"/>
        <v>0</v>
      </c>
      <c r="D132" s="134"/>
      <c r="E132" s="283"/>
      <c r="F132" s="475">
        <f>D132+E132</f>
        <v>0</v>
      </c>
      <c r="G132" s="134"/>
      <c r="H132" s="285"/>
      <c r="I132" s="283">
        <f>G132+H132</f>
        <v>0</v>
      </c>
      <c r="J132" s="134"/>
      <c r="K132" s="283"/>
      <c r="L132" s="475">
        <f>J132+K132</f>
        <v>0</v>
      </c>
      <c r="M132" s="134"/>
      <c r="N132" s="285"/>
      <c r="O132" s="475">
        <f>N132+M132</f>
        <v>0</v>
      </c>
      <c r="P132" s="443"/>
      <c r="R132" s="53"/>
      <c r="S132" s="53"/>
    </row>
    <row r="133" spans="1:19" ht="38.25" customHeight="1" x14ac:dyDescent="0.25">
      <c r="A133" s="99">
        <v>2300</v>
      </c>
      <c r="B133" s="247" t="s">
        <v>149</v>
      </c>
      <c r="C133" s="103">
        <f t="shared" si="35"/>
        <v>3052</v>
      </c>
      <c r="D133" s="112">
        <f t="shared" ref="D133:O133" si="39">SUM(D134,D139,D143,D144,D147,D154,D162,D163,D166)</f>
        <v>2812</v>
      </c>
      <c r="E133" s="248">
        <f t="shared" si="39"/>
        <v>0</v>
      </c>
      <c r="F133" s="313">
        <f t="shared" si="39"/>
        <v>2812</v>
      </c>
      <c r="G133" s="112">
        <f t="shared" si="39"/>
        <v>0</v>
      </c>
      <c r="H133" s="293">
        <f t="shared" si="39"/>
        <v>0</v>
      </c>
      <c r="I133" s="248">
        <f t="shared" si="39"/>
        <v>0</v>
      </c>
      <c r="J133" s="112">
        <f t="shared" si="39"/>
        <v>240</v>
      </c>
      <c r="K133" s="248">
        <f t="shared" si="39"/>
        <v>0</v>
      </c>
      <c r="L133" s="313">
        <f t="shared" si="39"/>
        <v>240</v>
      </c>
      <c r="M133" s="112">
        <f t="shared" si="39"/>
        <v>0</v>
      </c>
      <c r="N133" s="293">
        <f t="shared" si="39"/>
        <v>0</v>
      </c>
      <c r="O133" s="313">
        <f t="shared" si="39"/>
        <v>0</v>
      </c>
      <c r="P133" s="114"/>
      <c r="R133" s="53"/>
      <c r="S133" s="53"/>
    </row>
    <row r="134" spans="1:19" ht="24" x14ac:dyDescent="0.25">
      <c r="A134" s="656">
        <v>2310</v>
      </c>
      <c r="B134" s="116" t="s">
        <v>150</v>
      </c>
      <c r="C134" s="70">
        <f t="shared" si="35"/>
        <v>3052</v>
      </c>
      <c r="D134" s="297">
        <f t="shared" ref="D134:O134" si="40">SUM(D135:D138)</f>
        <v>2812</v>
      </c>
      <c r="E134" s="298">
        <f t="shared" si="40"/>
        <v>0</v>
      </c>
      <c r="F134" s="263">
        <f t="shared" si="40"/>
        <v>2812</v>
      </c>
      <c r="G134" s="297">
        <f t="shared" si="40"/>
        <v>0</v>
      </c>
      <c r="H134" s="301">
        <f t="shared" si="40"/>
        <v>0</v>
      </c>
      <c r="I134" s="298">
        <f t="shared" si="40"/>
        <v>0</v>
      </c>
      <c r="J134" s="297">
        <f t="shared" si="40"/>
        <v>240</v>
      </c>
      <c r="K134" s="298">
        <f t="shared" si="40"/>
        <v>0</v>
      </c>
      <c r="L134" s="263">
        <f t="shared" si="40"/>
        <v>240</v>
      </c>
      <c r="M134" s="297">
        <f t="shared" si="40"/>
        <v>0</v>
      </c>
      <c r="N134" s="301">
        <f t="shared" si="40"/>
        <v>0</v>
      </c>
      <c r="O134" s="263">
        <f t="shared" si="40"/>
        <v>0</v>
      </c>
      <c r="P134" s="125"/>
      <c r="R134" s="53"/>
      <c r="S134" s="53"/>
    </row>
    <row r="135" spans="1:19" hidden="1" x14ac:dyDescent="0.25">
      <c r="A135" s="76">
        <v>2311</v>
      </c>
      <c r="B135" s="127" t="s">
        <v>151</v>
      </c>
      <c r="C135" s="429">
        <f t="shared" si="35"/>
        <v>0</v>
      </c>
      <c r="D135" s="134"/>
      <c r="E135" s="283"/>
      <c r="F135" s="475">
        <f>D135+E135</f>
        <v>0</v>
      </c>
      <c r="G135" s="134"/>
      <c r="H135" s="285"/>
      <c r="I135" s="283">
        <f>G135+H135</f>
        <v>0</v>
      </c>
      <c r="J135" s="134"/>
      <c r="K135" s="283"/>
      <c r="L135" s="475">
        <f>J135+K135</f>
        <v>0</v>
      </c>
      <c r="M135" s="134"/>
      <c r="N135" s="285"/>
      <c r="O135" s="475">
        <f>N135+M135</f>
        <v>0</v>
      </c>
      <c r="P135" s="443"/>
      <c r="R135" s="53"/>
      <c r="S135" s="53"/>
    </row>
    <row r="136" spans="1:19" x14ac:dyDescent="0.25">
      <c r="A136" s="76">
        <v>2312</v>
      </c>
      <c r="B136" s="127" t="s">
        <v>152</v>
      </c>
      <c r="C136" s="429">
        <f t="shared" si="35"/>
        <v>3052</v>
      </c>
      <c r="D136" s="134">
        <v>2812</v>
      </c>
      <c r="E136" s="283"/>
      <c r="F136" s="475">
        <f>D136+E136</f>
        <v>2812</v>
      </c>
      <c r="G136" s="134"/>
      <c r="H136" s="285"/>
      <c r="I136" s="283">
        <f>G136+H136</f>
        <v>0</v>
      </c>
      <c r="J136" s="134">
        <v>240</v>
      </c>
      <c r="K136" s="283"/>
      <c r="L136" s="475">
        <f>J136+K136</f>
        <v>240</v>
      </c>
      <c r="M136" s="134"/>
      <c r="N136" s="285"/>
      <c r="O136" s="475">
        <f>N136+M136</f>
        <v>0</v>
      </c>
      <c r="P136" s="710"/>
      <c r="R136" s="53"/>
      <c r="S136" s="53"/>
    </row>
    <row r="137" spans="1:19" hidden="1" x14ac:dyDescent="0.25">
      <c r="A137" s="76">
        <v>2313</v>
      </c>
      <c r="B137" s="127" t="s">
        <v>153</v>
      </c>
      <c r="C137" s="429">
        <f t="shared" si="35"/>
        <v>0</v>
      </c>
      <c r="D137" s="134"/>
      <c r="E137" s="283"/>
      <c r="F137" s="475">
        <f>D137+E137</f>
        <v>0</v>
      </c>
      <c r="G137" s="134"/>
      <c r="H137" s="285"/>
      <c r="I137" s="283">
        <f>G137+H137</f>
        <v>0</v>
      </c>
      <c r="J137" s="134"/>
      <c r="K137" s="283"/>
      <c r="L137" s="475">
        <f>J137+K137</f>
        <v>0</v>
      </c>
      <c r="M137" s="134"/>
      <c r="N137" s="285"/>
      <c r="O137" s="475">
        <f>N137+M137</f>
        <v>0</v>
      </c>
      <c r="P137" s="441"/>
      <c r="R137" s="53"/>
      <c r="S137" s="53"/>
    </row>
    <row r="138" spans="1:19" ht="36" hidden="1" x14ac:dyDescent="0.25">
      <c r="A138" s="76">
        <v>2314</v>
      </c>
      <c r="B138" s="127" t="s">
        <v>154</v>
      </c>
      <c r="C138" s="429">
        <f t="shared" si="35"/>
        <v>0</v>
      </c>
      <c r="D138" s="134"/>
      <c r="E138" s="283"/>
      <c r="F138" s="475">
        <f>D138+E138</f>
        <v>0</v>
      </c>
      <c r="G138" s="134"/>
      <c r="H138" s="285"/>
      <c r="I138" s="283">
        <f>G138+H138</f>
        <v>0</v>
      </c>
      <c r="J138" s="134"/>
      <c r="K138" s="283"/>
      <c r="L138" s="475">
        <f>J138+K138</f>
        <v>0</v>
      </c>
      <c r="M138" s="134"/>
      <c r="N138" s="285"/>
      <c r="O138" s="475">
        <f>N138+M138</f>
        <v>0</v>
      </c>
      <c r="P138" s="443"/>
      <c r="R138" s="53"/>
      <c r="S138" s="53"/>
    </row>
    <row r="139" spans="1:19" hidden="1" x14ac:dyDescent="0.25">
      <c r="A139" s="276">
        <v>2320</v>
      </c>
      <c r="B139" s="127" t="s">
        <v>155</v>
      </c>
      <c r="C139" s="429">
        <f t="shared" si="35"/>
        <v>0</v>
      </c>
      <c r="D139" s="277">
        <f t="shared" ref="D139:O139" si="41">SUM(D140:D142)</f>
        <v>0</v>
      </c>
      <c r="E139" s="278">
        <f t="shared" si="41"/>
        <v>0</v>
      </c>
      <c r="F139" s="286">
        <f t="shared" si="41"/>
        <v>0</v>
      </c>
      <c r="G139" s="277">
        <f t="shared" si="41"/>
        <v>0</v>
      </c>
      <c r="H139" s="282">
        <f t="shared" si="41"/>
        <v>0</v>
      </c>
      <c r="I139" s="278">
        <f t="shared" si="41"/>
        <v>0</v>
      </c>
      <c r="J139" s="277">
        <f t="shared" si="41"/>
        <v>0</v>
      </c>
      <c r="K139" s="278">
        <f t="shared" si="41"/>
        <v>0</v>
      </c>
      <c r="L139" s="286">
        <f t="shared" si="41"/>
        <v>0</v>
      </c>
      <c r="M139" s="277">
        <f t="shared" si="41"/>
        <v>0</v>
      </c>
      <c r="N139" s="282">
        <f t="shared" si="41"/>
        <v>0</v>
      </c>
      <c r="O139" s="286">
        <f t="shared" si="41"/>
        <v>0</v>
      </c>
      <c r="P139" s="136"/>
      <c r="R139" s="53"/>
      <c r="S139" s="53"/>
    </row>
    <row r="140" spans="1:19" hidden="1" x14ac:dyDescent="0.25">
      <c r="A140" s="76">
        <v>2321</v>
      </c>
      <c r="B140" s="127" t="s">
        <v>156</v>
      </c>
      <c r="C140" s="429">
        <f t="shared" si="35"/>
        <v>0</v>
      </c>
      <c r="D140" s="134"/>
      <c r="E140" s="283"/>
      <c r="F140" s="475">
        <f>D140+E140</f>
        <v>0</v>
      </c>
      <c r="G140" s="134"/>
      <c r="H140" s="285"/>
      <c r="I140" s="283">
        <f>G140+H140</f>
        <v>0</v>
      </c>
      <c r="J140" s="134"/>
      <c r="K140" s="283"/>
      <c r="L140" s="475">
        <f>J140+K140</f>
        <v>0</v>
      </c>
      <c r="M140" s="134"/>
      <c r="N140" s="285"/>
      <c r="O140" s="475">
        <f>N140+M140</f>
        <v>0</v>
      </c>
      <c r="P140" s="443"/>
      <c r="R140" s="53"/>
      <c r="S140" s="53"/>
    </row>
    <row r="141" spans="1:19" hidden="1" x14ac:dyDescent="0.25">
      <c r="A141" s="76">
        <v>2322</v>
      </c>
      <c r="B141" s="127" t="s">
        <v>157</v>
      </c>
      <c r="C141" s="429">
        <f t="shared" si="35"/>
        <v>0</v>
      </c>
      <c r="D141" s="134"/>
      <c r="E141" s="283"/>
      <c r="F141" s="475">
        <f>D141+E141</f>
        <v>0</v>
      </c>
      <c r="G141" s="134"/>
      <c r="H141" s="285"/>
      <c r="I141" s="283">
        <f>G141+H141</f>
        <v>0</v>
      </c>
      <c r="J141" s="134"/>
      <c r="K141" s="283"/>
      <c r="L141" s="475">
        <f>J141+K141</f>
        <v>0</v>
      </c>
      <c r="M141" s="134"/>
      <c r="N141" s="285"/>
      <c r="O141" s="475">
        <f>N141+M141</f>
        <v>0</v>
      </c>
      <c r="P141" s="443"/>
      <c r="R141" s="53"/>
      <c r="S141" s="53"/>
    </row>
    <row r="142" spans="1:19" ht="10.5" hidden="1" customHeight="1" x14ac:dyDescent="0.25">
      <c r="A142" s="76">
        <v>2329</v>
      </c>
      <c r="B142" s="127" t="s">
        <v>158</v>
      </c>
      <c r="C142" s="429">
        <f t="shared" si="35"/>
        <v>0</v>
      </c>
      <c r="D142" s="134"/>
      <c r="E142" s="283"/>
      <c r="F142" s="475">
        <f>D142+E142</f>
        <v>0</v>
      </c>
      <c r="G142" s="134"/>
      <c r="H142" s="285"/>
      <c r="I142" s="283">
        <f>G142+H142</f>
        <v>0</v>
      </c>
      <c r="J142" s="134"/>
      <c r="K142" s="283"/>
      <c r="L142" s="475">
        <f>J142+K142</f>
        <v>0</v>
      </c>
      <c r="M142" s="134"/>
      <c r="N142" s="285"/>
      <c r="O142" s="475">
        <f>N142+M142</f>
        <v>0</v>
      </c>
      <c r="P142" s="443"/>
      <c r="R142" s="53"/>
      <c r="S142" s="53"/>
    </row>
    <row r="143" spans="1:19" hidden="1" x14ac:dyDescent="0.25">
      <c r="A143" s="276">
        <v>2330</v>
      </c>
      <c r="B143" s="127" t="s">
        <v>159</v>
      </c>
      <c r="C143" s="429">
        <f t="shared" si="35"/>
        <v>0</v>
      </c>
      <c r="D143" s="134"/>
      <c r="E143" s="283"/>
      <c r="F143" s="475">
        <f>D143+E143</f>
        <v>0</v>
      </c>
      <c r="G143" s="134"/>
      <c r="H143" s="285"/>
      <c r="I143" s="283">
        <f>G143+H143</f>
        <v>0</v>
      </c>
      <c r="J143" s="134"/>
      <c r="K143" s="283"/>
      <c r="L143" s="475">
        <f>J143+K143</f>
        <v>0</v>
      </c>
      <c r="M143" s="134"/>
      <c r="N143" s="285"/>
      <c r="O143" s="475">
        <f>N143+M143</f>
        <v>0</v>
      </c>
      <c r="P143" s="443"/>
      <c r="R143" s="53"/>
      <c r="S143" s="53"/>
    </row>
    <row r="144" spans="1:19" ht="48" hidden="1" x14ac:dyDescent="0.25">
      <c r="A144" s="276">
        <v>2340</v>
      </c>
      <c r="B144" s="127" t="s">
        <v>160</v>
      </c>
      <c r="C144" s="429">
        <f t="shared" si="35"/>
        <v>0</v>
      </c>
      <c r="D144" s="277">
        <f t="shared" ref="D144:O144" si="42">SUM(D145:D146)</f>
        <v>0</v>
      </c>
      <c r="E144" s="278">
        <f t="shared" si="42"/>
        <v>0</v>
      </c>
      <c r="F144" s="286">
        <f t="shared" si="42"/>
        <v>0</v>
      </c>
      <c r="G144" s="277">
        <f t="shared" si="42"/>
        <v>0</v>
      </c>
      <c r="H144" s="282">
        <f t="shared" si="42"/>
        <v>0</v>
      </c>
      <c r="I144" s="278">
        <f t="shared" si="42"/>
        <v>0</v>
      </c>
      <c r="J144" s="277">
        <f t="shared" si="42"/>
        <v>0</v>
      </c>
      <c r="K144" s="278">
        <f t="shared" si="42"/>
        <v>0</v>
      </c>
      <c r="L144" s="286">
        <f t="shared" si="42"/>
        <v>0</v>
      </c>
      <c r="M144" s="277">
        <f t="shared" si="42"/>
        <v>0</v>
      </c>
      <c r="N144" s="282">
        <f t="shared" si="42"/>
        <v>0</v>
      </c>
      <c r="O144" s="286">
        <f t="shared" si="42"/>
        <v>0</v>
      </c>
      <c r="P144" s="136"/>
      <c r="R144" s="53"/>
      <c r="S144" s="53"/>
    </row>
    <row r="145" spans="1:19" ht="24" hidden="1" x14ac:dyDescent="0.25">
      <c r="A145" s="76">
        <v>2341</v>
      </c>
      <c r="B145" s="127" t="s">
        <v>161</v>
      </c>
      <c r="C145" s="429">
        <f t="shared" si="35"/>
        <v>0</v>
      </c>
      <c r="D145" s="134"/>
      <c r="E145" s="283"/>
      <c r="F145" s="475">
        <f>D145+E145</f>
        <v>0</v>
      </c>
      <c r="G145" s="134"/>
      <c r="H145" s="285"/>
      <c r="I145" s="283">
        <f>G145+H145</f>
        <v>0</v>
      </c>
      <c r="J145" s="134"/>
      <c r="K145" s="283"/>
      <c r="L145" s="475">
        <f>J145+K145</f>
        <v>0</v>
      </c>
      <c r="M145" s="134"/>
      <c r="N145" s="285"/>
      <c r="O145" s="475">
        <f>N145+M145</f>
        <v>0</v>
      </c>
      <c r="P145" s="441"/>
      <c r="R145" s="53"/>
      <c r="S145" s="53"/>
    </row>
    <row r="146" spans="1:19" ht="24" hidden="1" x14ac:dyDescent="0.25">
      <c r="A146" s="76">
        <v>2344</v>
      </c>
      <c r="B146" s="127" t="s">
        <v>162</v>
      </c>
      <c r="C146" s="429">
        <f t="shared" si="35"/>
        <v>0</v>
      </c>
      <c r="D146" s="134"/>
      <c r="E146" s="283"/>
      <c r="F146" s="475">
        <f>D146+E146</f>
        <v>0</v>
      </c>
      <c r="G146" s="134"/>
      <c r="H146" s="285"/>
      <c r="I146" s="283">
        <f>G146+H146</f>
        <v>0</v>
      </c>
      <c r="J146" s="134"/>
      <c r="K146" s="283"/>
      <c r="L146" s="475">
        <f>J146+K146</f>
        <v>0</v>
      </c>
      <c r="M146" s="134"/>
      <c r="N146" s="285"/>
      <c r="O146" s="475">
        <f>N146+M146</f>
        <v>0</v>
      </c>
      <c r="P146" s="443"/>
      <c r="R146" s="53"/>
      <c r="S146" s="53"/>
    </row>
    <row r="147" spans="1:19" ht="24" hidden="1" x14ac:dyDescent="0.25">
      <c r="A147" s="254">
        <v>2350</v>
      </c>
      <c r="B147" s="179" t="s">
        <v>163</v>
      </c>
      <c r="C147" s="454">
        <f t="shared" si="35"/>
        <v>0</v>
      </c>
      <c r="D147" s="255">
        <f t="shared" ref="D147:O147" si="43">SUM(D148:D153)</f>
        <v>0</v>
      </c>
      <c r="E147" s="256">
        <f t="shared" si="43"/>
        <v>0</v>
      </c>
      <c r="F147" s="310">
        <f t="shared" si="43"/>
        <v>0</v>
      </c>
      <c r="G147" s="255">
        <f t="shared" si="43"/>
        <v>0</v>
      </c>
      <c r="H147" s="261">
        <f t="shared" si="43"/>
        <v>0</v>
      </c>
      <c r="I147" s="256">
        <f t="shared" si="43"/>
        <v>0</v>
      </c>
      <c r="J147" s="255">
        <f t="shared" si="43"/>
        <v>0</v>
      </c>
      <c r="K147" s="256">
        <f t="shared" si="43"/>
        <v>0</v>
      </c>
      <c r="L147" s="310">
        <f t="shared" si="43"/>
        <v>0</v>
      </c>
      <c r="M147" s="255">
        <f t="shared" si="43"/>
        <v>0</v>
      </c>
      <c r="N147" s="261">
        <f t="shared" si="43"/>
        <v>0</v>
      </c>
      <c r="O147" s="310">
        <f t="shared" si="43"/>
        <v>0</v>
      </c>
      <c r="P147" s="259"/>
      <c r="R147" s="53"/>
      <c r="S147" s="53"/>
    </row>
    <row r="148" spans="1:19" hidden="1" x14ac:dyDescent="0.25">
      <c r="A148" s="66">
        <v>2351</v>
      </c>
      <c r="B148" s="116" t="s">
        <v>164</v>
      </c>
      <c r="C148" s="70">
        <f t="shared" si="35"/>
        <v>0</v>
      </c>
      <c r="D148" s="123"/>
      <c r="E148" s="295"/>
      <c r="F148" s="473">
        <f t="shared" ref="F148:F153" si="44">D148+E148</f>
        <v>0</v>
      </c>
      <c r="G148" s="123"/>
      <c r="H148" s="262"/>
      <c r="I148" s="295">
        <f t="shared" ref="I148:I153" si="45">G148+H148</f>
        <v>0</v>
      </c>
      <c r="J148" s="123"/>
      <c r="K148" s="295"/>
      <c r="L148" s="473">
        <f t="shared" ref="L148:L153" si="46">J148+K148</f>
        <v>0</v>
      </c>
      <c r="M148" s="123"/>
      <c r="N148" s="262"/>
      <c r="O148" s="473">
        <f t="shared" ref="O148:O153" si="47">N148+M148</f>
        <v>0</v>
      </c>
      <c r="P148" s="442"/>
      <c r="R148" s="53"/>
      <c r="S148" s="53"/>
    </row>
    <row r="149" spans="1:19" hidden="1" x14ac:dyDescent="0.25">
      <c r="A149" s="76">
        <v>2352</v>
      </c>
      <c r="B149" s="127" t="s">
        <v>165</v>
      </c>
      <c r="C149" s="429">
        <f t="shared" si="35"/>
        <v>0</v>
      </c>
      <c r="D149" s="134"/>
      <c r="E149" s="283"/>
      <c r="F149" s="475">
        <f t="shared" si="44"/>
        <v>0</v>
      </c>
      <c r="G149" s="134"/>
      <c r="H149" s="285"/>
      <c r="I149" s="283">
        <f t="shared" si="45"/>
        <v>0</v>
      </c>
      <c r="J149" s="134"/>
      <c r="K149" s="283"/>
      <c r="L149" s="475">
        <f t="shared" si="46"/>
        <v>0</v>
      </c>
      <c r="M149" s="134"/>
      <c r="N149" s="285"/>
      <c r="O149" s="475">
        <f t="shared" si="47"/>
        <v>0</v>
      </c>
      <c r="P149" s="443"/>
      <c r="R149" s="53"/>
      <c r="S149" s="53"/>
    </row>
    <row r="150" spans="1:19" ht="24" hidden="1" x14ac:dyDescent="0.25">
      <c r="A150" s="76">
        <v>2353</v>
      </c>
      <c r="B150" s="127" t="s">
        <v>166</v>
      </c>
      <c r="C150" s="429">
        <f t="shared" si="35"/>
        <v>0</v>
      </c>
      <c r="D150" s="134"/>
      <c r="E150" s="283"/>
      <c r="F150" s="475">
        <f t="shared" si="44"/>
        <v>0</v>
      </c>
      <c r="G150" s="134"/>
      <c r="H150" s="285"/>
      <c r="I150" s="283">
        <f t="shared" si="45"/>
        <v>0</v>
      </c>
      <c r="J150" s="134"/>
      <c r="K150" s="283"/>
      <c r="L150" s="475">
        <f t="shared" si="46"/>
        <v>0</v>
      </c>
      <c r="M150" s="134"/>
      <c r="N150" s="285"/>
      <c r="O150" s="475">
        <f t="shared" si="47"/>
        <v>0</v>
      </c>
      <c r="P150" s="443"/>
      <c r="R150" s="53"/>
      <c r="S150" s="53"/>
    </row>
    <row r="151" spans="1:19" ht="24" hidden="1" x14ac:dyDescent="0.25">
      <c r="A151" s="76">
        <v>2354</v>
      </c>
      <c r="B151" s="127" t="s">
        <v>167</v>
      </c>
      <c r="C151" s="429">
        <f t="shared" si="35"/>
        <v>0</v>
      </c>
      <c r="D151" s="134"/>
      <c r="E151" s="283"/>
      <c r="F151" s="475">
        <f t="shared" si="44"/>
        <v>0</v>
      </c>
      <c r="G151" s="134"/>
      <c r="H151" s="285"/>
      <c r="I151" s="283">
        <f t="shared" si="45"/>
        <v>0</v>
      </c>
      <c r="J151" s="134"/>
      <c r="K151" s="283"/>
      <c r="L151" s="475">
        <f t="shared" si="46"/>
        <v>0</v>
      </c>
      <c r="M151" s="134"/>
      <c r="N151" s="285"/>
      <c r="O151" s="475">
        <f t="shared" si="47"/>
        <v>0</v>
      </c>
      <c r="P151" s="443"/>
      <c r="R151" s="53"/>
      <c r="S151" s="53"/>
    </row>
    <row r="152" spans="1:19" ht="24" hidden="1" x14ac:dyDescent="0.25">
      <c r="A152" s="76">
        <v>2355</v>
      </c>
      <c r="B152" s="127" t="s">
        <v>168</v>
      </c>
      <c r="C152" s="429">
        <f t="shared" si="35"/>
        <v>0</v>
      </c>
      <c r="D152" s="134"/>
      <c r="E152" s="283"/>
      <c r="F152" s="475">
        <f t="shared" si="44"/>
        <v>0</v>
      </c>
      <c r="G152" s="134"/>
      <c r="H152" s="285"/>
      <c r="I152" s="283">
        <f t="shared" si="45"/>
        <v>0</v>
      </c>
      <c r="J152" s="134"/>
      <c r="K152" s="283"/>
      <c r="L152" s="475">
        <f t="shared" si="46"/>
        <v>0</v>
      </c>
      <c r="M152" s="134"/>
      <c r="N152" s="285"/>
      <c r="O152" s="475">
        <f t="shared" si="47"/>
        <v>0</v>
      </c>
      <c r="P152" s="443"/>
      <c r="R152" s="53"/>
      <c r="S152" s="53"/>
    </row>
    <row r="153" spans="1:19" ht="24" hidden="1" x14ac:dyDescent="0.25">
      <c r="A153" s="76">
        <v>2359</v>
      </c>
      <c r="B153" s="127" t="s">
        <v>169</v>
      </c>
      <c r="C153" s="429">
        <f t="shared" si="35"/>
        <v>0</v>
      </c>
      <c r="D153" s="134"/>
      <c r="E153" s="283"/>
      <c r="F153" s="475">
        <f t="shared" si="44"/>
        <v>0</v>
      </c>
      <c r="G153" s="134"/>
      <c r="H153" s="285"/>
      <c r="I153" s="283">
        <f t="shared" si="45"/>
        <v>0</v>
      </c>
      <c r="J153" s="134"/>
      <c r="K153" s="283"/>
      <c r="L153" s="475">
        <f t="shared" si="46"/>
        <v>0</v>
      </c>
      <c r="M153" s="134"/>
      <c r="N153" s="285"/>
      <c r="O153" s="475">
        <f t="shared" si="47"/>
        <v>0</v>
      </c>
      <c r="P153" s="443"/>
      <c r="R153" s="53"/>
      <c r="S153" s="53"/>
    </row>
    <row r="154" spans="1:19" ht="24.75" hidden="1" customHeight="1" x14ac:dyDescent="0.25">
      <c r="A154" s="276">
        <v>2360</v>
      </c>
      <c r="B154" s="127" t="s">
        <v>170</v>
      </c>
      <c r="C154" s="429">
        <f t="shared" si="35"/>
        <v>0</v>
      </c>
      <c r="D154" s="277">
        <f t="shared" ref="D154:O154" si="48">SUM(D155:D161)</f>
        <v>0</v>
      </c>
      <c r="E154" s="278">
        <f t="shared" si="48"/>
        <v>0</v>
      </c>
      <c r="F154" s="286">
        <f t="shared" si="48"/>
        <v>0</v>
      </c>
      <c r="G154" s="277">
        <f t="shared" si="48"/>
        <v>0</v>
      </c>
      <c r="H154" s="282">
        <f t="shared" si="48"/>
        <v>0</v>
      </c>
      <c r="I154" s="278">
        <f t="shared" si="48"/>
        <v>0</v>
      </c>
      <c r="J154" s="277">
        <f t="shared" si="48"/>
        <v>0</v>
      </c>
      <c r="K154" s="278">
        <f t="shared" si="48"/>
        <v>0</v>
      </c>
      <c r="L154" s="286">
        <f t="shared" si="48"/>
        <v>0</v>
      </c>
      <c r="M154" s="277">
        <f t="shared" si="48"/>
        <v>0</v>
      </c>
      <c r="N154" s="282">
        <f t="shared" si="48"/>
        <v>0</v>
      </c>
      <c r="O154" s="286">
        <f t="shared" si="48"/>
        <v>0</v>
      </c>
      <c r="P154" s="136"/>
      <c r="R154" s="53"/>
      <c r="S154" s="53"/>
    </row>
    <row r="155" spans="1:19" hidden="1" x14ac:dyDescent="0.25">
      <c r="A155" s="75">
        <v>2361</v>
      </c>
      <c r="B155" s="127" t="s">
        <v>171</v>
      </c>
      <c r="C155" s="429">
        <f t="shared" si="35"/>
        <v>0</v>
      </c>
      <c r="D155" s="134"/>
      <c r="E155" s="283"/>
      <c r="F155" s="475">
        <f t="shared" ref="F155:F162" si="49">D155+E155</f>
        <v>0</v>
      </c>
      <c r="G155" s="134"/>
      <c r="H155" s="285"/>
      <c r="I155" s="283">
        <f t="shared" ref="I155:I162" si="50">G155+H155</f>
        <v>0</v>
      </c>
      <c r="J155" s="134"/>
      <c r="K155" s="283"/>
      <c r="L155" s="475">
        <f t="shared" ref="L155:L162" si="51">J155+K155</f>
        <v>0</v>
      </c>
      <c r="M155" s="134"/>
      <c r="N155" s="285"/>
      <c r="O155" s="475">
        <f t="shared" ref="O155:O162" si="52">N155+M155</f>
        <v>0</v>
      </c>
      <c r="R155" s="53"/>
      <c r="S155" s="53"/>
    </row>
    <row r="156" spans="1:19" ht="24" hidden="1" x14ac:dyDescent="0.25">
      <c r="A156" s="75">
        <v>2362</v>
      </c>
      <c r="B156" s="127" t="s">
        <v>172</v>
      </c>
      <c r="C156" s="429">
        <f t="shared" si="35"/>
        <v>0</v>
      </c>
      <c r="D156" s="134"/>
      <c r="E156" s="283"/>
      <c r="F156" s="475">
        <f t="shared" si="49"/>
        <v>0</v>
      </c>
      <c r="G156" s="134"/>
      <c r="H156" s="285"/>
      <c r="I156" s="283">
        <f t="shared" si="50"/>
        <v>0</v>
      </c>
      <c r="J156" s="134"/>
      <c r="K156" s="283"/>
      <c r="L156" s="475">
        <f t="shared" si="51"/>
        <v>0</v>
      </c>
      <c r="M156" s="134"/>
      <c r="N156" s="285"/>
      <c r="O156" s="475">
        <f t="shared" si="52"/>
        <v>0</v>
      </c>
      <c r="P156" s="443"/>
      <c r="R156" s="53"/>
      <c r="S156" s="53"/>
    </row>
    <row r="157" spans="1:19" hidden="1" x14ac:dyDescent="0.25">
      <c r="A157" s="75">
        <v>2363</v>
      </c>
      <c r="B157" s="127" t="s">
        <v>173</v>
      </c>
      <c r="C157" s="429">
        <f t="shared" si="35"/>
        <v>0</v>
      </c>
      <c r="D157" s="134"/>
      <c r="E157" s="283"/>
      <c r="F157" s="475">
        <f t="shared" si="49"/>
        <v>0</v>
      </c>
      <c r="G157" s="134"/>
      <c r="H157" s="285"/>
      <c r="I157" s="283">
        <f t="shared" si="50"/>
        <v>0</v>
      </c>
      <c r="J157" s="134"/>
      <c r="K157" s="283"/>
      <c r="L157" s="475">
        <f t="shared" si="51"/>
        <v>0</v>
      </c>
      <c r="M157" s="134"/>
      <c r="N157" s="285"/>
      <c r="O157" s="475">
        <f t="shared" si="52"/>
        <v>0</v>
      </c>
      <c r="P157" s="443"/>
      <c r="R157" s="53"/>
      <c r="S157" s="53"/>
    </row>
    <row r="158" spans="1:19" hidden="1" x14ac:dyDescent="0.25">
      <c r="A158" s="75">
        <v>2364</v>
      </c>
      <c r="B158" s="127" t="s">
        <v>174</v>
      </c>
      <c r="C158" s="429">
        <f t="shared" si="35"/>
        <v>0</v>
      </c>
      <c r="D158" s="134"/>
      <c r="E158" s="283"/>
      <c r="F158" s="475">
        <f t="shared" si="49"/>
        <v>0</v>
      </c>
      <c r="G158" s="134"/>
      <c r="H158" s="285"/>
      <c r="I158" s="283">
        <f t="shared" si="50"/>
        <v>0</v>
      </c>
      <c r="J158" s="134"/>
      <c r="K158" s="283"/>
      <c r="L158" s="475">
        <f t="shared" si="51"/>
        <v>0</v>
      </c>
      <c r="M158" s="134"/>
      <c r="N158" s="285"/>
      <c r="O158" s="475">
        <f t="shared" si="52"/>
        <v>0</v>
      </c>
      <c r="P158" s="443"/>
      <c r="R158" s="53"/>
      <c r="S158" s="53"/>
    </row>
    <row r="159" spans="1:19" ht="12.75" hidden="1" customHeight="1" x14ac:dyDescent="0.25">
      <c r="A159" s="75">
        <v>2365</v>
      </c>
      <c r="B159" s="127" t="s">
        <v>175</v>
      </c>
      <c r="C159" s="429">
        <f t="shared" si="35"/>
        <v>0</v>
      </c>
      <c r="D159" s="134"/>
      <c r="E159" s="283"/>
      <c r="F159" s="475">
        <f t="shared" si="49"/>
        <v>0</v>
      </c>
      <c r="G159" s="134"/>
      <c r="H159" s="285"/>
      <c r="I159" s="283">
        <f t="shared" si="50"/>
        <v>0</v>
      </c>
      <c r="J159" s="134"/>
      <c r="K159" s="283"/>
      <c r="L159" s="475">
        <f t="shared" si="51"/>
        <v>0</v>
      </c>
      <c r="M159" s="134"/>
      <c r="N159" s="285"/>
      <c r="O159" s="475">
        <f t="shared" si="52"/>
        <v>0</v>
      </c>
      <c r="P159" s="443"/>
      <c r="R159" s="53"/>
      <c r="S159" s="53"/>
    </row>
    <row r="160" spans="1:19" ht="36" hidden="1" x14ac:dyDescent="0.25">
      <c r="A160" s="75">
        <v>2366</v>
      </c>
      <c r="B160" s="127" t="s">
        <v>176</v>
      </c>
      <c r="C160" s="429">
        <f t="shared" si="35"/>
        <v>0</v>
      </c>
      <c r="D160" s="134"/>
      <c r="E160" s="283"/>
      <c r="F160" s="475">
        <f t="shared" si="49"/>
        <v>0</v>
      </c>
      <c r="G160" s="134"/>
      <c r="H160" s="285"/>
      <c r="I160" s="283">
        <f t="shared" si="50"/>
        <v>0</v>
      </c>
      <c r="J160" s="134"/>
      <c r="K160" s="283"/>
      <c r="L160" s="475">
        <f t="shared" si="51"/>
        <v>0</v>
      </c>
      <c r="M160" s="134"/>
      <c r="N160" s="285"/>
      <c r="O160" s="475">
        <f t="shared" si="52"/>
        <v>0</v>
      </c>
      <c r="P160" s="443"/>
      <c r="R160" s="53"/>
      <c r="S160" s="53"/>
    </row>
    <row r="161" spans="1:19" ht="48" hidden="1" x14ac:dyDescent="0.25">
      <c r="A161" s="75">
        <v>2369</v>
      </c>
      <c r="B161" s="127" t="s">
        <v>177</v>
      </c>
      <c r="C161" s="429">
        <f t="shared" si="35"/>
        <v>0</v>
      </c>
      <c r="D161" s="134"/>
      <c r="E161" s="283"/>
      <c r="F161" s="475">
        <f t="shared" si="49"/>
        <v>0</v>
      </c>
      <c r="G161" s="134"/>
      <c r="H161" s="285"/>
      <c r="I161" s="283">
        <f t="shared" si="50"/>
        <v>0</v>
      </c>
      <c r="J161" s="134"/>
      <c r="K161" s="283"/>
      <c r="L161" s="475">
        <f t="shared" si="51"/>
        <v>0</v>
      </c>
      <c r="M161" s="134"/>
      <c r="N161" s="285"/>
      <c r="O161" s="475">
        <f t="shared" si="52"/>
        <v>0</v>
      </c>
      <c r="P161" s="443"/>
      <c r="R161" s="53"/>
      <c r="S161" s="53"/>
    </row>
    <row r="162" spans="1:19" hidden="1" x14ac:dyDescent="0.25">
      <c r="A162" s="254">
        <v>2370</v>
      </c>
      <c r="B162" s="179" t="s">
        <v>178</v>
      </c>
      <c r="C162" s="454">
        <f t="shared" si="35"/>
        <v>0</v>
      </c>
      <c r="D162" s="287"/>
      <c r="E162" s="288"/>
      <c r="F162" s="478">
        <f t="shared" si="49"/>
        <v>0</v>
      </c>
      <c r="G162" s="287"/>
      <c r="H162" s="291"/>
      <c r="I162" s="288">
        <f t="shared" si="50"/>
        <v>0</v>
      </c>
      <c r="J162" s="287"/>
      <c r="K162" s="288"/>
      <c r="L162" s="478">
        <f t="shared" si="51"/>
        <v>0</v>
      </c>
      <c r="M162" s="287"/>
      <c r="N162" s="291"/>
      <c r="O162" s="478">
        <f t="shared" si="52"/>
        <v>0</v>
      </c>
      <c r="P162" s="476"/>
      <c r="R162" s="53"/>
      <c r="S162" s="53"/>
    </row>
    <row r="163" spans="1:19" hidden="1" x14ac:dyDescent="0.25">
      <c r="A163" s="254">
        <v>2380</v>
      </c>
      <c r="B163" s="179" t="s">
        <v>179</v>
      </c>
      <c r="C163" s="454">
        <f t="shared" si="35"/>
        <v>0</v>
      </c>
      <c r="D163" s="255">
        <f t="shared" ref="D163:O163" si="53">SUM(D164:D165)</f>
        <v>0</v>
      </c>
      <c r="E163" s="256">
        <f t="shared" si="53"/>
        <v>0</v>
      </c>
      <c r="F163" s="310">
        <f t="shared" si="53"/>
        <v>0</v>
      </c>
      <c r="G163" s="255">
        <f t="shared" si="53"/>
        <v>0</v>
      </c>
      <c r="H163" s="261">
        <f t="shared" si="53"/>
        <v>0</v>
      </c>
      <c r="I163" s="256">
        <f t="shared" si="53"/>
        <v>0</v>
      </c>
      <c r="J163" s="255">
        <f t="shared" si="53"/>
        <v>0</v>
      </c>
      <c r="K163" s="256">
        <f t="shared" si="53"/>
        <v>0</v>
      </c>
      <c r="L163" s="310">
        <f t="shared" si="53"/>
        <v>0</v>
      </c>
      <c r="M163" s="255">
        <f t="shared" si="53"/>
        <v>0</v>
      </c>
      <c r="N163" s="261">
        <f t="shared" si="53"/>
        <v>0</v>
      </c>
      <c r="O163" s="310">
        <f t="shared" si="53"/>
        <v>0</v>
      </c>
      <c r="P163" s="259"/>
      <c r="R163" s="53"/>
      <c r="S163" s="53"/>
    </row>
    <row r="164" spans="1:19" hidden="1" x14ac:dyDescent="0.25">
      <c r="A164" s="65">
        <v>2381</v>
      </c>
      <c r="B164" s="116" t="s">
        <v>180</v>
      </c>
      <c r="C164" s="70">
        <f t="shared" si="35"/>
        <v>0</v>
      </c>
      <c r="D164" s="123"/>
      <c r="E164" s="295"/>
      <c r="F164" s="473">
        <f>D164+E164</f>
        <v>0</v>
      </c>
      <c r="G164" s="123"/>
      <c r="H164" s="262"/>
      <c r="I164" s="295">
        <f>G164+H164</f>
        <v>0</v>
      </c>
      <c r="J164" s="123"/>
      <c r="K164" s="295"/>
      <c r="L164" s="473">
        <f>J164+K164</f>
        <v>0</v>
      </c>
      <c r="M164" s="123"/>
      <c r="N164" s="262"/>
      <c r="O164" s="473">
        <f>N164+M164</f>
        <v>0</v>
      </c>
      <c r="P164" s="442"/>
      <c r="R164" s="53"/>
      <c r="S164" s="53"/>
    </row>
    <row r="165" spans="1:19" ht="24" hidden="1" x14ac:dyDescent="0.25">
      <c r="A165" s="75">
        <v>2389</v>
      </c>
      <c r="B165" s="127" t="s">
        <v>181</v>
      </c>
      <c r="C165" s="429">
        <f t="shared" si="35"/>
        <v>0</v>
      </c>
      <c r="D165" s="134"/>
      <c r="E165" s="283"/>
      <c r="F165" s="475">
        <f>D165+E165</f>
        <v>0</v>
      </c>
      <c r="G165" s="134"/>
      <c r="H165" s="285"/>
      <c r="I165" s="283">
        <f>G165+H165</f>
        <v>0</v>
      </c>
      <c r="J165" s="134"/>
      <c r="K165" s="283"/>
      <c r="L165" s="475">
        <f>J165+K165</f>
        <v>0</v>
      </c>
      <c r="M165" s="134"/>
      <c r="N165" s="285"/>
      <c r="O165" s="475">
        <f>N165+M165</f>
        <v>0</v>
      </c>
      <c r="P165" s="443"/>
      <c r="R165" s="53"/>
      <c r="S165" s="53"/>
    </row>
    <row r="166" spans="1:19" hidden="1" x14ac:dyDescent="0.25">
      <c r="A166" s="254">
        <v>2390</v>
      </c>
      <c r="B166" s="179" t="s">
        <v>182</v>
      </c>
      <c r="C166" s="454">
        <f t="shared" si="35"/>
        <v>0</v>
      </c>
      <c r="D166" s="287"/>
      <c r="E166" s="288"/>
      <c r="F166" s="478">
        <f>D166+E166</f>
        <v>0</v>
      </c>
      <c r="G166" s="287"/>
      <c r="H166" s="291"/>
      <c r="I166" s="288">
        <f>G166+H166</f>
        <v>0</v>
      </c>
      <c r="J166" s="287"/>
      <c r="K166" s="288"/>
      <c r="L166" s="478">
        <f>J166+K166</f>
        <v>0</v>
      </c>
      <c r="M166" s="287"/>
      <c r="N166" s="291"/>
      <c r="O166" s="478">
        <f>N166+M166</f>
        <v>0</v>
      </c>
      <c r="P166" s="476"/>
      <c r="R166" s="53"/>
      <c r="S166" s="53"/>
    </row>
    <row r="167" spans="1:19" hidden="1" x14ac:dyDescent="0.25">
      <c r="A167" s="99">
        <v>2400</v>
      </c>
      <c r="B167" s="247" t="s">
        <v>183</v>
      </c>
      <c r="C167" s="103">
        <f t="shared" si="35"/>
        <v>0</v>
      </c>
      <c r="D167" s="311"/>
      <c r="E167" s="712"/>
      <c r="F167" s="489">
        <f>D167+E167</f>
        <v>0</v>
      </c>
      <c r="G167" s="311"/>
      <c r="H167" s="312"/>
      <c r="I167" s="712">
        <f>G167+H167</f>
        <v>0</v>
      </c>
      <c r="J167" s="311"/>
      <c r="K167" s="712"/>
      <c r="L167" s="489">
        <f>J167+K167</f>
        <v>0</v>
      </c>
      <c r="M167" s="311"/>
      <c r="N167" s="312"/>
      <c r="O167" s="489">
        <f>N167+M167</f>
        <v>0</v>
      </c>
      <c r="P167" s="488"/>
      <c r="R167" s="53"/>
      <c r="S167" s="53"/>
    </row>
    <row r="168" spans="1:19" ht="24" hidden="1" x14ac:dyDescent="0.25">
      <c r="A168" s="99">
        <v>2500</v>
      </c>
      <c r="B168" s="247" t="s">
        <v>184</v>
      </c>
      <c r="C168" s="103">
        <f t="shared" si="35"/>
        <v>0</v>
      </c>
      <c r="D168" s="112">
        <f t="shared" ref="D168:O168" si="54">SUM(D169,D174)</f>
        <v>0</v>
      </c>
      <c r="E168" s="248">
        <f t="shared" si="54"/>
        <v>0</v>
      </c>
      <c r="F168" s="313">
        <f t="shared" si="54"/>
        <v>0</v>
      </c>
      <c r="G168" s="112">
        <f t="shared" si="54"/>
        <v>0</v>
      </c>
      <c r="H168" s="293">
        <f t="shared" si="54"/>
        <v>0</v>
      </c>
      <c r="I168" s="248">
        <f t="shared" si="54"/>
        <v>0</v>
      </c>
      <c r="J168" s="112">
        <f t="shared" si="54"/>
        <v>0</v>
      </c>
      <c r="K168" s="248">
        <f t="shared" si="54"/>
        <v>0</v>
      </c>
      <c r="L168" s="313">
        <f t="shared" si="54"/>
        <v>0</v>
      </c>
      <c r="M168" s="334">
        <f t="shared" si="54"/>
        <v>0</v>
      </c>
      <c r="N168" s="293">
        <f t="shared" si="54"/>
        <v>0</v>
      </c>
      <c r="O168" s="313">
        <f t="shared" si="54"/>
        <v>0</v>
      </c>
      <c r="P168" s="114"/>
      <c r="R168" s="53"/>
      <c r="S168" s="53"/>
    </row>
    <row r="169" spans="1:19" ht="16.5" hidden="1" customHeight="1" x14ac:dyDescent="0.25">
      <c r="A169" s="656">
        <v>2510</v>
      </c>
      <c r="B169" s="116" t="s">
        <v>185</v>
      </c>
      <c r="C169" s="70">
        <f t="shared" si="35"/>
        <v>0</v>
      </c>
      <c r="D169" s="297">
        <f t="shared" ref="D169:O169" si="55">SUM(D170:D173)</f>
        <v>0</v>
      </c>
      <c r="E169" s="298">
        <f t="shared" si="55"/>
        <v>0</v>
      </c>
      <c r="F169" s="263">
        <f t="shared" si="55"/>
        <v>0</v>
      </c>
      <c r="G169" s="297">
        <f t="shared" si="55"/>
        <v>0</v>
      </c>
      <c r="H169" s="301">
        <f t="shared" si="55"/>
        <v>0</v>
      </c>
      <c r="I169" s="298">
        <f t="shared" si="55"/>
        <v>0</v>
      </c>
      <c r="J169" s="297">
        <f t="shared" si="55"/>
        <v>0</v>
      </c>
      <c r="K169" s="298">
        <f t="shared" si="55"/>
        <v>0</v>
      </c>
      <c r="L169" s="263">
        <f t="shared" si="55"/>
        <v>0</v>
      </c>
      <c r="M169" s="308">
        <f t="shared" si="55"/>
        <v>0</v>
      </c>
      <c r="N169" s="301">
        <f t="shared" si="55"/>
        <v>0</v>
      </c>
      <c r="O169" s="263">
        <f t="shared" si="55"/>
        <v>0</v>
      </c>
      <c r="P169" s="125"/>
      <c r="R169" s="53"/>
      <c r="S169" s="53"/>
    </row>
    <row r="170" spans="1:19" ht="24" hidden="1" x14ac:dyDescent="0.25">
      <c r="A170" s="76">
        <v>2512</v>
      </c>
      <c r="B170" s="127" t="s">
        <v>186</v>
      </c>
      <c r="C170" s="429">
        <f t="shared" si="35"/>
        <v>0</v>
      </c>
      <c r="D170" s="134"/>
      <c r="E170" s="283"/>
      <c r="F170" s="475">
        <f t="shared" ref="F170:F175" si="56">D170+E170</f>
        <v>0</v>
      </c>
      <c r="G170" s="134"/>
      <c r="H170" s="285"/>
      <c r="I170" s="283">
        <f t="shared" ref="I170:I175" si="57">G170+H170</f>
        <v>0</v>
      </c>
      <c r="J170" s="134"/>
      <c r="K170" s="283"/>
      <c r="L170" s="475">
        <f t="shared" ref="L170:L175" si="58">J170+K170</f>
        <v>0</v>
      </c>
      <c r="M170" s="134"/>
      <c r="N170" s="285"/>
      <c r="O170" s="475">
        <f t="shared" ref="O170:O175" si="59">N170+M170</f>
        <v>0</v>
      </c>
      <c r="P170" s="443"/>
      <c r="R170" s="53"/>
      <c r="S170" s="53"/>
    </row>
    <row r="171" spans="1:19" ht="36" hidden="1" x14ac:dyDescent="0.25">
      <c r="A171" s="76">
        <v>2513</v>
      </c>
      <c r="B171" s="127" t="s">
        <v>187</v>
      </c>
      <c r="C171" s="429">
        <f t="shared" si="35"/>
        <v>0</v>
      </c>
      <c r="D171" s="134"/>
      <c r="E171" s="283"/>
      <c r="F171" s="475">
        <f t="shared" si="56"/>
        <v>0</v>
      </c>
      <c r="G171" s="134"/>
      <c r="H171" s="285"/>
      <c r="I171" s="283">
        <f t="shared" si="57"/>
        <v>0</v>
      </c>
      <c r="J171" s="134"/>
      <c r="K171" s="283"/>
      <c r="L171" s="475">
        <f t="shared" si="58"/>
        <v>0</v>
      </c>
      <c r="M171" s="134"/>
      <c r="N171" s="285"/>
      <c r="O171" s="475">
        <f t="shared" si="59"/>
        <v>0</v>
      </c>
      <c r="P171" s="443"/>
      <c r="R171" s="53"/>
      <c r="S171" s="53"/>
    </row>
    <row r="172" spans="1:19" ht="24" hidden="1" x14ac:dyDescent="0.25">
      <c r="A172" s="76">
        <v>2515</v>
      </c>
      <c r="B172" s="127" t="s">
        <v>188</v>
      </c>
      <c r="C172" s="429">
        <f t="shared" si="35"/>
        <v>0</v>
      </c>
      <c r="D172" s="134"/>
      <c r="E172" s="283"/>
      <c r="F172" s="475">
        <f t="shared" si="56"/>
        <v>0</v>
      </c>
      <c r="G172" s="134"/>
      <c r="H172" s="285"/>
      <c r="I172" s="283">
        <f t="shared" si="57"/>
        <v>0</v>
      </c>
      <c r="J172" s="134"/>
      <c r="K172" s="283"/>
      <c r="L172" s="475">
        <f t="shared" si="58"/>
        <v>0</v>
      </c>
      <c r="M172" s="134"/>
      <c r="N172" s="285"/>
      <c r="O172" s="475">
        <f t="shared" si="59"/>
        <v>0</v>
      </c>
      <c r="P172" s="443"/>
      <c r="R172" s="53"/>
      <c r="S172" s="53"/>
    </row>
    <row r="173" spans="1:19" ht="24" hidden="1" x14ac:dyDescent="0.25">
      <c r="A173" s="76">
        <v>2519</v>
      </c>
      <c r="B173" s="127" t="s">
        <v>189</v>
      </c>
      <c r="C173" s="429">
        <f t="shared" si="35"/>
        <v>0</v>
      </c>
      <c r="D173" s="134"/>
      <c r="E173" s="283"/>
      <c r="F173" s="475">
        <f t="shared" si="56"/>
        <v>0</v>
      </c>
      <c r="G173" s="134"/>
      <c r="H173" s="285"/>
      <c r="I173" s="283">
        <f t="shared" si="57"/>
        <v>0</v>
      </c>
      <c r="J173" s="134"/>
      <c r="K173" s="283"/>
      <c r="L173" s="475">
        <f t="shared" si="58"/>
        <v>0</v>
      </c>
      <c r="M173" s="134"/>
      <c r="N173" s="285"/>
      <c r="O173" s="475">
        <f t="shared" si="59"/>
        <v>0</v>
      </c>
      <c r="P173" s="443"/>
      <c r="R173" s="53"/>
      <c r="S173" s="53"/>
    </row>
    <row r="174" spans="1:19" ht="24" hidden="1" x14ac:dyDescent="0.25">
      <c r="A174" s="276">
        <v>2520</v>
      </c>
      <c r="B174" s="127" t="s">
        <v>190</v>
      </c>
      <c r="C174" s="429">
        <f t="shared" si="35"/>
        <v>0</v>
      </c>
      <c r="D174" s="134"/>
      <c r="E174" s="283"/>
      <c r="F174" s="475">
        <f t="shared" si="56"/>
        <v>0</v>
      </c>
      <c r="G174" s="134"/>
      <c r="H174" s="285"/>
      <c r="I174" s="283">
        <f t="shared" si="57"/>
        <v>0</v>
      </c>
      <c r="J174" s="134"/>
      <c r="K174" s="283"/>
      <c r="L174" s="475">
        <f t="shared" si="58"/>
        <v>0</v>
      </c>
      <c r="M174" s="134"/>
      <c r="N174" s="285"/>
      <c r="O174" s="475">
        <f t="shared" si="59"/>
        <v>0</v>
      </c>
      <c r="P174" s="443"/>
      <c r="R174" s="53"/>
      <c r="S174" s="53"/>
    </row>
    <row r="175" spans="1:19" s="319" customFormat="1" ht="48" hidden="1" x14ac:dyDescent="0.25">
      <c r="A175" s="31">
        <v>2800</v>
      </c>
      <c r="B175" s="116" t="s">
        <v>191</v>
      </c>
      <c r="C175" s="70">
        <f t="shared" si="35"/>
        <v>0</v>
      </c>
      <c r="D175" s="68"/>
      <c r="E175" s="673"/>
      <c r="F175" s="428">
        <f t="shared" si="56"/>
        <v>0</v>
      </c>
      <c r="G175" s="68"/>
      <c r="H175" s="69"/>
      <c r="I175" s="673">
        <f t="shared" si="57"/>
        <v>0</v>
      </c>
      <c r="J175" s="68"/>
      <c r="K175" s="673"/>
      <c r="L175" s="428">
        <f t="shared" si="58"/>
        <v>0</v>
      </c>
      <c r="M175" s="68"/>
      <c r="N175" s="69"/>
      <c r="O175" s="428">
        <f t="shared" si="59"/>
        <v>0</v>
      </c>
      <c r="P175" s="427"/>
      <c r="R175" s="53"/>
      <c r="S175" s="53"/>
    </row>
    <row r="176" spans="1:19" hidden="1" x14ac:dyDescent="0.25">
      <c r="A176" s="237">
        <v>3000</v>
      </c>
      <c r="B176" s="237" t="s">
        <v>192</v>
      </c>
      <c r="C176" s="709">
        <f t="shared" si="35"/>
        <v>0</v>
      </c>
      <c r="D176" s="466">
        <f t="shared" ref="D176:O176" si="60">SUM(D177,D187)</f>
        <v>0</v>
      </c>
      <c r="E176" s="471">
        <f t="shared" si="60"/>
        <v>0</v>
      </c>
      <c r="F176" s="465">
        <f t="shared" si="60"/>
        <v>0</v>
      </c>
      <c r="G176" s="466">
        <f t="shared" si="60"/>
        <v>0</v>
      </c>
      <c r="H176" s="467">
        <f t="shared" si="60"/>
        <v>0</v>
      </c>
      <c r="I176" s="471">
        <f t="shared" si="60"/>
        <v>0</v>
      </c>
      <c r="J176" s="466">
        <f t="shared" si="60"/>
        <v>0</v>
      </c>
      <c r="K176" s="471">
        <f t="shared" si="60"/>
        <v>0</v>
      </c>
      <c r="L176" s="465">
        <f t="shared" si="60"/>
        <v>0</v>
      </c>
      <c r="M176" s="239">
        <f t="shared" si="60"/>
        <v>0</v>
      </c>
      <c r="N176" s="245">
        <f t="shared" si="60"/>
        <v>0</v>
      </c>
      <c r="O176" s="320">
        <f t="shared" si="60"/>
        <v>0</v>
      </c>
      <c r="P176" s="243"/>
      <c r="R176" s="53"/>
      <c r="S176" s="53"/>
    </row>
    <row r="177" spans="1:19" ht="36" hidden="1" x14ac:dyDescent="0.25">
      <c r="A177" s="99">
        <v>3200</v>
      </c>
      <c r="B177" s="321" t="s">
        <v>193</v>
      </c>
      <c r="C177" s="103">
        <f t="shared" si="35"/>
        <v>0</v>
      </c>
      <c r="D177" s="112">
        <f t="shared" ref="D177:O177" si="61">SUM(D178,D182)</f>
        <v>0</v>
      </c>
      <c r="E177" s="248">
        <f t="shared" si="61"/>
        <v>0</v>
      </c>
      <c r="F177" s="313">
        <f t="shared" si="61"/>
        <v>0</v>
      </c>
      <c r="G177" s="112">
        <f t="shared" si="61"/>
        <v>0</v>
      </c>
      <c r="H177" s="293">
        <f t="shared" si="61"/>
        <v>0</v>
      </c>
      <c r="I177" s="248">
        <f t="shared" si="61"/>
        <v>0</v>
      </c>
      <c r="J177" s="112">
        <f t="shared" si="61"/>
        <v>0</v>
      </c>
      <c r="K177" s="248">
        <f t="shared" si="61"/>
        <v>0</v>
      </c>
      <c r="L177" s="313">
        <f t="shared" si="61"/>
        <v>0</v>
      </c>
      <c r="M177" s="334">
        <f t="shared" si="61"/>
        <v>0</v>
      </c>
      <c r="N177" s="293">
        <f t="shared" si="61"/>
        <v>0</v>
      </c>
      <c r="O177" s="313">
        <f t="shared" si="61"/>
        <v>0</v>
      </c>
      <c r="P177" s="114"/>
      <c r="R177" s="53"/>
      <c r="S177" s="53"/>
    </row>
    <row r="178" spans="1:19" ht="48" hidden="1" x14ac:dyDescent="0.25">
      <c r="A178" s="656">
        <v>3260</v>
      </c>
      <c r="B178" s="116" t="s">
        <v>194</v>
      </c>
      <c r="C178" s="70">
        <f t="shared" si="35"/>
        <v>0</v>
      </c>
      <c r="D178" s="297">
        <f t="shared" ref="D178:O178" si="62">SUM(D179:D181)</f>
        <v>0</v>
      </c>
      <c r="E178" s="298">
        <f t="shared" si="62"/>
        <v>0</v>
      </c>
      <c r="F178" s="263">
        <f t="shared" si="62"/>
        <v>0</v>
      </c>
      <c r="G178" s="297">
        <f t="shared" si="62"/>
        <v>0</v>
      </c>
      <c r="H178" s="301">
        <f t="shared" si="62"/>
        <v>0</v>
      </c>
      <c r="I178" s="298">
        <f t="shared" si="62"/>
        <v>0</v>
      </c>
      <c r="J178" s="297">
        <f t="shared" si="62"/>
        <v>0</v>
      </c>
      <c r="K178" s="298">
        <f t="shared" si="62"/>
        <v>0</v>
      </c>
      <c r="L178" s="263">
        <f t="shared" si="62"/>
        <v>0</v>
      </c>
      <c r="M178" s="297">
        <f t="shared" si="62"/>
        <v>0</v>
      </c>
      <c r="N178" s="301">
        <f t="shared" si="62"/>
        <v>0</v>
      </c>
      <c r="O178" s="263">
        <f t="shared" si="62"/>
        <v>0</v>
      </c>
      <c r="P178" s="125"/>
      <c r="R178" s="53"/>
      <c r="S178" s="53"/>
    </row>
    <row r="179" spans="1:19" ht="36" hidden="1" x14ac:dyDescent="0.25">
      <c r="A179" s="76">
        <v>3261</v>
      </c>
      <c r="B179" s="127" t="s">
        <v>195</v>
      </c>
      <c r="C179" s="429">
        <f t="shared" si="35"/>
        <v>0</v>
      </c>
      <c r="D179" s="134"/>
      <c r="E179" s="283"/>
      <c r="F179" s="475">
        <f>D179+E179</f>
        <v>0</v>
      </c>
      <c r="G179" s="134"/>
      <c r="H179" s="285"/>
      <c r="I179" s="283">
        <f>G179+H179</f>
        <v>0</v>
      </c>
      <c r="J179" s="134"/>
      <c r="K179" s="283"/>
      <c r="L179" s="475">
        <f>J179+K179</f>
        <v>0</v>
      </c>
      <c r="M179" s="134"/>
      <c r="N179" s="285"/>
      <c r="O179" s="475">
        <f>N179+M179</f>
        <v>0</v>
      </c>
      <c r="P179" s="443"/>
      <c r="R179" s="53"/>
      <c r="S179" s="53"/>
    </row>
    <row r="180" spans="1:19" ht="36" hidden="1" x14ac:dyDescent="0.25">
      <c r="A180" s="76">
        <v>3262</v>
      </c>
      <c r="B180" s="127" t="s">
        <v>196</v>
      </c>
      <c r="C180" s="429">
        <f t="shared" si="35"/>
        <v>0</v>
      </c>
      <c r="D180" s="134"/>
      <c r="E180" s="283"/>
      <c r="F180" s="475">
        <f>D180+E180</f>
        <v>0</v>
      </c>
      <c r="G180" s="134"/>
      <c r="H180" s="285"/>
      <c r="I180" s="283">
        <f>G180+H180</f>
        <v>0</v>
      </c>
      <c r="J180" s="134"/>
      <c r="K180" s="283"/>
      <c r="L180" s="475">
        <f>J180+K180</f>
        <v>0</v>
      </c>
      <c r="M180" s="134"/>
      <c r="N180" s="285"/>
      <c r="O180" s="475">
        <f>N180+M180</f>
        <v>0</v>
      </c>
      <c r="P180" s="443"/>
      <c r="R180" s="53"/>
      <c r="S180" s="53"/>
    </row>
    <row r="181" spans="1:19" ht="36" hidden="1" x14ac:dyDescent="0.25">
      <c r="A181" s="76">
        <v>3263</v>
      </c>
      <c r="B181" s="127" t="s">
        <v>197</v>
      </c>
      <c r="C181" s="429">
        <f t="shared" ref="C181:C244" si="63">SUM(F181,I181,L181,O181)</f>
        <v>0</v>
      </c>
      <c r="D181" s="134"/>
      <c r="E181" s="283"/>
      <c r="F181" s="475">
        <f>D181+E181</f>
        <v>0</v>
      </c>
      <c r="G181" s="134"/>
      <c r="H181" s="285"/>
      <c r="I181" s="283">
        <f>G181+H181</f>
        <v>0</v>
      </c>
      <c r="J181" s="134"/>
      <c r="K181" s="283"/>
      <c r="L181" s="475">
        <f>J181+K181</f>
        <v>0</v>
      </c>
      <c r="M181" s="134"/>
      <c r="N181" s="285"/>
      <c r="O181" s="475">
        <f>N181+M181</f>
        <v>0</v>
      </c>
      <c r="P181" s="443"/>
      <c r="R181" s="53"/>
      <c r="S181" s="53"/>
    </row>
    <row r="182" spans="1:19" ht="39.75" hidden="1" customHeight="1" x14ac:dyDescent="0.25">
      <c r="A182" s="656">
        <v>3290</v>
      </c>
      <c r="B182" s="116" t="s">
        <v>349</v>
      </c>
      <c r="C182" s="713">
        <f t="shared" si="63"/>
        <v>0</v>
      </c>
      <c r="D182" s="297">
        <f t="shared" ref="D182:O182" si="64">SUM(D183:D186)</f>
        <v>0</v>
      </c>
      <c r="E182" s="298">
        <f t="shared" si="64"/>
        <v>0</v>
      </c>
      <c r="F182" s="263">
        <f t="shared" si="64"/>
        <v>0</v>
      </c>
      <c r="G182" s="297">
        <f t="shared" si="64"/>
        <v>0</v>
      </c>
      <c r="H182" s="301">
        <f t="shared" si="64"/>
        <v>0</v>
      </c>
      <c r="I182" s="298">
        <f t="shared" si="64"/>
        <v>0</v>
      </c>
      <c r="J182" s="297">
        <f t="shared" si="64"/>
        <v>0</v>
      </c>
      <c r="K182" s="298">
        <f t="shared" si="64"/>
        <v>0</v>
      </c>
      <c r="L182" s="263">
        <f t="shared" si="64"/>
        <v>0</v>
      </c>
      <c r="M182" s="490">
        <f t="shared" si="64"/>
        <v>0</v>
      </c>
      <c r="N182" s="301">
        <f t="shared" si="64"/>
        <v>0</v>
      </c>
      <c r="O182" s="263">
        <f t="shared" si="64"/>
        <v>0</v>
      </c>
      <c r="P182" s="125"/>
      <c r="R182" s="53"/>
      <c r="S182" s="53"/>
    </row>
    <row r="183" spans="1:19" ht="72" hidden="1" x14ac:dyDescent="0.25">
      <c r="A183" s="76">
        <v>3291</v>
      </c>
      <c r="B183" s="127" t="s">
        <v>199</v>
      </c>
      <c r="C183" s="429">
        <f t="shared" si="63"/>
        <v>0</v>
      </c>
      <c r="D183" s="134"/>
      <c r="E183" s="283"/>
      <c r="F183" s="475">
        <f>D183+E183</f>
        <v>0</v>
      </c>
      <c r="G183" s="134"/>
      <c r="H183" s="285"/>
      <c r="I183" s="283">
        <f>G183+H183</f>
        <v>0</v>
      </c>
      <c r="J183" s="134"/>
      <c r="K183" s="283"/>
      <c r="L183" s="475">
        <f>J183+K183</f>
        <v>0</v>
      </c>
      <c r="M183" s="134"/>
      <c r="N183" s="285"/>
      <c r="O183" s="475">
        <f>N183+M183</f>
        <v>0</v>
      </c>
      <c r="P183" s="443"/>
      <c r="R183" s="53"/>
      <c r="S183" s="53"/>
    </row>
    <row r="184" spans="1:19" ht="84" hidden="1" x14ac:dyDescent="0.25">
      <c r="A184" s="76">
        <v>3292</v>
      </c>
      <c r="B184" s="127" t="s">
        <v>200</v>
      </c>
      <c r="C184" s="429">
        <f t="shared" si="63"/>
        <v>0</v>
      </c>
      <c r="D184" s="134"/>
      <c r="E184" s="283"/>
      <c r="F184" s="475">
        <f>D184+E184</f>
        <v>0</v>
      </c>
      <c r="G184" s="134"/>
      <c r="H184" s="285"/>
      <c r="I184" s="283">
        <f>G184+H184</f>
        <v>0</v>
      </c>
      <c r="J184" s="134"/>
      <c r="K184" s="283"/>
      <c r="L184" s="475">
        <f>J184+K184</f>
        <v>0</v>
      </c>
      <c r="M184" s="134"/>
      <c r="N184" s="285"/>
      <c r="O184" s="475">
        <f>N184+M184</f>
        <v>0</v>
      </c>
      <c r="P184" s="443"/>
      <c r="R184" s="53"/>
      <c r="S184" s="53"/>
    </row>
    <row r="185" spans="1:19" ht="38.25" hidden="1" customHeight="1" x14ac:dyDescent="0.25">
      <c r="A185" s="76">
        <v>3293</v>
      </c>
      <c r="B185" s="127" t="s">
        <v>201</v>
      </c>
      <c r="C185" s="429">
        <f t="shared" si="63"/>
        <v>0</v>
      </c>
      <c r="D185" s="134"/>
      <c r="E185" s="283"/>
      <c r="F185" s="475">
        <f>D185+E185</f>
        <v>0</v>
      </c>
      <c r="G185" s="134"/>
      <c r="H185" s="285"/>
      <c r="I185" s="283">
        <f>G185+H185</f>
        <v>0</v>
      </c>
      <c r="J185" s="134"/>
      <c r="K185" s="283"/>
      <c r="L185" s="475">
        <f>J185+K185</f>
        <v>0</v>
      </c>
      <c r="M185" s="134"/>
      <c r="N185" s="285"/>
      <c r="O185" s="475">
        <f>N185+M185</f>
        <v>0</v>
      </c>
      <c r="P185" s="443"/>
      <c r="R185" s="53"/>
      <c r="S185" s="53"/>
    </row>
    <row r="186" spans="1:19" ht="60" hidden="1" x14ac:dyDescent="0.25">
      <c r="A186" s="326">
        <v>3294</v>
      </c>
      <c r="B186" s="127" t="s">
        <v>202</v>
      </c>
      <c r="C186" s="713">
        <f t="shared" si="63"/>
        <v>0</v>
      </c>
      <c r="D186" s="328"/>
      <c r="E186" s="683"/>
      <c r="F186" s="492">
        <f>D186+E186</f>
        <v>0</v>
      </c>
      <c r="G186" s="328"/>
      <c r="H186" s="329"/>
      <c r="I186" s="683">
        <f>G186+H186</f>
        <v>0</v>
      </c>
      <c r="J186" s="328"/>
      <c r="K186" s="683"/>
      <c r="L186" s="492">
        <f>J186+K186</f>
        <v>0</v>
      </c>
      <c r="M186" s="328"/>
      <c r="N186" s="329"/>
      <c r="O186" s="492">
        <f>N186+M186</f>
        <v>0</v>
      </c>
      <c r="P186" s="491"/>
      <c r="R186" s="53"/>
      <c r="S186" s="53"/>
    </row>
    <row r="187" spans="1:19" ht="48" hidden="1" x14ac:dyDescent="0.25">
      <c r="A187" s="160">
        <v>3300</v>
      </c>
      <c r="B187" s="321" t="s">
        <v>203</v>
      </c>
      <c r="C187" s="163">
        <f t="shared" si="63"/>
        <v>0</v>
      </c>
      <c r="D187" s="334">
        <f t="shared" ref="D187:O187" si="65">SUM(D188:D189)</f>
        <v>0</v>
      </c>
      <c r="E187" s="684">
        <f t="shared" si="65"/>
        <v>0</v>
      </c>
      <c r="F187" s="335">
        <f t="shared" si="65"/>
        <v>0</v>
      </c>
      <c r="G187" s="334">
        <f t="shared" si="65"/>
        <v>0</v>
      </c>
      <c r="H187" s="251">
        <f t="shared" si="65"/>
        <v>0</v>
      </c>
      <c r="I187" s="684">
        <f t="shared" si="65"/>
        <v>0</v>
      </c>
      <c r="J187" s="334">
        <f t="shared" si="65"/>
        <v>0</v>
      </c>
      <c r="K187" s="684">
        <f t="shared" si="65"/>
        <v>0</v>
      </c>
      <c r="L187" s="335">
        <f t="shared" si="65"/>
        <v>0</v>
      </c>
      <c r="M187" s="334">
        <f t="shared" si="65"/>
        <v>0</v>
      </c>
      <c r="N187" s="251">
        <f t="shared" si="65"/>
        <v>0</v>
      </c>
      <c r="O187" s="335">
        <f t="shared" si="65"/>
        <v>0</v>
      </c>
      <c r="P187" s="252"/>
      <c r="R187" s="53"/>
      <c r="S187" s="53"/>
    </row>
    <row r="188" spans="1:19" ht="48" hidden="1" x14ac:dyDescent="0.25">
      <c r="A188" s="178">
        <v>3310</v>
      </c>
      <c r="B188" s="179" t="s">
        <v>204</v>
      </c>
      <c r="C188" s="454">
        <f t="shared" si="63"/>
        <v>0</v>
      </c>
      <c r="D188" s="287"/>
      <c r="E188" s="288"/>
      <c r="F188" s="478">
        <f>D188+E188</f>
        <v>0</v>
      </c>
      <c r="G188" s="287"/>
      <c r="H188" s="291"/>
      <c r="I188" s="288">
        <f>G188+H188</f>
        <v>0</v>
      </c>
      <c r="J188" s="287"/>
      <c r="K188" s="288"/>
      <c r="L188" s="478">
        <f>J188+K188</f>
        <v>0</v>
      </c>
      <c r="M188" s="287"/>
      <c r="N188" s="291"/>
      <c r="O188" s="478">
        <f>N188+M188</f>
        <v>0</v>
      </c>
      <c r="P188" s="476"/>
      <c r="R188" s="53"/>
      <c r="S188" s="53"/>
    </row>
    <row r="189" spans="1:19" ht="60" hidden="1" x14ac:dyDescent="0.25">
      <c r="A189" s="66">
        <v>3320</v>
      </c>
      <c r="B189" s="116" t="s">
        <v>205</v>
      </c>
      <c r="C189" s="70">
        <f t="shared" si="63"/>
        <v>0</v>
      </c>
      <c r="D189" s="123"/>
      <c r="E189" s="295"/>
      <c r="F189" s="473">
        <f>D189+E189</f>
        <v>0</v>
      </c>
      <c r="G189" s="123"/>
      <c r="H189" s="262"/>
      <c r="I189" s="295">
        <f>G189+H189</f>
        <v>0</v>
      </c>
      <c r="J189" s="123"/>
      <c r="K189" s="295"/>
      <c r="L189" s="473">
        <f>J189+K189</f>
        <v>0</v>
      </c>
      <c r="M189" s="123"/>
      <c r="N189" s="262"/>
      <c r="O189" s="473">
        <f>N189+M189</f>
        <v>0</v>
      </c>
      <c r="P189" s="442"/>
      <c r="R189" s="53"/>
      <c r="S189" s="53"/>
    </row>
    <row r="190" spans="1:19" hidden="1" x14ac:dyDescent="0.25">
      <c r="A190" s="337">
        <v>4000</v>
      </c>
      <c r="B190" s="237" t="s">
        <v>206</v>
      </c>
      <c r="C190" s="709">
        <f t="shared" si="63"/>
        <v>0</v>
      </c>
      <c r="D190" s="466">
        <f t="shared" ref="D190:O190" si="66">SUM(D191,D194)</f>
        <v>0</v>
      </c>
      <c r="E190" s="471">
        <f t="shared" si="66"/>
        <v>0</v>
      </c>
      <c r="F190" s="465">
        <f t="shared" si="66"/>
        <v>0</v>
      </c>
      <c r="G190" s="466">
        <f t="shared" si="66"/>
        <v>0</v>
      </c>
      <c r="H190" s="467">
        <f t="shared" si="66"/>
        <v>0</v>
      </c>
      <c r="I190" s="471">
        <f t="shared" si="66"/>
        <v>0</v>
      </c>
      <c r="J190" s="466">
        <f t="shared" si="66"/>
        <v>0</v>
      </c>
      <c r="K190" s="471">
        <f t="shared" si="66"/>
        <v>0</v>
      </c>
      <c r="L190" s="465">
        <f t="shared" si="66"/>
        <v>0</v>
      </c>
      <c r="M190" s="239">
        <f t="shared" si="66"/>
        <v>0</v>
      </c>
      <c r="N190" s="245">
        <f t="shared" si="66"/>
        <v>0</v>
      </c>
      <c r="O190" s="320">
        <f t="shared" si="66"/>
        <v>0</v>
      </c>
      <c r="P190" s="243"/>
      <c r="R190" s="53"/>
      <c r="S190" s="53"/>
    </row>
    <row r="191" spans="1:19" ht="24" hidden="1" x14ac:dyDescent="0.25">
      <c r="A191" s="338">
        <v>4200</v>
      </c>
      <c r="B191" s="247" t="s">
        <v>207</v>
      </c>
      <c r="C191" s="103">
        <f t="shared" si="63"/>
        <v>0</v>
      </c>
      <c r="D191" s="112">
        <f t="shared" ref="D191:O191" si="67">SUM(D192,D193)</f>
        <v>0</v>
      </c>
      <c r="E191" s="248">
        <f t="shared" si="67"/>
        <v>0</v>
      </c>
      <c r="F191" s="313">
        <f t="shared" si="67"/>
        <v>0</v>
      </c>
      <c r="G191" s="112">
        <f t="shared" si="67"/>
        <v>0</v>
      </c>
      <c r="H191" s="293">
        <f t="shared" si="67"/>
        <v>0</v>
      </c>
      <c r="I191" s="248">
        <f t="shared" si="67"/>
        <v>0</v>
      </c>
      <c r="J191" s="112">
        <f t="shared" si="67"/>
        <v>0</v>
      </c>
      <c r="K191" s="248">
        <f t="shared" si="67"/>
        <v>0</v>
      </c>
      <c r="L191" s="313">
        <f t="shared" si="67"/>
        <v>0</v>
      </c>
      <c r="M191" s="112">
        <f t="shared" si="67"/>
        <v>0</v>
      </c>
      <c r="N191" s="293">
        <f t="shared" si="67"/>
        <v>0</v>
      </c>
      <c r="O191" s="313">
        <f t="shared" si="67"/>
        <v>0</v>
      </c>
      <c r="P191" s="114"/>
      <c r="R191" s="53"/>
      <c r="S191" s="53"/>
    </row>
    <row r="192" spans="1:19" ht="36" hidden="1" x14ac:dyDescent="0.25">
      <c r="A192" s="656">
        <v>4240</v>
      </c>
      <c r="B192" s="116" t="s">
        <v>208</v>
      </c>
      <c r="C192" s="70">
        <f t="shared" si="63"/>
        <v>0</v>
      </c>
      <c r="D192" s="123"/>
      <c r="E192" s="295"/>
      <c r="F192" s="473"/>
      <c r="G192" s="123"/>
      <c r="H192" s="262"/>
      <c r="I192" s="295">
        <f>G192+H192</f>
        <v>0</v>
      </c>
      <c r="J192" s="123"/>
      <c r="K192" s="295"/>
      <c r="L192" s="473">
        <f>J192+K192</f>
        <v>0</v>
      </c>
      <c r="M192" s="123"/>
      <c r="N192" s="262"/>
      <c r="O192" s="473">
        <f>N192+M192</f>
        <v>0</v>
      </c>
      <c r="P192" s="442"/>
      <c r="R192" s="53"/>
      <c r="S192" s="53"/>
    </row>
    <row r="193" spans="1:19" ht="24" hidden="1" x14ac:dyDescent="0.25">
      <c r="A193" s="276">
        <v>4250</v>
      </c>
      <c r="B193" s="127" t="s">
        <v>209</v>
      </c>
      <c r="C193" s="429">
        <f t="shared" si="63"/>
        <v>0</v>
      </c>
      <c r="D193" s="134"/>
      <c r="E193" s="283"/>
      <c r="F193" s="475"/>
      <c r="G193" s="134"/>
      <c r="H193" s="285"/>
      <c r="I193" s="283">
        <f>G193+H193</f>
        <v>0</v>
      </c>
      <c r="J193" s="134"/>
      <c r="K193" s="283"/>
      <c r="L193" s="475">
        <f>J193+K193</f>
        <v>0</v>
      </c>
      <c r="M193" s="134"/>
      <c r="N193" s="285"/>
      <c r="O193" s="475">
        <f>N193+M193</f>
        <v>0</v>
      </c>
      <c r="P193" s="443"/>
      <c r="R193" s="53"/>
      <c r="S193" s="53"/>
    </row>
    <row r="194" spans="1:19" hidden="1" x14ac:dyDescent="0.25">
      <c r="A194" s="99">
        <v>4300</v>
      </c>
      <c r="B194" s="247" t="s">
        <v>210</v>
      </c>
      <c r="C194" s="103">
        <f t="shared" si="63"/>
        <v>0</v>
      </c>
      <c r="D194" s="112">
        <f t="shared" ref="D194:O194" si="68">SUM(D195)</f>
        <v>0</v>
      </c>
      <c r="E194" s="248">
        <f t="shared" si="68"/>
        <v>0</v>
      </c>
      <c r="F194" s="313">
        <f t="shared" si="68"/>
        <v>0</v>
      </c>
      <c r="G194" s="112">
        <f t="shared" si="68"/>
        <v>0</v>
      </c>
      <c r="H194" s="293">
        <f t="shared" si="68"/>
        <v>0</v>
      </c>
      <c r="I194" s="248">
        <f t="shared" si="68"/>
        <v>0</v>
      </c>
      <c r="J194" s="112">
        <f t="shared" si="68"/>
        <v>0</v>
      </c>
      <c r="K194" s="248">
        <f t="shared" si="68"/>
        <v>0</v>
      </c>
      <c r="L194" s="313">
        <f t="shared" si="68"/>
        <v>0</v>
      </c>
      <c r="M194" s="112">
        <f t="shared" si="68"/>
        <v>0</v>
      </c>
      <c r="N194" s="293">
        <f t="shared" si="68"/>
        <v>0</v>
      </c>
      <c r="O194" s="313">
        <f t="shared" si="68"/>
        <v>0</v>
      </c>
      <c r="P194" s="114"/>
      <c r="R194" s="53"/>
      <c r="S194" s="53"/>
    </row>
    <row r="195" spans="1:19" ht="24" hidden="1" x14ac:dyDescent="0.25">
      <c r="A195" s="656">
        <v>4310</v>
      </c>
      <c r="B195" s="116" t="s">
        <v>211</v>
      </c>
      <c r="C195" s="70">
        <f t="shared" si="63"/>
        <v>0</v>
      </c>
      <c r="D195" s="297">
        <f t="shared" ref="D195:O195" si="69">SUM(D196:D196)</f>
        <v>0</v>
      </c>
      <c r="E195" s="298">
        <f t="shared" si="69"/>
        <v>0</v>
      </c>
      <c r="F195" s="263">
        <f t="shared" si="69"/>
        <v>0</v>
      </c>
      <c r="G195" s="297">
        <f t="shared" si="69"/>
        <v>0</v>
      </c>
      <c r="H195" s="301">
        <f t="shared" si="69"/>
        <v>0</v>
      </c>
      <c r="I195" s="298">
        <f t="shared" si="69"/>
        <v>0</v>
      </c>
      <c r="J195" s="297">
        <f t="shared" si="69"/>
        <v>0</v>
      </c>
      <c r="K195" s="298">
        <f t="shared" si="69"/>
        <v>0</v>
      </c>
      <c r="L195" s="263">
        <f t="shared" si="69"/>
        <v>0</v>
      </c>
      <c r="M195" s="297">
        <f t="shared" si="69"/>
        <v>0</v>
      </c>
      <c r="N195" s="301">
        <f t="shared" si="69"/>
        <v>0</v>
      </c>
      <c r="O195" s="263">
        <f t="shared" si="69"/>
        <v>0</v>
      </c>
      <c r="P195" s="125"/>
      <c r="R195" s="53"/>
      <c r="S195" s="53"/>
    </row>
    <row r="196" spans="1:19" ht="36" hidden="1" x14ac:dyDescent="0.25">
      <c r="A196" s="76">
        <v>4311</v>
      </c>
      <c r="B196" s="127" t="s">
        <v>212</v>
      </c>
      <c r="C196" s="429">
        <f t="shared" si="63"/>
        <v>0</v>
      </c>
      <c r="D196" s="134"/>
      <c r="E196" s="283"/>
      <c r="F196" s="475"/>
      <c r="G196" s="134"/>
      <c r="H196" s="285"/>
      <c r="I196" s="283">
        <f>G196+H196</f>
        <v>0</v>
      </c>
      <c r="J196" s="134"/>
      <c r="K196" s="283"/>
      <c r="L196" s="475">
        <f>J196+K196</f>
        <v>0</v>
      </c>
      <c r="M196" s="134"/>
      <c r="N196" s="285"/>
      <c r="O196" s="475">
        <f>N196+M196</f>
        <v>0</v>
      </c>
      <c r="P196" s="443"/>
      <c r="R196" s="53"/>
      <c r="S196" s="53"/>
    </row>
    <row r="197" spans="1:19" s="41" customFormat="1" ht="24" x14ac:dyDescent="0.25">
      <c r="A197" s="339"/>
      <c r="B197" s="31" t="s">
        <v>213</v>
      </c>
      <c r="C197" s="707">
        <f t="shared" si="63"/>
        <v>19888</v>
      </c>
      <c r="D197" s="230">
        <f t="shared" ref="D197:O197" si="70">SUM(D198,D233,D271)</f>
        <v>19888</v>
      </c>
      <c r="E197" s="231">
        <f t="shared" si="70"/>
        <v>0</v>
      </c>
      <c r="F197" s="459">
        <f t="shared" si="70"/>
        <v>19888</v>
      </c>
      <c r="G197" s="230">
        <f t="shared" si="70"/>
        <v>0</v>
      </c>
      <c r="H197" s="235">
        <f t="shared" si="70"/>
        <v>0</v>
      </c>
      <c r="I197" s="231">
        <f t="shared" si="70"/>
        <v>0</v>
      </c>
      <c r="J197" s="230">
        <f t="shared" si="70"/>
        <v>0</v>
      </c>
      <c r="K197" s="231">
        <f t="shared" si="70"/>
        <v>0</v>
      </c>
      <c r="L197" s="459">
        <f t="shared" si="70"/>
        <v>0</v>
      </c>
      <c r="M197" s="493">
        <f t="shared" si="70"/>
        <v>0</v>
      </c>
      <c r="N197" s="235">
        <f t="shared" si="70"/>
        <v>0</v>
      </c>
      <c r="O197" s="459">
        <f t="shared" si="70"/>
        <v>0</v>
      </c>
      <c r="P197" s="234"/>
      <c r="R197" s="53"/>
      <c r="S197" s="53"/>
    </row>
    <row r="198" spans="1:19" x14ac:dyDescent="0.25">
      <c r="A198" s="237">
        <v>5000</v>
      </c>
      <c r="B198" s="237" t="s">
        <v>214</v>
      </c>
      <c r="C198" s="709">
        <f t="shared" si="63"/>
        <v>19888</v>
      </c>
      <c r="D198" s="466">
        <f t="shared" ref="D198:O198" si="71">D199+D207</f>
        <v>19888</v>
      </c>
      <c r="E198" s="471">
        <f t="shared" si="71"/>
        <v>0</v>
      </c>
      <c r="F198" s="465">
        <f t="shared" si="71"/>
        <v>19888</v>
      </c>
      <c r="G198" s="466">
        <f t="shared" si="71"/>
        <v>0</v>
      </c>
      <c r="H198" s="467">
        <f t="shared" si="71"/>
        <v>0</v>
      </c>
      <c r="I198" s="471">
        <f t="shared" si="71"/>
        <v>0</v>
      </c>
      <c r="J198" s="466">
        <f t="shared" si="71"/>
        <v>0</v>
      </c>
      <c r="K198" s="471">
        <f t="shared" si="71"/>
        <v>0</v>
      </c>
      <c r="L198" s="465">
        <f t="shared" si="71"/>
        <v>0</v>
      </c>
      <c r="M198" s="239">
        <f t="shared" si="71"/>
        <v>0</v>
      </c>
      <c r="N198" s="245">
        <f t="shared" si="71"/>
        <v>0</v>
      </c>
      <c r="O198" s="320">
        <f t="shared" si="71"/>
        <v>0</v>
      </c>
      <c r="P198" s="243"/>
      <c r="R198" s="53"/>
      <c r="S198" s="53"/>
    </row>
    <row r="199" spans="1:19" hidden="1" x14ac:dyDescent="0.25">
      <c r="A199" s="99">
        <v>5100</v>
      </c>
      <c r="B199" s="247" t="s">
        <v>215</v>
      </c>
      <c r="C199" s="103">
        <f t="shared" si="63"/>
        <v>0</v>
      </c>
      <c r="D199" s="112">
        <f t="shared" ref="D199:O199" si="72">D200+D201+D204+D205+D206</f>
        <v>0</v>
      </c>
      <c r="E199" s="248">
        <f t="shared" si="72"/>
        <v>0</v>
      </c>
      <c r="F199" s="313">
        <f t="shared" si="72"/>
        <v>0</v>
      </c>
      <c r="G199" s="112">
        <f t="shared" si="72"/>
        <v>0</v>
      </c>
      <c r="H199" s="293">
        <f t="shared" si="72"/>
        <v>0</v>
      </c>
      <c r="I199" s="248">
        <f t="shared" si="72"/>
        <v>0</v>
      </c>
      <c r="J199" s="112">
        <f t="shared" si="72"/>
        <v>0</v>
      </c>
      <c r="K199" s="248">
        <f t="shared" si="72"/>
        <v>0</v>
      </c>
      <c r="L199" s="313">
        <f t="shared" si="72"/>
        <v>0</v>
      </c>
      <c r="M199" s="112">
        <f t="shared" si="72"/>
        <v>0</v>
      </c>
      <c r="N199" s="293">
        <f t="shared" si="72"/>
        <v>0</v>
      </c>
      <c r="O199" s="313">
        <f t="shared" si="72"/>
        <v>0</v>
      </c>
      <c r="P199" s="114"/>
      <c r="R199" s="53"/>
      <c r="S199" s="53"/>
    </row>
    <row r="200" spans="1:19" hidden="1" x14ac:dyDescent="0.25">
      <c r="A200" s="656">
        <v>5110</v>
      </c>
      <c r="B200" s="116" t="s">
        <v>216</v>
      </c>
      <c r="C200" s="70">
        <f t="shared" si="63"/>
        <v>0</v>
      </c>
      <c r="D200" s="123"/>
      <c r="E200" s="295"/>
      <c r="F200" s="473">
        <f>D200+E200</f>
        <v>0</v>
      </c>
      <c r="G200" s="123"/>
      <c r="H200" s="262"/>
      <c r="I200" s="295">
        <f>G200+H200</f>
        <v>0</v>
      </c>
      <c r="J200" s="123"/>
      <c r="K200" s="295"/>
      <c r="L200" s="473">
        <f>J200+K200</f>
        <v>0</v>
      </c>
      <c r="M200" s="123"/>
      <c r="N200" s="262"/>
      <c r="O200" s="473">
        <f>N200+M200</f>
        <v>0</v>
      </c>
      <c r="P200" s="442"/>
      <c r="R200" s="53"/>
      <c r="S200" s="53"/>
    </row>
    <row r="201" spans="1:19" ht="24" hidden="1" x14ac:dyDescent="0.25">
      <c r="A201" s="276">
        <v>5120</v>
      </c>
      <c r="B201" s="127" t="s">
        <v>217</v>
      </c>
      <c r="C201" s="429">
        <f t="shared" si="63"/>
        <v>0</v>
      </c>
      <c r="D201" s="277">
        <f t="shared" ref="D201:O201" si="73">D202+D203</f>
        <v>0</v>
      </c>
      <c r="E201" s="278">
        <f t="shared" si="73"/>
        <v>0</v>
      </c>
      <c r="F201" s="286">
        <f t="shared" si="73"/>
        <v>0</v>
      </c>
      <c r="G201" s="277">
        <f t="shared" si="73"/>
        <v>0</v>
      </c>
      <c r="H201" s="282">
        <f t="shared" si="73"/>
        <v>0</v>
      </c>
      <c r="I201" s="278">
        <f t="shared" si="73"/>
        <v>0</v>
      </c>
      <c r="J201" s="277">
        <f t="shared" si="73"/>
        <v>0</v>
      </c>
      <c r="K201" s="278">
        <f t="shared" si="73"/>
        <v>0</v>
      </c>
      <c r="L201" s="286">
        <f t="shared" si="73"/>
        <v>0</v>
      </c>
      <c r="M201" s="277">
        <f t="shared" si="73"/>
        <v>0</v>
      </c>
      <c r="N201" s="282">
        <f t="shared" si="73"/>
        <v>0</v>
      </c>
      <c r="O201" s="286">
        <f t="shared" si="73"/>
        <v>0</v>
      </c>
      <c r="P201" s="136"/>
      <c r="R201" s="53"/>
      <c r="S201" s="53"/>
    </row>
    <row r="202" spans="1:19" hidden="1" x14ac:dyDescent="0.25">
      <c r="A202" s="76">
        <v>5121</v>
      </c>
      <c r="B202" s="127" t="s">
        <v>218</v>
      </c>
      <c r="C202" s="429">
        <f t="shared" si="63"/>
        <v>0</v>
      </c>
      <c r="D202" s="134"/>
      <c r="E202" s="283"/>
      <c r="F202" s="475">
        <f>D202+E202</f>
        <v>0</v>
      </c>
      <c r="G202" s="134"/>
      <c r="H202" s="285"/>
      <c r="I202" s="283">
        <f>G202+H202</f>
        <v>0</v>
      </c>
      <c r="J202" s="134"/>
      <c r="K202" s="283"/>
      <c r="L202" s="475">
        <f>J202+K202</f>
        <v>0</v>
      </c>
      <c r="M202" s="134"/>
      <c r="N202" s="285"/>
      <c r="O202" s="475">
        <f>N202+M202</f>
        <v>0</v>
      </c>
      <c r="P202" s="443"/>
      <c r="R202" s="53"/>
      <c r="S202" s="53"/>
    </row>
    <row r="203" spans="1:19" ht="36" hidden="1" x14ac:dyDescent="0.25">
      <c r="A203" s="76">
        <v>5129</v>
      </c>
      <c r="B203" s="127" t="s">
        <v>219</v>
      </c>
      <c r="C203" s="429">
        <f t="shared" si="63"/>
        <v>0</v>
      </c>
      <c r="D203" s="134"/>
      <c r="E203" s="283"/>
      <c r="F203" s="475">
        <f>D203+E203</f>
        <v>0</v>
      </c>
      <c r="G203" s="134"/>
      <c r="H203" s="285"/>
      <c r="I203" s="283">
        <f>G203+H203</f>
        <v>0</v>
      </c>
      <c r="J203" s="134"/>
      <c r="K203" s="283"/>
      <c r="L203" s="475">
        <f>J203+K203</f>
        <v>0</v>
      </c>
      <c r="M203" s="134"/>
      <c r="N203" s="285"/>
      <c r="O203" s="475">
        <f>N203+M203</f>
        <v>0</v>
      </c>
      <c r="P203" s="443"/>
      <c r="R203" s="53"/>
      <c r="S203" s="53"/>
    </row>
    <row r="204" spans="1:19" hidden="1" x14ac:dyDescent="0.25">
      <c r="A204" s="276">
        <v>5130</v>
      </c>
      <c r="B204" s="127" t="s">
        <v>220</v>
      </c>
      <c r="C204" s="429">
        <f t="shared" si="63"/>
        <v>0</v>
      </c>
      <c r="D204" s="134"/>
      <c r="E204" s="283"/>
      <c r="F204" s="475">
        <f>D204+E204</f>
        <v>0</v>
      </c>
      <c r="G204" s="134"/>
      <c r="H204" s="285"/>
      <c r="I204" s="283">
        <f>G204+H204</f>
        <v>0</v>
      </c>
      <c r="J204" s="134"/>
      <c r="K204" s="283"/>
      <c r="L204" s="475">
        <f>J204+K204</f>
        <v>0</v>
      </c>
      <c r="M204" s="134"/>
      <c r="N204" s="285"/>
      <c r="O204" s="475">
        <f>N204+M204</f>
        <v>0</v>
      </c>
      <c r="P204" s="443"/>
      <c r="R204" s="53"/>
      <c r="S204" s="53"/>
    </row>
    <row r="205" spans="1:19" hidden="1" x14ac:dyDescent="0.25">
      <c r="A205" s="276">
        <v>5140</v>
      </c>
      <c r="B205" s="127" t="s">
        <v>221</v>
      </c>
      <c r="C205" s="429">
        <f t="shared" si="63"/>
        <v>0</v>
      </c>
      <c r="D205" s="134"/>
      <c r="E205" s="283"/>
      <c r="F205" s="475">
        <f>D205+E205</f>
        <v>0</v>
      </c>
      <c r="G205" s="134"/>
      <c r="H205" s="285"/>
      <c r="I205" s="283">
        <f>G205+H205</f>
        <v>0</v>
      </c>
      <c r="J205" s="134"/>
      <c r="K205" s="283"/>
      <c r="L205" s="475">
        <f>J205+K205</f>
        <v>0</v>
      </c>
      <c r="M205" s="134"/>
      <c r="N205" s="285"/>
      <c r="O205" s="475">
        <f>N205+M205</f>
        <v>0</v>
      </c>
      <c r="P205" s="443"/>
      <c r="R205" s="53"/>
      <c r="S205" s="53"/>
    </row>
    <row r="206" spans="1:19" ht="24" hidden="1" x14ac:dyDescent="0.25">
      <c r="A206" s="276">
        <v>5170</v>
      </c>
      <c r="B206" s="127" t="s">
        <v>222</v>
      </c>
      <c r="C206" s="429">
        <f t="shared" si="63"/>
        <v>0</v>
      </c>
      <c r="D206" s="134"/>
      <c r="E206" s="283"/>
      <c r="F206" s="475">
        <f>D206+E206</f>
        <v>0</v>
      </c>
      <c r="G206" s="134"/>
      <c r="H206" s="285"/>
      <c r="I206" s="283">
        <f>G206+H206</f>
        <v>0</v>
      </c>
      <c r="J206" s="134"/>
      <c r="K206" s="283"/>
      <c r="L206" s="475">
        <f>J206+K206</f>
        <v>0</v>
      </c>
      <c r="M206" s="134"/>
      <c r="N206" s="285"/>
      <c r="O206" s="475">
        <f>N206+M206</f>
        <v>0</v>
      </c>
      <c r="P206" s="443"/>
      <c r="R206" s="53"/>
      <c r="S206" s="53"/>
    </row>
    <row r="207" spans="1:19" x14ac:dyDescent="0.25">
      <c r="A207" s="99">
        <v>5200</v>
      </c>
      <c r="B207" s="247" t="s">
        <v>223</v>
      </c>
      <c r="C207" s="103">
        <f t="shared" si="63"/>
        <v>19888</v>
      </c>
      <c r="D207" s="112">
        <f t="shared" ref="D207:O207" si="74">D208+D218+D219+D228+D229+D230+D232</f>
        <v>19888</v>
      </c>
      <c r="E207" s="248">
        <f t="shared" si="74"/>
        <v>0</v>
      </c>
      <c r="F207" s="313">
        <f t="shared" si="74"/>
        <v>19888</v>
      </c>
      <c r="G207" s="112">
        <f t="shared" si="74"/>
        <v>0</v>
      </c>
      <c r="H207" s="293">
        <f t="shared" si="74"/>
        <v>0</v>
      </c>
      <c r="I207" s="248">
        <f t="shared" si="74"/>
        <v>0</v>
      </c>
      <c r="J207" s="112">
        <f t="shared" si="74"/>
        <v>0</v>
      </c>
      <c r="K207" s="248">
        <f t="shared" si="74"/>
        <v>0</v>
      </c>
      <c r="L207" s="313">
        <f t="shared" si="74"/>
        <v>0</v>
      </c>
      <c r="M207" s="112">
        <f t="shared" si="74"/>
        <v>0</v>
      </c>
      <c r="N207" s="293">
        <f t="shared" si="74"/>
        <v>0</v>
      </c>
      <c r="O207" s="313">
        <f t="shared" si="74"/>
        <v>0</v>
      </c>
      <c r="P207" s="114"/>
      <c r="R207" s="53"/>
      <c r="S207" s="53"/>
    </row>
    <row r="208" spans="1:19" hidden="1" x14ac:dyDescent="0.25">
      <c r="A208" s="254">
        <v>5210</v>
      </c>
      <c r="B208" s="179" t="s">
        <v>224</v>
      </c>
      <c r="C208" s="454">
        <f t="shared" si="63"/>
        <v>0</v>
      </c>
      <c r="D208" s="255">
        <f t="shared" ref="D208:O208" si="75">SUM(D209:D217)</f>
        <v>0</v>
      </c>
      <c r="E208" s="256">
        <f t="shared" si="75"/>
        <v>0</v>
      </c>
      <c r="F208" s="310">
        <f t="shared" si="75"/>
        <v>0</v>
      </c>
      <c r="G208" s="255">
        <f t="shared" si="75"/>
        <v>0</v>
      </c>
      <c r="H208" s="261">
        <f t="shared" si="75"/>
        <v>0</v>
      </c>
      <c r="I208" s="256">
        <f t="shared" si="75"/>
        <v>0</v>
      </c>
      <c r="J208" s="255">
        <f t="shared" si="75"/>
        <v>0</v>
      </c>
      <c r="K208" s="256">
        <f t="shared" si="75"/>
        <v>0</v>
      </c>
      <c r="L208" s="310">
        <f t="shared" si="75"/>
        <v>0</v>
      </c>
      <c r="M208" s="255">
        <f t="shared" si="75"/>
        <v>0</v>
      </c>
      <c r="N208" s="261">
        <f t="shared" si="75"/>
        <v>0</v>
      </c>
      <c r="O208" s="310">
        <f t="shared" si="75"/>
        <v>0</v>
      </c>
      <c r="P208" s="259"/>
      <c r="R208" s="53"/>
      <c r="S208" s="53"/>
    </row>
    <row r="209" spans="1:19" hidden="1" x14ac:dyDescent="0.25">
      <c r="A209" s="66">
        <v>5211</v>
      </c>
      <c r="B209" s="116" t="s">
        <v>225</v>
      </c>
      <c r="C209" s="70">
        <f t="shared" si="63"/>
        <v>0</v>
      </c>
      <c r="D209" s="123"/>
      <c r="E209" s="295"/>
      <c r="F209" s="473">
        <f t="shared" ref="F209:F218" si="76">D209+E209</f>
        <v>0</v>
      </c>
      <c r="G209" s="123"/>
      <c r="H209" s="262"/>
      <c r="I209" s="295">
        <f t="shared" ref="I209:I218" si="77">G209+H209</f>
        <v>0</v>
      </c>
      <c r="J209" s="123"/>
      <c r="K209" s="295"/>
      <c r="L209" s="473">
        <f t="shared" ref="L209:L218" si="78">J209+K209</f>
        <v>0</v>
      </c>
      <c r="M209" s="123"/>
      <c r="N209" s="262"/>
      <c r="O209" s="473">
        <f t="shared" ref="O209:O218" si="79">N209+M209</f>
        <v>0</v>
      </c>
      <c r="P209" s="442"/>
      <c r="R209" s="53"/>
      <c r="S209" s="53"/>
    </row>
    <row r="210" spans="1:19" hidden="1" x14ac:dyDescent="0.25">
      <c r="A210" s="76">
        <v>5212</v>
      </c>
      <c r="B210" s="127" t="s">
        <v>226</v>
      </c>
      <c r="C210" s="429">
        <f t="shared" si="63"/>
        <v>0</v>
      </c>
      <c r="D210" s="134"/>
      <c r="E210" s="283"/>
      <c r="F210" s="475">
        <f t="shared" si="76"/>
        <v>0</v>
      </c>
      <c r="G210" s="134"/>
      <c r="H210" s="285"/>
      <c r="I210" s="283">
        <f t="shared" si="77"/>
        <v>0</v>
      </c>
      <c r="J210" s="134"/>
      <c r="K210" s="283"/>
      <c r="L210" s="475">
        <f t="shared" si="78"/>
        <v>0</v>
      </c>
      <c r="M210" s="134"/>
      <c r="N210" s="285"/>
      <c r="O210" s="475">
        <f t="shared" si="79"/>
        <v>0</v>
      </c>
      <c r="P210" s="443"/>
      <c r="R210" s="53"/>
      <c r="S210" s="53"/>
    </row>
    <row r="211" spans="1:19" hidden="1" x14ac:dyDescent="0.25">
      <c r="A211" s="76">
        <v>5213</v>
      </c>
      <c r="B211" s="127" t="s">
        <v>227</v>
      </c>
      <c r="C211" s="429">
        <f t="shared" si="63"/>
        <v>0</v>
      </c>
      <c r="D211" s="134"/>
      <c r="E211" s="283"/>
      <c r="F211" s="475">
        <f t="shared" si="76"/>
        <v>0</v>
      </c>
      <c r="G211" s="134"/>
      <c r="H211" s="285"/>
      <c r="I211" s="283">
        <f t="shared" si="77"/>
        <v>0</v>
      </c>
      <c r="J211" s="134"/>
      <c r="K211" s="283"/>
      <c r="L211" s="475">
        <f t="shared" si="78"/>
        <v>0</v>
      </c>
      <c r="M211" s="134"/>
      <c r="N211" s="285"/>
      <c r="O211" s="475">
        <f t="shared" si="79"/>
        <v>0</v>
      </c>
      <c r="P211" s="443"/>
      <c r="R211" s="53"/>
      <c r="S211" s="53"/>
    </row>
    <row r="212" spans="1:19" hidden="1" x14ac:dyDescent="0.25">
      <c r="A212" s="76">
        <v>5214</v>
      </c>
      <c r="B212" s="127" t="s">
        <v>228</v>
      </c>
      <c r="C212" s="429">
        <f t="shared" si="63"/>
        <v>0</v>
      </c>
      <c r="D212" s="134"/>
      <c r="E212" s="283"/>
      <c r="F212" s="475">
        <f t="shared" si="76"/>
        <v>0</v>
      </c>
      <c r="G212" s="134"/>
      <c r="H212" s="285"/>
      <c r="I212" s="283">
        <f t="shared" si="77"/>
        <v>0</v>
      </c>
      <c r="J212" s="134"/>
      <c r="K212" s="283"/>
      <c r="L212" s="475">
        <f t="shared" si="78"/>
        <v>0</v>
      </c>
      <c r="M212" s="134"/>
      <c r="N212" s="285"/>
      <c r="O212" s="475">
        <f t="shared" si="79"/>
        <v>0</v>
      </c>
      <c r="P212" s="443"/>
      <c r="R212" s="53"/>
      <c r="S212" s="53"/>
    </row>
    <row r="213" spans="1:19" hidden="1" x14ac:dyDescent="0.25">
      <c r="A213" s="76">
        <v>5215</v>
      </c>
      <c r="B213" s="127" t="s">
        <v>229</v>
      </c>
      <c r="C213" s="429">
        <f t="shared" si="63"/>
        <v>0</v>
      </c>
      <c r="D213" s="134"/>
      <c r="E213" s="283"/>
      <c r="F213" s="475">
        <f t="shared" si="76"/>
        <v>0</v>
      </c>
      <c r="G213" s="134"/>
      <c r="H213" s="285"/>
      <c r="I213" s="283">
        <f t="shared" si="77"/>
        <v>0</v>
      </c>
      <c r="J213" s="134"/>
      <c r="K213" s="283"/>
      <c r="L213" s="475">
        <f t="shared" si="78"/>
        <v>0</v>
      </c>
      <c r="M213" s="134"/>
      <c r="N213" s="285"/>
      <c r="O213" s="475">
        <f t="shared" si="79"/>
        <v>0</v>
      </c>
      <c r="P213" s="443"/>
      <c r="R213" s="53"/>
      <c r="S213" s="53"/>
    </row>
    <row r="214" spans="1:19" ht="24" hidden="1" x14ac:dyDescent="0.25">
      <c r="A214" s="76">
        <v>5216</v>
      </c>
      <c r="B214" s="127" t="s">
        <v>230</v>
      </c>
      <c r="C214" s="429">
        <f t="shared" si="63"/>
        <v>0</v>
      </c>
      <c r="D214" s="134"/>
      <c r="E214" s="283"/>
      <c r="F214" s="475">
        <f t="shared" si="76"/>
        <v>0</v>
      </c>
      <c r="G214" s="134"/>
      <c r="H214" s="285"/>
      <c r="I214" s="283">
        <f t="shared" si="77"/>
        <v>0</v>
      </c>
      <c r="J214" s="134"/>
      <c r="K214" s="283"/>
      <c r="L214" s="475">
        <f t="shared" si="78"/>
        <v>0</v>
      </c>
      <c r="M214" s="134"/>
      <c r="N214" s="285"/>
      <c r="O214" s="475">
        <f t="shared" si="79"/>
        <v>0</v>
      </c>
      <c r="P214" s="443"/>
      <c r="R214" s="53"/>
      <c r="S214" s="53"/>
    </row>
    <row r="215" spans="1:19" hidden="1" x14ac:dyDescent="0.25">
      <c r="A215" s="76">
        <v>5217</v>
      </c>
      <c r="B215" s="127" t="s">
        <v>231</v>
      </c>
      <c r="C215" s="429">
        <f t="shared" si="63"/>
        <v>0</v>
      </c>
      <c r="D215" s="134"/>
      <c r="E215" s="283"/>
      <c r="F215" s="475">
        <f t="shared" si="76"/>
        <v>0</v>
      </c>
      <c r="G215" s="134"/>
      <c r="H215" s="285"/>
      <c r="I215" s="283">
        <f t="shared" si="77"/>
        <v>0</v>
      </c>
      <c r="J215" s="134"/>
      <c r="K215" s="283"/>
      <c r="L215" s="475">
        <f t="shared" si="78"/>
        <v>0</v>
      </c>
      <c r="M215" s="134"/>
      <c r="N215" s="285"/>
      <c r="O215" s="475">
        <f t="shared" si="79"/>
        <v>0</v>
      </c>
      <c r="P215" s="443"/>
      <c r="R215" s="53"/>
      <c r="S215" s="53"/>
    </row>
    <row r="216" spans="1:19" hidden="1" x14ac:dyDescent="0.25">
      <c r="A216" s="76">
        <v>5218</v>
      </c>
      <c r="B216" s="127" t="s">
        <v>232</v>
      </c>
      <c r="C216" s="429">
        <f t="shared" si="63"/>
        <v>0</v>
      </c>
      <c r="D216" s="134"/>
      <c r="E216" s="283"/>
      <c r="F216" s="475">
        <f t="shared" si="76"/>
        <v>0</v>
      </c>
      <c r="G216" s="134"/>
      <c r="H216" s="285"/>
      <c r="I216" s="283">
        <f t="shared" si="77"/>
        <v>0</v>
      </c>
      <c r="J216" s="134"/>
      <c r="K216" s="283"/>
      <c r="L216" s="475">
        <f t="shared" si="78"/>
        <v>0</v>
      </c>
      <c r="M216" s="134"/>
      <c r="N216" s="285"/>
      <c r="O216" s="475">
        <f t="shared" si="79"/>
        <v>0</v>
      </c>
      <c r="P216" s="443"/>
      <c r="R216" s="53"/>
      <c r="S216" s="53"/>
    </row>
    <row r="217" spans="1:19" hidden="1" x14ac:dyDescent="0.25">
      <c r="A217" s="76">
        <v>5219</v>
      </c>
      <c r="B217" s="127" t="s">
        <v>233</v>
      </c>
      <c r="C217" s="429">
        <f t="shared" si="63"/>
        <v>0</v>
      </c>
      <c r="D217" s="134"/>
      <c r="E217" s="283"/>
      <c r="F217" s="475">
        <f t="shared" si="76"/>
        <v>0</v>
      </c>
      <c r="G217" s="134"/>
      <c r="H217" s="285"/>
      <c r="I217" s="283">
        <f t="shared" si="77"/>
        <v>0</v>
      </c>
      <c r="J217" s="134"/>
      <c r="K217" s="283"/>
      <c r="L217" s="475">
        <f t="shared" si="78"/>
        <v>0</v>
      </c>
      <c r="M217" s="134"/>
      <c r="N217" s="285"/>
      <c r="O217" s="475">
        <f t="shared" si="79"/>
        <v>0</v>
      </c>
      <c r="P217" s="443"/>
      <c r="R217" s="53"/>
      <c r="S217" s="53"/>
    </row>
    <row r="218" spans="1:19" ht="13.5" hidden="1" customHeight="1" x14ac:dyDescent="0.25">
      <c r="A218" s="276">
        <v>5220</v>
      </c>
      <c r="B218" s="127" t="s">
        <v>234</v>
      </c>
      <c r="C218" s="429">
        <f t="shared" si="63"/>
        <v>0</v>
      </c>
      <c r="D218" s="134"/>
      <c r="E218" s="283"/>
      <c r="F218" s="475">
        <f t="shared" si="76"/>
        <v>0</v>
      </c>
      <c r="G218" s="134"/>
      <c r="H218" s="285"/>
      <c r="I218" s="283">
        <f t="shared" si="77"/>
        <v>0</v>
      </c>
      <c r="J218" s="134"/>
      <c r="K218" s="283"/>
      <c r="L218" s="475">
        <f t="shared" si="78"/>
        <v>0</v>
      </c>
      <c r="M218" s="134"/>
      <c r="N218" s="285"/>
      <c r="O218" s="475">
        <f t="shared" si="79"/>
        <v>0</v>
      </c>
      <c r="P218" s="443"/>
      <c r="R218" s="53"/>
      <c r="S218" s="53"/>
    </row>
    <row r="219" spans="1:19" x14ac:dyDescent="0.25">
      <c r="A219" s="276">
        <v>5230</v>
      </c>
      <c r="B219" s="127" t="s">
        <v>235</v>
      </c>
      <c r="C219" s="429">
        <f t="shared" si="63"/>
        <v>19888</v>
      </c>
      <c r="D219" s="277">
        <f t="shared" ref="D219:O219" si="80">SUM(D220:D227)</f>
        <v>19888</v>
      </c>
      <c r="E219" s="278">
        <f t="shared" si="80"/>
        <v>0</v>
      </c>
      <c r="F219" s="286">
        <f t="shared" si="80"/>
        <v>19888</v>
      </c>
      <c r="G219" s="277">
        <f t="shared" si="80"/>
        <v>0</v>
      </c>
      <c r="H219" s="282">
        <f t="shared" si="80"/>
        <v>0</v>
      </c>
      <c r="I219" s="278">
        <f t="shared" si="80"/>
        <v>0</v>
      </c>
      <c r="J219" s="277">
        <f t="shared" si="80"/>
        <v>0</v>
      </c>
      <c r="K219" s="278">
        <f t="shared" si="80"/>
        <v>0</v>
      </c>
      <c r="L219" s="286">
        <f t="shared" si="80"/>
        <v>0</v>
      </c>
      <c r="M219" s="277">
        <f t="shared" si="80"/>
        <v>0</v>
      </c>
      <c r="N219" s="282">
        <f t="shared" si="80"/>
        <v>0</v>
      </c>
      <c r="O219" s="286">
        <f t="shared" si="80"/>
        <v>0</v>
      </c>
      <c r="P219" s="136"/>
      <c r="R219" s="53"/>
      <c r="S219" s="53"/>
    </row>
    <row r="220" spans="1:19" hidden="1" x14ac:dyDescent="0.25">
      <c r="A220" s="76">
        <v>5231</v>
      </c>
      <c r="B220" s="127" t="s">
        <v>236</v>
      </c>
      <c r="C220" s="429">
        <f t="shared" si="63"/>
        <v>0</v>
      </c>
      <c r="D220" s="134"/>
      <c r="E220" s="283"/>
      <c r="F220" s="475">
        <f t="shared" ref="F220:F229" si="81">D220+E220</f>
        <v>0</v>
      </c>
      <c r="G220" s="134"/>
      <c r="H220" s="285"/>
      <c r="I220" s="283">
        <f t="shared" ref="I220:I229" si="82">G220+H220</f>
        <v>0</v>
      </c>
      <c r="J220" s="134"/>
      <c r="K220" s="283"/>
      <c r="L220" s="475">
        <f t="shared" ref="L220:L229" si="83">J220+K220</f>
        <v>0</v>
      </c>
      <c r="M220" s="134"/>
      <c r="N220" s="285"/>
      <c r="O220" s="475">
        <f t="shared" ref="O220:O229" si="84">N220+M220</f>
        <v>0</v>
      </c>
      <c r="P220" s="443"/>
      <c r="R220" s="53"/>
      <c r="S220" s="53"/>
    </row>
    <row r="221" spans="1:19" x14ac:dyDescent="0.25">
      <c r="A221" s="76">
        <v>5232</v>
      </c>
      <c r="B221" s="127" t="s">
        <v>237</v>
      </c>
      <c r="C221" s="429">
        <f t="shared" si="63"/>
        <v>2770</v>
      </c>
      <c r="D221" s="134">
        <v>2770</v>
      </c>
      <c r="E221" s="283"/>
      <c r="F221" s="475">
        <f t="shared" si="81"/>
        <v>2770</v>
      </c>
      <c r="G221" s="134"/>
      <c r="H221" s="285"/>
      <c r="I221" s="283">
        <f t="shared" si="82"/>
        <v>0</v>
      </c>
      <c r="J221" s="134"/>
      <c r="K221" s="283"/>
      <c r="L221" s="475">
        <f t="shared" si="83"/>
        <v>0</v>
      </c>
      <c r="M221" s="134"/>
      <c r="N221" s="285"/>
      <c r="O221" s="475">
        <f t="shared" si="84"/>
        <v>0</v>
      </c>
      <c r="P221" s="710"/>
      <c r="R221" s="53"/>
      <c r="S221" s="53"/>
    </row>
    <row r="222" spans="1:19" hidden="1" x14ac:dyDescent="0.25">
      <c r="A222" s="76">
        <v>5233</v>
      </c>
      <c r="B222" s="127" t="s">
        <v>238</v>
      </c>
      <c r="C222" s="429">
        <f t="shared" si="63"/>
        <v>0</v>
      </c>
      <c r="D222" s="134"/>
      <c r="E222" s="283"/>
      <c r="F222" s="475">
        <f t="shared" si="81"/>
        <v>0</v>
      </c>
      <c r="G222" s="134"/>
      <c r="H222" s="285"/>
      <c r="I222" s="283">
        <f t="shared" si="82"/>
        <v>0</v>
      </c>
      <c r="J222" s="134"/>
      <c r="K222" s="283"/>
      <c r="L222" s="475">
        <f t="shared" si="83"/>
        <v>0</v>
      </c>
      <c r="M222" s="134"/>
      <c r="N222" s="285"/>
      <c r="O222" s="475">
        <f t="shared" si="84"/>
        <v>0</v>
      </c>
      <c r="P222" s="443"/>
      <c r="R222" s="53"/>
      <c r="S222" s="53"/>
    </row>
    <row r="223" spans="1:19" ht="24" hidden="1" x14ac:dyDescent="0.25">
      <c r="A223" s="76">
        <v>5234</v>
      </c>
      <c r="B223" s="127" t="s">
        <v>239</v>
      </c>
      <c r="C223" s="429">
        <f t="shared" si="63"/>
        <v>0</v>
      </c>
      <c r="D223" s="134"/>
      <c r="E223" s="283"/>
      <c r="F223" s="475">
        <f t="shared" si="81"/>
        <v>0</v>
      </c>
      <c r="G223" s="134"/>
      <c r="H223" s="285"/>
      <c r="I223" s="283">
        <f t="shared" si="82"/>
        <v>0</v>
      </c>
      <c r="J223" s="134"/>
      <c r="K223" s="283"/>
      <c r="L223" s="475">
        <f t="shared" si="83"/>
        <v>0</v>
      </c>
      <c r="M223" s="134"/>
      <c r="N223" s="285"/>
      <c r="O223" s="475">
        <f t="shared" si="84"/>
        <v>0</v>
      </c>
      <c r="P223" s="443"/>
      <c r="R223" s="53"/>
      <c r="S223" s="53"/>
    </row>
    <row r="224" spans="1:19" ht="14.25" hidden="1" customHeight="1" x14ac:dyDescent="0.25">
      <c r="A224" s="76">
        <v>5236</v>
      </c>
      <c r="B224" s="127" t="s">
        <v>240</v>
      </c>
      <c r="C224" s="429">
        <f t="shared" si="63"/>
        <v>0</v>
      </c>
      <c r="D224" s="134"/>
      <c r="E224" s="283"/>
      <c r="F224" s="475">
        <f t="shared" si="81"/>
        <v>0</v>
      </c>
      <c r="G224" s="134"/>
      <c r="H224" s="285"/>
      <c r="I224" s="283">
        <f t="shared" si="82"/>
        <v>0</v>
      </c>
      <c r="J224" s="134"/>
      <c r="K224" s="283"/>
      <c r="L224" s="475">
        <f t="shared" si="83"/>
        <v>0</v>
      </c>
      <c r="M224" s="134"/>
      <c r="N224" s="285"/>
      <c r="O224" s="475">
        <f t="shared" si="84"/>
        <v>0</v>
      </c>
      <c r="P224" s="443"/>
      <c r="R224" s="53"/>
      <c r="S224" s="53"/>
    </row>
    <row r="225" spans="1:19" ht="14.25" hidden="1" customHeight="1" x14ac:dyDescent="0.25">
      <c r="A225" s="76">
        <v>5237</v>
      </c>
      <c r="B225" s="127" t="s">
        <v>241</v>
      </c>
      <c r="C225" s="429">
        <f t="shared" si="63"/>
        <v>0</v>
      </c>
      <c r="D225" s="134"/>
      <c r="E225" s="283"/>
      <c r="F225" s="475">
        <f t="shared" si="81"/>
        <v>0</v>
      </c>
      <c r="G225" s="134"/>
      <c r="H225" s="285"/>
      <c r="I225" s="283">
        <f t="shared" si="82"/>
        <v>0</v>
      </c>
      <c r="J225" s="134"/>
      <c r="K225" s="283"/>
      <c r="L225" s="475">
        <f t="shared" si="83"/>
        <v>0</v>
      </c>
      <c r="M225" s="134"/>
      <c r="N225" s="285"/>
      <c r="O225" s="475">
        <f t="shared" si="84"/>
        <v>0</v>
      </c>
      <c r="P225" s="443"/>
      <c r="R225" s="53"/>
      <c r="S225" s="53"/>
    </row>
    <row r="226" spans="1:19" ht="24" x14ac:dyDescent="0.25">
      <c r="A226" s="76">
        <v>5238</v>
      </c>
      <c r="B226" s="127" t="s">
        <v>242</v>
      </c>
      <c r="C226" s="429">
        <f t="shared" si="63"/>
        <v>230</v>
      </c>
      <c r="D226" s="134">
        <v>230</v>
      </c>
      <c r="E226" s="283"/>
      <c r="F226" s="475">
        <f t="shared" si="81"/>
        <v>230</v>
      </c>
      <c r="G226" s="134"/>
      <c r="H226" s="285"/>
      <c r="I226" s="283">
        <f t="shared" si="82"/>
        <v>0</v>
      </c>
      <c r="J226" s="134"/>
      <c r="K226" s="283"/>
      <c r="L226" s="475">
        <f t="shared" si="83"/>
        <v>0</v>
      </c>
      <c r="M226" s="134"/>
      <c r="N226" s="285"/>
      <c r="O226" s="475">
        <f t="shared" si="84"/>
        <v>0</v>
      </c>
      <c r="P226" s="443"/>
      <c r="R226" s="53"/>
      <c r="S226" s="53"/>
    </row>
    <row r="227" spans="1:19" ht="24" x14ac:dyDescent="0.25">
      <c r="A227" s="76">
        <v>5239</v>
      </c>
      <c r="B227" s="127" t="s">
        <v>243</v>
      </c>
      <c r="C227" s="429">
        <f t="shared" si="63"/>
        <v>16888</v>
      </c>
      <c r="D227" s="134">
        <v>16888</v>
      </c>
      <c r="E227" s="283"/>
      <c r="F227" s="475">
        <f t="shared" si="81"/>
        <v>16888</v>
      </c>
      <c r="G227" s="134"/>
      <c r="H227" s="285"/>
      <c r="I227" s="283">
        <f t="shared" si="82"/>
        <v>0</v>
      </c>
      <c r="J227" s="134"/>
      <c r="K227" s="283"/>
      <c r="L227" s="475">
        <f t="shared" si="83"/>
        <v>0</v>
      </c>
      <c r="M227" s="134"/>
      <c r="N227" s="285"/>
      <c r="O227" s="475">
        <f t="shared" si="84"/>
        <v>0</v>
      </c>
      <c r="P227" s="710"/>
      <c r="R227" s="53"/>
      <c r="S227" s="53"/>
    </row>
    <row r="228" spans="1:19" ht="24" hidden="1" x14ac:dyDescent="0.25">
      <c r="A228" s="276">
        <v>5240</v>
      </c>
      <c r="B228" s="127" t="s">
        <v>244</v>
      </c>
      <c r="C228" s="429">
        <f t="shared" si="63"/>
        <v>0</v>
      </c>
      <c r="D228" s="134"/>
      <c r="E228" s="283"/>
      <c r="F228" s="475">
        <f t="shared" si="81"/>
        <v>0</v>
      </c>
      <c r="G228" s="134"/>
      <c r="H228" s="285"/>
      <c r="I228" s="283">
        <f t="shared" si="82"/>
        <v>0</v>
      </c>
      <c r="J228" s="134"/>
      <c r="K228" s="283"/>
      <c r="L228" s="475">
        <f t="shared" si="83"/>
        <v>0</v>
      </c>
      <c r="M228" s="134"/>
      <c r="N228" s="285"/>
      <c r="O228" s="475">
        <f t="shared" si="84"/>
        <v>0</v>
      </c>
      <c r="P228" s="443"/>
      <c r="R228" s="53"/>
      <c r="S228" s="53"/>
    </row>
    <row r="229" spans="1:19" hidden="1" x14ac:dyDescent="0.25">
      <c r="A229" s="276">
        <v>5250</v>
      </c>
      <c r="B229" s="127" t="s">
        <v>245</v>
      </c>
      <c r="C229" s="429">
        <f t="shared" si="63"/>
        <v>0</v>
      </c>
      <c r="D229" s="134"/>
      <c r="E229" s="283"/>
      <c r="F229" s="475">
        <f t="shared" si="81"/>
        <v>0</v>
      </c>
      <c r="G229" s="134"/>
      <c r="H229" s="285"/>
      <c r="I229" s="283">
        <f t="shared" si="82"/>
        <v>0</v>
      </c>
      <c r="J229" s="134"/>
      <c r="K229" s="283"/>
      <c r="L229" s="475">
        <f t="shared" si="83"/>
        <v>0</v>
      </c>
      <c r="M229" s="134"/>
      <c r="N229" s="285"/>
      <c r="O229" s="475">
        <f t="shared" si="84"/>
        <v>0</v>
      </c>
      <c r="P229" s="443"/>
      <c r="R229" s="53"/>
      <c r="S229" s="53"/>
    </row>
    <row r="230" spans="1:19" hidden="1" x14ac:dyDescent="0.25">
      <c r="A230" s="276">
        <v>5260</v>
      </c>
      <c r="B230" s="127" t="s">
        <v>246</v>
      </c>
      <c r="C230" s="429">
        <f t="shared" si="63"/>
        <v>0</v>
      </c>
      <c r="D230" s="277">
        <f t="shared" ref="D230:O230" si="85">SUM(D231)</f>
        <v>0</v>
      </c>
      <c r="E230" s="278">
        <f t="shared" si="85"/>
        <v>0</v>
      </c>
      <c r="F230" s="286">
        <f t="shared" si="85"/>
        <v>0</v>
      </c>
      <c r="G230" s="277">
        <f t="shared" si="85"/>
        <v>0</v>
      </c>
      <c r="H230" s="282">
        <f t="shared" si="85"/>
        <v>0</v>
      </c>
      <c r="I230" s="278">
        <f t="shared" si="85"/>
        <v>0</v>
      </c>
      <c r="J230" s="277">
        <f t="shared" si="85"/>
        <v>0</v>
      </c>
      <c r="K230" s="278">
        <f t="shared" si="85"/>
        <v>0</v>
      </c>
      <c r="L230" s="286">
        <f t="shared" si="85"/>
        <v>0</v>
      </c>
      <c r="M230" s="277">
        <f t="shared" si="85"/>
        <v>0</v>
      </c>
      <c r="N230" s="282">
        <f t="shared" si="85"/>
        <v>0</v>
      </c>
      <c r="O230" s="286">
        <f t="shared" si="85"/>
        <v>0</v>
      </c>
      <c r="P230" s="136"/>
      <c r="R230" s="53"/>
      <c r="S230" s="53"/>
    </row>
    <row r="231" spans="1:19" ht="24" hidden="1" x14ac:dyDescent="0.25">
      <c r="A231" s="76">
        <v>5269</v>
      </c>
      <c r="B231" s="127" t="s">
        <v>247</v>
      </c>
      <c r="C231" s="429">
        <f t="shared" si="63"/>
        <v>0</v>
      </c>
      <c r="D231" s="134"/>
      <c r="E231" s="283"/>
      <c r="F231" s="475">
        <f>D231+E231</f>
        <v>0</v>
      </c>
      <c r="G231" s="134"/>
      <c r="H231" s="285"/>
      <c r="I231" s="283">
        <f>G231+H231</f>
        <v>0</v>
      </c>
      <c r="J231" s="134"/>
      <c r="K231" s="283"/>
      <c r="L231" s="475">
        <f>J231+K231</f>
        <v>0</v>
      </c>
      <c r="M231" s="134"/>
      <c r="N231" s="285"/>
      <c r="O231" s="475">
        <f>N231+M231</f>
        <v>0</v>
      </c>
      <c r="P231" s="443"/>
      <c r="R231" s="53"/>
      <c r="S231" s="53"/>
    </row>
    <row r="232" spans="1:19" ht="24" hidden="1" x14ac:dyDescent="0.25">
      <c r="A232" s="254">
        <v>5270</v>
      </c>
      <c r="B232" s="179" t="s">
        <v>248</v>
      </c>
      <c r="C232" s="454">
        <f t="shared" si="63"/>
        <v>0</v>
      </c>
      <c r="D232" s="287"/>
      <c r="E232" s="288"/>
      <c r="F232" s="478">
        <f>D232+E232</f>
        <v>0</v>
      </c>
      <c r="G232" s="287"/>
      <c r="H232" s="291"/>
      <c r="I232" s="288">
        <f>G232+H232</f>
        <v>0</v>
      </c>
      <c r="J232" s="287"/>
      <c r="K232" s="288"/>
      <c r="L232" s="478">
        <f>J232+K232</f>
        <v>0</v>
      </c>
      <c r="M232" s="287"/>
      <c r="N232" s="291"/>
      <c r="O232" s="478">
        <f>N232+M232</f>
        <v>0</v>
      </c>
      <c r="P232" s="476"/>
      <c r="R232" s="53"/>
      <c r="S232" s="53"/>
    </row>
    <row r="233" spans="1:19" hidden="1" x14ac:dyDescent="0.25">
      <c r="A233" s="237">
        <v>6000</v>
      </c>
      <c r="B233" s="237" t="s">
        <v>249</v>
      </c>
      <c r="C233" s="709">
        <f t="shared" si="63"/>
        <v>0</v>
      </c>
      <c r="D233" s="466">
        <f t="shared" ref="D233:O233" si="86">D234+D254+D261</f>
        <v>0</v>
      </c>
      <c r="E233" s="471">
        <f t="shared" si="86"/>
        <v>0</v>
      </c>
      <c r="F233" s="465">
        <f t="shared" si="86"/>
        <v>0</v>
      </c>
      <c r="G233" s="466">
        <f t="shared" si="86"/>
        <v>0</v>
      </c>
      <c r="H233" s="467">
        <f t="shared" si="86"/>
        <v>0</v>
      </c>
      <c r="I233" s="471">
        <f t="shared" si="86"/>
        <v>0</v>
      </c>
      <c r="J233" s="466">
        <f t="shared" si="86"/>
        <v>0</v>
      </c>
      <c r="K233" s="471">
        <f t="shared" si="86"/>
        <v>0</v>
      </c>
      <c r="L233" s="465">
        <f t="shared" si="86"/>
        <v>0</v>
      </c>
      <c r="M233" s="239">
        <f t="shared" si="86"/>
        <v>0</v>
      </c>
      <c r="N233" s="245">
        <f t="shared" si="86"/>
        <v>0</v>
      </c>
      <c r="O233" s="320">
        <f t="shared" si="86"/>
        <v>0</v>
      </c>
      <c r="P233" s="243"/>
      <c r="R233" s="53"/>
      <c r="S233" s="53"/>
    </row>
    <row r="234" spans="1:19" ht="14.25" hidden="1" customHeight="1" x14ac:dyDescent="0.25">
      <c r="A234" s="160">
        <v>6200</v>
      </c>
      <c r="B234" s="321" t="s">
        <v>250</v>
      </c>
      <c r="C234" s="163">
        <f t="shared" si="63"/>
        <v>0</v>
      </c>
      <c r="D234" s="334">
        <f t="shared" ref="D234:O234" si="87">SUM(D235,D236,D238,D241,D247,D248,D249)</f>
        <v>0</v>
      </c>
      <c r="E234" s="684">
        <f t="shared" si="87"/>
        <v>0</v>
      </c>
      <c r="F234" s="335">
        <f t="shared" si="87"/>
        <v>0</v>
      </c>
      <c r="G234" s="334">
        <f t="shared" si="87"/>
        <v>0</v>
      </c>
      <c r="H234" s="251">
        <f t="shared" si="87"/>
        <v>0</v>
      </c>
      <c r="I234" s="684">
        <f t="shared" si="87"/>
        <v>0</v>
      </c>
      <c r="J234" s="334">
        <f t="shared" si="87"/>
        <v>0</v>
      </c>
      <c r="K234" s="684">
        <f t="shared" si="87"/>
        <v>0</v>
      </c>
      <c r="L234" s="335">
        <f t="shared" si="87"/>
        <v>0</v>
      </c>
      <c r="M234" s="334">
        <f t="shared" si="87"/>
        <v>0</v>
      </c>
      <c r="N234" s="251">
        <f t="shared" si="87"/>
        <v>0</v>
      </c>
      <c r="O234" s="335">
        <f t="shared" si="87"/>
        <v>0</v>
      </c>
      <c r="P234" s="252"/>
      <c r="R234" s="53"/>
      <c r="S234" s="53"/>
    </row>
    <row r="235" spans="1:19" ht="24" hidden="1" x14ac:dyDescent="0.25">
      <c r="A235" s="656">
        <v>6220</v>
      </c>
      <c r="B235" s="116" t="s">
        <v>251</v>
      </c>
      <c r="C235" s="70">
        <f t="shared" si="63"/>
        <v>0</v>
      </c>
      <c r="D235" s="123"/>
      <c r="E235" s="295"/>
      <c r="F235" s="473">
        <f>D235+E235</f>
        <v>0</v>
      </c>
      <c r="G235" s="123"/>
      <c r="H235" s="262"/>
      <c r="I235" s="295">
        <f>G235+H235</f>
        <v>0</v>
      </c>
      <c r="J235" s="123"/>
      <c r="K235" s="295"/>
      <c r="L235" s="473">
        <f>J235+K235</f>
        <v>0</v>
      </c>
      <c r="M235" s="123"/>
      <c r="N235" s="262"/>
      <c r="O235" s="473">
        <f>N235+M235</f>
        <v>0</v>
      </c>
      <c r="P235" s="442"/>
      <c r="R235" s="53"/>
      <c r="S235" s="53"/>
    </row>
    <row r="236" spans="1:19" hidden="1" x14ac:dyDescent="0.25">
      <c r="A236" s="276">
        <v>6230</v>
      </c>
      <c r="B236" s="127" t="s">
        <v>252</v>
      </c>
      <c r="C236" s="429">
        <f t="shared" si="63"/>
        <v>0</v>
      </c>
      <c r="D236" s="277">
        <f t="shared" ref="D236:O236" si="88">SUM(D237)</f>
        <v>0</v>
      </c>
      <c r="E236" s="278">
        <f t="shared" si="88"/>
        <v>0</v>
      </c>
      <c r="F236" s="286">
        <f t="shared" si="88"/>
        <v>0</v>
      </c>
      <c r="G236" s="277">
        <f t="shared" si="88"/>
        <v>0</v>
      </c>
      <c r="H236" s="282">
        <f t="shared" si="88"/>
        <v>0</v>
      </c>
      <c r="I236" s="278">
        <f t="shared" si="88"/>
        <v>0</v>
      </c>
      <c r="J236" s="277">
        <f t="shared" si="88"/>
        <v>0</v>
      </c>
      <c r="K236" s="278">
        <f t="shared" si="88"/>
        <v>0</v>
      </c>
      <c r="L236" s="286">
        <f t="shared" si="88"/>
        <v>0</v>
      </c>
      <c r="M236" s="277">
        <f t="shared" si="88"/>
        <v>0</v>
      </c>
      <c r="N236" s="282">
        <f t="shared" si="88"/>
        <v>0</v>
      </c>
      <c r="O236" s="286">
        <f t="shared" si="88"/>
        <v>0</v>
      </c>
      <c r="P236" s="136"/>
      <c r="R236" s="53"/>
      <c r="S236" s="53"/>
    </row>
    <row r="237" spans="1:19" ht="24" hidden="1" x14ac:dyDescent="0.25">
      <c r="A237" s="76">
        <v>6239</v>
      </c>
      <c r="B237" s="116" t="s">
        <v>253</v>
      </c>
      <c r="C237" s="429">
        <f t="shared" si="63"/>
        <v>0</v>
      </c>
      <c r="D237" s="123"/>
      <c r="E237" s="295"/>
      <c r="F237" s="473">
        <f>D237+E237</f>
        <v>0</v>
      </c>
      <c r="G237" s="123"/>
      <c r="H237" s="262"/>
      <c r="I237" s="295">
        <f>G237+H237</f>
        <v>0</v>
      </c>
      <c r="J237" s="123"/>
      <c r="K237" s="295"/>
      <c r="L237" s="473">
        <f>J237+K237</f>
        <v>0</v>
      </c>
      <c r="M237" s="123"/>
      <c r="N237" s="262"/>
      <c r="O237" s="473">
        <f>N237+M237</f>
        <v>0</v>
      </c>
      <c r="P237" s="442"/>
      <c r="R237" s="53"/>
      <c r="S237" s="53"/>
    </row>
    <row r="238" spans="1:19" ht="24" hidden="1" x14ac:dyDescent="0.25">
      <c r="A238" s="276">
        <v>6240</v>
      </c>
      <c r="B238" s="127" t="s">
        <v>254</v>
      </c>
      <c r="C238" s="429">
        <f t="shared" si="63"/>
        <v>0</v>
      </c>
      <c r="D238" s="277">
        <f t="shared" ref="D238:O238" si="89">SUM(D239:D240)</f>
        <v>0</v>
      </c>
      <c r="E238" s="278">
        <f t="shared" si="89"/>
        <v>0</v>
      </c>
      <c r="F238" s="286">
        <f t="shared" si="89"/>
        <v>0</v>
      </c>
      <c r="G238" s="277">
        <f t="shared" si="89"/>
        <v>0</v>
      </c>
      <c r="H238" s="282">
        <f t="shared" si="89"/>
        <v>0</v>
      </c>
      <c r="I238" s="278">
        <f t="shared" si="89"/>
        <v>0</v>
      </c>
      <c r="J238" s="277">
        <f t="shared" si="89"/>
        <v>0</v>
      </c>
      <c r="K238" s="278">
        <f t="shared" si="89"/>
        <v>0</v>
      </c>
      <c r="L238" s="286">
        <f t="shared" si="89"/>
        <v>0</v>
      </c>
      <c r="M238" s="277">
        <f t="shared" si="89"/>
        <v>0</v>
      </c>
      <c r="N238" s="282">
        <f t="shared" si="89"/>
        <v>0</v>
      </c>
      <c r="O238" s="286">
        <f t="shared" si="89"/>
        <v>0</v>
      </c>
      <c r="P238" s="136"/>
      <c r="R238" s="53"/>
      <c r="S238" s="53"/>
    </row>
    <row r="239" spans="1:19" hidden="1" x14ac:dyDescent="0.25">
      <c r="A239" s="76">
        <v>6241</v>
      </c>
      <c r="B239" s="127" t="s">
        <v>255</v>
      </c>
      <c r="C239" s="429">
        <f t="shared" si="63"/>
        <v>0</v>
      </c>
      <c r="D239" s="134"/>
      <c r="E239" s="283"/>
      <c r="F239" s="475">
        <f>D239+E239</f>
        <v>0</v>
      </c>
      <c r="G239" s="134"/>
      <c r="H239" s="285"/>
      <c r="I239" s="283">
        <f>G239+H239</f>
        <v>0</v>
      </c>
      <c r="J239" s="134"/>
      <c r="K239" s="283"/>
      <c r="L239" s="475">
        <f>J239+K239</f>
        <v>0</v>
      </c>
      <c r="M239" s="134"/>
      <c r="N239" s="285"/>
      <c r="O239" s="475">
        <f>N239+M239</f>
        <v>0</v>
      </c>
      <c r="P239" s="443"/>
      <c r="R239" s="53"/>
      <c r="S239" s="53"/>
    </row>
    <row r="240" spans="1:19" hidden="1" x14ac:dyDescent="0.25">
      <c r="A240" s="76">
        <v>6242</v>
      </c>
      <c r="B240" s="127" t="s">
        <v>256</v>
      </c>
      <c r="C240" s="429">
        <f t="shared" si="63"/>
        <v>0</v>
      </c>
      <c r="D240" s="134"/>
      <c r="E240" s="283"/>
      <c r="F240" s="475">
        <f>D240+E240</f>
        <v>0</v>
      </c>
      <c r="G240" s="134"/>
      <c r="H240" s="285"/>
      <c r="I240" s="283">
        <f>G240+H240</f>
        <v>0</v>
      </c>
      <c r="J240" s="134"/>
      <c r="K240" s="283"/>
      <c r="L240" s="475">
        <f>J240+K240</f>
        <v>0</v>
      </c>
      <c r="M240" s="134"/>
      <c r="N240" s="285"/>
      <c r="O240" s="475">
        <f>N240+M240</f>
        <v>0</v>
      </c>
      <c r="P240" s="443"/>
      <c r="R240" s="53"/>
      <c r="S240" s="53"/>
    </row>
    <row r="241" spans="1:19" ht="25.5" hidden="1" customHeight="1" x14ac:dyDescent="0.25">
      <c r="A241" s="276">
        <v>6250</v>
      </c>
      <c r="B241" s="127" t="s">
        <v>257</v>
      </c>
      <c r="C241" s="429">
        <f t="shared" si="63"/>
        <v>0</v>
      </c>
      <c r="D241" s="277">
        <f t="shared" ref="D241:O241" si="90">SUM(D242:D246)</f>
        <v>0</v>
      </c>
      <c r="E241" s="278">
        <f t="shared" si="90"/>
        <v>0</v>
      </c>
      <c r="F241" s="286">
        <f t="shared" si="90"/>
        <v>0</v>
      </c>
      <c r="G241" s="277">
        <f t="shared" si="90"/>
        <v>0</v>
      </c>
      <c r="H241" s="282">
        <f t="shared" si="90"/>
        <v>0</v>
      </c>
      <c r="I241" s="278">
        <f t="shared" si="90"/>
        <v>0</v>
      </c>
      <c r="J241" s="277">
        <f t="shared" si="90"/>
        <v>0</v>
      </c>
      <c r="K241" s="278">
        <f t="shared" si="90"/>
        <v>0</v>
      </c>
      <c r="L241" s="286">
        <f t="shared" si="90"/>
        <v>0</v>
      </c>
      <c r="M241" s="277">
        <f t="shared" si="90"/>
        <v>0</v>
      </c>
      <c r="N241" s="282">
        <f t="shared" si="90"/>
        <v>0</v>
      </c>
      <c r="O241" s="286">
        <f t="shared" si="90"/>
        <v>0</v>
      </c>
      <c r="P241" s="136"/>
      <c r="R241" s="53"/>
      <c r="S241" s="53"/>
    </row>
    <row r="242" spans="1:19" ht="14.25" hidden="1" customHeight="1" x14ac:dyDescent="0.25">
      <c r="A242" s="76">
        <v>6252</v>
      </c>
      <c r="B242" s="127" t="s">
        <v>258</v>
      </c>
      <c r="C242" s="429">
        <f t="shared" si="63"/>
        <v>0</v>
      </c>
      <c r="D242" s="134"/>
      <c r="E242" s="283"/>
      <c r="F242" s="475">
        <f t="shared" ref="F242:F248" si="91">D242+E242</f>
        <v>0</v>
      </c>
      <c r="G242" s="134"/>
      <c r="H242" s="285"/>
      <c r="I242" s="283">
        <f t="shared" ref="I242:I248" si="92">G242+H242</f>
        <v>0</v>
      </c>
      <c r="J242" s="134"/>
      <c r="K242" s="283"/>
      <c r="L242" s="475">
        <f t="shared" ref="L242:L248" si="93">J242+K242</f>
        <v>0</v>
      </c>
      <c r="M242" s="134"/>
      <c r="N242" s="285"/>
      <c r="O242" s="475">
        <f t="shared" ref="O242:O248" si="94">N242+M242</f>
        <v>0</v>
      </c>
      <c r="P242" s="443"/>
      <c r="R242" s="53"/>
      <c r="S242" s="53"/>
    </row>
    <row r="243" spans="1:19" ht="14.25" hidden="1" customHeight="1" x14ac:dyDescent="0.25">
      <c r="A243" s="76">
        <v>6253</v>
      </c>
      <c r="B243" s="127" t="s">
        <v>259</v>
      </c>
      <c r="C243" s="429">
        <f t="shared" si="63"/>
        <v>0</v>
      </c>
      <c r="D243" s="134"/>
      <c r="E243" s="283"/>
      <c r="F243" s="475">
        <f t="shared" si="91"/>
        <v>0</v>
      </c>
      <c r="G243" s="134"/>
      <c r="H243" s="285"/>
      <c r="I243" s="283">
        <f t="shared" si="92"/>
        <v>0</v>
      </c>
      <c r="J243" s="134"/>
      <c r="K243" s="283"/>
      <c r="L243" s="475">
        <f t="shared" si="93"/>
        <v>0</v>
      </c>
      <c r="M243" s="134"/>
      <c r="N243" s="285"/>
      <c r="O243" s="475">
        <f t="shared" si="94"/>
        <v>0</v>
      </c>
      <c r="P243" s="443"/>
      <c r="R243" s="53"/>
      <c r="S243" s="53"/>
    </row>
    <row r="244" spans="1:19" ht="24" hidden="1" x14ac:dyDescent="0.25">
      <c r="A244" s="76">
        <v>6254</v>
      </c>
      <c r="B244" s="127" t="s">
        <v>260</v>
      </c>
      <c r="C244" s="429">
        <f t="shared" si="63"/>
        <v>0</v>
      </c>
      <c r="D244" s="134"/>
      <c r="E244" s="283"/>
      <c r="F244" s="475">
        <f t="shared" si="91"/>
        <v>0</v>
      </c>
      <c r="G244" s="134"/>
      <c r="H244" s="285"/>
      <c r="I244" s="283">
        <f t="shared" si="92"/>
        <v>0</v>
      </c>
      <c r="J244" s="134"/>
      <c r="K244" s="283"/>
      <c r="L244" s="475">
        <f t="shared" si="93"/>
        <v>0</v>
      </c>
      <c r="M244" s="134"/>
      <c r="N244" s="285"/>
      <c r="O244" s="475">
        <f t="shared" si="94"/>
        <v>0</v>
      </c>
      <c r="P244" s="443"/>
      <c r="R244" s="53"/>
      <c r="S244" s="53"/>
    </row>
    <row r="245" spans="1:19" ht="24" hidden="1" x14ac:dyDescent="0.25">
      <c r="A245" s="76">
        <v>6255</v>
      </c>
      <c r="B245" s="127" t="s">
        <v>261</v>
      </c>
      <c r="C245" s="429">
        <f t="shared" ref="C245:C299" si="95">SUM(F245,I245,L245,O245)</f>
        <v>0</v>
      </c>
      <c r="D245" s="134"/>
      <c r="E245" s="283"/>
      <c r="F245" s="475">
        <f t="shared" si="91"/>
        <v>0</v>
      </c>
      <c r="G245" s="134"/>
      <c r="H245" s="285"/>
      <c r="I245" s="283">
        <f t="shared" si="92"/>
        <v>0</v>
      </c>
      <c r="J245" s="134"/>
      <c r="K245" s="283"/>
      <c r="L245" s="475">
        <f t="shared" si="93"/>
        <v>0</v>
      </c>
      <c r="M245" s="134"/>
      <c r="N245" s="285"/>
      <c r="O245" s="475">
        <f t="shared" si="94"/>
        <v>0</v>
      </c>
      <c r="P245" s="443"/>
      <c r="R245" s="53"/>
      <c r="S245" s="53"/>
    </row>
    <row r="246" spans="1:19" hidden="1" x14ac:dyDescent="0.25">
      <c r="A246" s="76">
        <v>6259</v>
      </c>
      <c r="B246" s="127" t="s">
        <v>262</v>
      </c>
      <c r="C246" s="429">
        <f t="shared" si="95"/>
        <v>0</v>
      </c>
      <c r="D246" s="134"/>
      <c r="E246" s="283"/>
      <c r="F246" s="475">
        <f t="shared" si="91"/>
        <v>0</v>
      </c>
      <c r="G246" s="134"/>
      <c r="H246" s="285"/>
      <c r="I246" s="283">
        <f t="shared" si="92"/>
        <v>0</v>
      </c>
      <c r="J246" s="134"/>
      <c r="K246" s="283"/>
      <c r="L246" s="475">
        <f t="shared" si="93"/>
        <v>0</v>
      </c>
      <c r="M246" s="134"/>
      <c r="N246" s="285"/>
      <c r="O246" s="475">
        <f t="shared" si="94"/>
        <v>0</v>
      </c>
      <c r="P246" s="443"/>
      <c r="R246" s="53"/>
      <c r="S246" s="53"/>
    </row>
    <row r="247" spans="1:19" ht="36" hidden="1" x14ac:dyDescent="0.25">
      <c r="A247" s="276">
        <v>6260</v>
      </c>
      <c r="B247" s="127" t="s">
        <v>263</v>
      </c>
      <c r="C247" s="429">
        <f t="shared" si="95"/>
        <v>0</v>
      </c>
      <c r="D247" s="134"/>
      <c r="E247" s="283"/>
      <c r="F247" s="475">
        <f t="shared" si="91"/>
        <v>0</v>
      </c>
      <c r="G247" s="134"/>
      <c r="H247" s="285"/>
      <c r="I247" s="283">
        <f t="shared" si="92"/>
        <v>0</v>
      </c>
      <c r="J247" s="134"/>
      <c r="K247" s="283"/>
      <c r="L247" s="475">
        <f t="shared" si="93"/>
        <v>0</v>
      </c>
      <c r="M247" s="134"/>
      <c r="N247" s="285"/>
      <c r="O247" s="475">
        <f t="shared" si="94"/>
        <v>0</v>
      </c>
      <c r="P247" s="443"/>
      <c r="R247" s="53"/>
      <c r="S247" s="53"/>
    </row>
    <row r="248" spans="1:19" hidden="1" x14ac:dyDescent="0.25">
      <c r="A248" s="276">
        <v>6270</v>
      </c>
      <c r="B248" s="127" t="s">
        <v>264</v>
      </c>
      <c r="C248" s="429">
        <f t="shared" si="95"/>
        <v>0</v>
      </c>
      <c r="D248" s="134"/>
      <c r="E248" s="283"/>
      <c r="F248" s="475">
        <f t="shared" si="91"/>
        <v>0</v>
      </c>
      <c r="G248" s="134"/>
      <c r="H248" s="285"/>
      <c r="I248" s="283">
        <f t="shared" si="92"/>
        <v>0</v>
      </c>
      <c r="J248" s="134"/>
      <c r="K248" s="283"/>
      <c r="L248" s="475">
        <f t="shared" si="93"/>
        <v>0</v>
      </c>
      <c r="M248" s="134"/>
      <c r="N248" s="285"/>
      <c r="O248" s="475">
        <f t="shared" si="94"/>
        <v>0</v>
      </c>
      <c r="P248" s="443"/>
      <c r="R248" s="53"/>
      <c r="S248" s="53"/>
    </row>
    <row r="249" spans="1:19" ht="24" hidden="1" x14ac:dyDescent="0.25">
      <c r="A249" s="656">
        <v>6290</v>
      </c>
      <c r="B249" s="116" t="s">
        <v>265</v>
      </c>
      <c r="C249" s="713">
        <f t="shared" si="95"/>
        <v>0</v>
      </c>
      <c r="D249" s="297">
        <f t="shared" ref="D249:O249" si="96">SUM(D250:D253)</f>
        <v>0</v>
      </c>
      <c r="E249" s="298">
        <f t="shared" si="96"/>
        <v>0</v>
      </c>
      <c r="F249" s="263">
        <f t="shared" si="96"/>
        <v>0</v>
      </c>
      <c r="G249" s="297">
        <f t="shared" si="96"/>
        <v>0</v>
      </c>
      <c r="H249" s="301">
        <f t="shared" si="96"/>
        <v>0</v>
      </c>
      <c r="I249" s="298">
        <f t="shared" si="96"/>
        <v>0</v>
      </c>
      <c r="J249" s="297">
        <f t="shared" si="96"/>
        <v>0</v>
      </c>
      <c r="K249" s="298">
        <f t="shared" si="96"/>
        <v>0</v>
      </c>
      <c r="L249" s="263">
        <f t="shared" si="96"/>
        <v>0</v>
      </c>
      <c r="M249" s="490">
        <f t="shared" si="96"/>
        <v>0</v>
      </c>
      <c r="N249" s="301">
        <f t="shared" si="96"/>
        <v>0</v>
      </c>
      <c r="O249" s="263">
        <f t="shared" si="96"/>
        <v>0</v>
      </c>
      <c r="P249" s="125"/>
      <c r="R249" s="53"/>
      <c r="S249" s="53"/>
    </row>
    <row r="250" spans="1:19" hidden="1" x14ac:dyDescent="0.25">
      <c r="A250" s="76">
        <v>6291</v>
      </c>
      <c r="B250" s="127" t="s">
        <v>266</v>
      </c>
      <c r="C250" s="429">
        <f t="shared" si="95"/>
        <v>0</v>
      </c>
      <c r="D250" s="134"/>
      <c r="E250" s="283"/>
      <c r="F250" s="475">
        <f>D250+E250</f>
        <v>0</v>
      </c>
      <c r="G250" s="134"/>
      <c r="H250" s="285"/>
      <c r="I250" s="283">
        <f>G250+H250</f>
        <v>0</v>
      </c>
      <c r="J250" s="134"/>
      <c r="K250" s="283"/>
      <c r="L250" s="475">
        <f>J250+K250</f>
        <v>0</v>
      </c>
      <c r="M250" s="134"/>
      <c r="N250" s="285"/>
      <c r="O250" s="475">
        <f>N250+M250</f>
        <v>0</v>
      </c>
      <c r="P250" s="443"/>
      <c r="R250" s="53"/>
      <c r="S250" s="53"/>
    </row>
    <row r="251" spans="1:19" hidden="1" x14ac:dyDescent="0.25">
      <c r="A251" s="76">
        <v>6292</v>
      </c>
      <c r="B251" s="127" t="s">
        <v>267</v>
      </c>
      <c r="C251" s="429">
        <f t="shared" si="95"/>
        <v>0</v>
      </c>
      <c r="D251" s="134"/>
      <c r="E251" s="283"/>
      <c r="F251" s="475">
        <f>D251+E251</f>
        <v>0</v>
      </c>
      <c r="G251" s="134"/>
      <c r="H251" s="285"/>
      <c r="I251" s="283">
        <f>G251+H251</f>
        <v>0</v>
      </c>
      <c r="J251" s="134"/>
      <c r="K251" s="283"/>
      <c r="L251" s="475">
        <f>J251+K251</f>
        <v>0</v>
      </c>
      <c r="M251" s="134"/>
      <c r="N251" s="285"/>
      <c r="O251" s="475">
        <f>N251+M251</f>
        <v>0</v>
      </c>
      <c r="P251" s="443"/>
      <c r="R251" s="53"/>
      <c r="S251" s="53"/>
    </row>
    <row r="252" spans="1:19" ht="84" hidden="1" x14ac:dyDescent="0.25">
      <c r="A252" s="76">
        <v>6296</v>
      </c>
      <c r="B252" s="127" t="s">
        <v>268</v>
      </c>
      <c r="C252" s="429">
        <f t="shared" si="95"/>
        <v>0</v>
      </c>
      <c r="D252" s="134"/>
      <c r="E252" s="283"/>
      <c r="F252" s="475">
        <f>D252+E252</f>
        <v>0</v>
      </c>
      <c r="G252" s="134"/>
      <c r="H252" s="285"/>
      <c r="I252" s="283">
        <f>G252+H252</f>
        <v>0</v>
      </c>
      <c r="J252" s="134"/>
      <c r="K252" s="283"/>
      <c r="L252" s="475">
        <f>J252+K252</f>
        <v>0</v>
      </c>
      <c r="M252" s="134"/>
      <c r="N252" s="285"/>
      <c r="O252" s="475">
        <f>N252+M252</f>
        <v>0</v>
      </c>
      <c r="P252" s="443"/>
      <c r="R252" s="53"/>
      <c r="S252" s="53"/>
    </row>
    <row r="253" spans="1:19" ht="39.75" hidden="1" customHeight="1" x14ac:dyDescent="0.25">
      <c r="A253" s="76">
        <v>6299</v>
      </c>
      <c r="B253" s="127" t="s">
        <v>269</v>
      </c>
      <c r="C253" s="429">
        <f t="shared" si="95"/>
        <v>0</v>
      </c>
      <c r="D253" s="134"/>
      <c r="E253" s="283"/>
      <c r="F253" s="475">
        <f>D253+E253</f>
        <v>0</v>
      </c>
      <c r="G253" s="134"/>
      <c r="H253" s="285"/>
      <c r="I253" s="283">
        <f>G253+H253</f>
        <v>0</v>
      </c>
      <c r="J253" s="134"/>
      <c r="K253" s="283"/>
      <c r="L253" s="475">
        <f>J253+K253</f>
        <v>0</v>
      </c>
      <c r="M253" s="134"/>
      <c r="N253" s="285"/>
      <c r="O253" s="475">
        <f>N253+M253</f>
        <v>0</v>
      </c>
      <c r="P253" s="443"/>
      <c r="R253" s="53"/>
      <c r="S253" s="53"/>
    </row>
    <row r="254" spans="1:19" hidden="1" x14ac:dyDescent="0.25">
      <c r="A254" s="99">
        <v>6300</v>
      </c>
      <c r="B254" s="247" t="s">
        <v>270</v>
      </c>
      <c r="C254" s="103">
        <f t="shared" si="95"/>
        <v>0</v>
      </c>
      <c r="D254" s="112">
        <f t="shared" ref="D254:O254" si="97">SUM(D255,D259,D260)</f>
        <v>0</v>
      </c>
      <c r="E254" s="248">
        <f t="shared" si="97"/>
        <v>0</v>
      </c>
      <c r="F254" s="313">
        <f t="shared" si="97"/>
        <v>0</v>
      </c>
      <c r="G254" s="112">
        <f t="shared" si="97"/>
        <v>0</v>
      </c>
      <c r="H254" s="293">
        <f t="shared" si="97"/>
        <v>0</v>
      </c>
      <c r="I254" s="248">
        <f t="shared" si="97"/>
        <v>0</v>
      </c>
      <c r="J254" s="112">
        <f t="shared" si="97"/>
        <v>0</v>
      </c>
      <c r="K254" s="248">
        <f t="shared" si="97"/>
        <v>0</v>
      </c>
      <c r="L254" s="313">
        <f t="shared" si="97"/>
        <v>0</v>
      </c>
      <c r="M254" s="360">
        <f t="shared" si="97"/>
        <v>0</v>
      </c>
      <c r="N254" s="293">
        <f t="shared" si="97"/>
        <v>0</v>
      </c>
      <c r="O254" s="313">
        <f t="shared" si="97"/>
        <v>0</v>
      </c>
      <c r="P254" s="114"/>
      <c r="R254" s="53"/>
      <c r="S254" s="53"/>
    </row>
    <row r="255" spans="1:19" ht="24" hidden="1" x14ac:dyDescent="0.25">
      <c r="A255" s="656">
        <v>6320</v>
      </c>
      <c r="B255" s="116" t="s">
        <v>271</v>
      </c>
      <c r="C255" s="713">
        <f t="shared" si="95"/>
        <v>0</v>
      </c>
      <c r="D255" s="297">
        <f t="shared" ref="D255:O255" si="98">SUM(D256:D258)</f>
        <v>0</v>
      </c>
      <c r="E255" s="298">
        <f t="shared" si="98"/>
        <v>0</v>
      </c>
      <c r="F255" s="263">
        <f t="shared" si="98"/>
        <v>0</v>
      </c>
      <c r="G255" s="297">
        <f t="shared" si="98"/>
        <v>0</v>
      </c>
      <c r="H255" s="301">
        <f t="shared" si="98"/>
        <v>0</v>
      </c>
      <c r="I255" s="298">
        <f t="shared" si="98"/>
        <v>0</v>
      </c>
      <c r="J255" s="297">
        <f t="shared" si="98"/>
        <v>0</v>
      </c>
      <c r="K255" s="298">
        <f t="shared" si="98"/>
        <v>0</v>
      </c>
      <c r="L255" s="263">
        <f t="shared" si="98"/>
        <v>0</v>
      </c>
      <c r="M255" s="297">
        <f t="shared" si="98"/>
        <v>0</v>
      </c>
      <c r="N255" s="301">
        <f t="shared" si="98"/>
        <v>0</v>
      </c>
      <c r="O255" s="263">
        <f t="shared" si="98"/>
        <v>0</v>
      </c>
      <c r="P255" s="125"/>
      <c r="R255" s="53"/>
      <c r="S255" s="53"/>
    </row>
    <row r="256" spans="1:19" hidden="1" x14ac:dyDescent="0.25">
      <c r="A256" s="76">
        <v>6322</v>
      </c>
      <c r="B256" s="127" t="s">
        <v>272</v>
      </c>
      <c r="C256" s="429">
        <f t="shared" si="95"/>
        <v>0</v>
      </c>
      <c r="D256" s="134"/>
      <c r="E256" s="283"/>
      <c r="F256" s="475">
        <f>D256+E256</f>
        <v>0</v>
      </c>
      <c r="G256" s="134"/>
      <c r="H256" s="285"/>
      <c r="I256" s="283">
        <f>G256+H256</f>
        <v>0</v>
      </c>
      <c r="J256" s="134"/>
      <c r="K256" s="283"/>
      <c r="L256" s="475">
        <f>J256+K256</f>
        <v>0</v>
      </c>
      <c r="M256" s="134"/>
      <c r="N256" s="285"/>
      <c r="O256" s="475">
        <f>N256+M256</f>
        <v>0</v>
      </c>
      <c r="P256" s="443"/>
      <c r="R256" s="53"/>
      <c r="S256" s="53"/>
    </row>
    <row r="257" spans="1:19" ht="24" hidden="1" x14ac:dyDescent="0.25">
      <c r="A257" s="76">
        <v>6323</v>
      </c>
      <c r="B257" s="127" t="s">
        <v>273</v>
      </c>
      <c r="C257" s="429">
        <f t="shared" si="95"/>
        <v>0</v>
      </c>
      <c r="D257" s="134"/>
      <c r="E257" s="283"/>
      <c r="F257" s="475">
        <f>D257+E257</f>
        <v>0</v>
      </c>
      <c r="G257" s="134"/>
      <c r="H257" s="285"/>
      <c r="I257" s="283">
        <f>G257+H257</f>
        <v>0</v>
      </c>
      <c r="J257" s="134"/>
      <c r="K257" s="283"/>
      <c r="L257" s="475">
        <f>J257+K257</f>
        <v>0</v>
      </c>
      <c r="M257" s="134"/>
      <c r="N257" s="285"/>
      <c r="O257" s="475">
        <f>N257+M257</f>
        <v>0</v>
      </c>
      <c r="P257" s="443"/>
      <c r="R257" s="53"/>
      <c r="S257" s="53"/>
    </row>
    <row r="258" spans="1:19" ht="24" hidden="1" x14ac:dyDescent="0.25">
      <c r="A258" s="66">
        <v>6324</v>
      </c>
      <c r="B258" s="116" t="s">
        <v>274</v>
      </c>
      <c r="C258" s="70">
        <f t="shared" si="95"/>
        <v>0</v>
      </c>
      <c r="D258" s="123"/>
      <c r="E258" s="295"/>
      <c r="F258" s="473">
        <f>D258+E258</f>
        <v>0</v>
      </c>
      <c r="G258" s="123"/>
      <c r="H258" s="262"/>
      <c r="I258" s="295">
        <f>G258+H258</f>
        <v>0</v>
      </c>
      <c r="J258" s="123"/>
      <c r="K258" s="295"/>
      <c r="L258" s="473">
        <f>J258+K258</f>
        <v>0</v>
      </c>
      <c r="M258" s="123"/>
      <c r="N258" s="262"/>
      <c r="O258" s="473">
        <f>N258+M258</f>
        <v>0</v>
      </c>
      <c r="P258" s="442"/>
      <c r="R258" s="53"/>
      <c r="S258" s="53"/>
    </row>
    <row r="259" spans="1:19" ht="24" hidden="1" x14ac:dyDescent="0.25">
      <c r="A259" s="344">
        <v>6330</v>
      </c>
      <c r="B259" s="345" t="s">
        <v>275</v>
      </c>
      <c r="C259" s="713">
        <f t="shared" si="95"/>
        <v>0</v>
      </c>
      <c r="D259" s="328"/>
      <c r="E259" s="683"/>
      <c r="F259" s="492">
        <f>D259+E259</f>
        <v>0</v>
      </c>
      <c r="G259" s="328"/>
      <c r="H259" s="329"/>
      <c r="I259" s="683">
        <f>G259+H259</f>
        <v>0</v>
      </c>
      <c r="J259" s="328"/>
      <c r="K259" s="683"/>
      <c r="L259" s="492">
        <f>J259+K259</f>
        <v>0</v>
      </c>
      <c r="M259" s="328"/>
      <c r="N259" s="329"/>
      <c r="O259" s="492">
        <f>N259+M259</f>
        <v>0</v>
      </c>
      <c r="P259" s="491"/>
      <c r="R259" s="53"/>
      <c r="S259" s="53"/>
    </row>
    <row r="260" spans="1:19" hidden="1" x14ac:dyDescent="0.25">
      <c r="A260" s="276">
        <v>6360</v>
      </c>
      <c r="B260" s="127" t="s">
        <v>276</v>
      </c>
      <c r="C260" s="429">
        <f t="shared" si="95"/>
        <v>0</v>
      </c>
      <c r="D260" s="134"/>
      <c r="E260" s="283"/>
      <c r="F260" s="475">
        <f>D260+E260</f>
        <v>0</v>
      </c>
      <c r="G260" s="134"/>
      <c r="H260" s="285"/>
      <c r="I260" s="283">
        <f>G260+H260</f>
        <v>0</v>
      </c>
      <c r="J260" s="134"/>
      <c r="K260" s="283"/>
      <c r="L260" s="475">
        <f>J260+K260</f>
        <v>0</v>
      </c>
      <c r="M260" s="134"/>
      <c r="N260" s="285"/>
      <c r="O260" s="475">
        <f>N260+M260</f>
        <v>0</v>
      </c>
      <c r="P260" s="443"/>
      <c r="R260" s="53"/>
      <c r="S260" s="53"/>
    </row>
    <row r="261" spans="1:19" ht="36" hidden="1" x14ac:dyDescent="0.25">
      <c r="A261" s="99">
        <v>6400</v>
      </c>
      <c r="B261" s="247" t="s">
        <v>277</v>
      </c>
      <c r="C261" s="103">
        <f t="shared" si="95"/>
        <v>0</v>
      </c>
      <c r="D261" s="112">
        <f t="shared" ref="D261:O261" si="99">SUM(D262,D266)</f>
        <v>0</v>
      </c>
      <c r="E261" s="248">
        <f t="shared" si="99"/>
        <v>0</v>
      </c>
      <c r="F261" s="313">
        <f t="shared" si="99"/>
        <v>0</v>
      </c>
      <c r="G261" s="112">
        <f t="shared" si="99"/>
        <v>0</v>
      </c>
      <c r="H261" s="293">
        <f t="shared" si="99"/>
        <v>0</v>
      </c>
      <c r="I261" s="248">
        <f t="shared" si="99"/>
        <v>0</v>
      </c>
      <c r="J261" s="112">
        <f t="shared" si="99"/>
        <v>0</v>
      </c>
      <c r="K261" s="248">
        <f t="shared" si="99"/>
        <v>0</v>
      </c>
      <c r="L261" s="313">
        <f t="shared" si="99"/>
        <v>0</v>
      </c>
      <c r="M261" s="360">
        <f t="shared" si="99"/>
        <v>0</v>
      </c>
      <c r="N261" s="293">
        <f t="shared" si="99"/>
        <v>0</v>
      </c>
      <c r="O261" s="313">
        <f t="shared" si="99"/>
        <v>0</v>
      </c>
      <c r="P261" s="114"/>
      <c r="R261" s="53"/>
      <c r="S261" s="53"/>
    </row>
    <row r="262" spans="1:19" ht="24" hidden="1" x14ac:dyDescent="0.25">
      <c r="A262" s="656">
        <v>6410</v>
      </c>
      <c r="B262" s="116" t="s">
        <v>278</v>
      </c>
      <c r="C262" s="70">
        <f t="shared" si="95"/>
        <v>0</v>
      </c>
      <c r="D262" s="297">
        <f t="shared" ref="D262:O262" si="100">SUM(D263:D265)</f>
        <v>0</v>
      </c>
      <c r="E262" s="298">
        <f t="shared" si="100"/>
        <v>0</v>
      </c>
      <c r="F262" s="263">
        <f t="shared" si="100"/>
        <v>0</v>
      </c>
      <c r="G262" s="297">
        <f t="shared" si="100"/>
        <v>0</v>
      </c>
      <c r="H262" s="301">
        <f t="shared" si="100"/>
        <v>0</v>
      </c>
      <c r="I262" s="298">
        <f t="shared" si="100"/>
        <v>0</v>
      </c>
      <c r="J262" s="297">
        <f t="shared" si="100"/>
        <v>0</v>
      </c>
      <c r="K262" s="298">
        <f t="shared" si="100"/>
        <v>0</v>
      </c>
      <c r="L262" s="263">
        <f t="shared" si="100"/>
        <v>0</v>
      </c>
      <c r="M262" s="308">
        <f t="shared" si="100"/>
        <v>0</v>
      </c>
      <c r="N262" s="301">
        <f t="shared" si="100"/>
        <v>0</v>
      </c>
      <c r="O262" s="263">
        <f t="shared" si="100"/>
        <v>0</v>
      </c>
      <c r="P262" s="125"/>
      <c r="R262" s="53"/>
      <c r="S262" s="53"/>
    </row>
    <row r="263" spans="1:19" hidden="1" x14ac:dyDescent="0.25">
      <c r="A263" s="76">
        <v>6411</v>
      </c>
      <c r="B263" s="346" t="s">
        <v>279</v>
      </c>
      <c r="C263" s="429">
        <f t="shared" si="95"/>
        <v>0</v>
      </c>
      <c r="D263" s="134"/>
      <c r="E263" s="283"/>
      <c r="F263" s="475">
        <f>D263+E263</f>
        <v>0</v>
      </c>
      <c r="G263" s="134"/>
      <c r="H263" s="285"/>
      <c r="I263" s="283">
        <f>G263+H263</f>
        <v>0</v>
      </c>
      <c r="J263" s="134"/>
      <c r="K263" s="283"/>
      <c r="L263" s="475">
        <f>J263+K263</f>
        <v>0</v>
      </c>
      <c r="M263" s="134"/>
      <c r="N263" s="285"/>
      <c r="O263" s="475">
        <f>N263+M263</f>
        <v>0</v>
      </c>
      <c r="P263" s="443"/>
      <c r="R263" s="53"/>
      <c r="S263" s="53"/>
    </row>
    <row r="264" spans="1:19" ht="48" hidden="1" x14ac:dyDescent="0.25">
      <c r="A264" s="76">
        <v>6412</v>
      </c>
      <c r="B264" s="127" t="s">
        <v>280</v>
      </c>
      <c r="C264" s="429">
        <f t="shared" si="95"/>
        <v>0</v>
      </c>
      <c r="D264" s="134"/>
      <c r="E264" s="283"/>
      <c r="F264" s="475">
        <f>D264+E264</f>
        <v>0</v>
      </c>
      <c r="G264" s="134"/>
      <c r="H264" s="285"/>
      <c r="I264" s="283">
        <f>G264+H264</f>
        <v>0</v>
      </c>
      <c r="J264" s="134"/>
      <c r="K264" s="283"/>
      <c r="L264" s="475">
        <f>J264+K264</f>
        <v>0</v>
      </c>
      <c r="M264" s="134"/>
      <c r="N264" s="285"/>
      <c r="O264" s="475">
        <f>N264+M264</f>
        <v>0</v>
      </c>
      <c r="P264" s="443"/>
      <c r="R264" s="53"/>
      <c r="S264" s="53"/>
    </row>
    <row r="265" spans="1:19" ht="36" hidden="1" x14ac:dyDescent="0.25">
      <c r="A265" s="76">
        <v>6419</v>
      </c>
      <c r="B265" s="127" t="s">
        <v>281</v>
      </c>
      <c r="C265" s="429">
        <f t="shared" si="95"/>
        <v>0</v>
      </c>
      <c r="D265" s="134"/>
      <c r="E265" s="283"/>
      <c r="F265" s="475">
        <f>D265+E265</f>
        <v>0</v>
      </c>
      <c r="G265" s="134"/>
      <c r="H265" s="285"/>
      <c r="I265" s="283">
        <f>G265+H265</f>
        <v>0</v>
      </c>
      <c r="J265" s="134"/>
      <c r="K265" s="283"/>
      <c r="L265" s="475">
        <f>J265+K265</f>
        <v>0</v>
      </c>
      <c r="M265" s="134"/>
      <c r="N265" s="285"/>
      <c r="O265" s="475">
        <f>N265+M265</f>
        <v>0</v>
      </c>
      <c r="P265" s="443"/>
      <c r="R265" s="53"/>
      <c r="S265" s="53"/>
    </row>
    <row r="266" spans="1:19" ht="36" hidden="1" x14ac:dyDescent="0.25">
      <c r="A266" s="276">
        <v>6420</v>
      </c>
      <c r="B266" s="127" t="s">
        <v>282</v>
      </c>
      <c r="C266" s="429">
        <f t="shared" si="95"/>
        <v>0</v>
      </c>
      <c r="D266" s="277">
        <f t="shared" ref="D266:O266" si="101">SUM(D267:D270)</f>
        <v>0</v>
      </c>
      <c r="E266" s="278">
        <f t="shared" si="101"/>
        <v>0</v>
      </c>
      <c r="F266" s="286">
        <f t="shared" si="101"/>
        <v>0</v>
      </c>
      <c r="G266" s="277">
        <f t="shared" si="101"/>
        <v>0</v>
      </c>
      <c r="H266" s="282">
        <f t="shared" si="101"/>
        <v>0</v>
      </c>
      <c r="I266" s="278">
        <f t="shared" si="101"/>
        <v>0</v>
      </c>
      <c r="J266" s="277">
        <f t="shared" si="101"/>
        <v>0</v>
      </c>
      <c r="K266" s="278">
        <f t="shared" si="101"/>
        <v>0</v>
      </c>
      <c r="L266" s="286">
        <f t="shared" si="101"/>
        <v>0</v>
      </c>
      <c r="M266" s="277">
        <f t="shared" si="101"/>
        <v>0</v>
      </c>
      <c r="N266" s="282">
        <f t="shared" si="101"/>
        <v>0</v>
      </c>
      <c r="O266" s="286">
        <f t="shared" si="101"/>
        <v>0</v>
      </c>
      <c r="P266" s="136"/>
      <c r="R266" s="53"/>
      <c r="S266" s="53"/>
    </row>
    <row r="267" spans="1:19" hidden="1" x14ac:dyDescent="0.25">
      <c r="A267" s="76">
        <v>6421</v>
      </c>
      <c r="B267" s="127" t="s">
        <v>283</v>
      </c>
      <c r="C267" s="429">
        <f t="shared" si="95"/>
        <v>0</v>
      </c>
      <c r="D267" s="134"/>
      <c r="E267" s="283"/>
      <c r="F267" s="475">
        <f>D267+E267</f>
        <v>0</v>
      </c>
      <c r="G267" s="134"/>
      <c r="H267" s="285"/>
      <c r="I267" s="283">
        <f>G267+H267</f>
        <v>0</v>
      </c>
      <c r="J267" s="134"/>
      <c r="K267" s="283"/>
      <c r="L267" s="475">
        <f>J267+K267</f>
        <v>0</v>
      </c>
      <c r="M267" s="134"/>
      <c r="N267" s="285"/>
      <c r="O267" s="475">
        <f>N267+M267</f>
        <v>0</v>
      </c>
      <c r="P267" s="443"/>
      <c r="R267" s="53"/>
      <c r="S267" s="53"/>
    </row>
    <row r="268" spans="1:19" hidden="1" x14ac:dyDescent="0.25">
      <c r="A268" s="76">
        <v>6422</v>
      </c>
      <c r="B268" s="127" t="s">
        <v>284</v>
      </c>
      <c r="C268" s="429">
        <f t="shared" si="95"/>
        <v>0</v>
      </c>
      <c r="D268" s="134"/>
      <c r="E268" s="283"/>
      <c r="F268" s="475">
        <f>D268+E268</f>
        <v>0</v>
      </c>
      <c r="G268" s="134"/>
      <c r="H268" s="285"/>
      <c r="I268" s="283">
        <f>G268+H268</f>
        <v>0</v>
      </c>
      <c r="J268" s="134"/>
      <c r="K268" s="283"/>
      <c r="L268" s="475">
        <f>J268+K268</f>
        <v>0</v>
      </c>
      <c r="M268" s="134"/>
      <c r="N268" s="285"/>
      <c r="O268" s="475">
        <f>N268+M268</f>
        <v>0</v>
      </c>
      <c r="P268" s="443"/>
      <c r="R268" s="53"/>
      <c r="S268" s="53"/>
    </row>
    <row r="269" spans="1:19" ht="24" hidden="1" x14ac:dyDescent="0.25">
      <c r="A269" s="76">
        <v>6423</v>
      </c>
      <c r="B269" s="127" t="s">
        <v>285</v>
      </c>
      <c r="C269" s="429">
        <f t="shared" si="95"/>
        <v>0</v>
      </c>
      <c r="D269" s="134"/>
      <c r="E269" s="283"/>
      <c r="F269" s="475">
        <f>D269+E269</f>
        <v>0</v>
      </c>
      <c r="G269" s="134"/>
      <c r="H269" s="285"/>
      <c r="I269" s="283">
        <f>G269+H269</f>
        <v>0</v>
      </c>
      <c r="J269" s="134"/>
      <c r="K269" s="283"/>
      <c r="L269" s="475">
        <f>J269+K269</f>
        <v>0</v>
      </c>
      <c r="M269" s="134"/>
      <c r="N269" s="285"/>
      <c r="O269" s="475">
        <f>N269+M269</f>
        <v>0</v>
      </c>
      <c r="P269" s="443"/>
      <c r="R269" s="53"/>
      <c r="S269" s="53"/>
    </row>
    <row r="270" spans="1:19" ht="36" hidden="1" x14ac:dyDescent="0.25">
      <c r="A270" s="76">
        <v>6424</v>
      </c>
      <c r="B270" s="127" t="s">
        <v>286</v>
      </c>
      <c r="C270" s="429">
        <f t="shared" si="95"/>
        <v>0</v>
      </c>
      <c r="D270" s="134"/>
      <c r="E270" s="283"/>
      <c r="F270" s="475">
        <f>D270+E270</f>
        <v>0</v>
      </c>
      <c r="G270" s="134"/>
      <c r="H270" s="285"/>
      <c r="I270" s="283">
        <f>G270+H270</f>
        <v>0</v>
      </c>
      <c r="J270" s="134"/>
      <c r="K270" s="283"/>
      <c r="L270" s="475">
        <f>J270+K270</f>
        <v>0</v>
      </c>
      <c r="M270" s="134"/>
      <c r="N270" s="285"/>
      <c r="O270" s="475">
        <f>N270+M270</f>
        <v>0</v>
      </c>
      <c r="P270" s="443"/>
      <c r="Q270" s="358"/>
      <c r="R270" s="53"/>
      <c r="S270" s="53"/>
    </row>
    <row r="271" spans="1:19" ht="36" hidden="1" x14ac:dyDescent="0.25">
      <c r="A271" s="347">
        <v>7000</v>
      </c>
      <c r="B271" s="347" t="s">
        <v>287</v>
      </c>
      <c r="C271" s="714">
        <f t="shared" si="95"/>
        <v>0</v>
      </c>
      <c r="D271" s="496">
        <f t="shared" ref="D271:O271" si="102">SUM(D272,D282)</f>
        <v>0</v>
      </c>
      <c r="E271" s="715">
        <f t="shared" si="102"/>
        <v>0</v>
      </c>
      <c r="F271" s="495">
        <f t="shared" si="102"/>
        <v>0</v>
      </c>
      <c r="G271" s="496">
        <f t="shared" si="102"/>
        <v>0</v>
      </c>
      <c r="H271" s="497">
        <f t="shared" si="102"/>
        <v>0</v>
      </c>
      <c r="I271" s="715">
        <f t="shared" si="102"/>
        <v>0</v>
      </c>
      <c r="J271" s="496">
        <f t="shared" si="102"/>
        <v>0</v>
      </c>
      <c r="K271" s="715">
        <f t="shared" si="102"/>
        <v>0</v>
      </c>
      <c r="L271" s="495">
        <f t="shared" si="102"/>
        <v>0</v>
      </c>
      <c r="M271" s="501">
        <f t="shared" si="102"/>
        <v>0</v>
      </c>
      <c r="N271" s="407">
        <f t="shared" si="102"/>
        <v>0</v>
      </c>
      <c r="O271" s="408">
        <f t="shared" si="102"/>
        <v>0</v>
      </c>
      <c r="P271" s="353"/>
      <c r="R271" s="53"/>
      <c r="S271" s="53"/>
    </row>
    <row r="272" spans="1:19" ht="24" hidden="1" x14ac:dyDescent="0.25">
      <c r="A272" s="99">
        <v>7200</v>
      </c>
      <c r="B272" s="247" t="s">
        <v>288</v>
      </c>
      <c r="C272" s="103">
        <f t="shared" si="95"/>
        <v>0</v>
      </c>
      <c r="D272" s="112">
        <f t="shared" ref="D272:O272" si="103">SUM(D273,D274,D277,D278,D281)</f>
        <v>0</v>
      </c>
      <c r="E272" s="248">
        <f t="shared" si="103"/>
        <v>0</v>
      </c>
      <c r="F272" s="313">
        <f t="shared" si="103"/>
        <v>0</v>
      </c>
      <c r="G272" s="112">
        <f t="shared" si="103"/>
        <v>0</v>
      </c>
      <c r="H272" s="293">
        <f t="shared" si="103"/>
        <v>0</v>
      </c>
      <c r="I272" s="248">
        <f t="shared" si="103"/>
        <v>0</v>
      </c>
      <c r="J272" s="112">
        <f t="shared" si="103"/>
        <v>0</v>
      </c>
      <c r="K272" s="248">
        <f t="shared" si="103"/>
        <v>0</v>
      </c>
      <c r="L272" s="313">
        <f t="shared" si="103"/>
        <v>0</v>
      </c>
      <c r="M272" s="334">
        <f t="shared" si="103"/>
        <v>0</v>
      </c>
      <c r="N272" s="293">
        <f t="shared" si="103"/>
        <v>0</v>
      </c>
      <c r="O272" s="313">
        <f t="shared" si="103"/>
        <v>0</v>
      </c>
      <c r="P272" s="114"/>
      <c r="R272" s="53"/>
      <c r="S272" s="53"/>
    </row>
    <row r="273" spans="1:19" ht="24" hidden="1" x14ac:dyDescent="0.25">
      <c r="A273" s="656">
        <v>7210</v>
      </c>
      <c r="B273" s="116" t="s">
        <v>289</v>
      </c>
      <c r="C273" s="70">
        <f t="shared" si="95"/>
        <v>0</v>
      </c>
      <c r="D273" s="123"/>
      <c r="E273" s="295"/>
      <c r="F273" s="473">
        <f>D273+E273</f>
        <v>0</v>
      </c>
      <c r="G273" s="123"/>
      <c r="H273" s="262"/>
      <c r="I273" s="295">
        <f>G273+H273</f>
        <v>0</v>
      </c>
      <c r="J273" s="123"/>
      <c r="K273" s="295"/>
      <c r="L273" s="473">
        <f>J273+K273</f>
        <v>0</v>
      </c>
      <c r="M273" s="123"/>
      <c r="N273" s="262"/>
      <c r="O273" s="473">
        <f>N273+M273</f>
        <v>0</v>
      </c>
      <c r="P273" s="442"/>
      <c r="R273" s="53"/>
      <c r="S273" s="53"/>
    </row>
    <row r="274" spans="1:19" s="358" customFormat="1" ht="36" hidden="1" x14ac:dyDescent="0.25">
      <c r="A274" s="276">
        <v>7220</v>
      </c>
      <c r="B274" s="127" t="s">
        <v>290</v>
      </c>
      <c r="C274" s="429">
        <f t="shared" si="95"/>
        <v>0</v>
      </c>
      <c r="D274" s="277">
        <f t="shared" ref="D274:O274" si="104">SUM(D275:D276)</f>
        <v>0</v>
      </c>
      <c r="E274" s="278">
        <f t="shared" si="104"/>
        <v>0</v>
      </c>
      <c r="F274" s="286">
        <f t="shared" si="104"/>
        <v>0</v>
      </c>
      <c r="G274" s="277">
        <f t="shared" si="104"/>
        <v>0</v>
      </c>
      <c r="H274" s="282">
        <f t="shared" si="104"/>
        <v>0</v>
      </c>
      <c r="I274" s="278">
        <f t="shared" si="104"/>
        <v>0</v>
      </c>
      <c r="J274" s="277">
        <f t="shared" si="104"/>
        <v>0</v>
      </c>
      <c r="K274" s="278">
        <f t="shared" si="104"/>
        <v>0</v>
      </c>
      <c r="L274" s="286">
        <f t="shared" si="104"/>
        <v>0</v>
      </c>
      <c r="M274" s="277">
        <f t="shared" si="104"/>
        <v>0</v>
      </c>
      <c r="N274" s="282">
        <f t="shared" si="104"/>
        <v>0</v>
      </c>
      <c r="O274" s="286">
        <f t="shared" si="104"/>
        <v>0</v>
      </c>
      <c r="P274" s="136"/>
      <c r="R274" s="53"/>
      <c r="S274" s="53"/>
    </row>
    <row r="275" spans="1:19" s="358" customFormat="1" ht="36" hidden="1" x14ac:dyDescent="0.25">
      <c r="A275" s="76">
        <v>7221</v>
      </c>
      <c r="B275" s="127" t="s">
        <v>291</v>
      </c>
      <c r="C275" s="429">
        <f t="shared" si="95"/>
        <v>0</v>
      </c>
      <c r="D275" s="134"/>
      <c r="E275" s="283"/>
      <c r="F275" s="475">
        <f>D275+E275</f>
        <v>0</v>
      </c>
      <c r="G275" s="134"/>
      <c r="H275" s="285"/>
      <c r="I275" s="283">
        <f>G275+H275</f>
        <v>0</v>
      </c>
      <c r="J275" s="134"/>
      <c r="K275" s="283"/>
      <c r="L275" s="475">
        <f>J275+K275</f>
        <v>0</v>
      </c>
      <c r="M275" s="134"/>
      <c r="N275" s="285"/>
      <c r="O275" s="475">
        <f>N275+M275</f>
        <v>0</v>
      </c>
      <c r="P275" s="443"/>
      <c r="R275" s="53"/>
      <c r="S275" s="53"/>
    </row>
    <row r="276" spans="1:19" s="358" customFormat="1" ht="36" hidden="1" x14ac:dyDescent="0.25">
      <c r="A276" s="76">
        <v>7222</v>
      </c>
      <c r="B276" s="127" t="s">
        <v>292</v>
      </c>
      <c r="C276" s="429">
        <f t="shared" si="95"/>
        <v>0</v>
      </c>
      <c r="D276" s="134"/>
      <c r="E276" s="283"/>
      <c r="F276" s="475">
        <f>D276+E276</f>
        <v>0</v>
      </c>
      <c r="G276" s="134"/>
      <c r="H276" s="285"/>
      <c r="I276" s="283">
        <f>G276+H276</f>
        <v>0</v>
      </c>
      <c r="J276" s="134"/>
      <c r="K276" s="283"/>
      <c r="L276" s="475">
        <f>J276+K276</f>
        <v>0</v>
      </c>
      <c r="M276" s="134"/>
      <c r="N276" s="285"/>
      <c r="O276" s="475">
        <f>N276+M276</f>
        <v>0</v>
      </c>
      <c r="P276" s="443"/>
      <c r="R276" s="53"/>
      <c r="S276" s="53"/>
    </row>
    <row r="277" spans="1:19" ht="24" hidden="1" x14ac:dyDescent="0.25">
      <c r="A277" s="276">
        <v>7230</v>
      </c>
      <c r="B277" s="127" t="s">
        <v>293</v>
      </c>
      <c r="C277" s="429">
        <f t="shared" si="95"/>
        <v>0</v>
      </c>
      <c r="D277" s="134"/>
      <c r="E277" s="283"/>
      <c r="F277" s="475">
        <f>D277+E277</f>
        <v>0</v>
      </c>
      <c r="G277" s="134"/>
      <c r="H277" s="285"/>
      <c r="I277" s="283">
        <f>G277+H277</f>
        <v>0</v>
      </c>
      <c r="J277" s="134"/>
      <c r="K277" s="283"/>
      <c r="L277" s="475">
        <f>J277+K277</f>
        <v>0</v>
      </c>
      <c r="M277" s="134"/>
      <c r="N277" s="285"/>
      <c r="O277" s="475">
        <f>N277+M277</f>
        <v>0</v>
      </c>
      <c r="P277" s="443"/>
      <c r="R277" s="53"/>
      <c r="S277" s="53"/>
    </row>
    <row r="278" spans="1:19" ht="24" hidden="1" x14ac:dyDescent="0.25">
      <c r="A278" s="276">
        <v>7240</v>
      </c>
      <c r="B278" s="127" t="s">
        <v>294</v>
      </c>
      <c r="C278" s="429">
        <f t="shared" si="95"/>
        <v>0</v>
      </c>
      <c r="D278" s="277">
        <f t="shared" ref="D278:O278" si="105">SUM(D279:D280)</f>
        <v>0</v>
      </c>
      <c r="E278" s="278">
        <f t="shared" si="105"/>
        <v>0</v>
      </c>
      <c r="F278" s="286">
        <f t="shared" si="105"/>
        <v>0</v>
      </c>
      <c r="G278" s="277">
        <f t="shared" si="105"/>
        <v>0</v>
      </c>
      <c r="H278" s="282">
        <f t="shared" si="105"/>
        <v>0</v>
      </c>
      <c r="I278" s="278">
        <f t="shared" si="105"/>
        <v>0</v>
      </c>
      <c r="J278" s="277">
        <f t="shared" si="105"/>
        <v>0</v>
      </c>
      <c r="K278" s="278">
        <f t="shared" si="105"/>
        <v>0</v>
      </c>
      <c r="L278" s="286">
        <f t="shared" si="105"/>
        <v>0</v>
      </c>
      <c r="M278" s="277">
        <f t="shared" si="105"/>
        <v>0</v>
      </c>
      <c r="N278" s="282">
        <f t="shared" si="105"/>
        <v>0</v>
      </c>
      <c r="O278" s="286">
        <f t="shared" si="105"/>
        <v>0</v>
      </c>
      <c r="P278" s="136"/>
      <c r="R278" s="53"/>
      <c r="S278" s="53"/>
    </row>
    <row r="279" spans="1:19" ht="15.75" hidden="1" customHeight="1" x14ac:dyDescent="0.25">
      <c r="A279" s="76">
        <v>7245</v>
      </c>
      <c r="B279" s="127" t="s">
        <v>295</v>
      </c>
      <c r="C279" s="429">
        <f t="shared" si="95"/>
        <v>0</v>
      </c>
      <c r="D279" s="134"/>
      <c r="E279" s="283"/>
      <c r="F279" s="475">
        <f>D279+E279</f>
        <v>0</v>
      </c>
      <c r="G279" s="134"/>
      <c r="H279" s="285"/>
      <c r="I279" s="283">
        <f>G279+H279</f>
        <v>0</v>
      </c>
      <c r="J279" s="134"/>
      <c r="K279" s="283"/>
      <c r="L279" s="475">
        <f>J279+K279</f>
        <v>0</v>
      </c>
      <c r="M279" s="134"/>
      <c r="N279" s="285"/>
      <c r="O279" s="475">
        <f>N279+M279</f>
        <v>0</v>
      </c>
      <c r="P279" s="443"/>
      <c r="R279" s="53"/>
      <c r="S279" s="53"/>
    </row>
    <row r="280" spans="1:19" ht="16.5" hidden="1" customHeight="1" x14ac:dyDescent="0.25">
      <c r="A280" s="76">
        <v>7246</v>
      </c>
      <c r="B280" s="127" t="s">
        <v>296</v>
      </c>
      <c r="C280" s="429">
        <f t="shared" si="95"/>
        <v>0</v>
      </c>
      <c r="D280" s="134"/>
      <c r="E280" s="283"/>
      <c r="F280" s="475">
        <f>D280+E280</f>
        <v>0</v>
      </c>
      <c r="G280" s="134"/>
      <c r="H280" s="285"/>
      <c r="I280" s="283">
        <f>G280+H280</f>
        <v>0</v>
      </c>
      <c r="J280" s="134"/>
      <c r="K280" s="283"/>
      <c r="L280" s="475">
        <f>J280+K280</f>
        <v>0</v>
      </c>
      <c r="M280" s="134"/>
      <c r="N280" s="285"/>
      <c r="O280" s="475">
        <f>N280+M280</f>
        <v>0</v>
      </c>
      <c r="P280" s="443"/>
      <c r="R280" s="53"/>
      <c r="S280" s="53"/>
    </row>
    <row r="281" spans="1:19" ht="24" hidden="1" x14ac:dyDescent="0.25">
      <c r="A281" s="344">
        <v>7260</v>
      </c>
      <c r="B281" s="116" t="s">
        <v>297</v>
      </c>
      <c r="C281" s="70">
        <f t="shared" si="95"/>
        <v>0</v>
      </c>
      <c r="D281" s="123"/>
      <c r="E281" s="295"/>
      <c r="F281" s="473">
        <f>D281+E281</f>
        <v>0</v>
      </c>
      <c r="G281" s="123"/>
      <c r="H281" s="262"/>
      <c r="I281" s="295">
        <f>G281+H281</f>
        <v>0</v>
      </c>
      <c r="J281" s="123"/>
      <c r="K281" s="295"/>
      <c r="L281" s="473">
        <f>J281+K281</f>
        <v>0</v>
      </c>
      <c r="M281" s="123"/>
      <c r="N281" s="262"/>
      <c r="O281" s="473">
        <f>N281+M281</f>
        <v>0</v>
      </c>
      <c r="P281" s="442"/>
      <c r="R281" s="53"/>
      <c r="S281" s="53"/>
    </row>
    <row r="282" spans="1:19" hidden="1" x14ac:dyDescent="0.25">
      <c r="A282" s="169">
        <v>7700</v>
      </c>
      <c r="B282" s="502" t="s">
        <v>298</v>
      </c>
      <c r="C282" s="671">
        <f t="shared" si="95"/>
        <v>0</v>
      </c>
      <c r="D282" s="360">
        <f t="shared" ref="D282:O282" si="106">D283</f>
        <v>0</v>
      </c>
      <c r="E282" s="679">
        <f t="shared" si="106"/>
        <v>0</v>
      </c>
      <c r="F282" s="316">
        <f t="shared" si="106"/>
        <v>0</v>
      </c>
      <c r="G282" s="360">
        <f t="shared" si="106"/>
        <v>0</v>
      </c>
      <c r="H282" s="304">
        <f t="shared" si="106"/>
        <v>0</v>
      </c>
      <c r="I282" s="679">
        <f t="shared" si="106"/>
        <v>0</v>
      </c>
      <c r="J282" s="360">
        <f t="shared" si="106"/>
        <v>0</v>
      </c>
      <c r="K282" s="679">
        <f t="shared" si="106"/>
        <v>0</v>
      </c>
      <c r="L282" s="316">
        <f t="shared" si="106"/>
        <v>0</v>
      </c>
      <c r="M282" s="360">
        <f t="shared" si="106"/>
        <v>0</v>
      </c>
      <c r="N282" s="304">
        <f t="shared" si="106"/>
        <v>0</v>
      </c>
      <c r="O282" s="316">
        <f t="shared" si="106"/>
        <v>0</v>
      </c>
      <c r="P282" s="305"/>
      <c r="R282" s="53"/>
      <c r="S282" s="53"/>
    </row>
    <row r="283" spans="1:19" hidden="1" x14ac:dyDescent="0.25">
      <c r="A283" s="254">
        <v>7720</v>
      </c>
      <c r="B283" s="116" t="s">
        <v>299</v>
      </c>
      <c r="C283" s="448">
        <f t="shared" si="95"/>
        <v>0</v>
      </c>
      <c r="D283" s="149"/>
      <c r="E283" s="686"/>
      <c r="F283" s="503">
        <f>D283+E283</f>
        <v>0</v>
      </c>
      <c r="G283" s="149"/>
      <c r="H283" s="363"/>
      <c r="I283" s="686">
        <f>G283+H283</f>
        <v>0</v>
      </c>
      <c r="J283" s="149"/>
      <c r="K283" s="686"/>
      <c r="L283" s="503">
        <f>J283+K283</f>
        <v>0</v>
      </c>
      <c r="M283" s="149"/>
      <c r="N283" s="363"/>
      <c r="O283" s="503">
        <f>N283+M283</f>
        <v>0</v>
      </c>
      <c r="P283" s="445"/>
      <c r="R283" s="53"/>
      <c r="S283" s="53"/>
    </row>
    <row r="284" spans="1:19" hidden="1" x14ac:dyDescent="0.25">
      <c r="A284" s="346"/>
      <c r="B284" s="127" t="s">
        <v>300</v>
      </c>
      <c r="C284" s="429">
        <f t="shared" si="95"/>
        <v>0</v>
      </c>
      <c r="D284" s="277">
        <f t="shared" ref="D284:O284" si="107">SUM(D285:D286)</f>
        <v>0</v>
      </c>
      <c r="E284" s="278">
        <f t="shared" si="107"/>
        <v>0</v>
      </c>
      <c r="F284" s="286">
        <f t="shared" si="107"/>
        <v>0</v>
      </c>
      <c r="G284" s="277">
        <f t="shared" si="107"/>
        <v>0</v>
      </c>
      <c r="H284" s="282">
        <f t="shared" si="107"/>
        <v>0</v>
      </c>
      <c r="I284" s="278">
        <f t="shared" si="107"/>
        <v>0</v>
      </c>
      <c r="J284" s="277">
        <f t="shared" si="107"/>
        <v>0</v>
      </c>
      <c r="K284" s="278">
        <f t="shared" si="107"/>
        <v>0</v>
      </c>
      <c r="L284" s="286">
        <f t="shared" si="107"/>
        <v>0</v>
      </c>
      <c r="M284" s="277">
        <f t="shared" si="107"/>
        <v>0</v>
      </c>
      <c r="N284" s="282">
        <f t="shared" si="107"/>
        <v>0</v>
      </c>
      <c r="O284" s="286">
        <f t="shared" si="107"/>
        <v>0</v>
      </c>
      <c r="P284" s="136"/>
      <c r="R284" s="53"/>
      <c r="S284" s="53"/>
    </row>
    <row r="285" spans="1:19" hidden="1" x14ac:dyDescent="0.25">
      <c r="A285" s="346" t="s">
        <v>301</v>
      </c>
      <c r="B285" s="76" t="s">
        <v>302</v>
      </c>
      <c r="C285" s="429">
        <f t="shared" si="95"/>
        <v>0</v>
      </c>
      <c r="D285" s="134"/>
      <c r="E285" s="283"/>
      <c r="F285" s="475">
        <f>D285+E285</f>
        <v>0</v>
      </c>
      <c r="G285" s="134"/>
      <c r="H285" s="285"/>
      <c r="I285" s="283">
        <f>G285+H285</f>
        <v>0</v>
      </c>
      <c r="J285" s="134"/>
      <c r="K285" s="283"/>
      <c r="L285" s="475">
        <f>J285+K285</f>
        <v>0</v>
      </c>
      <c r="M285" s="134"/>
      <c r="N285" s="285"/>
      <c r="O285" s="475">
        <f>N285+M285</f>
        <v>0</v>
      </c>
      <c r="P285" s="443"/>
      <c r="R285" s="53"/>
      <c r="S285" s="53"/>
    </row>
    <row r="286" spans="1:19" ht="24" hidden="1" x14ac:dyDescent="0.25">
      <c r="A286" s="346" t="s">
        <v>303</v>
      </c>
      <c r="B286" s="367" t="s">
        <v>304</v>
      </c>
      <c r="C286" s="70">
        <f t="shared" si="95"/>
        <v>0</v>
      </c>
      <c r="D286" s="123"/>
      <c r="E286" s="295"/>
      <c r="F286" s="473">
        <f>D286+E286</f>
        <v>0</v>
      </c>
      <c r="G286" s="123"/>
      <c r="H286" s="262"/>
      <c r="I286" s="295">
        <f>G286+H286</f>
        <v>0</v>
      </c>
      <c r="J286" s="123"/>
      <c r="K286" s="295"/>
      <c r="L286" s="473">
        <f>J286+K286</f>
        <v>0</v>
      </c>
      <c r="M286" s="123"/>
      <c r="N286" s="262"/>
      <c r="O286" s="473">
        <f>N286+M286</f>
        <v>0</v>
      </c>
      <c r="P286" s="442"/>
      <c r="R286" s="53"/>
      <c r="S286" s="53"/>
    </row>
    <row r="287" spans="1:19" ht="12.75" thickBot="1" x14ac:dyDescent="0.3">
      <c r="A287" s="504"/>
      <c r="B287" s="504" t="s">
        <v>305</v>
      </c>
      <c r="C287" s="716">
        <f t="shared" si="95"/>
        <v>79790</v>
      </c>
      <c r="D287" s="506">
        <f t="shared" ref="D287:O287" si="108">SUM(D284,D271,D233,D198,D190,D176,D78,D56)</f>
        <v>85939</v>
      </c>
      <c r="E287" s="511">
        <f t="shared" si="108"/>
        <v>-9760</v>
      </c>
      <c r="F287" s="505">
        <f t="shared" si="108"/>
        <v>76179</v>
      </c>
      <c r="G287" s="506">
        <f t="shared" si="108"/>
        <v>0</v>
      </c>
      <c r="H287" s="507">
        <f t="shared" si="108"/>
        <v>0</v>
      </c>
      <c r="I287" s="511">
        <f t="shared" si="108"/>
        <v>0</v>
      </c>
      <c r="J287" s="506">
        <f t="shared" si="108"/>
        <v>3611</v>
      </c>
      <c r="K287" s="511">
        <f t="shared" si="108"/>
        <v>0</v>
      </c>
      <c r="L287" s="505">
        <f t="shared" si="108"/>
        <v>3611</v>
      </c>
      <c r="M287" s="506">
        <f t="shared" si="108"/>
        <v>0</v>
      </c>
      <c r="N287" s="507">
        <f t="shared" si="108"/>
        <v>0</v>
      </c>
      <c r="O287" s="505">
        <f t="shared" si="108"/>
        <v>0</v>
      </c>
      <c r="P287" s="508"/>
      <c r="R287" s="53"/>
      <c r="S287" s="53"/>
    </row>
    <row r="288" spans="1:19" s="41" customFormat="1" ht="13.5" hidden="1" thickTop="1" thickBot="1" x14ac:dyDescent="0.3">
      <c r="A288" s="1612" t="s">
        <v>306</v>
      </c>
      <c r="B288" s="1613"/>
      <c r="C288" s="717">
        <f t="shared" si="95"/>
        <v>0</v>
      </c>
      <c r="D288" s="514">
        <f t="shared" ref="D288:I288" si="109">SUM(D28,D29,D45)-D54</f>
        <v>0</v>
      </c>
      <c r="E288" s="718">
        <f t="shared" si="109"/>
        <v>0</v>
      </c>
      <c r="F288" s="513">
        <f t="shared" si="109"/>
        <v>0</v>
      </c>
      <c r="G288" s="514">
        <f t="shared" si="109"/>
        <v>0</v>
      </c>
      <c r="H288" s="515">
        <f t="shared" si="109"/>
        <v>0</v>
      </c>
      <c r="I288" s="718">
        <f t="shared" si="109"/>
        <v>0</v>
      </c>
      <c r="J288" s="514">
        <f>(J30+J46)-J54</f>
        <v>0</v>
      </c>
      <c r="K288" s="718">
        <f>(K30+K46)-K54</f>
        <v>0</v>
      </c>
      <c r="L288" s="513">
        <f>(L30+L46)-L54</f>
        <v>0</v>
      </c>
      <c r="M288" s="514">
        <f>M48-M54</f>
        <v>0</v>
      </c>
      <c r="N288" s="515">
        <f>N48-N54</f>
        <v>0</v>
      </c>
      <c r="O288" s="513">
        <f>O48-O54</f>
        <v>0</v>
      </c>
      <c r="P288" s="516"/>
      <c r="R288" s="53"/>
      <c r="S288" s="53"/>
    </row>
    <row r="289" spans="1:19" s="41" customFormat="1" ht="12.75" hidden="1" thickTop="1" x14ac:dyDescent="0.25">
      <c r="A289" s="1614" t="s">
        <v>307</v>
      </c>
      <c r="B289" s="1615"/>
      <c r="C289" s="719">
        <f t="shared" si="95"/>
        <v>0</v>
      </c>
      <c r="D289" s="519">
        <f t="shared" ref="D289:O289" si="110">SUM(D290,D291)-D298+D299</f>
        <v>0</v>
      </c>
      <c r="E289" s="685">
        <f t="shared" si="110"/>
        <v>0</v>
      </c>
      <c r="F289" s="400">
        <f t="shared" si="110"/>
        <v>0</v>
      </c>
      <c r="G289" s="519">
        <f t="shared" si="110"/>
        <v>0</v>
      </c>
      <c r="H289" s="520">
        <f t="shared" si="110"/>
        <v>0</v>
      </c>
      <c r="I289" s="685">
        <f t="shared" si="110"/>
        <v>0</v>
      </c>
      <c r="J289" s="519">
        <f t="shared" si="110"/>
        <v>0</v>
      </c>
      <c r="K289" s="685">
        <f t="shared" si="110"/>
        <v>0</v>
      </c>
      <c r="L289" s="400">
        <f t="shared" si="110"/>
        <v>0</v>
      </c>
      <c r="M289" s="519">
        <f t="shared" si="110"/>
        <v>0</v>
      </c>
      <c r="N289" s="520">
        <f t="shared" si="110"/>
        <v>0</v>
      </c>
      <c r="O289" s="400">
        <f t="shared" si="110"/>
        <v>0</v>
      </c>
      <c r="P289" s="521"/>
      <c r="R289" s="53"/>
      <c r="S289" s="53"/>
    </row>
    <row r="290" spans="1:19" s="41" customFormat="1" ht="13.5" hidden="1" thickTop="1" thickBot="1" x14ac:dyDescent="0.3">
      <c r="A290" s="209" t="s">
        <v>308</v>
      </c>
      <c r="B290" s="209" t="s">
        <v>309</v>
      </c>
      <c r="C290" s="425">
        <f t="shared" si="95"/>
        <v>0</v>
      </c>
      <c r="D290" s="211">
        <f t="shared" ref="D290:O290" si="111">D25-D284</f>
        <v>0</v>
      </c>
      <c r="E290" s="212">
        <f t="shared" si="111"/>
        <v>0</v>
      </c>
      <c r="F290" s="463">
        <f t="shared" si="111"/>
        <v>0</v>
      </c>
      <c r="G290" s="211">
        <f t="shared" si="111"/>
        <v>0</v>
      </c>
      <c r="H290" s="217">
        <f t="shared" si="111"/>
        <v>0</v>
      </c>
      <c r="I290" s="212">
        <f t="shared" si="111"/>
        <v>0</v>
      </c>
      <c r="J290" s="211">
        <f t="shared" si="111"/>
        <v>0</v>
      </c>
      <c r="K290" s="212">
        <f t="shared" si="111"/>
        <v>0</v>
      </c>
      <c r="L290" s="463">
        <f t="shared" si="111"/>
        <v>0</v>
      </c>
      <c r="M290" s="211">
        <f t="shared" si="111"/>
        <v>0</v>
      </c>
      <c r="N290" s="217">
        <f t="shared" si="111"/>
        <v>0</v>
      </c>
      <c r="O290" s="463">
        <f t="shared" si="111"/>
        <v>0</v>
      </c>
      <c r="P290" s="215"/>
      <c r="R290" s="53"/>
      <c r="S290" s="53"/>
    </row>
    <row r="291" spans="1:19" s="41" customFormat="1" ht="12.75" hidden="1" thickTop="1" x14ac:dyDescent="0.25">
      <c r="A291" s="524" t="s">
        <v>310</v>
      </c>
      <c r="B291" s="524" t="s">
        <v>311</v>
      </c>
      <c r="C291" s="719">
        <f t="shared" si="95"/>
        <v>0</v>
      </c>
      <c r="D291" s="519">
        <f t="shared" ref="D291:O291" si="112">SUM(D292,D294,D296)-SUM(D293,D295,D297)</f>
        <v>0</v>
      </c>
      <c r="E291" s="685">
        <f t="shared" si="112"/>
        <v>0</v>
      </c>
      <c r="F291" s="400">
        <f t="shared" si="112"/>
        <v>0</v>
      </c>
      <c r="G291" s="519">
        <f t="shared" si="112"/>
        <v>0</v>
      </c>
      <c r="H291" s="520">
        <f t="shared" si="112"/>
        <v>0</v>
      </c>
      <c r="I291" s="685">
        <f t="shared" si="112"/>
        <v>0</v>
      </c>
      <c r="J291" s="519">
        <f t="shared" si="112"/>
        <v>0</v>
      </c>
      <c r="K291" s="685">
        <f t="shared" si="112"/>
        <v>0</v>
      </c>
      <c r="L291" s="400">
        <f t="shared" si="112"/>
        <v>0</v>
      </c>
      <c r="M291" s="519">
        <f t="shared" si="112"/>
        <v>0</v>
      </c>
      <c r="N291" s="520">
        <f t="shared" si="112"/>
        <v>0</v>
      </c>
      <c r="O291" s="400">
        <f t="shared" si="112"/>
        <v>0</v>
      </c>
      <c r="P291" s="521"/>
      <c r="R291" s="53"/>
      <c r="S291" s="53"/>
    </row>
    <row r="292" spans="1:19" ht="12.75" hidden="1" thickTop="1" x14ac:dyDescent="0.25">
      <c r="A292" s="366" t="s">
        <v>312</v>
      </c>
      <c r="B292" s="190" t="s">
        <v>313</v>
      </c>
      <c r="C292" s="448">
        <f t="shared" si="95"/>
        <v>0</v>
      </c>
      <c r="D292" s="149"/>
      <c r="E292" s="686"/>
      <c r="F292" s="503">
        <f t="shared" ref="F292:F299" si="113">D292+E292</f>
        <v>0</v>
      </c>
      <c r="G292" s="149"/>
      <c r="H292" s="363"/>
      <c r="I292" s="686">
        <f t="shared" ref="I292:I299" si="114">G292+H292</f>
        <v>0</v>
      </c>
      <c r="J292" s="149"/>
      <c r="K292" s="686"/>
      <c r="L292" s="503">
        <f t="shared" ref="L292:L299" si="115">J292+K292</f>
        <v>0</v>
      </c>
      <c r="M292" s="149"/>
      <c r="N292" s="363"/>
      <c r="O292" s="503">
        <f t="shared" ref="O292:O299" si="116">N292+M292</f>
        <v>0</v>
      </c>
      <c r="P292" s="445"/>
      <c r="R292" s="53"/>
      <c r="S292" s="53"/>
    </row>
    <row r="293" spans="1:19" ht="24.75" hidden="1" thickTop="1" x14ac:dyDescent="0.25">
      <c r="A293" s="346" t="s">
        <v>314</v>
      </c>
      <c r="B293" s="75" t="s">
        <v>315</v>
      </c>
      <c r="C293" s="429">
        <f t="shared" si="95"/>
        <v>0</v>
      </c>
      <c r="D293" s="134"/>
      <c r="E293" s="283"/>
      <c r="F293" s="475">
        <f t="shared" si="113"/>
        <v>0</v>
      </c>
      <c r="G293" s="134"/>
      <c r="H293" s="285"/>
      <c r="I293" s="283">
        <f t="shared" si="114"/>
        <v>0</v>
      </c>
      <c r="J293" s="134"/>
      <c r="K293" s="283"/>
      <c r="L293" s="475">
        <f t="shared" si="115"/>
        <v>0</v>
      </c>
      <c r="M293" s="134"/>
      <c r="N293" s="285"/>
      <c r="O293" s="475">
        <f t="shared" si="116"/>
        <v>0</v>
      </c>
      <c r="P293" s="443"/>
      <c r="R293" s="53"/>
      <c r="S293" s="53"/>
    </row>
    <row r="294" spans="1:19" ht="12.75" hidden="1" thickTop="1" x14ac:dyDescent="0.25">
      <c r="A294" s="346" t="s">
        <v>316</v>
      </c>
      <c r="B294" s="75" t="s">
        <v>317</v>
      </c>
      <c r="C294" s="429">
        <f t="shared" si="95"/>
        <v>0</v>
      </c>
      <c r="D294" s="134"/>
      <c r="E294" s="283"/>
      <c r="F294" s="475">
        <f t="shared" si="113"/>
        <v>0</v>
      </c>
      <c r="G294" s="134"/>
      <c r="H294" s="285"/>
      <c r="I294" s="283">
        <f t="shared" si="114"/>
        <v>0</v>
      </c>
      <c r="J294" s="134"/>
      <c r="K294" s="283"/>
      <c r="L294" s="475">
        <f t="shared" si="115"/>
        <v>0</v>
      </c>
      <c r="M294" s="134"/>
      <c r="N294" s="285"/>
      <c r="O294" s="475">
        <f t="shared" si="116"/>
        <v>0</v>
      </c>
      <c r="P294" s="443"/>
      <c r="R294" s="53"/>
      <c r="S294" s="53"/>
    </row>
    <row r="295" spans="1:19" ht="24.75" hidden="1" thickTop="1" x14ac:dyDescent="0.25">
      <c r="A295" s="346" t="s">
        <v>318</v>
      </c>
      <c r="B295" s="75" t="s">
        <v>319</v>
      </c>
      <c r="C295" s="429">
        <f t="shared" si="95"/>
        <v>0</v>
      </c>
      <c r="D295" s="134"/>
      <c r="E295" s="283"/>
      <c r="F295" s="475">
        <f t="shared" si="113"/>
        <v>0</v>
      </c>
      <c r="G295" s="134"/>
      <c r="H295" s="285"/>
      <c r="I295" s="283">
        <f t="shared" si="114"/>
        <v>0</v>
      </c>
      <c r="J295" s="134"/>
      <c r="K295" s="283"/>
      <c r="L295" s="475">
        <f t="shared" si="115"/>
        <v>0</v>
      </c>
      <c r="M295" s="134"/>
      <c r="N295" s="285"/>
      <c r="O295" s="475">
        <f t="shared" si="116"/>
        <v>0</v>
      </c>
      <c r="P295" s="443"/>
      <c r="R295" s="53"/>
      <c r="S295" s="53"/>
    </row>
    <row r="296" spans="1:19" ht="12.75" hidden="1" thickTop="1" x14ac:dyDescent="0.25">
      <c r="A296" s="346" t="s">
        <v>320</v>
      </c>
      <c r="B296" s="75" t="s">
        <v>321</v>
      </c>
      <c r="C296" s="429">
        <f t="shared" si="95"/>
        <v>0</v>
      </c>
      <c r="D296" s="134"/>
      <c r="E296" s="283"/>
      <c r="F296" s="475">
        <f t="shared" si="113"/>
        <v>0</v>
      </c>
      <c r="G296" s="134"/>
      <c r="H296" s="285"/>
      <c r="I296" s="283">
        <f t="shared" si="114"/>
        <v>0</v>
      </c>
      <c r="J296" s="134"/>
      <c r="K296" s="283"/>
      <c r="L296" s="475">
        <f t="shared" si="115"/>
        <v>0</v>
      </c>
      <c r="M296" s="134"/>
      <c r="N296" s="285"/>
      <c r="O296" s="475">
        <f t="shared" si="116"/>
        <v>0</v>
      </c>
      <c r="P296" s="443"/>
      <c r="R296" s="53"/>
      <c r="S296" s="53"/>
    </row>
    <row r="297" spans="1:19" ht="24.75" hidden="1" thickTop="1" x14ac:dyDescent="0.25">
      <c r="A297" s="389" t="s">
        <v>322</v>
      </c>
      <c r="B297" s="390" t="s">
        <v>323</v>
      </c>
      <c r="C297" s="713">
        <f t="shared" si="95"/>
        <v>0</v>
      </c>
      <c r="D297" s="328"/>
      <c r="E297" s="683"/>
      <c r="F297" s="492">
        <f t="shared" si="113"/>
        <v>0</v>
      </c>
      <c r="G297" s="328"/>
      <c r="H297" s="329"/>
      <c r="I297" s="683">
        <f t="shared" si="114"/>
        <v>0</v>
      </c>
      <c r="J297" s="328"/>
      <c r="K297" s="683"/>
      <c r="L297" s="492">
        <f t="shared" si="115"/>
        <v>0</v>
      </c>
      <c r="M297" s="328"/>
      <c r="N297" s="329"/>
      <c r="O297" s="492">
        <f t="shared" si="116"/>
        <v>0</v>
      </c>
      <c r="P297" s="491"/>
      <c r="R297" s="53"/>
      <c r="S297" s="53"/>
    </row>
    <row r="298" spans="1:19" s="41" customFormat="1" ht="13.5" hidden="1" thickTop="1" thickBot="1" x14ac:dyDescent="0.3">
      <c r="A298" s="525" t="s">
        <v>324</v>
      </c>
      <c r="B298" s="525" t="s">
        <v>325</v>
      </c>
      <c r="C298" s="717">
        <f t="shared" si="95"/>
        <v>0</v>
      </c>
      <c r="D298" s="526"/>
      <c r="E298" s="720"/>
      <c r="F298" s="531">
        <f t="shared" si="113"/>
        <v>0</v>
      </c>
      <c r="G298" s="526"/>
      <c r="H298" s="527"/>
      <c r="I298" s="720">
        <f t="shared" si="114"/>
        <v>0</v>
      </c>
      <c r="J298" s="526"/>
      <c r="K298" s="720"/>
      <c r="L298" s="531">
        <f t="shared" si="115"/>
        <v>0</v>
      </c>
      <c r="M298" s="526"/>
      <c r="N298" s="527"/>
      <c r="O298" s="531">
        <f t="shared" si="116"/>
        <v>0</v>
      </c>
      <c r="P298" s="528"/>
      <c r="R298" s="53"/>
      <c r="S298" s="53"/>
    </row>
    <row r="299" spans="1:19" s="41" customFormat="1" ht="48.75" hidden="1" thickTop="1" x14ac:dyDescent="0.25">
      <c r="A299" s="524" t="s">
        <v>326</v>
      </c>
      <c r="B299" s="396" t="s">
        <v>327</v>
      </c>
      <c r="C299" s="719">
        <f t="shared" si="95"/>
        <v>0</v>
      </c>
      <c r="D299" s="311"/>
      <c r="E299" s="712"/>
      <c r="F299" s="489">
        <f t="shared" si="113"/>
        <v>0</v>
      </c>
      <c r="G299" s="311"/>
      <c r="H299" s="312"/>
      <c r="I299" s="712">
        <f t="shared" si="114"/>
        <v>0</v>
      </c>
      <c r="J299" s="311"/>
      <c r="K299" s="712"/>
      <c r="L299" s="489">
        <f t="shared" si="115"/>
        <v>0</v>
      </c>
      <c r="M299" s="311"/>
      <c r="N299" s="312"/>
      <c r="O299" s="489">
        <f t="shared" si="116"/>
        <v>0</v>
      </c>
      <c r="P299" s="488"/>
      <c r="R299" s="53"/>
      <c r="S299" s="53"/>
    </row>
    <row r="300" spans="1:19" ht="12.75" thickTop="1" x14ac:dyDescent="0.2">
      <c r="A300" s="533" t="s">
        <v>328</v>
      </c>
      <c r="B300" s="402"/>
      <c r="C300" s="402"/>
      <c r="D300" s="402"/>
      <c r="E300" s="402"/>
      <c r="F300" s="402"/>
      <c r="G300" s="402"/>
      <c r="H300" s="402"/>
      <c r="I300" s="402"/>
      <c r="J300" s="402"/>
      <c r="K300" s="402"/>
      <c r="L300" s="402"/>
      <c r="M300" s="402"/>
      <c r="N300" s="402"/>
      <c r="O300" s="402"/>
      <c r="P300" s="403"/>
      <c r="Q300" s="7"/>
    </row>
    <row r="301" spans="1:19" ht="12.75" x14ac:dyDescent="0.25">
      <c r="A301" s="1620" t="s">
        <v>530</v>
      </c>
      <c r="B301" s="1621"/>
      <c r="C301" s="1621"/>
      <c r="D301" s="1621"/>
      <c r="E301" s="1621"/>
      <c r="F301" s="1621"/>
      <c r="G301" s="1621"/>
      <c r="H301" s="1621"/>
      <c r="I301" s="1621"/>
      <c r="J301" s="1621"/>
      <c r="K301" s="1621"/>
      <c r="L301" s="1621"/>
      <c r="M301" s="1621"/>
      <c r="N301" s="1621"/>
      <c r="O301" s="1622"/>
      <c r="P301" s="1622"/>
      <c r="Q301" s="7"/>
    </row>
    <row r="302" spans="1:19" hidden="1" x14ac:dyDescent="0.25">
      <c r="A302" s="721"/>
      <c r="B302" s="722"/>
      <c r="C302" s="722"/>
      <c r="D302" s="722"/>
      <c r="E302" s="722"/>
      <c r="F302" s="722"/>
      <c r="G302" s="722"/>
      <c r="H302" s="722"/>
      <c r="I302" s="722"/>
      <c r="J302" s="722"/>
      <c r="K302" s="722"/>
      <c r="L302" s="722"/>
      <c r="M302" s="722"/>
      <c r="N302" s="722"/>
      <c r="O302" s="723"/>
      <c r="P302" s="723"/>
    </row>
    <row r="303" spans="1:19" hidden="1" x14ac:dyDescent="0.25">
      <c r="A303" s="721" t="s">
        <v>531</v>
      </c>
      <c r="B303" s="724"/>
      <c r="C303" s="722"/>
      <c r="D303" s="722"/>
      <c r="E303" s="722"/>
      <c r="F303" s="722"/>
      <c r="G303" s="722"/>
      <c r="H303" s="722"/>
      <c r="I303" s="722"/>
      <c r="J303" s="722"/>
      <c r="K303" s="722"/>
      <c r="L303" s="722"/>
      <c r="M303" s="722"/>
      <c r="N303" s="722"/>
      <c r="O303" s="723"/>
      <c r="P303" s="723"/>
    </row>
    <row r="304" spans="1:19" ht="12.75" thickBot="1" x14ac:dyDescent="0.3">
      <c r="A304" s="538"/>
      <c r="B304" s="539"/>
      <c r="C304" s="539"/>
      <c r="D304" s="539"/>
      <c r="E304" s="539"/>
      <c r="F304" s="539"/>
      <c r="G304" s="539"/>
      <c r="H304" s="539"/>
      <c r="I304" s="539"/>
      <c r="J304" s="539"/>
      <c r="K304" s="539"/>
      <c r="L304" s="539"/>
      <c r="M304" s="539"/>
      <c r="N304" s="539"/>
      <c r="O304" s="539"/>
      <c r="P304" s="725"/>
      <c r="Q304" s="7"/>
    </row>
    <row r="305" spans="1:16" x14ac:dyDescent="0.25">
      <c r="A305" s="5"/>
      <c r="B305" s="5"/>
      <c r="C305" s="5"/>
      <c r="D305" s="5"/>
      <c r="E305" s="5"/>
      <c r="F305" s="5"/>
      <c r="G305" s="5"/>
      <c r="H305" s="5"/>
      <c r="I305" s="5"/>
      <c r="J305" s="5"/>
      <c r="K305" s="5"/>
      <c r="L305" s="5"/>
      <c r="M305" s="5"/>
      <c r="N305" s="5"/>
      <c r="O305" s="541"/>
      <c r="P305" s="541"/>
    </row>
    <row r="306" spans="1:16" x14ac:dyDescent="0.25">
      <c r="A306" s="5"/>
      <c r="B306" s="5"/>
      <c r="C306" s="5"/>
      <c r="D306" s="5"/>
      <c r="E306" s="5"/>
      <c r="F306" s="5"/>
      <c r="G306" s="5"/>
      <c r="H306" s="5"/>
      <c r="I306" s="5"/>
      <c r="J306" s="5"/>
      <c r="K306" s="5"/>
      <c r="L306" s="5"/>
      <c r="M306" s="5"/>
      <c r="N306" s="5"/>
      <c r="O306" s="5"/>
      <c r="P306" s="5"/>
    </row>
    <row r="307" spans="1:16" x14ac:dyDescent="0.25">
      <c r="A307" s="5"/>
      <c r="B307" s="5"/>
      <c r="C307" s="5"/>
      <c r="D307" s="5"/>
      <c r="E307" s="5"/>
      <c r="F307" s="5"/>
      <c r="G307" s="5"/>
      <c r="H307" s="5"/>
      <c r="I307" s="5"/>
      <c r="J307" s="5"/>
      <c r="K307" s="5"/>
      <c r="L307" s="5"/>
      <c r="M307" s="5"/>
      <c r="N307" s="5"/>
      <c r="O307" s="5"/>
      <c r="P307" s="5"/>
    </row>
    <row r="308" spans="1:16" x14ac:dyDescent="0.25">
      <c r="A308" s="5"/>
      <c r="B308" s="5"/>
      <c r="C308" s="5"/>
      <c r="D308" s="5"/>
      <c r="E308" s="5"/>
      <c r="F308" s="5"/>
      <c r="G308" s="5"/>
      <c r="H308" s="5"/>
      <c r="I308" s="5"/>
      <c r="J308" s="5"/>
      <c r="K308" s="5"/>
      <c r="L308" s="5"/>
      <c r="M308" s="5"/>
      <c r="N308" s="5"/>
      <c r="O308" s="5"/>
      <c r="P308" s="5"/>
    </row>
    <row r="309" spans="1:16" x14ac:dyDescent="0.25">
      <c r="A309" s="5"/>
      <c r="B309" s="5"/>
      <c r="C309" s="5"/>
      <c r="D309" s="5"/>
      <c r="E309" s="5"/>
      <c r="F309" s="5"/>
      <c r="G309" s="5"/>
      <c r="H309" s="5"/>
      <c r="I309" s="5"/>
      <c r="J309" s="5"/>
      <c r="K309" s="5"/>
      <c r="L309" s="5"/>
      <c r="M309" s="5"/>
      <c r="N309" s="5"/>
      <c r="O309" s="5"/>
      <c r="P309" s="5"/>
    </row>
    <row r="310" spans="1:16" x14ac:dyDescent="0.25">
      <c r="A310" s="5"/>
      <c r="B310" s="5"/>
      <c r="C310" s="5"/>
      <c r="D310" s="5"/>
      <c r="E310" s="5"/>
      <c r="F310" s="5"/>
      <c r="G310" s="5"/>
      <c r="H310" s="5"/>
      <c r="I310" s="5"/>
      <c r="J310" s="5"/>
      <c r="K310" s="5"/>
      <c r="L310" s="5"/>
      <c r="M310" s="5"/>
      <c r="N310" s="5"/>
      <c r="O310" s="5"/>
      <c r="P310" s="5"/>
    </row>
    <row r="311" spans="1:16" x14ac:dyDescent="0.25">
      <c r="A311" s="5"/>
      <c r="B311" s="5"/>
      <c r="C311" s="5"/>
      <c r="D311" s="5"/>
      <c r="E311" s="5"/>
      <c r="F311" s="5"/>
      <c r="G311" s="5"/>
      <c r="H311" s="5"/>
      <c r="I311" s="5"/>
      <c r="J311" s="5"/>
      <c r="K311" s="5"/>
      <c r="L311" s="5"/>
      <c r="M311" s="5"/>
      <c r="N311" s="5"/>
      <c r="O311" s="5"/>
      <c r="P311" s="5"/>
    </row>
    <row r="312" spans="1:16" x14ac:dyDescent="0.25">
      <c r="A312" s="5"/>
      <c r="B312" s="5"/>
      <c r="C312" s="5"/>
      <c r="D312" s="5"/>
      <c r="E312" s="5"/>
      <c r="F312" s="5"/>
      <c r="G312" s="5"/>
      <c r="H312" s="5"/>
      <c r="I312" s="5"/>
      <c r="J312" s="5"/>
      <c r="K312" s="5"/>
      <c r="L312" s="5"/>
      <c r="M312" s="5"/>
      <c r="N312" s="5"/>
      <c r="O312" s="5"/>
      <c r="P312" s="5"/>
    </row>
    <row r="313" spans="1:16" x14ac:dyDescent="0.25">
      <c r="A313" s="5"/>
      <c r="B313" s="5"/>
      <c r="C313" s="5"/>
      <c r="D313" s="5"/>
      <c r="E313" s="5"/>
      <c r="F313" s="5"/>
      <c r="G313" s="5"/>
      <c r="H313" s="5"/>
      <c r="I313" s="5"/>
      <c r="J313" s="5"/>
      <c r="K313" s="5"/>
      <c r="L313" s="5"/>
      <c r="M313" s="5"/>
      <c r="N313" s="5"/>
      <c r="O313" s="5"/>
      <c r="P313" s="5"/>
    </row>
    <row r="314" spans="1:16" x14ac:dyDescent="0.25">
      <c r="A314" s="5"/>
      <c r="B314" s="5"/>
      <c r="C314" s="5"/>
      <c r="D314" s="5"/>
      <c r="E314" s="5"/>
      <c r="F314" s="5"/>
      <c r="G314" s="5"/>
      <c r="H314" s="5"/>
      <c r="I314" s="5"/>
      <c r="J314" s="5"/>
      <c r="K314" s="5"/>
      <c r="L314" s="5"/>
      <c r="M314" s="5"/>
      <c r="N314" s="5"/>
      <c r="O314" s="5"/>
      <c r="P314" s="5"/>
    </row>
    <row r="315" spans="1:16" x14ac:dyDescent="0.25">
      <c r="A315" s="5"/>
      <c r="B315" s="5"/>
      <c r="C315" s="5"/>
      <c r="D315" s="5"/>
      <c r="E315" s="5"/>
      <c r="F315" s="5"/>
      <c r="G315" s="5"/>
      <c r="H315" s="5"/>
      <c r="I315" s="5"/>
      <c r="J315" s="5"/>
      <c r="K315" s="5"/>
      <c r="L315" s="5"/>
      <c r="M315" s="5"/>
      <c r="N315" s="5"/>
      <c r="O315" s="5"/>
      <c r="P315" s="5"/>
    </row>
    <row r="316" spans="1:16" x14ac:dyDescent="0.25">
      <c r="A316" s="5"/>
      <c r="B316" s="5"/>
      <c r="C316" s="5"/>
      <c r="D316" s="5"/>
      <c r="E316" s="5"/>
      <c r="F316" s="5"/>
      <c r="G316" s="5"/>
      <c r="H316" s="5"/>
      <c r="I316" s="5"/>
      <c r="J316" s="5"/>
      <c r="K316" s="5"/>
      <c r="L316" s="5"/>
      <c r="M316" s="5"/>
      <c r="N316" s="5"/>
      <c r="O316" s="5"/>
      <c r="P316" s="5"/>
    </row>
    <row r="317" spans="1:16" x14ac:dyDescent="0.25">
      <c r="A317" s="5"/>
      <c r="B317" s="5"/>
      <c r="C317" s="5"/>
      <c r="D317" s="5"/>
      <c r="E317" s="5"/>
      <c r="F317" s="5"/>
      <c r="G317" s="5"/>
      <c r="H317" s="5"/>
      <c r="I317" s="5"/>
      <c r="J317" s="5"/>
      <c r="K317" s="5"/>
      <c r="L317" s="5"/>
      <c r="M317" s="5"/>
      <c r="N317" s="5"/>
      <c r="O317" s="5"/>
      <c r="P317" s="5"/>
    </row>
    <row r="318" spans="1:16" x14ac:dyDescent="0.25">
      <c r="A318" s="5"/>
      <c r="B318" s="5"/>
      <c r="C318" s="5"/>
      <c r="D318" s="5"/>
      <c r="E318" s="5"/>
      <c r="F318" s="5"/>
      <c r="G318" s="5"/>
      <c r="H318" s="5"/>
      <c r="I318" s="5"/>
      <c r="J318" s="5"/>
      <c r="K318" s="5"/>
      <c r="L318" s="5"/>
      <c r="M318" s="5"/>
      <c r="N318" s="5"/>
      <c r="O318" s="5"/>
      <c r="P318" s="5"/>
    </row>
  </sheetData>
  <sheetProtection algorithmName="SHA-512" hashValue="erTcB6pY5n6DtVIb1QmXTDUYfHdlNcNUYR1yLF5Vhfjs8jLxAvWB0FQKbl0IBGMpymhn1Rb4y+Ue+CWD0XCwIA==" saltValue="kEbl4dQ3uoT0IXy3FblalA==" spinCount="100000" sheet="1" objects="1" scenarios="1" formatCells="0" formatColumns="0" formatRows="0"/>
  <autoFilter ref="A22:P301">
    <filterColumn colId="2">
      <filters blank="1">
        <filter val="14"/>
        <filter val="16 888"/>
        <filter val="19 888"/>
        <filter val="2 770"/>
        <filter val="2 995"/>
        <filter val="20 135"/>
        <filter val="200"/>
        <filter val="208"/>
        <filter val="230"/>
        <filter val="24 040"/>
        <filter val="3 052"/>
        <filter val="3 611"/>
        <filter val="47 378"/>
        <filter val="56 850"/>
        <filter val="59 902"/>
        <filter val="76 179"/>
        <filter val="79 790"/>
        <filter val="9 258"/>
        <filter val="9 458"/>
      </filters>
    </filterColumn>
  </autoFilter>
  <mergeCells count="32">
    <mergeCell ref="A288:B288"/>
    <mergeCell ref="A289:B289"/>
    <mergeCell ref="A301:P301"/>
    <mergeCell ref="I20:I21"/>
    <mergeCell ref="J20:J21"/>
    <mergeCell ref="K20:K21"/>
    <mergeCell ref="L20:L21"/>
    <mergeCell ref="M20:M21"/>
    <mergeCell ref="N20:N21"/>
    <mergeCell ref="A19:A21"/>
    <mergeCell ref="B19:B21"/>
    <mergeCell ref="C19:O19"/>
    <mergeCell ref="P19:P21"/>
    <mergeCell ref="C20:C21"/>
    <mergeCell ref="D20:D21"/>
    <mergeCell ref="E20:E21"/>
    <mergeCell ref="F20:F21"/>
    <mergeCell ref="G20:G21"/>
    <mergeCell ref="H20:H21"/>
    <mergeCell ref="C12:P12"/>
    <mergeCell ref="C13:P13"/>
    <mergeCell ref="C14:P14"/>
    <mergeCell ref="C15:P15"/>
    <mergeCell ref="C16:P16"/>
    <mergeCell ref="C17:P17"/>
    <mergeCell ref="O20:O21"/>
    <mergeCell ref="C10:P10"/>
    <mergeCell ref="A4:P4"/>
    <mergeCell ref="C6:P6"/>
    <mergeCell ref="C7:P7"/>
    <mergeCell ref="C8:P8"/>
    <mergeCell ref="C9:P9"/>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79.pielikums Jūrmalas pilsētas domes
2017.gada 30.janvāra saistošajiem noteikumiem Nr.10
(Protokols Nr.4, 1.punkts)
 </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9"/>
  <sheetViews>
    <sheetView view="pageLayout" zoomScaleNormal="90" workbookViewId="0">
      <selection activeCell="S7" sqref="S7"/>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1252</v>
      </c>
    </row>
    <row r="2" spans="1:17" ht="39.75" customHeight="1" x14ac:dyDescent="0.25">
      <c r="A2" s="1586" t="s">
        <v>1</v>
      </c>
      <c r="B2" s="1587"/>
      <c r="C2" s="1587"/>
      <c r="D2" s="1587"/>
      <c r="E2" s="1587"/>
      <c r="F2" s="1587"/>
      <c r="G2" s="1587"/>
      <c r="H2" s="1587"/>
      <c r="I2" s="1587"/>
      <c r="J2" s="1587"/>
      <c r="K2" s="1587"/>
      <c r="L2" s="1587"/>
      <c r="M2" s="1587"/>
      <c r="N2" s="1587"/>
      <c r="O2" s="1587"/>
      <c r="P2" s="1587"/>
      <c r="Q2" s="7"/>
    </row>
    <row r="3" spans="1:17" ht="26.25" customHeight="1" x14ac:dyDescent="0.25">
      <c r="A3" s="13" t="s">
        <v>2</v>
      </c>
      <c r="B3" s="14"/>
      <c r="C3" s="1555" t="s">
        <v>1253</v>
      </c>
      <c r="D3" s="1555"/>
      <c r="E3" s="1555"/>
      <c r="F3" s="1555"/>
      <c r="G3" s="1555"/>
      <c r="H3" s="1555"/>
      <c r="I3" s="1555"/>
      <c r="J3" s="1555"/>
      <c r="K3" s="1555"/>
      <c r="L3" s="1555"/>
      <c r="M3" s="1555"/>
      <c r="N3" s="1555"/>
      <c r="O3" s="1555"/>
      <c r="P3" s="1555"/>
      <c r="Q3" s="7"/>
    </row>
    <row r="4" spans="1:17" ht="12.75" x14ac:dyDescent="0.25">
      <c r="A4" s="13" t="s">
        <v>4</v>
      </c>
      <c r="B4" s="14"/>
      <c r="C4" s="1555" t="s">
        <v>1254</v>
      </c>
      <c r="D4" s="1555"/>
      <c r="E4" s="1555"/>
      <c r="F4" s="1555"/>
      <c r="G4" s="1555"/>
      <c r="H4" s="1555"/>
      <c r="I4" s="1555"/>
      <c r="J4" s="1555"/>
      <c r="K4" s="1555"/>
      <c r="L4" s="1555"/>
      <c r="M4" s="1555"/>
      <c r="N4" s="1555"/>
      <c r="O4" s="1555"/>
      <c r="P4" s="1555"/>
      <c r="Q4" s="7"/>
    </row>
    <row r="5" spans="1:17" x14ac:dyDescent="0.25">
      <c r="A5" s="8" t="s">
        <v>6</v>
      </c>
      <c r="B5" s="9"/>
      <c r="C5" s="1553" t="s">
        <v>1255</v>
      </c>
      <c r="D5" s="1553"/>
      <c r="E5" s="1553"/>
      <c r="F5" s="1553"/>
      <c r="G5" s="1553"/>
      <c r="H5" s="1553"/>
      <c r="I5" s="1553"/>
      <c r="J5" s="1553"/>
      <c r="K5" s="1553"/>
      <c r="L5" s="1553"/>
      <c r="M5" s="1553"/>
      <c r="N5" s="1553"/>
      <c r="O5" s="1553"/>
      <c r="P5" s="1553"/>
      <c r="Q5" s="7"/>
    </row>
    <row r="6" spans="1:17" x14ac:dyDescent="0.25">
      <c r="A6" s="8" t="s">
        <v>8</v>
      </c>
      <c r="B6" s="9"/>
      <c r="C6" s="1553" t="s">
        <v>873</v>
      </c>
      <c r="D6" s="1553"/>
      <c r="E6" s="1553"/>
      <c r="F6" s="1553"/>
      <c r="G6" s="1553"/>
      <c r="H6" s="1553"/>
      <c r="I6" s="1553"/>
      <c r="J6" s="1553"/>
      <c r="K6" s="1553"/>
      <c r="L6" s="1553"/>
      <c r="M6" s="1553"/>
      <c r="N6" s="1553"/>
      <c r="O6" s="1553"/>
      <c r="P6" s="1553"/>
      <c r="Q6" s="7"/>
    </row>
    <row r="7" spans="1:17" x14ac:dyDescent="0.25">
      <c r="A7" s="8" t="s">
        <v>10</v>
      </c>
      <c r="B7" s="9"/>
      <c r="C7" s="1555" t="s">
        <v>1256</v>
      </c>
      <c r="D7" s="1555"/>
      <c r="E7" s="1555"/>
      <c r="F7" s="1555"/>
      <c r="G7" s="1555"/>
      <c r="H7" s="1555"/>
      <c r="I7" s="1555"/>
      <c r="J7" s="1555"/>
      <c r="K7" s="1555"/>
      <c r="L7" s="1555"/>
      <c r="M7" s="1555"/>
      <c r="N7" s="1555"/>
      <c r="O7" s="1555"/>
      <c r="P7" s="1555"/>
      <c r="Q7" s="7"/>
    </row>
    <row r="8" spans="1:17" x14ac:dyDescent="0.25">
      <c r="A8" s="8" t="s">
        <v>12</v>
      </c>
      <c r="B8" s="9"/>
      <c r="C8" s="1555" t="s">
        <v>1257</v>
      </c>
      <c r="D8" s="1555"/>
      <c r="E8" s="1555"/>
      <c r="F8" s="1555"/>
      <c r="G8" s="1555"/>
      <c r="H8" s="1555"/>
      <c r="I8" s="1555"/>
      <c r="J8" s="1555"/>
      <c r="K8" s="1555"/>
      <c r="L8" s="1555"/>
      <c r="M8" s="1555"/>
      <c r="N8" s="1555"/>
      <c r="O8" s="1555"/>
      <c r="P8" s="1555"/>
      <c r="Q8" s="7"/>
    </row>
    <row r="9" spans="1:17" x14ac:dyDescent="0.25">
      <c r="A9" s="15" t="s">
        <v>14</v>
      </c>
      <c r="B9" s="9"/>
      <c r="C9" s="16"/>
      <c r="D9" s="16"/>
      <c r="E9" s="16"/>
      <c r="F9" s="16"/>
      <c r="G9" s="16"/>
      <c r="H9" s="16"/>
      <c r="I9" s="16"/>
      <c r="J9" s="16"/>
      <c r="K9" s="16"/>
      <c r="L9" s="16"/>
      <c r="M9" s="16"/>
      <c r="N9" s="16"/>
      <c r="O9" s="16"/>
      <c r="P9" s="624"/>
      <c r="Q9" s="7"/>
    </row>
    <row r="10" spans="1:17" x14ac:dyDescent="0.25">
      <c r="A10" s="8"/>
      <c r="B10" s="9" t="s">
        <v>15</v>
      </c>
      <c r="C10" s="1553" t="s">
        <v>1258</v>
      </c>
      <c r="D10" s="1553"/>
      <c r="E10" s="1553"/>
      <c r="F10" s="1553"/>
      <c r="G10" s="1553"/>
      <c r="H10" s="1553"/>
      <c r="I10" s="1553"/>
      <c r="J10" s="1553"/>
      <c r="K10" s="1553"/>
      <c r="L10" s="1553"/>
      <c r="M10" s="1553"/>
      <c r="N10" s="1553"/>
      <c r="O10" s="1553"/>
      <c r="P10" s="1553"/>
      <c r="Q10" s="7"/>
    </row>
    <row r="11" spans="1:17" x14ac:dyDescent="0.25">
      <c r="A11" s="8"/>
      <c r="B11" s="9" t="s">
        <v>17</v>
      </c>
      <c r="C11" s="1553"/>
      <c r="D11" s="1553"/>
      <c r="E11" s="1553"/>
      <c r="F11" s="1553"/>
      <c r="G11" s="1553"/>
      <c r="H11" s="1553"/>
      <c r="I11" s="1553"/>
      <c r="J11" s="1553"/>
      <c r="K11" s="1553"/>
      <c r="L11" s="1553"/>
      <c r="M11" s="1553"/>
      <c r="N11" s="1553"/>
      <c r="O11" s="1553"/>
      <c r="P11" s="1553"/>
      <c r="Q11" s="7"/>
    </row>
    <row r="12" spans="1:17" x14ac:dyDescent="0.25">
      <c r="A12" s="8"/>
      <c r="B12" s="9" t="s">
        <v>19</v>
      </c>
      <c r="C12" s="1553"/>
      <c r="D12" s="1553"/>
      <c r="E12" s="1553"/>
      <c r="F12" s="1553"/>
      <c r="G12" s="1553"/>
      <c r="H12" s="1553"/>
      <c r="I12" s="1553"/>
      <c r="J12" s="1553"/>
      <c r="K12" s="1553"/>
      <c r="L12" s="1553"/>
      <c r="M12" s="1553"/>
      <c r="N12" s="1553"/>
      <c r="O12" s="1553"/>
      <c r="P12" s="1553"/>
      <c r="Q12" s="7"/>
    </row>
    <row r="13" spans="1:17" x14ac:dyDescent="0.25">
      <c r="A13" s="8"/>
      <c r="B13" s="9" t="s">
        <v>20</v>
      </c>
      <c r="C13" s="1553"/>
      <c r="D13" s="1553"/>
      <c r="E13" s="1553"/>
      <c r="F13" s="1553"/>
      <c r="G13" s="1553"/>
      <c r="H13" s="1553"/>
      <c r="I13" s="1553"/>
      <c r="J13" s="1553"/>
      <c r="K13" s="1553"/>
      <c r="L13" s="1553"/>
      <c r="M13" s="1553"/>
      <c r="N13" s="1553"/>
      <c r="O13" s="1553"/>
      <c r="P13" s="1553"/>
      <c r="Q13" s="7"/>
    </row>
    <row r="14" spans="1:17" x14ac:dyDescent="0.25">
      <c r="A14" s="8"/>
      <c r="B14" s="9" t="s">
        <v>22</v>
      </c>
      <c r="C14" s="1553"/>
      <c r="D14" s="1553"/>
      <c r="E14" s="1553"/>
      <c r="F14" s="1553"/>
      <c r="G14" s="1553"/>
      <c r="H14" s="1553"/>
      <c r="I14" s="1553"/>
      <c r="J14" s="1553"/>
      <c r="K14" s="1553"/>
      <c r="L14" s="1553"/>
      <c r="M14" s="1553"/>
      <c r="N14" s="1553"/>
      <c r="O14" s="1553"/>
      <c r="P14" s="1553"/>
      <c r="Q14" s="7"/>
    </row>
    <row r="15" spans="1:17" x14ac:dyDescent="0.25">
      <c r="A15" s="18"/>
      <c r="B15" s="19"/>
      <c r="C15" s="1569"/>
      <c r="D15" s="1569"/>
      <c r="E15" s="1569"/>
      <c r="F15" s="1569"/>
      <c r="G15" s="1569"/>
      <c r="H15" s="1569"/>
      <c r="I15" s="1569"/>
      <c r="J15" s="1569"/>
      <c r="K15" s="1569"/>
      <c r="L15" s="1569"/>
      <c r="M15" s="1569"/>
      <c r="N15" s="1569"/>
      <c r="O15" s="1569"/>
      <c r="P15" s="1569"/>
      <c r="Q15" s="7"/>
    </row>
    <row r="16" spans="1:17" s="20" customFormat="1" x14ac:dyDescent="0.25">
      <c r="A16" s="1571" t="s">
        <v>23</v>
      </c>
      <c r="B16" s="1574" t="s">
        <v>24</v>
      </c>
      <c r="C16" s="1577" t="s">
        <v>25</v>
      </c>
      <c r="D16" s="1578"/>
      <c r="E16" s="1578"/>
      <c r="F16" s="1578"/>
      <c r="G16" s="1578"/>
      <c r="H16" s="1578"/>
      <c r="I16" s="1578"/>
      <c r="J16" s="1578"/>
      <c r="K16" s="1578"/>
      <c r="L16" s="1578"/>
      <c r="M16" s="1578"/>
      <c r="N16" s="1578"/>
      <c r="O16" s="1579"/>
      <c r="P16" s="1574" t="s">
        <v>26</v>
      </c>
      <c r="Q16" s="954"/>
    </row>
    <row r="17" spans="1:16" s="20" customFormat="1" x14ac:dyDescent="0.25">
      <c r="A17" s="1572"/>
      <c r="B17" s="1575"/>
      <c r="C17" s="1580" t="s">
        <v>27</v>
      </c>
      <c r="D17" s="1565" t="s">
        <v>28</v>
      </c>
      <c r="E17" s="1567" t="s">
        <v>29</v>
      </c>
      <c r="F17" s="1563" t="s">
        <v>30</v>
      </c>
      <c r="G17" s="1565" t="s">
        <v>31</v>
      </c>
      <c r="H17" s="1567" t="s">
        <v>32</v>
      </c>
      <c r="I17" s="1563" t="s">
        <v>33</v>
      </c>
      <c r="J17" s="1565" t="s">
        <v>34</v>
      </c>
      <c r="K17" s="1567" t="s">
        <v>35</v>
      </c>
      <c r="L17" s="1563" t="s">
        <v>36</v>
      </c>
      <c r="M17" s="1565" t="s">
        <v>37</v>
      </c>
      <c r="N17" s="1567" t="s">
        <v>38</v>
      </c>
      <c r="O17" s="1563" t="s">
        <v>39</v>
      </c>
      <c r="P17" s="1575"/>
    </row>
    <row r="18" spans="1:16" s="21" customFormat="1" ht="70.5" customHeight="1" thickBot="1" x14ac:dyDescent="0.3">
      <c r="A18" s="1573"/>
      <c r="B18" s="1576"/>
      <c r="C18" s="1581"/>
      <c r="D18" s="1566"/>
      <c r="E18" s="1568"/>
      <c r="F18" s="1564"/>
      <c r="G18" s="1566"/>
      <c r="H18" s="1568"/>
      <c r="I18" s="1564"/>
      <c r="J18" s="1566"/>
      <c r="K18" s="1568"/>
      <c r="L18" s="1564"/>
      <c r="M18" s="1566"/>
      <c r="N18" s="1568"/>
      <c r="O18" s="1564"/>
      <c r="P18" s="1576"/>
    </row>
    <row r="19" spans="1:16" s="21" customFormat="1" ht="9" thickTop="1" x14ac:dyDescent="0.25">
      <c r="A19" s="22" t="s">
        <v>40</v>
      </c>
      <c r="B19" s="22">
        <v>2</v>
      </c>
      <c r="C19" s="22">
        <v>3</v>
      </c>
      <c r="D19" s="24">
        <v>4</v>
      </c>
      <c r="E19" s="25">
        <v>5</v>
      </c>
      <c r="F19" s="22">
        <v>4</v>
      </c>
      <c r="G19" s="24">
        <v>7</v>
      </c>
      <c r="H19" s="26">
        <v>8</v>
      </c>
      <c r="I19" s="27">
        <v>5</v>
      </c>
      <c r="J19" s="24">
        <v>10</v>
      </c>
      <c r="K19" s="28">
        <v>11</v>
      </c>
      <c r="L19" s="27">
        <v>6</v>
      </c>
      <c r="M19" s="28">
        <v>13</v>
      </c>
      <c r="N19" s="29">
        <v>14</v>
      </c>
      <c r="O19" s="27">
        <v>7</v>
      </c>
      <c r="P19" s="27">
        <v>16</v>
      </c>
    </row>
    <row r="20" spans="1:16" s="41" customFormat="1" x14ac:dyDescent="0.25">
      <c r="A20" s="30"/>
      <c r="B20" s="31" t="s">
        <v>41</v>
      </c>
      <c r="C20" s="35"/>
      <c r="D20" s="33"/>
      <c r="E20" s="34"/>
      <c r="F20" s="35"/>
      <c r="G20" s="33"/>
      <c r="H20" s="36"/>
      <c r="I20" s="37"/>
      <c r="J20" s="33"/>
      <c r="K20" s="38"/>
      <c r="L20" s="37"/>
      <c r="M20" s="38"/>
      <c r="N20" s="39"/>
      <c r="O20" s="37"/>
      <c r="P20" s="40"/>
    </row>
    <row r="21" spans="1:16" s="41" customFormat="1" ht="12.75" thickBot="1" x14ac:dyDescent="0.3">
      <c r="A21" s="42"/>
      <c r="B21" s="43" t="s">
        <v>42</v>
      </c>
      <c r="C21" s="47">
        <f>F21+I21+L21+O21</f>
        <v>8314</v>
      </c>
      <c r="D21" s="45">
        <f>SUM(D22,D25,D26,D42,D43)</f>
        <v>8313</v>
      </c>
      <c r="E21" s="46">
        <f>SUM(E22,E25,E26,E42,E43)</f>
        <v>1</v>
      </c>
      <c r="F21" s="47">
        <f t="shared" ref="F21:F26" si="0">D21+E21</f>
        <v>8314</v>
      </c>
      <c r="G21" s="45">
        <f>SUM(G22,G25,G43)</f>
        <v>0</v>
      </c>
      <c r="H21" s="48">
        <f>SUM(H22,H25,H43)</f>
        <v>0</v>
      </c>
      <c r="I21" s="49">
        <f>G21+H21</f>
        <v>0</v>
      </c>
      <c r="J21" s="45">
        <f>SUM(J22,J27,J43)</f>
        <v>0</v>
      </c>
      <c r="K21" s="48">
        <f>SUM(K22,K27,K43)</f>
        <v>0</v>
      </c>
      <c r="L21" s="49">
        <f>J21+K21</f>
        <v>0</v>
      </c>
      <c r="M21" s="50">
        <f>SUM(M22,M45)</f>
        <v>0</v>
      </c>
      <c r="N21" s="51">
        <f>SUM(N22,N45)</f>
        <v>0</v>
      </c>
      <c r="O21" s="49">
        <f>M21+N21</f>
        <v>0</v>
      </c>
      <c r="P21" s="52"/>
    </row>
    <row r="22" spans="1:16" ht="12.75" thickTop="1" x14ac:dyDescent="0.25">
      <c r="A22" s="54"/>
      <c r="B22" s="55" t="s">
        <v>43</v>
      </c>
      <c r="C22" s="59">
        <f>F22+I22+L22+O22</f>
        <v>8314</v>
      </c>
      <c r="D22" s="57">
        <f>SUM(D23:D24)</f>
        <v>8313</v>
      </c>
      <c r="E22" s="58">
        <f>SUM(E23:E24)</f>
        <v>1</v>
      </c>
      <c r="F22" s="59">
        <f t="shared" si="0"/>
        <v>8314</v>
      </c>
      <c r="G22" s="57">
        <f>SUM(G23:G24)</f>
        <v>0</v>
      </c>
      <c r="H22" s="60">
        <f>SUM(H23:H24)</f>
        <v>0</v>
      </c>
      <c r="I22" s="61">
        <f>G22+H22</f>
        <v>0</v>
      </c>
      <c r="J22" s="57">
        <f>SUM(J23:J24)</f>
        <v>0</v>
      </c>
      <c r="K22" s="60">
        <f>SUM(K23:K24)</f>
        <v>0</v>
      </c>
      <c r="L22" s="61">
        <f>J22+K22</f>
        <v>0</v>
      </c>
      <c r="M22" s="62">
        <f>SUM(M23:M24)</f>
        <v>0</v>
      </c>
      <c r="N22" s="63">
        <f>SUM(N23:N24)</f>
        <v>0</v>
      </c>
      <c r="O22" s="61">
        <f>M22+N22</f>
        <v>0</v>
      </c>
      <c r="P22" s="64"/>
    </row>
    <row r="23" spans="1:16" hidden="1" x14ac:dyDescent="0.25">
      <c r="A23" s="65"/>
      <c r="B23" s="66" t="s">
        <v>44</v>
      </c>
      <c r="C23" s="625">
        <f>F23+I23+L23+O23</f>
        <v>0</v>
      </c>
      <c r="D23" s="68"/>
      <c r="E23" s="673"/>
      <c r="F23" s="625">
        <f t="shared" si="0"/>
        <v>0</v>
      </c>
      <c r="G23" s="68"/>
      <c r="H23" s="71"/>
      <c r="I23" s="72">
        <f>G23+H23</f>
        <v>0</v>
      </c>
      <c r="J23" s="68"/>
      <c r="K23" s="71"/>
      <c r="L23" s="72">
        <f>J23+K23</f>
        <v>0</v>
      </c>
      <c r="M23" s="73"/>
      <c r="N23" s="69"/>
      <c r="O23" s="72">
        <f>M23+N23</f>
        <v>0</v>
      </c>
      <c r="P23" s="74"/>
    </row>
    <row r="24" spans="1:16" x14ac:dyDescent="0.25">
      <c r="A24" s="75"/>
      <c r="B24" s="76" t="s">
        <v>45</v>
      </c>
      <c r="C24" s="80">
        <f>F24+I24+L24+O24</f>
        <v>8314</v>
      </c>
      <c r="D24" s="78">
        <v>8313</v>
      </c>
      <c r="E24" s="79">
        <v>1</v>
      </c>
      <c r="F24" s="80">
        <f t="shared" si="0"/>
        <v>8314</v>
      </c>
      <c r="G24" s="78"/>
      <c r="H24" s="81"/>
      <c r="I24" s="82">
        <f>G24+H24</f>
        <v>0</v>
      </c>
      <c r="J24" s="78"/>
      <c r="K24" s="81"/>
      <c r="L24" s="82">
        <f>J24+K24</f>
        <v>0</v>
      </c>
      <c r="M24" s="83"/>
      <c r="N24" s="84"/>
      <c r="O24" s="82">
        <f>M24+N24</f>
        <v>0</v>
      </c>
      <c r="P24" s="85"/>
    </row>
    <row r="25" spans="1:16" s="41" customFormat="1" ht="24.75" hidden="1" thickBot="1" x14ac:dyDescent="0.3">
      <c r="A25" s="86">
        <v>19300</v>
      </c>
      <c r="B25" s="86" t="s">
        <v>46</v>
      </c>
      <c r="C25" s="90">
        <f>SUM(F25,I25)</f>
        <v>0</v>
      </c>
      <c r="D25" s="88"/>
      <c r="E25" s="89"/>
      <c r="F25" s="90">
        <f t="shared" si="0"/>
        <v>0</v>
      </c>
      <c r="G25" s="88"/>
      <c r="H25" s="91"/>
      <c r="I25" s="92">
        <f>G25+H25</f>
        <v>0</v>
      </c>
      <c r="J25" s="93" t="s">
        <v>47</v>
      </c>
      <c r="K25" s="94" t="s">
        <v>47</v>
      </c>
      <c r="L25" s="95" t="s">
        <v>47</v>
      </c>
      <c r="M25" s="96" t="s">
        <v>47</v>
      </c>
      <c r="N25" s="97" t="s">
        <v>47</v>
      </c>
      <c r="O25" s="95" t="s">
        <v>47</v>
      </c>
      <c r="P25" s="98"/>
    </row>
    <row r="26" spans="1:16" s="41" customFormat="1" ht="24" hidden="1" x14ac:dyDescent="0.25">
      <c r="A26" s="99"/>
      <c r="B26" s="99" t="s">
        <v>48</v>
      </c>
      <c r="C26" s="249">
        <f>F26</f>
        <v>0</v>
      </c>
      <c r="D26" s="101"/>
      <c r="E26" s="665"/>
      <c r="F26" s="634">
        <f t="shared" si="0"/>
        <v>0</v>
      </c>
      <c r="G26" s="104" t="s">
        <v>47</v>
      </c>
      <c r="H26" s="105" t="s">
        <v>47</v>
      </c>
      <c r="I26" s="106" t="s">
        <v>47</v>
      </c>
      <c r="J26" s="104" t="s">
        <v>47</v>
      </c>
      <c r="K26" s="105" t="s">
        <v>47</v>
      </c>
      <c r="L26" s="106" t="s">
        <v>47</v>
      </c>
      <c r="M26" s="107" t="s">
        <v>47</v>
      </c>
      <c r="N26" s="108" t="s">
        <v>47</v>
      </c>
      <c r="O26" s="106" t="s">
        <v>47</v>
      </c>
      <c r="P26" s="109"/>
    </row>
    <row r="27" spans="1:16" s="41" customFormat="1" ht="36" hidden="1" x14ac:dyDescent="0.25">
      <c r="A27" s="99">
        <v>21300</v>
      </c>
      <c r="B27" s="99" t="s">
        <v>49</v>
      </c>
      <c r="C27" s="249">
        <f t="shared" ref="C27:C41" si="1">L27</f>
        <v>0</v>
      </c>
      <c r="D27" s="104" t="s">
        <v>47</v>
      </c>
      <c r="E27" s="110" t="s">
        <v>47</v>
      </c>
      <c r="F27" s="111" t="s">
        <v>47</v>
      </c>
      <c r="G27" s="104" t="s">
        <v>47</v>
      </c>
      <c r="H27" s="105" t="s">
        <v>47</v>
      </c>
      <c r="I27" s="106" t="s">
        <v>47</v>
      </c>
      <c r="J27" s="112">
        <f>SUM(J28,J32,J34,J37)</f>
        <v>0</v>
      </c>
      <c r="K27" s="113">
        <f>SUM(K28,K32,K34,K37)</f>
        <v>0</v>
      </c>
      <c r="L27" s="114">
        <f t="shared" ref="L27:L41" si="2">J27+K27</f>
        <v>0</v>
      </c>
      <c r="M27" s="107" t="s">
        <v>47</v>
      </c>
      <c r="N27" s="108" t="s">
        <v>47</v>
      </c>
      <c r="O27" s="106" t="s">
        <v>47</v>
      </c>
      <c r="P27" s="109"/>
    </row>
    <row r="28" spans="1:16" s="41" customFormat="1" ht="24" hidden="1" x14ac:dyDescent="0.25">
      <c r="A28" s="115">
        <v>21350</v>
      </c>
      <c r="B28" s="99" t="s">
        <v>50</v>
      </c>
      <c r="C28" s="249">
        <f t="shared" si="1"/>
        <v>0</v>
      </c>
      <c r="D28" s="104" t="s">
        <v>47</v>
      </c>
      <c r="E28" s="110" t="s">
        <v>47</v>
      </c>
      <c r="F28" s="111" t="s">
        <v>47</v>
      </c>
      <c r="G28" s="104" t="s">
        <v>47</v>
      </c>
      <c r="H28" s="105" t="s">
        <v>47</v>
      </c>
      <c r="I28" s="106" t="s">
        <v>47</v>
      </c>
      <c r="J28" s="112">
        <f>SUM(J29:J31)</f>
        <v>0</v>
      </c>
      <c r="K28" s="113">
        <f>SUM(K29:K31)</f>
        <v>0</v>
      </c>
      <c r="L28" s="114">
        <f t="shared" si="2"/>
        <v>0</v>
      </c>
      <c r="M28" s="107" t="s">
        <v>47</v>
      </c>
      <c r="N28" s="108" t="s">
        <v>47</v>
      </c>
      <c r="O28" s="106" t="s">
        <v>47</v>
      </c>
      <c r="P28" s="109"/>
    </row>
    <row r="29" spans="1:16" hidden="1" x14ac:dyDescent="0.25">
      <c r="A29" s="65">
        <v>21351</v>
      </c>
      <c r="B29" s="116" t="s">
        <v>51</v>
      </c>
      <c r="C29" s="296">
        <f t="shared" si="1"/>
        <v>0</v>
      </c>
      <c r="D29" s="118" t="s">
        <v>47</v>
      </c>
      <c r="E29" s="154" t="s">
        <v>47</v>
      </c>
      <c r="F29" s="155" t="s">
        <v>47</v>
      </c>
      <c r="G29" s="118" t="s">
        <v>47</v>
      </c>
      <c r="H29" s="121" t="s">
        <v>47</v>
      </c>
      <c r="I29" s="122" t="s">
        <v>47</v>
      </c>
      <c r="J29" s="123"/>
      <c r="K29" s="124"/>
      <c r="L29" s="125">
        <f t="shared" si="2"/>
        <v>0</v>
      </c>
      <c r="M29" s="126" t="s">
        <v>47</v>
      </c>
      <c r="N29" s="119" t="s">
        <v>47</v>
      </c>
      <c r="O29" s="122" t="s">
        <v>47</v>
      </c>
      <c r="P29" s="74"/>
    </row>
    <row r="30" spans="1:16" hidden="1" x14ac:dyDescent="0.25">
      <c r="A30" s="75">
        <v>21352</v>
      </c>
      <c r="B30" s="127" t="s">
        <v>52</v>
      </c>
      <c r="C30" s="279">
        <f t="shared" si="1"/>
        <v>0</v>
      </c>
      <c r="D30" s="129" t="s">
        <v>47</v>
      </c>
      <c r="E30" s="130" t="s">
        <v>47</v>
      </c>
      <c r="F30" s="131" t="s">
        <v>47</v>
      </c>
      <c r="G30" s="129" t="s">
        <v>47</v>
      </c>
      <c r="H30" s="132" t="s">
        <v>47</v>
      </c>
      <c r="I30" s="133" t="s">
        <v>47</v>
      </c>
      <c r="J30" s="134"/>
      <c r="K30" s="135"/>
      <c r="L30" s="136">
        <f t="shared" si="2"/>
        <v>0</v>
      </c>
      <c r="M30" s="137" t="s">
        <v>47</v>
      </c>
      <c r="N30" s="138" t="s">
        <v>47</v>
      </c>
      <c r="O30" s="133" t="s">
        <v>47</v>
      </c>
      <c r="P30" s="85"/>
    </row>
    <row r="31" spans="1:16" ht="24" hidden="1" x14ac:dyDescent="0.25">
      <c r="A31" s="75">
        <v>21359</v>
      </c>
      <c r="B31" s="127" t="s">
        <v>53</v>
      </c>
      <c r="C31" s="279">
        <f t="shared" si="1"/>
        <v>0</v>
      </c>
      <c r="D31" s="129" t="s">
        <v>47</v>
      </c>
      <c r="E31" s="130" t="s">
        <v>47</v>
      </c>
      <c r="F31" s="131" t="s">
        <v>47</v>
      </c>
      <c r="G31" s="129" t="s">
        <v>47</v>
      </c>
      <c r="H31" s="132" t="s">
        <v>47</v>
      </c>
      <c r="I31" s="133" t="s">
        <v>47</v>
      </c>
      <c r="J31" s="134"/>
      <c r="K31" s="135"/>
      <c r="L31" s="136">
        <f t="shared" si="2"/>
        <v>0</v>
      </c>
      <c r="M31" s="137" t="s">
        <v>47</v>
      </c>
      <c r="N31" s="138" t="s">
        <v>47</v>
      </c>
      <c r="O31" s="133" t="s">
        <v>47</v>
      </c>
      <c r="P31" s="85"/>
    </row>
    <row r="32" spans="1:16" s="41" customFormat="1" ht="36" hidden="1" x14ac:dyDescent="0.25">
      <c r="A32" s="115">
        <v>21370</v>
      </c>
      <c r="B32" s="99" t="s">
        <v>54</v>
      </c>
      <c r="C32" s="249">
        <f t="shared" si="1"/>
        <v>0</v>
      </c>
      <c r="D32" s="104" t="s">
        <v>47</v>
      </c>
      <c r="E32" s="110" t="s">
        <v>47</v>
      </c>
      <c r="F32" s="111" t="s">
        <v>47</v>
      </c>
      <c r="G32" s="104" t="s">
        <v>47</v>
      </c>
      <c r="H32" s="105" t="s">
        <v>47</v>
      </c>
      <c r="I32" s="106" t="s">
        <v>47</v>
      </c>
      <c r="J32" s="112">
        <f>SUM(J33)</f>
        <v>0</v>
      </c>
      <c r="K32" s="113">
        <f>SUM(K33)</f>
        <v>0</v>
      </c>
      <c r="L32" s="114">
        <f t="shared" si="2"/>
        <v>0</v>
      </c>
      <c r="M32" s="107" t="s">
        <v>47</v>
      </c>
      <c r="N32" s="108" t="s">
        <v>47</v>
      </c>
      <c r="O32" s="106" t="s">
        <v>47</v>
      </c>
      <c r="P32" s="109"/>
    </row>
    <row r="33" spans="1:16" ht="36" hidden="1" x14ac:dyDescent="0.25">
      <c r="A33" s="141">
        <v>21379</v>
      </c>
      <c r="B33" s="142" t="s">
        <v>55</v>
      </c>
      <c r="C33" s="362">
        <f t="shared" si="1"/>
        <v>0</v>
      </c>
      <c r="D33" s="144" t="s">
        <v>47</v>
      </c>
      <c r="E33" s="668" t="s">
        <v>47</v>
      </c>
      <c r="F33" s="773" t="s">
        <v>47</v>
      </c>
      <c r="G33" s="144" t="s">
        <v>47</v>
      </c>
      <c r="H33" s="147" t="s">
        <v>47</v>
      </c>
      <c r="I33" s="148" t="s">
        <v>47</v>
      </c>
      <c r="J33" s="149"/>
      <c r="K33" s="150"/>
      <c r="L33" s="151">
        <f t="shared" si="2"/>
        <v>0</v>
      </c>
      <c r="M33" s="152" t="s">
        <v>47</v>
      </c>
      <c r="N33" s="145" t="s">
        <v>47</v>
      </c>
      <c r="O33" s="148" t="s">
        <v>47</v>
      </c>
      <c r="P33" s="153"/>
    </row>
    <row r="34" spans="1:16" s="41" customFormat="1" hidden="1" x14ac:dyDescent="0.25">
      <c r="A34" s="115">
        <v>21380</v>
      </c>
      <c r="B34" s="99" t="s">
        <v>56</v>
      </c>
      <c r="C34" s="249">
        <f t="shared" si="1"/>
        <v>0</v>
      </c>
      <c r="D34" s="104" t="s">
        <v>47</v>
      </c>
      <c r="E34" s="110" t="s">
        <v>47</v>
      </c>
      <c r="F34" s="111" t="s">
        <v>47</v>
      </c>
      <c r="G34" s="104" t="s">
        <v>47</v>
      </c>
      <c r="H34" s="105" t="s">
        <v>47</v>
      </c>
      <c r="I34" s="106" t="s">
        <v>47</v>
      </c>
      <c r="J34" s="112">
        <f>SUM(J35:J36)</f>
        <v>0</v>
      </c>
      <c r="K34" s="113">
        <f>SUM(K35:K36)</f>
        <v>0</v>
      </c>
      <c r="L34" s="114">
        <f t="shared" si="2"/>
        <v>0</v>
      </c>
      <c r="M34" s="107" t="s">
        <v>47</v>
      </c>
      <c r="N34" s="108" t="s">
        <v>47</v>
      </c>
      <c r="O34" s="106" t="s">
        <v>47</v>
      </c>
      <c r="P34" s="109"/>
    </row>
    <row r="35" spans="1:16" hidden="1" x14ac:dyDescent="0.25">
      <c r="A35" s="66">
        <v>21381</v>
      </c>
      <c r="B35" s="116" t="s">
        <v>57</v>
      </c>
      <c r="C35" s="296">
        <f t="shared" si="1"/>
        <v>0</v>
      </c>
      <c r="D35" s="118" t="s">
        <v>47</v>
      </c>
      <c r="E35" s="154" t="s">
        <v>47</v>
      </c>
      <c r="F35" s="155" t="s">
        <v>47</v>
      </c>
      <c r="G35" s="118" t="s">
        <v>47</v>
      </c>
      <c r="H35" s="121" t="s">
        <v>47</v>
      </c>
      <c r="I35" s="122" t="s">
        <v>47</v>
      </c>
      <c r="J35" s="123"/>
      <c r="K35" s="124"/>
      <c r="L35" s="125">
        <f t="shared" si="2"/>
        <v>0</v>
      </c>
      <c r="M35" s="126" t="s">
        <v>47</v>
      </c>
      <c r="N35" s="119" t="s">
        <v>47</v>
      </c>
      <c r="O35" s="122" t="s">
        <v>47</v>
      </c>
      <c r="P35" s="74"/>
    </row>
    <row r="36" spans="1:16" ht="24" hidden="1" x14ac:dyDescent="0.25">
      <c r="A36" s="76">
        <v>21383</v>
      </c>
      <c r="B36" s="127" t="s">
        <v>58</v>
      </c>
      <c r="C36" s="279">
        <f t="shared" si="1"/>
        <v>0</v>
      </c>
      <c r="D36" s="129" t="s">
        <v>47</v>
      </c>
      <c r="E36" s="130" t="s">
        <v>47</v>
      </c>
      <c r="F36" s="131" t="s">
        <v>47</v>
      </c>
      <c r="G36" s="129" t="s">
        <v>47</v>
      </c>
      <c r="H36" s="132" t="s">
        <v>47</v>
      </c>
      <c r="I36" s="133" t="s">
        <v>47</v>
      </c>
      <c r="J36" s="134"/>
      <c r="K36" s="135"/>
      <c r="L36" s="136">
        <f t="shared" si="2"/>
        <v>0</v>
      </c>
      <c r="M36" s="137" t="s">
        <v>47</v>
      </c>
      <c r="N36" s="138" t="s">
        <v>47</v>
      </c>
      <c r="O36" s="133" t="s">
        <v>47</v>
      </c>
      <c r="P36" s="85"/>
    </row>
    <row r="37" spans="1:16" s="41" customFormat="1" ht="24" hidden="1" x14ac:dyDescent="0.25">
      <c r="A37" s="115">
        <v>21390</v>
      </c>
      <c r="B37" s="99" t="s">
        <v>59</v>
      </c>
      <c r="C37" s="249">
        <f t="shared" si="1"/>
        <v>0</v>
      </c>
      <c r="D37" s="104" t="s">
        <v>47</v>
      </c>
      <c r="E37" s="110" t="s">
        <v>47</v>
      </c>
      <c r="F37" s="111" t="s">
        <v>47</v>
      </c>
      <c r="G37" s="104" t="s">
        <v>47</v>
      </c>
      <c r="H37" s="105" t="s">
        <v>47</v>
      </c>
      <c r="I37" s="106" t="s">
        <v>47</v>
      </c>
      <c r="J37" s="112">
        <f>SUM(J38:J41)</f>
        <v>0</v>
      </c>
      <c r="K37" s="113">
        <f>SUM(K38:K41)</f>
        <v>0</v>
      </c>
      <c r="L37" s="114">
        <f t="shared" si="2"/>
        <v>0</v>
      </c>
      <c r="M37" s="107" t="s">
        <v>47</v>
      </c>
      <c r="N37" s="108" t="s">
        <v>47</v>
      </c>
      <c r="O37" s="106" t="s">
        <v>47</v>
      </c>
      <c r="P37" s="109"/>
    </row>
    <row r="38" spans="1:16" ht="24" hidden="1" x14ac:dyDescent="0.25">
      <c r="A38" s="66">
        <v>21391</v>
      </c>
      <c r="B38" s="116" t="s">
        <v>60</v>
      </c>
      <c r="C38" s="296">
        <f t="shared" si="1"/>
        <v>0</v>
      </c>
      <c r="D38" s="118" t="s">
        <v>47</v>
      </c>
      <c r="E38" s="154" t="s">
        <v>47</v>
      </c>
      <c r="F38" s="155" t="s">
        <v>47</v>
      </c>
      <c r="G38" s="118" t="s">
        <v>47</v>
      </c>
      <c r="H38" s="121" t="s">
        <v>47</v>
      </c>
      <c r="I38" s="122" t="s">
        <v>47</v>
      </c>
      <c r="J38" s="123"/>
      <c r="K38" s="124"/>
      <c r="L38" s="125">
        <f t="shared" si="2"/>
        <v>0</v>
      </c>
      <c r="M38" s="126" t="s">
        <v>47</v>
      </c>
      <c r="N38" s="119" t="s">
        <v>47</v>
      </c>
      <c r="O38" s="122" t="s">
        <v>47</v>
      </c>
      <c r="P38" s="74"/>
    </row>
    <row r="39" spans="1:16" hidden="1" x14ac:dyDescent="0.25">
      <c r="A39" s="76">
        <v>21393</v>
      </c>
      <c r="B39" s="127" t="s">
        <v>61</v>
      </c>
      <c r="C39" s="279">
        <f t="shared" si="1"/>
        <v>0</v>
      </c>
      <c r="D39" s="129" t="s">
        <v>47</v>
      </c>
      <c r="E39" s="130" t="s">
        <v>47</v>
      </c>
      <c r="F39" s="131" t="s">
        <v>47</v>
      </c>
      <c r="G39" s="129" t="s">
        <v>47</v>
      </c>
      <c r="H39" s="132" t="s">
        <v>47</v>
      </c>
      <c r="I39" s="133" t="s">
        <v>47</v>
      </c>
      <c r="J39" s="134"/>
      <c r="K39" s="135"/>
      <c r="L39" s="136">
        <f t="shared" si="2"/>
        <v>0</v>
      </c>
      <c r="M39" s="137" t="s">
        <v>47</v>
      </c>
      <c r="N39" s="138" t="s">
        <v>47</v>
      </c>
      <c r="O39" s="133" t="s">
        <v>47</v>
      </c>
      <c r="P39" s="85"/>
    </row>
    <row r="40" spans="1:16" hidden="1" x14ac:dyDescent="0.25">
      <c r="A40" s="76">
        <v>21395</v>
      </c>
      <c r="B40" s="127" t="s">
        <v>62</v>
      </c>
      <c r="C40" s="279">
        <f t="shared" si="1"/>
        <v>0</v>
      </c>
      <c r="D40" s="129" t="s">
        <v>47</v>
      </c>
      <c r="E40" s="130" t="s">
        <v>47</v>
      </c>
      <c r="F40" s="131" t="s">
        <v>47</v>
      </c>
      <c r="G40" s="129" t="s">
        <v>47</v>
      </c>
      <c r="H40" s="132" t="s">
        <v>47</v>
      </c>
      <c r="I40" s="133" t="s">
        <v>47</v>
      </c>
      <c r="J40" s="134"/>
      <c r="K40" s="135"/>
      <c r="L40" s="136">
        <f t="shared" si="2"/>
        <v>0</v>
      </c>
      <c r="M40" s="137" t="s">
        <v>47</v>
      </c>
      <c r="N40" s="138" t="s">
        <v>47</v>
      </c>
      <c r="O40" s="133" t="s">
        <v>47</v>
      </c>
      <c r="P40" s="85"/>
    </row>
    <row r="41" spans="1:16" ht="24" hidden="1" x14ac:dyDescent="0.25">
      <c r="A41" s="76">
        <v>21399</v>
      </c>
      <c r="B41" s="127" t="s">
        <v>63</v>
      </c>
      <c r="C41" s="279">
        <f t="shared" si="1"/>
        <v>0</v>
      </c>
      <c r="D41" s="129" t="s">
        <v>47</v>
      </c>
      <c r="E41" s="130" t="s">
        <v>47</v>
      </c>
      <c r="F41" s="131" t="s">
        <v>47</v>
      </c>
      <c r="G41" s="129" t="s">
        <v>47</v>
      </c>
      <c r="H41" s="132" t="s">
        <v>47</v>
      </c>
      <c r="I41" s="133" t="s">
        <v>47</v>
      </c>
      <c r="J41" s="134"/>
      <c r="K41" s="135"/>
      <c r="L41" s="136">
        <f t="shared" si="2"/>
        <v>0</v>
      </c>
      <c r="M41" s="137" t="s">
        <v>47</v>
      </c>
      <c r="N41" s="138" t="s">
        <v>47</v>
      </c>
      <c r="O41" s="133" t="s">
        <v>47</v>
      </c>
      <c r="P41" s="85"/>
    </row>
    <row r="42" spans="1:16" s="41" customFormat="1" ht="24" hidden="1" x14ac:dyDescent="0.25">
      <c r="A42" s="115">
        <v>21420</v>
      </c>
      <c r="B42" s="99" t="s">
        <v>64</v>
      </c>
      <c r="C42" s="634">
        <f>F42</f>
        <v>0</v>
      </c>
      <c r="D42" s="157"/>
      <c r="E42" s="702"/>
      <c r="F42" s="634">
        <f>D42+E42</f>
        <v>0</v>
      </c>
      <c r="G42" s="104" t="s">
        <v>47</v>
      </c>
      <c r="H42" s="105" t="s">
        <v>47</v>
      </c>
      <c r="I42" s="106" t="s">
        <v>47</v>
      </c>
      <c r="J42" s="104" t="s">
        <v>47</v>
      </c>
      <c r="K42" s="105" t="s">
        <v>47</v>
      </c>
      <c r="L42" s="106" t="s">
        <v>47</v>
      </c>
      <c r="M42" s="107" t="s">
        <v>47</v>
      </c>
      <c r="N42" s="108" t="s">
        <v>47</v>
      </c>
      <c r="O42" s="106" t="s">
        <v>47</v>
      </c>
      <c r="P42" s="109"/>
    </row>
    <row r="43" spans="1:16" s="41" customFormat="1" ht="24" hidden="1" x14ac:dyDescent="0.25">
      <c r="A43" s="159">
        <v>21490</v>
      </c>
      <c r="B43" s="160" t="s">
        <v>65</v>
      </c>
      <c r="C43" s="634">
        <f>F43+I43+L43</f>
        <v>0</v>
      </c>
      <c r="D43" s="161">
        <f>D44</f>
        <v>0</v>
      </c>
      <c r="E43" s="672">
        <f>E44</f>
        <v>0</v>
      </c>
      <c r="F43" s="774">
        <f>D43+E43</f>
        <v>0</v>
      </c>
      <c r="G43" s="161">
        <f>G44</f>
        <v>0</v>
      </c>
      <c r="H43" s="164">
        <f t="shared" ref="H43:K43" si="3">H44</f>
        <v>0</v>
      </c>
      <c r="I43" s="165">
        <f>G43+H43</f>
        <v>0</v>
      </c>
      <c r="J43" s="161">
        <f>J44</f>
        <v>0</v>
      </c>
      <c r="K43" s="164">
        <f t="shared" si="3"/>
        <v>0</v>
      </c>
      <c r="L43" s="165">
        <f>J43+K43</f>
        <v>0</v>
      </c>
      <c r="M43" s="107" t="s">
        <v>47</v>
      </c>
      <c r="N43" s="108" t="s">
        <v>47</v>
      </c>
      <c r="O43" s="106" t="s">
        <v>47</v>
      </c>
      <c r="P43" s="109"/>
    </row>
    <row r="44" spans="1:16" s="41" customFormat="1" ht="24" hidden="1" x14ac:dyDescent="0.25">
      <c r="A44" s="76">
        <v>21499</v>
      </c>
      <c r="B44" s="127" t="s">
        <v>66</v>
      </c>
      <c r="C44" s="638">
        <f>F44+I44+L44</f>
        <v>0</v>
      </c>
      <c r="D44" s="68"/>
      <c r="E44" s="673"/>
      <c r="F44" s="625">
        <f>D44+E44</f>
        <v>0</v>
      </c>
      <c r="G44" s="167"/>
      <c r="H44" s="71"/>
      <c r="I44" s="72">
        <f>G44+H44</f>
        <v>0</v>
      </c>
      <c r="J44" s="68"/>
      <c r="K44" s="71"/>
      <c r="L44" s="72">
        <f>J44+K44</f>
        <v>0</v>
      </c>
      <c r="M44" s="152" t="s">
        <v>47</v>
      </c>
      <c r="N44" s="145" t="s">
        <v>47</v>
      </c>
      <c r="O44" s="148" t="s">
        <v>47</v>
      </c>
      <c r="P44" s="153"/>
    </row>
    <row r="45" spans="1:16" ht="24" hidden="1" x14ac:dyDescent="0.25">
      <c r="A45" s="168">
        <v>23000</v>
      </c>
      <c r="B45" s="169" t="s">
        <v>67</v>
      </c>
      <c r="C45" s="634">
        <f>O45</f>
        <v>0</v>
      </c>
      <c r="D45" s="170" t="s">
        <v>47</v>
      </c>
      <c r="E45" s="669" t="s">
        <v>47</v>
      </c>
      <c r="F45" s="907" t="s">
        <v>47</v>
      </c>
      <c r="G45" s="170" t="s">
        <v>47</v>
      </c>
      <c r="H45" s="173" t="s">
        <v>47</v>
      </c>
      <c r="I45" s="174" t="s">
        <v>47</v>
      </c>
      <c r="J45" s="170" t="s">
        <v>47</v>
      </c>
      <c r="K45" s="173" t="s">
        <v>47</v>
      </c>
      <c r="L45" s="174" t="s">
        <v>47</v>
      </c>
      <c r="M45" s="175">
        <f>SUM(M46:M47)</f>
        <v>0</v>
      </c>
      <c r="N45" s="176">
        <f>SUM(N46:N47)</f>
        <v>0</v>
      </c>
      <c r="O45" s="177">
        <f>M45+N45</f>
        <v>0</v>
      </c>
      <c r="P45" s="109"/>
    </row>
    <row r="46" spans="1:16" ht="24" hidden="1" x14ac:dyDescent="0.25">
      <c r="A46" s="178">
        <v>23410</v>
      </c>
      <c r="B46" s="179" t="s">
        <v>68</v>
      </c>
      <c r="C46" s="194">
        <f>O46</f>
        <v>0</v>
      </c>
      <c r="D46" s="181" t="s">
        <v>47</v>
      </c>
      <c r="E46" s="674" t="s">
        <v>47</v>
      </c>
      <c r="F46" s="908" t="s">
        <v>47</v>
      </c>
      <c r="G46" s="181" t="s">
        <v>47</v>
      </c>
      <c r="H46" s="184" t="s">
        <v>47</v>
      </c>
      <c r="I46" s="185" t="s">
        <v>47</v>
      </c>
      <c r="J46" s="181" t="s">
        <v>47</v>
      </c>
      <c r="K46" s="184" t="s">
        <v>47</v>
      </c>
      <c r="L46" s="185" t="s">
        <v>47</v>
      </c>
      <c r="M46" s="186"/>
      <c r="N46" s="187"/>
      <c r="O46" s="188">
        <f>M46+N46</f>
        <v>0</v>
      </c>
      <c r="P46" s="189"/>
    </row>
    <row r="47" spans="1:16" ht="24" hidden="1" x14ac:dyDescent="0.25">
      <c r="A47" s="178">
        <v>23510</v>
      </c>
      <c r="B47" s="179" t="s">
        <v>69</v>
      </c>
      <c r="C47" s="194">
        <f>O47</f>
        <v>0</v>
      </c>
      <c r="D47" s="181" t="s">
        <v>47</v>
      </c>
      <c r="E47" s="674" t="s">
        <v>47</v>
      </c>
      <c r="F47" s="908" t="s">
        <v>47</v>
      </c>
      <c r="G47" s="181" t="s">
        <v>47</v>
      </c>
      <c r="H47" s="184" t="s">
        <v>47</v>
      </c>
      <c r="I47" s="185" t="s">
        <v>47</v>
      </c>
      <c r="J47" s="181" t="s">
        <v>47</v>
      </c>
      <c r="K47" s="184" t="s">
        <v>47</v>
      </c>
      <c r="L47" s="185" t="s">
        <v>47</v>
      </c>
      <c r="M47" s="186"/>
      <c r="N47" s="187"/>
      <c r="O47" s="188">
        <f>M47+N47</f>
        <v>0</v>
      </c>
      <c r="P47" s="189"/>
    </row>
    <row r="48" spans="1:16" x14ac:dyDescent="0.25">
      <c r="A48" s="190"/>
      <c r="B48" s="179"/>
      <c r="C48" s="257"/>
      <c r="D48" s="192"/>
      <c r="E48" s="193"/>
      <c r="F48" s="194"/>
      <c r="G48" s="192"/>
      <c r="H48" s="195"/>
      <c r="I48" s="185"/>
      <c r="J48" s="196"/>
      <c r="K48" s="197"/>
      <c r="L48" s="188"/>
      <c r="M48" s="186"/>
      <c r="N48" s="187"/>
      <c r="O48" s="188"/>
      <c r="P48" s="189"/>
    </row>
    <row r="49" spans="1:16" s="41" customFormat="1" x14ac:dyDescent="0.25">
      <c r="A49" s="198"/>
      <c r="B49" s="199" t="s">
        <v>70</v>
      </c>
      <c r="C49" s="640"/>
      <c r="D49" s="201"/>
      <c r="E49" s="202"/>
      <c r="F49" s="203"/>
      <c r="G49" s="201"/>
      <c r="H49" s="204"/>
      <c r="I49" s="205"/>
      <c r="J49" s="201"/>
      <c r="K49" s="204"/>
      <c r="L49" s="205"/>
      <c r="M49" s="206"/>
      <c r="N49" s="207"/>
      <c r="O49" s="205"/>
      <c r="P49" s="208"/>
    </row>
    <row r="50" spans="1:16" s="41" customFormat="1" ht="12.75" hidden="1" thickBot="1" x14ac:dyDescent="0.3">
      <c r="A50" s="209"/>
      <c r="B50" s="42" t="s">
        <v>71</v>
      </c>
      <c r="C50" s="213">
        <f t="shared" ref="C50:C113" si="4">F50+I50+L50+O50</f>
        <v>0</v>
      </c>
      <c r="D50" s="211">
        <f>SUM(D51,D281)</f>
        <v>0</v>
      </c>
      <c r="E50" s="212">
        <f>SUM(E51,E281)</f>
        <v>0</v>
      </c>
      <c r="F50" s="213">
        <f t="shared" ref="F50:F114" si="5">D50+E50</f>
        <v>0</v>
      </c>
      <c r="G50" s="211">
        <f>SUM(G51,G281)</f>
        <v>0</v>
      </c>
      <c r="H50" s="214">
        <f>SUM(H51,H281)</f>
        <v>0</v>
      </c>
      <c r="I50" s="215">
        <f t="shared" ref="I50:I114" si="6">G50+H50</f>
        <v>0</v>
      </c>
      <c r="J50" s="211">
        <f>SUM(J51,J281)</f>
        <v>0</v>
      </c>
      <c r="K50" s="214">
        <f>SUM(K51,K281)</f>
        <v>0</v>
      </c>
      <c r="L50" s="215">
        <f t="shared" ref="L50:L114" si="7">J50+K50</f>
        <v>0</v>
      </c>
      <c r="M50" s="216">
        <f>SUM(M51,M281)</f>
        <v>0</v>
      </c>
      <c r="N50" s="217">
        <f>SUM(N51,N281)</f>
        <v>0</v>
      </c>
      <c r="O50" s="215">
        <f t="shared" ref="O50:O114" si="8">M50+N50</f>
        <v>0</v>
      </c>
      <c r="P50" s="52"/>
    </row>
    <row r="51" spans="1:16" s="41" customFormat="1" ht="36.75" hidden="1" thickTop="1" x14ac:dyDescent="0.25">
      <c r="A51" s="218"/>
      <c r="B51" s="219" t="s">
        <v>72</v>
      </c>
      <c r="C51" s="223">
        <f t="shared" si="4"/>
        <v>0</v>
      </c>
      <c r="D51" s="221">
        <f>SUM(D52,D194)</f>
        <v>0</v>
      </c>
      <c r="E51" s="222">
        <f>SUM(E52,E194)</f>
        <v>0</v>
      </c>
      <c r="F51" s="223">
        <f t="shared" si="5"/>
        <v>0</v>
      </c>
      <c r="G51" s="221">
        <f>SUM(G52,G194)</f>
        <v>0</v>
      </c>
      <c r="H51" s="224">
        <f>SUM(H52,H194)</f>
        <v>0</v>
      </c>
      <c r="I51" s="225">
        <f t="shared" si="6"/>
        <v>0</v>
      </c>
      <c r="J51" s="221">
        <f>SUM(J52,J194)</f>
        <v>0</v>
      </c>
      <c r="K51" s="224">
        <f>SUM(K52,K194)</f>
        <v>0</v>
      </c>
      <c r="L51" s="225">
        <f t="shared" si="7"/>
        <v>0</v>
      </c>
      <c r="M51" s="226">
        <f>SUM(M52,M194)</f>
        <v>0</v>
      </c>
      <c r="N51" s="227">
        <f>SUM(N52,N194)</f>
        <v>0</v>
      </c>
      <c r="O51" s="225">
        <f t="shared" si="8"/>
        <v>0</v>
      </c>
      <c r="P51" s="228"/>
    </row>
    <row r="52" spans="1:16" s="41" customFormat="1" ht="24" hidden="1" x14ac:dyDescent="0.25">
      <c r="A52" s="35"/>
      <c r="B52" s="30" t="s">
        <v>73</v>
      </c>
      <c r="C52" s="232">
        <f t="shared" si="4"/>
        <v>0</v>
      </c>
      <c r="D52" s="230">
        <f>SUM(D53,D75,D173,D187)</f>
        <v>0</v>
      </c>
      <c r="E52" s="231">
        <f>SUM(E53,E75,E173,E187)</f>
        <v>0</v>
      </c>
      <c r="F52" s="232">
        <f t="shared" si="5"/>
        <v>0</v>
      </c>
      <c r="G52" s="230">
        <f>SUM(G53,G75,G173,G187)</f>
        <v>0</v>
      </c>
      <c r="H52" s="233">
        <f>SUM(H53,H75,H173,H187)</f>
        <v>0</v>
      </c>
      <c r="I52" s="234">
        <f t="shared" si="6"/>
        <v>0</v>
      </c>
      <c r="J52" s="230">
        <f>SUM(J53,J75,J173,J187)</f>
        <v>0</v>
      </c>
      <c r="K52" s="233">
        <f>SUM(K53,K75,K173,K187)</f>
        <v>0</v>
      </c>
      <c r="L52" s="234">
        <f t="shared" si="7"/>
        <v>0</v>
      </c>
      <c r="M52" s="53">
        <f>SUM(M53,M75,M173,M187)</f>
        <v>0</v>
      </c>
      <c r="N52" s="235">
        <f>SUM(N53,N75,N173,N187)</f>
        <v>0</v>
      </c>
      <c r="O52" s="234">
        <f t="shared" si="8"/>
        <v>0</v>
      </c>
      <c r="P52" s="236"/>
    </row>
    <row r="53" spans="1:16" s="41" customFormat="1" hidden="1" x14ac:dyDescent="0.25">
      <c r="A53" s="237">
        <v>1000</v>
      </c>
      <c r="B53" s="237" t="s">
        <v>74</v>
      </c>
      <c r="C53" s="241">
        <f t="shared" si="4"/>
        <v>0</v>
      </c>
      <c r="D53" s="239">
        <f>SUM(D54,D67)</f>
        <v>0</v>
      </c>
      <c r="E53" s="240">
        <f>SUM(E54,E67)</f>
        <v>0</v>
      </c>
      <c r="F53" s="241">
        <f t="shared" si="5"/>
        <v>0</v>
      </c>
      <c r="G53" s="239">
        <f>SUM(G54,G67)</f>
        <v>0</v>
      </c>
      <c r="H53" s="242">
        <f>SUM(H54,H67)</f>
        <v>0</v>
      </c>
      <c r="I53" s="243">
        <f t="shared" si="6"/>
        <v>0</v>
      </c>
      <c r="J53" s="239">
        <f>SUM(J54,J67)</f>
        <v>0</v>
      </c>
      <c r="K53" s="242">
        <f>SUM(K54,K67)</f>
        <v>0</v>
      </c>
      <c r="L53" s="243">
        <f t="shared" si="7"/>
        <v>0</v>
      </c>
      <c r="M53" s="244">
        <f>SUM(M54,M67)</f>
        <v>0</v>
      </c>
      <c r="N53" s="245">
        <f>SUM(N54,N67)</f>
        <v>0</v>
      </c>
      <c r="O53" s="243">
        <f t="shared" si="8"/>
        <v>0</v>
      </c>
      <c r="P53" s="246"/>
    </row>
    <row r="54" spans="1:16" hidden="1" x14ac:dyDescent="0.25">
      <c r="A54" s="99">
        <v>1100</v>
      </c>
      <c r="B54" s="247" t="s">
        <v>75</v>
      </c>
      <c r="C54" s="249">
        <f t="shared" si="4"/>
        <v>0</v>
      </c>
      <c r="D54" s="112">
        <f>SUM(D55,D58,D66)</f>
        <v>0</v>
      </c>
      <c r="E54" s="248">
        <f>SUM(E55,E58,E66)</f>
        <v>0</v>
      </c>
      <c r="F54" s="249">
        <f t="shared" si="5"/>
        <v>0</v>
      </c>
      <c r="G54" s="112">
        <f>SUM(G55,G58,G66)</f>
        <v>0</v>
      </c>
      <c r="H54" s="113">
        <f>SUM(H55,H58,H66)</f>
        <v>0</v>
      </c>
      <c r="I54" s="114">
        <f t="shared" si="6"/>
        <v>0</v>
      </c>
      <c r="J54" s="112">
        <f>SUM(J55,J58,J66)</f>
        <v>0</v>
      </c>
      <c r="K54" s="113">
        <f>SUM(K55,K58,K66)</f>
        <v>0</v>
      </c>
      <c r="L54" s="114">
        <f t="shared" si="7"/>
        <v>0</v>
      </c>
      <c r="M54" s="250">
        <f>SUM(M55,M58,M66)</f>
        <v>0</v>
      </c>
      <c r="N54" s="251">
        <f>SUM(N55,N58,N66)</f>
        <v>0</v>
      </c>
      <c r="O54" s="252">
        <f t="shared" si="8"/>
        <v>0</v>
      </c>
      <c r="P54" s="253"/>
    </row>
    <row r="55" spans="1:16" hidden="1" x14ac:dyDescent="0.25">
      <c r="A55" s="254">
        <v>1110</v>
      </c>
      <c r="B55" s="179" t="s">
        <v>76</v>
      </c>
      <c r="C55" s="257">
        <f t="shared" si="4"/>
        <v>0</v>
      </c>
      <c r="D55" s="255">
        <f>SUM(D56:D57)</f>
        <v>0</v>
      </c>
      <c r="E55" s="256">
        <f>SUM(E56:E57)</f>
        <v>0</v>
      </c>
      <c r="F55" s="257">
        <f t="shared" si="5"/>
        <v>0</v>
      </c>
      <c r="G55" s="255">
        <f>SUM(G56:G57)</f>
        <v>0</v>
      </c>
      <c r="H55" s="258">
        <f>SUM(H56:H57)</f>
        <v>0</v>
      </c>
      <c r="I55" s="259">
        <f t="shared" si="6"/>
        <v>0</v>
      </c>
      <c r="J55" s="255">
        <f>SUM(J56:J57)</f>
        <v>0</v>
      </c>
      <c r="K55" s="258">
        <f>SUM(K56:K57)</f>
        <v>0</v>
      </c>
      <c r="L55" s="259">
        <f t="shared" si="7"/>
        <v>0</v>
      </c>
      <c r="M55" s="260">
        <f>SUM(M56:M57)</f>
        <v>0</v>
      </c>
      <c r="N55" s="261">
        <f>SUM(N56:N57)</f>
        <v>0</v>
      </c>
      <c r="O55" s="259">
        <f t="shared" si="8"/>
        <v>0</v>
      </c>
      <c r="P55" s="189"/>
    </row>
    <row r="56" spans="1:16" hidden="1" x14ac:dyDescent="0.25">
      <c r="A56" s="66">
        <v>1111</v>
      </c>
      <c r="B56" s="116" t="s">
        <v>77</v>
      </c>
      <c r="C56" s="296">
        <f t="shared" si="4"/>
        <v>0</v>
      </c>
      <c r="D56" s="123"/>
      <c r="E56" s="295"/>
      <c r="F56" s="296">
        <f t="shared" si="5"/>
        <v>0</v>
      </c>
      <c r="G56" s="123"/>
      <c r="H56" s="124"/>
      <c r="I56" s="125">
        <f t="shared" si="6"/>
        <v>0</v>
      </c>
      <c r="J56" s="123"/>
      <c r="K56" s="124"/>
      <c r="L56" s="125">
        <f t="shared" si="7"/>
        <v>0</v>
      </c>
      <c r="M56" s="264"/>
      <c r="N56" s="262"/>
      <c r="O56" s="125">
        <f t="shared" si="8"/>
        <v>0</v>
      </c>
      <c r="P56" s="74"/>
    </row>
    <row r="57" spans="1:16" ht="24" hidden="1" x14ac:dyDescent="0.25">
      <c r="A57" s="76">
        <v>1119</v>
      </c>
      <c r="B57" s="127" t="s">
        <v>78</v>
      </c>
      <c r="C57" s="279">
        <f t="shared" si="4"/>
        <v>0</v>
      </c>
      <c r="D57" s="134"/>
      <c r="E57" s="283"/>
      <c r="F57" s="279">
        <f t="shared" si="5"/>
        <v>0</v>
      </c>
      <c r="G57" s="134"/>
      <c r="H57" s="135"/>
      <c r="I57" s="136">
        <f t="shared" si="6"/>
        <v>0</v>
      </c>
      <c r="J57" s="134"/>
      <c r="K57" s="135"/>
      <c r="L57" s="136">
        <f t="shared" si="7"/>
        <v>0</v>
      </c>
      <c r="M57" s="284"/>
      <c r="N57" s="285"/>
      <c r="O57" s="136">
        <f t="shared" si="8"/>
        <v>0</v>
      </c>
      <c r="P57" s="85"/>
    </row>
    <row r="58" spans="1:16" ht="24" hidden="1" x14ac:dyDescent="0.25">
      <c r="A58" s="276">
        <v>1140</v>
      </c>
      <c r="B58" s="127" t="s">
        <v>79</v>
      </c>
      <c r="C58" s="279">
        <f t="shared" si="4"/>
        <v>0</v>
      </c>
      <c r="D58" s="277">
        <f>SUM(D59:D65)</f>
        <v>0</v>
      </c>
      <c r="E58" s="278">
        <f>SUM(E59:E65)</f>
        <v>0</v>
      </c>
      <c r="F58" s="279">
        <f>D58+E58</f>
        <v>0</v>
      </c>
      <c r="G58" s="277">
        <f>SUM(G59:G65)</f>
        <v>0</v>
      </c>
      <c r="H58" s="280">
        <f>SUM(H59:H65)</f>
        <v>0</v>
      </c>
      <c r="I58" s="136">
        <f t="shared" si="6"/>
        <v>0</v>
      </c>
      <c r="J58" s="277">
        <f>SUM(J59:J65)</f>
        <v>0</v>
      </c>
      <c r="K58" s="280">
        <f>SUM(K59:K65)</f>
        <v>0</v>
      </c>
      <c r="L58" s="136">
        <f t="shared" si="7"/>
        <v>0</v>
      </c>
      <c r="M58" s="281">
        <f>SUM(M59:M65)</f>
        <v>0</v>
      </c>
      <c r="N58" s="282">
        <f>SUM(N59:N65)</f>
        <v>0</v>
      </c>
      <c r="O58" s="136">
        <f t="shared" si="8"/>
        <v>0</v>
      </c>
      <c r="P58" s="85"/>
    </row>
    <row r="59" spans="1:16" hidden="1" x14ac:dyDescent="0.25">
      <c r="A59" s="76">
        <v>1141</v>
      </c>
      <c r="B59" s="127" t="s">
        <v>80</v>
      </c>
      <c r="C59" s="279">
        <f t="shared" si="4"/>
        <v>0</v>
      </c>
      <c r="D59" s="134"/>
      <c r="E59" s="283"/>
      <c r="F59" s="279">
        <f t="shared" si="5"/>
        <v>0</v>
      </c>
      <c r="G59" s="134"/>
      <c r="H59" s="135"/>
      <c r="I59" s="136">
        <f t="shared" si="6"/>
        <v>0</v>
      </c>
      <c r="J59" s="134"/>
      <c r="K59" s="135"/>
      <c r="L59" s="136">
        <f t="shared" si="7"/>
        <v>0</v>
      </c>
      <c r="M59" s="284"/>
      <c r="N59" s="285"/>
      <c r="O59" s="136">
        <f t="shared" si="8"/>
        <v>0</v>
      </c>
      <c r="P59" s="85"/>
    </row>
    <row r="60" spans="1:16" ht="24" hidden="1" x14ac:dyDescent="0.25">
      <c r="A60" s="76">
        <v>1142</v>
      </c>
      <c r="B60" s="127" t="s">
        <v>81</v>
      </c>
      <c r="C60" s="279">
        <f t="shared" si="4"/>
        <v>0</v>
      </c>
      <c r="D60" s="134"/>
      <c r="E60" s="283"/>
      <c r="F60" s="279">
        <f t="shared" si="5"/>
        <v>0</v>
      </c>
      <c r="G60" s="134"/>
      <c r="H60" s="135"/>
      <c r="I60" s="136">
        <f t="shared" si="6"/>
        <v>0</v>
      </c>
      <c r="J60" s="134"/>
      <c r="K60" s="135"/>
      <c r="L60" s="136">
        <f t="shared" si="7"/>
        <v>0</v>
      </c>
      <c r="M60" s="284"/>
      <c r="N60" s="285"/>
      <c r="O60" s="136">
        <f t="shared" si="8"/>
        <v>0</v>
      </c>
      <c r="P60" s="85"/>
    </row>
    <row r="61" spans="1:16" ht="24" hidden="1" x14ac:dyDescent="0.25">
      <c r="A61" s="76">
        <v>1145</v>
      </c>
      <c r="B61" s="127" t="s">
        <v>82</v>
      </c>
      <c r="C61" s="279">
        <f t="shared" si="4"/>
        <v>0</v>
      </c>
      <c r="D61" s="134"/>
      <c r="E61" s="283"/>
      <c r="F61" s="279">
        <f t="shared" si="5"/>
        <v>0</v>
      </c>
      <c r="G61" s="134"/>
      <c r="H61" s="135"/>
      <c r="I61" s="136">
        <f t="shared" si="6"/>
        <v>0</v>
      </c>
      <c r="J61" s="134"/>
      <c r="K61" s="135"/>
      <c r="L61" s="136">
        <f t="shared" si="7"/>
        <v>0</v>
      </c>
      <c r="M61" s="284"/>
      <c r="N61" s="285"/>
      <c r="O61" s="136">
        <f t="shared" si="8"/>
        <v>0</v>
      </c>
      <c r="P61" s="85"/>
    </row>
    <row r="62" spans="1:16" ht="24" hidden="1" x14ac:dyDescent="0.25">
      <c r="A62" s="76">
        <v>1146</v>
      </c>
      <c r="B62" s="127" t="s">
        <v>83</v>
      </c>
      <c r="C62" s="279">
        <f t="shared" si="4"/>
        <v>0</v>
      </c>
      <c r="D62" s="134"/>
      <c r="E62" s="283"/>
      <c r="F62" s="279">
        <f t="shared" si="5"/>
        <v>0</v>
      </c>
      <c r="G62" s="134"/>
      <c r="H62" s="135"/>
      <c r="I62" s="136">
        <f t="shared" si="6"/>
        <v>0</v>
      </c>
      <c r="J62" s="134"/>
      <c r="K62" s="135"/>
      <c r="L62" s="136">
        <f t="shared" si="7"/>
        <v>0</v>
      </c>
      <c r="M62" s="284"/>
      <c r="N62" s="285"/>
      <c r="O62" s="136">
        <f t="shared" si="8"/>
        <v>0</v>
      </c>
      <c r="P62" s="85"/>
    </row>
    <row r="63" spans="1:16" hidden="1" x14ac:dyDescent="0.25">
      <c r="A63" s="76">
        <v>1147</v>
      </c>
      <c r="B63" s="127" t="s">
        <v>84</v>
      </c>
      <c r="C63" s="279">
        <f t="shared" si="4"/>
        <v>0</v>
      </c>
      <c r="D63" s="134"/>
      <c r="E63" s="283"/>
      <c r="F63" s="279">
        <f t="shared" si="5"/>
        <v>0</v>
      </c>
      <c r="G63" s="134"/>
      <c r="H63" s="135"/>
      <c r="I63" s="136">
        <f t="shared" si="6"/>
        <v>0</v>
      </c>
      <c r="J63" s="134"/>
      <c r="K63" s="135"/>
      <c r="L63" s="136">
        <f t="shared" si="7"/>
        <v>0</v>
      </c>
      <c r="M63" s="284"/>
      <c r="N63" s="285"/>
      <c r="O63" s="136">
        <f t="shared" si="8"/>
        <v>0</v>
      </c>
      <c r="P63" s="85"/>
    </row>
    <row r="64" spans="1:16" hidden="1" x14ac:dyDescent="0.25">
      <c r="A64" s="76">
        <v>1148</v>
      </c>
      <c r="B64" s="127" t="s">
        <v>85</v>
      </c>
      <c r="C64" s="279">
        <f t="shared" si="4"/>
        <v>0</v>
      </c>
      <c r="D64" s="134"/>
      <c r="E64" s="283"/>
      <c r="F64" s="279">
        <f t="shared" si="5"/>
        <v>0</v>
      </c>
      <c r="G64" s="134"/>
      <c r="H64" s="135"/>
      <c r="I64" s="136">
        <f t="shared" si="6"/>
        <v>0</v>
      </c>
      <c r="J64" s="134"/>
      <c r="K64" s="135"/>
      <c r="L64" s="136">
        <f t="shared" si="7"/>
        <v>0</v>
      </c>
      <c r="M64" s="284"/>
      <c r="N64" s="285"/>
      <c r="O64" s="136">
        <f t="shared" si="8"/>
        <v>0</v>
      </c>
      <c r="P64" s="85"/>
    </row>
    <row r="65" spans="1:16" ht="36" hidden="1" x14ac:dyDescent="0.25">
      <c r="A65" s="76">
        <v>1149</v>
      </c>
      <c r="B65" s="127" t="s">
        <v>86</v>
      </c>
      <c r="C65" s="279">
        <f t="shared" si="4"/>
        <v>0</v>
      </c>
      <c r="D65" s="134"/>
      <c r="E65" s="283"/>
      <c r="F65" s="279">
        <f t="shared" si="5"/>
        <v>0</v>
      </c>
      <c r="G65" s="134"/>
      <c r="H65" s="135"/>
      <c r="I65" s="136">
        <f t="shared" si="6"/>
        <v>0</v>
      </c>
      <c r="J65" s="134"/>
      <c r="K65" s="135"/>
      <c r="L65" s="136">
        <f t="shared" si="7"/>
        <v>0</v>
      </c>
      <c r="M65" s="284"/>
      <c r="N65" s="285"/>
      <c r="O65" s="136">
        <f t="shared" si="8"/>
        <v>0</v>
      </c>
      <c r="P65" s="85"/>
    </row>
    <row r="66" spans="1:16" ht="36" hidden="1" x14ac:dyDescent="0.25">
      <c r="A66" s="254">
        <v>1150</v>
      </c>
      <c r="B66" s="179" t="s">
        <v>87</v>
      </c>
      <c r="C66" s="279">
        <f t="shared" si="4"/>
        <v>0</v>
      </c>
      <c r="D66" s="287"/>
      <c r="E66" s="288"/>
      <c r="F66" s="257">
        <f t="shared" si="5"/>
        <v>0</v>
      </c>
      <c r="G66" s="287"/>
      <c r="H66" s="289"/>
      <c r="I66" s="259">
        <f t="shared" si="6"/>
        <v>0</v>
      </c>
      <c r="J66" s="287"/>
      <c r="K66" s="289"/>
      <c r="L66" s="259">
        <f t="shared" si="7"/>
        <v>0</v>
      </c>
      <c r="M66" s="290"/>
      <c r="N66" s="291"/>
      <c r="O66" s="259">
        <f t="shared" si="8"/>
        <v>0</v>
      </c>
      <c r="P66" s="189"/>
    </row>
    <row r="67" spans="1:16" ht="36" hidden="1" x14ac:dyDescent="0.25">
      <c r="A67" s="99">
        <v>1200</v>
      </c>
      <c r="B67" s="247" t="s">
        <v>88</v>
      </c>
      <c r="C67" s="249">
        <f t="shared" si="4"/>
        <v>0</v>
      </c>
      <c r="D67" s="112">
        <f>SUM(D68:D69)</f>
        <v>0</v>
      </c>
      <c r="E67" s="248">
        <f>SUM(E68:E69)</f>
        <v>0</v>
      </c>
      <c r="F67" s="249">
        <f>D67+E67</f>
        <v>0</v>
      </c>
      <c r="G67" s="112">
        <f>SUM(G68:G69)</f>
        <v>0</v>
      </c>
      <c r="H67" s="113">
        <f>SUM(H68:H69)</f>
        <v>0</v>
      </c>
      <c r="I67" s="114">
        <f t="shared" si="6"/>
        <v>0</v>
      </c>
      <c r="J67" s="112">
        <f>SUM(J68:J69)</f>
        <v>0</v>
      </c>
      <c r="K67" s="113">
        <f>SUM(K68:K69)</f>
        <v>0</v>
      </c>
      <c r="L67" s="114">
        <f t="shared" si="7"/>
        <v>0</v>
      </c>
      <c r="M67" s="292">
        <f>SUM(M68:M69)</f>
        <v>0</v>
      </c>
      <c r="N67" s="293">
        <f>SUM(N68:N69)</f>
        <v>0</v>
      </c>
      <c r="O67" s="114">
        <f t="shared" si="8"/>
        <v>0</v>
      </c>
      <c r="P67" s="109"/>
    </row>
    <row r="68" spans="1:16" ht="24" hidden="1" x14ac:dyDescent="0.25">
      <c r="A68" s="656">
        <v>1210</v>
      </c>
      <c r="B68" s="116" t="s">
        <v>89</v>
      </c>
      <c r="C68" s="296">
        <f t="shared" si="4"/>
        <v>0</v>
      </c>
      <c r="D68" s="123"/>
      <c r="E68" s="295"/>
      <c r="F68" s="296">
        <f t="shared" si="5"/>
        <v>0</v>
      </c>
      <c r="G68" s="123"/>
      <c r="H68" s="124"/>
      <c r="I68" s="125">
        <f t="shared" si="6"/>
        <v>0</v>
      </c>
      <c r="J68" s="123"/>
      <c r="K68" s="124"/>
      <c r="L68" s="125">
        <f t="shared" si="7"/>
        <v>0</v>
      </c>
      <c r="M68" s="264"/>
      <c r="N68" s="262"/>
      <c r="O68" s="125">
        <f t="shared" si="8"/>
        <v>0</v>
      </c>
      <c r="P68" s="74"/>
    </row>
    <row r="69" spans="1:16" ht="24" hidden="1" x14ac:dyDescent="0.25">
      <c r="A69" s="276">
        <v>1220</v>
      </c>
      <c r="B69" s="127" t="s">
        <v>90</v>
      </c>
      <c r="C69" s="279">
        <f t="shared" si="4"/>
        <v>0</v>
      </c>
      <c r="D69" s="277">
        <f>SUM(D70:D74)</f>
        <v>0</v>
      </c>
      <c r="E69" s="278">
        <f>SUM(E70:E74)</f>
        <v>0</v>
      </c>
      <c r="F69" s="279">
        <f t="shared" si="5"/>
        <v>0</v>
      </c>
      <c r="G69" s="277">
        <f>SUM(G70:G74)</f>
        <v>0</v>
      </c>
      <c r="H69" s="280">
        <f>SUM(H70:H74)</f>
        <v>0</v>
      </c>
      <c r="I69" s="136">
        <f t="shared" si="6"/>
        <v>0</v>
      </c>
      <c r="J69" s="277">
        <f>SUM(J70:J74)</f>
        <v>0</v>
      </c>
      <c r="K69" s="280">
        <f>SUM(K70:K74)</f>
        <v>0</v>
      </c>
      <c r="L69" s="136">
        <f t="shared" si="7"/>
        <v>0</v>
      </c>
      <c r="M69" s="281">
        <f>SUM(M70:M74)</f>
        <v>0</v>
      </c>
      <c r="N69" s="282">
        <f>SUM(N70:N74)</f>
        <v>0</v>
      </c>
      <c r="O69" s="136">
        <f t="shared" si="8"/>
        <v>0</v>
      </c>
      <c r="P69" s="85"/>
    </row>
    <row r="70" spans="1:16" ht="60" hidden="1" x14ac:dyDescent="0.25">
      <c r="A70" s="76">
        <v>1221</v>
      </c>
      <c r="B70" s="127" t="s">
        <v>91</v>
      </c>
      <c r="C70" s="279">
        <f t="shared" si="4"/>
        <v>0</v>
      </c>
      <c r="D70" s="134"/>
      <c r="E70" s="283"/>
      <c r="F70" s="279">
        <f t="shared" si="5"/>
        <v>0</v>
      </c>
      <c r="G70" s="134"/>
      <c r="H70" s="135"/>
      <c r="I70" s="136">
        <f t="shared" si="6"/>
        <v>0</v>
      </c>
      <c r="J70" s="134"/>
      <c r="K70" s="135"/>
      <c r="L70" s="136">
        <f t="shared" si="7"/>
        <v>0</v>
      </c>
      <c r="M70" s="284"/>
      <c r="N70" s="285"/>
      <c r="O70" s="136">
        <f t="shared" si="8"/>
        <v>0</v>
      </c>
      <c r="P70" s="85"/>
    </row>
    <row r="71" spans="1:16" hidden="1" x14ac:dyDescent="0.25">
      <c r="A71" s="76">
        <v>1223</v>
      </c>
      <c r="B71" s="127" t="s">
        <v>92</v>
      </c>
      <c r="C71" s="279">
        <f t="shared" si="4"/>
        <v>0</v>
      </c>
      <c r="D71" s="134"/>
      <c r="E71" s="283"/>
      <c r="F71" s="279">
        <f t="shared" si="5"/>
        <v>0</v>
      </c>
      <c r="G71" s="134"/>
      <c r="H71" s="135"/>
      <c r="I71" s="136">
        <f t="shared" si="6"/>
        <v>0</v>
      </c>
      <c r="J71" s="134"/>
      <c r="K71" s="135"/>
      <c r="L71" s="136">
        <f t="shared" si="7"/>
        <v>0</v>
      </c>
      <c r="M71" s="284"/>
      <c r="N71" s="285"/>
      <c r="O71" s="136">
        <f t="shared" si="8"/>
        <v>0</v>
      </c>
      <c r="P71" s="85"/>
    </row>
    <row r="72" spans="1:16" hidden="1" x14ac:dyDescent="0.25">
      <c r="A72" s="76">
        <v>1225</v>
      </c>
      <c r="B72" s="127" t="s">
        <v>93</v>
      </c>
      <c r="C72" s="279">
        <f t="shared" si="4"/>
        <v>0</v>
      </c>
      <c r="D72" s="134"/>
      <c r="E72" s="283"/>
      <c r="F72" s="279">
        <f t="shared" si="5"/>
        <v>0</v>
      </c>
      <c r="G72" s="134"/>
      <c r="H72" s="135"/>
      <c r="I72" s="136">
        <f t="shared" si="6"/>
        <v>0</v>
      </c>
      <c r="J72" s="134"/>
      <c r="K72" s="135"/>
      <c r="L72" s="136">
        <f t="shared" si="7"/>
        <v>0</v>
      </c>
      <c r="M72" s="284"/>
      <c r="N72" s="285"/>
      <c r="O72" s="136">
        <f t="shared" si="8"/>
        <v>0</v>
      </c>
      <c r="P72" s="85"/>
    </row>
    <row r="73" spans="1:16" ht="36" hidden="1" x14ac:dyDescent="0.25">
      <c r="A73" s="76">
        <v>1227</v>
      </c>
      <c r="B73" s="127" t="s">
        <v>94</v>
      </c>
      <c r="C73" s="279">
        <f t="shared" si="4"/>
        <v>0</v>
      </c>
      <c r="D73" s="134"/>
      <c r="E73" s="283"/>
      <c r="F73" s="279">
        <f t="shared" si="5"/>
        <v>0</v>
      </c>
      <c r="G73" s="134"/>
      <c r="H73" s="135"/>
      <c r="I73" s="136">
        <f t="shared" si="6"/>
        <v>0</v>
      </c>
      <c r="J73" s="134"/>
      <c r="K73" s="135"/>
      <c r="L73" s="136">
        <f t="shared" si="7"/>
        <v>0</v>
      </c>
      <c r="M73" s="284"/>
      <c r="N73" s="285"/>
      <c r="O73" s="136">
        <f t="shared" si="8"/>
        <v>0</v>
      </c>
      <c r="P73" s="85"/>
    </row>
    <row r="74" spans="1:16" ht="60" hidden="1" x14ac:dyDescent="0.25">
      <c r="A74" s="76">
        <v>1228</v>
      </c>
      <c r="B74" s="127" t="s">
        <v>95</v>
      </c>
      <c r="C74" s="279">
        <f t="shared" si="4"/>
        <v>0</v>
      </c>
      <c r="D74" s="134"/>
      <c r="E74" s="283"/>
      <c r="F74" s="279">
        <f t="shared" si="5"/>
        <v>0</v>
      </c>
      <c r="G74" s="134"/>
      <c r="H74" s="135"/>
      <c r="I74" s="136">
        <f t="shared" si="6"/>
        <v>0</v>
      </c>
      <c r="J74" s="134"/>
      <c r="K74" s="135"/>
      <c r="L74" s="136">
        <f t="shared" si="7"/>
        <v>0</v>
      </c>
      <c r="M74" s="284"/>
      <c r="N74" s="285"/>
      <c r="O74" s="136">
        <f t="shared" si="8"/>
        <v>0</v>
      </c>
      <c r="P74" s="85"/>
    </row>
    <row r="75" spans="1:16" hidden="1" x14ac:dyDescent="0.25">
      <c r="A75" s="237">
        <v>2000</v>
      </c>
      <c r="B75" s="237" t="s">
        <v>96</v>
      </c>
      <c r="C75" s="241">
        <f t="shared" si="4"/>
        <v>0</v>
      </c>
      <c r="D75" s="239">
        <f>SUM(D76,D83,D130,D164,D165,D172)</f>
        <v>0</v>
      </c>
      <c r="E75" s="240">
        <f>SUM(E76,E83,E130,E164,E165,E172)</f>
        <v>0</v>
      </c>
      <c r="F75" s="241">
        <f t="shared" si="5"/>
        <v>0</v>
      </c>
      <c r="G75" s="239">
        <f>SUM(G76,G83,G130,G164,G165,G172)</f>
        <v>0</v>
      </c>
      <c r="H75" s="242">
        <f>SUM(H76,H83,H130,H164,H165,H172)</f>
        <v>0</v>
      </c>
      <c r="I75" s="243">
        <f t="shared" si="6"/>
        <v>0</v>
      </c>
      <c r="J75" s="239">
        <f>SUM(J76,J83,J130,J164,J165,J172)</f>
        <v>0</v>
      </c>
      <c r="K75" s="242">
        <f>SUM(K76,K83,K130,K164,K165,K172)</f>
        <v>0</v>
      </c>
      <c r="L75" s="243">
        <f t="shared" si="7"/>
        <v>0</v>
      </c>
      <c r="M75" s="244">
        <f>SUM(M76,M83,M130,M164,M165,M172)</f>
        <v>0</v>
      </c>
      <c r="N75" s="245">
        <f>SUM(N76,N83,N130,N164,N165,N172)</f>
        <v>0</v>
      </c>
      <c r="O75" s="243">
        <f t="shared" si="8"/>
        <v>0</v>
      </c>
      <c r="P75" s="246"/>
    </row>
    <row r="76" spans="1:16" ht="24" hidden="1" x14ac:dyDescent="0.25">
      <c r="A76" s="99">
        <v>2100</v>
      </c>
      <c r="B76" s="247" t="s">
        <v>97</v>
      </c>
      <c r="C76" s="249">
        <f t="shared" si="4"/>
        <v>0</v>
      </c>
      <c r="D76" s="112">
        <f>SUM(D77,D80)</f>
        <v>0</v>
      </c>
      <c r="E76" s="248">
        <f>SUM(E77,E80)</f>
        <v>0</v>
      </c>
      <c r="F76" s="249">
        <f t="shared" si="5"/>
        <v>0</v>
      </c>
      <c r="G76" s="112">
        <f>SUM(G77,G80)</f>
        <v>0</v>
      </c>
      <c r="H76" s="113">
        <f>SUM(H77,H80)</f>
        <v>0</v>
      </c>
      <c r="I76" s="114">
        <f t="shared" si="6"/>
        <v>0</v>
      </c>
      <c r="J76" s="112">
        <f>SUM(J77,J80)</f>
        <v>0</v>
      </c>
      <c r="K76" s="113">
        <f>SUM(K77,K80)</f>
        <v>0</v>
      </c>
      <c r="L76" s="114">
        <f t="shared" si="7"/>
        <v>0</v>
      </c>
      <c r="M76" s="292">
        <f>SUM(M77,M80)</f>
        <v>0</v>
      </c>
      <c r="N76" s="293">
        <f>SUM(N77,N80)</f>
        <v>0</v>
      </c>
      <c r="O76" s="114">
        <f t="shared" si="8"/>
        <v>0</v>
      </c>
      <c r="P76" s="109"/>
    </row>
    <row r="77" spans="1:16" ht="24" hidden="1" x14ac:dyDescent="0.25">
      <c r="A77" s="656">
        <v>2110</v>
      </c>
      <c r="B77" s="116" t="s">
        <v>98</v>
      </c>
      <c r="C77" s="296">
        <f t="shared" si="4"/>
        <v>0</v>
      </c>
      <c r="D77" s="297">
        <f>SUM(D78:D79)</f>
        <v>0</v>
      </c>
      <c r="E77" s="298">
        <f>SUM(E78:E79)</f>
        <v>0</v>
      </c>
      <c r="F77" s="296">
        <f t="shared" si="5"/>
        <v>0</v>
      </c>
      <c r="G77" s="297">
        <f>SUM(G78:G79)</f>
        <v>0</v>
      </c>
      <c r="H77" s="299">
        <f>SUM(H78:H79)</f>
        <v>0</v>
      </c>
      <c r="I77" s="125">
        <f t="shared" si="6"/>
        <v>0</v>
      </c>
      <c r="J77" s="297">
        <f>SUM(J78:J79)</f>
        <v>0</v>
      </c>
      <c r="K77" s="299">
        <f>SUM(K78:K79)</f>
        <v>0</v>
      </c>
      <c r="L77" s="125">
        <f t="shared" si="7"/>
        <v>0</v>
      </c>
      <c r="M77" s="300">
        <f>SUM(M78:M79)</f>
        <v>0</v>
      </c>
      <c r="N77" s="301">
        <f>SUM(N78:N79)</f>
        <v>0</v>
      </c>
      <c r="O77" s="125">
        <f t="shared" si="8"/>
        <v>0</v>
      </c>
      <c r="P77" s="74"/>
    </row>
    <row r="78" spans="1:16" hidden="1" x14ac:dyDescent="0.25">
      <c r="A78" s="76">
        <v>2111</v>
      </c>
      <c r="B78" s="127" t="s">
        <v>99</v>
      </c>
      <c r="C78" s="279">
        <f t="shared" si="4"/>
        <v>0</v>
      </c>
      <c r="D78" s="134"/>
      <c r="E78" s="283"/>
      <c r="F78" s="279">
        <f t="shared" si="5"/>
        <v>0</v>
      </c>
      <c r="G78" s="134"/>
      <c r="H78" s="135"/>
      <c r="I78" s="136">
        <f t="shared" si="6"/>
        <v>0</v>
      </c>
      <c r="J78" s="134"/>
      <c r="K78" s="135"/>
      <c r="L78" s="136">
        <f t="shared" si="7"/>
        <v>0</v>
      </c>
      <c r="M78" s="284"/>
      <c r="N78" s="285"/>
      <c r="O78" s="136">
        <f t="shared" si="8"/>
        <v>0</v>
      </c>
      <c r="P78" s="85"/>
    </row>
    <row r="79" spans="1:16" ht="24" hidden="1" x14ac:dyDescent="0.25">
      <c r="A79" s="76">
        <v>2112</v>
      </c>
      <c r="B79" s="127" t="s">
        <v>100</v>
      </c>
      <c r="C79" s="279">
        <f t="shared" si="4"/>
        <v>0</v>
      </c>
      <c r="D79" s="134"/>
      <c r="E79" s="283"/>
      <c r="F79" s="279">
        <f t="shared" si="5"/>
        <v>0</v>
      </c>
      <c r="G79" s="134"/>
      <c r="H79" s="135"/>
      <c r="I79" s="136">
        <f t="shared" si="6"/>
        <v>0</v>
      </c>
      <c r="J79" s="134"/>
      <c r="K79" s="135"/>
      <c r="L79" s="136">
        <f t="shared" si="7"/>
        <v>0</v>
      </c>
      <c r="M79" s="284"/>
      <c r="N79" s="285"/>
      <c r="O79" s="136">
        <f t="shared" si="8"/>
        <v>0</v>
      </c>
      <c r="P79" s="85"/>
    </row>
    <row r="80" spans="1:16" ht="24" hidden="1" x14ac:dyDescent="0.25">
      <c r="A80" s="276">
        <v>2120</v>
      </c>
      <c r="B80" s="127" t="s">
        <v>101</v>
      </c>
      <c r="C80" s="279">
        <f t="shared" si="4"/>
        <v>0</v>
      </c>
      <c r="D80" s="277">
        <f>SUM(D81:D82)</f>
        <v>0</v>
      </c>
      <c r="E80" s="278">
        <f>SUM(E81:E82)</f>
        <v>0</v>
      </c>
      <c r="F80" s="279">
        <f t="shared" si="5"/>
        <v>0</v>
      </c>
      <c r="G80" s="277">
        <f>SUM(G81:G82)</f>
        <v>0</v>
      </c>
      <c r="H80" s="280">
        <f>SUM(H81:H82)</f>
        <v>0</v>
      </c>
      <c r="I80" s="136">
        <f t="shared" si="6"/>
        <v>0</v>
      </c>
      <c r="J80" s="277">
        <f>SUM(J81:J82)</f>
        <v>0</v>
      </c>
      <c r="K80" s="280">
        <f>SUM(K81:K82)</f>
        <v>0</v>
      </c>
      <c r="L80" s="136">
        <f t="shared" si="7"/>
        <v>0</v>
      </c>
      <c r="M80" s="281">
        <f>SUM(M81:M82)</f>
        <v>0</v>
      </c>
      <c r="N80" s="282">
        <f>SUM(N81:N82)</f>
        <v>0</v>
      </c>
      <c r="O80" s="136">
        <f t="shared" si="8"/>
        <v>0</v>
      </c>
      <c r="P80" s="85"/>
    </row>
    <row r="81" spans="1:16" hidden="1" x14ac:dyDescent="0.25">
      <c r="A81" s="76">
        <v>2121</v>
      </c>
      <c r="B81" s="127" t="s">
        <v>99</v>
      </c>
      <c r="C81" s="279">
        <f t="shared" si="4"/>
        <v>0</v>
      </c>
      <c r="D81" s="134"/>
      <c r="E81" s="283"/>
      <c r="F81" s="279">
        <f t="shared" si="5"/>
        <v>0</v>
      </c>
      <c r="G81" s="134"/>
      <c r="H81" s="135"/>
      <c r="I81" s="136">
        <f t="shared" si="6"/>
        <v>0</v>
      </c>
      <c r="J81" s="134"/>
      <c r="K81" s="135"/>
      <c r="L81" s="136">
        <f t="shared" si="7"/>
        <v>0</v>
      </c>
      <c r="M81" s="284"/>
      <c r="N81" s="285"/>
      <c r="O81" s="136">
        <f t="shared" si="8"/>
        <v>0</v>
      </c>
      <c r="P81" s="85"/>
    </row>
    <row r="82" spans="1:16" ht="24" hidden="1" x14ac:dyDescent="0.25">
      <c r="A82" s="76">
        <v>2122</v>
      </c>
      <c r="B82" s="127" t="s">
        <v>100</v>
      </c>
      <c r="C82" s="279">
        <f t="shared" si="4"/>
        <v>0</v>
      </c>
      <c r="D82" s="134"/>
      <c r="E82" s="283"/>
      <c r="F82" s="279">
        <f t="shared" si="5"/>
        <v>0</v>
      </c>
      <c r="G82" s="134"/>
      <c r="H82" s="135"/>
      <c r="I82" s="136">
        <f t="shared" si="6"/>
        <v>0</v>
      </c>
      <c r="J82" s="134"/>
      <c r="K82" s="135"/>
      <c r="L82" s="136">
        <f t="shared" si="7"/>
        <v>0</v>
      </c>
      <c r="M82" s="284"/>
      <c r="N82" s="285"/>
      <c r="O82" s="136">
        <f t="shared" si="8"/>
        <v>0</v>
      </c>
      <c r="P82" s="85"/>
    </row>
    <row r="83" spans="1:16" hidden="1" x14ac:dyDescent="0.25">
      <c r="A83" s="99">
        <v>2200</v>
      </c>
      <c r="B83" s="247" t="s">
        <v>102</v>
      </c>
      <c r="C83" s="302">
        <f t="shared" si="4"/>
        <v>0</v>
      </c>
      <c r="D83" s="112">
        <f>SUM(D84,D89,D95,D103,D112,D116,D122,D128)</f>
        <v>0</v>
      </c>
      <c r="E83" s="248">
        <f>SUM(E84,E89,E95,E103,E112,E116,E122,E128)</f>
        <v>0</v>
      </c>
      <c r="F83" s="249">
        <f t="shared" si="5"/>
        <v>0</v>
      </c>
      <c r="G83" s="112">
        <f>SUM(G84,G89,G95,G103,G112,G116,G122,G128)</f>
        <v>0</v>
      </c>
      <c r="H83" s="113">
        <f>SUM(H84,H89,H95,H103,H112,H116,H122,H128)</f>
        <v>0</v>
      </c>
      <c r="I83" s="114">
        <f t="shared" si="6"/>
        <v>0</v>
      </c>
      <c r="J83" s="112">
        <f>SUM(J84,J89,J95,J103,J112,J116,J122,J128)</f>
        <v>0</v>
      </c>
      <c r="K83" s="113">
        <f>SUM(K84,K89,K95,K103,K112,K116,K122,K128)</f>
        <v>0</v>
      </c>
      <c r="L83" s="114">
        <f t="shared" si="7"/>
        <v>0</v>
      </c>
      <c r="M83" s="303">
        <f>SUM(M84,M89,M95,M103,M112,M116,M122,M128)</f>
        <v>0</v>
      </c>
      <c r="N83" s="304">
        <f>SUM(N84,N89,N95,N103,N112,N116,N122,N128)</f>
        <v>0</v>
      </c>
      <c r="O83" s="305">
        <f t="shared" si="8"/>
        <v>0</v>
      </c>
      <c r="P83" s="306"/>
    </row>
    <row r="84" spans="1:16" ht="24" hidden="1" x14ac:dyDescent="0.25">
      <c r="A84" s="254">
        <v>2210</v>
      </c>
      <c r="B84" s="179" t="s">
        <v>103</v>
      </c>
      <c r="C84" s="257">
        <f t="shared" si="4"/>
        <v>0</v>
      </c>
      <c r="D84" s="255">
        <f>SUM(D85:D88)</f>
        <v>0</v>
      </c>
      <c r="E84" s="256">
        <f>SUM(E85:E88)</f>
        <v>0</v>
      </c>
      <c r="F84" s="257">
        <f t="shared" si="5"/>
        <v>0</v>
      </c>
      <c r="G84" s="255">
        <f>SUM(G85:G88)</f>
        <v>0</v>
      </c>
      <c r="H84" s="258">
        <f>SUM(H85:H88)</f>
        <v>0</v>
      </c>
      <c r="I84" s="259">
        <f t="shared" si="6"/>
        <v>0</v>
      </c>
      <c r="J84" s="255">
        <f>SUM(J85:J88)</f>
        <v>0</v>
      </c>
      <c r="K84" s="258">
        <f>SUM(K85:K88)</f>
        <v>0</v>
      </c>
      <c r="L84" s="259">
        <f t="shared" si="7"/>
        <v>0</v>
      </c>
      <c r="M84" s="260">
        <f>SUM(M85:M88)</f>
        <v>0</v>
      </c>
      <c r="N84" s="261">
        <f>SUM(N85:N88)</f>
        <v>0</v>
      </c>
      <c r="O84" s="259">
        <f t="shared" si="8"/>
        <v>0</v>
      </c>
      <c r="P84" s="189"/>
    </row>
    <row r="85" spans="1:16" ht="24" hidden="1" x14ac:dyDescent="0.25">
      <c r="A85" s="66">
        <v>2211</v>
      </c>
      <c r="B85" s="116" t="s">
        <v>104</v>
      </c>
      <c r="C85" s="279">
        <f t="shared" si="4"/>
        <v>0</v>
      </c>
      <c r="D85" s="123"/>
      <c r="E85" s="295"/>
      <c r="F85" s="296">
        <f t="shared" si="5"/>
        <v>0</v>
      </c>
      <c r="G85" s="123"/>
      <c r="H85" s="124"/>
      <c r="I85" s="125">
        <f t="shared" si="6"/>
        <v>0</v>
      </c>
      <c r="J85" s="123"/>
      <c r="K85" s="124"/>
      <c r="L85" s="125">
        <f t="shared" si="7"/>
        <v>0</v>
      </c>
      <c r="M85" s="264"/>
      <c r="N85" s="262"/>
      <c r="O85" s="125">
        <f t="shared" si="8"/>
        <v>0</v>
      </c>
      <c r="P85" s="74"/>
    </row>
    <row r="86" spans="1:16" ht="36" hidden="1" x14ac:dyDescent="0.25">
      <c r="A86" s="76">
        <v>2212</v>
      </c>
      <c r="B86" s="127" t="s">
        <v>105</v>
      </c>
      <c r="C86" s="279">
        <f t="shared" si="4"/>
        <v>0</v>
      </c>
      <c r="D86" s="134"/>
      <c r="E86" s="283"/>
      <c r="F86" s="279">
        <f t="shared" si="5"/>
        <v>0</v>
      </c>
      <c r="G86" s="134"/>
      <c r="H86" s="135"/>
      <c r="I86" s="136">
        <f t="shared" si="6"/>
        <v>0</v>
      </c>
      <c r="J86" s="134"/>
      <c r="K86" s="135"/>
      <c r="L86" s="136">
        <f t="shared" si="7"/>
        <v>0</v>
      </c>
      <c r="M86" s="284"/>
      <c r="N86" s="285"/>
      <c r="O86" s="136">
        <f t="shared" si="8"/>
        <v>0</v>
      </c>
      <c r="P86" s="85"/>
    </row>
    <row r="87" spans="1:16" ht="24" hidden="1" x14ac:dyDescent="0.25">
      <c r="A87" s="76">
        <v>2214</v>
      </c>
      <c r="B87" s="127" t="s">
        <v>106</v>
      </c>
      <c r="C87" s="279">
        <f t="shared" si="4"/>
        <v>0</v>
      </c>
      <c r="D87" s="134"/>
      <c r="E87" s="283"/>
      <c r="F87" s="279">
        <f t="shared" si="5"/>
        <v>0</v>
      </c>
      <c r="G87" s="134"/>
      <c r="H87" s="135"/>
      <c r="I87" s="136">
        <f t="shared" si="6"/>
        <v>0</v>
      </c>
      <c r="J87" s="134"/>
      <c r="K87" s="135"/>
      <c r="L87" s="136">
        <f t="shared" si="7"/>
        <v>0</v>
      </c>
      <c r="M87" s="284"/>
      <c r="N87" s="285"/>
      <c r="O87" s="136">
        <f t="shared" si="8"/>
        <v>0</v>
      </c>
      <c r="P87" s="85"/>
    </row>
    <row r="88" spans="1:16" hidden="1" x14ac:dyDescent="0.25">
      <c r="A88" s="76">
        <v>2219</v>
      </c>
      <c r="B88" s="127" t="s">
        <v>107</v>
      </c>
      <c r="C88" s="279">
        <f t="shared" si="4"/>
        <v>0</v>
      </c>
      <c r="D88" s="134"/>
      <c r="E88" s="283"/>
      <c r="F88" s="279">
        <f t="shared" si="5"/>
        <v>0</v>
      </c>
      <c r="G88" s="134"/>
      <c r="H88" s="135"/>
      <c r="I88" s="136">
        <f t="shared" si="6"/>
        <v>0</v>
      </c>
      <c r="J88" s="134"/>
      <c r="K88" s="135"/>
      <c r="L88" s="136">
        <f t="shared" si="7"/>
        <v>0</v>
      </c>
      <c r="M88" s="284"/>
      <c r="N88" s="285"/>
      <c r="O88" s="136">
        <f t="shared" si="8"/>
        <v>0</v>
      </c>
      <c r="P88" s="85"/>
    </row>
    <row r="89" spans="1:16" ht="24" hidden="1" x14ac:dyDescent="0.25">
      <c r="A89" s="276">
        <v>2220</v>
      </c>
      <c r="B89" s="127" t="s">
        <v>108</v>
      </c>
      <c r="C89" s="279">
        <f t="shared" si="4"/>
        <v>0</v>
      </c>
      <c r="D89" s="277">
        <f>SUM(D90:D94)</f>
        <v>0</v>
      </c>
      <c r="E89" s="278">
        <f>SUM(E90:E94)</f>
        <v>0</v>
      </c>
      <c r="F89" s="279">
        <f t="shared" si="5"/>
        <v>0</v>
      </c>
      <c r="G89" s="277">
        <f>SUM(G90:G94)</f>
        <v>0</v>
      </c>
      <c r="H89" s="280">
        <f>SUM(H90:H94)</f>
        <v>0</v>
      </c>
      <c r="I89" s="136">
        <f t="shared" si="6"/>
        <v>0</v>
      </c>
      <c r="J89" s="277">
        <f>SUM(J90:J94)</f>
        <v>0</v>
      </c>
      <c r="K89" s="280">
        <f>SUM(K90:K94)</f>
        <v>0</v>
      </c>
      <c r="L89" s="136">
        <f t="shared" si="7"/>
        <v>0</v>
      </c>
      <c r="M89" s="281">
        <f>SUM(M90:M94)</f>
        <v>0</v>
      </c>
      <c r="N89" s="282">
        <f>SUM(N90:N94)</f>
        <v>0</v>
      </c>
      <c r="O89" s="136">
        <f t="shared" si="8"/>
        <v>0</v>
      </c>
      <c r="P89" s="85"/>
    </row>
    <row r="90" spans="1:16" hidden="1" x14ac:dyDescent="0.25">
      <c r="A90" s="76">
        <v>2221</v>
      </c>
      <c r="B90" s="127" t="s">
        <v>109</v>
      </c>
      <c r="C90" s="279">
        <f t="shared" si="4"/>
        <v>0</v>
      </c>
      <c r="D90" s="134"/>
      <c r="E90" s="283"/>
      <c r="F90" s="279">
        <f t="shared" si="5"/>
        <v>0</v>
      </c>
      <c r="G90" s="134"/>
      <c r="H90" s="135"/>
      <c r="I90" s="136">
        <f t="shared" si="6"/>
        <v>0</v>
      </c>
      <c r="J90" s="134"/>
      <c r="K90" s="135"/>
      <c r="L90" s="136">
        <f t="shared" si="7"/>
        <v>0</v>
      </c>
      <c r="M90" s="284"/>
      <c r="N90" s="285"/>
      <c r="O90" s="136">
        <f t="shared" si="8"/>
        <v>0</v>
      </c>
      <c r="P90" s="85"/>
    </row>
    <row r="91" spans="1:16" hidden="1" x14ac:dyDescent="0.25">
      <c r="A91" s="76">
        <v>2222</v>
      </c>
      <c r="B91" s="127" t="s">
        <v>110</v>
      </c>
      <c r="C91" s="279">
        <f t="shared" si="4"/>
        <v>0</v>
      </c>
      <c r="D91" s="134"/>
      <c r="E91" s="283"/>
      <c r="F91" s="279">
        <f t="shared" si="5"/>
        <v>0</v>
      </c>
      <c r="G91" s="134"/>
      <c r="H91" s="135"/>
      <c r="I91" s="136">
        <f t="shared" si="6"/>
        <v>0</v>
      </c>
      <c r="J91" s="134"/>
      <c r="K91" s="135"/>
      <c r="L91" s="136">
        <f t="shared" si="7"/>
        <v>0</v>
      </c>
      <c r="M91" s="284"/>
      <c r="N91" s="285"/>
      <c r="O91" s="136">
        <f t="shared" si="8"/>
        <v>0</v>
      </c>
      <c r="P91" s="85"/>
    </row>
    <row r="92" spans="1:16" hidden="1" x14ac:dyDescent="0.25">
      <c r="A92" s="76">
        <v>2223</v>
      </c>
      <c r="B92" s="127" t="s">
        <v>111</v>
      </c>
      <c r="C92" s="279">
        <f t="shared" si="4"/>
        <v>0</v>
      </c>
      <c r="D92" s="134"/>
      <c r="E92" s="283"/>
      <c r="F92" s="279">
        <f t="shared" si="5"/>
        <v>0</v>
      </c>
      <c r="G92" s="134"/>
      <c r="H92" s="135"/>
      <c r="I92" s="136">
        <f t="shared" si="6"/>
        <v>0</v>
      </c>
      <c r="J92" s="134"/>
      <c r="K92" s="135"/>
      <c r="L92" s="136">
        <f t="shared" si="7"/>
        <v>0</v>
      </c>
      <c r="M92" s="284"/>
      <c r="N92" s="285"/>
      <c r="O92" s="136">
        <f t="shared" si="8"/>
        <v>0</v>
      </c>
      <c r="P92" s="85"/>
    </row>
    <row r="93" spans="1:16" ht="48" hidden="1" x14ac:dyDescent="0.25">
      <c r="A93" s="76">
        <v>2224</v>
      </c>
      <c r="B93" s="127" t="s">
        <v>112</v>
      </c>
      <c r="C93" s="279">
        <f t="shared" si="4"/>
        <v>0</v>
      </c>
      <c r="D93" s="134"/>
      <c r="E93" s="283"/>
      <c r="F93" s="279">
        <f t="shared" si="5"/>
        <v>0</v>
      </c>
      <c r="G93" s="134"/>
      <c r="H93" s="135"/>
      <c r="I93" s="136">
        <f t="shared" si="6"/>
        <v>0</v>
      </c>
      <c r="J93" s="134"/>
      <c r="K93" s="135"/>
      <c r="L93" s="136">
        <f t="shared" si="7"/>
        <v>0</v>
      </c>
      <c r="M93" s="284"/>
      <c r="N93" s="285"/>
      <c r="O93" s="136">
        <f t="shared" si="8"/>
        <v>0</v>
      </c>
      <c r="P93" s="85"/>
    </row>
    <row r="94" spans="1:16" ht="24" hidden="1" x14ac:dyDescent="0.25">
      <c r="A94" s="76">
        <v>2229</v>
      </c>
      <c r="B94" s="127" t="s">
        <v>113</v>
      </c>
      <c r="C94" s="279">
        <f t="shared" si="4"/>
        <v>0</v>
      </c>
      <c r="D94" s="134"/>
      <c r="E94" s="283"/>
      <c r="F94" s="279">
        <f t="shared" si="5"/>
        <v>0</v>
      </c>
      <c r="G94" s="134"/>
      <c r="H94" s="135"/>
      <c r="I94" s="136">
        <f t="shared" si="6"/>
        <v>0</v>
      </c>
      <c r="J94" s="134"/>
      <c r="K94" s="135"/>
      <c r="L94" s="136">
        <f t="shared" si="7"/>
        <v>0</v>
      </c>
      <c r="M94" s="284"/>
      <c r="N94" s="285"/>
      <c r="O94" s="136">
        <f t="shared" si="8"/>
        <v>0</v>
      </c>
      <c r="P94" s="85"/>
    </row>
    <row r="95" spans="1:16" ht="36" hidden="1" x14ac:dyDescent="0.25">
      <c r="A95" s="276">
        <v>2230</v>
      </c>
      <c r="B95" s="127" t="s">
        <v>114</v>
      </c>
      <c r="C95" s="279">
        <f t="shared" si="4"/>
        <v>0</v>
      </c>
      <c r="D95" s="277">
        <f>SUM(D96:D102)</f>
        <v>0</v>
      </c>
      <c r="E95" s="278">
        <f>SUM(E96:E102)</f>
        <v>0</v>
      </c>
      <c r="F95" s="279">
        <f t="shared" si="5"/>
        <v>0</v>
      </c>
      <c r="G95" s="277">
        <f>SUM(G96:G102)</f>
        <v>0</v>
      </c>
      <c r="H95" s="280">
        <f>SUM(H96:H102)</f>
        <v>0</v>
      </c>
      <c r="I95" s="136">
        <f t="shared" si="6"/>
        <v>0</v>
      </c>
      <c r="J95" s="277">
        <f>SUM(J96:J102)</f>
        <v>0</v>
      </c>
      <c r="K95" s="280">
        <f>SUM(K96:K102)</f>
        <v>0</v>
      </c>
      <c r="L95" s="136">
        <f t="shared" si="7"/>
        <v>0</v>
      </c>
      <c r="M95" s="281">
        <f>SUM(M96:M102)</f>
        <v>0</v>
      </c>
      <c r="N95" s="282">
        <f>SUM(N96:N102)</f>
        <v>0</v>
      </c>
      <c r="O95" s="136">
        <f t="shared" si="8"/>
        <v>0</v>
      </c>
      <c r="P95" s="85"/>
    </row>
    <row r="96" spans="1:16" ht="24" hidden="1" x14ac:dyDescent="0.25">
      <c r="A96" s="76">
        <v>2231</v>
      </c>
      <c r="B96" s="127" t="s">
        <v>115</v>
      </c>
      <c r="C96" s="279">
        <f t="shared" si="4"/>
        <v>0</v>
      </c>
      <c r="D96" s="134"/>
      <c r="E96" s="283"/>
      <c r="F96" s="279">
        <f t="shared" si="5"/>
        <v>0</v>
      </c>
      <c r="G96" s="134"/>
      <c r="H96" s="135"/>
      <c r="I96" s="136">
        <f t="shared" si="6"/>
        <v>0</v>
      </c>
      <c r="J96" s="134"/>
      <c r="K96" s="135"/>
      <c r="L96" s="136">
        <f t="shared" si="7"/>
        <v>0</v>
      </c>
      <c r="M96" s="284"/>
      <c r="N96" s="285"/>
      <c r="O96" s="136">
        <f t="shared" si="8"/>
        <v>0</v>
      </c>
      <c r="P96" s="85"/>
    </row>
    <row r="97" spans="1:16" ht="36" hidden="1" x14ac:dyDescent="0.25">
      <c r="A97" s="76">
        <v>2232</v>
      </c>
      <c r="B97" s="127" t="s">
        <v>116</v>
      </c>
      <c r="C97" s="279">
        <f t="shared" si="4"/>
        <v>0</v>
      </c>
      <c r="D97" s="134"/>
      <c r="E97" s="283"/>
      <c r="F97" s="279">
        <f t="shared" si="5"/>
        <v>0</v>
      </c>
      <c r="G97" s="134"/>
      <c r="H97" s="135"/>
      <c r="I97" s="136">
        <f t="shared" si="6"/>
        <v>0</v>
      </c>
      <c r="J97" s="134"/>
      <c r="K97" s="135"/>
      <c r="L97" s="136">
        <f t="shared" si="7"/>
        <v>0</v>
      </c>
      <c r="M97" s="284"/>
      <c r="N97" s="285"/>
      <c r="O97" s="136">
        <f t="shared" si="8"/>
        <v>0</v>
      </c>
      <c r="P97" s="85"/>
    </row>
    <row r="98" spans="1:16" ht="24" hidden="1" x14ac:dyDescent="0.25">
      <c r="A98" s="66">
        <v>2233</v>
      </c>
      <c r="B98" s="116" t="s">
        <v>117</v>
      </c>
      <c r="C98" s="279">
        <f t="shared" si="4"/>
        <v>0</v>
      </c>
      <c r="D98" s="123"/>
      <c r="E98" s="295"/>
      <c r="F98" s="296">
        <f t="shared" si="5"/>
        <v>0</v>
      </c>
      <c r="G98" s="123"/>
      <c r="H98" s="124"/>
      <c r="I98" s="125">
        <f t="shared" si="6"/>
        <v>0</v>
      </c>
      <c r="J98" s="123"/>
      <c r="K98" s="124"/>
      <c r="L98" s="125">
        <f t="shared" si="7"/>
        <v>0</v>
      </c>
      <c r="M98" s="264"/>
      <c r="N98" s="262"/>
      <c r="O98" s="125">
        <f t="shared" si="8"/>
        <v>0</v>
      </c>
      <c r="P98" s="74"/>
    </row>
    <row r="99" spans="1:16" ht="36" hidden="1" x14ac:dyDescent="0.25">
      <c r="A99" s="76">
        <v>2234</v>
      </c>
      <c r="B99" s="127" t="s">
        <v>118</v>
      </c>
      <c r="C99" s="279">
        <f t="shared" si="4"/>
        <v>0</v>
      </c>
      <c r="D99" s="134"/>
      <c r="E99" s="283"/>
      <c r="F99" s="279">
        <f t="shared" si="5"/>
        <v>0</v>
      </c>
      <c r="G99" s="134"/>
      <c r="H99" s="135"/>
      <c r="I99" s="136">
        <f t="shared" si="6"/>
        <v>0</v>
      </c>
      <c r="J99" s="134"/>
      <c r="K99" s="135"/>
      <c r="L99" s="136">
        <f t="shared" si="7"/>
        <v>0</v>
      </c>
      <c r="M99" s="284"/>
      <c r="N99" s="285"/>
      <c r="O99" s="136">
        <f t="shared" si="8"/>
        <v>0</v>
      </c>
      <c r="P99" s="85"/>
    </row>
    <row r="100" spans="1:16" ht="24" hidden="1" x14ac:dyDescent="0.25">
      <c r="A100" s="76">
        <v>2235</v>
      </c>
      <c r="B100" s="127" t="s">
        <v>119</v>
      </c>
      <c r="C100" s="279">
        <f t="shared" si="4"/>
        <v>0</v>
      </c>
      <c r="D100" s="134"/>
      <c r="E100" s="283"/>
      <c r="F100" s="279">
        <f t="shared" si="5"/>
        <v>0</v>
      </c>
      <c r="G100" s="134"/>
      <c r="H100" s="135"/>
      <c r="I100" s="136">
        <f t="shared" si="6"/>
        <v>0</v>
      </c>
      <c r="J100" s="134"/>
      <c r="K100" s="135"/>
      <c r="L100" s="136">
        <f t="shared" si="7"/>
        <v>0</v>
      </c>
      <c r="M100" s="284"/>
      <c r="N100" s="285"/>
      <c r="O100" s="136">
        <f t="shared" si="8"/>
        <v>0</v>
      </c>
      <c r="P100" s="85"/>
    </row>
    <row r="101" spans="1:16" hidden="1" x14ac:dyDescent="0.25">
      <c r="A101" s="76">
        <v>2236</v>
      </c>
      <c r="B101" s="127" t="s">
        <v>120</v>
      </c>
      <c r="C101" s="279">
        <f t="shared" si="4"/>
        <v>0</v>
      </c>
      <c r="D101" s="134"/>
      <c r="E101" s="283"/>
      <c r="F101" s="279">
        <f t="shared" si="5"/>
        <v>0</v>
      </c>
      <c r="G101" s="134"/>
      <c r="H101" s="135"/>
      <c r="I101" s="136">
        <f t="shared" si="6"/>
        <v>0</v>
      </c>
      <c r="J101" s="134"/>
      <c r="K101" s="135"/>
      <c r="L101" s="136">
        <f t="shared" si="7"/>
        <v>0</v>
      </c>
      <c r="M101" s="284"/>
      <c r="N101" s="285"/>
      <c r="O101" s="136">
        <f t="shared" si="8"/>
        <v>0</v>
      </c>
      <c r="P101" s="85"/>
    </row>
    <row r="102" spans="1:16" ht="24" hidden="1" x14ac:dyDescent="0.25">
      <c r="A102" s="76">
        <v>2239</v>
      </c>
      <c r="B102" s="127" t="s">
        <v>121</v>
      </c>
      <c r="C102" s="279">
        <f t="shared" si="4"/>
        <v>0</v>
      </c>
      <c r="D102" s="134"/>
      <c r="E102" s="283"/>
      <c r="F102" s="279">
        <f t="shared" si="5"/>
        <v>0</v>
      </c>
      <c r="G102" s="134"/>
      <c r="H102" s="135"/>
      <c r="I102" s="136">
        <f t="shared" si="6"/>
        <v>0</v>
      </c>
      <c r="J102" s="134"/>
      <c r="K102" s="135"/>
      <c r="L102" s="136">
        <f t="shared" si="7"/>
        <v>0</v>
      </c>
      <c r="M102" s="284"/>
      <c r="N102" s="285"/>
      <c r="O102" s="136">
        <f t="shared" si="8"/>
        <v>0</v>
      </c>
      <c r="P102" s="85"/>
    </row>
    <row r="103" spans="1:16" ht="36" hidden="1" x14ac:dyDescent="0.25">
      <c r="A103" s="276">
        <v>2240</v>
      </c>
      <c r="B103" s="127" t="s">
        <v>122</v>
      </c>
      <c r="C103" s="279">
        <f t="shared" si="4"/>
        <v>0</v>
      </c>
      <c r="D103" s="277">
        <f>SUM(D104:D111)</f>
        <v>0</v>
      </c>
      <c r="E103" s="278">
        <f>SUM(E104:E111)</f>
        <v>0</v>
      </c>
      <c r="F103" s="279">
        <f t="shared" si="5"/>
        <v>0</v>
      </c>
      <c r="G103" s="277">
        <f>SUM(G104:G111)</f>
        <v>0</v>
      </c>
      <c r="H103" s="280">
        <f>SUM(H104:H111)</f>
        <v>0</v>
      </c>
      <c r="I103" s="136">
        <f t="shared" si="6"/>
        <v>0</v>
      </c>
      <c r="J103" s="277">
        <f>SUM(J104:J111)</f>
        <v>0</v>
      </c>
      <c r="K103" s="280">
        <f>SUM(K104:K111)</f>
        <v>0</v>
      </c>
      <c r="L103" s="136">
        <f t="shared" si="7"/>
        <v>0</v>
      </c>
      <c r="M103" s="281">
        <f>SUM(M104:M111)</f>
        <v>0</v>
      </c>
      <c r="N103" s="282">
        <f>SUM(N104:N111)</f>
        <v>0</v>
      </c>
      <c r="O103" s="136">
        <f t="shared" si="8"/>
        <v>0</v>
      </c>
      <c r="P103" s="85"/>
    </row>
    <row r="104" spans="1:16" hidden="1" x14ac:dyDescent="0.25">
      <c r="A104" s="76">
        <v>2241</v>
      </c>
      <c r="B104" s="127" t="s">
        <v>123</v>
      </c>
      <c r="C104" s="279">
        <f t="shared" si="4"/>
        <v>0</v>
      </c>
      <c r="D104" s="134"/>
      <c r="E104" s="283"/>
      <c r="F104" s="279">
        <f t="shared" si="5"/>
        <v>0</v>
      </c>
      <c r="G104" s="134"/>
      <c r="H104" s="135"/>
      <c r="I104" s="136">
        <f t="shared" si="6"/>
        <v>0</v>
      </c>
      <c r="J104" s="134"/>
      <c r="K104" s="135"/>
      <c r="L104" s="136">
        <f t="shared" si="7"/>
        <v>0</v>
      </c>
      <c r="M104" s="284"/>
      <c r="N104" s="285"/>
      <c r="O104" s="136">
        <f t="shared" si="8"/>
        <v>0</v>
      </c>
      <c r="P104" s="85"/>
    </row>
    <row r="105" spans="1:16" ht="24" hidden="1" x14ac:dyDescent="0.25">
      <c r="A105" s="76">
        <v>2242</v>
      </c>
      <c r="B105" s="127" t="s">
        <v>124</v>
      </c>
      <c r="C105" s="279">
        <f t="shared" si="4"/>
        <v>0</v>
      </c>
      <c r="D105" s="134"/>
      <c r="E105" s="283"/>
      <c r="F105" s="279">
        <f t="shared" si="5"/>
        <v>0</v>
      </c>
      <c r="G105" s="134"/>
      <c r="H105" s="135"/>
      <c r="I105" s="136">
        <f t="shared" si="6"/>
        <v>0</v>
      </c>
      <c r="J105" s="134"/>
      <c r="K105" s="135"/>
      <c r="L105" s="136">
        <f t="shared" si="7"/>
        <v>0</v>
      </c>
      <c r="M105" s="284"/>
      <c r="N105" s="285"/>
      <c r="O105" s="136">
        <f t="shared" si="8"/>
        <v>0</v>
      </c>
      <c r="P105" s="85"/>
    </row>
    <row r="106" spans="1:16" ht="24" hidden="1" x14ac:dyDescent="0.25">
      <c r="A106" s="76">
        <v>2243</v>
      </c>
      <c r="B106" s="127" t="s">
        <v>125</v>
      </c>
      <c r="C106" s="279">
        <f t="shared" si="4"/>
        <v>0</v>
      </c>
      <c r="D106" s="134"/>
      <c r="E106" s="283"/>
      <c r="F106" s="279">
        <f t="shared" si="5"/>
        <v>0</v>
      </c>
      <c r="G106" s="134"/>
      <c r="H106" s="135"/>
      <c r="I106" s="136">
        <f t="shared" si="6"/>
        <v>0</v>
      </c>
      <c r="J106" s="134"/>
      <c r="K106" s="135"/>
      <c r="L106" s="136">
        <f t="shared" si="7"/>
        <v>0</v>
      </c>
      <c r="M106" s="284"/>
      <c r="N106" s="285"/>
      <c r="O106" s="136">
        <f t="shared" si="8"/>
        <v>0</v>
      </c>
      <c r="P106" s="85"/>
    </row>
    <row r="107" spans="1:16" hidden="1" x14ac:dyDescent="0.25">
      <c r="A107" s="76">
        <v>2244</v>
      </c>
      <c r="B107" s="127" t="s">
        <v>126</v>
      </c>
      <c r="C107" s="279">
        <f t="shared" si="4"/>
        <v>0</v>
      </c>
      <c r="D107" s="134"/>
      <c r="E107" s="283"/>
      <c r="F107" s="279">
        <f t="shared" si="5"/>
        <v>0</v>
      </c>
      <c r="G107" s="134"/>
      <c r="H107" s="135"/>
      <c r="I107" s="136">
        <f t="shared" si="6"/>
        <v>0</v>
      </c>
      <c r="J107" s="134"/>
      <c r="K107" s="135"/>
      <c r="L107" s="136">
        <f t="shared" si="7"/>
        <v>0</v>
      </c>
      <c r="M107" s="284"/>
      <c r="N107" s="285"/>
      <c r="O107" s="136">
        <f t="shared" si="8"/>
        <v>0</v>
      </c>
      <c r="P107" s="85"/>
    </row>
    <row r="108" spans="1:16" ht="24" hidden="1" x14ac:dyDescent="0.25">
      <c r="A108" s="76">
        <v>2246</v>
      </c>
      <c r="B108" s="127" t="s">
        <v>127</v>
      </c>
      <c r="C108" s="279">
        <f t="shared" si="4"/>
        <v>0</v>
      </c>
      <c r="D108" s="134"/>
      <c r="E108" s="283"/>
      <c r="F108" s="279">
        <f t="shared" si="5"/>
        <v>0</v>
      </c>
      <c r="G108" s="134"/>
      <c r="H108" s="135"/>
      <c r="I108" s="136">
        <f t="shared" si="6"/>
        <v>0</v>
      </c>
      <c r="J108" s="134"/>
      <c r="K108" s="135"/>
      <c r="L108" s="136">
        <f t="shared" si="7"/>
        <v>0</v>
      </c>
      <c r="M108" s="284"/>
      <c r="N108" s="285"/>
      <c r="O108" s="136">
        <f t="shared" si="8"/>
        <v>0</v>
      </c>
      <c r="P108" s="85"/>
    </row>
    <row r="109" spans="1:16" hidden="1" x14ac:dyDescent="0.25">
      <c r="A109" s="76">
        <v>2247</v>
      </c>
      <c r="B109" s="127" t="s">
        <v>128</v>
      </c>
      <c r="C109" s="279">
        <f t="shared" si="4"/>
        <v>0</v>
      </c>
      <c r="D109" s="134"/>
      <c r="E109" s="283"/>
      <c r="F109" s="279">
        <f t="shared" si="5"/>
        <v>0</v>
      </c>
      <c r="G109" s="134"/>
      <c r="H109" s="135"/>
      <c r="I109" s="136">
        <f t="shared" si="6"/>
        <v>0</v>
      </c>
      <c r="J109" s="134"/>
      <c r="K109" s="135"/>
      <c r="L109" s="136">
        <f t="shared" si="7"/>
        <v>0</v>
      </c>
      <c r="M109" s="284"/>
      <c r="N109" s="285"/>
      <c r="O109" s="136">
        <f t="shared" si="8"/>
        <v>0</v>
      </c>
      <c r="P109" s="85"/>
    </row>
    <row r="110" spans="1:16" ht="24" hidden="1" x14ac:dyDescent="0.25">
      <c r="A110" s="76">
        <v>2248</v>
      </c>
      <c r="B110" s="127" t="s">
        <v>129</v>
      </c>
      <c r="C110" s="279">
        <f t="shared" si="4"/>
        <v>0</v>
      </c>
      <c r="D110" s="134"/>
      <c r="E110" s="283"/>
      <c r="F110" s="279">
        <f t="shared" si="5"/>
        <v>0</v>
      </c>
      <c r="G110" s="134"/>
      <c r="H110" s="135"/>
      <c r="I110" s="136">
        <f t="shared" si="6"/>
        <v>0</v>
      </c>
      <c r="J110" s="134"/>
      <c r="K110" s="135"/>
      <c r="L110" s="136">
        <f t="shared" si="7"/>
        <v>0</v>
      </c>
      <c r="M110" s="284"/>
      <c r="N110" s="285"/>
      <c r="O110" s="136">
        <f t="shared" si="8"/>
        <v>0</v>
      </c>
      <c r="P110" s="85"/>
    </row>
    <row r="111" spans="1:16" ht="24" hidden="1" x14ac:dyDescent="0.25">
      <c r="A111" s="76">
        <v>2249</v>
      </c>
      <c r="B111" s="127" t="s">
        <v>130</v>
      </c>
      <c r="C111" s="279">
        <f t="shared" si="4"/>
        <v>0</v>
      </c>
      <c r="D111" s="134"/>
      <c r="E111" s="283"/>
      <c r="F111" s="279">
        <f t="shared" si="5"/>
        <v>0</v>
      </c>
      <c r="G111" s="134"/>
      <c r="H111" s="135"/>
      <c r="I111" s="136">
        <f t="shared" si="6"/>
        <v>0</v>
      </c>
      <c r="J111" s="134"/>
      <c r="K111" s="135"/>
      <c r="L111" s="136">
        <f t="shared" si="7"/>
        <v>0</v>
      </c>
      <c r="M111" s="284"/>
      <c r="N111" s="285"/>
      <c r="O111" s="136">
        <f t="shared" si="8"/>
        <v>0</v>
      </c>
      <c r="P111" s="85"/>
    </row>
    <row r="112" spans="1:16" hidden="1" x14ac:dyDescent="0.25">
      <c r="A112" s="276">
        <v>2250</v>
      </c>
      <c r="B112" s="127" t="s">
        <v>131</v>
      </c>
      <c r="C112" s="279">
        <f t="shared" si="4"/>
        <v>0</v>
      </c>
      <c r="D112" s="277">
        <f>SUM(D113:D115)</f>
        <v>0</v>
      </c>
      <c r="E112" s="278">
        <f>SUM(E113:E115)</f>
        <v>0</v>
      </c>
      <c r="F112" s="279">
        <f t="shared" si="5"/>
        <v>0</v>
      </c>
      <c r="G112" s="277">
        <f>SUM(G113:G115)</f>
        <v>0</v>
      </c>
      <c r="H112" s="280">
        <f>SUM(H113:H115)</f>
        <v>0</v>
      </c>
      <c r="I112" s="136">
        <f t="shared" si="6"/>
        <v>0</v>
      </c>
      <c r="J112" s="277">
        <f>SUM(J113:J115)</f>
        <v>0</v>
      </c>
      <c r="K112" s="280">
        <f>SUM(K113:K115)</f>
        <v>0</v>
      </c>
      <c r="L112" s="136">
        <f t="shared" si="7"/>
        <v>0</v>
      </c>
      <c r="M112" s="281">
        <f>SUM(M113:M115)</f>
        <v>0</v>
      </c>
      <c r="N112" s="282">
        <f>SUM(N113:N115)</f>
        <v>0</v>
      </c>
      <c r="O112" s="136">
        <f t="shared" si="8"/>
        <v>0</v>
      </c>
      <c r="P112" s="85"/>
    </row>
    <row r="113" spans="1:16" hidden="1" x14ac:dyDescent="0.25">
      <c r="A113" s="76">
        <v>2251</v>
      </c>
      <c r="B113" s="127" t="s">
        <v>132</v>
      </c>
      <c r="C113" s="279">
        <f t="shared" si="4"/>
        <v>0</v>
      </c>
      <c r="D113" s="134"/>
      <c r="E113" s="283"/>
      <c r="F113" s="279">
        <f t="shared" si="5"/>
        <v>0</v>
      </c>
      <c r="G113" s="134"/>
      <c r="H113" s="135"/>
      <c r="I113" s="136">
        <f t="shared" si="6"/>
        <v>0</v>
      </c>
      <c r="J113" s="134"/>
      <c r="K113" s="135"/>
      <c r="L113" s="136">
        <f t="shared" si="7"/>
        <v>0</v>
      </c>
      <c r="M113" s="284"/>
      <c r="N113" s="285"/>
      <c r="O113" s="136">
        <f t="shared" si="8"/>
        <v>0</v>
      </c>
      <c r="P113" s="85"/>
    </row>
    <row r="114" spans="1:16" ht="24" hidden="1" x14ac:dyDescent="0.25">
      <c r="A114" s="76">
        <v>2252</v>
      </c>
      <c r="B114" s="127" t="s">
        <v>133</v>
      </c>
      <c r="C114" s="279">
        <f t="shared" ref="C114:C178" si="9">F114+I114+L114+O114</f>
        <v>0</v>
      </c>
      <c r="D114" s="134"/>
      <c r="E114" s="283"/>
      <c r="F114" s="279">
        <f t="shared" si="5"/>
        <v>0</v>
      </c>
      <c r="G114" s="134"/>
      <c r="H114" s="135"/>
      <c r="I114" s="136">
        <f t="shared" si="6"/>
        <v>0</v>
      </c>
      <c r="J114" s="134"/>
      <c r="K114" s="135"/>
      <c r="L114" s="136">
        <f t="shared" si="7"/>
        <v>0</v>
      </c>
      <c r="M114" s="284"/>
      <c r="N114" s="285"/>
      <c r="O114" s="136">
        <f t="shared" si="8"/>
        <v>0</v>
      </c>
      <c r="P114" s="85"/>
    </row>
    <row r="115" spans="1:16" ht="24" hidden="1" x14ac:dyDescent="0.25">
      <c r="A115" s="76">
        <v>2259</v>
      </c>
      <c r="B115" s="127" t="s">
        <v>134</v>
      </c>
      <c r="C115" s="279">
        <f t="shared" si="9"/>
        <v>0</v>
      </c>
      <c r="D115" s="134"/>
      <c r="E115" s="283"/>
      <c r="F115" s="279">
        <f t="shared" ref="F115:F179" si="10">D115+E115</f>
        <v>0</v>
      </c>
      <c r="G115" s="134"/>
      <c r="H115" s="135"/>
      <c r="I115" s="136">
        <f t="shared" ref="I115:I179" si="11">G115+H115</f>
        <v>0</v>
      </c>
      <c r="J115" s="134"/>
      <c r="K115" s="135"/>
      <c r="L115" s="136">
        <f t="shared" ref="L115:L179" si="12">J115+K115</f>
        <v>0</v>
      </c>
      <c r="M115" s="284"/>
      <c r="N115" s="285"/>
      <c r="O115" s="136">
        <f t="shared" ref="O115:O179" si="13">M115+N115</f>
        <v>0</v>
      </c>
      <c r="P115" s="85"/>
    </row>
    <row r="116" spans="1:16" hidden="1" x14ac:dyDescent="0.25">
      <c r="A116" s="276">
        <v>2260</v>
      </c>
      <c r="B116" s="127" t="s">
        <v>135</v>
      </c>
      <c r="C116" s="279">
        <f t="shared" si="9"/>
        <v>0</v>
      </c>
      <c r="D116" s="277">
        <f>SUM(D117:D121)</f>
        <v>0</v>
      </c>
      <c r="E116" s="278">
        <f>SUM(E117:E121)</f>
        <v>0</v>
      </c>
      <c r="F116" s="279">
        <f t="shared" si="10"/>
        <v>0</v>
      </c>
      <c r="G116" s="277">
        <f>SUM(G117:G121)</f>
        <v>0</v>
      </c>
      <c r="H116" s="280">
        <f>SUM(H117:H121)</f>
        <v>0</v>
      </c>
      <c r="I116" s="136">
        <f t="shared" si="11"/>
        <v>0</v>
      </c>
      <c r="J116" s="277">
        <f>SUM(J117:J121)</f>
        <v>0</v>
      </c>
      <c r="K116" s="280">
        <f>SUM(K117:K121)</f>
        <v>0</v>
      </c>
      <c r="L116" s="136">
        <f t="shared" si="12"/>
        <v>0</v>
      </c>
      <c r="M116" s="281">
        <f>SUM(M117:M121)</f>
        <v>0</v>
      </c>
      <c r="N116" s="282">
        <f>SUM(N117:N121)</f>
        <v>0</v>
      </c>
      <c r="O116" s="136">
        <f t="shared" si="13"/>
        <v>0</v>
      </c>
      <c r="P116" s="85"/>
    </row>
    <row r="117" spans="1:16" hidden="1" x14ac:dyDescent="0.25">
      <c r="A117" s="76">
        <v>2261</v>
      </c>
      <c r="B117" s="127" t="s">
        <v>136</v>
      </c>
      <c r="C117" s="279">
        <f t="shared" si="9"/>
        <v>0</v>
      </c>
      <c r="D117" s="134"/>
      <c r="E117" s="283"/>
      <c r="F117" s="279">
        <f t="shared" si="10"/>
        <v>0</v>
      </c>
      <c r="G117" s="134"/>
      <c r="H117" s="135"/>
      <c r="I117" s="136">
        <f t="shared" si="11"/>
        <v>0</v>
      </c>
      <c r="J117" s="134"/>
      <c r="K117" s="135"/>
      <c r="L117" s="136">
        <f t="shared" si="12"/>
        <v>0</v>
      </c>
      <c r="M117" s="284"/>
      <c r="N117" s="285"/>
      <c r="O117" s="136">
        <f t="shared" si="13"/>
        <v>0</v>
      </c>
      <c r="P117" s="85"/>
    </row>
    <row r="118" spans="1:16" hidden="1" x14ac:dyDescent="0.25">
      <c r="A118" s="76">
        <v>2262</v>
      </c>
      <c r="B118" s="127" t="s">
        <v>137</v>
      </c>
      <c r="C118" s="279">
        <f t="shared" si="9"/>
        <v>0</v>
      </c>
      <c r="D118" s="134"/>
      <c r="E118" s="283"/>
      <c r="F118" s="279">
        <f t="shared" si="10"/>
        <v>0</v>
      </c>
      <c r="G118" s="134"/>
      <c r="H118" s="135"/>
      <c r="I118" s="136">
        <f t="shared" si="11"/>
        <v>0</v>
      </c>
      <c r="J118" s="134"/>
      <c r="K118" s="135"/>
      <c r="L118" s="136">
        <f t="shared" si="12"/>
        <v>0</v>
      </c>
      <c r="M118" s="284"/>
      <c r="N118" s="285"/>
      <c r="O118" s="136">
        <f t="shared" si="13"/>
        <v>0</v>
      </c>
      <c r="P118" s="85"/>
    </row>
    <row r="119" spans="1:16" hidden="1" x14ac:dyDescent="0.25">
      <c r="A119" s="76">
        <v>2263</v>
      </c>
      <c r="B119" s="127" t="s">
        <v>138</v>
      </c>
      <c r="C119" s="279">
        <f t="shared" si="9"/>
        <v>0</v>
      </c>
      <c r="D119" s="134"/>
      <c r="E119" s="283"/>
      <c r="F119" s="279">
        <f t="shared" si="10"/>
        <v>0</v>
      </c>
      <c r="G119" s="134"/>
      <c r="H119" s="135"/>
      <c r="I119" s="136">
        <f t="shared" si="11"/>
        <v>0</v>
      </c>
      <c r="J119" s="134"/>
      <c r="K119" s="135"/>
      <c r="L119" s="136">
        <f t="shared" si="12"/>
        <v>0</v>
      </c>
      <c r="M119" s="284"/>
      <c r="N119" s="285"/>
      <c r="O119" s="136">
        <f t="shared" si="13"/>
        <v>0</v>
      </c>
      <c r="P119" s="85"/>
    </row>
    <row r="120" spans="1:16" ht="24" hidden="1" x14ac:dyDescent="0.25">
      <c r="A120" s="76">
        <v>2264</v>
      </c>
      <c r="B120" s="127" t="s">
        <v>139</v>
      </c>
      <c r="C120" s="279">
        <f t="shared" si="9"/>
        <v>0</v>
      </c>
      <c r="D120" s="134"/>
      <c r="E120" s="283"/>
      <c r="F120" s="279">
        <f t="shared" si="10"/>
        <v>0</v>
      </c>
      <c r="G120" s="134"/>
      <c r="H120" s="135"/>
      <c r="I120" s="136">
        <f t="shared" si="11"/>
        <v>0</v>
      </c>
      <c r="J120" s="134"/>
      <c r="K120" s="135"/>
      <c r="L120" s="136">
        <f t="shared" si="12"/>
        <v>0</v>
      </c>
      <c r="M120" s="284"/>
      <c r="N120" s="285"/>
      <c r="O120" s="136">
        <f t="shared" si="13"/>
        <v>0</v>
      </c>
      <c r="P120" s="85"/>
    </row>
    <row r="121" spans="1:16" hidden="1" x14ac:dyDescent="0.25">
      <c r="A121" s="76">
        <v>2269</v>
      </c>
      <c r="B121" s="127" t="s">
        <v>140</v>
      </c>
      <c r="C121" s="279">
        <f t="shared" si="9"/>
        <v>0</v>
      </c>
      <c r="D121" s="134"/>
      <c r="E121" s="283"/>
      <c r="F121" s="279">
        <f t="shared" si="10"/>
        <v>0</v>
      </c>
      <c r="G121" s="134"/>
      <c r="H121" s="135"/>
      <c r="I121" s="136">
        <f t="shared" si="11"/>
        <v>0</v>
      </c>
      <c r="J121" s="134"/>
      <c r="K121" s="135"/>
      <c r="L121" s="136">
        <f t="shared" si="12"/>
        <v>0</v>
      </c>
      <c r="M121" s="284"/>
      <c r="N121" s="285"/>
      <c r="O121" s="136">
        <f t="shared" si="13"/>
        <v>0</v>
      </c>
      <c r="P121" s="85"/>
    </row>
    <row r="122" spans="1:16" hidden="1" x14ac:dyDescent="0.25">
      <c r="A122" s="276">
        <v>2270</v>
      </c>
      <c r="B122" s="127" t="s">
        <v>141</v>
      </c>
      <c r="C122" s="279">
        <f t="shared" si="9"/>
        <v>0</v>
      </c>
      <c r="D122" s="277">
        <f>SUM(D123:D127)</f>
        <v>0</v>
      </c>
      <c r="E122" s="278">
        <f>SUM(E123:E127)</f>
        <v>0</v>
      </c>
      <c r="F122" s="279">
        <f t="shared" si="10"/>
        <v>0</v>
      </c>
      <c r="G122" s="277">
        <f>SUM(G123:G127)</f>
        <v>0</v>
      </c>
      <c r="H122" s="280">
        <f>SUM(H123:H127)</f>
        <v>0</v>
      </c>
      <c r="I122" s="136">
        <f t="shared" si="11"/>
        <v>0</v>
      </c>
      <c r="J122" s="277">
        <f>SUM(J123:J127)</f>
        <v>0</v>
      </c>
      <c r="K122" s="280">
        <f>SUM(K123:K127)</f>
        <v>0</v>
      </c>
      <c r="L122" s="136">
        <f t="shared" si="12"/>
        <v>0</v>
      </c>
      <c r="M122" s="281">
        <f>SUM(M123:M127)</f>
        <v>0</v>
      </c>
      <c r="N122" s="282">
        <f>SUM(N123:N127)</f>
        <v>0</v>
      </c>
      <c r="O122" s="136">
        <f t="shared" si="13"/>
        <v>0</v>
      </c>
      <c r="P122" s="85"/>
    </row>
    <row r="123" spans="1:16" hidden="1" x14ac:dyDescent="0.25">
      <c r="A123" s="76">
        <v>2272</v>
      </c>
      <c r="B123" s="5" t="s">
        <v>142</v>
      </c>
      <c r="C123" s="279">
        <f t="shared" si="9"/>
        <v>0</v>
      </c>
      <c r="D123" s="134"/>
      <c r="E123" s="283"/>
      <c r="F123" s="279">
        <f t="shared" si="10"/>
        <v>0</v>
      </c>
      <c r="G123" s="134"/>
      <c r="H123" s="135"/>
      <c r="I123" s="136">
        <f t="shared" si="11"/>
        <v>0</v>
      </c>
      <c r="J123" s="134"/>
      <c r="K123" s="135"/>
      <c r="L123" s="136">
        <f t="shared" si="12"/>
        <v>0</v>
      </c>
      <c r="M123" s="284"/>
      <c r="N123" s="285"/>
      <c r="O123" s="136">
        <f t="shared" si="13"/>
        <v>0</v>
      </c>
      <c r="P123" s="85"/>
    </row>
    <row r="124" spans="1:16" ht="24" hidden="1" x14ac:dyDescent="0.25">
      <c r="A124" s="76">
        <v>2275</v>
      </c>
      <c r="B124" s="127" t="s">
        <v>143</v>
      </c>
      <c r="C124" s="279">
        <f t="shared" si="9"/>
        <v>0</v>
      </c>
      <c r="D124" s="134"/>
      <c r="E124" s="283"/>
      <c r="F124" s="279">
        <f t="shared" si="10"/>
        <v>0</v>
      </c>
      <c r="G124" s="134"/>
      <c r="H124" s="135"/>
      <c r="I124" s="136">
        <f t="shared" si="11"/>
        <v>0</v>
      </c>
      <c r="J124" s="134"/>
      <c r="K124" s="135"/>
      <c r="L124" s="136">
        <f t="shared" si="12"/>
        <v>0</v>
      </c>
      <c r="M124" s="284"/>
      <c r="N124" s="285"/>
      <c r="O124" s="136">
        <f t="shared" si="13"/>
        <v>0</v>
      </c>
      <c r="P124" s="85"/>
    </row>
    <row r="125" spans="1:16" ht="36" hidden="1" x14ac:dyDescent="0.25">
      <c r="A125" s="76">
        <v>2276</v>
      </c>
      <c r="B125" s="127" t="s">
        <v>144</v>
      </c>
      <c r="C125" s="279">
        <f t="shared" si="9"/>
        <v>0</v>
      </c>
      <c r="D125" s="134"/>
      <c r="E125" s="283"/>
      <c r="F125" s="279">
        <f t="shared" si="10"/>
        <v>0</v>
      </c>
      <c r="G125" s="134"/>
      <c r="H125" s="135"/>
      <c r="I125" s="136">
        <f t="shared" si="11"/>
        <v>0</v>
      </c>
      <c r="J125" s="134"/>
      <c r="K125" s="135"/>
      <c r="L125" s="136">
        <f t="shared" si="12"/>
        <v>0</v>
      </c>
      <c r="M125" s="284"/>
      <c r="N125" s="285"/>
      <c r="O125" s="136">
        <f t="shared" si="13"/>
        <v>0</v>
      </c>
      <c r="P125" s="85"/>
    </row>
    <row r="126" spans="1:16" ht="24" hidden="1" x14ac:dyDescent="0.25">
      <c r="A126" s="76">
        <v>2278</v>
      </c>
      <c r="B126" s="127" t="s">
        <v>145</v>
      </c>
      <c r="C126" s="279">
        <f t="shared" si="9"/>
        <v>0</v>
      </c>
      <c r="D126" s="134"/>
      <c r="E126" s="283"/>
      <c r="F126" s="279">
        <f t="shared" si="10"/>
        <v>0</v>
      </c>
      <c r="G126" s="134"/>
      <c r="H126" s="135"/>
      <c r="I126" s="136">
        <f t="shared" si="11"/>
        <v>0</v>
      </c>
      <c r="J126" s="134"/>
      <c r="K126" s="135"/>
      <c r="L126" s="136">
        <f t="shared" si="12"/>
        <v>0</v>
      </c>
      <c r="M126" s="284"/>
      <c r="N126" s="285"/>
      <c r="O126" s="136">
        <f t="shared" si="13"/>
        <v>0</v>
      </c>
      <c r="P126" s="85"/>
    </row>
    <row r="127" spans="1:16" ht="24" hidden="1" x14ac:dyDescent="0.25">
      <c r="A127" s="76">
        <v>2279</v>
      </c>
      <c r="B127" s="127" t="s">
        <v>146</v>
      </c>
      <c r="C127" s="279">
        <f t="shared" si="9"/>
        <v>0</v>
      </c>
      <c r="D127" s="134"/>
      <c r="E127" s="283"/>
      <c r="F127" s="279">
        <f t="shared" si="10"/>
        <v>0</v>
      </c>
      <c r="G127" s="134"/>
      <c r="H127" s="135"/>
      <c r="I127" s="136">
        <f t="shared" si="11"/>
        <v>0</v>
      </c>
      <c r="J127" s="134"/>
      <c r="K127" s="135"/>
      <c r="L127" s="136">
        <f t="shared" si="12"/>
        <v>0</v>
      </c>
      <c r="M127" s="284"/>
      <c r="N127" s="285"/>
      <c r="O127" s="136">
        <f t="shared" si="13"/>
        <v>0</v>
      </c>
      <c r="P127" s="85"/>
    </row>
    <row r="128" spans="1:16" ht="24" hidden="1" x14ac:dyDescent="0.25">
      <c r="A128" s="656">
        <v>2280</v>
      </c>
      <c r="B128" s="116" t="s">
        <v>147</v>
      </c>
      <c r="C128" s="279">
        <f t="shared" si="9"/>
        <v>0</v>
      </c>
      <c r="D128" s="297">
        <f>SUM(D129)</f>
        <v>0</v>
      </c>
      <c r="E128" s="298">
        <f t="shared" ref="E128:N128" si="14">SUM(E129)</f>
        <v>0</v>
      </c>
      <c r="F128" s="296">
        <f t="shared" si="10"/>
        <v>0</v>
      </c>
      <c r="G128" s="297">
        <f t="shared" ref="G128" si="15">SUM(G129)</f>
        <v>0</v>
      </c>
      <c r="H128" s="299">
        <f t="shared" si="14"/>
        <v>0</v>
      </c>
      <c r="I128" s="125">
        <f t="shared" si="11"/>
        <v>0</v>
      </c>
      <c r="J128" s="297">
        <f t="shared" ref="J128" si="16">SUM(J129)</f>
        <v>0</v>
      </c>
      <c r="K128" s="299">
        <f t="shared" si="14"/>
        <v>0</v>
      </c>
      <c r="L128" s="125">
        <f t="shared" si="12"/>
        <v>0</v>
      </c>
      <c r="M128" s="281">
        <f t="shared" si="14"/>
        <v>0</v>
      </c>
      <c r="N128" s="282">
        <f t="shared" si="14"/>
        <v>0</v>
      </c>
      <c r="O128" s="136">
        <f t="shared" si="13"/>
        <v>0</v>
      </c>
      <c r="P128" s="85"/>
    </row>
    <row r="129" spans="1:16" ht="24" hidden="1" x14ac:dyDescent="0.25">
      <c r="A129" s="76">
        <v>2283</v>
      </c>
      <c r="B129" s="127" t="s">
        <v>148</v>
      </c>
      <c r="C129" s="279">
        <f t="shared" si="9"/>
        <v>0</v>
      </c>
      <c r="D129" s="134"/>
      <c r="E129" s="283"/>
      <c r="F129" s="279">
        <f t="shared" si="10"/>
        <v>0</v>
      </c>
      <c r="G129" s="134"/>
      <c r="H129" s="135"/>
      <c r="I129" s="136">
        <f t="shared" si="11"/>
        <v>0</v>
      </c>
      <c r="J129" s="134"/>
      <c r="K129" s="135"/>
      <c r="L129" s="136">
        <f t="shared" si="12"/>
        <v>0</v>
      </c>
      <c r="M129" s="284"/>
      <c r="N129" s="285"/>
      <c r="O129" s="136">
        <f t="shared" si="13"/>
        <v>0</v>
      </c>
      <c r="P129" s="85"/>
    </row>
    <row r="130" spans="1:16" ht="36" hidden="1" x14ac:dyDescent="0.25">
      <c r="A130" s="99">
        <v>2300</v>
      </c>
      <c r="B130" s="247" t="s">
        <v>149</v>
      </c>
      <c r="C130" s="249">
        <f t="shared" si="9"/>
        <v>0</v>
      </c>
      <c r="D130" s="112">
        <f>SUM(D131,D136,D140,D141,D144,D151,D159,D160,D163)</f>
        <v>0</v>
      </c>
      <c r="E130" s="248">
        <f>SUM(E131,E136,E140,E141,E144,E151,E159,E160,E163)</f>
        <v>0</v>
      </c>
      <c r="F130" s="249">
        <f t="shared" si="10"/>
        <v>0</v>
      </c>
      <c r="G130" s="112">
        <f>SUM(G131,G136,G140,G141,G144,G151,G159,G160,G163)</f>
        <v>0</v>
      </c>
      <c r="H130" s="113">
        <f>SUM(H131,H136,H140,H141,H144,H151,H159,H160,H163)</f>
        <v>0</v>
      </c>
      <c r="I130" s="114">
        <f t="shared" si="11"/>
        <v>0</v>
      </c>
      <c r="J130" s="112">
        <f>SUM(J131,J136,J140,J141,J144,J151,J159,J160,J163)</f>
        <v>0</v>
      </c>
      <c r="K130" s="113">
        <f>SUM(K131,K136,K140,K141,K144,K151,K159,K160,K163)</f>
        <v>0</v>
      </c>
      <c r="L130" s="114">
        <f t="shared" si="12"/>
        <v>0</v>
      </c>
      <c r="M130" s="292">
        <f>SUM(M131,M136,M140,M141,M144,M151,M159,M160,M163)</f>
        <v>0</v>
      </c>
      <c r="N130" s="293">
        <f>SUM(N131,N136,N140,N141,N144,N151,N159,N160,N163)</f>
        <v>0</v>
      </c>
      <c r="O130" s="114">
        <f t="shared" si="13"/>
        <v>0</v>
      </c>
      <c r="P130" s="109"/>
    </row>
    <row r="131" spans="1:16" ht="24" hidden="1" x14ac:dyDescent="0.25">
      <c r="A131" s="656">
        <v>2310</v>
      </c>
      <c r="B131" s="116" t="s">
        <v>150</v>
      </c>
      <c r="C131" s="296">
        <f t="shared" si="9"/>
        <v>0</v>
      </c>
      <c r="D131" s="308">
        <f>SUM(D132:D135)</f>
        <v>0</v>
      </c>
      <c r="E131" s="300">
        <f>SUM(E132:E135)</f>
        <v>0</v>
      </c>
      <c r="F131" s="296">
        <f t="shared" si="10"/>
        <v>0</v>
      </c>
      <c r="G131" s="297">
        <f>SUM(G132:G135)</f>
        <v>0</v>
      </c>
      <c r="H131" s="299">
        <f>SUM(H132:H135)</f>
        <v>0</v>
      </c>
      <c r="I131" s="125">
        <f t="shared" si="11"/>
        <v>0</v>
      </c>
      <c r="J131" s="297">
        <f>SUM(J132:J135)</f>
        <v>0</v>
      </c>
      <c r="K131" s="299">
        <f>SUM(K132:K135)</f>
        <v>0</v>
      </c>
      <c r="L131" s="125">
        <f t="shared" si="12"/>
        <v>0</v>
      </c>
      <c r="M131" s="300">
        <f>SUM(M132:M135)</f>
        <v>0</v>
      </c>
      <c r="N131" s="301">
        <f>SUM(N132:N135)</f>
        <v>0</v>
      </c>
      <c r="O131" s="125">
        <f t="shared" si="13"/>
        <v>0</v>
      </c>
      <c r="P131" s="74"/>
    </row>
    <row r="132" spans="1:16" hidden="1" x14ac:dyDescent="0.25">
      <c r="A132" s="76">
        <v>2311</v>
      </c>
      <c r="B132" s="127" t="s">
        <v>151</v>
      </c>
      <c r="C132" s="279">
        <f t="shared" si="9"/>
        <v>0</v>
      </c>
      <c r="D132" s="134"/>
      <c r="E132" s="283"/>
      <c r="F132" s="279">
        <f t="shared" si="10"/>
        <v>0</v>
      </c>
      <c r="G132" s="134"/>
      <c r="H132" s="135"/>
      <c r="I132" s="136">
        <f t="shared" si="11"/>
        <v>0</v>
      </c>
      <c r="J132" s="134"/>
      <c r="K132" s="135"/>
      <c r="L132" s="136">
        <f t="shared" si="12"/>
        <v>0</v>
      </c>
      <c r="M132" s="284"/>
      <c r="N132" s="285"/>
      <c r="O132" s="136">
        <f t="shared" si="13"/>
        <v>0</v>
      </c>
      <c r="P132" s="85"/>
    </row>
    <row r="133" spans="1:16" hidden="1" x14ac:dyDescent="0.25">
      <c r="A133" s="76">
        <v>2312</v>
      </c>
      <c r="B133" s="127" t="s">
        <v>152</v>
      </c>
      <c r="C133" s="279">
        <f t="shared" si="9"/>
        <v>0</v>
      </c>
      <c r="D133" s="134"/>
      <c r="E133" s="283"/>
      <c r="F133" s="279">
        <f t="shared" si="10"/>
        <v>0</v>
      </c>
      <c r="G133" s="134"/>
      <c r="H133" s="135"/>
      <c r="I133" s="136">
        <f t="shared" si="11"/>
        <v>0</v>
      </c>
      <c r="J133" s="134"/>
      <c r="K133" s="135"/>
      <c r="L133" s="136">
        <f t="shared" si="12"/>
        <v>0</v>
      </c>
      <c r="M133" s="284"/>
      <c r="N133" s="285"/>
      <c r="O133" s="136">
        <f t="shared" si="13"/>
        <v>0</v>
      </c>
      <c r="P133" s="85"/>
    </row>
    <row r="134" spans="1:16" hidden="1" x14ac:dyDescent="0.25">
      <c r="A134" s="76">
        <v>2313</v>
      </c>
      <c r="B134" s="127" t="s">
        <v>153</v>
      </c>
      <c r="C134" s="279">
        <f t="shared" si="9"/>
        <v>0</v>
      </c>
      <c r="D134" s="134"/>
      <c r="E134" s="283"/>
      <c r="F134" s="279">
        <f t="shared" si="10"/>
        <v>0</v>
      </c>
      <c r="G134" s="134"/>
      <c r="H134" s="135"/>
      <c r="I134" s="136">
        <f t="shared" si="11"/>
        <v>0</v>
      </c>
      <c r="J134" s="134"/>
      <c r="K134" s="135"/>
      <c r="L134" s="136">
        <f t="shared" si="12"/>
        <v>0</v>
      </c>
      <c r="M134" s="284"/>
      <c r="N134" s="285"/>
      <c r="O134" s="136">
        <f t="shared" si="13"/>
        <v>0</v>
      </c>
      <c r="P134" s="85"/>
    </row>
    <row r="135" spans="1:16" ht="36" hidden="1" x14ac:dyDescent="0.25">
      <c r="A135" s="76">
        <v>2314</v>
      </c>
      <c r="B135" s="127" t="s">
        <v>154</v>
      </c>
      <c r="C135" s="279">
        <f t="shared" si="9"/>
        <v>0</v>
      </c>
      <c r="D135" s="134"/>
      <c r="E135" s="283"/>
      <c r="F135" s="279">
        <f t="shared" si="10"/>
        <v>0</v>
      </c>
      <c r="G135" s="134"/>
      <c r="H135" s="135"/>
      <c r="I135" s="136">
        <f t="shared" si="11"/>
        <v>0</v>
      </c>
      <c r="J135" s="134"/>
      <c r="K135" s="135"/>
      <c r="L135" s="136">
        <f t="shared" si="12"/>
        <v>0</v>
      </c>
      <c r="M135" s="284"/>
      <c r="N135" s="285"/>
      <c r="O135" s="136">
        <f t="shared" si="13"/>
        <v>0</v>
      </c>
      <c r="P135" s="85"/>
    </row>
    <row r="136" spans="1:16" hidden="1" x14ac:dyDescent="0.25">
      <c r="A136" s="276">
        <v>2320</v>
      </c>
      <c r="B136" s="127" t="s">
        <v>155</v>
      </c>
      <c r="C136" s="279">
        <f t="shared" si="9"/>
        <v>0</v>
      </c>
      <c r="D136" s="277">
        <f>SUM(D137:D139)</f>
        <v>0</v>
      </c>
      <c r="E136" s="278">
        <f>SUM(E137:E139)</f>
        <v>0</v>
      </c>
      <c r="F136" s="279">
        <f t="shared" si="10"/>
        <v>0</v>
      </c>
      <c r="G136" s="277">
        <f>SUM(G137:G139)</f>
        <v>0</v>
      </c>
      <c r="H136" s="280">
        <f>SUM(H137:H139)</f>
        <v>0</v>
      </c>
      <c r="I136" s="136">
        <f t="shared" si="11"/>
        <v>0</v>
      </c>
      <c r="J136" s="277">
        <f>SUM(J137:J139)</f>
        <v>0</v>
      </c>
      <c r="K136" s="280">
        <f>SUM(K137:K139)</f>
        <v>0</v>
      </c>
      <c r="L136" s="136">
        <f t="shared" si="12"/>
        <v>0</v>
      </c>
      <c r="M136" s="281">
        <f>SUM(M137:M139)</f>
        <v>0</v>
      </c>
      <c r="N136" s="282">
        <f>SUM(N137:N139)</f>
        <v>0</v>
      </c>
      <c r="O136" s="136">
        <f t="shared" si="13"/>
        <v>0</v>
      </c>
      <c r="P136" s="85"/>
    </row>
    <row r="137" spans="1:16" hidden="1" x14ac:dyDescent="0.25">
      <c r="A137" s="76">
        <v>2321</v>
      </c>
      <c r="B137" s="127" t="s">
        <v>156</v>
      </c>
      <c r="C137" s="279">
        <f t="shared" si="9"/>
        <v>0</v>
      </c>
      <c r="D137" s="134"/>
      <c r="E137" s="283"/>
      <c r="F137" s="279">
        <f t="shared" si="10"/>
        <v>0</v>
      </c>
      <c r="G137" s="134"/>
      <c r="H137" s="135"/>
      <c r="I137" s="136">
        <f t="shared" si="11"/>
        <v>0</v>
      </c>
      <c r="J137" s="134"/>
      <c r="K137" s="135"/>
      <c r="L137" s="136">
        <f t="shared" si="12"/>
        <v>0</v>
      </c>
      <c r="M137" s="284"/>
      <c r="N137" s="285"/>
      <c r="O137" s="136">
        <f t="shared" si="13"/>
        <v>0</v>
      </c>
      <c r="P137" s="85"/>
    </row>
    <row r="138" spans="1:16" hidden="1" x14ac:dyDescent="0.25">
      <c r="A138" s="76">
        <v>2322</v>
      </c>
      <c r="B138" s="127" t="s">
        <v>157</v>
      </c>
      <c r="C138" s="279">
        <f t="shared" si="9"/>
        <v>0</v>
      </c>
      <c r="D138" s="134"/>
      <c r="E138" s="283"/>
      <c r="F138" s="279">
        <f t="shared" si="10"/>
        <v>0</v>
      </c>
      <c r="G138" s="134"/>
      <c r="H138" s="135"/>
      <c r="I138" s="136">
        <f t="shared" si="11"/>
        <v>0</v>
      </c>
      <c r="J138" s="134"/>
      <c r="K138" s="135"/>
      <c r="L138" s="136">
        <f t="shared" si="12"/>
        <v>0</v>
      </c>
      <c r="M138" s="284"/>
      <c r="N138" s="285"/>
      <c r="O138" s="136">
        <f t="shared" si="13"/>
        <v>0</v>
      </c>
      <c r="P138" s="85"/>
    </row>
    <row r="139" spans="1:16" hidden="1" x14ac:dyDescent="0.25">
      <c r="A139" s="76">
        <v>2329</v>
      </c>
      <c r="B139" s="127" t="s">
        <v>158</v>
      </c>
      <c r="C139" s="279">
        <f t="shared" si="9"/>
        <v>0</v>
      </c>
      <c r="D139" s="134"/>
      <c r="E139" s="283"/>
      <c r="F139" s="279">
        <f t="shared" si="10"/>
        <v>0</v>
      </c>
      <c r="G139" s="134"/>
      <c r="H139" s="135"/>
      <c r="I139" s="136">
        <f t="shared" si="11"/>
        <v>0</v>
      </c>
      <c r="J139" s="134"/>
      <c r="K139" s="135"/>
      <c r="L139" s="136">
        <f t="shared" si="12"/>
        <v>0</v>
      </c>
      <c r="M139" s="284"/>
      <c r="N139" s="285"/>
      <c r="O139" s="136">
        <f t="shared" si="13"/>
        <v>0</v>
      </c>
      <c r="P139" s="85"/>
    </row>
    <row r="140" spans="1:16" hidden="1" x14ac:dyDescent="0.25">
      <c r="A140" s="276">
        <v>2330</v>
      </c>
      <c r="B140" s="127" t="s">
        <v>159</v>
      </c>
      <c r="C140" s="279">
        <f t="shared" si="9"/>
        <v>0</v>
      </c>
      <c r="D140" s="134"/>
      <c r="E140" s="283"/>
      <c r="F140" s="279">
        <f t="shared" si="10"/>
        <v>0</v>
      </c>
      <c r="G140" s="134"/>
      <c r="H140" s="135"/>
      <c r="I140" s="136">
        <f t="shared" si="11"/>
        <v>0</v>
      </c>
      <c r="J140" s="134"/>
      <c r="K140" s="135"/>
      <c r="L140" s="136">
        <f t="shared" si="12"/>
        <v>0</v>
      </c>
      <c r="M140" s="284"/>
      <c r="N140" s="285"/>
      <c r="O140" s="136">
        <f t="shared" si="13"/>
        <v>0</v>
      </c>
      <c r="P140" s="85"/>
    </row>
    <row r="141" spans="1:16" ht="48" hidden="1" x14ac:dyDescent="0.25">
      <c r="A141" s="276">
        <v>2340</v>
      </c>
      <c r="B141" s="127" t="s">
        <v>160</v>
      </c>
      <c r="C141" s="279">
        <f t="shared" si="9"/>
        <v>0</v>
      </c>
      <c r="D141" s="277">
        <f>SUM(D142:D143)</f>
        <v>0</v>
      </c>
      <c r="E141" s="278">
        <f>SUM(E142:E143)</f>
        <v>0</v>
      </c>
      <c r="F141" s="279">
        <f t="shared" si="10"/>
        <v>0</v>
      </c>
      <c r="G141" s="277">
        <f>SUM(G142:G143)</f>
        <v>0</v>
      </c>
      <c r="H141" s="280">
        <f>SUM(H142:H143)</f>
        <v>0</v>
      </c>
      <c r="I141" s="136">
        <f t="shared" si="11"/>
        <v>0</v>
      </c>
      <c r="J141" s="277">
        <f>SUM(J142:J143)</f>
        <v>0</v>
      </c>
      <c r="K141" s="280">
        <f>SUM(K142:K143)</f>
        <v>0</v>
      </c>
      <c r="L141" s="136">
        <f t="shared" si="12"/>
        <v>0</v>
      </c>
      <c r="M141" s="281">
        <f>SUM(M142:M143)</f>
        <v>0</v>
      </c>
      <c r="N141" s="282">
        <f>SUM(N142:N143)</f>
        <v>0</v>
      </c>
      <c r="O141" s="136">
        <f t="shared" si="13"/>
        <v>0</v>
      </c>
      <c r="P141" s="85"/>
    </row>
    <row r="142" spans="1:16" hidden="1" x14ac:dyDescent="0.25">
      <c r="A142" s="76">
        <v>2341</v>
      </c>
      <c r="B142" s="127" t="s">
        <v>161</v>
      </c>
      <c r="C142" s="279">
        <f t="shared" si="9"/>
        <v>0</v>
      </c>
      <c r="D142" s="134"/>
      <c r="E142" s="283"/>
      <c r="F142" s="279">
        <f t="shared" si="10"/>
        <v>0</v>
      </c>
      <c r="G142" s="134"/>
      <c r="H142" s="135"/>
      <c r="I142" s="136">
        <f t="shared" si="11"/>
        <v>0</v>
      </c>
      <c r="J142" s="134"/>
      <c r="K142" s="135"/>
      <c r="L142" s="136">
        <f t="shared" si="12"/>
        <v>0</v>
      </c>
      <c r="M142" s="284"/>
      <c r="N142" s="285"/>
      <c r="O142" s="136">
        <f t="shared" si="13"/>
        <v>0</v>
      </c>
      <c r="P142" s="85"/>
    </row>
    <row r="143" spans="1:16" ht="24" hidden="1" x14ac:dyDescent="0.25">
      <c r="A143" s="76">
        <v>2344</v>
      </c>
      <c r="B143" s="127" t="s">
        <v>162</v>
      </c>
      <c r="C143" s="279">
        <f t="shared" si="9"/>
        <v>0</v>
      </c>
      <c r="D143" s="134"/>
      <c r="E143" s="283"/>
      <c r="F143" s="279">
        <f t="shared" si="10"/>
        <v>0</v>
      </c>
      <c r="G143" s="134"/>
      <c r="H143" s="135"/>
      <c r="I143" s="136">
        <f t="shared" si="11"/>
        <v>0</v>
      </c>
      <c r="J143" s="134"/>
      <c r="K143" s="135"/>
      <c r="L143" s="136">
        <f t="shared" si="12"/>
        <v>0</v>
      </c>
      <c r="M143" s="284"/>
      <c r="N143" s="285"/>
      <c r="O143" s="136">
        <f t="shared" si="13"/>
        <v>0</v>
      </c>
      <c r="P143" s="85"/>
    </row>
    <row r="144" spans="1:16" ht="24" hidden="1" x14ac:dyDescent="0.25">
      <c r="A144" s="254">
        <v>2350</v>
      </c>
      <c r="B144" s="179" t="s">
        <v>163</v>
      </c>
      <c r="C144" s="279">
        <f t="shared" si="9"/>
        <v>0</v>
      </c>
      <c r="D144" s="255">
        <f>SUM(D145:D150)</f>
        <v>0</v>
      </c>
      <c r="E144" s="256">
        <f>SUM(E145:E150)</f>
        <v>0</v>
      </c>
      <c r="F144" s="257">
        <f t="shared" si="10"/>
        <v>0</v>
      </c>
      <c r="G144" s="255">
        <f>SUM(G145:G150)</f>
        <v>0</v>
      </c>
      <c r="H144" s="258">
        <f>SUM(H145:H150)</f>
        <v>0</v>
      </c>
      <c r="I144" s="259">
        <f t="shared" si="11"/>
        <v>0</v>
      </c>
      <c r="J144" s="255">
        <f>SUM(J145:J150)</f>
        <v>0</v>
      </c>
      <c r="K144" s="258">
        <f>SUM(K145:K150)</f>
        <v>0</v>
      </c>
      <c r="L144" s="259">
        <f t="shared" si="12"/>
        <v>0</v>
      </c>
      <c r="M144" s="260">
        <f>SUM(M145:M150)</f>
        <v>0</v>
      </c>
      <c r="N144" s="261">
        <f>SUM(N145:N150)</f>
        <v>0</v>
      </c>
      <c r="O144" s="259">
        <f t="shared" si="13"/>
        <v>0</v>
      </c>
      <c r="P144" s="189"/>
    </row>
    <row r="145" spans="1:16" hidden="1" x14ac:dyDescent="0.25">
      <c r="A145" s="66">
        <v>2351</v>
      </c>
      <c r="B145" s="116" t="s">
        <v>164</v>
      </c>
      <c r="C145" s="279">
        <f t="shared" si="9"/>
        <v>0</v>
      </c>
      <c r="D145" s="123"/>
      <c r="E145" s="295"/>
      <c r="F145" s="296">
        <f t="shared" si="10"/>
        <v>0</v>
      </c>
      <c r="G145" s="123"/>
      <c r="H145" s="124"/>
      <c r="I145" s="125">
        <f t="shared" si="11"/>
        <v>0</v>
      </c>
      <c r="J145" s="123"/>
      <c r="K145" s="124"/>
      <c r="L145" s="125">
        <f t="shared" si="12"/>
        <v>0</v>
      </c>
      <c r="M145" s="264"/>
      <c r="N145" s="262"/>
      <c r="O145" s="125">
        <f t="shared" si="13"/>
        <v>0</v>
      </c>
      <c r="P145" s="74"/>
    </row>
    <row r="146" spans="1:16" hidden="1" x14ac:dyDescent="0.25">
      <c r="A146" s="76">
        <v>2352</v>
      </c>
      <c r="B146" s="127" t="s">
        <v>165</v>
      </c>
      <c r="C146" s="279">
        <f t="shared" si="9"/>
        <v>0</v>
      </c>
      <c r="D146" s="134"/>
      <c r="E146" s="283"/>
      <c r="F146" s="279">
        <f t="shared" si="10"/>
        <v>0</v>
      </c>
      <c r="G146" s="134"/>
      <c r="H146" s="135"/>
      <c r="I146" s="136">
        <f t="shared" si="11"/>
        <v>0</v>
      </c>
      <c r="J146" s="134"/>
      <c r="K146" s="135"/>
      <c r="L146" s="136">
        <f t="shared" si="12"/>
        <v>0</v>
      </c>
      <c r="M146" s="284"/>
      <c r="N146" s="285"/>
      <c r="O146" s="136">
        <f t="shared" si="13"/>
        <v>0</v>
      </c>
      <c r="P146" s="85"/>
    </row>
    <row r="147" spans="1:16" ht="24" hidden="1" x14ac:dyDescent="0.25">
      <c r="A147" s="76">
        <v>2353</v>
      </c>
      <c r="B147" s="127" t="s">
        <v>166</v>
      </c>
      <c r="C147" s="279">
        <f t="shared" si="9"/>
        <v>0</v>
      </c>
      <c r="D147" s="134"/>
      <c r="E147" s="283"/>
      <c r="F147" s="279">
        <f t="shared" si="10"/>
        <v>0</v>
      </c>
      <c r="G147" s="134"/>
      <c r="H147" s="135"/>
      <c r="I147" s="136">
        <f t="shared" si="11"/>
        <v>0</v>
      </c>
      <c r="J147" s="134"/>
      <c r="K147" s="135"/>
      <c r="L147" s="136">
        <f t="shared" si="12"/>
        <v>0</v>
      </c>
      <c r="M147" s="284"/>
      <c r="N147" s="285"/>
      <c r="O147" s="136">
        <f t="shared" si="13"/>
        <v>0</v>
      </c>
      <c r="P147" s="85"/>
    </row>
    <row r="148" spans="1:16" ht="24" hidden="1" x14ac:dyDescent="0.25">
      <c r="A148" s="76">
        <v>2354</v>
      </c>
      <c r="B148" s="127" t="s">
        <v>167</v>
      </c>
      <c r="C148" s="279">
        <f t="shared" si="9"/>
        <v>0</v>
      </c>
      <c r="D148" s="134"/>
      <c r="E148" s="283"/>
      <c r="F148" s="279">
        <f t="shared" si="10"/>
        <v>0</v>
      </c>
      <c r="G148" s="134"/>
      <c r="H148" s="135"/>
      <c r="I148" s="136">
        <f t="shared" si="11"/>
        <v>0</v>
      </c>
      <c r="J148" s="134"/>
      <c r="K148" s="135"/>
      <c r="L148" s="136">
        <f t="shared" si="12"/>
        <v>0</v>
      </c>
      <c r="M148" s="284"/>
      <c r="N148" s="285"/>
      <c r="O148" s="136">
        <f t="shared" si="13"/>
        <v>0</v>
      </c>
      <c r="P148" s="85"/>
    </row>
    <row r="149" spans="1:16" ht="24" hidden="1" x14ac:dyDescent="0.25">
      <c r="A149" s="76">
        <v>2355</v>
      </c>
      <c r="B149" s="127" t="s">
        <v>168</v>
      </c>
      <c r="C149" s="279">
        <f t="shared" si="9"/>
        <v>0</v>
      </c>
      <c r="D149" s="134"/>
      <c r="E149" s="283"/>
      <c r="F149" s="279">
        <f t="shared" si="10"/>
        <v>0</v>
      </c>
      <c r="G149" s="134"/>
      <c r="H149" s="135"/>
      <c r="I149" s="136">
        <f t="shared" si="11"/>
        <v>0</v>
      </c>
      <c r="J149" s="134"/>
      <c r="K149" s="135"/>
      <c r="L149" s="136">
        <f t="shared" si="12"/>
        <v>0</v>
      </c>
      <c r="M149" s="284"/>
      <c r="N149" s="285"/>
      <c r="O149" s="136">
        <f t="shared" si="13"/>
        <v>0</v>
      </c>
      <c r="P149" s="85"/>
    </row>
    <row r="150" spans="1:16" ht="24" hidden="1" x14ac:dyDescent="0.25">
      <c r="A150" s="76">
        <v>2359</v>
      </c>
      <c r="B150" s="127" t="s">
        <v>169</v>
      </c>
      <c r="C150" s="279">
        <f t="shared" si="9"/>
        <v>0</v>
      </c>
      <c r="D150" s="134"/>
      <c r="E150" s="283"/>
      <c r="F150" s="279">
        <f t="shared" si="10"/>
        <v>0</v>
      </c>
      <c r="G150" s="134"/>
      <c r="H150" s="135"/>
      <c r="I150" s="136">
        <f t="shared" si="11"/>
        <v>0</v>
      </c>
      <c r="J150" s="134"/>
      <c r="K150" s="135"/>
      <c r="L150" s="136">
        <f t="shared" si="12"/>
        <v>0</v>
      </c>
      <c r="M150" s="284"/>
      <c r="N150" s="285"/>
      <c r="O150" s="136">
        <f t="shared" si="13"/>
        <v>0</v>
      </c>
      <c r="P150" s="85"/>
    </row>
    <row r="151" spans="1:16" ht="24" hidden="1" x14ac:dyDescent="0.25">
      <c r="A151" s="276">
        <v>2360</v>
      </c>
      <c r="B151" s="127" t="s">
        <v>170</v>
      </c>
      <c r="C151" s="279">
        <f t="shared" si="9"/>
        <v>0</v>
      </c>
      <c r="D151" s="277">
        <f>SUM(D152:D158)</f>
        <v>0</v>
      </c>
      <c r="E151" s="278">
        <f>SUM(E152:E158)</f>
        <v>0</v>
      </c>
      <c r="F151" s="279">
        <f t="shared" si="10"/>
        <v>0</v>
      </c>
      <c r="G151" s="277">
        <f>SUM(G152:G158)</f>
        <v>0</v>
      </c>
      <c r="H151" s="280">
        <f>SUM(H152:H158)</f>
        <v>0</v>
      </c>
      <c r="I151" s="136">
        <f t="shared" si="11"/>
        <v>0</v>
      </c>
      <c r="J151" s="277">
        <f>SUM(J152:J158)</f>
        <v>0</v>
      </c>
      <c r="K151" s="280">
        <f>SUM(K152:K158)</f>
        <v>0</v>
      </c>
      <c r="L151" s="136">
        <f t="shared" si="12"/>
        <v>0</v>
      </c>
      <c r="M151" s="281">
        <f>SUM(M152:M158)</f>
        <v>0</v>
      </c>
      <c r="N151" s="282">
        <f>SUM(N152:N158)</f>
        <v>0</v>
      </c>
      <c r="O151" s="136">
        <f t="shared" si="13"/>
        <v>0</v>
      </c>
      <c r="P151" s="85"/>
    </row>
    <row r="152" spans="1:16" hidden="1" x14ac:dyDescent="0.25">
      <c r="A152" s="75">
        <v>2361</v>
      </c>
      <c r="B152" s="127" t="s">
        <v>171</v>
      </c>
      <c r="C152" s="279">
        <f t="shared" si="9"/>
        <v>0</v>
      </c>
      <c r="D152" s="134"/>
      <c r="E152" s="283"/>
      <c r="F152" s="279">
        <f t="shared" si="10"/>
        <v>0</v>
      </c>
      <c r="G152" s="134"/>
      <c r="H152" s="135"/>
      <c r="I152" s="136">
        <f t="shared" si="11"/>
        <v>0</v>
      </c>
      <c r="J152" s="134"/>
      <c r="K152" s="135"/>
      <c r="L152" s="136">
        <f t="shared" si="12"/>
        <v>0</v>
      </c>
      <c r="M152" s="284"/>
      <c r="N152" s="285"/>
      <c r="O152" s="136">
        <f t="shared" si="13"/>
        <v>0</v>
      </c>
      <c r="P152" s="85"/>
    </row>
    <row r="153" spans="1:16" ht="24" hidden="1" x14ac:dyDescent="0.25">
      <c r="A153" s="75">
        <v>2362</v>
      </c>
      <c r="B153" s="127" t="s">
        <v>172</v>
      </c>
      <c r="C153" s="279">
        <f t="shared" si="9"/>
        <v>0</v>
      </c>
      <c r="D153" s="134"/>
      <c r="E153" s="283"/>
      <c r="F153" s="279">
        <f t="shared" si="10"/>
        <v>0</v>
      </c>
      <c r="G153" s="134"/>
      <c r="H153" s="135"/>
      <c r="I153" s="136">
        <f t="shared" si="11"/>
        <v>0</v>
      </c>
      <c r="J153" s="134"/>
      <c r="K153" s="135"/>
      <c r="L153" s="136">
        <f t="shared" si="12"/>
        <v>0</v>
      </c>
      <c r="M153" s="284"/>
      <c r="N153" s="285"/>
      <c r="O153" s="136">
        <f t="shared" si="13"/>
        <v>0</v>
      </c>
      <c r="P153" s="85"/>
    </row>
    <row r="154" spans="1:16" hidden="1" x14ac:dyDescent="0.25">
      <c r="A154" s="75">
        <v>2363</v>
      </c>
      <c r="B154" s="127" t="s">
        <v>173</v>
      </c>
      <c r="C154" s="279">
        <f t="shared" si="9"/>
        <v>0</v>
      </c>
      <c r="D154" s="134"/>
      <c r="E154" s="283"/>
      <c r="F154" s="279">
        <f t="shared" si="10"/>
        <v>0</v>
      </c>
      <c r="G154" s="134"/>
      <c r="H154" s="135"/>
      <c r="I154" s="136">
        <f t="shared" si="11"/>
        <v>0</v>
      </c>
      <c r="J154" s="134"/>
      <c r="K154" s="135"/>
      <c r="L154" s="136">
        <f t="shared" si="12"/>
        <v>0</v>
      </c>
      <c r="M154" s="284"/>
      <c r="N154" s="285"/>
      <c r="O154" s="136">
        <f t="shared" si="13"/>
        <v>0</v>
      </c>
      <c r="P154" s="85"/>
    </row>
    <row r="155" spans="1:16" hidden="1" x14ac:dyDescent="0.25">
      <c r="A155" s="75">
        <v>2364</v>
      </c>
      <c r="B155" s="127" t="s">
        <v>174</v>
      </c>
      <c r="C155" s="279">
        <f t="shared" si="9"/>
        <v>0</v>
      </c>
      <c r="D155" s="134"/>
      <c r="E155" s="283"/>
      <c r="F155" s="279">
        <f t="shared" si="10"/>
        <v>0</v>
      </c>
      <c r="G155" s="134"/>
      <c r="H155" s="135"/>
      <c r="I155" s="136">
        <f t="shared" si="11"/>
        <v>0</v>
      </c>
      <c r="J155" s="134"/>
      <c r="K155" s="135"/>
      <c r="L155" s="136">
        <f t="shared" si="12"/>
        <v>0</v>
      </c>
      <c r="M155" s="284"/>
      <c r="N155" s="285"/>
      <c r="O155" s="136">
        <f t="shared" si="13"/>
        <v>0</v>
      </c>
      <c r="P155" s="85"/>
    </row>
    <row r="156" spans="1:16" hidden="1" x14ac:dyDescent="0.25">
      <c r="A156" s="75">
        <v>2365</v>
      </c>
      <c r="B156" s="127" t="s">
        <v>175</v>
      </c>
      <c r="C156" s="279">
        <f t="shared" si="9"/>
        <v>0</v>
      </c>
      <c r="D156" s="134"/>
      <c r="E156" s="283"/>
      <c r="F156" s="279">
        <f t="shared" si="10"/>
        <v>0</v>
      </c>
      <c r="G156" s="134"/>
      <c r="H156" s="135"/>
      <c r="I156" s="136">
        <f t="shared" si="11"/>
        <v>0</v>
      </c>
      <c r="J156" s="134"/>
      <c r="K156" s="135"/>
      <c r="L156" s="136">
        <f t="shared" si="12"/>
        <v>0</v>
      </c>
      <c r="M156" s="284"/>
      <c r="N156" s="285"/>
      <c r="O156" s="136">
        <f t="shared" si="13"/>
        <v>0</v>
      </c>
      <c r="P156" s="85"/>
    </row>
    <row r="157" spans="1:16" ht="36" hidden="1" x14ac:dyDescent="0.25">
      <c r="A157" s="75">
        <v>2366</v>
      </c>
      <c r="B157" s="127" t="s">
        <v>176</v>
      </c>
      <c r="C157" s="279">
        <f t="shared" si="9"/>
        <v>0</v>
      </c>
      <c r="D157" s="134"/>
      <c r="E157" s="283"/>
      <c r="F157" s="279">
        <f t="shared" si="10"/>
        <v>0</v>
      </c>
      <c r="G157" s="134"/>
      <c r="H157" s="135"/>
      <c r="I157" s="136">
        <f t="shared" si="11"/>
        <v>0</v>
      </c>
      <c r="J157" s="134"/>
      <c r="K157" s="135"/>
      <c r="L157" s="136">
        <f t="shared" si="12"/>
        <v>0</v>
      </c>
      <c r="M157" s="284"/>
      <c r="N157" s="285"/>
      <c r="O157" s="136">
        <f t="shared" si="13"/>
        <v>0</v>
      </c>
      <c r="P157" s="85"/>
    </row>
    <row r="158" spans="1:16" ht="48" hidden="1" x14ac:dyDescent="0.25">
      <c r="A158" s="75">
        <v>2369</v>
      </c>
      <c r="B158" s="127" t="s">
        <v>177</v>
      </c>
      <c r="C158" s="279">
        <f t="shared" si="9"/>
        <v>0</v>
      </c>
      <c r="D158" s="134"/>
      <c r="E158" s="283"/>
      <c r="F158" s="279">
        <f t="shared" si="10"/>
        <v>0</v>
      </c>
      <c r="G158" s="134"/>
      <c r="H158" s="135"/>
      <c r="I158" s="136">
        <f t="shared" si="11"/>
        <v>0</v>
      </c>
      <c r="J158" s="134"/>
      <c r="K158" s="135"/>
      <c r="L158" s="136">
        <f t="shared" si="12"/>
        <v>0</v>
      </c>
      <c r="M158" s="284"/>
      <c r="N158" s="285"/>
      <c r="O158" s="136">
        <f t="shared" si="13"/>
        <v>0</v>
      </c>
      <c r="P158" s="85"/>
    </row>
    <row r="159" spans="1:16" hidden="1" x14ac:dyDescent="0.25">
      <c r="A159" s="254">
        <v>2370</v>
      </c>
      <c r="B159" s="179" t="s">
        <v>178</v>
      </c>
      <c r="C159" s="279">
        <f t="shared" si="9"/>
        <v>0</v>
      </c>
      <c r="D159" s="287"/>
      <c r="E159" s="288"/>
      <c r="F159" s="257">
        <f t="shared" si="10"/>
        <v>0</v>
      </c>
      <c r="G159" s="287"/>
      <c r="H159" s="289"/>
      <c r="I159" s="259">
        <f t="shared" si="11"/>
        <v>0</v>
      </c>
      <c r="J159" s="287"/>
      <c r="K159" s="289"/>
      <c r="L159" s="259">
        <f t="shared" si="12"/>
        <v>0</v>
      </c>
      <c r="M159" s="290"/>
      <c r="N159" s="291"/>
      <c r="O159" s="259">
        <f t="shared" si="13"/>
        <v>0</v>
      </c>
      <c r="P159" s="189"/>
    </row>
    <row r="160" spans="1:16" hidden="1" x14ac:dyDescent="0.25">
      <c r="A160" s="254">
        <v>2380</v>
      </c>
      <c r="B160" s="179" t="s">
        <v>179</v>
      </c>
      <c r="C160" s="279">
        <f t="shared" si="9"/>
        <v>0</v>
      </c>
      <c r="D160" s="255">
        <f>SUM(D161:D162)</f>
        <v>0</v>
      </c>
      <c r="E160" s="256">
        <f>SUM(E161:E162)</f>
        <v>0</v>
      </c>
      <c r="F160" s="257">
        <f t="shared" si="10"/>
        <v>0</v>
      </c>
      <c r="G160" s="255">
        <f>SUM(G161:G162)</f>
        <v>0</v>
      </c>
      <c r="H160" s="258">
        <f>SUM(H161:H162)</f>
        <v>0</v>
      </c>
      <c r="I160" s="259">
        <f t="shared" si="11"/>
        <v>0</v>
      </c>
      <c r="J160" s="255">
        <f>SUM(J161:J162)</f>
        <v>0</v>
      </c>
      <c r="K160" s="258">
        <f>SUM(K161:K162)</f>
        <v>0</v>
      </c>
      <c r="L160" s="259">
        <f t="shared" si="12"/>
        <v>0</v>
      </c>
      <c r="M160" s="260">
        <f>SUM(M161:M162)</f>
        <v>0</v>
      </c>
      <c r="N160" s="261">
        <f>SUM(N161:N162)</f>
        <v>0</v>
      </c>
      <c r="O160" s="259">
        <f t="shared" si="13"/>
        <v>0</v>
      </c>
      <c r="P160" s="189"/>
    </row>
    <row r="161" spans="1:16" hidden="1" x14ac:dyDescent="0.25">
      <c r="A161" s="65">
        <v>2381</v>
      </c>
      <c r="B161" s="116" t="s">
        <v>180</v>
      </c>
      <c r="C161" s="279">
        <f t="shared" si="9"/>
        <v>0</v>
      </c>
      <c r="D161" s="123"/>
      <c r="E161" s="295"/>
      <c r="F161" s="296">
        <f t="shared" si="10"/>
        <v>0</v>
      </c>
      <c r="G161" s="123"/>
      <c r="H161" s="124"/>
      <c r="I161" s="125">
        <f t="shared" si="11"/>
        <v>0</v>
      </c>
      <c r="J161" s="123"/>
      <c r="K161" s="124"/>
      <c r="L161" s="125">
        <f t="shared" si="12"/>
        <v>0</v>
      </c>
      <c r="M161" s="264"/>
      <c r="N161" s="262"/>
      <c r="O161" s="125">
        <f t="shared" si="13"/>
        <v>0</v>
      </c>
      <c r="P161" s="74"/>
    </row>
    <row r="162" spans="1:16" ht="24" hidden="1" x14ac:dyDescent="0.25">
      <c r="A162" s="75">
        <v>2389</v>
      </c>
      <c r="B162" s="127" t="s">
        <v>181</v>
      </c>
      <c r="C162" s="279">
        <f t="shared" si="9"/>
        <v>0</v>
      </c>
      <c r="D162" s="134"/>
      <c r="E162" s="283"/>
      <c r="F162" s="279">
        <f t="shared" si="10"/>
        <v>0</v>
      </c>
      <c r="G162" s="134"/>
      <c r="H162" s="135"/>
      <c r="I162" s="136">
        <f t="shared" si="11"/>
        <v>0</v>
      </c>
      <c r="J162" s="134"/>
      <c r="K162" s="135"/>
      <c r="L162" s="136">
        <f t="shared" si="12"/>
        <v>0</v>
      </c>
      <c r="M162" s="284"/>
      <c r="N162" s="285"/>
      <c r="O162" s="136">
        <f t="shared" si="13"/>
        <v>0</v>
      </c>
      <c r="P162" s="85"/>
    </row>
    <row r="163" spans="1:16" hidden="1" x14ac:dyDescent="0.25">
      <c r="A163" s="254">
        <v>2390</v>
      </c>
      <c r="B163" s="179" t="s">
        <v>182</v>
      </c>
      <c r="C163" s="279">
        <f t="shared" si="9"/>
        <v>0</v>
      </c>
      <c r="D163" s="287"/>
      <c r="E163" s="288"/>
      <c r="F163" s="257">
        <f t="shared" si="10"/>
        <v>0</v>
      </c>
      <c r="G163" s="287"/>
      <c r="H163" s="289"/>
      <c r="I163" s="259">
        <f t="shared" si="11"/>
        <v>0</v>
      </c>
      <c r="J163" s="287"/>
      <c r="K163" s="289"/>
      <c r="L163" s="259">
        <f t="shared" si="12"/>
        <v>0</v>
      </c>
      <c r="M163" s="290"/>
      <c r="N163" s="291"/>
      <c r="O163" s="259">
        <f t="shared" si="13"/>
        <v>0</v>
      </c>
      <c r="P163" s="189"/>
    </row>
    <row r="164" spans="1:16" hidden="1" x14ac:dyDescent="0.25">
      <c r="A164" s="99">
        <v>2400</v>
      </c>
      <c r="B164" s="247" t="s">
        <v>183</v>
      </c>
      <c r="C164" s="249">
        <f t="shared" si="9"/>
        <v>0</v>
      </c>
      <c r="D164" s="311"/>
      <c r="E164" s="712"/>
      <c r="F164" s="249">
        <f t="shared" si="10"/>
        <v>0</v>
      </c>
      <c r="G164" s="311"/>
      <c r="H164" s="314"/>
      <c r="I164" s="114">
        <f t="shared" si="11"/>
        <v>0</v>
      </c>
      <c r="J164" s="311"/>
      <c r="K164" s="314"/>
      <c r="L164" s="114">
        <f t="shared" si="12"/>
        <v>0</v>
      </c>
      <c r="M164" s="315"/>
      <c r="N164" s="312"/>
      <c r="O164" s="114">
        <f t="shared" si="13"/>
        <v>0</v>
      </c>
      <c r="P164" s="109"/>
    </row>
    <row r="165" spans="1:16" ht="24" hidden="1" x14ac:dyDescent="0.25">
      <c r="A165" s="99">
        <v>2500</v>
      </c>
      <c r="B165" s="247" t="s">
        <v>184</v>
      </c>
      <c r="C165" s="249">
        <f t="shared" si="9"/>
        <v>0</v>
      </c>
      <c r="D165" s="112">
        <f>SUM(D166,D171)</f>
        <v>0</v>
      </c>
      <c r="E165" s="248">
        <f>SUM(E166,E171)</f>
        <v>0</v>
      </c>
      <c r="F165" s="249">
        <f t="shared" si="10"/>
        <v>0</v>
      </c>
      <c r="G165" s="112">
        <f>SUM(G166,G171)</f>
        <v>0</v>
      </c>
      <c r="H165" s="113">
        <f t="shared" ref="H165" si="17">SUM(H166,H171)</f>
        <v>0</v>
      </c>
      <c r="I165" s="114">
        <f t="shared" si="11"/>
        <v>0</v>
      </c>
      <c r="J165" s="112">
        <f>SUM(J166,J171)</f>
        <v>0</v>
      </c>
      <c r="K165" s="113">
        <f t="shared" ref="K165" si="18">SUM(K166,K171)</f>
        <v>0</v>
      </c>
      <c r="L165" s="114">
        <f t="shared" si="12"/>
        <v>0</v>
      </c>
      <c r="M165" s="250">
        <f t="shared" ref="M165:N165" si="19">SUM(M166,M171)</f>
        <v>0</v>
      </c>
      <c r="N165" s="251">
        <f t="shared" si="19"/>
        <v>0</v>
      </c>
      <c r="O165" s="252">
        <f t="shared" si="13"/>
        <v>0</v>
      </c>
      <c r="P165" s="253"/>
    </row>
    <row r="166" spans="1:16" hidden="1" x14ac:dyDescent="0.25">
      <c r="A166" s="656">
        <v>2510</v>
      </c>
      <c r="B166" s="116" t="s">
        <v>185</v>
      </c>
      <c r="C166" s="296">
        <f t="shared" si="9"/>
        <v>0</v>
      </c>
      <c r="D166" s="297">
        <f>SUM(D167:D170)</f>
        <v>0</v>
      </c>
      <c r="E166" s="298">
        <f>SUM(E167:E170)</f>
        <v>0</v>
      </c>
      <c r="F166" s="296">
        <f t="shared" si="10"/>
        <v>0</v>
      </c>
      <c r="G166" s="297">
        <f>SUM(G167:G170)</f>
        <v>0</v>
      </c>
      <c r="H166" s="299">
        <f t="shared" ref="H166" si="20">SUM(H167:H170)</f>
        <v>0</v>
      </c>
      <c r="I166" s="125">
        <f t="shared" si="11"/>
        <v>0</v>
      </c>
      <c r="J166" s="297">
        <f>SUM(J167:J170)</f>
        <v>0</v>
      </c>
      <c r="K166" s="299">
        <f t="shared" ref="K166" si="21">SUM(K167:K170)</f>
        <v>0</v>
      </c>
      <c r="L166" s="125">
        <f t="shared" si="12"/>
        <v>0</v>
      </c>
      <c r="M166" s="317">
        <f t="shared" ref="M166:N166" si="22">SUM(M167:M170)</f>
        <v>0</v>
      </c>
      <c r="N166" s="318">
        <f t="shared" si="22"/>
        <v>0</v>
      </c>
      <c r="O166" s="151">
        <f t="shared" si="13"/>
        <v>0</v>
      </c>
      <c r="P166" s="153"/>
    </row>
    <row r="167" spans="1:16" ht="24" hidden="1" x14ac:dyDescent="0.25">
      <c r="A167" s="76">
        <v>2512</v>
      </c>
      <c r="B167" s="127" t="s">
        <v>186</v>
      </c>
      <c r="C167" s="279">
        <f t="shared" si="9"/>
        <v>0</v>
      </c>
      <c r="D167" s="134"/>
      <c r="E167" s="283"/>
      <c r="F167" s="279">
        <f t="shared" si="10"/>
        <v>0</v>
      </c>
      <c r="G167" s="134"/>
      <c r="H167" s="135"/>
      <c r="I167" s="136">
        <f t="shared" si="11"/>
        <v>0</v>
      </c>
      <c r="J167" s="134"/>
      <c r="K167" s="135"/>
      <c r="L167" s="136">
        <f t="shared" si="12"/>
        <v>0</v>
      </c>
      <c r="M167" s="284"/>
      <c r="N167" s="285"/>
      <c r="O167" s="136">
        <f t="shared" si="13"/>
        <v>0</v>
      </c>
      <c r="P167" s="85"/>
    </row>
    <row r="168" spans="1:16" ht="36" hidden="1" x14ac:dyDescent="0.25">
      <c r="A168" s="76">
        <v>2513</v>
      </c>
      <c r="B168" s="127" t="s">
        <v>187</v>
      </c>
      <c r="C168" s="279">
        <f t="shared" si="9"/>
        <v>0</v>
      </c>
      <c r="D168" s="134"/>
      <c r="E168" s="283"/>
      <c r="F168" s="279">
        <f t="shared" si="10"/>
        <v>0</v>
      </c>
      <c r="G168" s="134"/>
      <c r="H168" s="135"/>
      <c r="I168" s="136">
        <f t="shared" si="11"/>
        <v>0</v>
      </c>
      <c r="J168" s="134"/>
      <c r="K168" s="135"/>
      <c r="L168" s="136">
        <f t="shared" si="12"/>
        <v>0</v>
      </c>
      <c r="M168" s="284"/>
      <c r="N168" s="285"/>
      <c r="O168" s="136">
        <f t="shared" si="13"/>
        <v>0</v>
      </c>
      <c r="P168" s="85"/>
    </row>
    <row r="169" spans="1:16" ht="24" hidden="1" x14ac:dyDescent="0.25">
      <c r="A169" s="76">
        <v>2515</v>
      </c>
      <c r="B169" s="127" t="s">
        <v>188</v>
      </c>
      <c r="C169" s="279">
        <f t="shared" si="9"/>
        <v>0</v>
      </c>
      <c r="D169" s="134"/>
      <c r="E169" s="283"/>
      <c r="F169" s="279">
        <f t="shared" si="10"/>
        <v>0</v>
      </c>
      <c r="G169" s="134"/>
      <c r="H169" s="135"/>
      <c r="I169" s="136">
        <f t="shared" si="11"/>
        <v>0</v>
      </c>
      <c r="J169" s="134"/>
      <c r="K169" s="135"/>
      <c r="L169" s="136">
        <f t="shared" si="12"/>
        <v>0</v>
      </c>
      <c r="M169" s="284"/>
      <c r="N169" s="285"/>
      <c r="O169" s="136">
        <f t="shared" si="13"/>
        <v>0</v>
      </c>
      <c r="P169" s="85"/>
    </row>
    <row r="170" spans="1:16" ht="24" hidden="1" x14ac:dyDescent="0.25">
      <c r="A170" s="76">
        <v>2519</v>
      </c>
      <c r="B170" s="127" t="s">
        <v>189</v>
      </c>
      <c r="C170" s="279">
        <f t="shared" si="9"/>
        <v>0</v>
      </c>
      <c r="D170" s="134"/>
      <c r="E170" s="283"/>
      <c r="F170" s="279">
        <f t="shared" si="10"/>
        <v>0</v>
      </c>
      <c r="G170" s="134"/>
      <c r="H170" s="135"/>
      <c r="I170" s="136">
        <f t="shared" si="11"/>
        <v>0</v>
      </c>
      <c r="J170" s="134"/>
      <c r="K170" s="135"/>
      <c r="L170" s="136">
        <f t="shared" si="12"/>
        <v>0</v>
      </c>
      <c r="M170" s="284"/>
      <c r="N170" s="285"/>
      <c r="O170" s="136">
        <f t="shared" si="13"/>
        <v>0</v>
      </c>
      <c r="P170" s="85"/>
    </row>
    <row r="171" spans="1:16" ht="24" hidden="1" x14ac:dyDescent="0.25">
      <c r="A171" s="276">
        <v>2520</v>
      </c>
      <c r="B171" s="127" t="s">
        <v>190</v>
      </c>
      <c r="C171" s="279">
        <f t="shared" si="9"/>
        <v>0</v>
      </c>
      <c r="D171" s="134"/>
      <c r="E171" s="283"/>
      <c r="F171" s="279">
        <f t="shared" si="10"/>
        <v>0</v>
      </c>
      <c r="G171" s="134"/>
      <c r="H171" s="135"/>
      <c r="I171" s="136">
        <f t="shared" si="11"/>
        <v>0</v>
      </c>
      <c r="J171" s="134"/>
      <c r="K171" s="135"/>
      <c r="L171" s="136">
        <f t="shared" si="12"/>
        <v>0</v>
      </c>
      <c r="M171" s="284"/>
      <c r="N171" s="285"/>
      <c r="O171" s="136">
        <f t="shared" si="13"/>
        <v>0</v>
      </c>
      <c r="P171" s="85"/>
    </row>
    <row r="172" spans="1:16" s="319" customFormat="1" ht="48" hidden="1" x14ac:dyDescent="0.25">
      <c r="A172" s="31">
        <v>2800</v>
      </c>
      <c r="B172" s="116" t="s">
        <v>191</v>
      </c>
      <c r="C172" s="296">
        <f t="shared" si="9"/>
        <v>0</v>
      </c>
      <c r="D172" s="68"/>
      <c r="E172" s="673"/>
      <c r="F172" s="625">
        <f t="shared" si="10"/>
        <v>0</v>
      </c>
      <c r="G172" s="68"/>
      <c r="H172" s="71"/>
      <c r="I172" s="72">
        <f t="shared" si="11"/>
        <v>0</v>
      </c>
      <c r="J172" s="68"/>
      <c r="K172" s="71"/>
      <c r="L172" s="72">
        <f t="shared" si="12"/>
        <v>0</v>
      </c>
      <c r="M172" s="73"/>
      <c r="N172" s="69"/>
      <c r="O172" s="72">
        <f t="shared" si="13"/>
        <v>0</v>
      </c>
      <c r="P172" s="74"/>
    </row>
    <row r="173" spans="1:16" hidden="1" x14ac:dyDescent="0.25">
      <c r="A173" s="237">
        <v>3000</v>
      </c>
      <c r="B173" s="237" t="s">
        <v>192</v>
      </c>
      <c r="C173" s="241">
        <f t="shared" si="9"/>
        <v>0</v>
      </c>
      <c r="D173" s="239">
        <f>SUM(D174,D184)</f>
        <v>0</v>
      </c>
      <c r="E173" s="240">
        <f>SUM(E174,E184)</f>
        <v>0</v>
      </c>
      <c r="F173" s="241">
        <f t="shared" si="10"/>
        <v>0</v>
      </c>
      <c r="G173" s="239">
        <f>SUM(G174,G184)</f>
        <v>0</v>
      </c>
      <c r="H173" s="242">
        <f>SUM(H174,H184)</f>
        <v>0</v>
      </c>
      <c r="I173" s="243">
        <f t="shared" si="11"/>
        <v>0</v>
      </c>
      <c r="J173" s="239">
        <f>SUM(J174,J184)</f>
        <v>0</v>
      </c>
      <c r="K173" s="242">
        <f>SUM(K174,K184)</f>
        <v>0</v>
      </c>
      <c r="L173" s="243">
        <f t="shared" si="12"/>
        <v>0</v>
      </c>
      <c r="M173" s="244">
        <f>SUM(M174,M184)</f>
        <v>0</v>
      </c>
      <c r="N173" s="245">
        <f>SUM(N174,N184)</f>
        <v>0</v>
      </c>
      <c r="O173" s="243">
        <f t="shared" si="13"/>
        <v>0</v>
      </c>
      <c r="P173" s="246"/>
    </row>
    <row r="174" spans="1:16" ht="24" hidden="1" x14ac:dyDescent="0.25">
      <c r="A174" s="99">
        <v>3200</v>
      </c>
      <c r="B174" s="321" t="s">
        <v>193</v>
      </c>
      <c r="C174" s="249">
        <f t="shared" si="9"/>
        <v>0</v>
      </c>
      <c r="D174" s="112">
        <f>SUM(D175,D179)</f>
        <v>0</v>
      </c>
      <c r="E174" s="248">
        <f>SUM(E175,E179)</f>
        <v>0</v>
      </c>
      <c r="F174" s="249">
        <f t="shared" si="10"/>
        <v>0</v>
      </c>
      <c r="G174" s="112">
        <f>SUM(G175,G179)</f>
        <v>0</v>
      </c>
      <c r="H174" s="113">
        <f t="shared" ref="H174" si="23">SUM(H175,H179)</f>
        <v>0</v>
      </c>
      <c r="I174" s="114">
        <f t="shared" si="11"/>
        <v>0</v>
      </c>
      <c r="J174" s="112">
        <f>SUM(J175,J179)</f>
        <v>0</v>
      </c>
      <c r="K174" s="113">
        <f t="shared" ref="K174" si="24">SUM(K175,K179)</f>
        <v>0</v>
      </c>
      <c r="L174" s="114">
        <f t="shared" si="12"/>
        <v>0</v>
      </c>
      <c r="M174" s="250">
        <f t="shared" ref="M174:N174" si="25">SUM(M175,M179)</f>
        <v>0</v>
      </c>
      <c r="N174" s="251">
        <f t="shared" si="25"/>
        <v>0</v>
      </c>
      <c r="O174" s="252">
        <f t="shared" si="13"/>
        <v>0</v>
      </c>
      <c r="P174" s="253"/>
    </row>
    <row r="175" spans="1:16" ht="36" hidden="1" x14ac:dyDescent="0.25">
      <c r="A175" s="656">
        <v>3260</v>
      </c>
      <c r="B175" s="116" t="s">
        <v>194</v>
      </c>
      <c r="C175" s="296">
        <f t="shared" si="9"/>
        <v>0</v>
      </c>
      <c r="D175" s="297">
        <f>SUM(D176:D178)</f>
        <v>0</v>
      </c>
      <c r="E175" s="298">
        <f>SUM(E176:E178)</f>
        <v>0</v>
      </c>
      <c r="F175" s="296">
        <f t="shared" si="10"/>
        <v>0</v>
      </c>
      <c r="G175" s="297">
        <f>SUM(G176:G178)</f>
        <v>0</v>
      </c>
      <c r="H175" s="299">
        <f>SUM(H176:H178)</f>
        <v>0</v>
      </c>
      <c r="I175" s="125">
        <f t="shared" si="11"/>
        <v>0</v>
      </c>
      <c r="J175" s="297">
        <f>SUM(J176:J178)</f>
        <v>0</v>
      </c>
      <c r="K175" s="299">
        <f>SUM(K176:K178)</f>
        <v>0</v>
      </c>
      <c r="L175" s="125">
        <f t="shared" si="12"/>
        <v>0</v>
      </c>
      <c r="M175" s="300">
        <f>SUM(M176:M178)</f>
        <v>0</v>
      </c>
      <c r="N175" s="301">
        <f>SUM(N176:N178)</f>
        <v>0</v>
      </c>
      <c r="O175" s="125">
        <f t="shared" si="13"/>
        <v>0</v>
      </c>
      <c r="P175" s="74"/>
    </row>
    <row r="176" spans="1:16" ht="24" hidden="1" x14ac:dyDescent="0.25">
      <c r="A176" s="76">
        <v>3261</v>
      </c>
      <c r="B176" s="127" t="s">
        <v>195</v>
      </c>
      <c r="C176" s="279">
        <f t="shared" si="9"/>
        <v>0</v>
      </c>
      <c r="D176" s="134">
        <v>0</v>
      </c>
      <c r="E176" s="283"/>
      <c r="F176" s="279">
        <f t="shared" si="10"/>
        <v>0</v>
      </c>
      <c r="G176" s="134"/>
      <c r="H176" s="135"/>
      <c r="I176" s="136">
        <f t="shared" si="11"/>
        <v>0</v>
      </c>
      <c r="J176" s="134"/>
      <c r="K176" s="135"/>
      <c r="L176" s="136">
        <f t="shared" si="12"/>
        <v>0</v>
      </c>
      <c r="M176" s="284"/>
      <c r="N176" s="285"/>
      <c r="O176" s="136">
        <f t="shared" si="13"/>
        <v>0</v>
      </c>
      <c r="P176" s="85"/>
    </row>
    <row r="177" spans="1:16" ht="36" hidden="1" x14ac:dyDescent="0.25">
      <c r="A177" s="76">
        <v>3262</v>
      </c>
      <c r="B177" s="127" t="s">
        <v>196</v>
      </c>
      <c r="C177" s="279">
        <f t="shared" si="9"/>
        <v>0</v>
      </c>
      <c r="D177" s="134"/>
      <c r="E177" s="283"/>
      <c r="F177" s="279">
        <f t="shared" si="10"/>
        <v>0</v>
      </c>
      <c r="G177" s="134"/>
      <c r="H177" s="135"/>
      <c r="I177" s="136">
        <f t="shared" si="11"/>
        <v>0</v>
      </c>
      <c r="J177" s="134"/>
      <c r="K177" s="135"/>
      <c r="L177" s="136">
        <f t="shared" si="12"/>
        <v>0</v>
      </c>
      <c r="M177" s="284"/>
      <c r="N177" s="285"/>
      <c r="O177" s="136">
        <f t="shared" si="13"/>
        <v>0</v>
      </c>
      <c r="P177" s="85"/>
    </row>
    <row r="178" spans="1:16" ht="24" hidden="1" x14ac:dyDescent="0.25">
      <c r="A178" s="76">
        <v>3263</v>
      </c>
      <c r="B178" s="127" t="s">
        <v>197</v>
      </c>
      <c r="C178" s="279">
        <f t="shared" si="9"/>
        <v>0</v>
      </c>
      <c r="D178" s="134"/>
      <c r="E178" s="283"/>
      <c r="F178" s="279">
        <f t="shared" si="10"/>
        <v>0</v>
      </c>
      <c r="G178" s="134"/>
      <c r="H178" s="135"/>
      <c r="I178" s="136">
        <f t="shared" si="11"/>
        <v>0</v>
      </c>
      <c r="J178" s="134"/>
      <c r="K178" s="135"/>
      <c r="L178" s="136">
        <f t="shared" si="12"/>
        <v>0</v>
      </c>
      <c r="M178" s="284"/>
      <c r="N178" s="285"/>
      <c r="O178" s="136">
        <f t="shared" si="13"/>
        <v>0</v>
      </c>
      <c r="P178" s="85"/>
    </row>
    <row r="179" spans="1:16" ht="84" hidden="1" x14ac:dyDescent="0.25">
      <c r="A179" s="656">
        <v>3290</v>
      </c>
      <c r="B179" s="116" t="s">
        <v>198</v>
      </c>
      <c r="C179" s="279">
        <f t="shared" ref="C179:C255" si="26">F179+I179+L179+O179</f>
        <v>0</v>
      </c>
      <c r="D179" s="297">
        <f>SUM(D180:D183)</f>
        <v>0</v>
      </c>
      <c r="E179" s="298">
        <f>SUM(E180:E183)</f>
        <v>0</v>
      </c>
      <c r="F179" s="296">
        <f t="shared" si="10"/>
        <v>0</v>
      </c>
      <c r="G179" s="297">
        <f>SUM(G180:G183)</f>
        <v>0</v>
      </c>
      <c r="H179" s="299">
        <f t="shared" ref="H179" si="27">SUM(H180:H183)</f>
        <v>0</v>
      </c>
      <c r="I179" s="125">
        <f t="shared" si="11"/>
        <v>0</v>
      </c>
      <c r="J179" s="297">
        <f>SUM(J180:J183)</f>
        <v>0</v>
      </c>
      <c r="K179" s="299">
        <f t="shared" ref="K179" si="28">SUM(K180:K183)</f>
        <v>0</v>
      </c>
      <c r="L179" s="125">
        <f t="shared" si="12"/>
        <v>0</v>
      </c>
      <c r="M179" s="322">
        <f t="shared" ref="M179:N179" si="29">SUM(M180:M183)</f>
        <v>0</v>
      </c>
      <c r="N179" s="323">
        <f t="shared" si="29"/>
        <v>0</v>
      </c>
      <c r="O179" s="324">
        <f t="shared" si="13"/>
        <v>0</v>
      </c>
      <c r="P179" s="325"/>
    </row>
    <row r="180" spans="1:16" ht="72" hidden="1" x14ac:dyDescent="0.25">
      <c r="A180" s="76">
        <v>3291</v>
      </c>
      <c r="B180" s="127" t="s">
        <v>199</v>
      </c>
      <c r="C180" s="279">
        <f t="shared" si="26"/>
        <v>0</v>
      </c>
      <c r="D180" s="134"/>
      <c r="E180" s="283"/>
      <c r="F180" s="279">
        <f t="shared" ref="F180:F243" si="30">D180+E180</f>
        <v>0</v>
      </c>
      <c r="G180" s="134"/>
      <c r="H180" s="135"/>
      <c r="I180" s="136">
        <f t="shared" ref="I180:I243" si="31">G180+H180</f>
        <v>0</v>
      </c>
      <c r="J180" s="134"/>
      <c r="K180" s="135"/>
      <c r="L180" s="136">
        <f t="shared" ref="L180:L243" si="32">J180+K180</f>
        <v>0</v>
      </c>
      <c r="M180" s="284"/>
      <c r="N180" s="285"/>
      <c r="O180" s="136">
        <f t="shared" ref="O180:O243" si="33">M180+N180</f>
        <v>0</v>
      </c>
      <c r="P180" s="85"/>
    </row>
    <row r="181" spans="1:16" ht="72" hidden="1" x14ac:dyDescent="0.25">
      <c r="A181" s="76">
        <v>3292</v>
      </c>
      <c r="B181" s="127" t="s">
        <v>200</v>
      </c>
      <c r="C181" s="279">
        <f t="shared" si="26"/>
        <v>0</v>
      </c>
      <c r="D181" s="134"/>
      <c r="E181" s="283"/>
      <c r="F181" s="279">
        <f t="shared" si="30"/>
        <v>0</v>
      </c>
      <c r="G181" s="134"/>
      <c r="H181" s="135"/>
      <c r="I181" s="136">
        <f t="shared" si="31"/>
        <v>0</v>
      </c>
      <c r="J181" s="134"/>
      <c r="K181" s="135"/>
      <c r="L181" s="136">
        <f t="shared" si="32"/>
        <v>0</v>
      </c>
      <c r="M181" s="284"/>
      <c r="N181" s="285"/>
      <c r="O181" s="136">
        <f t="shared" si="33"/>
        <v>0</v>
      </c>
      <c r="P181" s="85"/>
    </row>
    <row r="182" spans="1:16" ht="72" hidden="1" x14ac:dyDescent="0.25">
      <c r="A182" s="76">
        <v>3293</v>
      </c>
      <c r="B182" s="127" t="s">
        <v>201</v>
      </c>
      <c r="C182" s="279">
        <f t="shared" si="26"/>
        <v>0</v>
      </c>
      <c r="D182" s="134"/>
      <c r="E182" s="283"/>
      <c r="F182" s="279">
        <f t="shared" si="30"/>
        <v>0</v>
      </c>
      <c r="G182" s="134"/>
      <c r="H182" s="135"/>
      <c r="I182" s="136">
        <f t="shared" si="31"/>
        <v>0</v>
      </c>
      <c r="J182" s="134"/>
      <c r="K182" s="135"/>
      <c r="L182" s="136">
        <f t="shared" si="32"/>
        <v>0</v>
      </c>
      <c r="M182" s="284"/>
      <c r="N182" s="285"/>
      <c r="O182" s="136">
        <f t="shared" si="33"/>
        <v>0</v>
      </c>
      <c r="P182" s="85"/>
    </row>
    <row r="183" spans="1:16" ht="60" hidden="1" x14ac:dyDescent="0.25">
      <c r="A183" s="326">
        <v>3294</v>
      </c>
      <c r="B183" s="127" t="s">
        <v>202</v>
      </c>
      <c r="C183" s="647">
        <f t="shared" si="26"/>
        <v>0</v>
      </c>
      <c r="D183" s="328"/>
      <c r="E183" s="683"/>
      <c r="F183" s="647">
        <f t="shared" si="30"/>
        <v>0</v>
      </c>
      <c r="G183" s="328"/>
      <c r="H183" s="331"/>
      <c r="I183" s="324">
        <f t="shared" si="31"/>
        <v>0</v>
      </c>
      <c r="J183" s="328"/>
      <c r="K183" s="331"/>
      <c r="L183" s="324">
        <f t="shared" si="32"/>
        <v>0</v>
      </c>
      <c r="M183" s="332"/>
      <c r="N183" s="329"/>
      <c r="O183" s="324">
        <f t="shared" si="33"/>
        <v>0</v>
      </c>
      <c r="P183" s="325"/>
    </row>
    <row r="184" spans="1:16" ht="48" hidden="1" x14ac:dyDescent="0.25">
      <c r="A184" s="160">
        <v>3300</v>
      </c>
      <c r="B184" s="321" t="s">
        <v>203</v>
      </c>
      <c r="C184" s="648">
        <f t="shared" si="26"/>
        <v>0</v>
      </c>
      <c r="D184" s="334">
        <f>SUM(D185:D186)</f>
        <v>0</v>
      </c>
      <c r="E184" s="684">
        <f>SUM(E185:E186)</f>
        <v>0</v>
      </c>
      <c r="F184" s="648">
        <f t="shared" si="30"/>
        <v>0</v>
      </c>
      <c r="G184" s="334">
        <f>SUM(G185:G186)</f>
        <v>0</v>
      </c>
      <c r="H184" s="336">
        <f t="shared" ref="H184" si="34">SUM(H185:H186)</f>
        <v>0</v>
      </c>
      <c r="I184" s="252">
        <f t="shared" si="31"/>
        <v>0</v>
      </c>
      <c r="J184" s="334">
        <f>SUM(J185:J186)</f>
        <v>0</v>
      </c>
      <c r="K184" s="336">
        <f t="shared" ref="K184" si="35">SUM(K185:K186)</f>
        <v>0</v>
      </c>
      <c r="L184" s="252">
        <f t="shared" si="32"/>
        <v>0</v>
      </c>
      <c r="M184" s="250">
        <f t="shared" ref="M184:N184" si="36">SUM(M185:M186)</f>
        <v>0</v>
      </c>
      <c r="N184" s="251">
        <f t="shared" si="36"/>
        <v>0</v>
      </c>
      <c r="O184" s="252">
        <f t="shared" si="33"/>
        <v>0</v>
      </c>
      <c r="P184" s="253"/>
    </row>
    <row r="185" spans="1:16" ht="48" hidden="1" x14ac:dyDescent="0.25">
      <c r="A185" s="178">
        <v>3310</v>
      </c>
      <c r="B185" s="179" t="s">
        <v>204</v>
      </c>
      <c r="C185" s="257">
        <f t="shared" si="26"/>
        <v>0</v>
      </c>
      <c r="D185" s="287"/>
      <c r="E185" s="288"/>
      <c r="F185" s="257">
        <f t="shared" si="30"/>
        <v>0</v>
      </c>
      <c r="G185" s="287"/>
      <c r="H185" s="289"/>
      <c r="I185" s="259">
        <f t="shared" si="31"/>
        <v>0</v>
      </c>
      <c r="J185" s="287"/>
      <c r="K185" s="289"/>
      <c r="L185" s="259">
        <f t="shared" si="32"/>
        <v>0</v>
      </c>
      <c r="M185" s="290"/>
      <c r="N185" s="291"/>
      <c r="O185" s="259">
        <f t="shared" si="33"/>
        <v>0</v>
      </c>
      <c r="P185" s="189"/>
    </row>
    <row r="186" spans="1:16" ht="60" hidden="1" x14ac:dyDescent="0.25">
      <c r="A186" s="66">
        <v>3320</v>
      </c>
      <c r="B186" s="116" t="s">
        <v>205</v>
      </c>
      <c r="C186" s="296">
        <f t="shared" si="26"/>
        <v>0</v>
      </c>
      <c r="D186" s="123"/>
      <c r="E186" s="295"/>
      <c r="F186" s="296">
        <f t="shared" si="30"/>
        <v>0</v>
      </c>
      <c r="G186" s="123"/>
      <c r="H186" s="124"/>
      <c r="I186" s="125">
        <f t="shared" si="31"/>
        <v>0</v>
      </c>
      <c r="J186" s="123"/>
      <c r="K186" s="124"/>
      <c r="L186" s="125">
        <f t="shared" si="32"/>
        <v>0</v>
      </c>
      <c r="M186" s="264"/>
      <c r="N186" s="262"/>
      <c r="O186" s="125">
        <f t="shared" si="33"/>
        <v>0</v>
      </c>
      <c r="P186" s="74"/>
    </row>
    <row r="187" spans="1:16" hidden="1" x14ac:dyDescent="0.25">
      <c r="A187" s="337">
        <v>4000</v>
      </c>
      <c r="B187" s="237" t="s">
        <v>206</v>
      </c>
      <c r="C187" s="241">
        <f t="shared" si="26"/>
        <v>0</v>
      </c>
      <c r="D187" s="239">
        <f>SUM(D188,D191)</f>
        <v>0</v>
      </c>
      <c r="E187" s="240">
        <f>SUM(E188,E191)</f>
        <v>0</v>
      </c>
      <c r="F187" s="241">
        <f t="shared" si="30"/>
        <v>0</v>
      </c>
      <c r="G187" s="239">
        <f>SUM(G188,G191)</f>
        <v>0</v>
      </c>
      <c r="H187" s="242">
        <f>SUM(H188,H191)</f>
        <v>0</v>
      </c>
      <c r="I187" s="243">
        <f t="shared" si="31"/>
        <v>0</v>
      </c>
      <c r="J187" s="239">
        <f>SUM(J188,J191)</f>
        <v>0</v>
      </c>
      <c r="K187" s="242">
        <f>SUM(K188,K191)</f>
        <v>0</v>
      </c>
      <c r="L187" s="243">
        <f t="shared" si="32"/>
        <v>0</v>
      </c>
      <c r="M187" s="244">
        <f>SUM(M188,M191)</f>
        <v>0</v>
      </c>
      <c r="N187" s="245">
        <f>SUM(N188,N191)</f>
        <v>0</v>
      </c>
      <c r="O187" s="243">
        <f t="shared" si="33"/>
        <v>0</v>
      </c>
      <c r="P187" s="246"/>
    </row>
    <row r="188" spans="1:16" ht="24" hidden="1" x14ac:dyDescent="0.25">
      <c r="A188" s="338">
        <v>4200</v>
      </c>
      <c r="B188" s="247" t="s">
        <v>207</v>
      </c>
      <c r="C188" s="249">
        <f t="shared" si="26"/>
        <v>0</v>
      </c>
      <c r="D188" s="112">
        <f>SUM(D189,D190)</f>
        <v>0</v>
      </c>
      <c r="E188" s="248">
        <f>SUM(E189,E190)</f>
        <v>0</v>
      </c>
      <c r="F188" s="249">
        <f t="shared" si="30"/>
        <v>0</v>
      </c>
      <c r="G188" s="112">
        <f>SUM(G189,G190)</f>
        <v>0</v>
      </c>
      <c r="H188" s="113">
        <f>SUM(H189,H190)</f>
        <v>0</v>
      </c>
      <c r="I188" s="114">
        <f t="shared" si="31"/>
        <v>0</v>
      </c>
      <c r="J188" s="112">
        <f>SUM(J189,J190)</f>
        <v>0</v>
      </c>
      <c r="K188" s="113">
        <f>SUM(K189,K190)</f>
        <v>0</v>
      </c>
      <c r="L188" s="114">
        <f t="shared" si="32"/>
        <v>0</v>
      </c>
      <c r="M188" s="292">
        <f>SUM(M189,M190)</f>
        <v>0</v>
      </c>
      <c r="N188" s="293">
        <f>SUM(N189,N190)</f>
        <v>0</v>
      </c>
      <c r="O188" s="114">
        <f t="shared" si="33"/>
        <v>0</v>
      </c>
      <c r="P188" s="109"/>
    </row>
    <row r="189" spans="1:16" ht="36" hidden="1" x14ac:dyDescent="0.25">
      <c r="A189" s="656">
        <v>4240</v>
      </c>
      <c r="B189" s="116" t="s">
        <v>208</v>
      </c>
      <c r="C189" s="296">
        <f t="shared" si="26"/>
        <v>0</v>
      </c>
      <c r="D189" s="123"/>
      <c r="E189" s="295"/>
      <c r="F189" s="296">
        <f t="shared" si="30"/>
        <v>0</v>
      </c>
      <c r="G189" s="123"/>
      <c r="H189" s="124"/>
      <c r="I189" s="125">
        <f t="shared" si="31"/>
        <v>0</v>
      </c>
      <c r="J189" s="123"/>
      <c r="K189" s="124"/>
      <c r="L189" s="125">
        <f t="shared" si="32"/>
        <v>0</v>
      </c>
      <c r="M189" s="264"/>
      <c r="N189" s="262"/>
      <c r="O189" s="125">
        <f t="shared" si="33"/>
        <v>0</v>
      </c>
      <c r="P189" s="74"/>
    </row>
    <row r="190" spans="1:16" ht="24" hidden="1" x14ac:dyDescent="0.25">
      <c r="A190" s="276">
        <v>4250</v>
      </c>
      <c r="B190" s="127" t="s">
        <v>209</v>
      </c>
      <c r="C190" s="279">
        <f t="shared" si="26"/>
        <v>0</v>
      </c>
      <c r="D190" s="134"/>
      <c r="E190" s="283"/>
      <c r="F190" s="279">
        <f t="shared" si="30"/>
        <v>0</v>
      </c>
      <c r="G190" s="134"/>
      <c r="H190" s="135"/>
      <c r="I190" s="136">
        <f t="shared" si="31"/>
        <v>0</v>
      </c>
      <c r="J190" s="134"/>
      <c r="K190" s="135"/>
      <c r="L190" s="136">
        <f t="shared" si="32"/>
        <v>0</v>
      </c>
      <c r="M190" s="284"/>
      <c r="N190" s="285"/>
      <c r="O190" s="136">
        <f t="shared" si="33"/>
        <v>0</v>
      </c>
      <c r="P190" s="85"/>
    </row>
    <row r="191" spans="1:16" hidden="1" x14ac:dyDescent="0.25">
      <c r="A191" s="99">
        <v>4300</v>
      </c>
      <c r="B191" s="247" t="s">
        <v>210</v>
      </c>
      <c r="C191" s="249">
        <f t="shared" si="26"/>
        <v>0</v>
      </c>
      <c r="D191" s="112">
        <f>SUM(D192)</f>
        <v>0</v>
      </c>
      <c r="E191" s="248">
        <f>SUM(E192)</f>
        <v>0</v>
      </c>
      <c r="F191" s="249">
        <f t="shared" si="30"/>
        <v>0</v>
      </c>
      <c r="G191" s="112">
        <f>SUM(G192)</f>
        <v>0</v>
      </c>
      <c r="H191" s="113">
        <f>SUM(H192)</f>
        <v>0</v>
      </c>
      <c r="I191" s="114">
        <f t="shared" si="31"/>
        <v>0</v>
      </c>
      <c r="J191" s="112">
        <f>SUM(J192)</f>
        <v>0</v>
      </c>
      <c r="K191" s="113">
        <f>SUM(K192)</f>
        <v>0</v>
      </c>
      <c r="L191" s="114">
        <f t="shared" si="32"/>
        <v>0</v>
      </c>
      <c r="M191" s="292">
        <f>SUM(M192)</f>
        <v>0</v>
      </c>
      <c r="N191" s="293">
        <f>SUM(N192)</f>
        <v>0</v>
      </c>
      <c r="O191" s="114">
        <f t="shared" si="33"/>
        <v>0</v>
      </c>
      <c r="P191" s="109"/>
    </row>
    <row r="192" spans="1:16" ht="24" hidden="1" x14ac:dyDescent="0.25">
      <c r="A192" s="656">
        <v>4310</v>
      </c>
      <c r="B192" s="116" t="s">
        <v>211</v>
      </c>
      <c r="C192" s="296">
        <f t="shared" si="26"/>
        <v>0</v>
      </c>
      <c r="D192" s="297">
        <f>SUM(D193:D193)</f>
        <v>0</v>
      </c>
      <c r="E192" s="298">
        <f>SUM(E193:E193)</f>
        <v>0</v>
      </c>
      <c r="F192" s="296">
        <f t="shared" si="30"/>
        <v>0</v>
      </c>
      <c r="G192" s="297">
        <f>SUM(G193:G193)</f>
        <v>0</v>
      </c>
      <c r="H192" s="299">
        <f>SUM(H193:H193)</f>
        <v>0</v>
      </c>
      <c r="I192" s="125">
        <f t="shared" si="31"/>
        <v>0</v>
      </c>
      <c r="J192" s="297">
        <f>SUM(J193:J193)</f>
        <v>0</v>
      </c>
      <c r="K192" s="299">
        <f>SUM(K193:K193)</f>
        <v>0</v>
      </c>
      <c r="L192" s="125">
        <f t="shared" si="32"/>
        <v>0</v>
      </c>
      <c r="M192" s="300">
        <f>SUM(M193:M193)</f>
        <v>0</v>
      </c>
      <c r="N192" s="301">
        <f>SUM(N193:N193)</f>
        <v>0</v>
      </c>
      <c r="O192" s="125">
        <f t="shared" si="33"/>
        <v>0</v>
      </c>
      <c r="P192" s="74"/>
    </row>
    <row r="193" spans="1:16" ht="36" hidden="1" x14ac:dyDescent="0.25">
      <c r="A193" s="76">
        <v>4311</v>
      </c>
      <c r="B193" s="127" t="s">
        <v>212</v>
      </c>
      <c r="C193" s="279">
        <f t="shared" si="26"/>
        <v>0</v>
      </c>
      <c r="D193" s="134"/>
      <c r="E193" s="283"/>
      <c r="F193" s="279">
        <f t="shared" si="30"/>
        <v>0</v>
      </c>
      <c r="G193" s="134"/>
      <c r="H193" s="135"/>
      <c r="I193" s="136">
        <f t="shared" si="31"/>
        <v>0</v>
      </c>
      <c r="J193" s="134"/>
      <c r="K193" s="135"/>
      <c r="L193" s="136">
        <f t="shared" si="32"/>
        <v>0</v>
      </c>
      <c r="M193" s="284"/>
      <c r="N193" s="285"/>
      <c r="O193" s="136">
        <f t="shared" si="33"/>
        <v>0</v>
      </c>
      <c r="P193" s="85"/>
    </row>
    <row r="194" spans="1:16" s="41" customFormat="1" ht="24" hidden="1" x14ac:dyDescent="0.25">
      <c r="A194" s="339"/>
      <c r="B194" s="31" t="s">
        <v>213</v>
      </c>
      <c r="C194" s="232">
        <f t="shared" si="26"/>
        <v>0</v>
      </c>
      <c r="D194" s="230">
        <f>SUM(D195,D230,D268)</f>
        <v>0</v>
      </c>
      <c r="E194" s="231">
        <f>SUM(E195,E230,E268)</f>
        <v>0</v>
      </c>
      <c r="F194" s="232">
        <f t="shared" si="30"/>
        <v>0</v>
      </c>
      <c r="G194" s="230">
        <f>SUM(G195,G230,G268)</f>
        <v>0</v>
      </c>
      <c r="H194" s="233">
        <f>SUM(H195,H230,H268)</f>
        <v>0</v>
      </c>
      <c r="I194" s="234">
        <f t="shared" si="31"/>
        <v>0</v>
      </c>
      <c r="J194" s="230">
        <f>SUM(J195,J230,J268)</f>
        <v>0</v>
      </c>
      <c r="K194" s="233">
        <f>SUM(K195,K230,K268)</f>
        <v>0</v>
      </c>
      <c r="L194" s="234">
        <f t="shared" si="32"/>
        <v>0</v>
      </c>
      <c r="M194" s="340">
        <f>SUM(M195,M230,M268)</f>
        <v>0</v>
      </c>
      <c r="N194" s="341">
        <f>SUM(N195,N230,N268)</f>
        <v>0</v>
      </c>
      <c r="O194" s="342">
        <f t="shared" si="33"/>
        <v>0</v>
      </c>
      <c r="P194" s="343"/>
    </row>
    <row r="195" spans="1:16" hidden="1" x14ac:dyDescent="0.25">
      <c r="A195" s="237">
        <v>5000</v>
      </c>
      <c r="B195" s="237" t="s">
        <v>214</v>
      </c>
      <c r="C195" s="241">
        <f>F195+I195+L195+O195</f>
        <v>0</v>
      </c>
      <c r="D195" s="239">
        <f>D196+D204</f>
        <v>0</v>
      </c>
      <c r="E195" s="240">
        <f>E196+E204</f>
        <v>0</v>
      </c>
      <c r="F195" s="241">
        <f t="shared" si="30"/>
        <v>0</v>
      </c>
      <c r="G195" s="239">
        <f>G196+G204</f>
        <v>0</v>
      </c>
      <c r="H195" s="242">
        <f>H196+H204</f>
        <v>0</v>
      </c>
      <c r="I195" s="243">
        <f t="shared" si="31"/>
        <v>0</v>
      </c>
      <c r="J195" s="239">
        <f>J196+J204</f>
        <v>0</v>
      </c>
      <c r="K195" s="242">
        <f>K196+K204</f>
        <v>0</v>
      </c>
      <c r="L195" s="243">
        <f t="shared" si="32"/>
        <v>0</v>
      </c>
      <c r="M195" s="244">
        <f>M196+M204</f>
        <v>0</v>
      </c>
      <c r="N195" s="245">
        <f>N196+N204</f>
        <v>0</v>
      </c>
      <c r="O195" s="243">
        <f t="shared" si="33"/>
        <v>0</v>
      </c>
      <c r="P195" s="246"/>
    </row>
    <row r="196" spans="1:16" hidden="1" x14ac:dyDescent="0.25">
      <c r="A196" s="99">
        <v>5100</v>
      </c>
      <c r="B196" s="247" t="s">
        <v>215</v>
      </c>
      <c r="C196" s="249">
        <f t="shared" si="26"/>
        <v>0</v>
      </c>
      <c r="D196" s="112">
        <f>D197+D198+D201+D202+D203</f>
        <v>0</v>
      </c>
      <c r="E196" s="248">
        <f>E197+E198+E201+E202+E203</f>
        <v>0</v>
      </c>
      <c r="F196" s="249">
        <f t="shared" si="30"/>
        <v>0</v>
      </c>
      <c r="G196" s="112">
        <f>G197+G198+G201+G202+G203</f>
        <v>0</v>
      </c>
      <c r="H196" s="113">
        <f>H197+H198+H201+H202+H203</f>
        <v>0</v>
      </c>
      <c r="I196" s="114">
        <f t="shared" si="31"/>
        <v>0</v>
      </c>
      <c r="J196" s="112">
        <f>J197+J198+J201+J202+J203</f>
        <v>0</v>
      </c>
      <c r="K196" s="113">
        <f>K197+K198+K201+K202+K203</f>
        <v>0</v>
      </c>
      <c r="L196" s="114">
        <f t="shared" si="32"/>
        <v>0</v>
      </c>
      <c r="M196" s="292">
        <f>M197+M198+M201+M202+M203</f>
        <v>0</v>
      </c>
      <c r="N196" s="293">
        <f>N197+N198+N201+N202+N203</f>
        <v>0</v>
      </c>
      <c r="O196" s="114">
        <f t="shared" si="33"/>
        <v>0</v>
      </c>
      <c r="P196" s="109"/>
    </row>
    <row r="197" spans="1:16" hidden="1" x14ac:dyDescent="0.25">
      <c r="A197" s="656">
        <v>5110</v>
      </c>
      <c r="B197" s="116" t="s">
        <v>216</v>
      </c>
      <c r="C197" s="296">
        <f t="shared" si="26"/>
        <v>0</v>
      </c>
      <c r="D197" s="123"/>
      <c r="E197" s="295"/>
      <c r="F197" s="296">
        <f t="shared" si="30"/>
        <v>0</v>
      </c>
      <c r="G197" s="123"/>
      <c r="H197" s="124"/>
      <c r="I197" s="125">
        <f t="shared" si="31"/>
        <v>0</v>
      </c>
      <c r="J197" s="123"/>
      <c r="K197" s="124"/>
      <c r="L197" s="125">
        <f t="shared" si="32"/>
        <v>0</v>
      </c>
      <c r="M197" s="264"/>
      <c r="N197" s="262"/>
      <c r="O197" s="125">
        <f t="shared" si="33"/>
        <v>0</v>
      </c>
      <c r="P197" s="74"/>
    </row>
    <row r="198" spans="1:16" ht="24" hidden="1" x14ac:dyDescent="0.25">
      <c r="A198" s="276">
        <v>5120</v>
      </c>
      <c r="B198" s="127" t="s">
        <v>217</v>
      </c>
      <c r="C198" s="279">
        <f t="shared" si="26"/>
        <v>0</v>
      </c>
      <c r="D198" s="277">
        <f>D199+D200</f>
        <v>0</v>
      </c>
      <c r="E198" s="278">
        <f>E199+E200</f>
        <v>0</v>
      </c>
      <c r="F198" s="279">
        <f t="shared" si="30"/>
        <v>0</v>
      </c>
      <c r="G198" s="277">
        <f>G199+G200</f>
        <v>0</v>
      </c>
      <c r="H198" s="280">
        <f>H199+H200</f>
        <v>0</v>
      </c>
      <c r="I198" s="136">
        <f t="shared" si="31"/>
        <v>0</v>
      </c>
      <c r="J198" s="277">
        <f>J199+J200</f>
        <v>0</v>
      </c>
      <c r="K198" s="280">
        <f>K199+K200</f>
        <v>0</v>
      </c>
      <c r="L198" s="136">
        <f t="shared" si="32"/>
        <v>0</v>
      </c>
      <c r="M198" s="281">
        <f>M199+M200</f>
        <v>0</v>
      </c>
      <c r="N198" s="282">
        <f>N199+N200</f>
        <v>0</v>
      </c>
      <c r="O198" s="136">
        <f t="shared" si="33"/>
        <v>0</v>
      </c>
      <c r="P198" s="85"/>
    </row>
    <row r="199" spans="1:16" hidden="1" x14ac:dyDescent="0.25">
      <c r="A199" s="76">
        <v>5121</v>
      </c>
      <c r="B199" s="127" t="s">
        <v>218</v>
      </c>
      <c r="C199" s="279">
        <f t="shared" si="26"/>
        <v>0</v>
      </c>
      <c r="D199" s="134"/>
      <c r="E199" s="283"/>
      <c r="F199" s="279">
        <f t="shared" si="30"/>
        <v>0</v>
      </c>
      <c r="G199" s="134"/>
      <c r="H199" s="135"/>
      <c r="I199" s="136">
        <f t="shared" si="31"/>
        <v>0</v>
      </c>
      <c r="J199" s="134"/>
      <c r="K199" s="135"/>
      <c r="L199" s="136">
        <f t="shared" si="32"/>
        <v>0</v>
      </c>
      <c r="M199" s="284"/>
      <c r="N199" s="285"/>
      <c r="O199" s="136">
        <f t="shared" si="33"/>
        <v>0</v>
      </c>
      <c r="P199" s="85"/>
    </row>
    <row r="200" spans="1:16" ht="24" hidden="1" x14ac:dyDescent="0.25">
      <c r="A200" s="76">
        <v>5129</v>
      </c>
      <c r="B200" s="127" t="s">
        <v>219</v>
      </c>
      <c r="C200" s="279">
        <f t="shared" si="26"/>
        <v>0</v>
      </c>
      <c r="D200" s="134"/>
      <c r="E200" s="283"/>
      <c r="F200" s="279">
        <f t="shared" si="30"/>
        <v>0</v>
      </c>
      <c r="G200" s="134"/>
      <c r="H200" s="135"/>
      <c r="I200" s="136">
        <f t="shared" si="31"/>
        <v>0</v>
      </c>
      <c r="J200" s="134"/>
      <c r="K200" s="135"/>
      <c r="L200" s="136">
        <f t="shared" si="32"/>
        <v>0</v>
      </c>
      <c r="M200" s="284"/>
      <c r="N200" s="285"/>
      <c r="O200" s="136">
        <f t="shared" si="33"/>
        <v>0</v>
      </c>
      <c r="P200" s="85"/>
    </row>
    <row r="201" spans="1:16" hidden="1" x14ac:dyDescent="0.25">
      <c r="A201" s="276">
        <v>5130</v>
      </c>
      <c r="B201" s="127" t="s">
        <v>220</v>
      </c>
      <c r="C201" s="279">
        <f t="shared" si="26"/>
        <v>0</v>
      </c>
      <c r="D201" s="134"/>
      <c r="E201" s="283"/>
      <c r="F201" s="279">
        <f t="shared" si="30"/>
        <v>0</v>
      </c>
      <c r="G201" s="134"/>
      <c r="H201" s="135"/>
      <c r="I201" s="136">
        <f t="shared" si="31"/>
        <v>0</v>
      </c>
      <c r="J201" s="134"/>
      <c r="K201" s="135"/>
      <c r="L201" s="136">
        <f t="shared" si="32"/>
        <v>0</v>
      </c>
      <c r="M201" s="284"/>
      <c r="N201" s="285"/>
      <c r="O201" s="136">
        <f t="shared" si="33"/>
        <v>0</v>
      </c>
      <c r="P201" s="85"/>
    </row>
    <row r="202" spans="1:16" hidden="1" x14ac:dyDescent="0.25">
      <c r="A202" s="276">
        <v>5140</v>
      </c>
      <c r="B202" s="127" t="s">
        <v>221</v>
      </c>
      <c r="C202" s="279">
        <f t="shared" si="26"/>
        <v>0</v>
      </c>
      <c r="D202" s="134"/>
      <c r="E202" s="283"/>
      <c r="F202" s="279">
        <f t="shared" si="30"/>
        <v>0</v>
      </c>
      <c r="G202" s="134"/>
      <c r="H202" s="135"/>
      <c r="I202" s="136">
        <f t="shared" si="31"/>
        <v>0</v>
      </c>
      <c r="J202" s="134"/>
      <c r="K202" s="135"/>
      <c r="L202" s="136">
        <f t="shared" si="32"/>
        <v>0</v>
      </c>
      <c r="M202" s="284"/>
      <c r="N202" s="285"/>
      <c r="O202" s="136">
        <f t="shared" si="33"/>
        <v>0</v>
      </c>
      <c r="P202" s="85"/>
    </row>
    <row r="203" spans="1:16" ht="24" hidden="1" x14ac:dyDescent="0.25">
      <c r="A203" s="276">
        <v>5170</v>
      </c>
      <c r="B203" s="127" t="s">
        <v>222</v>
      </c>
      <c r="C203" s="279">
        <f t="shared" si="26"/>
        <v>0</v>
      </c>
      <c r="D203" s="134"/>
      <c r="E203" s="283"/>
      <c r="F203" s="279">
        <f t="shared" si="30"/>
        <v>0</v>
      </c>
      <c r="G203" s="134"/>
      <c r="H203" s="135"/>
      <c r="I203" s="136">
        <f t="shared" si="31"/>
        <v>0</v>
      </c>
      <c r="J203" s="134"/>
      <c r="K203" s="135"/>
      <c r="L203" s="136">
        <f t="shared" si="32"/>
        <v>0</v>
      </c>
      <c r="M203" s="284"/>
      <c r="N203" s="285"/>
      <c r="O203" s="136">
        <f t="shared" si="33"/>
        <v>0</v>
      </c>
      <c r="P203" s="85"/>
    </row>
    <row r="204" spans="1:16" hidden="1" x14ac:dyDescent="0.25">
      <c r="A204" s="99">
        <v>5200</v>
      </c>
      <c r="B204" s="247" t="s">
        <v>223</v>
      </c>
      <c r="C204" s="249">
        <f t="shared" si="26"/>
        <v>0</v>
      </c>
      <c r="D204" s="112">
        <f>D205+D215+D216+D225+D226+D227+D229</f>
        <v>0</v>
      </c>
      <c r="E204" s="248">
        <f>E205+E215+E216+E225+E226+E227+E229</f>
        <v>0</v>
      </c>
      <c r="F204" s="249">
        <f t="shared" si="30"/>
        <v>0</v>
      </c>
      <c r="G204" s="112">
        <f>G205+G215+G216+G225+G226+G227+G229</f>
        <v>0</v>
      </c>
      <c r="H204" s="113">
        <f>H205+H215+H216+H225+H226+H227+H229</f>
        <v>0</v>
      </c>
      <c r="I204" s="114">
        <f t="shared" si="31"/>
        <v>0</v>
      </c>
      <c r="J204" s="112">
        <f>J205+J215+J216+J225+J226+J227+J229</f>
        <v>0</v>
      </c>
      <c r="K204" s="113">
        <f>K205+K215+K216+K225+K226+K227+K229</f>
        <v>0</v>
      </c>
      <c r="L204" s="114">
        <f t="shared" si="32"/>
        <v>0</v>
      </c>
      <c r="M204" s="292">
        <f>M205+M215+M216+M225+M226+M227+M229</f>
        <v>0</v>
      </c>
      <c r="N204" s="293">
        <f>N205+N215+N216+N225+N226+N227+N229</f>
        <v>0</v>
      </c>
      <c r="O204" s="114">
        <f t="shared" si="33"/>
        <v>0</v>
      </c>
      <c r="P204" s="109"/>
    </row>
    <row r="205" spans="1:16" hidden="1" x14ac:dyDescent="0.25">
      <c r="A205" s="254">
        <v>5210</v>
      </c>
      <c r="B205" s="179" t="s">
        <v>224</v>
      </c>
      <c r="C205" s="257">
        <f t="shared" si="26"/>
        <v>0</v>
      </c>
      <c r="D205" s="255">
        <f>SUM(D206:D214)</f>
        <v>0</v>
      </c>
      <c r="E205" s="256">
        <f>SUM(E206:E214)</f>
        <v>0</v>
      </c>
      <c r="F205" s="257">
        <f t="shared" si="30"/>
        <v>0</v>
      </c>
      <c r="G205" s="255">
        <f>SUM(G206:G214)</f>
        <v>0</v>
      </c>
      <c r="H205" s="258">
        <f>SUM(H206:H214)</f>
        <v>0</v>
      </c>
      <c r="I205" s="259">
        <f t="shared" si="31"/>
        <v>0</v>
      </c>
      <c r="J205" s="255">
        <f>SUM(J206:J214)</f>
        <v>0</v>
      </c>
      <c r="K205" s="258">
        <f>SUM(K206:K214)</f>
        <v>0</v>
      </c>
      <c r="L205" s="259">
        <f t="shared" si="32"/>
        <v>0</v>
      </c>
      <c r="M205" s="260">
        <f>SUM(M206:M214)</f>
        <v>0</v>
      </c>
      <c r="N205" s="261">
        <f>SUM(N206:N214)</f>
        <v>0</v>
      </c>
      <c r="O205" s="259">
        <f t="shared" si="33"/>
        <v>0</v>
      </c>
      <c r="P205" s="189"/>
    </row>
    <row r="206" spans="1:16" hidden="1" x14ac:dyDescent="0.25">
      <c r="A206" s="66">
        <v>5211</v>
      </c>
      <c r="B206" s="116" t="s">
        <v>225</v>
      </c>
      <c r="C206" s="279">
        <f t="shared" si="26"/>
        <v>0</v>
      </c>
      <c r="D206" s="123"/>
      <c r="E206" s="295"/>
      <c r="F206" s="296">
        <f t="shared" si="30"/>
        <v>0</v>
      </c>
      <c r="G206" s="123"/>
      <c r="H206" s="124"/>
      <c r="I206" s="125">
        <f t="shared" si="31"/>
        <v>0</v>
      </c>
      <c r="J206" s="123"/>
      <c r="K206" s="124"/>
      <c r="L206" s="125">
        <f t="shared" si="32"/>
        <v>0</v>
      </c>
      <c r="M206" s="264"/>
      <c r="N206" s="262"/>
      <c r="O206" s="125">
        <f t="shared" si="33"/>
        <v>0</v>
      </c>
      <c r="P206" s="74"/>
    </row>
    <row r="207" spans="1:16" hidden="1" x14ac:dyDescent="0.25">
      <c r="A207" s="76">
        <v>5212</v>
      </c>
      <c r="B207" s="127" t="s">
        <v>226</v>
      </c>
      <c r="C207" s="279">
        <f t="shared" si="26"/>
        <v>0</v>
      </c>
      <c r="D207" s="134"/>
      <c r="E207" s="283"/>
      <c r="F207" s="279">
        <f t="shared" si="30"/>
        <v>0</v>
      </c>
      <c r="G207" s="134"/>
      <c r="H207" s="135"/>
      <c r="I207" s="136">
        <f t="shared" si="31"/>
        <v>0</v>
      </c>
      <c r="J207" s="134"/>
      <c r="K207" s="135"/>
      <c r="L207" s="136">
        <f t="shared" si="32"/>
        <v>0</v>
      </c>
      <c r="M207" s="284"/>
      <c r="N207" s="285"/>
      <c r="O207" s="136">
        <f t="shared" si="33"/>
        <v>0</v>
      </c>
      <c r="P207" s="85"/>
    </row>
    <row r="208" spans="1:16" hidden="1" x14ac:dyDescent="0.25">
      <c r="A208" s="76">
        <v>5213</v>
      </c>
      <c r="B208" s="127" t="s">
        <v>227</v>
      </c>
      <c r="C208" s="279">
        <f t="shared" si="26"/>
        <v>0</v>
      </c>
      <c r="D208" s="134"/>
      <c r="E208" s="283"/>
      <c r="F208" s="279">
        <f t="shared" si="30"/>
        <v>0</v>
      </c>
      <c r="G208" s="134"/>
      <c r="H208" s="135"/>
      <c r="I208" s="136">
        <f t="shared" si="31"/>
        <v>0</v>
      </c>
      <c r="J208" s="134"/>
      <c r="K208" s="135"/>
      <c r="L208" s="136">
        <f t="shared" si="32"/>
        <v>0</v>
      </c>
      <c r="M208" s="284"/>
      <c r="N208" s="285"/>
      <c r="O208" s="136">
        <f t="shared" si="33"/>
        <v>0</v>
      </c>
      <c r="P208" s="85"/>
    </row>
    <row r="209" spans="1:16" hidden="1" x14ac:dyDescent="0.25">
      <c r="A209" s="76">
        <v>5214</v>
      </c>
      <c r="B209" s="127" t="s">
        <v>228</v>
      </c>
      <c r="C209" s="279">
        <f t="shared" si="26"/>
        <v>0</v>
      </c>
      <c r="D209" s="134"/>
      <c r="E209" s="283"/>
      <c r="F209" s="279">
        <f t="shared" si="30"/>
        <v>0</v>
      </c>
      <c r="G209" s="134"/>
      <c r="H209" s="135"/>
      <c r="I209" s="136">
        <f t="shared" si="31"/>
        <v>0</v>
      </c>
      <c r="J209" s="134"/>
      <c r="K209" s="135"/>
      <c r="L209" s="136">
        <f t="shared" si="32"/>
        <v>0</v>
      </c>
      <c r="M209" s="284"/>
      <c r="N209" s="285"/>
      <c r="O209" s="136">
        <f t="shared" si="33"/>
        <v>0</v>
      </c>
      <c r="P209" s="85"/>
    </row>
    <row r="210" spans="1:16" hidden="1" x14ac:dyDescent="0.25">
      <c r="A210" s="76">
        <v>5215</v>
      </c>
      <c r="B210" s="127" t="s">
        <v>229</v>
      </c>
      <c r="C210" s="279">
        <f t="shared" si="26"/>
        <v>0</v>
      </c>
      <c r="D210" s="134"/>
      <c r="E210" s="283"/>
      <c r="F210" s="279">
        <f t="shared" si="30"/>
        <v>0</v>
      </c>
      <c r="G210" s="134"/>
      <c r="H210" s="135"/>
      <c r="I210" s="136">
        <f t="shared" si="31"/>
        <v>0</v>
      </c>
      <c r="J210" s="134"/>
      <c r="K210" s="135"/>
      <c r="L210" s="136">
        <f t="shared" si="32"/>
        <v>0</v>
      </c>
      <c r="M210" s="284"/>
      <c r="N210" s="285"/>
      <c r="O210" s="136">
        <f t="shared" si="33"/>
        <v>0</v>
      </c>
      <c r="P210" s="85"/>
    </row>
    <row r="211" spans="1:16" ht="24" hidden="1" x14ac:dyDescent="0.25">
      <c r="A211" s="76">
        <v>5216</v>
      </c>
      <c r="B211" s="127" t="s">
        <v>230</v>
      </c>
      <c r="C211" s="279">
        <f t="shared" si="26"/>
        <v>0</v>
      </c>
      <c r="D211" s="134"/>
      <c r="E211" s="283"/>
      <c r="F211" s="279">
        <f t="shared" si="30"/>
        <v>0</v>
      </c>
      <c r="G211" s="134"/>
      <c r="H211" s="135"/>
      <c r="I211" s="136">
        <f t="shared" si="31"/>
        <v>0</v>
      </c>
      <c r="J211" s="134"/>
      <c r="K211" s="135"/>
      <c r="L211" s="136">
        <f t="shared" si="32"/>
        <v>0</v>
      </c>
      <c r="M211" s="284"/>
      <c r="N211" s="285"/>
      <c r="O211" s="136">
        <f t="shared" si="33"/>
        <v>0</v>
      </c>
      <c r="P211" s="85"/>
    </row>
    <row r="212" spans="1:16" hidden="1" x14ac:dyDescent="0.25">
      <c r="A212" s="76">
        <v>5217</v>
      </c>
      <c r="B212" s="127" t="s">
        <v>231</v>
      </c>
      <c r="C212" s="279">
        <f t="shared" si="26"/>
        <v>0</v>
      </c>
      <c r="D212" s="134"/>
      <c r="E212" s="283"/>
      <c r="F212" s="279">
        <f t="shared" si="30"/>
        <v>0</v>
      </c>
      <c r="G212" s="134"/>
      <c r="H212" s="135"/>
      <c r="I212" s="136">
        <f t="shared" si="31"/>
        <v>0</v>
      </c>
      <c r="J212" s="134"/>
      <c r="K212" s="135"/>
      <c r="L212" s="136">
        <f t="shared" si="32"/>
        <v>0</v>
      </c>
      <c r="M212" s="284"/>
      <c r="N212" s="285"/>
      <c r="O212" s="136">
        <f t="shared" si="33"/>
        <v>0</v>
      </c>
      <c r="P212" s="85"/>
    </row>
    <row r="213" spans="1:16" hidden="1" x14ac:dyDescent="0.25">
      <c r="A213" s="76">
        <v>5218</v>
      </c>
      <c r="B213" s="127" t="s">
        <v>232</v>
      </c>
      <c r="C213" s="279">
        <f t="shared" si="26"/>
        <v>0</v>
      </c>
      <c r="D213" s="134"/>
      <c r="E213" s="283"/>
      <c r="F213" s="279">
        <f t="shared" si="30"/>
        <v>0</v>
      </c>
      <c r="G213" s="134"/>
      <c r="H213" s="135"/>
      <c r="I213" s="136">
        <f t="shared" si="31"/>
        <v>0</v>
      </c>
      <c r="J213" s="134"/>
      <c r="K213" s="135"/>
      <c r="L213" s="136">
        <f t="shared" si="32"/>
        <v>0</v>
      </c>
      <c r="M213" s="284"/>
      <c r="N213" s="285"/>
      <c r="O213" s="136">
        <f t="shared" si="33"/>
        <v>0</v>
      </c>
      <c r="P213" s="85"/>
    </row>
    <row r="214" spans="1:16" hidden="1" x14ac:dyDescent="0.25">
      <c r="A214" s="76">
        <v>5219</v>
      </c>
      <c r="B214" s="127" t="s">
        <v>233</v>
      </c>
      <c r="C214" s="279">
        <f t="shared" si="26"/>
        <v>0</v>
      </c>
      <c r="D214" s="134"/>
      <c r="E214" s="283"/>
      <c r="F214" s="279">
        <f t="shared" si="30"/>
        <v>0</v>
      </c>
      <c r="G214" s="134"/>
      <c r="H214" s="135"/>
      <c r="I214" s="136">
        <f t="shared" si="31"/>
        <v>0</v>
      </c>
      <c r="J214" s="134"/>
      <c r="K214" s="135"/>
      <c r="L214" s="136">
        <f t="shared" si="32"/>
        <v>0</v>
      </c>
      <c r="M214" s="284"/>
      <c r="N214" s="285"/>
      <c r="O214" s="136">
        <f t="shared" si="33"/>
        <v>0</v>
      </c>
      <c r="P214" s="85"/>
    </row>
    <row r="215" spans="1:16" hidden="1" x14ac:dyDescent="0.25">
      <c r="A215" s="276">
        <v>5220</v>
      </c>
      <c r="B215" s="127" t="s">
        <v>234</v>
      </c>
      <c r="C215" s="279">
        <f t="shared" si="26"/>
        <v>0</v>
      </c>
      <c r="D215" s="134"/>
      <c r="E215" s="283"/>
      <c r="F215" s="279">
        <f t="shared" si="30"/>
        <v>0</v>
      </c>
      <c r="G215" s="134"/>
      <c r="H215" s="135"/>
      <c r="I215" s="136">
        <f t="shared" si="31"/>
        <v>0</v>
      </c>
      <c r="J215" s="134"/>
      <c r="K215" s="135"/>
      <c r="L215" s="136">
        <f t="shared" si="32"/>
        <v>0</v>
      </c>
      <c r="M215" s="284"/>
      <c r="N215" s="285"/>
      <c r="O215" s="136">
        <f t="shared" si="33"/>
        <v>0</v>
      </c>
      <c r="P215" s="85"/>
    </row>
    <row r="216" spans="1:16" hidden="1" x14ac:dyDescent="0.25">
      <c r="A216" s="276">
        <v>5230</v>
      </c>
      <c r="B216" s="127" t="s">
        <v>235</v>
      </c>
      <c r="C216" s="279">
        <f t="shared" si="26"/>
        <v>0</v>
      </c>
      <c r="D216" s="277">
        <f>SUM(D217:D224)</f>
        <v>0</v>
      </c>
      <c r="E216" s="278">
        <f>SUM(E217:E224)</f>
        <v>0</v>
      </c>
      <c r="F216" s="279">
        <f t="shared" si="30"/>
        <v>0</v>
      </c>
      <c r="G216" s="277">
        <f>SUM(G217:G224)</f>
        <v>0</v>
      </c>
      <c r="H216" s="280">
        <f>SUM(H217:H224)</f>
        <v>0</v>
      </c>
      <c r="I216" s="136">
        <f t="shared" si="31"/>
        <v>0</v>
      </c>
      <c r="J216" s="277">
        <f>SUM(J217:J224)</f>
        <v>0</v>
      </c>
      <c r="K216" s="280">
        <f>SUM(K217:K224)</f>
        <v>0</v>
      </c>
      <c r="L216" s="136">
        <f t="shared" si="32"/>
        <v>0</v>
      </c>
      <c r="M216" s="281">
        <f>SUM(M217:M224)</f>
        <v>0</v>
      </c>
      <c r="N216" s="282">
        <f>SUM(N217:N224)</f>
        <v>0</v>
      </c>
      <c r="O216" s="136">
        <f t="shared" si="33"/>
        <v>0</v>
      </c>
      <c r="P216" s="85"/>
    </row>
    <row r="217" spans="1:16" hidden="1" x14ac:dyDescent="0.25">
      <c r="A217" s="76">
        <v>5231</v>
      </c>
      <c r="B217" s="127" t="s">
        <v>236</v>
      </c>
      <c r="C217" s="279">
        <f t="shared" si="26"/>
        <v>0</v>
      </c>
      <c r="D217" s="134"/>
      <c r="E217" s="283"/>
      <c r="F217" s="279">
        <f t="shared" si="30"/>
        <v>0</v>
      </c>
      <c r="G217" s="134"/>
      <c r="H217" s="135"/>
      <c r="I217" s="136">
        <f t="shared" si="31"/>
        <v>0</v>
      </c>
      <c r="J217" s="134"/>
      <c r="K217" s="135"/>
      <c r="L217" s="136">
        <f t="shared" si="32"/>
        <v>0</v>
      </c>
      <c r="M217" s="284"/>
      <c r="N217" s="285"/>
      <c r="O217" s="136">
        <f t="shared" si="33"/>
        <v>0</v>
      </c>
      <c r="P217" s="85"/>
    </row>
    <row r="218" spans="1:16" hidden="1" x14ac:dyDescent="0.25">
      <c r="A218" s="76">
        <v>5232</v>
      </c>
      <c r="B218" s="127" t="s">
        <v>237</v>
      </c>
      <c r="C218" s="279">
        <f t="shared" si="26"/>
        <v>0</v>
      </c>
      <c r="D218" s="134"/>
      <c r="E218" s="283"/>
      <c r="F218" s="279">
        <f t="shared" si="30"/>
        <v>0</v>
      </c>
      <c r="G218" s="134"/>
      <c r="H218" s="135"/>
      <c r="I218" s="136">
        <f t="shared" si="31"/>
        <v>0</v>
      </c>
      <c r="J218" s="134"/>
      <c r="K218" s="135"/>
      <c r="L218" s="136">
        <f t="shared" si="32"/>
        <v>0</v>
      </c>
      <c r="M218" s="284"/>
      <c r="N218" s="285"/>
      <c r="O218" s="136">
        <f t="shared" si="33"/>
        <v>0</v>
      </c>
      <c r="P218" s="85"/>
    </row>
    <row r="219" spans="1:16" hidden="1" x14ac:dyDescent="0.25">
      <c r="A219" s="76">
        <v>5233</v>
      </c>
      <c r="B219" s="127" t="s">
        <v>238</v>
      </c>
      <c r="C219" s="279">
        <f t="shared" si="26"/>
        <v>0</v>
      </c>
      <c r="D219" s="134"/>
      <c r="E219" s="283"/>
      <c r="F219" s="279">
        <f t="shared" si="30"/>
        <v>0</v>
      </c>
      <c r="G219" s="134"/>
      <c r="H219" s="135"/>
      <c r="I219" s="136">
        <f t="shared" si="31"/>
        <v>0</v>
      </c>
      <c r="J219" s="134"/>
      <c r="K219" s="135"/>
      <c r="L219" s="136">
        <f t="shared" si="32"/>
        <v>0</v>
      </c>
      <c r="M219" s="284"/>
      <c r="N219" s="285"/>
      <c r="O219" s="136">
        <f t="shared" si="33"/>
        <v>0</v>
      </c>
      <c r="P219" s="85"/>
    </row>
    <row r="220" spans="1:16" ht="24" hidden="1" x14ac:dyDescent="0.25">
      <c r="A220" s="76">
        <v>5234</v>
      </c>
      <c r="B220" s="127" t="s">
        <v>239</v>
      </c>
      <c r="C220" s="279">
        <f t="shared" si="26"/>
        <v>0</v>
      </c>
      <c r="D220" s="134"/>
      <c r="E220" s="283"/>
      <c r="F220" s="279">
        <f t="shared" si="30"/>
        <v>0</v>
      </c>
      <c r="G220" s="134"/>
      <c r="H220" s="135"/>
      <c r="I220" s="136">
        <f t="shared" si="31"/>
        <v>0</v>
      </c>
      <c r="J220" s="134"/>
      <c r="K220" s="135"/>
      <c r="L220" s="136">
        <f t="shared" si="32"/>
        <v>0</v>
      </c>
      <c r="M220" s="284"/>
      <c r="N220" s="285"/>
      <c r="O220" s="136">
        <f t="shared" si="33"/>
        <v>0</v>
      </c>
      <c r="P220" s="85"/>
    </row>
    <row r="221" spans="1:16" hidden="1" x14ac:dyDescent="0.25">
      <c r="A221" s="76">
        <v>5236</v>
      </c>
      <c r="B221" s="127" t="s">
        <v>240</v>
      </c>
      <c r="C221" s="279">
        <f t="shared" si="26"/>
        <v>0</v>
      </c>
      <c r="D221" s="134"/>
      <c r="E221" s="283"/>
      <c r="F221" s="279">
        <f t="shared" si="30"/>
        <v>0</v>
      </c>
      <c r="G221" s="134"/>
      <c r="H221" s="135"/>
      <c r="I221" s="136">
        <f t="shared" si="31"/>
        <v>0</v>
      </c>
      <c r="J221" s="134"/>
      <c r="K221" s="135"/>
      <c r="L221" s="136">
        <f t="shared" si="32"/>
        <v>0</v>
      </c>
      <c r="M221" s="284"/>
      <c r="N221" s="285"/>
      <c r="O221" s="136">
        <f t="shared" si="33"/>
        <v>0</v>
      </c>
      <c r="P221" s="85"/>
    </row>
    <row r="222" spans="1:16" hidden="1" x14ac:dyDescent="0.25">
      <c r="A222" s="76">
        <v>5237</v>
      </c>
      <c r="B222" s="127" t="s">
        <v>241</v>
      </c>
      <c r="C222" s="279">
        <f t="shared" si="26"/>
        <v>0</v>
      </c>
      <c r="D222" s="134"/>
      <c r="E222" s="283"/>
      <c r="F222" s="279">
        <f t="shared" si="30"/>
        <v>0</v>
      </c>
      <c r="G222" s="134"/>
      <c r="H222" s="135"/>
      <c r="I222" s="136">
        <f t="shared" si="31"/>
        <v>0</v>
      </c>
      <c r="J222" s="134"/>
      <c r="K222" s="135"/>
      <c r="L222" s="136">
        <f t="shared" si="32"/>
        <v>0</v>
      </c>
      <c r="M222" s="284"/>
      <c r="N222" s="285"/>
      <c r="O222" s="136">
        <f t="shared" si="33"/>
        <v>0</v>
      </c>
      <c r="P222" s="85"/>
    </row>
    <row r="223" spans="1:16" ht="24" hidden="1" x14ac:dyDescent="0.25">
      <c r="A223" s="76">
        <v>5238</v>
      </c>
      <c r="B223" s="127" t="s">
        <v>242</v>
      </c>
      <c r="C223" s="279">
        <f t="shared" si="26"/>
        <v>0</v>
      </c>
      <c r="D223" s="134"/>
      <c r="E223" s="283"/>
      <c r="F223" s="279">
        <f t="shared" si="30"/>
        <v>0</v>
      </c>
      <c r="G223" s="134"/>
      <c r="H223" s="135"/>
      <c r="I223" s="136">
        <f t="shared" si="31"/>
        <v>0</v>
      </c>
      <c r="J223" s="134"/>
      <c r="K223" s="135"/>
      <c r="L223" s="136">
        <f t="shared" si="32"/>
        <v>0</v>
      </c>
      <c r="M223" s="284"/>
      <c r="N223" s="285"/>
      <c r="O223" s="136">
        <f t="shared" si="33"/>
        <v>0</v>
      </c>
      <c r="P223" s="85"/>
    </row>
    <row r="224" spans="1:16" ht="24" hidden="1" x14ac:dyDescent="0.25">
      <c r="A224" s="76">
        <v>5239</v>
      </c>
      <c r="B224" s="127" t="s">
        <v>243</v>
      </c>
      <c r="C224" s="279">
        <f t="shared" si="26"/>
        <v>0</v>
      </c>
      <c r="D224" s="134"/>
      <c r="E224" s="283"/>
      <c r="F224" s="279">
        <f t="shared" si="30"/>
        <v>0</v>
      </c>
      <c r="G224" s="134"/>
      <c r="H224" s="135"/>
      <c r="I224" s="136">
        <f t="shared" si="31"/>
        <v>0</v>
      </c>
      <c r="J224" s="134"/>
      <c r="K224" s="135"/>
      <c r="L224" s="136">
        <f t="shared" si="32"/>
        <v>0</v>
      </c>
      <c r="M224" s="284"/>
      <c r="N224" s="285"/>
      <c r="O224" s="136">
        <f t="shared" si="33"/>
        <v>0</v>
      </c>
      <c r="P224" s="85"/>
    </row>
    <row r="225" spans="1:16" ht="24" hidden="1" x14ac:dyDescent="0.25">
      <c r="A225" s="276">
        <v>5240</v>
      </c>
      <c r="B225" s="127" t="s">
        <v>244</v>
      </c>
      <c r="C225" s="279">
        <f t="shared" si="26"/>
        <v>0</v>
      </c>
      <c r="D225" s="134"/>
      <c r="E225" s="283"/>
      <c r="F225" s="279">
        <f t="shared" si="30"/>
        <v>0</v>
      </c>
      <c r="G225" s="134"/>
      <c r="H225" s="135"/>
      <c r="I225" s="136">
        <f t="shared" si="31"/>
        <v>0</v>
      </c>
      <c r="J225" s="134"/>
      <c r="K225" s="135"/>
      <c r="L225" s="136">
        <f t="shared" si="32"/>
        <v>0</v>
      </c>
      <c r="M225" s="284"/>
      <c r="N225" s="285"/>
      <c r="O225" s="136">
        <f t="shared" si="33"/>
        <v>0</v>
      </c>
      <c r="P225" s="85"/>
    </row>
    <row r="226" spans="1:16" hidden="1" x14ac:dyDescent="0.25">
      <c r="A226" s="276">
        <v>5250</v>
      </c>
      <c r="B226" s="127" t="s">
        <v>245</v>
      </c>
      <c r="C226" s="279">
        <f t="shared" si="26"/>
        <v>0</v>
      </c>
      <c r="D226" s="134"/>
      <c r="E226" s="283"/>
      <c r="F226" s="279">
        <f t="shared" si="30"/>
        <v>0</v>
      </c>
      <c r="G226" s="134"/>
      <c r="H226" s="135"/>
      <c r="I226" s="136">
        <f t="shared" si="31"/>
        <v>0</v>
      </c>
      <c r="J226" s="134"/>
      <c r="K226" s="135"/>
      <c r="L226" s="136">
        <f t="shared" si="32"/>
        <v>0</v>
      </c>
      <c r="M226" s="284"/>
      <c r="N226" s="285"/>
      <c r="O226" s="136">
        <f t="shared" si="33"/>
        <v>0</v>
      </c>
      <c r="P226" s="85"/>
    </row>
    <row r="227" spans="1:16" hidden="1" x14ac:dyDescent="0.25">
      <c r="A227" s="276">
        <v>5260</v>
      </c>
      <c r="B227" s="127" t="s">
        <v>246</v>
      </c>
      <c r="C227" s="279">
        <f t="shared" si="26"/>
        <v>0</v>
      </c>
      <c r="D227" s="277">
        <f>SUM(D228)</f>
        <v>0</v>
      </c>
      <c r="E227" s="278">
        <f>SUM(E228)</f>
        <v>0</v>
      </c>
      <c r="F227" s="279">
        <f t="shared" si="30"/>
        <v>0</v>
      </c>
      <c r="G227" s="277">
        <f>SUM(G228)</f>
        <v>0</v>
      </c>
      <c r="H227" s="280">
        <f>SUM(H228)</f>
        <v>0</v>
      </c>
      <c r="I227" s="136">
        <f t="shared" si="31"/>
        <v>0</v>
      </c>
      <c r="J227" s="277">
        <f>SUM(J228)</f>
        <v>0</v>
      </c>
      <c r="K227" s="280">
        <f>SUM(K228)</f>
        <v>0</v>
      </c>
      <c r="L227" s="136">
        <f t="shared" si="32"/>
        <v>0</v>
      </c>
      <c r="M227" s="281">
        <f>SUM(M228)</f>
        <v>0</v>
      </c>
      <c r="N227" s="282">
        <f>SUM(N228)</f>
        <v>0</v>
      </c>
      <c r="O227" s="136">
        <f t="shared" si="33"/>
        <v>0</v>
      </c>
      <c r="P227" s="85"/>
    </row>
    <row r="228" spans="1:16" ht="24" hidden="1" x14ac:dyDescent="0.25">
      <c r="A228" s="76">
        <v>5269</v>
      </c>
      <c r="B228" s="127" t="s">
        <v>247</v>
      </c>
      <c r="C228" s="279">
        <f t="shared" si="26"/>
        <v>0</v>
      </c>
      <c r="D228" s="134"/>
      <c r="E228" s="283"/>
      <c r="F228" s="279">
        <f t="shared" si="30"/>
        <v>0</v>
      </c>
      <c r="G228" s="134"/>
      <c r="H228" s="135"/>
      <c r="I228" s="136">
        <f t="shared" si="31"/>
        <v>0</v>
      </c>
      <c r="J228" s="134"/>
      <c r="K228" s="135"/>
      <c r="L228" s="136">
        <f t="shared" si="32"/>
        <v>0</v>
      </c>
      <c r="M228" s="284"/>
      <c r="N228" s="285"/>
      <c r="O228" s="136">
        <f t="shared" si="33"/>
        <v>0</v>
      </c>
      <c r="P228" s="85"/>
    </row>
    <row r="229" spans="1:16" ht="24" hidden="1" x14ac:dyDescent="0.25">
      <c r="A229" s="254">
        <v>5270</v>
      </c>
      <c r="B229" s="179" t="s">
        <v>248</v>
      </c>
      <c r="C229" s="302">
        <f t="shared" si="26"/>
        <v>0</v>
      </c>
      <c r="D229" s="287"/>
      <c r="E229" s="288"/>
      <c r="F229" s="257">
        <f t="shared" si="30"/>
        <v>0</v>
      </c>
      <c r="G229" s="287"/>
      <c r="H229" s="289"/>
      <c r="I229" s="259">
        <f t="shared" si="31"/>
        <v>0</v>
      </c>
      <c r="J229" s="287"/>
      <c r="K229" s="289"/>
      <c r="L229" s="259">
        <f t="shared" si="32"/>
        <v>0</v>
      </c>
      <c r="M229" s="290"/>
      <c r="N229" s="291"/>
      <c r="O229" s="259">
        <f t="shared" si="33"/>
        <v>0</v>
      </c>
      <c r="P229" s="189"/>
    </row>
    <row r="230" spans="1:16" hidden="1" x14ac:dyDescent="0.25">
      <c r="A230" s="237">
        <v>6000</v>
      </c>
      <c r="B230" s="237" t="s">
        <v>249</v>
      </c>
      <c r="C230" s="241">
        <f t="shared" si="26"/>
        <v>0</v>
      </c>
      <c r="D230" s="239">
        <f>D231+D251+D258</f>
        <v>0</v>
      </c>
      <c r="E230" s="240">
        <f>E231+E251+E258</f>
        <v>0</v>
      </c>
      <c r="F230" s="241">
        <f t="shared" si="30"/>
        <v>0</v>
      </c>
      <c r="G230" s="239">
        <f>G231+G251+G258</f>
        <v>0</v>
      </c>
      <c r="H230" s="242">
        <f>H231+H251+H258</f>
        <v>0</v>
      </c>
      <c r="I230" s="243">
        <f t="shared" si="31"/>
        <v>0</v>
      </c>
      <c r="J230" s="239">
        <f>J231+J251+J258</f>
        <v>0</v>
      </c>
      <c r="K230" s="242">
        <f>K231+K251+K258</f>
        <v>0</v>
      </c>
      <c r="L230" s="243">
        <f t="shared" si="32"/>
        <v>0</v>
      </c>
      <c r="M230" s="244">
        <f>M231+M251+M258</f>
        <v>0</v>
      </c>
      <c r="N230" s="245">
        <f>N231+N251+N258</f>
        <v>0</v>
      </c>
      <c r="O230" s="243">
        <f t="shared" si="33"/>
        <v>0</v>
      </c>
      <c r="P230" s="246"/>
    </row>
    <row r="231" spans="1:16" hidden="1" x14ac:dyDescent="0.25">
      <c r="A231" s="160">
        <v>6200</v>
      </c>
      <c r="B231" s="321" t="s">
        <v>250</v>
      </c>
      <c r="C231" s="648">
        <f>F231+I231+L231+O231</f>
        <v>0</v>
      </c>
      <c r="D231" s="334">
        <f>SUM(D232,D233,D235,D238,D244,D245,D246)</f>
        <v>0</v>
      </c>
      <c r="E231" s="684">
        <f>SUM(E232,E233,E235,E238,E244,E245,E246)</f>
        <v>0</v>
      </c>
      <c r="F231" s="648">
        <f>D231+E231</f>
        <v>0</v>
      </c>
      <c r="G231" s="334">
        <f>SUM(G232,G233,G235,G238,G244,G245,G246)</f>
        <v>0</v>
      </c>
      <c r="H231" s="336">
        <f>SUM(H232,H233,H235,H238,H244,H245,H246)</f>
        <v>0</v>
      </c>
      <c r="I231" s="252">
        <f t="shared" si="31"/>
        <v>0</v>
      </c>
      <c r="J231" s="334">
        <f>SUM(J232,J233,J235,J238,J244,J245,J246)</f>
        <v>0</v>
      </c>
      <c r="K231" s="336">
        <f>SUM(K232,K233,K235,K238,K244,K245,K246)</f>
        <v>0</v>
      </c>
      <c r="L231" s="252">
        <f t="shared" si="32"/>
        <v>0</v>
      </c>
      <c r="M231" s="250">
        <f>SUM(M232,M233,M235,M238,M244,M245,M246)</f>
        <v>0</v>
      </c>
      <c r="N231" s="251">
        <f>SUM(N232,N233,N235,N238,N244,N245,N246)</f>
        <v>0</v>
      </c>
      <c r="O231" s="252">
        <f t="shared" si="33"/>
        <v>0</v>
      </c>
      <c r="P231" s="253"/>
    </row>
    <row r="232" spans="1:16" ht="24" hidden="1" x14ac:dyDescent="0.25">
      <c r="A232" s="656">
        <v>6220</v>
      </c>
      <c r="B232" s="116" t="s">
        <v>251</v>
      </c>
      <c r="C232" s="296">
        <f t="shared" si="26"/>
        <v>0</v>
      </c>
      <c r="D232" s="123"/>
      <c r="E232" s="295"/>
      <c r="F232" s="296">
        <f t="shared" si="30"/>
        <v>0</v>
      </c>
      <c r="G232" s="123"/>
      <c r="H232" s="124"/>
      <c r="I232" s="125">
        <f t="shared" si="31"/>
        <v>0</v>
      </c>
      <c r="J232" s="123"/>
      <c r="K232" s="124"/>
      <c r="L232" s="125">
        <f t="shared" si="32"/>
        <v>0</v>
      </c>
      <c r="M232" s="264"/>
      <c r="N232" s="262"/>
      <c r="O232" s="125">
        <f t="shared" si="33"/>
        <v>0</v>
      </c>
      <c r="P232" s="74"/>
    </row>
    <row r="233" spans="1:16" hidden="1" x14ac:dyDescent="0.25">
      <c r="A233" s="276">
        <v>6230</v>
      </c>
      <c r="B233" s="127" t="s">
        <v>252</v>
      </c>
      <c r="C233" s="279">
        <f t="shared" si="26"/>
        <v>0</v>
      </c>
      <c r="D233" s="277">
        <f>SUM(D234)</f>
        <v>0</v>
      </c>
      <c r="E233" s="281">
        <f>SUM(E234)</f>
        <v>0</v>
      </c>
      <c r="F233" s="279">
        <f t="shared" si="30"/>
        <v>0</v>
      </c>
      <c r="G233" s="277">
        <f>SUM(G234)</f>
        <v>0</v>
      </c>
      <c r="H233" s="280">
        <f>SUM(H234)</f>
        <v>0</v>
      </c>
      <c r="I233" s="136">
        <f t="shared" si="31"/>
        <v>0</v>
      </c>
      <c r="J233" s="277">
        <f>SUM(J234)</f>
        <v>0</v>
      </c>
      <c r="K233" s="280">
        <f>SUM(K234)</f>
        <v>0</v>
      </c>
      <c r="L233" s="136">
        <f t="shared" si="32"/>
        <v>0</v>
      </c>
      <c r="M233" s="277">
        <f>SUM(M234)</f>
        <v>0</v>
      </c>
      <c r="N233" s="280">
        <f>SUM(N234)</f>
        <v>0</v>
      </c>
      <c r="O233" s="136">
        <f t="shared" si="33"/>
        <v>0</v>
      </c>
      <c r="P233" s="85"/>
    </row>
    <row r="234" spans="1:16" ht="24" hidden="1" x14ac:dyDescent="0.25">
      <c r="A234" s="76">
        <v>6239</v>
      </c>
      <c r="B234" s="116" t="s">
        <v>253</v>
      </c>
      <c r="C234" s="279">
        <f t="shared" si="26"/>
        <v>0</v>
      </c>
      <c r="D234" s="134"/>
      <c r="E234" s="283"/>
      <c r="F234" s="279">
        <f t="shared" si="30"/>
        <v>0</v>
      </c>
      <c r="G234" s="134"/>
      <c r="H234" s="135"/>
      <c r="I234" s="136">
        <f t="shared" si="31"/>
        <v>0</v>
      </c>
      <c r="J234" s="134"/>
      <c r="K234" s="135"/>
      <c r="L234" s="136">
        <f t="shared" si="32"/>
        <v>0</v>
      </c>
      <c r="M234" s="284"/>
      <c r="N234" s="285"/>
      <c r="O234" s="136">
        <f t="shared" si="33"/>
        <v>0</v>
      </c>
      <c r="P234" s="85"/>
    </row>
    <row r="235" spans="1:16" ht="24" hidden="1" x14ac:dyDescent="0.25">
      <c r="A235" s="276">
        <v>6240</v>
      </c>
      <c r="B235" s="127" t="s">
        <v>254</v>
      </c>
      <c r="C235" s="279">
        <f t="shared" si="26"/>
        <v>0</v>
      </c>
      <c r="D235" s="277">
        <f>SUM(D236:D237)</f>
        <v>0</v>
      </c>
      <c r="E235" s="278">
        <f>SUM(E236:E237)</f>
        <v>0</v>
      </c>
      <c r="F235" s="279">
        <f t="shared" si="30"/>
        <v>0</v>
      </c>
      <c r="G235" s="277">
        <f>SUM(G236:G237)</f>
        <v>0</v>
      </c>
      <c r="H235" s="280">
        <f>SUM(H236:H237)</f>
        <v>0</v>
      </c>
      <c r="I235" s="136">
        <f t="shared" si="31"/>
        <v>0</v>
      </c>
      <c r="J235" s="277">
        <f>SUM(J236:J237)</f>
        <v>0</v>
      </c>
      <c r="K235" s="280">
        <f>SUM(K236:K237)</f>
        <v>0</v>
      </c>
      <c r="L235" s="136">
        <f t="shared" si="32"/>
        <v>0</v>
      </c>
      <c r="M235" s="281">
        <f>SUM(M236:M237)</f>
        <v>0</v>
      </c>
      <c r="N235" s="282">
        <f>SUM(N236:N237)</f>
        <v>0</v>
      </c>
      <c r="O235" s="136">
        <f t="shared" si="33"/>
        <v>0</v>
      </c>
      <c r="P235" s="85"/>
    </row>
    <row r="236" spans="1:16" hidden="1" x14ac:dyDescent="0.25">
      <c r="A236" s="76">
        <v>6241</v>
      </c>
      <c r="B236" s="127" t="s">
        <v>255</v>
      </c>
      <c r="C236" s="279">
        <f t="shared" si="26"/>
        <v>0</v>
      </c>
      <c r="D236" s="134"/>
      <c r="E236" s="283"/>
      <c r="F236" s="279">
        <f t="shared" si="30"/>
        <v>0</v>
      </c>
      <c r="G236" s="134"/>
      <c r="H236" s="135"/>
      <c r="I236" s="136">
        <f t="shared" si="31"/>
        <v>0</v>
      </c>
      <c r="J236" s="134"/>
      <c r="K236" s="135"/>
      <c r="L236" s="136">
        <f t="shared" si="32"/>
        <v>0</v>
      </c>
      <c r="M236" s="284"/>
      <c r="N236" s="285"/>
      <c r="O236" s="136">
        <f t="shared" si="33"/>
        <v>0</v>
      </c>
      <c r="P236" s="85"/>
    </row>
    <row r="237" spans="1:16" hidden="1" x14ac:dyDescent="0.25">
      <c r="A237" s="76">
        <v>6242</v>
      </c>
      <c r="B237" s="127" t="s">
        <v>256</v>
      </c>
      <c r="C237" s="279">
        <f t="shared" si="26"/>
        <v>0</v>
      </c>
      <c r="D237" s="134"/>
      <c r="E237" s="283"/>
      <c r="F237" s="279">
        <f t="shared" si="30"/>
        <v>0</v>
      </c>
      <c r="G237" s="134"/>
      <c r="H237" s="135"/>
      <c r="I237" s="136">
        <f t="shared" si="31"/>
        <v>0</v>
      </c>
      <c r="J237" s="134"/>
      <c r="K237" s="135"/>
      <c r="L237" s="136">
        <f t="shared" si="32"/>
        <v>0</v>
      </c>
      <c r="M237" s="284"/>
      <c r="N237" s="285"/>
      <c r="O237" s="136">
        <f t="shared" si="33"/>
        <v>0</v>
      </c>
      <c r="P237" s="85"/>
    </row>
    <row r="238" spans="1:16" ht="24" hidden="1" x14ac:dyDescent="0.25">
      <c r="A238" s="276">
        <v>6250</v>
      </c>
      <c r="B238" s="127" t="s">
        <v>257</v>
      </c>
      <c r="C238" s="279">
        <f t="shared" si="26"/>
        <v>0</v>
      </c>
      <c r="D238" s="277">
        <f>SUM(D239:D243)</f>
        <v>0</v>
      </c>
      <c r="E238" s="278">
        <f>SUM(E239:E243)</f>
        <v>0</v>
      </c>
      <c r="F238" s="279">
        <f t="shared" si="30"/>
        <v>0</v>
      </c>
      <c r="G238" s="277">
        <f>SUM(G239:G243)</f>
        <v>0</v>
      </c>
      <c r="H238" s="280">
        <f>SUM(H239:H243)</f>
        <v>0</v>
      </c>
      <c r="I238" s="136">
        <f t="shared" si="31"/>
        <v>0</v>
      </c>
      <c r="J238" s="277">
        <f>SUM(J239:J243)</f>
        <v>0</v>
      </c>
      <c r="K238" s="280">
        <f>SUM(K239:K243)</f>
        <v>0</v>
      </c>
      <c r="L238" s="136">
        <f t="shared" si="32"/>
        <v>0</v>
      </c>
      <c r="M238" s="281">
        <f>SUM(M239:M243)</f>
        <v>0</v>
      </c>
      <c r="N238" s="282">
        <f>SUM(N239:N243)</f>
        <v>0</v>
      </c>
      <c r="O238" s="136">
        <f t="shared" si="33"/>
        <v>0</v>
      </c>
      <c r="P238" s="85"/>
    </row>
    <row r="239" spans="1:16" hidden="1" x14ac:dyDescent="0.25">
      <c r="A239" s="76">
        <v>6252</v>
      </c>
      <c r="B239" s="127" t="s">
        <v>258</v>
      </c>
      <c r="C239" s="279">
        <f t="shared" si="26"/>
        <v>0</v>
      </c>
      <c r="D239" s="134"/>
      <c r="E239" s="283"/>
      <c r="F239" s="279">
        <f t="shared" si="30"/>
        <v>0</v>
      </c>
      <c r="G239" s="134"/>
      <c r="H239" s="135"/>
      <c r="I239" s="136">
        <f t="shared" si="31"/>
        <v>0</v>
      </c>
      <c r="J239" s="134"/>
      <c r="K239" s="135"/>
      <c r="L239" s="136">
        <f t="shared" si="32"/>
        <v>0</v>
      </c>
      <c r="M239" s="284"/>
      <c r="N239" s="285"/>
      <c r="O239" s="136">
        <f t="shared" si="33"/>
        <v>0</v>
      </c>
      <c r="P239" s="85"/>
    </row>
    <row r="240" spans="1:16" hidden="1" x14ac:dyDescent="0.25">
      <c r="A240" s="76">
        <v>6253</v>
      </c>
      <c r="B240" s="127" t="s">
        <v>259</v>
      </c>
      <c r="C240" s="279">
        <f t="shared" si="26"/>
        <v>0</v>
      </c>
      <c r="D240" s="134"/>
      <c r="E240" s="283"/>
      <c r="F240" s="279">
        <f t="shared" si="30"/>
        <v>0</v>
      </c>
      <c r="G240" s="134"/>
      <c r="H240" s="135"/>
      <c r="I240" s="136">
        <f t="shared" si="31"/>
        <v>0</v>
      </c>
      <c r="J240" s="134"/>
      <c r="K240" s="135"/>
      <c r="L240" s="136">
        <f t="shared" si="32"/>
        <v>0</v>
      </c>
      <c r="M240" s="284"/>
      <c r="N240" s="285"/>
      <c r="O240" s="136">
        <f t="shared" si="33"/>
        <v>0</v>
      </c>
      <c r="P240" s="85"/>
    </row>
    <row r="241" spans="1:16" ht="24" hidden="1" x14ac:dyDescent="0.25">
      <c r="A241" s="76">
        <v>6254</v>
      </c>
      <c r="B241" s="127" t="s">
        <v>260</v>
      </c>
      <c r="C241" s="279">
        <f t="shared" si="26"/>
        <v>0</v>
      </c>
      <c r="D241" s="134"/>
      <c r="E241" s="283"/>
      <c r="F241" s="279">
        <f t="shared" si="30"/>
        <v>0</v>
      </c>
      <c r="G241" s="134"/>
      <c r="H241" s="135"/>
      <c r="I241" s="136">
        <f t="shared" si="31"/>
        <v>0</v>
      </c>
      <c r="J241" s="134"/>
      <c r="K241" s="135"/>
      <c r="L241" s="136">
        <f t="shared" si="32"/>
        <v>0</v>
      </c>
      <c r="M241" s="284"/>
      <c r="N241" s="285"/>
      <c r="O241" s="136">
        <f t="shared" si="33"/>
        <v>0</v>
      </c>
      <c r="P241" s="85"/>
    </row>
    <row r="242" spans="1:16" ht="24" hidden="1" x14ac:dyDescent="0.25">
      <c r="A242" s="76">
        <v>6255</v>
      </c>
      <c r="B242" s="127" t="s">
        <v>261</v>
      </c>
      <c r="C242" s="279">
        <f t="shared" si="26"/>
        <v>0</v>
      </c>
      <c r="D242" s="134"/>
      <c r="E242" s="283"/>
      <c r="F242" s="279">
        <f t="shared" si="30"/>
        <v>0</v>
      </c>
      <c r="G242" s="134"/>
      <c r="H242" s="135"/>
      <c r="I242" s="136">
        <f t="shared" si="31"/>
        <v>0</v>
      </c>
      <c r="J242" s="134"/>
      <c r="K242" s="135"/>
      <c r="L242" s="136">
        <f t="shared" si="32"/>
        <v>0</v>
      </c>
      <c r="M242" s="284"/>
      <c r="N242" s="285"/>
      <c r="O242" s="136">
        <f t="shared" si="33"/>
        <v>0</v>
      </c>
      <c r="P242" s="85"/>
    </row>
    <row r="243" spans="1:16" hidden="1" x14ac:dyDescent="0.25">
      <c r="A243" s="76">
        <v>6259</v>
      </c>
      <c r="B243" s="127" t="s">
        <v>262</v>
      </c>
      <c r="C243" s="279">
        <f t="shared" si="26"/>
        <v>0</v>
      </c>
      <c r="D243" s="134"/>
      <c r="E243" s="283"/>
      <c r="F243" s="279">
        <f t="shared" si="30"/>
        <v>0</v>
      </c>
      <c r="G243" s="134"/>
      <c r="H243" s="135"/>
      <c r="I243" s="136">
        <f t="shared" si="31"/>
        <v>0</v>
      </c>
      <c r="J243" s="134"/>
      <c r="K243" s="135"/>
      <c r="L243" s="136">
        <f t="shared" si="32"/>
        <v>0</v>
      </c>
      <c r="M243" s="284"/>
      <c r="N243" s="285"/>
      <c r="O243" s="136">
        <f t="shared" si="33"/>
        <v>0</v>
      </c>
      <c r="P243" s="85"/>
    </row>
    <row r="244" spans="1:16" ht="24" hidden="1" x14ac:dyDescent="0.25">
      <c r="A244" s="276">
        <v>6260</v>
      </c>
      <c r="B244" s="127" t="s">
        <v>263</v>
      </c>
      <c r="C244" s="279">
        <f t="shared" si="26"/>
        <v>0</v>
      </c>
      <c r="D244" s="134"/>
      <c r="E244" s="283"/>
      <c r="F244" s="279">
        <f t="shared" ref="F244:F296" si="37">D244+E244</f>
        <v>0</v>
      </c>
      <c r="G244" s="134"/>
      <c r="H244" s="135"/>
      <c r="I244" s="136">
        <f t="shared" ref="I244:I296" si="38">G244+H244</f>
        <v>0</v>
      </c>
      <c r="J244" s="134"/>
      <c r="K244" s="135"/>
      <c r="L244" s="136">
        <f t="shared" ref="L244:L296" si="39">J244+K244</f>
        <v>0</v>
      </c>
      <c r="M244" s="284"/>
      <c r="N244" s="285"/>
      <c r="O244" s="136">
        <f t="shared" ref="O244:O273" si="40">M244+N244</f>
        <v>0</v>
      </c>
      <c r="P244" s="85"/>
    </row>
    <row r="245" spans="1:16" hidden="1" x14ac:dyDescent="0.25">
      <c r="A245" s="276">
        <v>6270</v>
      </c>
      <c r="B245" s="127" t="s">
        <v>264</v>
      </c>
      <c r="C245" s="279">
        <f t="shared" si="26"/>
        <v>0</v>
      </c>
      <c r="D245" s="134"/>
      <c r="E245" s="283"/>
      <c r="F245" s="279">
        <f t="shared" si="37"/>
        <v>0</v>
      </c>
      <c r="G245" s="134"/>
      <c r="H245" s="135"/>
      <c r="I245" s="136">
        <f t="shared" si="38"/>
        <v>0</v>
      </c>
      <c r="J245" s="134"/>
      <c r="K245" s="135"/>
      <c r="L245" s="136">
        <f t="shared" si="39"/>
        <v>0</v>
      </c>
      <c r="M245" s="284"/>
      <c r="N245" s="285"/>
      <c r="O245" s="136">
        <f t="shared" si="40"/>
        <v>0</v>
      </c>
      <c r="P245" s="85"/>
    </row>
    <row r="246" spans="1:16" ht="24" hidden="1" x14ac:dyDescent="0.25">
      <c r="A246" s="656">
        <v>6290</v>
      </c>
      <c r="B246" s="116" t="s">
        <v>265</v>
      </c>
      <c r="C246" s="279">
        <f t="shared" si="26"/>
        <v>0</v>
      </c>
      <c r="D246" s="297">
        <f>SUM(D247:D250)</f>
        <v>0</v>
      </c>
      <c r="E246" s="298">
        <f>SUM(E247:E250)</f>
        <v>0</v>
      </c>
      <c r="F246" s="296">
        <f t="shared" si="37"/>
        <v>0</v>
      </c>
      <c r="G246" s="297">
        <f>SUM(G247:G250)</f>
        <v>0</v>
      </c>
      <c r="H246" s="299">
        <f t="shared" ref="H246" si="41">SUM(H247:H250)</f>
        <v>0</v>
      </c>
      <c r="I246" s="125">
        <f t="shared" si="38"/>
        <v>0</v>
      </c>
      <c r="J246" s="297">
        <f>SUM(J247:J250)</f>
        <v>0</v>
      </c>
      <c r="K246" s="299">
        <f t="shared" ref="K246" si="42">SUM(K247:K250)</f>
        <v>0</v>
      </c>
      <c r="L246" s="125">
        <f t="shared" si="39"/>
        <v>0</v>
      </c>
      <c r="M246" s="322">
        <f t="shared" ref="M246:N246" si="43">SUM(M247:M250)</f>
        <v>0</v>
      </c>
      <c r="N246" s="323">
        <f t="shared" si="43"/>
        <v>0</v>
      </c>
      <c r="O246" s="324">
        <f t="shared" si="40"/>
        <v>0</v>
      </c>
      <c r="P246" s="325"/>
    </row>
    <row r="247" spans="1:16" hidden="1" x14ac:dyDescent="0.25">
      <c r="A247" s="76">
        <v>6291</v>
      </c>
      <c r="B247" s="127" t="s">
        <v>266</v>
      </c>
      <c r="C247" s="279">
        <f t="shared" si="26"/>
        <v>0</v>
      </c>
      <c r="D247" s="134"/>
      <c r="E247" s="283"/>
      <c r="F247" s="279">
        <f t="shared" si="37"/>
        <v>0</v>
      </c>
      <c r="G247" s="134"/>
      <c r="H247" s="135"/>
      <c r="I247" s="136">
        <f t="shared" si="38"/>
        <v>0</v>
      </c>
      <c r="J247" s="134"/>
      <c r="K247" s="135"/>
      <c r="L247" s="136">
        <f t="shared" si="39"/>
        <v>0</v>
      </c>
      <c r="M247" s="284"/>
      <c r="N247" s="285"/>
      <c r="O247" s="136">
        <f t="shared" si="40"/>
        <v>0</v>
      </c>
      <c r="P247" s="85"/>
    </row>
    <row r="248" spans="1:16" hidden="1" x14ac:dyDescent="0.25">
      <c r="A248" s="76">
        <v>6292</v>
      </c>
      <c r="B248" s="127" t="s">
        <v>267</v>
      </c>
      <c r="C248" s="279">
        <f t="shared" si="26"/>
        <v>0</v>
      </c>
      <c r="D248" s="134"/>
      <c r="E248" s="283"/>
      <c r="F248" s="279">
        <f t="shared" si="37"/>
        <v>0</v>
      </c>
      <c r="G248" s="134"/>
      <c r="H248" s="135"/>
      <c r="I248" s="136">
        <f t="shared" si="38"/>
        <v>0</v>
      </c>
      <c r="J248" s="134"/>
      <c r="K248" s="135"/>
      <c r="L248" s="136">
        <f t="shared" si="39"/>
        <v>0</v>
      </c>
      <c r="M248" s="284"/>
      <c r="N248" s="285"/>
      <c r="O248" s="136">
        <f t="shared" si="40"/>
        <v>0</v>
      </c>
      <c r="P248" s="85"/>
    </row>
    <row r="249" spans="1:16" ht="72" hidden="1" x14ac:dyDescent="0.25">
      <c r="A249" s="76">
        <v>6296</v>
      </c>
      <c r="B249" s="127" t="s">
        <v>268</v>
      </c>
      <c r="C249" s="279">
        <f t="shared" si="26"/>
        <v>0</v>
      </c>
      <c r="D249" s="134"/>
      <c r="E249" s="283"/>
      <c r="F249" s="279">
        <f t="shared" si="37"/>
        <v>0</v>
      </c>
      <c r="G249" s="134"/>
      <c r="H249" s="135"/>
      <c r="I249" s="136">
        <f t="shared" si="38"/>
        <v>0</v>
      </c>
      <c r="J249" s="134"/>
      <c r="K249" s="135"/>
      <c r="L249" s="136">
        <f t="shared" si="39"/>
        <v>0</v>
      </c>
      <c r="M249" s="284"/>
      <c r="N249" s="285"/>
      <c r="O249" s="136">
        <f t="shared" si="40"/>
        <v>0</v>
      </c>
      <c r="P249" s="85"/>
    </row>
    <row r="250" spans="1:16" ht="36" hidden="1" x14ac:dyDescent="0.25">
      <c r="A250" s="76">
        <v>6299</v>
      </c>
      <c r="B250" s="127" t="s">
        <v>269</v>
      </c>
      <c r="C250" s="279">
        <f t="shared" si="26"/>
        <v>0</v>
      </c>
      <c r="D250" s="134"/>
      <c r="E250" s="283"/>
      <c r="F250" s="279">
        <f t="shared" si="37"/>
        <v>0</v>
      </c>
      <c r="G250" s="134"/>
      <c r="H250" s="135"/>
      <c r="I250" s="136">
        <f t="shared" si="38"/>
        <v>0</v>
      </c>
      <c r="J250" s="134"/>
      <c r="K250" s="135"/>
      <c r="L250" s="136">
        <f t="shared" si="39"/>
        <v>0</v>
      </c>
      <c r="M250" s="284"/>
      <c r="N250" s="285"/>
      <c r="O250" s="136">
        <f t="shared" si="40"/>
        <v>0</v>
      </c>
      <c r="P250" s="85"/>
    </row>
    <row r="251" spans="1:16" hidden="1" x14ac:dyDescent="0.25">
      <c r="A251" s="99">
        <v>6300</v>
      </c>
      <c r="B251" s="247" t="s">
        <v>270</v>
      </c>
      <c r="C251" s="249">
        <f t="shared" si="26"/>
        <v>0</v>
      </c>
      <c r="D251" s="112">
        <f>SUM(D252,D256,D257)</f>
        <v>0</v>
      </c>
      <c r="E251" s="248">
        <f>SUM(E252,E256,E257)</f>
        <v>0</v>
      </c>
      <c r="F251" s="249">
        <f t="shared" si="37"/>
        <v>0</v>
      </c>
      <c r="G251" s="112">
        <f>SUM(G252,G256,G257)</f>
        <v>0</v>
      </c>
      <c r="H251" s="113">
        <f t="shared" ref="H251" si="44">SUM(H252,H256,H257)</f>
        <v>0</v>
      </c>
      <c r="I251" s="114">
        <f t="shared" si="38"/>
        <v>0</v>
      </c>
      <c r="J251" s="112">
        <f>SUM(J252,J256,J257)</f>
        <v>0</v>
      </c>
      <c r="K251" s="113">
        <f t="shared" ref="K251" si="45">SUM(K252,K256,K257)</f>
        <v>0</v>
      </c>
      <c r="L251" s="114">
        <f t="shared" si="39"/>
        <v>0</v>
      </c>
      <c r="M251" s="303">
        <f t="shared" ref="M251:N251" si="46">SUM(M252,M256,M257)</f>
        <v>0</v>
      </c>
      <c r="N251" s="304">
        <f t="shared" si="46"/>
        <v>0</v>
      </c>
      <c r="O251" s="305">
        <f t="shared" si="40"/>
        <v>0</v>
      </c>
      <c r="P251" s="306"/>
    </row>
    <row r="252" spans="1:16" ht="24" hidden="1" x14ac:dyDescent="0.25">
      <c r="A252" s="656">
        <v>6320</v>
      </c>
      <c r="B252" s="116" t="s">
        <v>271</v>
      </c>
      <c r="C252" s="647">
        <f t="shared" si="26"/>
        <v>0</v>
      </c>
      <c r="D252" s="297">
        <f>SUM(D253:D255)</f>
        <v>0</v>
      </c>
      <c r="E252" s="298">
        <f>SUM(E253:E255)</f>
        <v>0</v>
      </c>
      <c r="F252" s="296">
        <f t="shared" si="37"/>
        <v>0</v>
      </c>
      <c r="G252" s="297">
        <f>SUM(G253:G255)</f>
        <v>0</v>
      </c>
      <c r="H252" s="299">
        <f t="shared" ref="H252" si="47">SUM(H253:H255)</f>
        <v>0</v>
      </c>
      <c r="I252" s="125">
        <f t="shared" si="38"/>
        <v>0</v>
      </c>
      <c r="J252" s="297">
        <f>SUM(J253:J255)</f>
        <v>0</v>
      </c>
      <c r="K252" s="299">
        <f t="shared" ref="K252" si="48">SUM(K253:K255)</f>
        <v>0</v>
      </c>
      <c r="L252" s="125">
        <f t="shared" si="39"/>
        <v>0</v>
      </c>
      <c r="M252" s="300">
        <f t="shared" ref="M252:N252" si="49">SUM(M253:M255)</f>
        <v>0</v>
      </c>
      <c r="N252" s="301">
        <f t="shared" si="49"/>
        <v>0</v>
      </c>
      <c r="O252" s="125">
        <f t="shared" si="40"/>
        <v>0</v>
      </c>
      <c r="P252" s="74"/>
    </row>
    <row r="253" spans="1:16" hidden="1" x14ac:dyDescent="0.25">
      <c r="A253" s="76">
        <v>6322</v>
      </c>
      <c r="B253" s="127" t="s">
        <v>272</v>
      </c>
      <c r="C253" s="279">
        <f t="shared" si="26"/>
        <v>0</v>
      </c>
      <c r="D253" s="134"/>
      <c r="E253" s="283"/>
      <c r="F253" s="279">
        <f t="shared" si="37"/>
        <v>0</v>
      </c>
      <c r="G253" s="134"/>
      <c r="H253" s="135"/>
      <c r="I253" s="136">
        <f t="shared" si="38"/>
        <v>0</v>
      </c>
      <c r="J253" s="134"/>
      <c r="K253" s="135"/>
      <c r="L253" s="136">
        <f t="shared" si="39"/>
        <v>0</v>
      </c>
      <c r="M253" s="284"/>
      <c r="N253" s="285"/>
      <c r="O253" s="136">
        <f t="shared" si="40"/>
        <v>0</v>
      </c>
      <c r="P253" s="85"/>
    </row>
    <row r="254" spans="1:16" ht="24" hidden="1" x14ac:dyDescent="0.25">
      <c r="A254" s="76">
        <v>6323</v>
      </c>
      <c r="B254" s="127" t="s">
        <v>273</v>
      </c>
      <c r="C254" s="279">
        <f t="shared" si="26"/>
        <v>0</v>
      </c>
      <c r="D254" s="134"/>
      <c r="E254" s="283"/>
      <c r="F254" s="279">
        <f t="shared" si="37"/>
        <v>0</v>
      </c>
      <c r="G254" s="134"/>
      <c r="H254" s="135"/>
      <c r="I254" s="136">
        <f t="shared" si="38"/>
        <v>0</v>
      </c>
      <c r="J254" s="134"/>
      <c r="K254" s="135"/>
      <c r="L254" s="136">
        <f t="shared" si="39"/>
        <v>0</v>
      </c>
      <c r="M254" s="284"/>
      <c r="N254" s="285"/>
      <c r="O254" s="136">
        <f t="shared" si="40"/>
        <v>0</v>
      </c>
      <c r="P254" s="85"/>
    </row>
    <row r="255" spans="1:16" ht="24" hidden="1" x14ac:dyDescent="0.25">
      <c r="A255" s="66">
        <v>6324</v>
      </c>
      <c r="B255" s="116" t="s">
        <v>274</v>
      </c>
      <c r="C255" s="279">
        <f t="shared" si="26"/>
        <v>0</v>
      </c>
      <c r="D255" s="123"/>
      <c r="E255" s="295"/>
      <c r="F255" s="296">
        <f t="shared" si="37"/>
        <v>0</v>
      </c>
      <c r="G255" s="123"/>
      <c r="H255" s="124"/>
      <c r="I255" s="125">
        <f t="shared" si="38"/>
        <v>0</v>
      </c>
      <c r="J255" s="123"/>
      <c r="K255" s="124"/>
      <c r="L255" s="125">
        <f t="shared" si="39"/>
        <v>0</v>
      </c>
      <c r="M255" s="264"/>
      <c r="N255" s="262"/>
      <c r="O255" s="125">
        <f t="shared" si="40"/>
        <v>0</v>
      </c>
      <c r="P255" s="74"/>
    </row>
    <row r="256" spans="1:16" ht="24" hidden="1" x14ac:dyDescent="0.25">
      <c r="A256" s="344">
        <v>6330</v>
      </c>
      <c r="B256" s="345" t="s">
        <v>275</v>
      </c>
      <c r="C256" s="279">
        <f t="shared" ref="C256:C283" si="50">F256+I256+L256+O256</f>
        <v>0</v>
      </c>
      <c r="D256" s="328"/>
      <c r="E256" s="683"/>
      <c r="F256" s="647">
        <f t="shared" si="37"/>
        <v>0</v>
      </c>
      <c r="G256" s="328"/>
      <c r="H256" s="331"/>
      <c r="I256" s="324">
        <f t="shared" si="38"/>
        <v>0</v>
      </c>
      <c r="J256" s="328"/>
      <c r="K256" s="331"/>
      <c r="L256" s="324">
        <f t="shared" si="39"/>
        <v>0</v>
      </c>
      <c r="M256" s="332"/>
      <c r="N256" s="329"/>
      <c r="O256" s="324">
        <f t="shared" si="40"/>
        <v>0</v>
      </c>
      <c r="P256" s="325"/>
    </row>
    <row r="257" spans="1:16" hidden="1" x14ac:dyDescent="0.25">
      <c r="A257" s="276">
        <v>6360</v>
      </c>
      <c r="B257" s="127" t="s">
        <v>276</v>
      </c>
      <c r="C257" s="279">
        <f t="shared" si="50"/>
        <v>0</v>
      </c>
      <c r="D257" s="134"/>
      <c r="E257" s="283"/>
      <c r="F257" s="279">
        <f t="shared" si="37"/>
        <v>0</v>
      </c>
      <c r="G257" s="134"/>
      <c r="H257" s="135"/>
      <c r="I257" s="136">
        <f t="shared" si="38"/>
        <v>0</v>
      </c>
      <c r="J257" s="134"/>
      <c r="K257" s="135"/>
      <c r="L257" s="136">
        <f t="shared" si="39"/>
        <v>0</v>
      </c>
      <c r="M257" s="284"/>
      <c r="N257" s="285"/>
      <c r="O257" s="136">
        <f t="shared" si="40"/>
        <v>0</v>
      </c>
      <c r="P257" s="85"/>
    </row>
    <row r="258" spans="1:16" ht="36" hidden="1" x14ac:dyDescent="0.25">
      <c r="A258" s="99">
        <v>6400</v>
      </c>
      <c r="B258" s="247" t="s">
        <v>277</v>
      </c>
      <c r="C258" s="249">
        <f t="shared" si="50"/>
        <v>0</v>
      </c>
      <c r="D258" s="112">
        <f>SUM(D259,D263)</f>
        <v>0</v>
      </c>
      <c r="E258" s="248">
        <f>SUM(E259,E263)</f>
        <v>0</v>
      </c>
      <c r="F258" s="249">
        <f t="shared" si="37"/>
        <v>0</v>
      </c>
      <c r="G258" s="112">
        <f>SUM(G259,G263)</f>
        <v>0</v>
      </c>
      <c r="H258" s="113">
        <f t="shared" ref="H258" si="51">SUM(H259,H263)</f>
        <v>0</v>
      </c>
      <c r="I258" s="114">
        <f t="shared" si="38"/>
        <v>0</v>
      </c>
      <c r="J258" s="112">
        <f>SUM(J259,J263)</f>
        <v>0</v>
      </c>
      <c r="K258" s="113">
        <f t="shared" ref="K258" si="52">SUM(K259,K263)</f>
        <v>0</v>
      </c>
      <c r="L258" s="114">
        <f t="shared" si="39"/>
        <v>0</v>
      </c>
      <c r="M258" s="303">
        <f t="shared" ref="M258:N258" si="53">SUM(M259,M263)</f>
        <v>0</v>
      </c>
      <c r="N258" s="304">
        <f t="shared" si="53"/>
        <v>0</v>
      </c>
      <c r="O258" s="305">
        <f t="shared" si="40"/>
        <v>0</v>
      </c>
      <c r="P258" s="306"/>
    </row>
    <row r="259" spans="1:16" ht="24" hidden="1" x14ac:dyDescent="0.25">
      <c r="A259" s="656">
        <v>6410</v>
      </c>
      <c r="B259" s="116" t="s">
        <v>278</v>
      </c>
      <c r="C259" s="296">
        <f t="shared" si="50"/>
        <v>0</v>
      </c>
      <c r="D259" s="297">
        <f>SUM(D260:D262)</f>
        <v>0</v>
      </c>
      <c r="E259" s="298">
        <f>SUM(E260:E262)</f>
        <v>0</v>
      </c>
      <c r="F259" s="296">
        <f t="shared" si="37"/>
        <v>0</v>
      </c>
      <c r="G259" s="297">
        <f>SUM(G260:G262)</f>
        <v>0</v>
      </c>
      <c r="H259" s="299">
        <f t="shared" ref="H259" si="54">SUM(H260:H262)</f>
        <v>0</v>
      </c>
      <c r="I259" s="125">
        <f t="shared" si="38"/>
        <v>0</v>
      </c>
      <c r="J259" s="297">
        <f>SUM(J260:J262)</f>
        <v>0</v>
      </c>
      <c r="K259" s="299">
        <f t="shared" ref="K259" si="55">SUM(K260:K262)</f>
        <v>0</v>
      </c>
      <c r="L259" s="125">
        <f t="shared" si="39"/>
        <v>0</v>
      </c>
      <c r="M259" s="317">
        <f t="shared" ref="M259:N259" si="56">SUM(M260:M262)</f>
        <v>0</v>
      </c>
      <c r="N259" s="318">
        <f t="shared" si="56"/>
        <v>0</v>
      </c>
      <c r="O259" s="151">
        <f t="shared" si="40"/>
        <v>0</v>
      </c>
      <c r="P259" s="153"/>
    </row>
    <row r="260" spans="1:16" hidden="1" x14ac:dyDescent="0.25">
      <c r="A260" s="76">
        <v>6411</v>
      </c>
      <c r="B260" s="346" t="s">
        <v>279</v>
      </c>
      <c r="C260" s="279">
        <f t="shared" si="50"/>
        <v>0</v>
      </c>
      <c r="D260" s="134"/>
      <c r="E260" s="283"/>
      <c r="F260" s="279">
        <f t="shared" si="37"/>
        <v>0</v>
      </c>
      <c r="G260" s="134"/>
      <c r="H260" s="135"/>
      <c r="I260" s="136">
        <f t="shared" si="38"/>
        <v>0</v>
      </c>
      <c r="J260" s="134"/>
      <c r="K260" s="135"/>
      <c r="L260" s="136">
        <f t="shared" si="39"/>
        <v>0</v>
      </c>
      <c r="M260" s="284"/>
      <c r="N260" s="285"/>
      <c r="O260" s="136">
        <f t="shared" si="40"/>
        <v>0</v>
      </c>
      <c r="P260" s="85"/>
    </row>
    <row r="261" spans="1:16" ht="36" hidden="1" x14ac:dyDescent="0.25">
      <c r="A261" s="76">
        <v>6412</v>
      </c>
      <c r="B261" s="127" t="s">
        <v>280</v>
      </c>
      <c r="C261" s="279">
        <f t="shared" si="50"/>
        <v>0</v>
      </c>
      <c r="D261" s="134"/>
      <c r="E261" s="283"/>
      <c r="F261" s="279">
        <f t="shared" si="37"/>
        <v>0</v>
      </c>
      <c r="G261" s="134"/>
      <c r="H261" s="135"/>
      <c r="I261" s="136">
        <f t="shared" si="38"/>
        <v>0</v>
      </c>
      <c r="J261" s="134"/>
      <c r="K261" s="135"/>
      <c r="L261" s="136">
        <f t="shared" si="39"/>
        <v>0</v>
      </c>
      <c r="M261" s="284"/>
      <c r="N261" s="285"/>
      <c r="O261" s="136">
        <f t="shared" si="40"/>
        <v>0</v>
      </c>
      <c r="P261" s="85"/>
    </row>
    <row r="262" spans="1:16" ht="36" hidden="1" x14ac:dyDescent="0.25">
      <c r="A262" s="76">
        <v>6419</v>
      </c>
      <c r="B262" s="127" t="s">
        <v>281</v>
      </c>
      <c r="C262" s="279">
        <f t="shared" si="50"/>
        <v>0</v>
      </c>
      <c r="D262" s="134"/>
      <c r="E262" s="283"/>
      <c r="F262" s="279">
        <f t="shared" si="37"/>
        <v>0</v>
      </c>
      <c r="G262" s="134"/>
      <c r="H262" s="135"/>
      <c r="I262" s="136">
        <f t="shared" si="38"/>
        <v>0</v>
      </c>
      <c r="J262" s="134"/>
      <c r="K262" s="135"/>
      <c r="L262" s="136">
        <f t="shared" si="39"/>
        <v>0</v>
      </c>
      <c r="M262" s="284"/>
      <c r="N262" s="285"/>
      <c r="O262" s="136">
        <f t="shared" si="40"/>
        <v>0</v>
      </c>
      <c r="P262" s="85"/>
    </row>
    <row r="263" spans="1:16" ht="36" hidden="1" x14ac:dyDescent="0.25">
      <c r="A263" s="276">
        <v>6420</v>
      </c>
      <c r="B263" s="127" t="s">
        <v>282</v>
      </c>
      <c r="C263" s="279">
        <f t="shared" si="50"/>
        <v>0</v>
      </c>
      <c r="D263" s="277">
        <f>SUM(D264:D267)</f>
        <v>0</v>
      </c>
      <c r="E263" s="278">
        <f>SUM(E264:E267)</f>
        <v>0</v>
      </c>
      <c r="F263" s="279">
        <f t="shared" si="37"/>
        <v>0</v>
      </c>
      <c r="G263" s="277">
        <f>SUM(G264:G267)</f>
        <v>0</v>
      </c>
      <c r="H263" s="280">
        <f>SUM(H264:H267)</f>
        <v>0</v>
      </c>
      <c r="I263" s="136">
        <f t="shared" si="38"/>
        <v>0</v>
      </c>
      <c r="J263" s="277">
        <f>SUM(J264:J267)</f>
        <v>0</v>
      </c>
      <c r="K263" s="280">
        <f>SUM(K264:K267)</f>
        <v>0</v>
      </c>
      <c r="L263" s="136">
        <f t="shared" si="39"/>
        <v>0</v>
      </c>
      <c r="M263" s="281">
        <f>SUM(M264:M267)</f>
        <v>0</v>
      </c>
      <c r="N263" s="282">
        <f>SUM(N264:N267)</f>
        <v>0</v>
      </c>
      <c r="O263" s="136">
        <f t="shared" si="40"/>
        <v>0</v>
      </c>
      <c r="P263" s="85"/>
    </row>
    <row r="264" spans="1:16" hidden="1" x14ac:dyDescent="0.25">
      <c r="A264" s="76">
        <v>6421</v>
      </c>
      <c r="B264" s="127" t="s">
        <v>283</v>
      </c>
      <c r="C264" s="279">
        <f t="shared" si="50"/>
        <v>0</v>
      </c>
      <c r="D264" s="134"/>
      <c r="E264" s="283"/>
      <c r="F264" s="279">
        <f t="shared" si="37"/>
        <v>0</v>
      </c>
      <c r="G264" s="134"/>
      <c r="H264" s="135"/>
      <c r="I264" s="136">
        <f t="shared" si="38"/>
        <v>0</v>
      </c>
      <c r="J264" s="134"/>
      <c r="K264" s="135"/>
      <c r="L264" s="136">
        <f t="shared" si="39"/>
        <v>0</v>
      </c>
      <c r="M264" s="284"/>
      <c r="N264" s="285"/>
      <c r="O264" s="136">
        <f t="shared" si="40"/>
        <v>0</v>
      </c>
      <c r="P264" s="85"/>
    </row>
    <row r="265" spans="1:16" hidden="1" x14ac:dyDescent="0.25">
      <c r="A265" s="76">
        <v>6422</v>
      </c>
      <c r="B265" s="127" t="s">
        <v>284</v>
      </c>
      <c r="C265" s="279">
        <f t="shared" si="50"/>
        <v>0</v>
      </c>
      <c r="D265" s="134"/>
      <c r="E265" s="283"/>
      <c r="F265" s="279">
        <f t="shared" si="37"/>
        <v>0</v>
      </c>
      <c r="G265" s="134"/>
      <c r="H265" s="135"/>
      <c r="I265" s="136">
        <f t="shared" si="38"/>
        <v>0</v>
      </c>
      <c r="J265" s="134"/>
      <c r="K265" s="135"/>
      <c r="L265" s="136">
        <f t="shared" si="39"/>
        <v>0</v>
      </c>
      <c r="M265" s="284"/>
      <c r="N265" s="285"/>
      <c r="O265" s="136">
        <f t="shared" si="40"/>
        <v>0</v>
      </c>
      <c r="P265" s="85"/>
    </row>
    <row r="266" spans="1:16" ht="24" hidden="1" x14ac:dyDescent="0.25">
      <c r="A266" s="76">
        <v>6423</v>
      </c>
      <c r="B266" s="127" t="s">
        <v>285</v>
      </c>
      <c r="C266" s="279">
        <f t="shared" si="50"/>
        <v>0</v>
      </c>
      <c r="D266" s="134"/>
      <c r="E266" s="283"/>
      <c r="F266" s="279">
        <f t="shared" si="37"/>
        <v>0</v>
      </c>
      <c r="G266" s="134"/>
      <c r="H266" s="135"/>
      <c r="I266" s="136">
        <f t="shared" si="38"/>
        <v>0</v>
      </c>
      <c r="J266" s="134"/>
      <c r="K266" s="135"/>
      <c r="L266" s="136">
        <f t="shared" si="39"/>
        <v>0</v>
      </c>
      <c r="M266" s="284"/>
      <c r="N266" s="285"/>
      <c r="O266" s="136">
        <f t="shared" si="40"/>
        <v>0</v>
      </c>
      <c r="P266" s="85"/>
    </row>
    <row r="267" spans="1:16" ht="36" hidden="1" x14ac:dyDescent="0.25">
      <c r="A267" s="76">
        <v>6424</v>
      </c>
      <c r="B267" s="127" t="s">
        <v>286</v>
      </c>
      <c r="C267" s="279">
        <f t="shared" si="50"/>
        <v>0</v>
      </c>
      <c r="D267" s="134"/>
      <c r="E267" s="283"/>
      <c r="F267" s="279">
        <f t="shared" si="37"/>
        <v>0</v>
      </c>
      <c r="G267" s="134"/>
      <c r="H267" s="135"/>
      <c r="I267" s="136">
        <f t="shared" si="38"/>
        <v>0</v>
      </c>
      <c r="J267" s="134"/>
      <c r="K267" s="135"/>
      <c r="L267" s="136">
        <f t="shared" si="39"/>
        <v>0</v>
      </c>
      <c r="M267" s="284"/>
      <c r="N267" s="285"/>
      <c r="O267" s="136">
        <f t="shared" si="40"/>
        <v>0</v>
      </c>
      <c r="P267" s="85"/>
    </row>
    <row r="268" spans="1:16" ht="36" hidden="1" x14ac:dyDescent="0.25">
      <c r="A268" s="347">
        <v>7000</v>
      </c>
      <c r="B268" s="347" t="s">
        <v>287</v>
      </c>
      <c r="C268" s="351">
        <f t="shared" si="50"/>
        <v>0</v>
      </c>
      <c r="D268" s="349">
        <f>SUM(D269,D279)</f>
        <v>0</v>
      </c>
      <c r="E268" s="350">
        <f>SUM(E269,E279)</f>
        <v>0</v>
      </c>
      <c r="F268" s="351">
        <f t="shared" si="37"/>
        <v>0</v>
      </c>
      <c r="G268" s="349">
        <f>SUM(G269,G279)</f>
        <v>0</v>
      </c>
      <c r="H268" s="352">
        <f>SUM(H269,H279)</f>
        <v>0</v>
      </c>
      <c r="I268" s="353">
        <f t="shared" si="38"/>
        <v>0</v>
      </c>
      <c r="J268" s="349">
        <f>SUM(J269,J279)</f>
        <v>0</v>
      </c>
      <c r="K268" s="352">
        <f>SUM(K269,K279)</f>
        <v>0</v>
      </c>
      <c r="L268" s="353">
        <f t="shared" si="39"/>
        <v>0</v>
      </c>
      <c r="M268" s="354">
        <f>SUM(M269,M279)</f>
        <v>0</v>
      </c>
      <c r="N268" s="355">
        <f>SUM(N269,N279)</f>
        <v>0</v>
      </c>
      <c r="O268" s="356">
        <f t="shared" si="40"/>
        <v>0</v>
      </c>
      <c r="P268" s="357"/>
    </row>
    <row r="269" spans="1:16" ht="24" hidden="1" x14ac:dyDescent="0.25">
      <c r="A269" s="99">
        <v>7200</v>
      </c>
      <c r="B269" s="247" t="s">
        <v>288</v>
      </c>
      <c r="C269" s="249">
        <f t="shared" si="50"/>
        <v>0</v>
      </c>
      <c r="D269" s="112">
        <f>SUM(D270,D271,D274,D275,D278)</f>
        <v>0</v>
      </c>
      <c r="E269" s="248">
        <f>SUM(E270,E271,E274,E275,E278)</f>
        <v>0</v>
      </c>
      <c r="F269" s="249">
        <f t="shared" si="37"/>
        <v>0</v>
      </c>
      <c r="G269" s="112">
        <f>SUM(G270,G271,G274,G275,G278)</f>
        <v>0</v>
      </c>
      <c r="H269" s="113">
        <f>SUM(H270,H271,H274,H275,H278)</f>
        <v>0</v>
      </c>
      <c r="I269" s="114">
        <f t="shared" si="38"/>
        <v>0</v>
      </c>
      <c r="J269" s="112">
        <f>SUM(J270,J271,J274,J275,J278)</f>
        <v>0</v>
      </c>
      <c r="K269" s="113">
        <f>SUM(K270,K271,K274,K275,K278)</f>
        <v>0</v>
      </c>
      <c r="L269" s="114">
        <f t="shared" si="39"/>
        <v>0</v>
      </c>
      <c r="M269" s="250">
        <f>SUM(M270,M271,M274,M275,M278)</f>
        <v>0</v>
      </c>
      <c r="N269" s="251">
        <f>SUM(N270,N271,N274,N275,N278)</f>
        <v>0</v>
      </c>
      <c r="O269" s="252">
        <f t="shared" si="40"/>
        <v>0</v>
      </c>
      <c r="P269" s="253"/>
    </row>
    <row r="270" spans="1:16" ht="24" hidden="1" x14ac:dyDescent="0.25">
      <c r="A270" s="656">
        <v>7210</v>
      </c>
      <c r="B270" s="116" t="s">
        <v>289</v>
      </c>
      <c r="C270" s="296">
        <f t="shared" si="50"/>
        <v>0</v>
      </c>
      <c r="D270" s="123"/>
      <c r="E270" s="295"/>
      <c r="F270" s="296">
        <f t="shared" si="37"/>
        <v>0</v>
      </c>
      <c r="G270" s="123"/>
      <c r="H270" s="124"/>
      <c r="I270" s="125">
        <f t="shared" si="38"/>
        <v>0</v>
      </c>
      <c r="J270" s="123"/>
      <c r="K270" s="124"/>
      <c r="L270" s="125">
        <f t="shared" si="39"/>
        <v>0</v>
      </c>
      <c r="M270" s="264"/>
      <c r="N270" s="262"/>
      <c r="O270" s="125">
        <f t="shared" si="40"/>
        <v>0</v>
      </c>
      <c r="P270" s="74"/>
    </row>
    <row r="271" spans="1:16" s="358" customFormat="1" ht="36" hidden="1" x14ac:dyDescent="0.25">
      <c r="A271" s="276">
        <v>7220</v>
      </c>
      <c r="B271" s="127" t="s">
        <v>290</v>
      </c>
      <c r="C271" s="279">
        <f t="shared" si="50"/>
        <v>0</v>
      </c>
      <c r="D271" s="277">
        <f>SUM(D272:D273)</f>
        <v>0</v>
      </c>
      <c r="E271" s="278">
        <f>SUM(E272:E273)</f>
        <v>0</v>
      </c>
      <c r="F271" s="279">
        <f t="shared" si="37"/>
        <v>0</v>
      </c>
      <c r="G271" s="277">
        <f>SUM(G272:G273)</f>
        <v>0</v>
      </c>
      <c r="H271" s="280">
        <f>SUM(H272:H273)</f>
        <v>0</v>
      </c>
      <c r="I271" s="136">
        <f t="shared" si="38"/>
        <v>0</v>
      </c>
      <c r="J271" s="277">
        <f>SUM(J272:J273)</f>
        <v>0</v>
      </c>
      <c r="K271" s="280">
        <f>SUM(K272:K273)</f>
        <v>0</v>
      </c>
      <c r="L271" s="136">
        <f t="shared" si="39"/>
        <v>0</v>
      </c>
      <c r="M271" s="281">
        <f>SUM(M272:M273)</f>
        <v>0</v>
      </c>
      <c r="N271" s="282">
        <f>SUM(N272:N273)</f>
        <v>0</v>
      </c>
      <c r="O271" s="136">
        <f t="shared" si="40"/>
        <v>0</v>
      </c>
      <c r="P271" s="85"/>
    </row>
    <row r="272" spans="1:16" s="358" customFormat="1" ht="36" hidden="1" x14ac:dyDescent="0.25">
      <c r="A272" s="76">
        <v>7221</v>
      </c>
      <c r="B272" s="127" t="s">
        <v>291</v>
      </c>
      <c r="C272" s="279">
        <f t="shared" si="50"/>
        <v>0</v>
      </c>
      <c r="D272" s="134"/>
      <c r="E272" s="283"/>
      <c r="F272" s="279">
        <f t="shared" si="37"/>
        <v>0</v>
      </c>
      <c r="G272" s="134"/>
      <c r="H272" s="135"/>
      <c r="I272" s="136">
        <f t="shared" si="38"/>
        <v>0</v>
      </c>
      <c r="J272" s="134"/>
      <c r="K272" s="135"/>
      <c r="L272" s="136">
        <f t="shared" si="39"/>
        <v>0</v>
      </c>
      <c r="M272" s="284"/>
      <c r="N272" s="285"/>
      <c r="O272" s="136">
        <f t="shared" si="40"/>
        <v>0</v>
      </c>
      <c r="P272" s="85"/>
    </row>
    <row r="273" spans="1:16" s="358" customFormat="1" ht="36" hidden="1" x14ac:dyDescent="0.25">
      <c r="A273" s="76">
        <v>7222</v>
      </c>
      <c r="B273" s="127" t="s">
        <v>292</v>
      </c>
      <c r="C273" s="279">
        <f t="shared" si="50"/>
        <v>0</v>
      </c>
      <c r="D273" s="134"/>
      <c r="E273" s="283"/>
      <c r="F273" s="279">
        <f t="shared" si="37"/>
        <v>0</v>
      </c>
      <c r="G273" s="134"/>
      <c r="H273" s="135"/>
      <c r="I273" s="136">
        <f t="shared" si="38"/>
        <v>0</v>
      </c>
      <c r="J273" s="134"/>
      <c r="K273" s="135"/>
      <c r="L273" s="136">
        <f t="shared" si="39"/>
        <v>0</v>
      </c>
      <c r="M273" s="284"/>
      <c r="N273" s="285"/>
      <c r="O273" s="136">
        <f t="shared" si="40"/>
        <v>0</v>
      </c>
      <c r="P273" s="85"/>
    </row>
    <row r="274" spans="1:16" s="358" customFormat="1" ht="24" hidden="1" x14ac:dyDescent="0.25">
      <c r="A274" s="276">
        <v>7230</v>
      </c>
      <c r="B274" s="127" t="s">
        <v>293</v>
      </c>
      <c r="C274" s="279">
        <f t="shared" si="50"/>
        <v>0</v>
      </c>
      <c r="D274" s="134"/>
      <c r="E274" s="283"/>
      <c r="F274" s="279">
        <f t="shared" si="37"/>
        <v>0</v>
      </c>
      <c r="G274" s="134"/>
      <c r="H274" s="135"/>
      <c r="I274" s="136">
        <f t="shared" si="38"/>
        <v>0</v>
      </c>
      <c r="J274" s="134"/>
      <c r="K274" s="135"/>
      <c r="L274" s="136">
        <f t="shared" si="39"/>
        <v>0</v>
      </c>
      <c r="M274" s="284"/>
      <c r="N274" s="285"/>
      <c r="O274" s="136">
        <f>M274+N274</f>
        <v>0</v>
      </c>
      <c r="P274" s="85"/>
    </row>
    <row r="275" spans="1:16" ht="24" hidden="1" x14ac:dyDescent="0.25">
      <c r="A275" s="276">
        <v>7240</v>
      </c>
      <c r="B275" s="127" t="s">
        <v>294</v>
      </c>
      <c r="C275" s="279">
        <f t="shared" si="50"/>
        <v>0</v>
      </c>
      <c r="D275" s="277">
        <f>SUM(D276:D277)</f>
        <v>0</v>
      </c>
      <c r="E275" s="278">
        <f>SUM(E276:E277)</f>
        <v>0</v>
      </c>
      <c r="F275" s="279">
        <f t="shared" si="37"/>
        <v>0</v>
      </c>
      <c r="G275" s="277">
        <f>SUM(G276:G277)</f>
        <v>0</v>
      </c>
      <c r="H275" s="280">
        <f>SUM(H276:H277)</f>
        <v>0</v>
      </c>
      <c r="I275" s="136">
        <f t="shared" si="38"/>
        <v>0</v>
      </c>
      <c r="J275" s="277">
        <f>SUM(J276:J277)</f>
        <v>0</v>
      </c>
      <c r="K275" s="280">
        <f>SUM(K276:K277)</f>
        <v>0</v>
      </c>
      <c r="L275" s="136">
        <f t="shared" si="39"/>
        <v>0</v>
      </c>
      <c r="M275" s="281">
        <f>SUM(M276:M277)</f>
        <v>0</v>
      </c>
      <c r="N275" s="282">
        <f>SUM(N276:N277)</f>
        <v>0</v>
      </c>
      <c r="O275" s="136">
        <f>SUM(O276:O277)</f>
        <v>0</v>
      </c>
      <c r="P275" s="85"/>
    </row>
    <row r="276" spans="1:16" ht="48" hidden="1" x14ac:dyDescent="0.25">
      <c r="A276" s="76">
        <v>7245</v>
      </c>
      <c r="B276" s="127" t="s">
        <v>295</v>
      </c>
      <c r="C276" s="279">
        <f t="shared" si="50"/>
        <v>0</v>
      </c>
      <c r="D276" s="134"/>
      <c r="E276" s="283"/>
      <c r="F276" s="279">
        <f t="shared" si="37"/>
        <v>0</v>
      </c>
      <c r="G276" s="134"/>
      <c r="H276" s="135"/>
      <c r="I276" s="136">
        <f t="shared" si="38"/>
        <v>0</v>
      </c>
      <c r="J276" s="134"/>
      <c r="K276" s="135"/>
      <c r="L276" s="136">
        <f t="shared" si="39"/>
        <v>0</v>
      </c>
      <c r="M276" s="284"/>
      <c r="N276" s="285"/>
      <c r="O276" s="136">
        <f t="shared" ref="O276:O279" si="57">M276+N276</f>
        <v>0</v>
      </c>
      <c r="P276" s="85"/>
    </row>
    <row r="277" spans="1:16" ht="96" hidden="1" x14ac:dyDescent="0.25">
      <c r="A277" s="76">
        <v>7246</v>
      </c>
      <c r="B277" s="127" t="s">
        <v>296</v>
      </c>
      <c r="C277" s="279">
        <f t="shared" si="50"/>
        <v>0</v>
      </c>
      <c r="D277" s="134"/>
      <c r="E277" s="283"/>
      <c r="F277" s="279">
        <f t="shared" si="37"/>
        <v>0</v>
      </c>
      <c r="G277" s="134"/>
      <c r="H277" s="135"/>
      <c r="I277" s="136">
        <f t="shared" si="38"/>
        <v>0</v>
      </c>
      <c r="J277" s="134"/>
      <c r="K277" s="135"/>
      <c r="L277" s="136">
        <f t="shared" si="39"/>
        <v>0</v>
      </c>
      <c r="M277" s="284"/>
      <c r="N277" s="285"/>
      <c r="O277" s="136">
        <f t="shared" si="57"/>
        <v>0</v>
      </c>
      <c r="P277" s="85"/>
    </row>
    <row r="278" spans="1:16" ht="24" hidden="1" x14ac:dyDescent="0.25">
      <c r="A278" s="276">
        <v>7260</v>
      </c>
      <c r="B278" s="127" t="s">
        <v>297</v>
      </c>
      <c r="C278" s="279">
        <f t="shared" si="50"/>
        <v>0</v>
      </c>
      <c r="D278" s="123"/>
      <c r="E278" s="295"/>
      <c r="F278" s="296">
        <f t="shared" si="37"/>
        <v>0</v>
      </c>
      <c r="G278" s="123"/>
      <c r="H278" s="124"/>
      <c r="I278" s="125">
        <f t="shared" si="38"/>
        <v>0</v>
      </c>
      <c r="J278" s="123"/>
      <c r="K278" s="124"/>
      <c r="L278" s="125">
        <f t="shared" si="39"/>
        <v>0</v>
      </c>
      <c r="M278" s="264"/>
      <c r="N278" s="262"/>
      <c r="O278" s="125">
        <f t="shared" si="57"/>
        <v>0</v>
      </c>
      <c r="P278" s="74"/>
    </row>
    <row r="279" spans="1:16" hidden="1" x14ac:dyDescent="0.25">
      <c r="A279" s="99">
        <v>7700</v>
      </c>
      <c r="B279" s="247" t="s">
        <v>298</v>
      </c>
      <c r="C279" s="302">
        <f t="shared" si="50"/>
        <v>0</v>
      </c>
      <c r="D279" s="360">
        <f>D280</f>
        <v>0</v>
      </c>
      <c r="E279" s="679">
        <f>SUM(E280)</f>
        <v>0</v>
      </c>
      <c r="F279" s="302">
        <f t="shared" si="37"/>
        <v>0</v>
      </c>
      <c r="G279" s="360">
        <f>G280</f>
        <v>0</v>
      </c>
      <c r="H279" s="361">
        <f>SUM(H280)</f>
        <v>0</v>
      </c>
      <c r="I279" s="305">
        <f t="shared" si="38"/>
        <v>0</v>
      </c>
      <c r="J279" s="360">
        <f>J280</f>
        <v>0</v>
      </c>
      <c r="K279" s="361">
        <f>SUM(K280)</f>
        <v>0</v>
      </c>
      <c r="L279" s="305">
        <f t="shared" si="39"/>
        <v>0</v>
      </c>
      <c r="M279" s="303">
        <f>SUM(M280)</f>
        <v>0</v>
      </c>
      <c r="N279" s="304">
        <f>SUM(N280)</f>
        <v>0</v>
      </c>
      <c r="O279" s="305">
        <f t="shared" si="57"/>
        <v>0</v>
      </c>
      <c r="P279" s="306"/>
    </row>
    <row r="280" spans="1:16" hidden="1" x14ac:dyDescent="0.25">
      <c r="A280" s="141">
        <v>7720</v>
      </c>
      <c r="B280" s="142" t="s">
        <v>299</v>
      </c>
      <c r="C280" s="362">
        <f t="shared" si="50"/>
        <v>0</v>
      </c>
      <c r="D280" s="149"/>
      <c r="E280" s="686"/>
      <c r="F280" s="362">
        <f t="shared" si="37"/>
        <v>0</v>
      </c>
      <c r="G280" s="149"/>
      <c r="H280" s="150"/>
      <c r="I280" s="151">
        <f t="shared" si="38"/>
        <v>0</v>
      </c>
      <c r="J280" s="149"/>
      <c r="K280" s="150"/>
      <c r="L280" s="151">
        <f t="shared" si="39"/>
        <v>0</v>
      </c>
      <c r="M280" s="365"/>
      <c r="N280" s="363"/>
      <c r="O280" s="151">
        <f>M280+N280</f>
        <v>0</v>
      </c>
      <c r="P280" s="153"/>
    </row>
    <row r="281" spans="1:16" hidden="1" x14ac:dyDescent="0.25">
      <c r="A281" s="366"/>
      <c r="B281" s="179" t="s">
        <v>300</v>
      </c>
      <c r="C281" s="296">
        <f t="shared" si="50"/>
        <v>0</v>
      </c>
      <c r="D281" s="255">
        <f>SUM(D282:D283)</f>
        <v>0</v>
      </c>
      <c r="E281" s="256">
        <f>SUM(E282:E283)</f>
        <v>0</v>
      </c>
      <c r="F281" s="257">
        <f t="shared" si="37"/>
        <v>0</v>
      </c>
      <c r="G281" s="255">
        <f>SUM(G282:G283)</f>
        <v>0</v>
      </c>
      <c r="H281" s="258">
        <f>SUM(H282:H283)</f>
        <v>0</v>
      </c>
      <c r="I281" s="259">
        <f t="shared" si="38"/>
        <v>0</v>
      </c>
      <c r="J281" s="255">
        <f>SUM(J282:J283)</f>
        <v>0</v>
      </c>
      <c r="K281" s="258">
        <f>SUM(K282:K283)</f>
        <v>0</v>
      </c>
      <c r="L281" s="259">
        <f t="shared" si="39"/>
        <v>0</v>
      </c>
      <c r="M281" s="260">
        <f>SUM(M282:M283)</f>
        <v>0</v>
      </c>
      <c r="N281" s="261">
        <f>SUM(N282:N283)</f>
        <v>0</v>
      </c>
      <c r="O281" s="259">
        <f t="shared" ref="O281:O296" si="58">M281+N281</f>
        <v>0</v>
      </c>
      <c r="P281" s="189"/>
    </row>
    <row r="282" spans="1:16" hidden="1" x14ac:dyDescent="0.25">
      <c r="A282" s="346" t="s">
        <v>301</v>
      </c>
      <c r="B282" s="76" t="s">
        <v>302</v>
      </c>
      <c r="C282" s="279">
        <f t="shared" si="50"/>
        <v>0</v>
      </c>
      <c r="D282" s="134"/>
      <c r="E282" s="283"/>
      <c r="F282" s="279">
        <f t="shared" si="37"/>
        <v>0</v>
      </c>
      <c r="G282" s="134"/>
      <c r="H282" s="135"/>
      <c r="I282" s="136">
        <f t="shared" si="38"/>
        <v>0</v>
      </c>
      <c r="J282" s="134"/>
      <c r="K282" s="135"/>
      <c r="L282" s="136">
        <f t="shared" si="39"/>
        <v>0</v>
      </c>
      <c r="M282" s="284"/>
      <c r="N282" s="285"/>
      <c r="O282" s="136">
        <f t="shared" si="58"/>
        <v>0</v>
      </c>
      <c r="P282" s="85"/>
    </row>
    <row r="283" spans="1:16" ht="24" hidden="1" x14ac:dyDescent="0.25">
      <c r="A283" s="346" t="s">
        <v>303</v>
      </c>
      <c r="B283" s="367" t="s">
        <v>304</v>
      </c>
      <c r="C283" s="296">
        <f t="shared" si="50"/>
        <v>0</v>
      </c>
      <c r="D283" s="123"/>
      <c r="E283" s="295"/>
      <c r="F283" s="296">
        <f t="shared" si="37"/>
        <v>0</v>
      </c>
      <c r="G283" s="123"/>
      <c r="H283" s="124"/>
      <c r="I283" s="125">
        <f t="shared" si="38"/>
        <v>0</v>
      </c>
      <c r="J283" s="123"/>
      <c r="K283" s="124"/>
      <c r="L283" s="125">
        <f t="shared" si="39"/>
        <v>0</v>
      </c>
      <c r="M283" s="264"/>
      <c r="N283" s="262"/>
      <c r="O283" s="125">
        <f t="shared" si="58"/>
        <v>0</v>
      </c>
      <c r="P283" s="74"/>
    </row>
    <row r="284" spans="1:16" hidden="1" x14ac:dyDescent="0.25">
      <c r="A284" s="368"/>
      <c r="B284" s="369" t="s">
        <v>305</v>
      </c>
      <c r="C284" s="373">
        <f>SUM(C281,C268,C230,C195,C187,C173,C75,C53)</f>
        <v>0</v>
      </c>
      <c r="D284" s="371">
        <f>SUM(D281,D268,D230,D195,D187,D173,D75,D53)</f>
        <v>0</v>
      </c>
      <c r="E284" s="372">
        <f>SUM(E281,E268,E230,E195,E187,E173,E75,E53)</f>
        <v>0</v>
      </c>
      <c r="F284" s="373">
        <f t="shared" si="37"/>
        <v>0</v>
      </c>
      <c r="G284" s="371">
        <f>SUM(G281,G268,G230,G195,G187,G173,G75,G53)</f>
        <v>0</v>
      </c>
      <c r="H284" s="374">
        <f>SUM(H281,H268,H230,H195,H187,H173,H75,H53)</f>
        <v>0</v>
      </c>
      <c r="I284" s="375">
        <f t="shared" si="38"/>
        <v>0</v>
      </c>
      <c r="J284" s="371">
        <f>SUM(J281,J268,J230,J195,J187,J173,J75,J53)</f>
        <v>0</v>
      </c>
      <c r="K284" s="374">
        <f>SUM(K281,K268,K230,K195,K187,K173,K75,K53)</f>
        <v>0</v>
      </c>
      <c r="L284" s="375">
        <f t="shared" si="39"/>
        <v>0</v>
      </c>
      <c r="M284" s="250">
        <f>SUM(M281,M268,M230,M195,M187,M173,M75,M53)</f>
        <v>0</v>
      </c>
      <c r="N284" s="251">
        <f>SUM(N281,N268,N230,N195,N187,N173,N75,N53)</f>
        <v>0</v>
      </c>
      <c r="O284" s="252">
        <f t="shared" si="58"/>
        <v>0</v>
      </c>
      <c r="P284" s="253"/>
    </row>
    <row r="285" spans="1:16" hidden="1" x14ac:dyDescent="0.25">
      <c r="A285" s="376" t="s">
        <v>306</v>
      </c>
      <c r="B285" s="377"/>
      <c r="C285" s="381">
        <f t="shared" ref="C285" si="59">F285+I285+L285+O285</f>
        <v>0</v>
      </c>
      <c r="D285" s="379">
        <f>SUM(D25,D26,D42)-D51</f>
        <v>0</v>
      </c>
      <c r="E285" s="380">
        <f>SUM(E25,E26,E42)-E51</f>
        <v>0</v>
      </c>
      <c r="F285" s="381">
        <f t="shared" si="37"/>
        <v>0</v>
      </c>
      <c r="G285" s="379">
        <f>SUM(G25,G26,G42)-G51</f>
        <v>0</v>
      </c>
      <c r="H285" s="382">
        <f>SUM(H25,H26,H42)-H51</f>
        <v>0</v>
      </c>
      <c r="I285" s="383">
        <f t="shared" si="38"/>
        <v>0</v>
      </c>
      <c r="J285" s="379">
        <f>(J27+J43)-J51</f>
        <v>0</v>
      </c>
      <c r="K285" s="382">
        <f>(K27+K43)-K51</f>
        <v>0</v>
      </c>
      <c r="L285" s="383">
        <f t="shared" si="39"/>
        <v>0</v>
      </c>
      <c r="M285" s="378">
        <f>M45-M51</f>
        <v>0</v>
      </c>
      <c r="N285" s="384">
        <f>N45-N51</f>
        <v>0</v>
      </c>
      <c r="O285" s="383">
        <f t="shared" si="58"/>
        <v>0</v>
      </c>
      <c r="P285" s="385"/>
    </row>
    <row r="286" spans="1:16" s="41" customFormat="1" hidden="1" x14ac:dyDescent="0.25">
      <c r="A286" s="376" t="s">
        <v>307</v>
      </c>
      <c r="B286" s="377"/>
      <c r="C286" s="381">
        <f>SUM(C287,C288)-C295+C296</f>
        <v>0</v>
      </c>
      <c r="D286" s="379">
        <f>SUM(D287,D288)-D295+D296</f>
        <v>0</v>
      </c>
      <c r="E286" s="380">
        <f>SUM(E287,E288)-E295+E296</f>
        <v>0</v>
      </c>
      <c r="F286" s="381">
        <f t="shared" si="37"/>
        <v>0</v>
      </c>
      <c r="G286" s="379">
        <f>SUM(G287,G288)-G295+G296</f>
        <v>0</v>
      </c>
      <c r="H286" s="382">
        <f>SUM(H287,H288)-H295+H296</f>
        <v>0</v>
      </c>
      <c r="I286" s="383">
        <f t="shared" si="38"/>
        <v>0</v>
      </c>
      <c r="J286" s="379">
        <f>SUM(J287,J288)-J295+J296</f>
        <v>0</v>
      </c>
      <c r="K286" s="382">
        <f>SUM(K287,K288)-K295+K296</f>
        <v>0</v>
      </c>
      <c r="L286" s="383">
        <f t="shared" si="39"/>
        <v>0</v>
      </c>
      <c r="M286" s="378">
        <f>SUM(M287,M288)-M295+M296</f>
        <v>0</v>
      </c>
      <c r="N286" s="384">
        <f>SUM(N287,N288)-N295+N296</f>
        <v>0</v>
      </c>
      <c r="O286" s="383">
        <f t="shared" si="58"/>
        <v>0</v>
      </c>
      <c r="P286" s="385"/>
    </row>
    <row r="287" spans="1:16" s="41" customFormat="1" x14ac:dyDescent="0.25">
      <c r="A287" s="386" t="s">
        <v>308</v>
      </c>
      <c r="B287" s="387" t="s">
        <v>309</v>
      </c>
      <c r="C287" s="381">
        <f>C22-C281</f>
        <v>8314</v>
      </c>
      <c r="D287" s="379">
        <f>D22-D281</f>
        <v>8313</v>
      </c>
      <c r="E287" s="380">
        <f>E22-E281</f>
        <v>1</v>
      </c>
      <c r="F287" s="381">
        <f t="shared" si="37"/>
        <v>8314</v>
      </c>
      <c r="G287" s="379">
        <f>G22-G281</f>
        <v>0</v>
      </c>
      <c r="H287" s="382">
        <f>H22-H281</f>
        <v>0</v>
      </c>
      <c r="I287" s="383">
        <f t="shared" si="38"/>
        <v>0</v>
      </c>
      <c r="J287" s="379">
        <f>J22-J281</f>
        <v>0</v>
      </c>
      <c r="K287" s="382">
        <f>K22-K281</f>
        <v>0</v>
      </c>
      <c r="L287" s="383">
        <f t="shared" si="39"/>
        <v>0</v>
      </c>
      <c r="M287" s="378">
        <f>M22-M281</f>
        <v>0</v>
      </c>
      <c r="N287" s="384">
        <f>N22-N281</f>
        <v>0</v>
      </c>
      <c r="O287" s="383">
        <f t="shared" si="58"/>
        <v>0</v>
      </c>
      <c r="P287" s="385"/>
    </row>
    <row r="288" spans="1:16" s="41" customFormat="1" hidden="1" x14ac:dyDescent="0.25">
      <c r="A288" s="387" t="s">
        <v>310</v>
      </c>
      <c r="B288" s="387" t="s">
        <v>311</v>
      </c>
      <c r="C288" s="381">
        <f>SUM(C289,C291,C293)-SUM(C290,C292,C294)</f>
        <v>0</v>
      </c>
      <c r="D288" s="379">
        <f>SUM(D289,D291,D293)-SUM(D290,D292,D294)</f>
        <v>0</v>
      </c>
      <c r="E288" s="380">
        <f t="shared" ref="E288" si="60">SUM(E289,E291,E293)-SUM(E290,E292,E294)</f>
        <v>0</v>
      </c>
      <c r="F288" s="381">
        <f t="shared" si="37"/>
        <v>0</v>
      </c>
      <c r="G288" s="379">
        <f t="shared" ref="G288:H288" si="61">SUM(G289,G291,G293)-SUM(G290,G292,G294)</f>
        <v>0</v>
      </c>
      <c r="H288" s="382">
        <f t="shared" si="61"/>
        <v>0</v>
      </c>
      <c r="I288" s="383">
        <f t="shared" si="38"/>
        <v>0</v>
      </c>
      <c r="J288" s="379">
        <f t="shared" ref="J288:K288" si="62">SUM(J289,J291,J293)-SUM(J290,J292,J294)</f>
        <v>0</v>
      </c>
      <c r="K288" s="382">
        <f t="shared" si="62"/>
        <v>0</v>
      </c>
      <c r="L288" s="383">
        <f t="shared" si="39"/>
        <v>0</v>
      </c>
      <c r="M288" s="378">
        <f t="shared" ref="M288:N288" si="63">SUM(M289,M291,M293)-SUM(M290,M292,M294)</f>
        <v>0</v>
      </c>
      <c r="N288" s="384">
        <f t="shared" si="63"/>
        <v>0</v>
      </c>
      <c r="O288" s="383">
        <f t="shared" si="58"/>
        <v>0</v>
      </c>
      <c r="P288" s="385"/>
    </row>
    <row r="289" spans="1:17" s="41" customFormat="1" hidden="1" x14ac:dyDescent="0.25">
      <c r="A289" s="366" t="s">
        <v>312</v>
      </c>
      <c r="B289" s="190" t="s">
        <v>313</v>
      </c>
      <c r="C289" s="362">
        <f t="shared" ref="C289:C296" si="64">F289+I289+L289+O289</f>
        <v>0</v>
      </c>
      <c r="D289" s="149"/>
      <c r="E289" s="686"/>
      <c r="F289" s="362">
        <f t="shared" si="37"/>
        <v>0</v>
      </c>
      <c r="G289" s="149"/>
      <c r="H289" s="150"/>
      <c r="I289" s="151">
        <f t="shared" si="38"/>
        <v>0</v>
      </c>
      <c r="J289" s="149"/>
      <c r="K289" s="150"/>
      <c r="L289" s="151">
        <f t="shared" si="39"/>
        <v>0</v>
      </c>
      <c r="M289" s="365"/>
      <c r="N289" s="363"/>
      <c r="O289" s="151">
        <f t="shared" si="58"/>
        <v>0</v>
      </c>
      <c r="P289" s="153"/>
    </row>
    <row r="290" spans="1:17" ht="24" hidden="1" x14ac:dyDescent="0.25">
      <c r="A290" s="346" t="s">
        <v>314</v>
      </c>
      <c r="B290" s="75" t="s">
        <v>315</v>
      </c>
      <c r="C290" s="279">
        <f t="shared" si="64"/>
        <v>0</v>
      </c>
      <c r="D290" s="134"/>
      <c r="E290" s="283"/>
      <c r="F290" s="279">
        <f t="shared" si="37"/>
        <v>0</v>
      </c>
      <c r="G290" s="134"/>
      <c r="H290" s="135"/>
      <c r="I290" s="136">
        <f t="shared" si="38"/>
        <v>0</v>
      </c>
      <c r="J290" s="134"/>
      <c r="K290" s="135"/>
      <c r="L290" s="136">
        <f t="shared" si="39"/>
        <v>0</v>
      </c>
      <c r="M290" s="284"/>
      <c r="N290" s="285"/>
      <c r="O290" s="136">
        <f t="shared" si="58"/>
        <v>0</v>
      </c>
      <c r="P290" s="85"/>
    </row>
    <row r="291" spans="1:17" hidden="1" x14ac:dyDescent="0.25">
      <c r="A291" s="346" t="s">
        <v>316</v>
      </c>
      <c r="B291" s="75" t="s">
        <v>317</v>
      </c>
      <c r="C291" s="279">
        <f t="shared" si="64"/>
        <v>0</v>
      </c>
      <c r="D291" s="134"/>
      <c r="E291" s="283"/>
      <c r="F291" s="279">
        <f t="shared" si="37"/>
        <v>0</v>
      </c>
      <c r="G291" s="134"/>
      <c r="H291" s="135"/>
      <c r="I291" s="136">
        <f t="shared" si="38"/>
        <v>0</v>
      </c>
      <c r="J291" s="134"/>
      <c r="K291" s="135"/>
      <c r="L291" s="136">
        <f t="shared" si="39"/>
        <v>0</v>
      </c>
      <c r="M291" s="284"/>
      <c r="N291" s="285"/>
      <c r="O291" s="136">
        <f t="shared" si="58"/>
        <v>0</v>
      </c>
      <c r="P291" s="85"/>
    </row>
    <row r="292" spans="1:17" ht="24" hidden="1" x14ac:dyDescent="0.25">
      <c r="A292" s="346" t="s">
        <v>318</v>
      </c>
      <c r="B292" s="75" t="s">
        <v>319</v>
      </c>
      <c r="C292" s="279">
        <f t="shared" si="64"/>
        <v>0</v>
      </c>
      <c r="D292" s="134"/>
      <c r="E292" s="283"/>
      <c r="F292" s="279">
        <f t="shared" si="37"/>
        <v>0</v>
      </c>
      <c r="G292" s="134"/>
      <c r="H292" s="135"/>
      <c r="I292" s="136">
        <f t="shared" si="38"/>
        <v>0</v>
      </c>
      <c r="J292" s="134"/>
      <c r="K292" s="135"/>
      <c r="L292" s="136">
        <f t="shared" si="39"/>
        <v>0</v>
      </c>
      <c r="M292" s="284"/>
      <c r="N292" s="285"/>
      <c r="O292" s="136">
        <f t="shared" si="58"/>
        <v>0</v>
      </c>
      <c r="P292" s="85"/>
    </row>
    <row r="293" spans="1:17" hidden="1" x14ac:dyDescent="0.25">
      <c r="A293" s="346" t="s">
        <v>320</v>
      </c>
      <c r="B293" s="75" t="s">
        <v>321</v>
      </c>
      <c r="C293" s="279">
        <f t="shared" si="64"/>
        <v>0</v>
      </c>
      <c r="D293" s="134"/>
      <c r="E293" s="283"/>
      <c r="F293" s="279">
        <f t="shared" si="37"/>
        <v>0</v>
      </c>
      <c r="G293" s="134"/>
      <c r="H293" s="135"/>
      <c r="I293" s="136">
        <f t="shared" si="38"/>
        <v>0</v>
      </c>
      <c r="J293" s="134"/>
      <c r="K293" s="135"/>
      <c r="L293" s="136">
        <f t="shared" si="39"/>
        <v>0</v>
      </c>
      <c r="M293" s="284"/>
      <c r="N293" s="285"/>
      <c r="O293" s="136">
        <f t="shared" si="58"/>
        <v>0</v>
      </c>
      <c r="P293" s="85"/>
    </row>
    <row r="294" spans="1:17" ht="24" hidden="1" x14ac:dyDescent="0.25">
      <c r="A294" s="389" t="s">
        <v>322</v>
      </c>
      <c r="B294" s="390" t="s">
        <v>323</v>
      </c>
      <c r="C294" s="647">
        <f t="shared" si="64"/>
        <v>0</v>
      </c>
      <c r="D294" s="328"/>
      <c r="E294" s="683"/>
      <c r="F294" s="647">
        <f t="shared" si="37"/>
        <v>0</v>
      </c>
      <c r="G294" s="328"/>
      <c r="H294" s="331"/>
      <c r="I294" s="324">
        <f t="shared" si="38"/>
        <v>0</v>
      </c>
      <c r="J294" s="328"/>
      <c r="K294" s="331"/>
      <c r="L294" s="324">
        <f t="shared" si="39"/>
        <v>0</v>
      </c>
      <c r="M294" s="332"/>
      <c r="N294" s="329"/>
      <c r="O294" s="324">
        <f t="shared" si="58"/>
        <v>0</v>
      </c>
      <c r="P294" s="325"/>
    </row>
    <row r="295" spans="1:17" hidden="1" x14ac:dyDescent="0.25">
      <c r="A295" s="387" t="s">
        <v>324</v>
      </c>
      <c r="B295" s="387" t="s">
        <v>325</v>
      </c>
      <c r="C295" s="381">
        <f t="shared" si="64"/>
        <v>0</v>
      </c>
      <c r="D295" s="392"/>
      <c r="E295" s="687"/>
      <c r="F295" s="381">
        <f t="shared" si="37"/>
        <v>0</v>
      </c>
      <c r="G295" s="392"/>
      <c r="H295" s="394"/>
      <c r="I295" s="383">
        <f t="shared" si="38"/>
        <v>0</v>
      </c>
      <c r="J295" s="392"/>
      <c r="K295" s="394"/>
      <c r="L295" s="383">
        <f t="shared" si="39"/>
        <v>0</v>
      </c>
      <c r="M295" s="395"/>
      <c r="N295" s="393"/>
      <c r="O295" s="383">
        <f t="shared" si="58"/>
        <v>0</v>
      </c>
      <c r="P295" s="385"/>
    </row>
    <row r="296" spans="1:17" s="41" customFormat="1" ht="48" x14ac:dyDescent="0.25">
      <c r="A296" s="387" t="s">
        <v>326</v>
      </c>
      <c r="B296" s="396" t="s">
        <v>327</v>
      </c>
      <c r="C296" s="651">
        <f t="shared" si="64"/>
        <v>-8314</v>
      </c>
      <c r="D296" s="398">
        <v>-8313</v>
      </c>
      <c r="E296" s="688">
        <v>-1</v>
      </c>
      <c r="F296" s="651">
        <f t="shared" si="37"/>
        <v>-8314</v>
      </c>
      <c r="G296" s="392"/>
      <c r="H296" s="394"/>
      <c r="I296" s="383">
        <f t="shared" si="38"/>
        <v>0</v>
      </c>
      <c r="J296" s="392"/>
      <c r="K296" s="394"/>
      <c r="L296" s="383">
        <f t="shared" si="39"/>
        <v>0</v>
      </c>
      <c r="M296" s="395"/>
      <c r="N296" s="393"/>
      <c r="O296" s="383">
        <f t="shared" si="58"/>
        <v>0</v>
      </c>
      <c r="P296" s="385"/>
    </row>
    <row r="297" spans="1:17" s="41" customFormat="1" x14ac:dyDescent="0.25">
      <c r="A297" s="401" t="s">
        <v>328</v>
      </c>
      <c r="B297" s="402"/>
      <c r="C297" s="402"/>
      <c r="D297" s="402"/>
      <c r="E297" s="402"/>
      <c r="F297" s="402"/>
      <c r="G297" s="402"/>
      <c r="H297" s="402"/>
      <c r="I297" s="402"/>
      <c r="J297" s="402"/>
      <c r="K297" s="402"/>
      <c r="L297" s="402"/>
      <c r="M297" s="402"/>
      <c r="N297" s="402"/>
      <c r="O297" s="403"/>
      <c r="P297" s="403"/>
      <c r="Q297" s="32"/>
    </row>
    <row r="298" spans="1:17" s="41" customFormat="1" ht="24" customHeight="1" x14ac:dyDescent="0.25">
      <c r="A298" s="1623" t="s">
        <v>1259</v>
      </c>
      <c r="B298" s="1624"/>
      <c r="C298" s="1624"/>
      <c r="D298" s="1624"/>
      <c r="E298" s="1624"/>
      <c r="F298" s="1624"/>
      <c r="G298" s="1624"/>
      <c r="H298" s="1624"/>
      <c r="I298" s="1624"/>
      <c r="J298" s="1624"/>
      <c r="K298" s="1624"/>
      <c r="L298" s="1624"/>
      <c r="M298" s="1624"/>
      <c r="N298" s="1624"/>
      <c r="O298" s="1625"/>
      <c r="P298" s="1034"/>
      <c r="Q298" s="1035"/>
    </row>
    <row r="299" spans="1:17" ht="12.75" thickBot="1" x14ac:dyDescent="0.3">
      <c r="A299" s="404"/>
      <c r="B299" s="405"/>
      <c r="C299" s="405"/>
      <c r="D299" s="405"/>
      <c r="E299" s="405"/>
      <c r="F299" s="405"/>
      <c r="G299" s="405"/>
      <c r="H299" s="405"/>
      <c r="I299" s="405"/>
      <c r="J299" s="405"/>
      <c r="K299" s="405"/>
      <c r="L299" s="405"/>
      <c r="M299" s="405"/>
      <c r="N299" s="405"/>
      <c r="O299" s="406"/>
      <c r="P299" s="406"/>
    </row>
    <row r="300" spans="1:17" x14ac:dyDescent="0.25">
      <c r="A300" s="5"/>
      <c r="B300" s="5"/>
      <c r="C300" s="5"/>
      <c r="D300" s="5"/>
      <c r="E300" s="5"/>
      <c r="F300" s="5"/>
      <c r="G300" s="5"/>
      <c r="H300" s="5"/>
      <c r="I300" s="5"/>
      <c r="J300" s="5"/>
      <c r="K300" s="5"/>
      <c r="L300" s="5"/>
      <c r="M300" s="5"/>
      <c r="N300" s="5"/>
      <c r="O300" s="5"/>
    </row>
    <row r="301" spans="1:17" x14ac:dyDescent="0.25">
      <c r="A301" s="5"/>
      <c r="B301" s="5"/>
      <c r="C301" s="5"/>
      <c r="D301" s="5"/>
      <c r="E301" s="5"/>
      <c r="F301" s="5"/>
      <c r="G301" s="5"/>
      <c r="H301" s="5"/>
      <c r="I301" s="5"/>
      <c r="J301" s="5"/>
      <c r="K301" s="5"/>
      <c r="L301" s="5"/>
      <c r="M301" s="5"/>
      <c r="N301" s="5"/>
      <c r="O301" s="5"/>
    </row>
    <row r="302" spans="1:17" x14ac:dyDescent="0.25">
      <c r="A302" s="5"/>
      <c r="B302" s="5"/>
      <c r="C302" s="5"/>
      <c r="D302" s="5"/>
      <c r="E302" s="5"/>
      <c r="F302" s="5"/>
      <c r="G302" s="5"/>
      <c r="H302" s="5"/>
      <c r="I302" s="5"/>
      <c r="J302" s="5"/>
      <c r="K302" s="5"/>
      <c r="L302" s="5"/>
      <c r="M302" s="5"/>
      <c r="N302" s="5"/>
      <c r="O302" s="5"/>
    </row>
    <row r="303" spans="1:17" x14ac:dyDescent="0.25">
      <c r="A303" s="5"/>
      <c r="B303" s="5"/>
      <c r="C303" s="5"/>
      <c r="D303" s="5"/>
      <c r="E303" s="5"/>
      <c r="F303" s="5"/>
      <c r="G303" s="5"/>
      <c r="H303" s="5"/>
      <c r="I303" s="5"/>
      <c r="J303" s="5"/>
      <c r="K303" s="5"/>
      <c r="L303" s="5"/>
      <c r="M303" s="5"/>
      <c r="N303" s="5"/>
      <c r="O303" s="5"/>
    </row>
    <row r="304" spans="1:17"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sheetData>
  <sheetProtection algorithmName="SHA-512" hashValue="fEJ8eH61xW5u4C0nRfbqcgP9Xyfno6LR5Y5jNAnLuQ0Z3xtz+QXeYa7WBAJN89KtqYI7bEW8CTbAa7UVRRX7LQ==" saltValue="Ka07qNGpWVefutxkeEq04A==" spinCount="100000" sheet="1" objects="1" scenarios="1" formatCells="0" formatColumns="0" formatRows="0"/>
  <autoFilter ref="A19:P298">
    <filterColumn colId="2">
      <filters blank="1">
        <filter val="8 314"/>
        <filter val="-8 314"/>
      </filters>
    </filterColumn>
  </autoFilter>
  <mergeCells count="31">
    <mergeCell ref="A298:O298"/>
    <mergeCell ref="H17:H18"/>
    <mergeCell ref="I17:I18"/>
    <mergeCell ref="J17:J18"/>
    <mergeCell ref="K17:K18"/>
    <mergeCell ref="L17:L18"/>
    <mergeCell ref="M17:M18"/>
    <mergeCell ref="C15:P15"/>
    <mergeCell ref="A16:A18"/>
    <mergeCell ref="B16:B18"/>
    <mergeCell ref="C16:O16"/>
    <mergeCell ref="P16:P18"/>
    <mergeCell ref="C17:C18"/>
    <mergeCell ref="D17:D18"/>
    <mergeCell ref="E17:E18"/>
    <mergeCell ref="F17:F18"/>
    <mergeCell ref="G17:G18"/>
    <mergeCell ref="N17:N18"/>
    <mergeCell ref="O17:O18"/>
    <mergeCell ref="C14:P14"/>
    <mergeCell ref="A2:P2"/>
    <mergeCell ref="C3:P3"/>
    <mergeCell ref="C4:P4"/>
    <mergeCell ref="C5:P5"/>
    <mergeCell ref="C6:P6"/>
    <mergeCell ref="C7:P7"/>
    <mergeCell ref="C8:P8"/>
    <mergeCell ref="C10:P10"/>
    <mergeCell ref="C11:P11"/>
    <mergeCell ref="C12:P12"/>
    <mergeCell ref="C13:P13"/>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80.pielikums Jūrmalas pilsētas domes
2017.gada 30.janvāra saistošajiem noteikumiem Nr.10
(Protokols Nr.4, 1.punkts)
 </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21"/>
  <sheetViews>
    <sheetView view="pageLayout" zoomScaleNormal="90" workbookViewId="0">
      <selection activeCell="T4" sqref="T4"/>
    </sheetView>
  </sheetViews>
  <sheetFormatPr defaultRowHeight="12" outlineLevelCol="1" x14ac:dyDescent="0.25"/>
  <cols>
    <col min="1" max="1" width="10.85546875" style="1" customWidth="1"/>
    <col min="2" max="2" width="34.42578125"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508</v>
      </c>
    </row>
    <row r="2" spans="1:17" x14ac:dyDescent="0.25">
      <c r="B2" s="2"/>
      <c r="C2" s="2"/>
      <c r="D2" s="2"/>
      <c r="E2" s="2"/>
      <c r="F2" s="2"/>
      <c r="G2" s="2"/>
      <c r="H2" s="2"/>
      <c r="I2" s="2"/>
      <c r="J2" s="2"/>
      <c r="K2" s="2"/>
      <c r="L2" s="2"/>
      <c r="M2" s="3"/>
      <c r="N2" s="3"/>
      <c r="O2" s="4"/>
    </row>
    <row r="3" spans="1:17" x14ac:dyDescent="0.25">
      <c r="A3" s="1589"/>
      <c r="B3" s="1590"/>
      <c r="C3" s="1590"/>
      <c r="D3" s="1590"/>
      <c r="E3" s="1590"/>
      <c r="F3" s="1590"/>
      <c r="G3" s="1590"/>
      <c r="H3" s="1590"/>
      <c r="I3" s="1590"/>
      <c r="J3" s="1590"/>
      <c r="K3" s="1590"/>
      <c r="L3" s="1590"/>
      <c r="M3" s="1590"/>
      <c r="N3" s="1590"/>
      <c r="O3" s="1590"/>
      <c r="P3" s="1591"/>
      <c r="Q3" s="7"/>
    </row>
    <row r="4" spans="1:17" ht="15.75" x14ac:dyDescent="0.25">
      <c r="A4" s="1560" t="s">
        <v>1</v>
      </c>
      <c r="B4" s="1561"/>
      <c r="C4" s="1561"/>
      <c r="D4" s="1561"/>
      <c r="E4" s="1561"/>
      <c r="F4" s="1561"/>
      <c r="G4" s="1561"/>
      <c r="H4" s="1561"/>
      <c r="I4" s="1561"/>
      <c r="J4" s="1561"/>
      <c r="K4" s="1561"/>
      <c r="L4" s="1561"/>
      <c r="M4" s="1561"/>
      <c r="N4" s="1561"/>
      <c r="O4" s="1561"/>
      <c r="P4" s="1561"/>
      <c r="Q4" s="7"/>
    </row>
    <row r="5" spans="1:17" ht="15.75" x14ac:dyDescent="0.25">
      <c r="A5" s="607"/>
      <c r="B5" s="608"/>
      <c r="C5" s="608"/>
      <c r="D5" s="608"/>
      <c r="E5" s="608"/>
      <c r="F5" s="608"/>
      <c r="G5" s="608"/>
      <c r="H5" s="608"/>
      <c r="I5" s="608"/>
      <c r="J5" s="608"/>
      <c r="K5" s="608"/>
      <c r="L5" s="608"/>
      <c r="M5" s="608"/>
      <c r="N5" s="608"/>
      <c r="O5" s="608"/>
      <c r="P5" s="608"/>
      <c r="Q5" s="7"/>
    </row>
    <row r="6" spans="1:17" ht="12.75" x14ac:dyDescent="0.25">
      <c r="A6" s="13" t="s">
        <v>2</v>
      </c>
      <c r="B6" s="14"/>
      <c r="C6" s="1555" t="s">
        <v>501</v>
      </c>
      <c r="D6" s="1555"/>
      <c r="E6" s="1555"/>
      <c r="F6" s="1555"/>
      <c r="G6" s="1555"/>
      <c r="H6" s="1555"/>
      <c r="I6" s="1555"/>
      <c r="J6" s="1555"/>
      <c r="K6" s="1555"/>
      <c r="L6" s="1555"/>
      <c r="M6" s="1555"/>
      <c r="N6" s="1555"/>
      <c r="O6" s="1555"/>
      <c r="P6" s="1555"/>
      <c r="Q6" s="7"/>
    </row>
    <row r="7" spans="1:17" ht="12.75" x14ac:dyDescent="0.25">
      <c r="A7" s="13" t="s">
        <v>4</v>
      </c>
      <c r="B7" s="14"/>
      <c r="C7" s="1555" t="s">
        <v>502</v>
      </c>
      <c r="D7" s="1555"/>
      <c r="E7" s="1555"/>
      <c r="F7" s="1555"/>
      <c r="G7" s="1555"/>
      <c r="H7" s="1555"/>
      <c r="I7" s="1555"/>
      <c r="J7" s="1555"/>
      <c r="K7" s="1555"/>
      <c r="L7" s="1555"/>
      <c r="M7" s="1555"/>
      <c r="N7" s="1555"/>
      <c r="O7" s="1555"/>
      <c r="P7" s="1555"/>
      <c r="Q7" s="7"/>
    </row>
    <row r="8" spans="1:17" x14ac:dyDescent="0.25">
      <c r="A8" s="8" t="s">
        <v>6</v>
      </c>
      <c r="B8" s="9"/>
      <c r="C8" s="1553" t="s">
        <v>503</v>
      </c>
      <c r="D8" s="1553"/>
      <c r="E8" s="1553"/>
      <c r="F8" s="1553"/>
      <c r="G8" s="1553"/>
      <c r="H8" s="1553"/>
      <c r="I8" s="1553"/>
      <c r="J8" s="1553"/>
      <c r="K8" s="1553"/>
      <c r="L8" s="1553"/>
      <c r="M8" s="1553"/>
      <c r="N8" s="1553"/>
      <c r="O8" s="1553"/>
      <c r="P8" s="1553"/>
      <c r="Q8" s="7"/>
    </row>
    <row r="9" spans="1:17" x14ac:dyDescent="0.25">
      <c r="A9" s="8" t="s">
        <v>8</v>
      </c>
      <c r="B9" s="9"/>
      <c r="C9" s="1553" t="s">
        <v>455</v>
      </c>
      <c r="D9" s="1553"/>
      <c r="E9" s="1553"/>
      <c r="F9" s="1553"/>
      <c r="G9" s="1553"/>
      <c r="H9" s="1553"/>
      <c r="I9" s="1553"/>
      <c r="J9" s="1553"/>
      <c r="K9" s="1553"/>
      <c r="L9" s="1553"/>
      <c r="M9" s="1553"/>
      <c r="N9" s="1553"/>
      <c r="O9" s="1553"/>
      <c r="P9" s="1553"/>
      <c r="Q9" s="7"/>
    </row>
    <row r="10" spans="1:17" ht="36" customHeight="1" x14ac:dyDescent="0.25">
      <c r="A10" s="8" t="s">
        <v>10</v>
      </c>
      <c r="B10" s="9"/>
      <c r="C10" s="1555" t="s">
        <v>509</v>
      </c>
      <c r="D10" s="1555"/>
      <c r="E10" s="1555"/>
      <c r="F10" s="1555"/>
      <c r="G10" s="1555"/>
      <c r="H10" s="1555"/>
      <c r="I10" s="1555"/>
      <c r="J10" s="1555"/>
      <c r="K10" s="1555"/>
      <c r="L10" s="1555"/>
      <c r="M10" s="1555"/>
      <c r="N10" s="1555"/>
      <c r="O10" s="1555"/>
      <c r="P10" s="1555"/>
      <c r="Q10" s="7"/>
    </row>
    <row r="11" spans="1:17" x14ac:dyDescent="0.25">
      <c r="A11" s="8" t="s">
        <v>12</v>
      </c>
      <c r="B11" s="9"/>
      <c r="C11" s="1555"/>
      <c r="D11" s="1555"/>
      <c r="E11" s="1555"/>
      <c r="F11" s="1555"/>
      <c r="G11" s="1555"/>
      <c r="H11" s="1555"/>
      <c r="I11" s="1555"/>
      <c r="J11" s="1555"/>
      <c r="K11" s="1555"/>
      <c r="L11" s="1555"/>
      <c r="M11" s="1555"/>
      <c r="N11" s="1555"/>
      <c r="O11" s="1555"/>
      <c r="P11" s="1555"/>
      <c r="Q11" s="7"/>
    </row>
    <row r="12" spans="1:17" x14ac:dyDescent="0.25">
      <c r="A12" s="15" t="s">
        <v>14</v>
      </c>
      <c r="B12" s="9"/>
      <c r="C12" s="16"/>
      <c r="D12" s="16"/>
      <c r="E12" s="16"/>
      <c r="F12" s="16"/>
      <c r="G12" s="16"/>
      <c r="H12" s="16"/>
      <c r="I12" s="16"/>
      <c r="J12" s="16"/>
      <c r="K12" s="16"/>
      <c r="L12" s="16"/>
      <c r="M12" s="16"/>
      <c r="N12" s="16"/>
      <c r="O12" s="16"/>
      <c r="P12" s="624"/>
      <c r="Q12" s="7"/>
    </row>
    <row r="13" spans="1:17" x14ac:dyDescent="0.25">
      <c r="A13" s="8"/>
      <c r="B13" s="9" t="s">
        <v>15</v>
      </c>
      <c r="C13" s="1553" t="s">
        <v>510</v>
      </c>
      <c r="D13" s="1553"/>
      <c r="E13" s="1553"/>
      <c r="F13" s="1553"/>
      <c r="G13" s="1553"/>
      <c r="H13" s="1553"/>
      <c r="I13" s="1553"/>
      <c r="J13" s="1553"/>
      <c r="K13" s="1553"/>
      <c r="L13" s="1553"/>
      <c r="M13" s="1553"/>
      <c r="N13" s="1553"/>
      <c r="O13" s="1553"/>
      <c r="P13" s="1553"/>
      <c r="Q13" s="7"/>
    </row>
    <row r="14" spans="1:17" x14ac:dyDescent="0.25">
      <c r="A14" s="8"/>
      <c r="B14" s="9" t="s">
        <v>17</v>
      </c>
      <c r="C14" s="1553"/>
      <c r="D14" s="1553"/>
      <c r="E14" s="1553"/>
      <c r="F14" s="1553"/>
      <c r="G14" s="1553"/>
      <c r="H14" s="1553"/>
      <c r="I14" s="1553"/>
      <c r="J14" s="1553"/>
      <c r="K14" s="1553"/>
      <c r="L14" s="1553"/>
      <c r="M14" s="1553"/>
      <c r="N14" s="1553"/>
      <c r="O14" s="1553"/>
      <c r="P14" s="1553"/>
      <c r="Q14" s="7"/>
    </row>
    <row r="15" spans="1:17" x14ac:dyDescent="0.25">
      <c r="A15" s="8"/>
      <c r="B15" s="9" t="s">
        <v>19</v>
      </c>
      <c r="C15" s="1553"/>
      <c r="D15" s="1553"/>
      <c r="E15" s="1553"/>
      <c r="F15" s="1553"/>
      <c r="G15" s="1553"/>
      <c r="H15" s="1553"/>
      <c r="I15" s="1553"/>
      <c r="J15" s="1553"/>
      <c r="K15" s="1553"/>
      <c r="L15" s="1553"/>
      <c r="M15" s="1553"/>
      <c r="N15" s="1553"/>
      <c r="O15" s="1553"/>
      <c r="P15" s="1553"/>
      <c r="Q15" s="7"/>
    </row>
    <row r="16" spans="1:17" x14ac:dyDescent="0.25">
      <c r="A16" s="8"/>
      <c r="B16" s="9" t="s">
        <v>20</v>
      </c>
      <c r="C16" s="1553"/>
      <c r="D16" s="1553"/>
      <c r="E16" s="1553"/>
      <c r="F16" s="1553"/>
      <c r="G16" s="1553"/>
      <c r="H16" s="1553"/>
      <c r="I16" s="1553"/>
      <c r="J16" s="1553"/>
      <c r="K16" s="1553"/>
      <c r="L16" s="1553"/>
      <c r="M16" s="1553"/>
      <c r="N16" s="1553"/>
      <c r="O16" s="1553"/>
      <c r="P16" s="1553"/>
      <c r="Q16" s="7"/>
    </row>
    <row r="17" spans="1:18" x14ac:dyDescent="0.25">
      <c r="A17" s="8"/>
      <c r="B17" s="9" t="s">
        <v>22</v>
      </c>
      <c r="C17" s="1553"/>
      <c r="D17" s="1553"/>
      <c r="E17" s="1553"/>
      <c r="F17" s="1553"/>
      <c r="G17" s="1553"/>
      <c r="H17" s="1553"/>
      <c r="I17" s="1553"/>
      <c r="J17" s="1553"/>
      <c r="K17" s="1553"/>
      <c r="L17" s="1553"/>
      <c r="M17" s="1553"/>
      <c r="N17" s="1553"/>
      <c r="O17" s="1553"/>
      <c r="P17" s="1553"/>
      <c r="Q17" s="7"/>
    </row>
    <row r="18" spans="1:18" x14ac:dyDescent="0.25">
      <c r="A18" s="18"/>
      <c r="B18" s="19"/>
      <c r="C18" s="1569"/>
      <c r="D18" s="1569"/>
      <c r="E18" s="1569"/>
      <c r="F18" s="1569"/>
      <c r="G18" s="1569"/>
      <c r="H18" s="1569"/>
      <c r="I18" s="1569"/>
      <c r="J18" s="1569"/>
      <c r="K18" s="1569"/>
      <c r="L18" s="1569"/>
      <c r="M18" s="1569"/>
      <c r="N18" s="1569"/>
      <c r="O18" s="1569"/>
      <c r="P18" s="1569"/>
      <c r="Q18" s="7"/>
    </row>
    <row r="19" spans="1:18"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18"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18" s="21" customFormat="1" ht="70.5" customHeight="1" thickBot="1" x14ac:dyDescent="0.3">
      <c r="A21" s="1573"/>
      <c r="B21" s="1576"/>
      <c r="C21" s="1581"/>
      <c r="D21" s="1566"/>
      <c r="E21" s="1568"/>
      <c r="F21" s="1564"/>
      <c r="G21" s="1566"/>
      <c r="H21" s="1568"/>
      <c r="I21" s="1564"/>
      <c r="J21" s="1566"/>
      <c r="K21" s="1568"/>
      <c r="L21" s="1564"/>
      <c r="M21" s="1566"/>
      <c r="N21" s="1568"/>
      <c r="O21" s="1564"/>
      <c r="P21" s="1576"/>
    </row>
    <row r="22" spans="1:18" s="21" customFormat="1" ht="9" thickTop="1" x14ac:dyDescent="0.25">
      <c r="A22" s="22" t="s">
        <v>40</v>
      </c>
      <c r="B22" s="22">
        <v>2</v>
      </c>
      <c r="C22" s="22">
        <v>3</v>
      </c>
      <c r="D22" s="24">
        <v>4</v>
      </c>
      <c r="E22" s="29">
        <v>5</v>
      </c>
      <c r="F22" s="27">
        <v>4</v>
      </c>
      <c r="G22" s="24">
        <v>7</v>
      </c>
      <c r="H22" s="26">
        <v>8</v>
      </c>
      <c r="I22" s="27">
        <v>5</v>
      </c>
      <c r="J22" s="24">
        <v>10</v>
      </c>
      <c r="K22" s="28">
        <v>11</v>
      </c>
      <c r="L22" s="27">
        <v>6</v>
      </c>
      <c r="M22" s="28">
        <v>13</v>
      </c>
      <c r="N22" s="29">
        <v>14</v>
      </c>
      <c r="O22" s="27">
        <v>7</v>
      </c>
      <c r="P22" s="27">
        <v>16</v>
      </c>
    </row>
    <row r="23" spans="1:18" s="41" customFormat="1" hidden="1" x14ac:dyDescent="0.25">
      <c r="A23" s="30"/>
      <c r="B23" s="31" t="s">
        <v>41</v>
      </c>
      <c r="C23" s="35"/>
      <c r="D23" s="33"/>
      <c r="E23" s="39"/>
      <c r="F23" s="37"/>
      <c r="G23" s="33"/>
      <c r="H23" s="36"/>
      <c r="I23" s="37"/>
      <c r="J23" s="33"/>
      <c r="K23" s="38"/>
      <c r="L23" s="37"/>
      <c r="M23" s="38"/>
      <c r="N23" s="39"/>
      <c r="O23" s="37"/>
      <c r="P23" s="40"/>
    </row>
    <row r="24" spans="1:18" s="41" customFormat="1" ht="12.75" thickBot="1" x14ac:dyDescent="0.3">
      <c r="A24" s="42"/>
      <c r="B24" s="43" t="s">
        <v>42</v>
      </c>
      <c r="C24" s="47">
        <f>F24+I24+L24+O24</f>
        <v>777986</v>
      </c>
      <c r="D24" s="45">
        <f>SUM(D25,D28,D29,D45,D46)</f>
        <v>778905</v>
      </c>
      <c r="E24" s="51">
        <f>SUM(E25,E28,E29,E45,E46)</f>
        <v>-919</v>
      </c>
      <c r="F24" s="49">
        <f t="shared" ref="F24:F29" si="0">D24+E24</f>
        <v>777986</v>
      </c>
      <c r="G24" s="45">
        <f>SUM(G25,G28,G46)</f>
        <v>0</v>
      </c>
      <c r="H24" s="48">
        <f>SUM(H25,H28,H46)</f>
        <v>0</v>
      </c>
      <c r="I24" s="49">
        <f>G24+H24</f>
        <v>0</v>
      </c>
      <c r="J24" s="45">
        <f>SUM(J25,J30,J46)</f>
        <v>0</v>
      </c>
      <c r="K24" s="48">
        <f>SUM(K25,K30,K46)</f>
        <v>0</v>
      </c>
      <c r="L24" s="49">
        <f>J24+K24</f>
        <v>0</v>
      </c>
      <c r="M24" s="50">
        <f>SUM(M25,M48)</f>
        <v>0</v>
      </c>
      <c r="N24" s="51">
        <f>SUM(N25,N48)</f>
        <v>0</v>
      </c>
      <c r="O24" s="49">
        <f>M24+N24</f>
        <v>0</v>
      </c>
      <c r="P24" s="52"/>
      <c r="R24" s="53"/>
    </row>
    <row r="25" spans="1:18" ht="12.75" hidden="1" thickTop="1" x14ac:dyDescent="0.25">
      <c r="A25" s="54"/>
      <c r="B25" s="55" t="s">
        <v>43</v>
      </c>
      <c r="C25" s="59">
        <f>F25+I25+L25+O25</f>
        <v>0</v>
      </c>
      <c r="D25" s="57">
        <f>SUM(D26:D27)</f>
        <v>0</v>
      </c>
      <c r="E25" s="63">
        <f>SUM(E26:E27)</f>
        <v>0</v>
      </c>
      <c r="F25" s="61">
        <f t="shared" si="0"/>
        <v>0</v>
      </c>
      <c r="G25" s="57">
        <f>SUM(G26:G27)</f>
        <v>0</v>
      </c>
      <c r="H25" s="60">
        <f>SUM(H26:H27)</f>
        <v>0</v>
      </c>
      <c r="I25" s="61">
        <f>G25+H25</f>
        <v>0</v>
      </c>
      <c r="J25" s="57">
        <f>SUM(J26:J27)</f>
        <v>0</v>
      </c>
      <c r="K25" s="60">
        <f>SUM(K26:K27)</f>
        <v>0</v>
      </c>
      <c r="L25" s="61">
        <f>J25+K25</f>
        <v>0</v>
      </c>
      <c r="M25" s="62">
        <f>SUM(M26:M27)</f>
        <v>0</v>
      </c>
      <c r="N25" s="63">
        <f>SUM(N26:N27)</f>
        <v>0</v>
      </c>
      <c r="O25" s="61">
        <f>M25+N25</f>
        <v>0</v>
      </c>
      <c r="P25" s="64"/>
      <c r="R25" s="53"/>
    </row>
    <row r="26" spans="1:18" ht="12.75" hidden="1" thickTop="1" x14ac:dyDescent="0.25">
      <c r="A26" s="65"/>
      <c r="B26" s="66" t="s">
        <v>44</v>
      </c>
      <c r="C26" s="625">
        <f>F26+I26+L26+O26</f>
        <v>0</v>
      </c>
      <c r="D26" s="626"/>
      <c r="E26" s="627"/>
      <c r="F26" s="628">
        <f t="shared" si="0"/>
        <v>0</v>
      </c>
      <c r="G26" s="68"/>
      <c r="H26" s="71"/>
      <c r="I26" s="72">
        <f>G26+H26</f>
        <v>0</v>
      </c>
      <c r="J26" s="68"/>
      <c r="K26" s="71"/>
      <c r="L26" s="72">
        <f>J26+K26</f>
        <v>0</v>
      </c>
      <c r="M26" s="73"/>
      <c r="N26" s="69"/>
      <c r="O26" s="72">
        <f>M26+N26</f>
        <v>0</v>
      </c>
      <c r="P26" s="74"/>
      <c r="R26" s="53"/>
    </row>
    <row r="27" spans="1:18" ht="12.75" hidden="1" thickTop="1" x14ac:dyDescent="0.25">
      <c r="A27" s="75"/>
      <c r="B27" s="76" t="s">
        <v>45</v>
      </c>
      <c r="C27" s="80">
        <f>F27+I27+L27+O27</f>
        <v>0</v>
      </c>
      <c r="D27" s="78"/>
      <c r="E27" s="84"/>
      <c r="F27" s="82">
        <f t="shared" si="0"/>
        <v>0</v>
      </c>
      <c r="G27" s="78"/>
      <c r="H27" s="81"/>
      <c r="I27" s="82">
        <f>G27+H27</f>
        <v>0</v>
      </c>
      <c r="J27" s="78"/>
      <c r="K27" s="81"/>
      <c r="L27" s="82">
        <f>J27+K27</f>
        <v>0</v>
      </c>
      <c r="M27" s="83"/>
      <c r="N27" s="84"/>
      <c r="O27" s="82">
        <f>M27+N27</f>
        <v>0</v>
      </c>
      <c r="P27" s="85"/>
      <c r="R27" s="53"/>
    </row>
    <row r="28" spans="1:18" s="41" customFormat="1" ht="25.5" thickTop="1" thickBot="1" x14ac:dyDescent="0.3">
      <c r="A28" s="86">
        <v>19300</v>
      </c>
      <c r="B28" s="86" t="s">
        <v>46</v>
      </c>
      <c r="C28" s="90">
        <f>SUM(F28,I28)</f>
        <v>777986</v>
      </c>
      <c r="D28" s="629">
        <f>779703+8000-8798</f>
        <v>778905</v>
      </c>
      <c r="E28" s="652">
        <v>-919</v>
      </c>
      <c r="F28" s="630">
        <f t="shared" si="0"/>
        <v>777986</v>
      </c>
      <c r="G28" s="88">
        <f>G54</f>
        <v>0</v>
      </c>
      <c r="H28" s="91"/>
      <c r="I28" s="92">
        <f>G28+H28</f>
        <v>0</v>
      </c>
      <c r="J28" s="93" t="s">
        <v>47</v>
      </c>
      <c r="K28" s="94" t="s">
        <v>47</v>
      </c>
      <c r="L28" s="95" t="s">
        <v>47</v>
      </c>
      <c r="M28" s="96" t="s">
        <v>47</v>
      </c>
      <c r="N28" s="97" t="s">
        <v>47</v>
      </c>
      <c r="O28" s="95" t="s">
        <v>47</v>
      </c>
      <c r="P28" s="98"/>
      <c r="R28" s="53"/>
    </row>
    <row r="29" spans="1:18" s="41" customFormat="1" ht="34.5" hidden="1" customHeight="1" thickTop="1" x14ac:dyDescent="0.25">
      <c r="A29" s="99"/>
      <c r="B29" s="99" t="s">
        <v>48</v>
      </c>
      <c r="C29" s="249">
        <f>F29</f>
        <v>0</v>
      </c>
      <c r="D29" s="101"/>
      <c r="E29" s="102"/>
      <c r="F29" s="177">
        <f t="shared" si="0"/>
        <v>0</v>
      </c>
      <c r="G29" s="104" t="s">
        <v>47</v>
      </c>
      <c r="H29" s="105" t="s">
        <v>47</v>
      </c>
      <c r="I29" s="106" t="s">
        <v>47</v>
      </c>
      <c r="J29" s="104" t="s">
        <v>47</v>
      </c>
      <c r="K29" s="105" t="s">
        <v>47</v>
      </c>
      <c r="L29" s="106" t="s">
        <v>47</v>
      </c>
      <c r="M29" s="107" t="s">
        <v>47</v>
      </c>
      <c r="N29" s="108" t="s">
        <v>47</v>
      </c>
      <c r="O29" s="106" t="s">
        <v>47</v>
      </c>
      <c r="P29" s="109"/>
      <c r="R29" s="53"/>
    </row>
    <row r="30" spans="1:18" s="41" customFormat="1" ht="24.75" hidden="1" thickTop="1" x14ac:dyDescent="0.25">
      <c r="A30" s="99">
        <v>21300</v>
      </c>
      <c r="B30" s="99" t="s">
        <v>49</v>
      </c>
      <c r="C30" s="249">
        <f t="shared" ref="C30:C44" si="1">L30</f>
        <v>0</v>
      </c>
      <c r="D30" s="631" t="s">
        <v>47</v>
      </c>
      <c r="E30" s="632" t="s">
        <v>47</v>
      </c>
      <c r="F30" s="633" t="s">
        <v>47</v>
      </c>
      <c r="G30" s="104" t="s">
        <v>47</v>
      </c>
      <c r="H30" s="105" t="s">
        <v>47</v>
      </c>
      <c r="I30" s="106" t="s">
        <v>47</v>
      </c>
      <c r="J30" s="112">
        <f>SUM(J31,J35,J37,J40)</f>
        <v>0</v>
      </c>
      <c r="K30" s="113">
        <f>SUM(K31,K35,K37,K40)</f>
        <v>0</v>
      </c>
      <c r="L30" s="114">
        <f t="shared" ref="L30:L44" si="2">J30+K30</f>
        <v>0</v>
      </c>
      <c r="M30" s="107" t="s">
        <v>47</v>
      </c>
      <c r="N30" s="108" t="s">
        <v>47</v>
      </c>
      <c r="O30" s="106" t="s">
        <v>47</v>
      </c>
      <c r="P30" s="109"/>
      <c r="R30" s="53"/>
    </row>
    <row r="31" spans="1:18" s="41" customFormat="1" ht="12.75" hidden="1" thickTop="1" x14ac:dyDescent="0.25">
      <c r="A31" s="115">
        <v>21350</v>
      </c>
      <c r="B31" s="99" t="s">
        <v>50</v>
      </c>
      <c r="C31" s="249">
        <f t="shared" si="1"/>
        <v>0</v>
      </c>
      <c r="D31" s="104" t="s">
        <v>47</v>
      </c>
      <c r="E31" s="108" t="s">
        <v>47</v>
      </c>
      <c r="F31" s="106" t="s">
        <v>47</v>
      </c>
      <c r="G31" s="104" t="s">
        <v>47</v>
      </c>
      <c r="H31" s="105" t="s">
        <v>47</v>
      </c>
      <c r="I31" s="106" t="s">
        <v>47</v>
      </c>
      <c r="J31" s="112">
        <f>SUM(J32:J34)</f>
        <v>0</v>
      </c>
      <c r="K31" s="113">
        <f>SUM(K32:K34)</f>
        <v>0</v>
      </c>
      <c r="L31" s="114">
        <f t="shared" si="2"/>
        <v>0</v>
      </c>
      <c r="M31" s="107" t="s">
        <v>47</v>
      </c>
      <c r="N31" s="108" t="s">
        <v>47</v>
      </c>
      <c r="O31" s="106" t="s">
        <v>47</v>
      </c>
      <c r="P31" s="109"/>
      <c r="R31" s="53"/>
    </row>
    <row r="32" spans="1:18" ht="12.75" hidden="1" thickTop="1" x14ac:dyDescent="0.25">
      <c r="A32" s="65">
        <v>21351</v>
      </c>
      <c r="B32" s="116" t="s">
        <v>51</v>
      </c>
      <c r="C32" s="296">
        <f t="shared" si="1"/>
        <v>0</v>
      </c>
      <c r="D32" s="118" t="s">
        <v>47</v>
      </c>
      <c r="E32" s="119" t="s">
        <v>47</v>
      </c>
      <c r="F32" s="122" t="s">
        <v>47</v>
      </c>
      <c r="G32" s="118" t="s">
        <v>47</v>
      </c>
      <c r="H32" s="121" t="s">
        <v>47</v>
      </c>
      <c r="I32" s="122" t="s">
        <v>47</v>
      </c>
      <c r="J32" s="123"/>
      <c r="K32" s="124"/>
      <c r="L32" s="125">
        <f t="shared" si="2"/>
        <v>0</v>
      </c>
      <c r="M32" s="126" t="s">
        <v>47</v>
      </c>
      <c r="N32" s="119" t="s">
        <v>47</v>
      </c>
      <c r="O32" s="122" t="s">
        <v>47</v>
      </c>
      <c r="P32" s="74"/>
      <c r="R32" s="53"/>
    </row>
    <row r="33" spans="1:18" ht="12.75" hidden="1" thickTop="1" x14ac:dyDescent="0.25">
      <c r="A33" s="75">
        <v>21352</v>
      </c>
      <c r="B33" s="127" t="s">
        <v>52</v>
      </c>
      <c r="C33" s="279">
        <f t="shared" si="1"/>
        <v>0</v>
      </c>
      <c r="D33" s="129" t="s">
        <v>47</v>
      </c>
      <c r="E33" s="138" t="s">
        <v>47</v>
      </c>
      <c r="F33" s="133" t="s">
        <v>47</v>
      </c>
      <c r="G33" s="129" t="s">
        <v>47</v>
      </c>
      <c r="H33" s="132" t="s">
        <v>47</v>
      </c>
      <c r="I33" s="133" t="s">
        <v>47</v>
      </c>
      <c r="J33" s="134"/>
      <c r="K33" s="135"/>
      <c r="L33" s="136">
        <f t="shared" si="2"/>
        <v>0</v>
      </c>
      <c r="M33" s="137" t="s">
        <v>47</v>
      </c>
      <c r="N33" s="138" t="s">
        <v>47</v>
      </c>
      <c r="O33" s="133" t="s">
        <v>47</v>
      </c>
      <c r="P33" s="85"/>
      <c r="R33" s="53"/>
    </row>
    <row r="34" spans="1:18" ht="12.75" hidden="1" thickTop="1" x14ac:dyDescent="0.25">
      <c r="A34" s="75">
        <v>21359</v>
      </c>
      <c r="B34" s="127" t="s">
        <v>53</v>
      </c>
      <c r="C34" s="279">
        <f t="shared" si="1"/>
        <v>0</v>
      </c>
      <c r="D34" s="129" t="s">
        <v>47</v>
      </c>
      <c r="E34" s="138" t="s">
        <v>47</v>
      </c>
      <c r="F34" s="133" t="s">
        <v>47</v>
      </c>
      <c r="G34" s="129" t="s">
        <v>47</v>
      </c>
      <c r="H34" s="132" t="s">
        <v>47</v>
      </c>
      <c r="I34" s="133" t="s">
        <v>47</v>
      </c>
      <c r="J34" s="134"/>
      <c r="K34" s="135"/>
      <c r="L34" s="136">
        <f t="shared" si="2"/>
        <v>0</v>
      </c>
      <c r="M34" s="137" t="s">
        <v>47</v>
      </c>
      <c r="N34" s="138" t="s">
        <v>47</v>
      </c>
      <c r="O34" s="133" t="s">
        <v>47</v>
      </c>
      <c r="P34" s="85"/>
      <c r="R34" s="53"/>
    </row>
    <row r="35" spans="1:18" s="41" customFormat="1" ht="24.75" hidden="1" thickTop="1" x14ac:dyDescent="0.25">
      <c r="A35" s="115">
        <v>21370</v>
      </c>
      <c r="B35" s="99" t="s">
        <v>54</v>
      </c>
      <c r="C35" s="249">
        <f t="shared" si="1"/>
        <v>0</v>
      </c>
      <c r="D35" s="104" t="s">
        <v>47</v>
      </c>
      <c r="E35" s="108" t="s">
        <v>47</v>
      </c>
      <c r="F35" s="106" t="s">
        <v>47</v>
      </c>
      <c r="G35" s="104" t="s">
        <v>47</v>
      </c>
      <c r="H35" s="105" t="s">
        <v>47</v>
      </c>
      <c r="I35" s="106" t="s">
        <v>47</v>
      </c>
      <c r="J35" s="112">
        <f>SUM(J36)</f>
        <v>0</v>
      </c>
      <c r="K35" s="113">
        <f>SUM(K36)</f>
        <v>0</v>
      </c>
      <c r="L35" s="114">
        <f t="shared" si="2"/>
        <v>0</v>
      </c>
      <c r="M35" s="107" t="s">
        <v>47</v>
      </c>
      <c r="N35" s="108" t="s">
        <v>47</v>
      </c>
      <c r="O35" s="106" t="s">
        <v>47</v>
      </c>
      <c r="P35" s="109"/>
      <c r="R35" s="53"/>
    </row>
    <row r="36" spans="1:18" ht="24.75" hidden="1" thickTop="1" x14ac:dyDescent="0.25">
      <c r="A36" s="141">
        <v>21379</v>
      </c>
      <c r="B36" s="142" t="s">
        <v>55</v>
      </c>
      <c r="C36" s="362">
        <f t="shared" si="1"/>
        <v>0</v>
      </c>
      <c r="D36" s="144" t="s">
        <v>47</v>
      </c>
      <c r="E36" s="145" t="s">
        <v>47</v>
      </c>
      <c r="F36" s="148" t="s">
        <v>47</v>
      </c>
      <c r="G36" s="144" t="s">
        <v>47</v>
      </c>
      <c r="H36" s="147" t="s">
        <v>47</v>
      </c>
      <c r="I36" s="148" t="s">
        <v>47</v>
      </c>
      <c r="J36" s="149"/>
      <c r="K36" s="150"/>
      <c r="L36" s="151">
        <f t="shared" si="2"/>
        <v>0</v>
      </c>
      <c r="M36" s="152" t="s">
        <v>47</v>
      </c>
      <c r="N36" s="145" t="s">
        <v>47</v>
      </c>
      <c r="O36" s="148" t="s">
        <v>47</v>
      </c>
      <c r="P36" s="153"/>
      <c r="R36" s="53"/>
    </row>
    <row r="37" spans="1:18" s="41" customFormat="1" ht="12.75" hidden="1" thickTop="1" x14ac:dyDescent="0.25">
      <c r="A37" s="115">
        <v>21380</v>
      </c>
      <c r="B37" s="99" t="s">
        <v>56</v>
      </c>
      <c r="C37" s="249">
        <f t="shared" si="1"/>
        <v>0</v>
      </c>
      <c r="D37" s="104" t="s">
        <v>47</v>
      </c>
      <c r="E37" s="108" t="s">
        <v>47</v>
      </c>
      <c r="F37" s="106" t="s">
        <v>47</v>
      </c>
      <c r="G37" s="104" t="s">
        <v>47</v>
      </c>
      <c r="H37" s="105" t="s">
        <v>47</v>
      </c>
      <c r="I37" s="106" t="s">
        <v>47</v>
      </c>
      <c r="J37" s="112">
        <f>SUM(J38:J39)</f>
        <v>0</v>
      </c>
      <c r="K37" s="113">
        <f>SUM(K38:K39)</f>
        <v>0</v>
      </c>
      <c r="L37" s="114">
        <f t="shared" si="2"/>
        <v>0</v>
      </c>
      <c r="M37" s="107" t="s">
        <v>47</v>
      </c>
      <c r="N37" s="108" t="s">
        <v>47</v>
      </c>
      <c r="O37" s="106" t="s">
        <v>47</v>
      </c>
      <c r="P37" s="109"/>
      <c r="R37" s="53"/>
    </row>
    <row r="38" spans="1:18" ht="12.75" hidden="1" thickTop="1" x14ac:dyDescent="0.25">
      <c r="A38" s="66">
        <v>21381</v>
      </c>
      <c r="B38" s="116" t="s">
        <v>57</v>
      </c>
      <c r="C38" s="296">
        <f t="shared" si="1"/>
        <v>0</v>
      </c>
      <c r="D38" s="144" t="s">
        <v>47</v>
      </c>
      <c r="E38" s="145" t="s">
        <v>47</v>
      </c>
      <c r="F38" s="148" t="s">
        <v>47</v>
      </c>
      <c r="G38" s="118" t="s">
        <v>47</v>
      </c>
      <c r="H38" s="121" t="s">
        <v>47</v>
      </c>
      <c r="I38" s="122" t="s">
        <v>47</v>
      </c>
      <c r="J38" s="123"/>
      <c r="K38" s="124"/>
      <c r="L38" s="125">
        <f t="shared" si="2"/>
        <v>0</v>
      </c>
      <c r="M38" s="126" t="s">
        <v>47</v>
      </c>
      <c r="N38" s="119" t="s">
        <v>47</v>
      </c>
      <c r="O38" s="122" t="s">
        <v>47</v>
      </c>
      <c r="P38" s="74"/>
      <c r="R38" s="53"/>
    </row>
    <row r="39" spans="1:18" ht="12.75" hidden="1" thickTop="1" x14ac:dyDescent="0.25">
      <c r="A39" s="76">
        <v>21383</v>
      </c>
      <c r="B39" s="127" t="s">
        <v>58</v>
      </c>
      <c r="C39" s="279">
        <f t="shared" si="1"/>
        <v>0</v>
      </c>
      <c r="D39" s="129" t="s">
        <v>47</v>
      </c>
      <c r="E39" s="138" t="s">
        <v>47</v>
      </c>
      <c r="F39" s="133" t="s">
        <v>47</v>
      </c>
      <c r="G39" s="129" t="s">
        <v>47</v>
      </c>
      <c r="H39" s="132" t="s">
        <v>47</v>
      </c>
      <c r="I39" s="133" t="s">
        <v>47</v>
      </c>
      <c r="J39" s="134"/>
      <c r="K39" s="135"/>
      <c r="L39" s="136">
        <f t="shared" si="2"/>
        <v>0</v>
      </c>
      <c r="M39" s="137" t="s">
        <v>47</v>
      </c>
      <c r="N39" s="138" t="s">
        <v>47</v>
      </c>
      <c r="O39" s="133" t="s">
        <v>47</v>
      </c>
      <c r="P39" s="85"/>
      <c r="R39" s="53"/>
    </row>
    <row r="40" spans="1:18" s="41" customFormat="1" ht="24.75" hidden="1" thickTop="1" x14ac:dyDescent="0.25">
      <c r="A40" s="115">
        <v>21390</v>
      </c>
      <c r="B40" s="99" t="s">
        <v>59</v>
      </c>
      <c r="C40" s="249">
        <f t="shared" si="1"/>
        <v>0</v>
      </c>
      <c r="D40" s="170" t="s">
        <v>47</v>
      </c>
      <c r="E40" s="171" t="s">
        <v>47</v>
      </c>
      <c r="F40" s="174" t="s">
        <v>47</v>
      </c>
      <c r="G40" s="104" t="s">
        <v>47</v>
      </c>
      <c r="H40" s="105" t="s">
        <v>47</v>
      </c>
      <c r="I40" s="106" t="s">
        <v>47</v>
      </c>
      <c r="J40" s="112">
        <f>SUM(J41:J44)</f>
        <v>0</v>
      </c>
      <c r="K40" s="113">
        <f>SUM(K41:K44)</f>
        <v>0</v>
      </c>
      <c r="L40" s="114">
        <f t="shared" si="2"/>
        <v>0</v>
      </c>
      <c r="M40" s="107" t="s">
        <v>47</v>
      </c>
      <c r="N40" s="108" t="s">
        <v>47</v>
      </c>
      <c r="O40" s="106" t="s">
        <v>47</v>
      </c>
      <c r="P40" s="109"/>
      <c r="R40" s="53"/>
    </row>
    <row r="41" spans="1:18" ht="24.75" hidden="1" thickTop="1" x14ac:dyDescent="0.25">
      <c r="A41" s="66">
        <v>21391</v>
      </c>
      <c r="B41" s="116" t="s">
        <v>60</v>
      </c>
      <c r="C41" s="296">
        <f t="shared" si="1"/>
        <v>0</v>
      </c>
      <c r="D41" s="144" t="s">
        <v>47</v>
      </c>
      <c r="E41" s="145" t="s">
        <v>47</v>
      </c>
      <c r="F41" s="148" t="s">
        <v>47</v>
      </c>
      <c r="G41" s="118" t="s">
        <v>47</v>
      </c>
      <c r="H41" s="121" t="s">
        <v>47</v>
      </c>
      <c r="I41" s="122" t="s">
        <v>47</v>
      </c>
      <c r="J41" s="123"/>
      <c r="K41" s="124"/>
      <c r="L41" s="125">
        <f t="shared" si="2"/>
        <v>0</v>
      </c>
      <c r="M41" s="126" t="s">
        <v>47</v>
      </c>
      <c r="N41" s="119" t="s">
        <v>47</v>
      </c>
      <c r="O41" s="122" t="s">
        <v>47</v>
      </c>
      <c r="P41" s="74"/>
      <c r="R41" s="53"/>
    </row>
    <row r="42" spans="1:18" ht="12.75" hidden="1" thickTop="1" x14ac:dyDescent="0.25">
      <c r="A42" s="76">
        <v>21393</v>
      </c>
      <c r="B42" s="127" t="s">
        <v>61</v>
      </c>
      <c r="C42" s="279">
        <f t="shared" si="1"/>
        <v>0</v>
      </c>
      <c r="D42" s="129" t="s">
        <v>47</v>
      </c>
      <c r="E42" s="138" t="s">
        <v>47</v>
      </c>
      <c r="F42" s="133" t="s">
        <v>47</v>
      </c>
      <c r="G42" s="129" t="s">
        <v>47</v>
      </c>
      <c r="H42" s="132" t="s">
        <v>47</v>
      </c>
      <c r="I42" s="133" t="s">
        <v>47</v>
      </c>
      <c r="J42" s="134"/>
      <c r="K42" s="135"/>
      <c r="L42" s="136">
        <f t="shared" si="2"/>
        <v>0</v>
      </c>
      <c r="M42" s="137" t="s">
        <v>47</v>
      </c>
      <c r="N42" s="138" t="s">
        <v>47</v>
      </c>
      <c r="O42" s="133" t="s">
        <v>47</v>
      </c>
      <c r="P42" s="85"/>
      <c r="R42" s="53"/>
    </row>
    <row r="43" spans="1:18" ht="12.75" hidden="1" thickTop="1" x14ac:dyDescent="0.25">
      <c r="A43" s="76">
        <v>21395</v>
      </c>
      <c r="B43" s="127" t="s">
        <v>62</v>
      </c>
      <c r="C43" s="279">
        <f t="shared" si="1"/>
        <v>0</v>
      </c>
      <c r="D43" s="129" t="s">
        <v>47</v>
      </c>
      <c r="E43" s="138" t="s">
        <v>47</v>
      </c>
      <c r="F43" s="133" t="s">
        <v>47</v>
      </c>
      <c r="G43" s="129" t="s">
        <v>47</v>
      </c>
      <c r="H43" s="132" t="s">
        <v>47</v>
      </c>
      <c r="I43" s="133" t="s">
        <v>47</v>
      </c>
      <c r="J43" s="134"/>
      <c r="K43" s="135"/>
      <c r="L43" s="136">
        <f t="shared" si="2"/>
        <v>0</v>
      </c>
      <c r="M43" s="137" t="s">
        <v>47</v>
      </c>
      <c r="N43" s="138" t="s">
        <v>47</v>
      </c>
      <c r="O43" s="133" t="s">
        <v>47</v>
      </c>
      <c r="P43" s="85"/>
      <c r="R43" s="53"/>
    </row>
    <row r="44" spans="1:18" ht="12.75" hidden="1" thickTop="1" x14ac:dyDescent="0.25">
      <c r="A44" s="76">
        <v>21399</v>
      </c>
      <c r="B44" s="127" t="s">
        <v>63</v>
      </c>
      <c r="C44" s="279">
        <f t="shared" si="1"/>
        <v>0</v>
      </c>
      <c r="D44" s="129" t="s">
        <v>47</v>
      </c>
      <c r="E44" s="138" t="s">
        <v>47</v>
      </c>
      <c r="F44" s="133" t="s">
        <v>47</v>
      </c>
      <c r="G44" s="129" t="s">
        <v>47</v>
      </c>
      <c r="H44" s="132" t="s">
        <v>47</v>
      </c>
      <c r="I44" s="133" t="s">
        <v>47</v>
      </c>
      <c r="J44" s="134"/>
      <c r="K44" s="135"/>
      <c r="L44" s="136">
        <f t="shared" si="2"/>
        <v>0</v>
      </c>
      <c r="M44" s="137" t="s">
        <v>47</v>
      </c>
      <c r="N44" s="138" t="s">
        <v>47</v>
      </c>
      <c r="O44" s="133" t="s">
        <v>47</v>
      </c>
      <c r="P44" s="85"/>
      <c r="R44" s="53"/>
    </row>
    <row r="45" spans="1:18" s="41" customFormat="1" ht="24.75" hidden="1" thickTop="1" x14ac:dyDescent="0.25">
      <c r="A45" s="115">
        <v>21420</v>
      </c>
      <c r="B45" s="99" t="s">
        <v>64</v>
      </c>
      <c r="C45" s="634">
        <f>F45</f>
        <v>0</v>
      </c>
      <c r="D45" s="635"/>
      <c r="E45" s="636"/>
      <c r="F45" s="637">
        <f>D45+E45</f>
        <v>0</v>
      </c>
      <c r="G45" s="104" t="s">
        <v>47</v>
      </c>
      <c r="H45" s="105" t="s">
        <v>47</v>
      </c>
      <c r="I45" s="106" t="s">
        <v>47</v>
      </c>
      <c r="J45" s="104" t="s">
        <v>47</v>
      </c>
      <c r="K45" s="105" t="s">
        <v>47</v>
      </c>
      <c r="L45" s="106" t="s">
        <v>47</v>
      </c>
      <c r="M45" s="107" t="s">
        <v>47</v>
      </c>
      <c r="N45" s="108" t="s">
        <v>47</v>
      </c>
      <c r="O45" s="106" t="s">
        <v>47</v>
      </c>
      <c r="P45" s="109"/>
      <c r="R45" s="53"/>
    </row>
    <row r="46" spans="1:18" s="41" customFormat="1" ht="12.75" hidden="1" thickTop="1" x14ac:dyDescent="0.25">
      <c r="A46" s="159">
        <v>21490</v>
      </c>
      <c r="B46" s="160" t="s">
        <v>65</v>
      </c>
      <c r="C46" s="634">
        <f>F46+I46+L46</f>
        <v>0</v>
      </c>
      <c r="D46" s="161">
        <f>D47</f>
        <v>0</v>
      </c>
      <c r="E46" s="162">
        <f>E47</f>
        <v>0</v>
      </c>
      <c r="F46" s="165">
        <f>D46+E46</f>
        <v>0</v>
      </c>
      <c r="G46" s="161">
        <f>G47</f>
        <v>0</v>
      </c>
      <c r="H46" s="164">
        <f t="shared" ref="H46:K46" si="3">H47</f>
        <v>0</v>
      </c>
      <c r="I46" s="165">
        <f>G46+H46</f>
        <v>0</v>
      </c>
      <c r="J46" s="161">
        <f>J47</f>
        <v>0</v>
      </c>
      <c r="K46" s="164">
        <f t="shared" si="3"/>
        <v>0</v>
      </c>
      <c r="L46" s="165">
        <f>J46+K46</f>
        <v>0</v>
      </c>
      <c r="M46" s="107" t="s">
        <v>47</v>
      </c>
      <c r="N46" s="108" t="s">
        <v>47</v>
      </c>
      <c r="O46" s="106" t="s">
        <v>47</v>
      </c>
      <c r="P46" s="109"/>
      <c r="R46" s="53"/>
    </row>
    <row r="47" spans="1:18" s="41" customFormat="1" ht="12.75" hidden="1" thickTop="1" x14ac:dyDescent="0.25">
      <c r="A47" s="76">
        <v>21499</v>
      </c>
      <c r="B47" s="127" t="s">
        <v>66</v>
      </c>
      <c r="C47" s="638">
        <f>F47+I47+L47</f>
        <v>0</v>
      </c>
      <c r="D47" s="68"/>
      <c r="E47" s="69"/>
      <c r="F47" s="72">
        <f>D47+E47</f>
        <v>0</v>
      </c>
      <c r="G47" s="167"/>
      <c r="H47" s="71"/>
      <c r="I47" s="72">
        <f>G47+H47</f>
        <v>0</v>
      </c>
      <c r="J47" s="68"/>
      <c r="K47" s="71"/>
      <c r="L47" s="72">
        <f>J47+K47</f>
        <v>0</v>
      </c>
      <c r="M47" s="152" t="s">
        <v>47</v>
      </c>
      <c r="N47" s="145" t="s">
        <v>47</v>
      </c>
      <c r="O47" s="148" t="s">
        <v>47</v>
      </c>
      <c r="P47" s="153"/>
      <c r="R47" s="53"/>
    </row>
    <row r="48" spans="1:18" ht="12.75" hidden="1" thickTop="1" x14ac:dyDescent="0.25">
      <c r="A48" s="168">
        <v>23000</v>
      </c>
      <c r="B48" s="169" t="s">
        <v>67</v>
      </c>
      <c r="C48" s="634">
        <f>O48</f>
        <v>0</v>
      </c>
      <c r="D48" s="170" t="s">
        <v>47</v>
      </c>
      <c r="E48" s="171" t="s">
        <v>47</v>
      </c>
      <c r="F48" s="174" t="s">
        <v>47</v>
      </c>
      <c r="G48" s="170" t="s">
        <v>47</v>
      </c>
      <c r="H48" s="173" t="s">
        <v>47</v>
      </c>
      <c r="I48" s="174" t="s">
        <v>47</v>
      </c>
      <c r="J48" s="170" t="s">
        <v>47</v>
      </c>
      <c r="K48" s="173" t="s">
        <v>47</v>
      </c>
      <c r="L48" s="174" t="s">
        <v>47</v>
      </c>
      <c r="M48" s="175">
        <f>SUM(M49:M50)</f>
        <v>0</v>
      </c>
      <c r="N48" s="176">
        <f>SUM(N49:N50)</f>
        <v>0</v>
      </c>
      <c r="O48" s="177">
        <f>M48+N48</f>
        <v>0</v>
      </c>
      <c r="P48" s="109"/>
      <c r="R48" s="53"/>
    </row>
    <row r="49" spans="1:18" ht="24.75" hidden="1" thickTop="1" x14ac:dyDescent="0.25">
      <c r="A49" s="178">
        <v>23410</v>
      </c>
      <c r="B49" s="179" t="s">
        <v>68</v>
      </c>
      <c r="C49" s="194">
        <f>O49</f>
        <v>0</v>
      </c>
      <c r="D49" s="181" t="s">
        <v>47</v>
      </c>
      <c r="E49" s="182" t="s">
        <v>47</v>
      </c>
      <c r="F49" s="185" t="s">
        <v>47</v>
      </c>
      <c r="G49" s="181" t="s">
        <v>47</v>
      </c>
      <c r="H49" s="184" t="s">
        <v>47</v>
      </c>
      <c r="I49" s="185" t="s">
        <v>47</v>
      </c>
      <c r="J49" s="181" t="s">
        <v>47</v>
      </c>
      <c r="K49" s="184" t="s">
        <v>47</v>
      </c>
      <c r="L49" s="185" t="s">
        <v>47</v>
      </c>
      <c r="M49" s="186"/>
      <c r="N49" s="187"/>
      <c r="O49" s="188">
        <f>M49+N49</f>
        <v>0</v>
      </c>
      <c r="P49" s="189"/>
      <c r="R49" s="53"/>
    </row>
    <row r="50" spans="1:18" ht="24.75" hidden="1" thickTop="1" x14ac:dyDescent="0.25">
      <c r="A50" s="178">
        <v>23510</v>
      </c>
      <c r="B50" s="179" t="s">
        <v>69</v>
      </c>
      <c r="C50" s="194">
        <f>O50</f>
        <v>0</v>
      </c>
      <c r="D50" s="181" t="s">
        <v>47</v>
      </c>
      <c r="E50" s="182" t="s">
        <v>47</v>
      </c>
      <c r="F50" s="185" t="s">
        <v>47</v>
      </c>
      <c r="G50" s="181" t="s">
        <v>47</v>
      </c>
      <c r="H50" s="184" t="s">
        <v>47</v>
      </c>
      <c r="I50" s="185" t="s">
        <v>47</v>
      </c>
      <c r="J50" s="181" t="s">
        <v>47</v>
      </c>
      <c r="K50" s="184" t="s">
        <v>47</v>
      </c>
      <c r="L50" s="185" t="s">
        <v>47</v>
      </c>
      <c r="M50" s="186"/>
      <c r="N50" s="187"/>
      <c r="O50" s="188">
        <f>M50+N50</f>
        <v>0</v>
      </c>
      <c r="P50" s="189"/>
      <c r="R50" s="53"/>
    </row>
    <row r="51" spans="1:18" ht="12.75" hidden="1" thickTop="1" x14ac:dyDescent="0.25">
      <c r="A51" s="190"/>
      <c r="B51" s="179"/>
      <c r="C51" s="257"/>
      <c r="D51" s="192"/>
      <c r="E51" s="639"/>
      <c r="F51" s="82"/>
      <c r="G51" s="192"/>
      <c r="H51" s="195"/>
      <c r="I51" s="185"/>
      <c r="J51" s="196"/>
      <c r="K51" s="197"/>
      <c r="L51" s="188"/>
      <c r="M51" s="186"/>
      <c r="N51" s="187"/>
      <c r="O51" s="188"/>
      <c r="P51" s="189"/>
      <c r="R51" s="53"/>
    </row>
    <row r="52" spans="1:18" s="41" customFormat="1" ht="12.75" hidden="1" thickTop="1" x14ac:dyDescent="0.25">
      <c r="A52" s="198"/>
      <c r="B52" s="199" t="s">
        <v>70</v>
      </c>
      <c r="C52" s="640"/>
      <c r="D52" s="201"/>
      <c r="E52" s="641"/>
      <c r="F52" s="642"/>
      <c r="G52" s="201"/>
      <c r="H52" s="204"/>
      <c r="I52" s="205"/>
      <c r="J52" s="201"/>
      <c r="K52" s="204"/>
      <c r="L52" s="205"/>
      <c r="M52" s="206"/>
      <c r="N52" s="207"/>
      <c r="O52" s="205"/>
      <c r="P52" s="208"/>
      <c r="R52" s="53"/>
    </row>
    <row r="53" spans="1:18" s="41" customFormat="1" ht="13.5" thickTop="1" thickBot="1" x14ac:dyDescent="0.3">
      <c r="A53" s="209"/>
      <c r="B53" s="42" t="s">
        <v>71</v>
      </c>
      <c r="C53" s="213">
        <f t="shared" ref="C53:C116" si="4">F53+I53+L53+O53</f>
        <v>777986</v>
      </c>
      <c r="D53" s="211">
        <f>SUM(D54,D284)</f>
        <v>778905</v>
      </c>
      <c r="E53" s="217">
        <f>SUM(E54,E284)</f>
        <v>-919</v>
      </c>
      <c r="F53" s="215">
        <f t="shared" ref="F53:F117" si="5">D53+E53</f>
        <v>777986</v>
      </c>
      <c r="G53" s="211">
        <f>SUM(G54,G284)</f>
        <v>0</v>
      </c>
      <c r="H53" s="214">
        <f>SUM(H54,H284)</f>
        <v>0</v>
      </c>
      <c r="I53" s="215">
        <f t="shared" ref="I53:I117" si="6">G53+H53</f>
        <v>0</v>
      </c>
      <c r="J53" s="211">
        <f>SUM(J54,J284)</f>
        <v>0</v>
      </c>
      <c r="K53" s="214">
        <f>SUM(K54,K284)</f>
        <v>0</v>
      </c>
      <c r="L53" s="215">
        <f t="shared" ref="L53:L117" si="7">J53+K53</f>
        <v>0</v>
      </c>
      <c r="M53" s="216">
        <f>SUM(M54,M284)</f>
        <v>0</v>
      </c>
      <c r="N53" s="217">
        <f>SUM(N54,N284)</f>
        <v>0</v>
      </c>
      <c r="O53" s="215">
        <f t="shared" ref="O53:O117" si="8">M53+N53</f>
        <v>0</v>
      </c>
      <c r="P53" s="52"/>
      <c r="R53" s="53"/>
    </row>
    <row r="54" spans="1:18" s="41" customFormat="1" ht="24.75" thickTop="1" x14ac:dyDescent="0.25">
      <c r="A54" s="218"/>
      <c r="B54" s="219" t="s">
        <v>72</v>
      </c>
      <c r="C54" s="223">
        <f>F54+I54+L54+O54</f>
        <v>777986</v>
      </c>
      <c r="D54" s="221">
        <f>SUM(D55,D197)</f>
        <v>778905</v>
      </c>
      <c r="E54" s="227">
        <f>SUM(E55,E197)</f>
        <v>-919</v>
      </c>
      <c r="F54" s="225">
        <f t="shared" si="5"/>
        <v>777986</v>
      </c>
      <c r="G54" s="221">
        <f>SUM(G55,G197)</f>
        <v>0</v>
      </c>
      <c r="H54" s="224">
        <f>SUM(H55,H197)</f>
        <v>0</v>
      </c>
      <c r="I54" s="225">
        <f t="shared" si="6"/>
        <v>0</v>
      </c>
      <c r="J54" s="221">
        <f>SUM(J55,J197)</f>
        <v>0</v>
      </c>
      <c r="K54" s="224">
        <f>SUM(K55,K197)</f>
        <v>0</v>
      </c>
      <c r="L54" s="225">
        <f t="shared" si="7"/>
        <v>0</v>
      </c>
      <c r="M54" s="226">
        <f>SUM(M55,M197)</f>
        <v>0</v>
      </c>
      <c r="N54" s="227">
        <f>SUM(N55,N197)</f>
        <v>0</v>
      </c>
      <c r="O54" s="225">
        <f t="shared" si="8"/>
        <v>0</v>
      </c>
      <c r="P54" s="228"/>
      <c r="R54" s="53"/>
    </row>
    <row r="55" spans="1:18" s="41" customFormat="1" ht="24" x14ac:dyDescent="0.25">
      <c r="A55" s="35"/>
      <c r="B55" s="30" t="s">
        <v>73</v>
      </c>
      <c r="C55" s="232">
        <f t="shared" si="4"/>
        <v>101120</v>
      </c>
      <c r="D55" s="230">
        <f>SUM(D56,D78,D176,D190)</f>
        <v>101120</v>
      </c>
      <c r="E55" s="235">
        <f>SUM(E56,E78,E176,E190)</f>
        <v>0</v>
      </c>
      <c r="F55" s="234">
        <f t="shared" si="5"/>
        <v>101120</v>
      </c>
      <c r="G55" s="230">
        <f>SUM(G56,G78,G176,G190)</f>
        <v>0</v>
      </c>
      <c r="H55" s="233">
        <f>SUM(H56,H78,H176,H190)</f>
        <v>0</v>
      </c>
      <c r="I55" s="234">
        <f t="shared" si="6"/>
        <v>0</v>
      </c>
      <c r="J55" s="230">
        <f>SUM(J56,J78,J176,J190)</f>
        <v>0</v>
      </c>
      <c r="K55" s="233">
        <f>SUM(K56,K78,K176,K190)</f>
        <v>0</v>
      </c>
      <c r="L55" s="234">
        <f t="shared" si="7"/>
        <v>0</v>
      </c>
      <c r="M55" s="53">
        <f>SUM(M56,M78,M176,M190)</f>
        <v>0</v>
      </c>
      <c r="N55" s="235">
        <f>SUM(N56,N78,N176,N190)</f>
        <v>0</v>
      </c>
      <c r="O55" s="234">
        <f t="shared" si="8"/>
        <v>0</v>
      </c>
      <c r="P55" s="236"/>
      <c r="R55" s="53"/>
    </row>
    <row r="56" spans="1:18" s="41" customFormat="1" hidden="1" x14ac:dyDescent="0.25">
      <c r="A56" s="237">
        <v>1000</v>
      </c>
      <c r="B56" s="237" t="s">
        <v>74</v>
      </c>
      <c r="C56" s="241">
        <f t="shared" si="4"/>
        <v>0</v>
      </c>
      <c r="D56" s="239">
        <f>SUM(D57,D70)</f>
        <v>0</v>
      </c>
      <c r="E56" s="245">
        <f>SUM(E57,E70)</f>
        <v>0</v>
      </c>
      <c r="F56" s="243">
        <f t="shared" si="5"/>
        <v>0</v>
      </c>
      <c r="G56" s="239">
        <f>SUM(G57,G70)</f>
        <v>0</v>
      </c>
      <c r="H56" s="242">
        <f>SUM(H57,H70)</f>
        <v>0</v>
      </c>
      <c r="I56" s="243">
        <f t="shared" si="6"/>
        <v>0</v>
      </c>
      <c r="J56" s="239">
        <f>SUM(J57,J70)</f>
        <v>0</v>
      </c>
      <c r="K56" s="242">
        <f>SUM(K57,K70)</f>
        <v>0</v>
      </c>
      <c r="L56" s="243">
        <f t="shared" si="7"/>
        <v>0</v>
      </c>
      <c r="M56" s="244">
        <f>SUM(M57,M70)</f>
        <v>0</v>
      </c>
      <c r="N56" s="245">
        <f>SUM(N57,N70)</f>
        <v>0</v>
      </c>
      <c r="O56" s="243">
        <f t="shared" si="8"/>
        <v>0</v>
      </c>
      <c r="P56" s="246"/>
      <c r="R56" s="53"/>
    </row>
    <row r="57" spans="1:18" hidden="1" x14ac:dyDescent="0.25">
      <c r="A57" s="99">
        <v>1100</v>
      </c>
      <c r="B57" s="247" t="s">
        <v>75</v>
      </c>
      <c r="C57" s="249">
        <f t="shared" si="4"/>
        <v>0</v>
      </c>
      <c r="D57" s="112">
        <f>SUM(D58,D61,D69)</f>
        <v>0</v>
      </c>
      <c r="E57" s="293">
        <f>SUM(E58,E61,E69)</f>
        <v>0</v>
      </c>
      <c r="F57" s="114">
        <f t="shared" si="5"/>
        <v>0</v>
      </c>
      <c r="G57" s="112">
        <f>SUM(G58,G61,G69)</f>
        <v>0</v>
      </c>
      <c r="H57" s="113">
        <f>SUM(H58,H61,H69)</f>
        <v>0</v>
      </c>
      <c r="I57" s="114">
        <f t="shared" si="6"/>
        <v>0</v>
      </c>
      <c r="J57" s="112">
        <f>SUM(J58,J61,J69)</f>
        <v>0</v>
      </c>
      <c r="K57" s="113">
        <f>SUM(K58,K61,K69)</f>
        <v>0</v>
      </c>
      <c r="L57" s="114">
        <f t="shared" si="7"/>
        <v>0</v>
      </c>
      <c r="M57" s="250">
        <f>SUM(M58,M61,M69)</f>
        <v>0</v>
      </c>
      <c r="N57" s="251">
        <f>SUM(N58,N61,N69)</f>
        <v>0</v>
      </c>
      <c r="O57" s="252">
        <f t="shared" si="8"/>
        <v>0</v>
      </c>
      <c r="P57" s="253"/>
      <c r="R57" s="53"/>
    </row>
    <row r="58" spans="1:18" hidden="1" x14ac:dyDescent="0.25">
      <c r="A58" s="254">
        <v>1110</v>
      </c>
      <c r="B58" s="179" t="s">
        <v>76</v>
      </c>
      <c r="C58" s="257">
        <f t="shared" si="4"/>
        <v>0</v>
      </c>
      <c r="D58" s="308">
        <f>SUM(D59:D60)</f>
        <v>0</v>
      </c>
      <c r="E58" s="318">
        <f>SUM(E59:E60)</f>
        <v>0</v>
      </c>
      <c r="F58" s="151">
        <f t="shared" si="5"/>
        <v>0</v>
      </c>
      <c r="G58" s="255">
        <f>SUM(G59:G60)</f>
        <v>0</v>
      </c>
      <c r="H58" s="258">
        <f>SUM(H59:H60)</f>
        <v>0</v>
      </c>
      <c r="I58" s="259">
        <f t="shared" si="6"/>
        <v>0</v>
      </c>
      <c r="J58" s="255">
        <f>SUM(J59:J60)</f>
        <v>0</v>
      </c>
      <c r="K58" s="258">
        <f>SUM(K59:K60)</f>
        <v>0</v>
      </c>
      <c r="L58" s="259">
        <f t="shared" si="7"/>
        <v>0</v>
      </c>
      <c r="M58" s="260">
        <f>SUM(M59:M60)</f>
        <v>0</v>
      </c>
      <c r="N58" s="261">
        <f>SUM(N59:N60)</f>
        <v>0</v>
      </c>
      <c r="O58" s="259">
        <f t="shared" si="8"/>
        <v>0</v>
      </c>
      <c r="P58" s="189"/>
      <c r="R58" s="53"/>
    </row>
    <row r="59" spans="1:18" hidden="1" x14ac:dyDescent="0.25">
      <c r="A59" s="66">
        <v>1111</v>
      </c>
      <c r="B59" s="116" t="s">
        <v>77</v>
      </c>
      <c r="C59" s="296">
        <f t="shared" si="4"/>
        <v>0</v>
      </c>
      <c r="D59" s="134">
        <v>0</v>
      </c>
      <c r="E59" s="285"/>
      <c r="F59" s="125">
        <f t="shared" si="5"/>
        <v>0</v>
      </c>
      <c r="G59" s="123">
        <v>0</v>
      </c>
      <c r="H59" s="124"/>
      <c r="I59" s="125">
        <f t="shared" si="6"/>
        <v>0</v>
      </c>
      <c r="J59" s="123"/>
      <c r="K59" s="124"/>
      <c r="L59" s="125">
        <f t="shared" si="7"/>
        <v>0</v>
      </c>
      <c r="M59" s="264"/>
      <c r="N59" s="262"/>
      <c r="O59" s="125">
        <f t="shared" si="8"/>
        <v>0</v>
      </c>
      <c r="P59" s="74"/>
      <c r="R59" s="53"/>
    </row>
    <row r="60" spans="1:18" hidden="1" x14ac:dyDescent="0.25">
      <c r="A60" s="76">
        <v>1119</v>
      </c>
      <c r="B60" s="127" t="s">
        <v>78</v>
      </c>
      <c r="C60" s="279">
        <f t="shared" si="4"/>
        <v>0</v>
      </c>
      <c r="D60" s="134">
        <v>0</v>
      </c>
      <c r="E60" s="285"/>
      <c r="F60" s="136">
        <f t="shared" si="5"/>
        <v>0</v>
      </c>
      <c r="G60" s="134">
        <v>0</v>
      </c>
      <c r="H60" s="135"/>
      <c r="I60" s="136">
        <f t="shared" si="6"/>
        <v>0</v>
      </c>
      <c r="J60" s="134"/>
      <c r="K60" s="135"/>
      <c r="L60" s="136">
        <f t="shared" si="7"/>
        <v>0</v>
      </c>
      <c r="M60" s="284"/>
      <c r="N60" s="285"/>
      <c r="O60" s="136">
        <f t="shared" si="8"/>
        <v>0</v>
      </c>
      <c r="P60" s="85"/>
      <c r="R60" s="53"/>
    </row>
    <row r="61" spans="1:18" hidden="1" x14ac:dyDescent="0.25">
      <c r="A61" s="276">
        <v>1140</v>
      </c>
      <c r="B61" s="127" t="s">
        <v>79</v>
      </c>
      <c r="C61" s="279">
        <f t="shared" si="4"/>
        <v>0</v>
      </c>
      <c r="D61" s="277">
        <f>SUM(D62:D68)</f>
        <v>0</v>
      </c>
      <c r="E61" s="282">
        <f>SUM(E62:E68)</f>
        <v>0</v>
      </c>
      <c r="F61" s="136">
        <f>D61+E61</f>
        <v>0</v>
      </c>
      <c r="G61" s="277">
        <f>SUM(G62:G68)</f>
        <v>0</v>
      </c>
      <c r="H61" s="280">
        <f>SUM(H62:H68)</f>
        <v>0</v>
      </c>
      <c r="I61" s="136">
        <f t="shared" si="6"/>
        <v>0</v>
      </c>
      <c r="J61" s="277">
        <f>SUM(J62:J68)</f>
        <v>0</v>
      </c>
      <c r="K61" s="280">
        <f>SUM(K62:K68)</f>
        <v>0</v>
      </c>
      <c r="L61" s="136">
        <f t="shared" si="7"/>
        <v>0</v>
      </c>
      <c r="M61" s="281">
        <f>SUM(M62:M68)</f>
        <v>0</v>
      </c>
      <c r="N61" s="282">
        <f>SUM(N62:N68)</f>
        <v>0</v>
      </c>
      <c r="O61" s="136">
        <f t="shared" si="8"/>
        <v>0</v>
      </c>
      <c r="P61" s="85"/>
      <c r="R61" s="53"/>
    </row>
    <row r="62" spans="1:18" hidden="1" x14ac:dyDescent="0.25">
      <c r="A62" s="76">
        <v>1141</v>
      </c>
      <c r="B62" s="127" t="s">
        <v>80</v>
      </c>
      <c r="C62" s="279">
        <f t="shared" si="4"/>
        <v>0</v>
      </c>
      <c r="D62" s="134">
        <v>0</v>
      </c>
      <c r="E62" s="285"/>
      <c r="F62" s="136">
        <f t="shared" si="5"/>
        <v>0</v>
      </c>
      <c r="G62" s="134">
        <v>0</v>
      </c>
      <c r="H62" s="135"/>
      <c r="I62" s="136">
        <f t="shared" si="6"/>
        <v>0</v>
      </c>
      <c r="J62" s="134"/>
      <c r="K62" s="135"/>
      <c r="L62" s="136">
        <f t="shared" si="7"/>
        <v>0</v>
      </c>
      <c r="M62" s="284"/>
      <c r="N62" s="285"/>
      <c r="O62" s="136">
        <f t="shared" si="8"/>
        <v>0</v>
      </c>
      <c r="P62" s="85"/>
      <c r="R62" s="53"/>
    </row>
    <row r="63" spans="1:18" ht="24" hidden="1" x14ac:dyDescent="0.25">
      <c r="A63" s="76">
        <v>1142</v>
      </c>
      <c r="B63" s="127" t="s">
        <v>81</v>
      </c>
      <c r="C63" s="279">
        <f t="shared" si="4"/>
        <v>0</v>
      </c>
      <c r="D63" s="134">
        <v>0</v>
      </c>
      <c r="E63" s="285"/>
      <c r="F63" s="136">
        <f t="shared" si="5"/>
        <v>0</v>
      </c>
      <c r="G63" s="134">
        <v>0</v>
      </c>
      <c r="H63" s="135"/>
      <c r="I63" s="136">
        <f t="shared" si="6"/>
        <v>0</v>
      </c>
      <c r="J63" s="134"/>
      <c r="K63" s="135"/>
      <c r="L63" s="136">
        <f t="shared" si="7"/>
        <v>0</v>
      </c>
      <c r="M63" s="284"/>
      <c r="N63" s="285"/>
      <c r="O63" s="136">
        <f t="shared" si="8"/>
        <v>0</v>
      </c>
      <c r="P63" s="85"/>
      <c r="R63" s="53"/>
    </row>
    <row r="64" spans="1:18" ht="24" hidden="1" x14ac:dyDescent="0.25">
      <c r="A64" s="76">
        <v>1145</v>
      </c>
      <c r="B64" s="127" t="s">
        <v>82</v>
      </c>
      <c r="C64" s="279">
        <f t="shared" si="4"/>
        <v>0</v>
      </c>
      <c r="D64" s="134">
        <v>0</v>
      </c>
      <c r="E64" s="285"/>
      <c r="F64" s="136">
        <f t="shared" si="5"/>
        <v>0</v>
      </c>
      <c r="G64" s="134">
        <v>0</v>
      </c>
      <c r="H64" s="135"/>
      <c r="I64" s="136">
        <f t="shared" si="6"/>
        <v>0</v>
      </c>
      <c r="J64" s="134"/>
      <c r="K64" s="135"/>
      <c r="L64" s="136">
        <f t="shared" si="7"/>
        <v>0</v>
      </c>
      <c r="M64" s="284"/>
      <c r="N64" s="285"/>
      <c r="O64" s="136">
        <f t="shared" si="8"/>
        <v>0</v>
      </c>
      <c r="P64" s="85"/>
      <c r="R64" s="53"/>
    </row>
    <row r="65" spans="1:18" ht="24" hidden="1" x14ac:dyDescent="0.25">
      <c r="A65" s="76">
        <v>1146</v>
      </c>
      <c r="B65" s="127" t="s">
        <v>83</v>
      </c>
      <c r="C65" s="279">
        <f t="shared" si="4"/>
        <v>0</v>
      </c>
      <c r="D65" s="134">
        <v>0</v>
      </c>
      <c r="E65" s="285"/>
      <c r="F65" s="136">
        <f t="shared" si="5"/>
        <v>0</v>
      </c>
      <c r="G65" s="134">
        <v>0</v>
      </c>
      <c r="H65" s="135"/>
      <c r="I65" s="136">
        <f t="shared" si="6"/>
        <v>0</v>
      </c>
      <c r="J65" s="134"/>
      <c r="K65" s="135"/>
      <c r="L65" s="136">
        <f t="shared" si="7"/>
        <v>0</v>
      </c>
      <c r="M65" s="284"/>
      <c r="N65" s="285"/>
      <c r="O65" s="136">
        <f t="shared" si="8"/>
        <v>0</v>
      </c>
      <c r="P65" s="85"/>
      <c r="R65" s="53"/>
    </row>
    <row r="66" spans="1:18" hidden="1" x14ac:dyDescent="0.25">
      <c r="A66" s="76">
        <v>1147</v>
      </c>
      <c r="B66" s="127" t="s">
        <v>84</v>
      </c>
      <c r="C66" s="279">
        <f t="shared" si="4"/>
        <v>0</v>
      </c>
      <c r="D66" s="134">
        <v>0</v>
      </c>
      <c r="E66" s="285"/>
      <c r="F66" s="136">
        <f t="shared" si="5"/>
        <v>0</v>
      </c>
      <c r="G66" s="134">
        <v>0</v>
      </c>
      <c r="H66" s="135"/>
      <c r="I66" s="136">
        <f t="shared" si="6"/>
        <v>0</v>
      </c>
      <c r="J66" s="134"/>
      <c r="K66" s="135"/>
      <c r="L66" s="136">
        <f t="shared" si="7"/>
        <v>0</v>
      </c>
      <c r="M66" s="284"/>
      <c r="N66" s="285"/>
      <c r="O66" s="136">
        <f t="shared" si="8"/>
        <v>0</v>
      </c>
      <c r="P66" s="85"/>
      <c r="R66" s="53"/>
    </row>
    <row r="67" spans="1:18" hidden="1" x14ac:dyDescent="0.25">
      <c r="A67" s="76">
        <v>1148</v>
      </c>
      <c r="B67" s="127" t="s">
        <v>85</v>
      </c>
      <c r="C67" s="279">
        <f t="shared" si="4"/>
        <v>0</v>
      </c>
      <c r="D67" s="134">
        <v>0</v>
      </c>
      <c r="E67" s="285"/>
      <c r="F67" s="136">
        <f t="shared" si="5"/>
        <v>0</v>
      </c>
      <c r="G67" s="134">
        <v>0</v>
      </c>
      <c r="H67" s="135"/>
      <c r="I67" s="136">
        <f t="shared" si="6"/>
        <v>0</v>
      </c>
      <c r="J67" s="134"/>
      <c r="K67" s="135"/>
      <c r="L67" s="136">
        <f t="shared" si="7"/>
        <v>0</v>
      </c>
      <c r="M67" s="284"/>
      <c r="N67" s="285"/>
      <c r="O67" s="136">
        <f t="shared" si="8"/>
        <v>0</v>
      </c>
      <c r="P67" s="85"/>
      <c r="R67" s="53"/>
    </row>
    <row r="68" spans="1:18" ht="24" hidden="1" x14ac:dyDescent="0.25">
      <c r="A68" s="76">
        <v>1149</v>
      </c>
      <c r="B68" s="127" t="s">
        <v>86</v>
      </c>
      <c r="C68" s="279">
        <f t="shared" si="4"/>
        <v>0</v>
      </c>
      <c r="D68" s="134">
        <v>0</v>
      </c>
      <c r="E68" s="285"/>
      <c r="F68" s="136">
        <f t="shared" si="5"/>
        <v>0</v>
      </c>
      <c r="G68" s="134">
        <v>0</v>
      </c>
      <c r="H68" s="135"/>
      <c r="I68" s="136">
        <f t="shared" si="6"/>
        <v>0</v>
      </c>
      <c r="J68" s="134"/>
      <c r="K68" s="135"/>
      <c r="L68" s="136">
        <f t="shared" si="7"/>
        <v>0</v>
      </c>
      <c r="M68" s="284"/>
      <c r="N68" s="285"/>
      <c r="O68" s="136">
        <f t="shared" si="8"/>
        <v>0</v>
      </c>
      <c r="P68" s="85"/>
      <c r="R68" s="53"/>
    </row>
    <row r="69" spans="1:18" ht="24" hidden="1" x14ac:dyDescent="0.25">
      <c r="A69" s="254">
        <v>1150</v>
      </c>
      <c r="B69" s="179" t="s">
        <v>87</v>
      </c>
      <c r="C69" s="279">
        <f t="shared" si="4"/>
        <v>0</v>
      </c>
      <c r="D69" s="134">
        <v>0</v>
      </c>
      <c r="E69" s="285"/>
      <c r="F69" s="259">
        <f t="shared" si="5"/>
        <v>0</v>
      </c>
      <c r="G69" s="287">
        <v>0</v>
      </c>
      <c r="H69" s="289"/>
      <c r="I69" s="259">
        <f t="shared" si="6"/>
        <v>0</v>
      </c>
      <c r="J69" s="287"/>
      <c r="K69" s="289"/>
      <c r="L69" s="259">
        <f t="shared" si="7"/>
        <v>0</v>
      </c>
      <c r="M69" s="290"/>
      <c r="N69" s="291"/>
      <c r="O69" s="259">
        <f t="shared" si="8"/>
        <v>0</v>
      </c>
      <c r="P69" s="189"/>
      <c r="R69" s="53"/>
    </row>
    <row r="70" spans="1:18" ht="24" hidden="1" x14ac:dyDescent="0.25">
      <c r="A70" s="99">
        <v>1200</v>
      </c>
      <c r="B70" s="247" t="s">
        <v>88</v>
      </c>
      <c r="C70" s="249">
        <f t="shared" si="4"/>
        <v>0</v>
      </c>
      <c r="D70" s="360">
        <f>SUM(D71:D72)</f>
        <v>0</v>
      </c>
      <c r="E70" s="304">
        <f>SUM(E71:E72)</f>
        <v>0</v>
      </c>
      <c r="F70" s="114">
        <f>D70+E70</f>
        <v>0</v>
      </c>
      <c r="G70" s="112">
        <f>SUM(G71:G72)</f>
        <v>0</v>
      </c>
      <c r="H70" s="113">
        <f>SUM(H71:H72)</f>
        <v>0</v>
      </c>
      <c r="I70" s="114">
        <f t="shared" si="6"/>
        <v>0</v>
      </c>
      <c r="J70" s="112">
        <f>SUM(J71:J72)</f>
        <v>0</v>
      </c>
      <c r="K70" s="113">
        <f>SUM(K71:K72)</f>
        <v>0</v>
      </c>
      <c r="L70" s="114">
        <f t="shared" si="7"/>
        <v>0</v>
      </c>
      <c r="M70" s="292">
        <f>SUM(M71:M72)</f>
        <v>0</v>
      </c>
      <c r="N70" s="293">
        <f>SUM(N71:N72)</f>
        <v>0</v>
      </c>
      <c r="O70" s="114">
        <f t="shared" si="8"/>
        <v>0</v>
      </c>
      <c r="P70" s="109"/>
      <c r="R70" s="53"/>
    </row>
    <row r="71" spans="1:18" ht="24" hidden="1" x14ac:dyDescent="0.25">
      <c r="A71" s="609">
        <v>1210</v>
      </c>
      <c r="B71" s="116" t="s">
        <v>89</v>
      </c>
      <c r="C71" s="296">
        <f t="shared" si="4"/>
        <v>0</v>
      </c>
      <c r="D71" s="643">
        <v>0</v>
      </c>
      <c r="E71" s="644"/>
      <c r="F71" s="375">
        <f t="shared" si="5"/>
        <v>0</v>
      </c>
      <c r="G71" s="123">
        <v>0</v>
      </c>
      <c r="H71" s="124"/>
      <c r="I71" s="125">
        <f t="shared" si="6"/>
        <v>0</v>
      </c>
      <c r="J71" s="123"/>
      <c r="K71" s="124"/>
      <c r="L71" s="125">
        <f t="shared" si="7"/>
        <v>0</v>
      </c>
      <c r="M71" s="264"/>
      <c r="N71" s="262"/>
      <c r="O71" s="125">
        <f t="shared" si="8"/>
        <v>0</v>
      </c>
      <c r="P71" s="74"/>
      <c r="R71" s="53"/>
    </row>
    <row r="72" spans="1:18" ht="24" hidden="1" x14ac:dyDescent="0.25">
      <c r="A72" s="276">
        <v>1220</v>
      </c>
      <c r="B72" s="127" t="s">
        <v>90</v>
      </c>
      <c r="C72" s="279">
        <f t="shared" si="4"/>
        <v>0</v>
      </c>
      <c r="D72" s="277">
        <f>SUM(D73:D77)</f>
        <v>0</v>
      </c>
      <c r="E72" s="282">
        <f>SUM(E73:E77)</f>
        <v>0</v>
      </c>
      <c r="F72" s="136">
        <f t="shared" si="5"/>
        <v>0</v>
      </c>
      <c r="G72" s="277">
        <f>SUM(G73:G77)</f>
        <v>0</v>
      </c>
      <c r="H72" s="280">
        <f>SUM(H73:H77)</f>
        <v>0</v>
      </c>
      <c r="I72" s="136">
        <f t="shared" si="6"/>
        <v>0</v>
      </c>
      <c r="J72" s="277">
        <f>SUM(J73:J77)</f>
        <v>0</v>
      </c>
      <c r="K72" s="280">
        <f>SUM(K73:K77)</f>
        <v>0</v>
      </c>
      <c r="L72" s="136">
        <f t="shared" si="7"/>
        <v>0</v>
      </c>
      <c r="M72" s="281">
        <f>SUM(M73:M77)</f>
        <v>0</v>
      </c>
      <c r="N72" s="282">
        <f>SUM(N73:N77)</f>
        <v>0</v>
      </c>
      <c r="O72" s="136">
        <f t="shared" si="8"/>
        <v>0</v>
      </c>
      <c r="P72" s="85"/>
      <c r="R72" s="53"/>
    </row>
    <row r="73" spans="1:18" ht="48" hidden="1" x14ac:dyDescent="0.25">
      <c r="A73" s="76">
        <v>1221</v>
      </c>
      <c r="B73" s="127" t="s">
        <v>91</v>
      </c>
      <c r="C73" s="279">
        <f t="shared" si="4"/>
        <v>0</v>
      </c>
      <c r="D73" s="134">
        <v>0</v>
      </c>
      <c r="E73" s="285"/>
      <c r="F73" s="136">
        <f t="shared" si="5"/>
        <v>0</v>
      </c>
      <c r="G73" s="134">
        <v>0</v>
      </c>
      <c r="H73" s="135"/>
      <c r="I73" s="136">
        <f t="shared" si="6"/>
        <v>0</v>
      </c>
      <c r="J73" s="134"/>
      <c r="K73" s="135"/>
      <c r="L73" s="136">
        <f t="shared" si="7"/>
        <v>0</v>
      </c>
      <c r="M73" s="284"/>
      <c r="N73" s="285"/>
      <c r="O73" s="136">
        <f t="shared" si="8"/>
        <v>0</v>
      </c>
      <c r="P73" s="85"/>
      <c r="R73" s="53"/>
    </row>
    <row r="74" spans="1:18" hidden="1" x14ac:dyDescent="0.25">
      <c r="A74" s="76">
        <v>1223</v>
      </c>
      <c r="B74" s="127" t="s">
        <v>92</v>
      </c>
      <c r="C74" s="279">
        <f t="shared" si="4"/>
        <v>0</v>
      </c>
      <c r="D74" s="134">
        <v>0</v>
      </c>
      <c r="E74" s="285"/>
      <c r="F74" s="136">
        <f t="shared" si="5"/>
        <v>0</v>
      </c>
      <c r="G74" s="134">
        <v>0</v>
      </c>
      <c r="H74" s="135"/>
      <c r="I74" s="136">
        <f t="shared" si="6"/>
        <v>0</v>
      </c>
      <c r="J74" s="134"/>
      <c r="K74" s="135"/>
      <c r="L74" s="136">
        <f t="shared" si="7"/>
        <v>0</v>
      </c>
      <c r="M74" s="284"/>
      <c r="N74" s="285"/>
      <c r="O74" s="136">
        <f t="shared" si="8"/>
        <v>0</v>
      </c>
      <c r="P74" s="85"/>
      <c r="R74" s="53"/>
    </row>
    <row r="75" spans="1:18" hidden="1" x14ac:dyDescent="0.25">
      <c r="A75" s="76">
        <v>1225</v>
      </c>
      <c r="B75" s="127" t="s">
        <v>93</v>
      </c>
      <c r="C75" s="279">
        <f t="shared" si="4"/>
        <v>0</v>
      </c>
      <c r="D75" s="134">
        <v>0</v>
      </c>
      <c r="E75" s="285"/>
      <c r="F75" s="136">
        <f t="shared" si="5"/>
        <v>0</v>
      </c>
      <c r="G75" s="134">
        <v>0</v>
      </c>
      <c r="H75" s="135"/>
      <c r="I75" s="136">
        <f t="shared" si="6"/>
        <v>0</v>
      </c>
      <c r="J75" s="134"/>
      <c r="K75" s="135"/>
      <c r="L75" s="136">
        <f t="shared" si="7"/>
        <v>0</v>
      </c>
      <c r="M75" s="284"/>
      <c r="N75" s="285"/>
      <c r="O75" s="136">
        <f t="shared" si="8"/>
        <v>0</v>
      </c>
      <c r="P75" s="85"/>
      <c r="R75" s="53"/>
    </row>
    <row r="76" spans="1:18" ht="24" hidden="1" x14ac:dyDescent="0.25">
      <c r="A76" s="76">
        <v>1227</v>
      </c>
      <c r="B76" s="127" t="s">
        <v>94</v>
      </c>
      <c r="C76" s="279">
        <f t="shared" si="4"/>
        <v>0</v>
      </c>
      <c r="D76" s="134">
        <v>0</v>
      </c>
      <c r="E76" s="285"/>
      <c r="F76" s="136">
        <f t="shared" si="5"/>
        <v>0</v>
      </c>
      <c r="G76" s="134">
        <v>0</v>
      </c>
      <c r="H76" s="135"/>
      <c r="I76" s="136">
        <f t="shared" si="6"/>
        <v>0</v>
      </c>
      <c r="J76" s="134"/>
      <c r="K76" s="135"/>
      <c r="L76" s="136">
        <f t="shared" si="7"/>
        <v>0</v>
      </c>
      <c r="M76" s="284"/>
      <c r="N76" s="285"/>
      <c r="O76" s="136">
        <f t="shared" si="8"/>
        <v>0</v>
      </c>
      <c r="P76" s="85"/>
      <c r="R76" s="53"/>
    </row>
    <row r="77" spans="1:18" ht="48" hidden="1" x14ac:dyDescent="0.25">
      <c r="A77" s="76">
        <v>1228</v>
      </c>
      <c r="B77" s="127" t="s">
        <v>95</v>
      </c>
      <c r="C77" s="279">
        <f t="shared" si="4"/>
        <v>0</v>
      </c>
      <c r="D77" s="645">
        <v>0</v>
      </c>
      <c r="E77" s="646"/>
      <c r="F77" s="136">
        <f t="shared" si="5"/>
        <v>0</v>
      </c>
      <c r="G77" s="134">
        <v>0</v>
      </c>
      <c r="H77" s="135"/>
      <c r="I77" s="136">
        <f t="shared" si="6"/>
        <v>0</v>
      </c>
      <c r="J77" s="134"/>
      <c r="K77" s="135"/>
      <c r="L77" s="136">
        <f t="shared" si="7"/>
        <v>0</v>
      </c>
      <c r="M77" s="284"/>
      <c r="N77" s="285"/>
      <c r="O77" s="136">
        <f t="shared" si="8"/>
        <v>0</v>
      </c>
      <c r="P77" s="85"/>
      <c r="R77" s="53"/>
    </row>
    <row r="78" spans="1:18" x14ac:dyDescent="0.25">
      <c r="A78" s="237">
        <v>2000</v>
      </c>
      <c r="B78" s="237" t="s">
        <v>96</v>
      </c>
      <c r="C78" s="241">
        <f t="shared" si="4"/>
        <v>101120</v>
      </c>
      <c r="D78" s="239">
        <f>SUM(D79,D86,D133,D167,D168,D175)</f>
        <v>101120</v>
      </c>
      <c r="E78" s="467">
        <f>SUM(E79,E86,E133,E167,E168,E175)</f>
        <v>0</v>
      </c>
      <c r="F78" s="243">
        <f t="shared" si="5"/>
        <v>101120</v>
      </c>
      <c r="G78" s="239">
        <f>SUM(G79,G86,G133,G167,G168,G175)</f>
        <v>0</v>
      </c>
      <c r="H78" s="242">
        <f>SUM(H79,H86,H133,H167,H168,H175)</f>
        <v>0</v>
      </c>
      <c r="I78" s="243">
        <f t="shared" si="6"/>
        <v>0</v>
      </c>
      <c r="J78" s="239">
        <f>SUM(J79,J86,J133,J167,J168,J175)</f>
        <v>0</v>
      </c>
      <c r="K78" s="242">
        <f>SUM(K79,K86,K133,K167,K168,K175)</f>
        <v>0</v>
      </c>
      <c r="L78" s="243">
        <f t="shared" si="7"/>
        <v>0</v>
      </c>
      <c r="M78" s="244">
        <f>SUM(M79,M86,M133,M167,M168,M175)</f>
        <v>0</v>
      </c>
      <c r="N78" s="245">
        <f>SUM(N79,N86,N133,N167,N168,N175)</f>
        <v>0</v>
      </c>
      <c r="O78" s="243">
        <f t="shared" si="8"/>
        <v>0</v>
      </c>
      <c r="P78" s="246"/>
      <c r="R78" s="53"/>
    </row>
    <row r="79" spans="1:18" ht="24" hidden="1" x14ac:dyDescent="0.25">
      <c r="A79" s="99">
        <v>2100</v>
      </c>
      <c r="B79" s="247" t="s">
        <v>97</v>
      </c>
      <c r="C79" s="249">
        <f t="shared" si="4"/>
        <v>0</v>
      </c>
      <c r="D79" s="112">
        <f>SUM(D80,D83)</f>
        <v>0</v>
      </c>
      <c r="E79" s="293">
        <f>SUM(E80,E83)</f>
        <v>0</v>
      </c>
      <c r="F79" s="114">
        <f t="shared" si="5"/>
        <v>0</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c r="R79" s="53"/>
    </row>
    <row r="80" spans="1:18" ht="24" hidden="1" x14ac:dyDescent="0.25">
      <c r="A80" s="609">
        <v>2110</v>
      </c>
      <c r="B80" s="116" t="s">
        <v>98</v>
      </c>
      <c r="C80" s="296">
        <f t="shared" si="4"/>
        <v>0</v>
      </c>
      <c r="D80" s="297">
        <f>SUM(D81:D82)</f>
        <v>0</v>
      </c>
      <c r="E80" s="301">
        <f>SUM(E81:E82)</f>
        <v>0</v>
      </c>
      <c r="F80" s="125">
        <f t="shared" si="5"/>
        <v>0</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c r="R80" s="53"/>
    </row>
    <row r="81" spans="1:18" hidden="1" x14ac:dyDescent="0.25">
      <c r="A81" s="76">
        <v>2111</v>
      </c>
      <c r="B81" s="127" t="s">
        <v>99</v>
      </c>
      <c r="C81" s="279">
        <f t="shared" si="4"/>
        <v>0</v>
      </c>
      <c r="D81" s="134">
        <v>0</v>
      </c>
      <c r="E81" s="285"/>
      <c r="F81" s="136">
        <f t="shared" si="5"/>
        <v>0</v>
      </c>
      <c r="G81" s="134">
        <v>0</v>
      </c>
      <c r="H81" s="135"/>
      <c r="I81" s="136">
        <f t="shared" si="6"/>
        <v>0</v>
      </c>
      <c r="J81" s="134"/>
      <c r="K81" s="135"/>
      <c r="L81" s="136">
        <f t="shared" si="7"/>
        <v>0</v>
      </c>
      <c r="M81" s="284"/>
      <c r="N81" s="285"/>
      <c r="O81" s="136">
        <f t="shared" si="8"/>
        <v>0</v>
      </c>
      <c r="P81" s="85"/>
      <c r="R81" s="53"/>
    </row>
    <row r="82" spans="1:18" ht="24" hidden="1" x14ac:dyDescent="0.25">
      <c r="A82" s="76">
        <v>2112</v>
      </c>
      <c r="B82" s="127" t="s">
        <v>100</v>
      </c>
      <c r="C82" s="279">
        <f t="shared" si="4"/>
        <v>0</v>
      </c>
      <c r="D82" s="134">
        <v>0</v>
      </c>
      <c r="E82" s="285"/>
      <c r="F82" s="136">
        <f t="shared" si="5"/>
        <v>0</v>
      </c>
      <c r="G82" s="134">
        <v>0</v>
      </c>
      <c r="H82" s="135"/>
      <c r="I82" s="136">
        <f t="shared" si="6"/>
        <v>0</v>
      </c>
      <c r="J82" s="134"/>
      <c r="K82" s="135"/>
      <c r="L82" s="136">
        <f t="shared" si="7"/>
        <v>0</v>
      </c>
      <c r="M82" s="284"/>
      <c r="N82" s="285"/>
      <c r="O82" s="136">
        <f t="shared" si="8"/>
        <v>0</v>
      </c>
      <c r="P82" s="85"/>
      <c r="R82" s="53"/>
    </row>
    <row r="83" spans="1:18" ht="24" hidden="1" x14ac:dyDescent="0.25">
      <c r="A83" s="276">
        <v>2120</v>
      </c>
      <c r="B83" s="127" t="s">
        <v>101</v>
      </c>
      <c r="C83" s="279">
        <f t="shared" si="4"/>
        <v>0</v>
      </c>
      <c r="D83" s="277">
        <f>SUM(D84:D85)</f>
        <v>0</v>
      </c>
      <c r="E83" s="282">
        <f>SUM(E84:E85)</f>
        <v>0</v>
      </c>
      <c r="F83" s="13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c r="R83" s="53"/>
    </row>
    <row r="84" spans="1:18" hidden="1" x14ac:dyDescent="0.25">
      <c r="A84" s="76">
        <v>2121</v>
      </c>
      <c r="B84" s="127" t="s">
        <v>99</v>
      </c>
      <c r="C84" s="279">
        <f t="shared" si="4"/>
        <v>0</v>
      </c>
      <c r="D84" s="134">
        <v>0</v>
      </c>
      <c r="E84" s="285"/>
      <c r="F84" s="136">
        <f t="shared" si="5"/>
        <v>0</v>
      </c>
      <c r="G84" s="134">
        <v>0</v>
      </c>
      <c r="H84" s="135"/>
      <c r="I84" s="136">
        <f t="shared" si="6"/>
        <v>0</v>
      </c>
      <c r="J84" s="134"/>
      <c r="K84" s="135"/>
      <c r="L84" s="136">
        <f t="shared" si="7"/>
        <v>0</v>
      </c>
      <c r="M84" s="284"/>
      <c r="N84" s="285"/>
      <c r="O84" s="136">
        <f t="shared" si="8"/>
        <v>0</v>
      </c>
      <c r="P84" s="85"/>
      <c r="R84" s="53"/>
    </row>
    <row r="85" spans="1:18" ht="24" hidden="1" x14ac:dyDescent="0.25">
      <c r="A85" s="76">
        <v>2122</v>
      </c>
      <c r="B85" s="127" t="s">
        <v>100</v>
      </c>
      <c r="C85" s="279">
        <f t="shared" si="4"/>
        <v>0</v>
      </c>
      <c r="D85" s="134">
        <v>0</v>
      </c>
      <c r="E85" s="285"/>
      <c r="F85" s="136">
        <f t="shared" si="5"/>
        <v>0</v>
      </c>
      <c r="G85" s="134">
        <v>0</v>
      </c>
      <c r="H85" s="135"/>
      <c r="I85" s="136">
        <f t="shared" si="6"/>
        <v>0</v>
      </c>
      <c r="J85" s="134"/>
      <c r="K85" s="135"/>
      <c r="L85" s="136">
        <f t="shared" si="7"/>
        <v>0</v>
      </c>
      <c r="M85" s="284"/>
      <c r="N85" s="285"/>
      <c r="O85" s="136">
        <f t="shared" si="8"/>
        <v>0</v>
      </c>
      <c r="P85" s="85"/>
      <c r="R85" s="53"/>
    </row>
    <row r="86" spans="1:18" x14ac:dyDescent="0.25">
      <c r="A86" s="99">
        <v>2200</v>
      </c>
      <c r="B86" s="247" t="s">
        <v>102</v>
      </c>
      <c r="C86" s="302">
        <f t="shared" si="4"/>
        <v>101120</v>
      </c>
      <c r="D86" s="112">
        <f>SUM(D87,D92,D98,D106,D115,D119,D125,D131)</f>
        <v>101120</v>
      </c>
      <c r="E86" s="293">
        <f>SUM(E87,E92,E98,E106,E115,E119,E125,E131)</f>
        <v>0</v>
      </c>
      <c r="F86" s="114">
        <f t="shared" si="5"/>
        <v>101120</v>
      </c>
      <c r="G86" s="112">
        <f>SUM(G87,G92,G98,G106,G115,G119,G125,G131)</f>
        <v>0</v>
      </c>
      <c r="H86" s="113">
        <f>SUM(H87,H92,H98,H106,H115,H119,H125,H131)</f>
        <v>0</v>
      </c>
      <c r="I86" s="114">
        <f t="shared" si="6"/>
        <v>0</v>
      </c>
      <c r="J86" s="112">
        <f>SUM(J87,J92,J98,J106,J115,J119,J125,J131)</f>
        <v>0</v>
      </c>
      <c r="K86" s="113">
        <f>SUM(K87,K92,K98,K106,K115,K119,K125,K131)</f>
        <v>0</v>
      </c>
      <c r="L86" s="114">
        <f t="shared" si="7"/>
        <v>0</v>
      </c>
      <c r="M86" s="303">
        <f>SUM(M87,M92,M98,M106,M115,M119,M125,M131)</f>
        <v>0</v>
      </c>
      <c r="N86" s="304">
        <f>SUM(N87,N92,N98,N106,N115,N119,N125,N131)</f>
        <v>0</v>
      </c>
      <c r="O86" s="305">
        <f t="shared" si="8"/>
        <v>0</v>
      </c>
      <c r="P86" s="306"/>
      <c r="R86" s="53"/>
    </row>
    <row r="87" spans="1:18" hidden="1" x14ac:dyDescent="0.25">
      <c r="A87" s="254">
        <v>2210</v>
      </c>
      <c r="B87" s="179" t="s">
        <v>103</v>
      </c>
      <c r="C87" s="257">
        <f t="shared" si="4"/>
        <v>0</v>
      </c>
      <c r="D87" s="308">
        <f>SUM(D88:D91)</f>
        <v>0</v>
      </c>
      <c r="E87" s="318">
        <f>SUM(E88:E91)</f>
        <v>0</v>
      </c>
      <c r="F87" s="259">
        <f t="shared" si="5"/>
        <v>0</v>
      </c>
      <c r="G87" s="255">
        <f>SUM(G88:G91)</f>
        <v>0</v>
      </c>
      <c r="H87" s="258">
        <f>SUM(H88:H91)</f>
        <v>0</v>
      </c>
      <c r="I87" s="259">
        <f t="shared" si="6"/>
        <v>0</v>
      </c>
      <c r="J87" s="255">
        <f>SUM(J88:J91)</f>
        <v>0</v>
      </c>
      <c r="K87" s="258">
        <f>SUM(K88:K91)</f>
        <v>0</v>
      </c>
      <c r="L87" s="259">
        <f t="shared" si="7"/>
        <v>0</v>
      </c>
      <c r="M87" s="260">
        <f>SUM(M88:M91)</f>
        <v>0</v>
      </c>
      <c r="N87" s="261">
        <f>SUM(N88:N91)</f>
        <v>0</v>
      </c>
      <c r="O87" s="259">
        <f t="shared" si="8"/>
        <v>0</v>
      </c>
      <c r="P87" s="189"/>
      <c r="R87" s="53"/>
    </row>
    <row r="88" spans="1:18" ht="24" hidden="1" x14ac:dyDescent="0.25">
      <c r="A88" s="66">
        <v>2211</v>
      </c>
      <c r="B88" s="116" t="s">
        <v>104</v>
      </c>
      <c r="C88" s="279">
        <f t="shared" si="4"/>
        <v>0</v>
      </c>
      <c r="D88" s="134">
        <v>0</v>
      </c>
      <c r="E88" s="285"/>
      <c r="F88" s="125">
        <f t="shared" si="5"/>
        <v>0</v>
      </c>
      <c r="G88" s="123">
        <v>0</v>
      </c>
      <c r="H88" s="124"/>
      <c r="I88" s="125">
        <f t="shared" si="6"/>
        <v>0</v>
      </c>
      <c r="J88" s="123"/>
      <c r="K88" s="124"/>
      <c r="L88" s="125">
        <f t="shared" si="7"/>
        <v>0</v>
      </c>
      <c r="M88" s="264"/>
      <c r="N88" s="262"/>
      <c r="O88" s="125">
        <f t="shared" si="8"/>
        <v>0</v>
      </c>
      <c r="P88" s="74"/>
      <c r="R88" s="53"/>
    </row>
    <row r="89" spans="1:18" ht="36" hidden="1" x14ac:dyDescent="0.25">
      <c r="A89" s="76">
        <v>2212</v>
      </c>
      <c r="B89" s="127" t="s">
        <v>105</v>
      </c>
      <c r="C89" s="279">
        <f t="shared" si="4"/>
        <v>0</v>
      </c>
      <c r="D89" s="134">
        <v>0</v>
      </c>
      <c r="E89" s="285"/>
      <c r="F89" s="136">
        <f t="shared" si="5"/>
        <v>0</v>
      </c>
      <c r="G89" s="134">
        <v>0</v>
      </c>
      <c r="H89" s="135"/>
      <c r="I89" s="136">
        <f t="shared" si="6"/>
        <v>0</v>
      </c>
      <c r="J89" s="134"/>
      <c r="K89" s="135"/>
      <c r="L89" s="136">
        <f t="shared" si="7"/>
        <v>0</v>
      </c>
      <c r="M89" s="284"/>
      <c r="N89" s="285"/>
      <c r="O89" s="136">
        <f t="shared" si="8"/>
        <v>0</v>
      </c>
      <c r="P89" s="85"/>
      <c r="R89" s="53"/>
    </row>
    <row r="90" spans="1:18" ht="24" hidden="1" x14ac:dyDescent="0.25">
      <c r="A90" s="76">
        <v>2214</v>
      </c>
      <c r="B90" s="127" t="s">
        <v>106</v>
      </c>
      <c r="C90" s="279">
        <f t="shared" si="4"/>
        <v>0</v>
      </c>
      <c r="D90" s="134">
        <v>0</v>
      </c>
      <c r="E90" s="285"/>
      <c r="F90" s="136">
        <f t="shared" si="5"/>
        <v>0</v>
      </c>
      <c r="G90" s="134">
        <v>0</v>
      </c>
      <c r="H90" s="135"/>
      <c r="I90" s="136">
        <f t="shared" si="6"/>
        <v>0</v>
      </c>
      <c r="J90" s="134"/>
      <c r="K90" s="135"/>
      <c r="L90" s="136">
        <f t="shared" si="7"/>
        <v>0</v>
      </c>
      <c r="M90" s="284"/>
      <c r="N90" s="285"/>
      <c r="O90" s="136">
        <f t="shared" si="8"/>
        <v>0</v>
      </c>
      <c r="P90" s="85"/>
      <c r="R90" s="53"/>
    </row>
    <row r="91" spans="1:18" hidden="1" x14ac:dyDescent="0.25">
      <c r="A91" s="76">
        <v>2219</v>
      </c>
      <c r="B91" s="127" t="s">
        <v>107</v>
      </c>
      <c r="C91" s="279">
        <f t="shared" si="4"/>
        <v>0</v>
      </c>
      <c r="D91" s="134">
        <v>0</v>
      </c>
      <c r="E91" s="285"/>
      <c r="F91" s="136">
        <f t="shared" si="5"/>
        <v>0</v>
      </c>
      <c r="G91" s="134">
        <v>0</v>
      </c>
      <c r="H91" s="135"/>
      <c r="I91" s="136">
        <f t="shared" si="6"/>
        <v>0</v>
      </c>
      <c r="J91" s="134"/>
      <c r="K91" s="135"/>
      <c r="L91" s="136">
        <f t="shared" si="7"/>
        <v>0</v>
      </c>
      <c r="M91" s="284"/>
      <c r="N91" s="285"/>
      <c r="O91" s="136">
        <f t="shared" si="8"/>
        <v>0</v>
      </c>
      <c r="P91" s="85"/>
      <c r="R91" s="53"/>
    </row>
    <row r="92" spans="1:18" hidden="1" x14ac:dyDescent="0.25">
      <c r="A92" s="276">
        <v>2220</v>
      </c>
      <c r="B92" s="127" t="s">
        <v>108</v>
      </c>
      <c r="C92" s="279">
        <f t="shared" si="4"/>
        <v>0</v>
      </c>
      <c r="D92" s="277">
        <f>SUM(D93:D97)</f>
        <v>0</v>
      </c>
      <c r="E92" s="282">
        <f>SUM(E93:E97)</f>
        <v>0</v>
      </c>
      <c r="F92" s="136">
        <f t="shared" si="5"/>
        <v>0</v>
      </c>
      <c r="G92" s="277">
        <f>SUM(G93:G97)</f>
        <v>0</v>
      </c>
      <c r="H92" s="280">
        <f>SUM(H93:H97)</f>
        <v>0</v>
      </c>
      <c r="I92" s="136">
        <f t="shared" si="6"/>
        <v>0</v>
      </c>
      <c r="J92" s="277">
        <f>SUM(J93:J97)</f>
        <v>0</v>
      </c>
      <c r="K92" s="280">
        <f>SUM(K93:K97)</f>
        <v>0</v>
      </c>
      <c r="L92" s="136">
        <f t="shared" si="7"/>
        <v>0</v>
      </c>
      <c r="M92" s="281">
        <f>SUM(M93:M97)</f>
        <v>0</v>
      </c>
      <c r="N92" s="282">
        <f>SUM(N93:N97)</f>
        <v>0</v>
      </c>
      <c r="O92" s="136">
        <f t="shared" si="8"/>
        <v>0</v>
      </c>
      <c r="P92" s="85"/>
      <c r="R92" s="53"/>
    </row>
    <row r="93" spans="1:18" hidden="1" x14ac:dyDescent="0.25">
      <c r="A93" s="76">
        <v>2221</v>
      </c>
      <c r="B93" s="127" t="s">
        <v>109</v>
      </c>
      <c r="C93" s="279">
        <f t="shared" si="4"/>
        <v>0</v>
      </c>
      <c r="D93" s="134">
        <v>0</v>
      </c>
      <c r="E93" s="285"/>
      <c r="F93" s="136">
        <f t="shared" si="5"/>
        <v>0</v>
      </c>
      <c r="G93" s="134">
        <v>0</v>
      </c>
      <c r="H93" s="135"/>
      <c r="I93" s="136">
        <f t="shared" si="6"/>
        <v>0</v>
      </c>
      <c r="J93" s="134"/>
      <c r="K93" s="135"/>
      <c r="L93" s="136">
        <f t="shared" si="7"/>
        <v>0</v>
      </c>
      <c r="M93" s="284"/>
      <c r="N93" s="285"/>
      <c r="O93" s="136">
        <f t="shared" si="8"/>
        <v>0</v>
      </c>
      <c r="P93" s="85"/>
      <c r="R93" s="53"/>
    </row>
    <row r="94" spans="1:18" hidden="1" x14ac:dyDescent="0.25">
      <c r="A94" s="76">
        <v>2222</v>
      </c>
      <c r="B94" s="127" t="s">
        <v>110</v>
      </c>
      <c r="C94" s="279">
        <f t="shared" si="4"/>
        <v>0</v>
      </c>
      <c r="D94" s="134">
        <v>0</v>
      </c>
      <c r="E94" s="285"/>
      <c r="F94" s="136">
        <f t="shared" si="5"/>
        <v>0</v>
      </c>
      <c r="G94" s="134">
        <v>0</v>
      </c>
      <c r="H94" s="135"/>
      <c r="I94" s="136">
        <f t="shared" si="6"/>
        <v>0</v>
      </c>
      <c r="J94" s="134"/>
      <c r="K94" s="135"/>
      <c r="L94" s="136">
        <f t="shared" si="7"/>
        <v>0</v>
      </c>
      <c r="M94" s="284"/>
      <c r="N94" s="285"/>
      <c r="O94" s="136">
        <f t="shared" si="8"/>
        <v>0</v>
      </c>
      <c r="P94" s="85"/>
      <c r="R94" s="53"/>
    </row>
    <row r="95" spans="1:18" hidden="1" x14ac:dyDescent="0.25">
      <c r="A95" s="76">
        <v>2223</v>
      </c>
      <c r="B95" s="127" t="s">
        <v>111</v>
      </c>
      <c r="C95" s="279">
        <f t="shared" si="4"/>
        <v>0</v>
      </c>
      <c r="D95" s="134">
        <v>0</v>
      </c>
      <c r="E95" s="285"/>
      <c r="F95" s="136">
        <f t="shared" si="5"/>
        <v>0</v>
      </c>
      <c r="G95" s="134">
        <v>0</v>
      </c>
      <c r="H95" s="135"/>
      <c r="I95" s="136">
        <f t="shared" si="6"/>
        <v>0</v>
      </c>
      <c r="J95" s="134"/>
      <c r="K95" s="135"/>
      <c r="L95" s="136">
        <f t="shared" si="7"/>
        <v>0</v>
      </c>
      <c r="M95" s="284"/>
      <c r="N95" s="285"/>
      <c r="O95" s="136">
        <f t="shared" si="8"/>
        <v>0</v>
      </c>
      <c r="P95" s="85"/>
      <c r="R95" s="53"/>
    </row>
    <row r="96" spans="1:18" ht="36" hidden="1" x14ac:dyDescent="0.25">
      <c r="A96" s="76">
        <v>2224</v>
      </c>
      <c r="B96" s="127" t="s">
        <v>112</v>
      </c>
      <c r="C96" s="279">
        <f t="shared" si="4"/>
        <v>0</v>
      </c>
      <c r="D96" s="134">
        <v>0</v>
      </c>
      <c r="E96" s="285"/>
      <c r="F96" s="136">
        <f t="shared" si="5"/>
        <v>0</v>
      </c>
      <c r="G96" s="134">
        <v>0</v>
      </c>
      <c r="H96" s="135"/>
      <c r="I96" s="136">
        <f t="shared" si="6"/>
        <v>0</v>
      </c>
      <c r="J96" s="134"/>
      <c r="K96" s="135"/>
      <c r="L96" s="136">
        <f t="shared" si="7"/>
        <v>0</v>
      </c>
      <c r="M96" s="284"/>
      <c r="N96" s="285"/>
      <c r="O96" s="136">
        <f t="shared" si="8"/>
        <v>0</v>
      </c>
      <c r="P96" s="85"/>
      <c r="R96" s="53"/>
    </row>
    <row r="97" spans="1:18" ht="24" hidden="1" x14ac:dyDescent="0.25">
      <c r="A97" s="76">
        <v>2229</v>
      </c>
      <c r="B97" s="127" t="s">
        <v>113</v>
      </c>
      <c r="C97" s="279">
        <f t="shared" si="4"/>
        <v>0</v>
      </c>
      <c r="D97" s="134">
        <v>0</v>
      </c>
      <c r="E97" s="285"/>
      <c r="F97" s="136">
        <f t="shared" si="5"/>
        <v>0</v>
      </c>
      <c r="G97" s="134">
        <v>0</v>
      </c>
      <c r="H97" s="135"/>
      <c r="I97" s="136">
        <f t="shared" si="6"/>
        <v>0</v>
      </c>
      <c r="J97" s="134"/>
      <c r="K97" s="135"/>
      <c r="L97" s="136">
        <f t="shared" si="7"/>
        <v>0</v>
      </c>
      <c r="M97" s="284"/>
      <c r="N97" s="285"/>
      <c r="O97" s="136">
        <f t="shared" si="8"/>
        <v>0</v>
      </c>
      <c r="P97" s="85"/>
      <c r="R97" s="53"/>
    </row>
    <row r="98" spans="1:18" ht="24" x14ac:dyDescent="0.25">
      <c r="A98" s="276">
        <v>2230</v>
      </c>
      <c r="B98" s="127" t="s">
        <v>114</v>
      </c>
      <c r="C98" s="279">
        <f t="shared" si="4"/>
        <v>497</v>
      </c>
      <c r="D98" s="277">
        <f>SUM(D99:D105)</f>
        <v>497</v>
      </c>
      <c r="E98" s="282">
        <f>SUM(E99:E105)</f>
        <v>0</v>
      </c>
      <c r="F98" s="136">
        <f t="shared" si="5"/>
        <v>497</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c r="R98" s="53"/>
    </row>
    <row r="99" spans="1:18" ht="24" hidden="1" x14ac:dyDescent="0.25">
      <c r="A99" s="76">
        <v>2231</v>
      </c>
      <c r="B99" s="127" t="s">
        <v>115</v>
      </c>
      <c r="C99" s="279">
        <f t="shared" si="4"/>
        <v>0</v>
      </c>
      <c r="D99" s="134">
        <v>0</v>
      </c>
      <c r="E99" s="285"/>
      <c r="F99" s="136">
        <f t="shared" si="5"/>
        <v>0</v>
      </c>
      <c r="G99" s="134">
        <v>0</v>
      </c>
      <c r="H99" s="135"/>
      <c r="I99" s="136">
        <f t="shared" si="6"/>
        <v>0</v>
      </c>
      <c r="J99" s="134"/>
      <c r="K99" s="135"/>
      <c r="L99" s="136">
        <f t="shared" si="7"/>
        <v>0</v>
      </c>
      <c r="M99" s="284"/>
      <c r="N99" s="285"/>
      <c r="O99" s="136">
        <f t="shared" si="8"/>
        <v>0</v>
      </c>
      <c r="P99" s="85"/>
      <c r="R99" s="53"/>
    </row>
    <row r="100" spans="1:18" ht="24" hidden="1" x14ac:dyDescent="0.25">
      <c r="A100" s="76">
        <v>2232</v>
      </c>
      <c r="B100" s="127" t="s">
        <v>116</v>
      </c>
      <c r="C100" s="279">
        <f t="shared" si="4"/>
        <v>0</v>
      </c>
      <c r="D100" s="134">
        <v>0</v>
      </c>
      <c r="E100" s="285"/>
      <c r="F100" s="136">
        <f t="shared" si="5"/>
        <v>0</v>
      </c>
      <c r="G100" s="134">
        <v>0</v>
      </c>
      <c r="H100" s="135"/>
      <c r="I100" s="136">
        <f t="shared" si="6"/>
        <v>0</v>
      </c>
      <c r="J100" s="134"/>
      <c r="K100" s="135"/>
      <c r="L100" s="136">
        <f t="shared" si="7"/>
        <v>0</v>
      </c>
      <c r="M100" s="284"/>
      <c r="N100" s="285"/>
      <c r="O100" s="136">
        <f t="shared" si="8"/>
        <v>0</v>
      </c>
      <c r="P100" s="85"/>
      <c r="R100" s="53"/>
    </row>
    <row r="101" spans="1:18" hidden="1" x14ac:dyDescent="0.25">
      <c r="A101" s="66">
        <v>2233</v>
      </c>
      <c r="B101" s="116" t="s">
        <v>117</v>
      </c>
      <c r="C101" s="279">
        <f t="shared" si="4"/>
        <v>0</v>
      </c>
      <c r="D101" s="134">
        <v>0</v>
      </c>
      <c r="E101" s="285"/>
      <c r="F101" s="125">
        <f t="shared" si="5"/>
        <v>0</v>
      </c>
      <c r="G101" s="123">
        <v>0</v>
      </c>
      <c r="H101" s="124"/>
      <c r="I101" s="125">
        <f t="shared" si="6"/>
        <v>0</v>
      </c>
      <c r="J101" s="123"/>
      <c r="K101" s="124"/>
      <c r="L101" s="125">
        <f t="shared" si="7"/>
        <v>0</v>
      </c>
      <c r="M101" s="264"/>
      <c r="N101" s="262"/>
      <c r="O101" s="125">
        <f t="shared" si="8"/>
        <v>0</v>
      </c>
      <c r="P101" s="74"/>
      <c r="R101" s="53"/>
    </row>
    <row r="102" spans="1:18" ht="24" hidden="1" x14ac:dyDescent="0.25">
      <c r="A102" s="76">
        <v>2234</v>
      </c>
      <c r="B102" s="127" t="s">
        <v>118</v>
      </c>
      <c r="C102" s="279">
        <f t="shared" si="4"/>
        <v>0</v>
      </c>
      <c r="D102" s="134">
        <v>0</v>
      </c>
      <c r="E102" s="285"/>
      <c r="F102" s="136">
        <f t="shared" si="5"/>
        <v>0</v>
      </c>
      <c r="G102" s="134">
        <v>0</v>
      </c>
      <c r="H102" s="135"/>
      <c r="I102" s="136">
        <f t="shared" si="6"/>
        <v>0</v>
      </c>
      <c r="J102" s="134"/>
      <c r="K102" s="135"/>
      <c r="L102" s="136">
        <f t="shared" si="7"/>
        <v>0</v>
      </c>
      <c r="M102" s="284"/>
      <c r="N102" s="285"/>
      <c r="O102" s="136">
        <f t="shared" si="8"/>
        <v>0</v>
      </c>
      <c r="P102" s="85"/>
      <c r="R102" s="53"/>
    </row>
    <row r="103" spans="1:18" ht="24" hidden="1" x14ac:dyDescent="0.25">
      <c r="A103" s="76">
        <v>2235</v>
      </c>
      <c r="B103" s="127" t="s">
        <v>119</v>
      </c>
      <c r="C103" s="279">
        <f t="shared" si="4"/>
        <v>0</v>
      </c>
      <c r="D103" s="134">
        <v>0</v>
      </c>
      <c r="E103" s="285"/>
      <c r="F103" s="136">
        <f t="shared" si="5"/>
        <v>0</v>
      </c>
      <c r="G103" s="134">
        <v>0</v>
      </c>
      <c r="H103" s="135"/>
      <c r="I103" s="136">
        <f t="shared" si="6"/>
        <v>0</v>
      </c>
      <c r="J103" s="134"/>
      <c r="K103" s="135"/>
      <c r="L103" s="136">
        <f t="shared" si="7"/>
        <v>0</v>
      </c>
      <c r="M103" s="284"/>
      <c r="N103" s="285"/>
      <c r="O103" s="136">
        <f t="shared" si="8"/>
        <v>0</v>
      </c>
      <c r="P103" s="85"/>
      <c r="R103" s="53"/>
    </row>
    <row r="104" spans="1:18" hidden="1" x14ac:dyDescent="0.25">
      <c r="A104" s="76">
        <v>2236</v>
      </c>
      <c r="B104" s="127" t="s">
        <v>120</v>
      </c>
      <c r="C104" s="279">
        <f t="shared" si="4"/>
        <v>0</v>
      </c>
      <c r="D104" s="134">
        <v>0</v>
      </c>
      <c r="E104" s="285"/>
      <c r="F104" s="136">
        <f t="shared" si="5"/>
        <v>0</v>
      </c>
      <c r="G104" s="134">
        <v>0</v>
      </c>
      <c r="H104" s="135"/>
      <c r="I104" s="136">
        <f t="shared" si="6"/>
        <v>0</v>
      </c>
      <c r="J104" s="134"/>
      <c r="K104" s="135"/>
      <c r="L104" s="136">
        <f t="shared" si="7"/>
        <v>0</v>
      </c>
      <c r="M104" s="284"/>
      <c r="N104" s="285"/>
      <c r="O104" s="136">
        <f t="shared" si="8"/>
        <v>0</v>
      </c>
      <c r="P104" s="85"/>
      <c r="R104" s="53"/>
    </row>
    <row r="105" spans="1:18" x14ac:dyDescent="0.25">
      <c r="A105" s="76">
        <v>2239</v>
      </c>
      <c r="B105" s="127" t="s">
        <v>121</v>
      </c>
      <c r="C105" s="279">
        <f t="shared" si="4"/>
        <v>497</v>
      </c>
      <c r="D105" s="134">
        <f>630-133</f>
        <v>497</v>
      </c>
      <c r="E105" s="285"/>
      <c r="F105" s="136">
        <f t="shared" si="5"/>
        <v>497</v>
      </c>
      <c r="G105" s="134">
        <v>0</v>
      </c>
      <c r="H105" s="135"/>
      <c r="I105" s="136">
        <f t="shared" si="6"/>
        <v>0</v>
      </c>
      <c r="J105" s="134"/>
      <c r="K105" s="135"/>
      <c r="L105" s="136">
        <f t="shared" si="7"/>
        <v>0</v>
      </c>
      <c r="M105" s="284"/>
      <c r="N105" s="285"/>
      <c r="O105" s="136">
        <f t="shared" si="8"/>
        <v>0</v>
      </c>
      <c r="P105" s="85"/>
      <c r="R105" s="53"/>
    </row>
    <row r="106" spans="1:18" ht="24" x14ac:dyDescent="0.25">
      <c r="A106" s="276">
        <v>2240</v>
      </c>
      <c r="B106" s="127" t="s">
        <v>122</v>
      </c>
      <c r="C106" s="279">
        <f t="shared" si="4"/>
        <v>100245</v>
      </c>
      <c r="D106" s="277">
        <f>SUM(D107:D114)</f>
        <v>100245</v>
      </c>
      <c r="E106" s="282">
        <f>SUM(E107:E114)</f>
        <v>0</v>
      </c>
      <c r="F106" s="136">
        <f t="shared" si="5"/>
        <v>100245</v>
      </c>
      <c r="G106" s="277">
        <f>SUM(G107:G114)</f>
        <v>0</v>
      </c>
      <c r="H106" s="280">
        <f>SUM(H107:H114)</f>
        <v>0</v>
      </c>
      <c r="I106" s="136">
        <f t="shared" si="6"/>
        <v>0</v>
      </c>
      <c r="J106" s="277">
        <f>SUM(J107:J114)</f>
        <v>0</v>
      </c>
      <c r="K106" s="280">
        <f>SUM(K107:K114)</f>
        <v>0</v>
      </c>
      <c r="L106" s="136">
        <f t="shared" si="7"/>
        <v>0</v>
      </c>
      <c r="M106" s="281">
        <f>SUM(M107:M114)</f>
        <v>0</v>
      </c>
      <c r="N106" s="282">
        <f>SUM(N107:N114)</f>
        <v>0</v>
      </c>
      <c r="O106" s="136">
        <f t="shared" si="8"/>
        <v>0</v>
      </c>
      <c r="P106" s="85"/>
      <c r="R106" s="53"/>
    </row>
    <row r="107" spans="1:18" x14ac:dyDescent="0.25">
      <c r="A107" s="76">
        <v>2241</v>
      </c>
      <c r="B107" s="127" t="s">
        <v>123</v>
      </c>
      <c r="C107" s="279">
        <f t="shared" si="4"/>
        <v>100245</v>
      </c>
      <c r="D107" s="134">
        <f>62245+8000+30000</f>
        <v>100245</v>
      </c>
      <c r="E107" s="285"/>
      <c r="F107" s="136">
        <f t="shared" si="5"/>
        <v>100245</v>
      </c>
      <c r="G107" s="134">
        <v>0</v>
      </c>
      <c r="H107" s="135"/>
      <c r="I107" s="136">
        <f t="shared" si="6"/>
        <v>0</v>
      </c>
      <c r="J107" s="134"/>
      <c r="K107" s="135"/>
      <c r="L107" s="136">
        <f t="shared" si="7"/>
        <v>0</v>
      </c>
      <c r="M107" s="284"/>
      <c r="N107" s="285"/>
      <c r="O107" s="136">
        <f t="shared" si="8"/>
        <v>0</v>
      </c>
      <c r="P107" s="85"/>
      <c r="R107" s="53"/>
    </row>
    <row r="108" spans="1:18" hidden="1" x14ac:dyDescent="0.25">
      <c r="A108" s="76">
        <v>2242</v>
      </c>
      <c r="B108" s="127" t="s">
        <v>124</v>
      </c>
      <c r="C108" s="279">
        <f t="shared" si="4"/>
        <v>0</v>
      </c>
      <c r="D108" s="134">
        <v>0</v>
      </c>
      <c r="E108" s="285"/>
      <c r="F108" s="136">
        <f t="shared" si="5"/>
        <v>0</v>
      </c>
      <c r="G108" s="134">
        <v>0</v>
      </c>
      <c r="H108" s="135"/>
      <c r="I108" s="136">
        <f t="shared" si="6"/>
        <v>0</v>
      </c>
      <c r="J108" s="134"/>
      <c r="K108" s="135"/>
      <c r="L108" s="136">
        <f t="shared" si="7"/>
        <v>0</v>
      </c>
      <c r="M108" s="284"/>
      <c r="N108" s="285"/>
      <c r="O108" s="136">
        <f t="shared" si="8"/>
        <v>0</v>
      </c>
      <c r="P108" s="85"/>
      <c r="R108" s="53"/>
    </row>
    <row r="109" spans="1:18" ht="24" hidden="1" x14ac:dyDescent="0.25">
      <c r="A109" s="76">
        <v>2243</v>
      </c>
      <c r="B109" s="127" t="s">
        <v>125</v>
      </c>
      <c r="C109" s="279">
        <f t="shared" si="4"/>
        <v>0</v>
      </c>
      <c r="D109" s="134">
        <v>0</v>
      </c>
      <c r="E109" s="285"/>
      <c r="F109" s="136">
        <f t="shared" si="5"/>
        <v>0</v>
      </c>
      <c r="G109" s="134">
        <v>0</v>
      </c>
      <c r="H109" s="135"/>
      <c r="I109" s="136">
        <f t="shared" si="6"/>
        <v>0</v>
      </c>
      <c r="J109" s="134"/>
      <c r="K109" s="135"/>
      <c r="L109" s="136">
        <f t="shared" si="7"/>
        <v>0</v>
      </c>
      <c r="M109" s="284"/>
      <c r="N109" s="285"/>
      <c r="O109" s="136">
        <f t="shared" si="8"/>
        <v>0</v>
      </c>
      <c r="P109" s="85"/>
      <c r="R109" s="53"/>
    </row>
    <row r="110" spans="1:18" hidden="1" x14ac:dyDescent="0.25">
      <c r="A110" s="76">
        <v>2244</v>
      </c>
      <c r="B110" s="127" t="s">
        <v>126</v>
      </c>
      <c r="C110" s="279">
        <f t="shared" si="4"/>
        <v>0</v>
      </c>
      <c r="D110" s="134">
        <v>0</v>
      </c>
      <c r="E110" s="285"/>
      <c r="F110" s="136">
        <f t="shared" si="5"/>
        <v>0</v>
      </c>
      <c r="G110" s="134">
        <v>0</v>
      </c>
      <c r="H110" s="135"/>
      <c r="I110" s="136">
        <f t="shared" si="6"/>
        <v>0</v>
      </c>
      <c r="J110" s="134"/>
      <c r="K110" s="135"/>
      <c r="L110" s="136">
        <f t="shared" si="7"/>
        <v>0</v>
      </c>
      <c r="M110" s="284"/>
      <c r="N110" s="285"/>
      <c r="O110" s="136">
        <f t="shared" si="8"/>
        <v>0</v>
      </c>
      <c r="P110" s="85"/>
      <c r="R110" s="53"/>
    </row>
    <row r="111" spans="1:18" hidden="1" x14ac:dyDescent="0.25">
      <c r="A111" s="76">
        <v>2246</v>
      </c>
      <c r="B111" s="127" t="s">
        <v>127</v>
      </c>
      <c r="C111" s="279">
        <f t="shared" si="4"/>
        <v>0</v>
      </c>
      <c r="D111" s="134">
        <v>0</v>
      </c>
      <c r="E111" s="285"/>
      <c r="F111" s="136">
        <f t="shared" si="5"/>
        <v>0</v>
      </c>
      <c r="G111" s="134"/>
      <c r="H111" s="135"/>
      <c r="I111" s="136">
        <f t="shared" si="6"/>
        <v>0</v>
      </c>
      <c r="J111" s="134"/>
      <c r="K111" s="135"/>
      <c r="L111" s="136">
        <f t="shared" si="7"/>
        <v>0</v>
      </c>
      <c r="M111" s="284"/>
      <c r="N111" s="285"/>
      <c r="O111" s="136">
        <f t="shared" si="8"/>
        <v>0</v>
      </c>
      <c r="P111" s="85"/>
      <c r="R111" s="53"/>
    </row>
    <row r="112" spans="1:18" hidden="1" x14ac:dyDescent="0.25">
      <c r="A112" s="76">
        <v>2247</v>
      </c>
      <c r="B112" s="127" t="s">
        <v>128</v>
      </c>
      <c r="C112" s="279">
        <f t="shared" si="4"/>
        <v>0</v>
      </c>
      <c r="D112" s="134">
        <v>0</v>
      </c>
      <c r="E112" s="285"/>
      <c r="F112" s="136">
        <f t="shared" si="5"/>
        <v>0</v>
      </c>
      <c r="G112" s="134">
        <v>0</v>
      </c>
      <c r="H112" s="135"/>
      <c r="I112" s="136">
        <f t="shared" si="6"/>
        <v>0</v>
      </c>
      <c r="J112" s="134"/>
      <c r="K112" s="135"/>
      <c r="L112" s="136">
        <f t="shared" si="7"/>
        <v>0</v>
      </c>
      <c r="M112" s="284"/>
      <c r="N112" s="285"/>
      <c r="O112" s="136">
        <f t="shared" si="8"/>
        <v>0</v>
      </c>
      <c r="P112" s="85"/>
      <c r="R112" s="53"/>
    </row>
    <row r="113" spans="1:18" ht="24" hidden="1" x14ac:dyDescent="0.25">
      <c r="A113" s="76">
        <v>2248</v>
      </c>
      <c r="B113" s="127" t="s">
        <v>129</v>
      </c>
      <c r="C113" s="279">
        <f t="shared" si="4"/>
        <v>0</v>
      </c>
      <c r="D113" s="134">
        <v>0</v>
      </c>
      <c r="E113" s="285"/>
      <c r="F113" s="136">
        <f t="shared" si="5"/>
        <v>0</v>
      </c>
      <c r="G113" s="134">
        <v>0</v>
      </c>
      <c r="H113" s="135"/>
      <c r="I113" s="136">
        <f t="shared" si="6"/>
        <v>0</v>
      </c>
      <c r="J113" s="134"/>
      <c r="K113" s="135"/>
      <c r="L113" s="136">
        <f t="shared" si="7"/>
        <v>0</v>
      </c>
      <c r="M113" s="284"/>
      <c r="N113" s="285"/>
      <c r="O113" s="136">
        <f t="shared" si="8"/>
        <v>0</v>
      </c>
      <c r="P113" s="85"/>
      <c r="R113" s="53"/>
    </row>
    <row r="114" spans="1:18" ht="24" hidden="1" x14ac:dyDescent="0.25">
      <c r="A114" s="76">
        <v>2249</v>
      </c>
      <c r="B114" s="127" t="s">
        <v>130</v>
      </c>
      <c r="C114" s="279">
        <f t="shared" si="4"/>
        <v>0</v>
      </c>
      <c r="D114" s="134">
        <v>0</v>
      </c>
      <c r="E114" s="285"/>
      <c r="F114" s="136">
        <f t="shared" si="5"/>
        <v>0</v>
      </c>
      <c r="G114" s="134">
        <v>0</v>
      </c>
      <c r="H114" s="135"/>
      <c r="I114" s="136">
        <f t="shared" si="6"/>
        <v>0</v>
      </c>
      <c r="J114" s="134"/>
      <c r="K114" s="135"/>
      <c r="L114" s="136">
        <f t="shared" si="7"/>
        <v>0</v>
      </c>
      <c r="M114" s="284"/>
      <c r="N114" s="285"/>
      <c r="O114" s="136">
        <f t="shared" si="8"/>
        <v>0</v>
      </c>
      <c r="P114" s="85"/>
      <c r="R114" s="53"/>
    </row>
    <row r="115" spans="1:18" hidden="1" x14ac:dyDescent="0.25">
      <c r="A115" s="276">
        <v>2250</v>
      </c>
      <c r="B115" s="127" t="s">
        <v>131</v>
      </c>
      <c r="C115" s="279">
        <f t="shared" si="4"/>
        <v>0</v>
      </c>
      <c r="D115" s="277">
        <f>SUM(D116:D118)</f>
        <v>0</v>
      </c>
      <c r="E115" s="282">
        <f>SUM(E116:E118)</f>
        <v>0</v>
      </c>
      <c r="F115" s="136">
        <f t="shared" si="5"/>
        <v>0</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c r="R115" s="53"/>
    </row>
    <row r="116" spans="1:18" hidden="1" x14ac:dyDescent="0.25">
      <c r="A116" s="76">
        <v>2251</v>
      </c>
      <c r="B116" s="127" t="s">
        <v>132</v>
      </c>
      <c r="C116" s="279">
        <f t="shared" si="4"/>
        <v>0</v>
      </c>
      <c r="D116" s="134">
        <v>0</v>
      </c>
      <c r="E116" s="285"/>
      <c r="F116" s="136">
        <f t="shared" si="5"/>
        <v>0</v>
      </c>
      <c r="G116" s="134">
        <v>0</v>
      </c>
      <c r="H116" s="135"/>
      <c r="I116" s="136">
        <f t="shared" si="6"/>
        <v>0</v>
      </c>
      <c r="J116" s="134"/>
      <c r="K116" s="135"/>
      <c r="L116" s="136">
        <f t="shared" si="7"/>
        <v>0</v>
      </c>
      <c r="M116" s="284"/>
      <c r="N116" s="285"/>
      <c r="O116" s="136">
        <f t="shared" si="8"/>
        <v>0</v>
      </c>
      <c r="P116" s="85"/>
      <c r="R116" s="53"/>
    </row>
    <row r="117" spans="1:18" hidden="1" x14ac:dyDescent="0.25">
      <c r="A117" s="76">
        <v>2252</v>
      </c>
      <c r="B117" s="127" t="s">
        <v>133</v>
      </c>
      <c r="C117" s="279">
        <f t="shared" ref="C117:C181" si="9">F117+I117+L117+O117</f>
        <v>0</v>
      </c>
      <c r="D117" s="134">
        <v>0</v>
      </c>
      <c r="E117" s="285"/>
      <c r="F117" s="136">
        <f t="shared" si="5"/>
        <v>0</v>
      </c>
      <c r="G117" s="134">
        <v>0</v>
      </c>
      <c r="H117" s="135"/>
      <c r="I117" s="136">
        <f t="shared" si="6"/>
        <v>0</v>
      </c>
      <c r="J117" s="134"/>
      <c r="K117" s="135"/>
      <c r="L117" s="136">
        <f t="shared" si="7"/>
        <v>0</v>
      </c>
      <c r="M117" s="284"/>
      <c r="N117" s="285"/>
      <c r="O117" s="136">
        <f t="shared" si="8"/>
        <v>0</v>
      </c>
      <c r="P117" s="85"/>
      <c r="R117" s="53"/>
    </row>
    <row r="118" spans="1:18" hidden="1" x14ac:dyDescent="0.25">
      <c r="A118" s="76">
        <v>2259</v>
      </c>
      <c r="B118" s="127" t="s">
        <v>134</v>
      </c>
      <c r="C118" s="279">
        <f t="shared" si="9"/>
        <v>0</v>
      </c>
      <c r="D118" s="134">
        <v>0</v>
      </c>
      <c r="E118" s="285"/>
      <c r="F118" s="136">
        <f t="shared" ref="F118:F182" si="10">D118+E118</f>
        <v>0</v>
      </c>
      <c r="G118" s="134">
        <v>0</v>
      </c>
      <c r="H118" s="135"/>
      <c r="I118" s="136">
        <f t="shared" ref="I118:I182" si="11">G118+H118</f>
        <v>0</v>
      </c>
      <c r="J118" s="134"/>
      <c r="K118" s="135"/>
      <c r="L118" s="136">
        <f t="shared" ref="L118:L182" si="12">J118+K118</f>
        <v>0</v>
      </c>
      <c r="M118" s="284"/>
      <c r="N118" s="285"/>
      <c r="O118" s="136">
        <f t="shared" ref="O118:O182" si="13">M118+N118</f>
        <v>0</v>
      </c>
      <c r="P118" s="85"/>
      <c r="R118" s="53"/>
    </row>
    <row r="119" spans="1:18" hidden="1" x14ac:dyDescent="0.25">
      <c r="A119" s="276">
        <v>2260</v>
      </c>
      <c r="B119" s="127" t="s">
        <v>135</v>
      </c>
      <c r="C119" s="279">
        <f t="shared" si="9"/>
        <v>0</v>
      </c>
      <c r="D119" s="277">
        <f>SUM(D120:D124)</f>
        <v>0</v>
      </c>
      <c r="E119" s="282">
        <f>SUM(E120:E124)</f>
        <v>0</v>
      </c>
      <c r="F119" s="136">
        <f t="shared" si="10"/>
        <v>0</v>
      </c>
      <c r="G119" s="277">
        <f>SUM(G120:G124)</f>
        <v>0</v>
      </c>
      <c r="H119" s="280">
        <f>SUM(H120:H124)</f>
        <v>0</v>
      </c>
      <c r="I119" s="136">
        <f t="shared" si="11"/>
        <v>0</v>
      </c>
      <c r="J119" s="277">
        <f>SUM(J120:J124)</f>
        <v>0</v>
      </c>
      <c r="K119" s="280">
        <f>SUM(K120:K124)</f>
        <v>0</v>
      </c>
      <c r="L119" s="136">
        <f t="shared" si="12"/>
        <v>0</v>
      </c>
      <c r="M119" s="281">
        <f>SUM(M120:M124)</f>
        <v>0</v>
      </c>
      <c r="N119" s="282">
        <f>SUM(N120:N124)</f>
        <v>0</v>
      </c>
      <c r="O119" s="136">
        <f t="shared" si="13"/>
        <v>0</v>
      </c>
      <c r="P119" s="85"/>
      <c r="R119" s="53"/>
    </row>
    <row r="120" spans="1:18" hidden="1" x14ac:dyDescent="0.25">
      <c r="A120" s="76">
        <v>2261</v>
      </c>
      <c r="B120" s="127" t="s">
        <v>136</v>
      </c>
      <c r="C120" s="279">
        <f t="shared" si="9"/>
        <v>0</v>
      </c>
      <c r="D120" s="134">
        <v>0</v>
      </c>
      <c r="E120" s="285"/>
      <c r="F120" s="136">
        <f t="shared" si="10"/>
        <v>0</v>
      </c>
      <c r="G120" s="134">
        <v>0</v>
      </c>
      <c r="H120" s="135"/>
      <c r="I120" s="136">
        <f t="shared" si="11"/>
        <v>0</v>
      </c>
      <c r="J120" s="134"/>
      <c r="K120" s="135"/>
      <c r="L120" s="136">
        <f t="shared" si="12"/>
        <v>0</v>
      </c>
      <c r="M120" s="284"/>
      <c r="N120" s="285"/>
      <c r="O120" s="136">
        <f t="shared" si="13"/>
        <v>0</v>
      </c>
      <c r="P120" s="85"/>
      <c r="R120" s="53"/>
    </row>
    <row r="121" spans="1:18" hidden="1" x14ac:dyDescent="0.25">
      <c r="A121" s="76">
        <v>2262</v>
      </c>
      <c r="B121" s="127" t="s">
        <v>137</v>
      </c>
      <c r="C121" s="279">
        <f t="shared" si="9"/>
        <v>0</v>
      </c>
      <c r="D121" s="134">
        <v>0</v>
      </c>
      <c r="E121" s="285"/>
      <c r="F121" s="136">
        <f t="shared" si="10"/>
        <v>0</v>
      </c>
      <c r="G121" s="134">
        <v>0</v>
      </c>
      <c r="H121" s="135"/>
      <c r="I121" s="136">
        <f t="shared" si="11"/>
        <v>0</v>
      </c>
      <c r="J121" s="134"/>
      <c r="K121" s="135"/>
      <c r="L121" s="136">
        <f t="shared" si="12"/>
        <v>0</v>
      </c>
      <c r="M121" s="284"/>
      <c r="N121" s="285"/>
      <c r="O121" s="136">
        <f t="shared" si="13"/>
        <v>0</v>
      </c>
      <c r="P121" s="85"/>
      <c r="R121" s="53"/>
    </row>
    <row r="122" spans="1:18" hidden="1" x14ac:dyDescent="0.25">
      <c r="A122" s="76">
        <v>2263</v>
      </c>
      <c r="B122" s="127" t="s">
        <v>138</v>
      </c>
      <c r="C122" s="279">
        <f t="shared" si="9"/>
        <v>0</v>
      </c>
      <c r="D122" s="134">
        <v>0</v>
      </c>
      <c r="E122" s="285"/>
      <c r="F122" s="136">
        <f t="shared" si="10"/>
        <v>0</v>
      </c>
      <c r="G122" s="134">
        <v>0</v>
      </c>
      <c r="H122" s="135"/>
      <c r="I122" s="136">
        <f t="shared" si="11"/>
        <v>0</v>
      </c>
      <c r="J122" s="134"/>
      <c r="K122" s="135"/>
      <c r="L122" s="136">
        <f t="shared" si="12"/>
        <v>0</v>
      </c>
      <c r="M122" s="284"/>
      <c r="N122" s="285"/>
      <c r="O122" s="136">
        <f t="shared" si="13"/>
        <v>0</v>
      </c>
      <c r="P122" s="85"/>
      <c r="R122" s="53"/>
    </row>
    <row r="123" spans="1:18" hidden="1" x14ac:dyDescent="0.25">
      <c r="A123" s="76">
        <v>2264</v>
      </c>
      <c r="B123" s="127" t="s">
        <v>139</v>
      </c>
      <c r="C123" s="279">
        <f t="shared" si="9"/>
        <v>0</v>
      </c>
      <c r="D123" s="134">
        <v>0</v>
      </c>
      <c r="E123" s="285"/>
      <c r="F123" s="136">
        <f t="shared" si="10"/>
        <v>0</v>
      </c>
      <c r="G123" s="134">
        <v>0</v>
      </c>
      <c r="H123" s="135"/>
      <c r="I123" s="136">
        <f t="shared" si="11"/>
        <v>0</v>
      </c>
      <c r="J123" s="134"/>
      <c r="K123" s="135"/>
      <c r="L123" s="136">
        <f t="shared" si="12"/>
        <v>0</v>
      </c>
      <c r="M123" s="284"/>
      <c r="N123" s="285"/>
      <c r="O123" s="136">
        <f t="shared" si="13"/>
        <v>0</v>
      </c>
      <c r="P123" s="85"/>
      <c r="R123" s="53"/>
    </row>
    <row r="124" spans="1:18" hidden="1" x14ac:dyDescent="0.25">
      <c r="A124" s="76">
        <v>2269</v>
      </c>
      <c r="B124" s="127" t="s">
        <v>140</v>
      </c>
      <c r="C124" s="279">
        <f t="shared" si="9"/>
        <v>0</v>
      </c>
      <c r="D124" s="134">
        <v>0</v>
      </c>
      <c r="E124" s="285"/>
      <c r="F124" s="136">
        <f t="shared" si="10"/>
        <v>0</v>
      </c>
      <c r="G124" s="134">
        <v>0</v>
      </c>
      <c r="H124" s="135"/>
      <c r="I124" s="136">
        <f t="shared" si="11"/>
        <v>0</v>
      </c>
      <c r="J124" s="134"/>
      <c r="K124" s="135"/>
      <c r="L124" s="136">
        <f t="shared" si="12"/>
        <v>0</v>
      </c>
      <c r="M124" s="284"/>
      <c r="N124" s="285"/>
      <c r="O124" s="136">
        <f t="shared" si="13"/>
        <v>0</v>
      </c>
      <c r="P124" s="85"/>
      <c r="R124" s="53"/>
    </row>
    <row r="125" spans="1:18" x14ac:dyDescent="0.25">
      <c r="A125" s="276">
        <v>2270</v>
      </c>
      <c r="B125" s="127" t="s">
        <v>141</v>
      </c>
      <c r="C125" s="279">
        <f t="shared" si="9"/>
        <v>378</v>
      </c>
      <c r="D125" s="277">
        <f>SUM(D126:D130)</f>
        <v>378</v>
      </c>
      <c r="E125" s="282">
        <f>SUM(E126:E130)</f>
        <v>0</v>
      </c>
      <c r="F125" s="136">
        <f t="shared" si="10"/>
        <v>378</v>
      </c>
      <c r="G125" s="277">
        <f>SUM(G126:G130)</f>
        <v>0</v>
      </c>
      <c r="H125" s="280">
        <f>SUM(H126:H130)</f>
        <v>0</v>
      </c>
      <c r="I125" s="136">
        <f t="shared" si="11"/>
        <v>0</v>
      </c>
      <c r="J125" s="277">
        <f>SUM(J126:J130)</f>
        <v>0</v>
      </c>
      <c r="K125" s="280">
        <f>SUM(K126:K130)</f>
        <v>0</v>
      </c>
      <c r="L125" s="136">
        <f t="shared" si="12"/>
        <v>0</v>
      </c>
      <c r="M125" s="281">
        <f>SUM(M126:M130)</f>
        <v>0</v>
      </c>
      <c r="N125" s="282">
        <f>SUM(N126:N130)</f>
        <v>0</v>
      </c>
      <c r="O125" s="136">
        <f t="shared" si="13"/>
        <v>0</v>
      </c>
      <c r="P125" s="85"/>
      <c r="R125" s="53"/>
    </row>
    <row r="126" spans="1:18" hidden="1" x14ac:dyDescent="0.25">
      <c r="A126" s="76">
        <v>2272</v>
      </c>
      <c r="B126" s="5" t="s">
        <v>142</v>
      </c>
      <c r="C126" s="279">
        <f t="shared" si="9"/>
        <v>0</v>
      </c>
      <c r="D126" s="134">
        <v>0</v>
      </c>
      <c r="E126" s="285"/>
      <c r="F126" s="136">
        <f t="shared" si="10"/>
        <v>0</v>
      </c>
      <c r="G126" s="134">
        <v>0</v>
      </c>
      <c r="H126" s="135"/>
      <c r="I126" s="136">
        <f t="shared" si="11"/>
        <v>0</v>
      </c>
      <c r="J126" s="134"/>
      <c r="K126" s="135"/>
      <c r="L126" s="136">
        <f t="shared" si="12"/>
        <v>0</v>
      </c>
      <c r="M126" s="284"/>
      <c r="N126" s="285"/>
      <c r="O126" s="136">
        <f t="shared" si="13"/>
        <v>0</v>
      </c>
      <c r="P126" s="85"/>
      <c r="R126" s="53"/>
    </row>
    <row r="127" spans="1:18" hidden="1" x14ac:dyDescent="0.25">
      <c r="A127" s="76">
        <v>2275</v>
      </c>
      <c r="B127" s="127" t="s">
        <v>143</v>
      </c>
      <c r="C127" s="279">
        <f t="shared" si="9"/>
        <v>0</v>
      </c>
      <c r="D127" s="134">
        <v>0</v>
      </c>
      <c r="E127" s="285"/>
      <c r="F127" s="136">
        <f t="shared" si="10"/>
        <v>0</v>
      </c>
      <c r="G127" s="134">
        <v>0</v>
      </c>
      <c r="H127" s="135"/>
      <c r="I127" s="136">
        <f t="shared" si="11"/>
        <v>0</v>
      </c>
      <c r="J127" s="134"/>
      <c r="K127" s="135"/>
      <c r="L127" s="136">
        <f t="shared" si="12"/>
        <v>0</v>
      </c>
      <c r="M127" s="284"/>
      <c r="N127" s="285"/>
      <c r="O127" s="136">
        <f t="shared" si="13"/>
        <v>0</v>
      </c>
      <c r="P127" s="85"/>
      <c r="R127" s="53"/>
    </row>
    <row r="128" spans="1:18" ht="24" hidden="1" x14ac:dyDescent="0.25">
      <c r="A128" s="76">
        <v>2276</v>
      </c>
      <c r="B128" s="127" t="s">
        <v>144</v>
      </c>
      <c r="C128" s="279">
        <f t="shared" si="9"/>
        <v>0</v>
      </c>
      <c r="D128" s="134">
        <v>0</v>
      </c>
      <c r="E128" s="285"/>
      <c r="F128" s="136">
        <f t="shared" si="10"/>
        <v>0</v>
      </c>
      <c r="G128" s="134">
        <v>0</v>
      </c>
      <c r="H128" s="135"/>
      <c r="I128" s="136">
        <f t="shared" si="11"/>
        <v>0</v>
      </c>
      <c r="J128" s="134"/>
      <c r="K128" s="135"/>
      <c r="L128" s="136">
        <f t="shared" si="12"/>
        <v>0</v>
      </c>
      <c r="M128" s="284"/>
      <c r="N128" s="285"/>
      <c r="O128" s="136">
        <f t="shared" si="13"/>
        <v>0</v>
      </c>
      <c r="P128" s="85"/>
      <c r="R128" s="53"/>
    </row>
    <row r="129" spans="1:18" ht="24" hidden="1" x14ac:dyDescent="0.25">
      <c r="A129" s="76">
        <v>2278</v>
      </c>
      <c r="B129" s="127" t="s">
        <v>145</v>
      </c>
      <c r="C129" s="279">
        <f t="shared" si="9"/>
        <v>0</v>
      </c>
      <c r="D129" s="134">
        <v>0</v>
      </c>
      <c r="E129" s="285"/>
      <c r="F129" s="136">
        <f t="shared" si="10"/>
        <v>0</v>
      </c>
      <c r="G129" s="134">
        <v>0</v>
      </c>
      <c r="H129" s="135"/>
      <c r="I129" s="136">
        <f t="shared" si="11"/>
        <v>0</v>
      </c>
      <c r="J129" s="134"/>
      <c r="K129" s="135"/>
      <c r="L129" s="136">
        <f t="shared" si="12"/>
        <v>0</v>
      </c>
      <c r="M129" s="284"/>
      <c r="N129" s="285"/>
      <c r="O129" s="136">
        <f t="shared" si="13"/>
        <v>0</v>
      </c>
      <c r="P129" s="85"/>
      <c r="R129" s="53"/>
    </row>
    <row r="130" spans="1:18" ht="24" x14ac:dyDescent="0.25">
      <c r="A130" s="76">
        <v>2279</v>
      </c>
      <c r="B130" s="127" t="s">
        <v>146</v>
      </c>
      <c r="C130" s="279">
        <f t="shared" si="9"/>
        <v>378</v>
      </c>
      <c r="D130" s="134">
        <v>378</v>
      </c>
      <c r="E130" s="285"/>
      <c r="F130" s="136">
        <f t="shared" si="10"/>
        <v>378</v>
      </c>
      <c r="G130" s="134">
        <v>0</v>
      </c>
      <c r="H130" s="135"/>
      <c r="I130" s="136">
        <f t="shared" si="11"/>
        <v>0</v>
      </c>
      <c r="J130" s="134"/>
      <c r="K130" s="135"/>
      <c r="L130" s="136">
        <f t="shared" si="12"/>
        <v>0</v>
      </c>
      <c r="M130" s="284"/>
      <c r="N130" s="285"/>
      <c r="O130" s="136">
        <f t="shared" si="13"/>
        <v>0</v>
      </c>
      <c r="P130" s="85"/>
      <c r="R130" s="53"/>
    </row>
    <row r="131" spans="1:18" ht="24" hidden="1" x14ac:dyDescent="0.25">
      <c r="A131" s="609">
        <v>2280</v>
      </c>
      <c r="B131" s="116" t="s">
        <v>147</v>
      </c>
      <c r="C131" s="279">
        <f t="shared" si="9"/>
        <v>0</v>
      </c>
      <c r="D131" s="277">
        <f t="shared" ref="D131" si="14">SUM(D132)</f>
        <v>0</v>
      </c>
      <c r="E131" s="282">
        <f t="shared" ref="E131:N131" si="15">SUM(E132)</f>
        <v>0</v>
      </c>
      <c r="F131" s="125">
        <f t="shared" si="10"/>
        <v>0</v>
      </c>
      <c r="G131" s="297">
        <f t="shared" ref="G131" si="16">SUM(G132)</f>
        <v>0</v>
      </c>
      <c r="H131" s="299">
        <f t="shared" si="15"/>
        <v>0</v>
      </c>
      <c r="I131" s="125">
        <f t="shared" si="11"/>
        <v>0</v>
      </c>
      <c r="J131" s="297">
        <f t="shared" ref="J131" si="17">SUM(J132)</f>
        <v>0</v>
      </c>
      <c r="K131" s="299">
        <f t="shared" si="15"/>
        <v>0</v>
      </c>
      <c r="L131" s="125">
        <f t="shared" si="12"/>
        <v>0</v>
      </c>
      <c r="M131" s="281">
        <f t="shared" si="15"/>
        <v>0</v>
      </c>
      <c r="N131" s="282">
        <f t="shared" si="15"/>
        <v>0</v>
      </c>
      <c r="O131" s="136">
        <f t="shared" si="13"/>
        <v>0</v>
      </c>
      <c r="P131" s="85"/>
      <c r="R131" s="53"/>
    </row>
    <row r="132" spans="1:18" hidden="1" x14ac:dyDescent="0.25">
      <c r="A132" s="76">
        <v>2283</v>
      </c>
      <c r="B132" s="127" t="s">
        <v>148</v>
      </c>
      <c r="C132" s="279">
        <f t="shared" si="9"/>
        <v>0</v>
      </c>
      <c r="D132" s="134">
        <v>0</v>
      </c>
      <c r="E132" s="285"/>
      <c r="F132" s="136">
        <f t="shared" si="10"/>
        <v>0</v>
      </c>
      <c r="G132" s="134">
        <v>0</v>
      </c>
      <c r="H132" s="135"/>
      <c r="I132" s="136">
        <f t="shared" si="11"/>
        <v>0</v>
      </c>
      <c r="J132" s="134"/>
      <c r="K132" s="135"/>
      <c r="L132" s="136">
        <f t="shared" si="12"/>
        <v>0</v>
      </c>
      <c r="M132" s="284"/>
      <c r="N132" s="285"/>
      <c r="O132" s="136">
        <f t="shared" si="13"/>
        <v>0</v>
      </c>
      <c r="P132" s="85"/>
      <c r="R132" s="53"/>
    </row>
    <row r="133" spans="1:18" ht="36" hidden="1" x14ac:dyDescent="0.25">
      <c r="A133" s="99">
        <v>2300</v>
      </c>
      <c r="B133" s="247" t="s">
        <v>149</v>
      </c>
      <c r="C133" s="249">
        <f t="shared" si="9"/>
        <v>0</v>
      </c>
      <c r="D133" s="360">
        <f>SUM(D134,D139,D143,D144,D147,D154,D162,D163,D166)</f>
        <v>0</v>
      </c>
      <c r="E133" s="304">
        <f>SUM(E134,E139,E143,E144,E147,E154,E162,E163,E166)</f>
        <v>0</v>
      </c>
      <c r="F133" s="114">
        <f t="shared" si="10"/>
        <v>0</v>
      </c>
      <c r="G133" s="112">
        <f>SUM(G134,G139,G143,G144,G147,G154,G162,G163,G166)</f>
        <v>0</v>
      </c>
      <c r="H133" s="113">
        <f>SUM(H134,H139,H143,H144,H147,H154,H162,H163,H166)</f>
        <v>0</v>
      </c>
      <c r="I133" s="114">
        <f t="shared" si="11"/>
        <v>0</v>
      </c>
      <c r="J133" s="112">
        <f>SUM(J134,J139,J143,J144,J147,J154,J162,J163,J166)</f>
        <v>0</v>
      </c>
      <c r="K133" s="113">
        <f>SUM(K134,K139,K143,K144,K147,K154,K162,K163,K166)</f>
        <v>0</v>
      </c>
      <c r="L133" s="114">
        <f t="shared" si="12"/>
        <v>0</v>
      </c>
      <c r="M133" s="292">
        <f>SUM(M134,M139,M143,M144,M147,M154,M162,M163,M166)</f>
        <v>0</v>
      </c>
      <c r="N133" s="293">
        <f>SUM(N134,N139,N143,N144,N147,N154,N162,N163,N166)</f>
        <v>0</v>
      </c>
      <c r="O133" s="114">
        <f t="shared" si="13"/>
        <v>0</v>
      </c>
      <c r="P133" s="109"/>
      <c r="R133" s="53"/>
    </row>
    <row r="134" spans="1:18" ht="24" hidden="1" x14ac:dyDescent="0.25">
      <c r="A134" s="609">
        <v>2310</v>
      </c>
      <c r="B134" s="116" t="s">
        <v>150</v>
      </c>
      <c r="C134" s="296">
        <f t="shared" si="9"/>
        <v>0</v>
      </c>
      <c r="D134" s="308">
        <f>SUM(D135:D138)</f>
        <v>0</v>
      </c>
      <c r="E134" s="318">
        <f>SUM(E135:E138)</f>
        <v>0</v>
      </c>
      <c r="F134" s="125">
        <f t="shared" si="10"/>
        <v>0</v>
      </c>
      <c r="G134" s="297">
        <f>SUM(G135:G138)</f>
        <v>0</v>
      </c>
      <c r="H134" s="299">
        <f>SUM(H135:H138)</f>
        <v>0</v>
      </c>
      <c r="I134" s="125">
        <f t="shared" si="11"/>
        <v>0</v>
      </c>
      <c r="J134" s="297">
        <f>SUM(J135:J138)</f>
        <v>0</v>
      </c>
      <c r="K134" s="299">
        <f>SUM(K135:K138)</f>
        <v>0</v>
      </c>
      <c r="L134" s="125">
        <f t="shared" si="12"/>
        <v>0</v>
      </c>
      <c r="M134" s="300">
        <f>SUM(M135:M138)</f>
        <v>0</v>
      </c>
      <c r="N134" s="301">
        <f>SUM(N135:N138)</f>
        <v>0</v>
      </c>
      <c r="O134" s="125">
        <f t="shared" si="13"/>
        <v>0</v>
      </c>
      <c r="P134" s="74"/>
      <c r="R134" s="53"/>
    </row>
    <row r="135" spans="1:18" hidden="1" x14ac:dyDescent="0.25">
      <c r="A135" s="76">
        <v>2311</v>
      </c>
      <c r="B135" s="127" t="s">
        <v>151</v>
      </c>
      <c r="C135" s="279">
        <f t="shared" si="9"/>
        <v>0</v>
      </c>
      <c r="D135" s="134">
        <v>0</v>
      </c>
      <c r="E135" s="285"/>
      <c r="F135" s="136">
        <f t="shared" si="10"/>
        <v>0</v>
      </c>
      <c r="G135" s="134">
        <v>0</v>
      </c>
      <c r="H135" s="135"/>
      <c r="I135" s="136">
        <f t="shared" si="11"/>
        <v>0</v>
      </c>
      <c r="J135" s="134"/>
      <c r="K135" s="135"/>
      <c r="L135" s="136">
        <f t="shared" si="12"/>
        <v>0</v>
      </c>
      <c r="M135" s="284"/>
      <c r="N135" s="285"/>
      <c r="O135" s="136">
        <f t="shared" si="13"/>
        <v>0</v>
      </c>
      <c r="P135" s="85"/>
      <c r="R135" s="53"/>
    </row>
    <row r="136" spans="1:18" hidden="1" x14ac:dyDescent="0.25">
      <c r="A136" s="76">
        <v>2312</v>
      </c>
      <c r="B136" s="127" t="s">
        <v>152</v>
      </c>
      <c r="C136" s="279">
        <f t="shared" si="9"/>
        <v>0</v>
      </c>
      <c r="D136" s="134">
        <v>0</v>
      </c>
      <c r="E136" s="285"/>
      <c r="F136" s="136">
        <f t="shared" si="10"/>
        <v>0</v>
      </c>
      <c r="G136" s="134"/>
      <c r="H136" s="135"/>
      <c r="I136" s="136">
        <f t="shared" si="11"/>
        <v>0</v>
      </c>
      <c r="J136" s="134"/>
      <c r="K136" s="135"/>
      <c r="L136" s="136">
        <f t="shared" si="12"/>
        <v>0</v>
      </c>
      <c r="M136" s="284"/>
      <c r="N136" s="285"/>
      <c r="O136" s="136">
        <f t="shared" si="13"/>
        <v>0</v>
      </c>
      <c r="P136" s="85"/>
      <c r="R136" s="53"/>
    </row>
    <row r="137" spans="1:18" hidden="1" x14ac:dyDescent="0.25">
      <c r="A137" s="76">
        <v>2313</v>
      </c>
      <c r="B137" s="127" t="s">
        <v>153</v>
      </c>
      <c r="C137" s="279">
        <f t="shared" si="9"/>
        <v>0</v>
      </c>
      <c r="D137" s="134">
        <v>0</v>
      </c>
      <c r="E137" s="285"/>
      <c r="F137" s="136">
        <f t="shared" si="10"/>
        <v>0</v>
      </c>
      <c r="G137" s="134">
        <v>0</v>
      </c>
      <c r="H137" s="135"/>
      <c r="I137" s="136">
        <f t="shared" si="11"/>
        <v>0</v>
      </c>
      <c r="J137" s="134"/>
      <c r="K137" s="135"/>
      <c r="L137" s="136">
        <f t="shared" si="12"/>
        <v>0</v>
      </c>
      <c r="M137" s="284"/>
      <c r="N137" s="285"/>
      <c r="O137" s="136">
        <f t="shared" si="13"/>
        <v>0</v>
      </c>
      <c r="P137" s="85"/>
      <c r="R137" s="53"/>
    </row>
    <row r="138" spans="1:18" ht="24" hidden="1" x14ac:dyDescent="0.25">
      <c r="A138" s="76">
        <v>2314</v>
      </c>
      <c r="B138" s="127" t="s">
        <v>154</v>
      </c>
      <c r="C138" s="279">
        <f t="shared" si="9"/>
        <v>0</v>
      </c>
      <c r="D138" s="134">
        <v>0</v>
      </c>
      <c r="E138" s="285"/>
      <c r="F138" s="136">
        <f t="shared" si="10"/>
        <v>0</v>
      </c>
      <c r="G138" s="134">
        <v>0</v>
      </c>
      <c r="H138" s="135"/>
      <c r="I138" s="136">
        <f t="shared" si="11"/>
        <v>0</v>
      </c>
      <c r="J138" s="134"/>
      <c r="K138" s="135"/>
      <c r="L138" s="136">
        <f t="shared" si="12"/>
        <v>0</v>
      </c>
      <c r="M138" s="284"/>
      <c r="N138" s="285"/>
      <c r="O138" s="136">
        <f t="shared" si="13"/>
        <v>0</v>
      </c>
      <c r="P138" s="85"/>
      <c r="R138" s="53"/>
    </row>
    <row r="139" spans="1:18" hidden="1" x14ac:dyDescent="0.25">
      <c r="A139" s="276">
        <v>2320</v>
      </c>
      <c r="B139" s="127" t="s">
        <v>155</v>
      </c>
      <c r="C139" s="279">
        <f t="shared" si="9"/>
        <v>0</v>
      </c>
      <c r="D139" s="277">
        <f>SUM(D140:D142)</f>
        <v>0</v>
      </c>
      <c r="E139" s="282">
        <f>SUM(E140:E142)</f>
        <v>0</v>
      </c>
      <c r="F139" s="136">
        <f t="shared" si="10"/>
        <v>0</v>
      </c>
      <c r="G139" s="277">
        <f>SUM(G140:G142)</f>
        <v>0</v>
      </c>
      <c r="H139" s="280">
        <f>SUM(H140:H142)</f>
        <v>0</v>
      </c>
      <c r="I139" s="136">
        <f t="shared" si="11"/>
        <v>0</v>
      </c>
      <c r="J139" s="277">
        <f>SUM(J140:J142)</f>
        <v>0</v>
      </c>
      <c r="K139" s="280">
        <f>SUM(K140:K142)</f>
        <v>0</v>
      </c>
      <c r="L139" s="136">
        <f t="shared" si="12"/>
        <v>0</v>
      </c>
      <c r="M139" s="281">
        <f>SUM(M140:M142)</f>
        <v>0</v>
      </c>
      <c r="N139" s="282">
        <f>SUM(N140:N142)</f>
        <v>0</v>
      </c>
      <c r="O139" s="136">
        <f t="shared" si="13"/>
        <v>0</v>
      </c>
      <c r="P139" s="85"/>
      <c r="R139" s="53"/>
    </row>
    <row r="140" spans="1:18" hidden="1" x14ac:dyDescent="0.25">
      <c r="A140" s="76">
        <v>2321</v>
      </c>
      <c r="B140" s="127" t="s">
        <v>156</v>
      </c>
      <c r="C140" s="279">
        <f t="shared" si="9"/>
        <v>0</v>
      </c>
      <c r="D140" s="134">
        <v>0</v>
      </c>
      <c r="E140" s="285"/>
      <c r="F140" s="136">
        <f t="shared" si="10"/>
        <v>0</v>
      </c>
      <c r="G140" s="134">
        <v>0</v>
      </c>
      <c r="H140" s="135"/>
      <c r="I140" s="136">
        <f t="shared" si="11"/>
        <v>0</v>
      </c>
      <c r="J140" s="134"/>
      <c r="K140" s="135"/>
      <c r="L140" s="136">
        <f t="shared" si="12"/>
        <v>0</v>
      </c>
      <c r="M140" s="284"/>
      <c r="N140" s="285"/>
      <c r="O140" s="136">
        <f t="shared" si="13"/>
        <v>0</v>
      </c>
      <c r="P140" s="85"/>
      <c r="R140" s="53"/>
    </row>
    <row r="141" spans="1:18" hidden="1" x14ac:dyDescent="0.25">
      <c r="A141" s="76">
        <v>2322</v>
      </c>
      <c r="B141" s="127" t="s">
        <v>157</v>
      </c>
      <c r="C141" s="279">
        <f t="shared" si="9"/>
        <v>0</v>
      </c>
      <c r="D141" s="134">
        <v>0</v>
      </c>
      <c r="E141" s="285"/>
      <c r="F141" s="136">
        <f t="shared" si="10"/>
        <v>0</v>
      </c>
      <c r="G141" s="134">
        <v>0</v>
      </c>
      <c r="H141" s="135"/>
      <c r="I141" s="136">
        <f t="shared" si="11"/>
        <v>0</v>
      </c>
      <c r="J141" s="134"/>
      <c r="K141" s="135"/>
      <c r="L141" s="136">
        <f t="shared" si="12"/>
        <v>0</v>
      </c>
      <c r="M141" s="284"/>
      <c r="N141" s="285"/>
      <c r="O141" s="136">
        <f t="shared" si="13"/>
        <v>0</v>
      </c>
      <c r="P141" s="85"/>
      <c r="R141" s="53"/>
    </row>
    <row r="142" spans="1:18" hidden="1" x14ac:dyDescent="0.25">
      <c r="A142" s="76">
        <v>2329</v>
      </c>
      <c r="B142" s="127" t="s">
        <v>158</v>
      </c>
      <c r="C142" s="279">
        <f t="shared" si="9"/>
        <v>0</v>
      </c>
      <c r="D142" s="134">
        <v>0</v>
      </c>
      <c r="E142" s="285"/>
      <c r="F142" s="136">
        <f t="shared" si="10"/>
        <v>0</v>
      </c>
      <c r="G142" s="134">
        <v>0</v>
      </c>
      <c r="H142" s="135"/>
      <c r="I142" s="136">
        <f t="shared" si="11"/>
        <v>0</v>
      </c>
      <c r="J142" s="134"/>
      <c r="K142" s="135"/>
      <c r="L142" s="136">
        <f t="shared" si="12"/>
        <v>0</v>
      </c>
      <c r="M142" s="284"/>
      <c r="N142" s="285"/>
      <c r="O142" s="136">
        <f t="shared" si="13"/>
        <v>0</v>
      </c>
      <c r="P142" s="85"/>
      <c r="R142" s="53"/>
    </row>
    <row r="143" spans="1:18" hidden="1" x14ac:dyDescent="0.25">
      <c r="A143" s="276">
        <v>2330</v>
      </c>
      <c r="B143" s="127" t="s">
        <v>159</v>
      </c>
      <c r="C143" s="279">
        <f t="shared" si="9"/>
        <v>0</v>
      </c>
      <c r="D143" s="134">
        <v>0</v>
      </c>
      <c r="E143" s="285"/>
      <c r="F143" s="136">
        <f t="shared" si="10"/>
        <v>0</v>
      </c>
      <c r="G143" s="134">
        <v>0</v>
      </c>
      <c r="H143" s="135"/>
      <c r="I143" s="136">
        <f t="shared" si="11"/>
        <v>0</v>
      </c>
      <c r="J143" s="134"/>
      <c r="K143" s="135"/>
      <c r="L143" s="136">
        <f t="shared" si="12"/>
        <v>0</v>
      </c>
      <c r="M143" s="284"/>
      <c r="N143" s="285"/>
      <c r="O143" s="136">
        <f t="shared" si="13"/>
        <v>0</v>
      </c>
      <c r="P143" s="85"/>
      <c r="R143" s="53"/>
    </row>
    <row r="144" spans="1:18" ht="36" hidden="1" x14ac:dyDescent="0.25">
      <c r="A144" s="276">
        <v>2340</v>
      </c>
      <c r="B144" s="127" t="s">
        <v>160</v>
      </c>
      <c r="C144" s="279">
        <f t="shared" si="9"/>
        <v>0</v>
      </c>
      <c r="D144" s="277">
        <f>SUM(D145:D146)</f>
        <v>0</v>
      </c>
      <c r="E144" s="282">
        <f>SUM(E145:E146)</f>
        <v>0</v>
      </c>
      <c r="F144" s="136">
        <f t="shared" si="10"/>
        <v>0</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c r="R144" s="53"/>
    </row>
    <row r="145" spans="1:18" hidden="1" x14ac:dyDescent="0.25">
      <c r="A145" s="76">
        <v>2341</v>
      </c>
      <c r="B145" s="127" t="s">
        <v>161</v>
      </c>
      <c r="C145" s="279">
        <f t="shared" si="9"/>
        <v>0</v>
      </c>
      <c r="D145" s="134">
        <v>0</v>
      </c>
      <c r="E145" s="285"/>
      <c r="F145" s="136">
        <f t="shared" si="10"/>
        <v>0</v>
      </c>
      <c r="G145" s="134">
        <v>0</v>
      </c>
      <c r="H145" s="135"/>
      <c r="I145" s="136">
        <f t="shared" si="11"/>
        <v>0</v>
      </c>
      <c r="J145" s="134"/>
      <c r="K145" s="135"/>
      <c r="L145" s="136">
        <f t="shared" si="12"/>
        <v>0</v>
      </c>
      <c r="M145" s="284"/>
      <c r="N145" s="285"/>
      <c r="O145" s="136">
        <f t="shared" si="13"/>
        <v>0</v>
      </c>
      <c r="P145" s="85"/>
      <c r="R145" s="53"/>
    </row>
    <row r="146" spans="1:18" ht="24" hidden="1" x14ac:dyDescent="0.25">
      <c r="A146" s="76">
        <v>2344</v>
      </c>
      <c r="B146" s="127" t="s">
        <v>162</v>
      </c>
      <c r="C146" s="279">
        <f t="shared" si="9"/>
        <v>0</v>
      </c>
      <c r="D146" s="134">
        <v>0</v>
      </c>
      <c r="E146" s="285"/>
      <c r="F146" s="136">
        <f t="shared" si="10"/>
        <v>0</v>
      </c>
      <c r="G146" s="134">
        <v>0</v>
      </c>
      <c r="H146" s="135"/>
      <c r="I146" s="136">
        <f t="shared" si="11"/>
        <v>0</v>
      </c>
      <c r="J146" s="134"/>
      <c r="K146" s="135"/>
      <c r="L146" s="136">
        <f t="shared" si="12"/>
        <v>0</v>
      </c>
      <c r="M146" s="284"/>
      <c r="N146" s="285"/>
      <c r="O146" s="136">
        <f t="shared" si="13"/>
        <v>0</v>
      </c>
      <c r="P146" s="85"/>
      <c r="R146" s="53"/>
    </row>
    <row r="147" spans="1:18" ht="24" hidden="1" x14ac:dyDescent="0.25">
      <c r="A147" s="254">
        <v>2350</v>
      </c>
      <c r="B147" s="179" t="s">
        <v>163</v>
      </c>
      <c r="C147" s="279">
        <f t="shared" si="9"/>
        <v>0</v>
      </c>
      <c r="D147" s="277">
        <f>SUM(D148:D153)</f>
        <v>0</v>
      </c>
      <c r="E147" s="282">
        <f>SUM(E148:E153)</f>
        <v>0</v>
      </c>
      <c r="F147" s="259">
        <f t="shared" si="10"/>
        <v>0</v>
      </c>
      <c r="G147" s="255">
        <f>SUM(G148:G153)</f>
        <v>0</v>
      </c>
      <c r="H147" s="258">
        <f>SUM(H148:H153)</f>
        <v>0</v>
      </c>
      <c r="I147" s="259">
        <f t="shared" si="11"/>
        <v>0</v>
      </c>
      <c r="J147" s="255">
        <f>SUM(J148:J153)</f>
        <v>0</v>
      </c>
      <c r="K147" s="258">
        <f>SUM(K148:K153)</f>
        <v>0</v>
      </c>
      <c r="L147" s="259">
        <f t="shared" si="12"/>
        <v>0</v>
      </c>
      <c r="M147" s="260">
        <f>SUM(M148:M153)</f>
        <v>0</v>
      </c>
      <c r="N147" s="261">
        <f>SUM(N148:N153)</f>
        <v>0</v>
      </c>
      <c r="O147" s="259">
        <f t="shared" si="13"/>
        <v>0</v>
      </c>
      <c r="P147" s="189"/>
      <c r="R147" s="53"/>
    </row>
    <row r="148" spans="1:18" hidden="1" x14ac:dyDescent="0.25">
      <c r="A148" s="66">
        <v>2351</v>
      </c>
      <c r="B148" s="116" t="s">
        <v>164</v>
      </c>
      <c r="C148" s="279">
        <f t="shared" si="9"/>
        <v>0</v>
      </c>
      <c r="D148" s="134">
        <v>0</v>
      </c>
      <c r="E148" s="285"/>
      <c r="F148" s="125">
        <f t="shared" si="10"/>
        <v>0</v>
      </c>
      <c r="G148" s="123">
        <v>0</v>
      </c>
      <c r="H148" s="124"/>
      <c r="I148" s="125">
        <f t="shared" si="11"/>
        <v>0</v>
      </c>
      <c r="J148" s="123"/>
      <c r="K148" s="124"/>
      <c r="L148" s="125">
        <f t="shared" si="12"/>
        <v>0</v>
      </c>
      <c r="M148" s="264"/>
      <c r="N148" s="262"/>
      <c r="O148" s="125">
        <f t="shared" si="13"/>
        <v>0</v>
      </c>
      <c r="P148" s="74"/>
      <c r="R148" s="53"/>
    </row>
    <row r="149" spans="1:18" hidden="1" x14ac:dyDescent="0.25">
      <c r="A149" s="76">
        <v>2352</v>
      </c>
      <c r="B149" s="127" t="s">
        <v>165</v>
      </c>
      <c r="C149" s="279">
        <f t="shared" si="9"/>
        <v>0</v>
      </c>
      <c r="D149" s="134">
        <v>0</v>
      </c>
      <c r="E149" s="285"/>
      <c r="F149" s="136">
        <f t="shared" si="10"/>
        <v>0</v>
      </c>
      <c r="G149" s="134">
        <v>0</v>
      </c>
      <c r="H149" s="135"/>
      <c r="I149" s="136">
        <f t="shared" si="11"/>
        <v>0</v>
      </c>
      <c r="J149" s="134"/>
      <c r="K149" s="135"/>
      <c r="L149" s="136">
        <f t="shared" si="12"/>
        <v>0</v>
      </c>
      <c r="M149" s="284"/>
      <c r="N149" s="285"/>
      <c r="O149" s="136">
        <f t="shared" si="13"/>
        <v>0</v>
      </c>
      <c r="P149" s="85"/>
      <c r="R149" s="53"/>
    </row>
    <row r="150" spans="1:18" ht="24" hidden="1" x14ac:dyDescent="0.25">
      <c r="A150" s="76">
        <v>2353</v>
      </c>
      <c r="B150" s="127" t="s">
        <v>166</v>
      </c>
      <c r="C150" s="279">
        <f t="shared" si="9"/>
        <v>0</v>
      </c>
      <c r="D150" s="134">
        <v>0</v>
      </c>
      <c r="E150" s="285"/>
      <c r="F150" s="136">
        <f t="shared" si="10"/>
        <v>0</v>
      </c>
      <c r="G150" s="134">
        <v>0</v>
      </c>
      <c r="H150" s="135"/>
      <c r="I150" s="136">
        <f t="shared" si="11"/>
        <v>0</v>
      </c>
      <c r="J150" s="134"/>
      <c r="K150" s="135"/>
      <c r="L150" s="136">
        <f t="shared" si="12"/>
        <v>0</v>
      </c>
      <c r="M150" s="284"/>
      <c r="N150" s="285"/>
      <c r="O150" s="136">
        <f t="shared" si="13"/>
        <v>0</v>
      </c>
      <c r="P150" s="85"/>
      <c r="R150" s="53"/>
    </row>
    <row r="151" spans="1:18" ht="24" hidden="1" x14ac:dyDescent="0.25">
      <c r="A151" s="76">
        <v>2354</v>
      </c>
      <c r="B151" s="127" t="s">
        <v>167</v>
      </c>
      <c r="C151" s="279">
        <f t="shared" si="9"/>
        <v>0</v>
      </c>
      <c r="D151" s="134">
        <v>0</v>
      </c>
      <c r="E151" s="285"/>
      <c r="F151" s="136">
        <f t="shared" si="10"/>
        <v>0</v>
      </c>
      <c r="G151" s="134">
        <v>0</v>
      </c>
      <c r="H151" s="135"/>
      <c r="I151" s="136">
        <f t="shared" si="11"/>
        <v>0</v>
      </c>
      <c r="J151" s="134"/>
      <c r="K151" s="135"/>
      <c r="L151" s="136">
        <f t="shared" si="12"/>
        <v>0</v>
      </c>
      <c r="M151" s="284"/>
      <c r="N151" s="285"/>
      <c r="O151" s="136">
        <f t="shared" si="13"/>
        <v>0</v>
      </c>
      <c r="P151" s="85"/>
      <c r="R151" s="53"/>
    </row>
    <row r="152" spans="1:18" ht="24" hidden="1" x14ac:dyDescent="0.25">
      <c r="A152" s="76">
        <v>2355</v>
      </c>
      <c r="B152" s="127" t="s">
        <v>168</v>
      </c>
      <c r="C152" s="279">
        <f t="shared" si="9"/>
        <v>0</v>
      </c>
      <c r="D152" s="134">
        <v>0</v>
      </c>
      <c r="E152" s="285"/>
      <c r="F152" s="136">
        <f t="shared" si="10"/>
        <v>0</v>
      </c>
      <c r="G152" s="134">
        <v>0</v>
      </c>
      <c r="H152" s="135"/>
      <c r="I152" s="136">
        <f t="shared" si="11"/>
        <v>0</v>
      </c>
      <c r="J152" s="134"/>
      <c r="K152" s="135"/>
      <c r="L152" s="136">
        <f t="shared" si="12"/>
        <v>0</v>
      </c>
      <c r="M152" s="284"/>
      <c r="N152" s="285"/>
      <c r="O152" s="136">
        <f t="shared" si="13"/>
        <v>0</v>
      </c>
      <c r="P152" s="85"/>
      <c r="R152" s="53"/>
    </row>
    <row r="153" spans="1:18" hidden="1" x14ac:dyDescent="0.25">
      <c r="A153" s="76">
        <v>2359</v>
      </c>
      <c r="B153" s="127" t="s">
        <v>169</v>
      </c>
      <c r="C153" s="279">
        <f t="shared" si="9"/>
        <v>0</v>
      </c>
      <c r="D153" s="134">
        <v>0</v>
      </c>
      <c r="E153" s="285"/>
      <c r="F153" s="136">
        <f t="shared" si="10"/>
        <v>0</v>
      </c>
      <c r="G153" s="134">
        <v>0</v>
      </c>
      <c r="H153" s="135"/>
      <c r="I153" s="136">
        <f t="shared" si="11"/>
        <v>0</v>
      </c>
      <c r="J153" s="134"/>
      <c r="K153" s="135"/>
      <c r="L153" s="136">
        <f t="shared" si="12"/>
        <v>0</v>
      </c>
      <c r="M153" s="284"/>
      <c r="N153" s="285"/>
      <c r="O153" s="136">
        <f t="shared" si="13"/>
        <v>0</v>
      </c>
      <c r="P153" s="85"/>
      <c r="R153" s="53"/>
    </row>
    <row r="154" spans="1:18" ht="24" hidden="1" x14ac:dyDescent="0.25">
      <c r="A154" s="276">
        <v>2360</v>
      </c>
      <c r="B154" s="127" t="s">
        <v>170</v>
      </c>
      <c r="C154" s="279">
        <f t="shared" si="9"/>
        <v>0</v>
      </c>
      <c r="D154" s="277">
        <f>SUM(D155:D161)</f>
        <v>0</v>
      </c>
      <c r="E154" s="282">
        <f>SUM(E155:E161)</f>
        <v>0</v>
      </c>
      <c r="F154" s="136">
        <f t="shared" si="10"/>
        <v>0</v>
      </c>
      <c r="G154" s="277">
        <f>SUM(G155:G161)</f>
        <v>0</v>
      </c>
      <c r="H154" s="280">
        <f>SUM(H155:H161)</f>
        <v>0</v>
      </c>
      <c r="I154" s="136">
        <f t="shared" si="11"/>
        <v>0</v>
      </c>
      <c r="J154" s="277">
        <f>SUM(J155:J161)</f>
        <v>0</v>
      </c>
      <c r="K154" s="280">
        <f>SUM(K155:K161)</f>
        <v>0</v>
      </c>
      <c r="L154" s="136">
        <f t="shared" si="12"/>
        <v>0</v>
      </c>
      <c r="M154" s="281">
        <f>SUM(M155:M161)</f>
        <v>0</v>
      </c>
      <c r="N154" s="282">
        <f>SUM(N155:N161)</f>
        <v>0</v>
      </c>
      <c r="O154" s="136">
        <f t="shared" si="13"/>
        <v>0</v>
      </c>
      <c r="P154" s="85"/>
      <c r="R154" s="53"/>
    </row>
    <row r="155" spans="1:18" hidden="1" x14ac:dyDescent="0.25">
      <c r="A155" s="75">
        <v>2361</v>
      </c>
      <c r="B155" s="127" t="s">
        <v>171</v>
      </c>
      <c r="C155" s="279">
        <f t="shared" si="9"/>
        <v>0</v>
      </c>
      <c r="D155" s="134">
        <v>0</v>
      </c>
      <c r="E155" s="285"/>
      <c r="F155" s="136">
        <f t="shared" si="10"/>
        <v>0</v>
      </c>
      <c r="G155" s="134">
        <v>0</v>
      </c>
      <c r="H155" s="135"/>
      <c r="I155" s="136">
        <f t="shared" si="11"/>
        <v>0</v>
      </c>
      <c r="J155" s="134"/>
      <c r="K155" s="135"/>
      <c r="L155" s="136">
        <f t="shared" si="12"/>
        <v>0</v>
      </c>
      <c r="M155" s="284"/>
      <c r="N155" s="285"/>
      <c r="O155" s="136">
        <f t="shared" si="13"/>
        <v>0</v>
      </c>
      <c r="P155" s="85"/>
      <c r="R155" s="53"/>
    </row>
    <row r="156" spans="1:18" hidden="1" x14ac:dyDescent="0.25">
      <c r="A156" s="75">
        <v>2362</v>
      </c>
      <c r="B156" s="127" t="s">
        <v>172</v>
      </c>
      <c r="C156" s="279">
        <f t="shared" si="9"/>
        <v>0</v>
      </c>
      <c r="D156" s="134">
        <v>0</v>
      </c>
      <c r="E156" s="285"/>
      <c r="F156" s="136">
        <f t="shared" si="10"/>
        <v>0</v>
      </c>
      <c r="G156" s="134">
        <v>0</v>
      </c>
      <c r="H156" s="135"/>
      <c r="I156" s="136">
        <f t="shared" si="11"/>
        <v>0</v>
      </c>
      <c r="J156" s="134"/>
      <c r="K156" s="135"/>
      <c r="L156" s="136">
        <f t="shared" si="12"/>
        <v>0</v>
      </c>
      <c r="M156" s="284"/>
      <c r="N156" s="285"/>
      <c r="O156" s="136">
        <f t="shared" si="13"/>
        <v>0</v>
      </c>
      <c r="P156" s="85"/>
      <c r="R156" s="53"/>
    </row>
    <row r="157" spans="1:18" hidden="1" x14ac:dyDescent="0.25">
      <c r="A157" s="75">
        <v>2363</v>
      </c>
      <c r="B157" s="127" t="s">
        <v>173</v>
      </c>
      <c r="C157" s="279">
        <f t="shared" si="9"/>
        <v>0</v>
      </c>
      <c r="D157" s="134">
        <v>0</v>
      </c>
      <c r="E157" s="285"/>
      <c r="F157" s="136">
        <f t="shared" si="10"/>
        <v>0</v>
      </c>
      <c r="G157" s="134">
        <v>0</v>
      </c>
      <c r="H157" s="135"/>
      <c r="I157" s="136">
        <f t="shared" si="11"/>
        <v>0</v>
      </c>
      <c r="J157" s="134"/>
      <c r="K157" s="135"/>
      <c r="L157" s="136">
        <f t="shared" si="12"/>
        <v>0</v>
      </c>
      <c r="M157" s="284"/>
      <c r="N157" s="285"/>
      <c r="O157" s="136">
        <f t="shared" si="13"/>
        <v>0</v>
      </c>
      <c r="P157" s="85"/>
      <c r="R157" s="53"/>
    </row>
    <row r="158" spans="1:18" hidden="1" x14ac:dyDescent="0.25">
      <c r="A158" s="75">
        <v>2364</v>
      </c>
      <c r="B158" s="127" t="s">
        <v>174</v>
      </c>
      <c r="C158" s="279">
        <f t="shared" si="9"/>
        <v>0</v>
      </c>
      <c r="D158" s="134">
        <v>0</v>
      </c>
      <c r="E158" s="285"/>
      <c r="F158" s="136">
        <f t="shared" si="10"/>
        <v>0</v>
      </c>
      <c r="G158" s="134">
        <v>0</v>
      </c>
      <c r="H158" s="135"/>
      <c r="I158" s="136">
        <f t="shared" si="11"/>
        <v>0</v>
      </c>
      <c r="J158" s="134"/>
      <c r="K158" s="135"/>
      <c r="L158" s="136">
        <f t="shared" si="12"/>
        <v>0</v>
      </c>
      <c r="M158" s="284"/>
      <c r="N158" s="285"/>
      <c r="O158" s="136">
        <f t="shared" si="13"/>
        <v>0</v>
      </c>
      <c r="P158" s="85"/>
      <c r="R158" s="53"/>
    </row>
    <row r="159" spans="1:18" hidden="1" x14ac:dyDescent="0.25">
      <c r="A159" s="75">
        <v>2365</v>
      </c>
      <c r="B159" s="127" t="s">
        <v>175</v>
      </c>
      <c r="C159" s="279">
        <f t="shared" si="9"/>
        <v>0</v>
      </c>
      <c r="D159" s="134">
        <v>0</v>
      </c>
      <c r="E159" s="285"/>
      <c r="F159" s="136">
        <f t="shared" si="10"/>
        <v>0</v>
      </c>
      <c r="G159" s="134">
        <v>0</v>
      </c>
      <c r="H159" s="135"/>
      <c r="I159" s="136">
        <f t="shared" si="11"/>
        <v>0</v>
      </c>
      <c r="J159" s="134"/>
      <c r="K159" s="135"/>
      <c r="L159" s="136">
        <f t="shared" si="12"/>
        <v>0</v>
      </c>
      <c r="M159" s="284"/>
      <c r="N159" s="285"/>
      <c r="O159" s="136">
        <f t="shared" si="13"/>
        <v>0</v>
      </c>
      <c r="P159" s="85"/>
      <c r="R159" s="53"/>
    </row>
    <row r="160" spans="1:18" ht="24" hidden="1" x14ac:dyDescent="0.25">
      <c r="A160" s="75">
        <v>2366</v>
      </c>
      <c r="B160" s="127" t="s">
        <v>176</v>
      </c>
      <c r="C160" s="279">
        <f t="shared" si="9"/>
        <v>0</v>
      </c>
      <c r="D160" s="134">
        <v>0</v>
      </c>
      <c r="E160" s="285"/>
      <c r="F160" s="136">
        <f t="shared" si="10"/>
        <v>0</v>
      </c>
      <c r="G160" s="134">
        <v>0</v>
      </c>
      <c r="H160" s="135"/>
      <c r="I160" s="136">
        <f t="shared" si="11"/>
        <v>0</v>
      </c>
      <c r="J160" s="134"/>
      <c r="K160" s="135"/>
      <c r="L160" s="136">
        <f t="shared" si="12"/>
        <v>0</v>
      </c>
      <c r="M160" s="284"/>
      <c r="N160" s="285"/>
      <c r="O160" s="136">
        <f t="shared" si="13"/>
        <v>0</v>
      </c>
      <c r="P160" s="85"/>
      <c r="R160" s="53"/>
    </row>
    <row r="161" spans="1:18" ht="36" hidden="1" x14ac:dyDescent="0.25">
      <c r="A161" s="75">
        <v>2369</v>
      </c>
      <c r="B161" s="127" t="s">
        <v>177</v>
      </c>
      <c r="C161" s="279">
        <f t="shared" si="9"/>
        <v>0</v>
      </c>
      <c r="D161" s="134">
        <v>0</v>
      </c>
      <c r="E161" s="285"/>
      <c r="F161" s="136">
        <f t="shared" si="10"/>
        <v>0</v>
      </c>
      <c r="G161" s="134">
        <v>0</v>
      </c>
      <c r="H161" s="135"/>
      <c r="I161" s="136">
        <f t="shared" si="11"/>
        <v>0</v>
      </c>
      <c r="J161" s="134"/>
      <c r="K161" s="135"/>
      <c r="L161" s="136">
        <f t="shared" si="12"/>
        <v>0</v>
      </c>
      <c r="M161" s="284"/>
      <c r="N161" s="285"/>
      <c r="O161" s="136">
        <f t="shared" si="13"/>
        <v>0</v>
      </c>
      <c r="P161" s="85"/>
      <c r="R161" s="53"/>
    </row>
    <row r="162" spans="1:18" hidden="1" x14ac:dyDescent="0.25">
      <c r="A162" s="254">
        <v>2370</v>
      </c>
      <c r="B162" s="179" t="s">
        <v>178</v>
      </c>
      <c r="C162" s="279">
        <f t="shared" si="9"/>
        <v>0</v>
      </c>
      <c r="D162" s="134">
        <v>0</v>
      </c>
      <c r="E162" s="285"/>
      <c r="F162" s="259">
        <f t="shared" si="10"/>
        <v>0</v>
      </c>
      <c r="G162" s="287">
        <v>0</v>
      </c>
      <c r="H162" s="289"/>
      <c r="I162" s="259">
        <f t="shared" si="11"/>
        <v>0</v>
      </c>
      <c r="J162" s="287"/>
      <c r="K162" s="289"/>
      <c r="L162" s="259">
        <f t="shared" si="12"/>
        <v>0</v>
      </c>
      <c r="M162" s="290"/>
      <c r="N162" s="291"/>
      <c r="O162" s="259">
        <f t="shared" si="13"/>
        <v>0</v>
      </c>
      <c r="P162" s="189"/>
      <c r="R162" s="53"/>
    </row>
    <row r="163" spans="1:18" hidden="1" x14ac:dyDescent="0.25">
      <c r="A163" s="254">
        <v>2380</v>
      </c>
      <c r="B163" s="179" t="s">
        <v>179</v>
      </c>
      <c r="C163" s="279">
        <f t="shared" si="9"/>
        <v>0</v>
      </c>
      <c r="D163" s="277">
        <f>SUM(D164:D165)</f>
        <v>0</v>
      </c>
      <c r="E163" s="282">
        <f>SUM(E164:E165)</f>
        <v>0</v>
      </c>
      <c r="F163" s="259">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row>
    <row r="164" spans="1:18" hidden="1" x14ac:dyDescent="0.25">
      <c r="A164" s="65">
        <v>2381</v>
      </c>
      <c r="B164" s="116" t="s">
        <v>180</v>
      </c>
      <c r="C164" s="279">
        <f t="shared" si="9"/>
        <v>0</v>
      </c>
      <c r="D164" s="134">
        <v>0</v>
      </c>
      <c r="E164" s="285"/>
      <c r="F164" s="125">
        <f t="shared" si="10"/>
        <v>0</v>
      </c>
      <c r="G164" s="123">
        <v>0</v>
      </c>
      <c r="H164" s="124"/>
      <c r="I164" s="125">
        <f t="shared" si="11"/>
        <v>0</v>
      </c>
      <c r="J164" s="123"/>
      <c r="K164" s="124"/>
      <c r="L164" s="125">
        <f t="shared" si="12"/>
        <v>0</v>
      </c>
      <c r="M164" s="264"/>
      <c r="N164" s="262"/>
      <c r="O164" s="125">
        <f t="shared" si="13"/>
        <v>0</v>
      </c>
      <c r="P164" s="74"/>
      <c r="R164" s="53"/>
    </row>
    <row r="165" spans="1:18" ht="24" hidden="1" x14ac:dyDescent="0.25">
      <c r="A165" s="75">
        <v>2389</v>
      </c>
      <c r="B165" s="127" t="s">
        <v>181</v>
      </c>
      <c r="C165" s="279">
        <f t="shared" si="9"/>
        <v>0</v>
      </c>
      <c r="D165" s="134">
        <v>0</v>
      </c>
      <c r="E165" s="285"/>
      <c r="F165" s="136">
        <f t="shared" si="10"/>
        <v>0</v>
      </c>
      <c r="G165" s="134">
        <v>0</v>
      </c>
      <c r="H165" s="135"/>
      <c r="I165" s="136">
        <f t="shared" si="11"/>
        <v>0</v>
      </c>
      <c r="J165" s="134"/>
      <c r="K165" s="135"/>
      <c r="L165" s="136">
        <f t="shared" si="12"/>
        <v>0</v>
      </c>
      <c r="M165" s="284"/>
      <c r="N165" s="285"/>
      <c r="O165" s="136">
        <f t="shared" si="13"/>
        <v>0</v>
      </c>
      <c r="P165" s="85"/>
      <c r="R165" s="53"/>
    </row>
    <row r="166" spans="1:18" hidden="1" x14ac:dyDescent="0.25">
      <c r="A166" s="254">
        <v>2390</v>
      </c>
      <c r="B166" s="179" t="s">
        <v>182</v>
      </c>
      <c r="C166" s="279">
        <f t="shared" si="9"/>
        <v>0</v>
      </c>
      <c r="D166" s="134">
        <v>0</v>
      </c>
      <c r="E166" s="285"/>
      <c r="F166" s="259">
        <f t="shared" si="10"/>
        <v>0</v>
      </c>
      <c r="G166" s="287">
        <v>0</v>
      </c>
      <c r="H166" s="289"/>
      <c r="I166" s="259">
        <f t="shared" si="11"/>
        <v>0</v>
      </c>
      <c r="J166" s="287"/>
      <c r="K166" s="289"/>
      <c r="L166" s="259">
        <f t="shared" si="12"/>
        <v>0</v>
      </c>
      <c r="M166" s="290"/>
      <c r="N166" s="291"/>
      <c r="O166" s="259">
        <f t="shared" si="13"/>
        <v>0</v>
      </c>
      <c r="P166" s="189"/>
      <c r="R166" s="53"/>
    </row>
    <row r="167" spans="1:18" hidden="1" x14ac:dyDescent="0.25">
      <c r="A167" s="99">
        <v>2400</v>
      </c>
      <c r="B167" s="247" t="s">
        <v>183</v>
      </c>
      <c r="C167" s="249">
        <f t="shared" si="9"/>
        <v>0</v>
      </c>
      <c r="D167" s="645">
        <v>0</v>
      </c>
      <c r="E167" s="646"/>
      <c r="F167" s="114">
        <f t="shared" si="10"/>
        <v>0</v>
      </c>
      <c r="G167" s="311">
        <v>0</v>
      </c>
      <c r="H167" s="314"/>
      <c r="I167" s="114">
        <f t="shared" si="11"/>
        <v>0</v>
      </c>
      <c r="J167" s="311"/>
      <c r="K167" s="314"/>
      <c r="L167" s="114">
        <f t="shared" si="12"/>
        <v>0</v>
      </c>
      <c r="M167" s="315"/>
      <c r="N167" s="312"/>
      <c r="O167" s="114">
        <f t="shared" si="13"/>
        <v>0</v>
      </c>
      <c r="P167" s="109"/>
      <c r="R167" s="53"/>
    </row>
    <row r="168" spans="1:18" ht="24" hidden="1" x14ac:dyDescent="0.25">
      <c r="A168" s="99">
        <v>2500</v>
      </c>
      <c r="B168" s="247" t="s">
        <v>184</v>
      </c>
      <c r="C168" s="249">
        <f t="shared" si="9"/>
        <v>0</v>
      </c>
      <c r="D168" s="112">
        <f>SUM(D169,D174)</f>
        <v>0</v>
      </c>
      <c r="E168" s="293">
        <f>SUM(E169,E174)</f>
        <v>0</v>
      </c>
      <c r="F168" s="114">
        <f t="shared" si="10"/>
        <v>0</v>
      </c>
      <c r="G168" s="112">
        <f>SUM(G169,G174)</f>
        <v>0</v>
      </c>
      <c r="H168" s="113">
        <f t="shared" ref="H168" si="18">SUM(H169,H174)</f>
        <v>0</v>
      </c>
      <c r="I168" s="114">
        <f t="shared" si="11"/>
        <v>0</v>
      </c>
      <c r="J168" s="112">
        <f>SUM(J169,J174)</f>
        <v>0</v>
      </c>
      <c r="K168" s="113">
        <f t="shared" ref="K168" si="19">SUM(K169,K174)</f>
        <v>0</v>
      </c>
      <c r="L168" s="114">
        <f t="shared" si="12"/>
        <v>0</v>
      </c>
      <c r="M168" s="250">
        <f t="shared" ref="M168:N168" si="20">SUM(M169,M174)</f>
        <v>0</v>
      </c>
      <c r="N168" s="251">
        <f t="shared" si="20"/>
        <v>0</v>
      </c>
      <c r="O168" s="252">
        <f t="shared" si="13"/>
        <v>0</v>
      </c>
      <c r="P168" s="253"/>
      <c r="R168" s="53"/>
    </row>
    <row r="169" spans="1:18" hidden="1" x14ac:dyDescent="0.25">
      <c r="A169" s="609">
        <v>2510</v>
      </c>
      <c r="B169" s="116" t="s">
        <v>185</v>
      </c>
      <c r="C169" s="296">
        <f t="shared" si="9"/>
        <v>0</v>
      </c>
      <c r="D169" s="297">
        <f>SUM(D170:D173)</f>
        <v>0</v>
      </c>
      <c r="E169" s="301">
        <f>SUM(E170:E173)</f>
        <v>0</v>
      </c>
      <c r="F169" s="125">
        <f t="shared" si="10"/>
        <v>0</v>
      </c>
      <c r="G169" s="297">
        <f>SUM(G170:G173)</f>
        <v>0</v>
      </c>
      <c r="H169" s="299">
        <f t="shared" ref="H169" si="21">SUM(H170:H173)</f>
        <v>0</v>
      </c>
      <c r="I169" s="125">
        <f t="shared" si="11"/>
        <v>0</v>
      </c>
      <c r="J169" s="297">
        <f>SUM(J170:J173)</f>
        <v>0</v>
      </c>
      <c r="K169" s="299">
        <f t="shared" ref="K169" si="22">SUM(K170:K173)</f>
        <v>0</v>
      </c>
      <c r="L169" s="125">
        <f t="shared" si="12"/>
        <v>0</v>
      </c>
      <c r="M169" s="317">
        <f t="shared" ref="M169:N169" si="23">SUM(M170:M173)</f>
        <v>0</v>
      </c>
      <c r="N169" s="318">
        <f t="shared" si="23"/>
        <v>0</v>
      </c>
      <c r="O169" s="151">
        <f t="shared" si="13"/>
        <v>0</v>
      </c>
      <c r="P169" s="153"/>
      <c r="R169" s="53"/>
    </row>
    <row r="170" spans="1:18" ht="24" hidden="1" x14ac:dyDescent="0.25">
      <c r="A170" s="76">
        <v>2512</v>
      </c>
      <c r="B170" s="127" t="s">
        <v>186</v>
      </c>
      <c r="C170" s="279">
        <f t="shared" si="9"/>
        <v>0</v>
      </c>
      <c r="D170" s="134">
        <v>0</v>
      </c>
      <c r="E170" s="285"/>
      <c r="F170" s="136">
        <f t="shared" si="10"/>
        <v>0</v>
      </c>
      <c r="G170" s="134">
        <v>0</v>
      </c>
      <c r="H170" s="135"/>
      <c r="I170" s="136">
        <f t="shared" si="11"/>
        <v>0</v>
      </c>
      <c r="J170" s="134"/>
      <c r="K170" s="135"/>
      <c r="L170" s="136">
        <f t="shared" si="12"/>
        <v>0</v>
      </c>
      <c r="M170" s="284"/>
      <c r="N170" s="285"/>
      <c r="O170" s="136">
        <f t="shared" si="13"/>
        <v>0</v>
      </c>
      <c r="P170" s="85"/>
      <c r="R170" s="53"/>
    </row>
    <row r="171" spans="1:18" ht="36" hidden="1" x14ac:dyDescent="0.25">
      <c r="A171" s="76">
        <v>2513</v>
      </c>
      <c r="B171" s="127" t="s">
        <v>187</v>
      </c>
      <c r="C171" s="279">
        <f t="shared" si="9"/>
        <v>0</v>
      </c>
      <c r="D171" s="134">
        <v>0</v>
      </c>
      <c r="E171" s="285"/>
      <c r="F171" s="136">
        <f t="shared" si="10"/>
        <v>0</v>
      </c>
      <c r="G171" s="134">
        <v>0</v>
      </c>
      <c r="H171" s="135"/>
      <c r="I171" s="136">
        <f t="shared" si="11"/>
        <v>0</v>
      </c>
      <c r="J171" s="134"/>
      <c r="K171" s="135"/>
      <c r="L171" s="136">
        <f t="shared" si="12"/>
        <v>0</v>
      </c>
      <c r="M171" s="284"/>
      <c r="N171" s="285"/>
      <c r="O171" s="136">
        <f t="shared" si="13"/>
        <v>0</v>
      </c>
      <c r="P171" s="85"/>
      <c r="R171" s="53"/>
    </row>
    <row r="172" spans="1:18" ht="24" hidden="1" x14ac:dyDescent="0.25">
      <c r="A172" s="76">
        <v>2515</v>
      </c>
      <c r="B172" s="127" t="s">
        <v>188</v>
      </c>
      <c r="C172" s="279">
        <f t="shared" si="9"/>
        <v>0</v>
      </c>
      <c r="D172" s="134">
        <v>0</v>
      </c>
      <c r="E172" s="285"/>
      <c r="F172" s="136">
        <f t="shared" si="10"/>
        <v>0</v>
      </c>
      <c r="G172" s="134">
        <v>0</v>
      </c>
      <c r="H172" s="135"/>
      <c r="I172" s="136">
        <f t="shared" si="11"/>
        <v>0</v>
      </c>
      <c r="J172" s="134"/>
      <c r="K172" s="135"/>
      <c r="L172" s="136">
        <f t="shared" si="12"/>
        <v>0</v>
      </c>
      <c r="M172" s="284"/>
      <c r="N172" s="285"/>
      <c r="O172" s="136">
        <f t="shared" si="13"/>
        <v>0</v>
      </c>
      <c r="P172" s="85"/>
      <c r="R172" s="53"/>
    </row>
    <row r="173" spans="1:18" ht="24" hidden="1" x14ac:dyDescent="0.25">
      <c r="A173" s="76">
        <v>2519</v>
      </c>
      <c r="B173" s="127" t="s">
        <v>189</v>
      </c>
      <c r="C173" s="279">
        <f t="shared" si="9"/>
        <v>0</v>
      </c>
      <c r="D173" s="134">
        <v>0</v>
      </c>
      <c r="E173" s="285"/>
      <c r="F173" s="136">
        <f t="shared" si="10"/>
        <v>0</v>
      </c>
      <c r="G173" s="134">
        <v>0</v>
      </c>
      <c r="H173" s="135"/>
      <c r="I173" s="136">
        <f t="shared" si="11"/>
        <v>0</v>
      </c>
      <c r="J173" s="134"/>
      <c r="K173" s="135"/>
      <c r="L173" s="136">
        <f t="shared" si="12"/>
        <v>0</v>
      </c>
      <c r="M173" s="284"/>
      <c r="N173" s="285"/>
      <c r="O173" s="136">
        <f t="shared" si="13"/>
        <v>0</v>
      </c>
      <c r="P173" s="85"/>
      <c r="R173" s="53"/>
    </row>
    <row r="174" spans="1:18" hidden="1" x14ac:dyDescent="0.25">
      <c r="A174" s="276">
        <v>2520</v>
      </c>
      <c r="B174" s="127" t="s">
        <v>190</v>
      </c>
      <c r="C174" s="279">
        <f t="shared" si="9"/>
        <v>0</v>
      </c>
      <c r="D174" s="134">
        <v>0</v>
      </c>
      <c r="E174" s="285"/>
      <c r="F174" s="136">
        <f t="shared" si="10"/>
        <v>0</v>
      </c>
      <c r="G174" s="134">
        <v>0</v>
      </c>
      <c r="H174" s="135"/>
      <c r="I174" s="136">
        <f t="shared" si="11"/>
        <v>0</v>
      </c>
      <c r="J174" s="134"/>
      <c r="K174" s="135"/>
      <c r="L174" s="136">
        <f t="shared" si="12"/>
        <v>0</v>
      </c>
      <c r="M174" s="284"/>
      <c r="N174" s="285"/>
      <c r="O174" s="136">
        <f t="shared" si="13"/>
        <v>0</v>
      </c>
      <c r="P174" s="85"/>
      <c r="R174" s="53"/>
    </row>
    <row r="175" spans="1:18" s="319" customFormat="1" ht="36" hidden="1" x14ac:dyDescent="0.25">
      <c r="A175" s="31">
        <v>2800</v>
      </c>
      <c r="B175" s="116" t="s">
        <v>191</v>
      </c>
      <c r="C175" s="296">
        <f t="shared" si="9"/>
        <v>0</v>
      </c>
      <c r="D175" s="68">
        <v>0</v>
      </c>
      <c r="E175" s="69"/>
      <c r="F175" s="72">
        <f t="shared" si="10"/>
        <v>0</v>
      </c>
      <c r="G175" s="68">
        <v>0</v>
      </c>
      <c r="H175" s="71"/>
      <c r="I175" s="72">
        <f t="shared" si="11"/>
        <v>0</v>
      </c>
      <c r="J175" s="68"/>
      <c r="K175" s="71"/>
      <c r="L175" s="72">
        <f t="shared" si="12"/>
        <v>0</v>
      </c>
      <c r="M175" s="73"/>
      <c r="N175" s="69"/>
      <c r="O175" s="72">
        <f t="shared" si="13"/>
        <v>0</v>
      </c>
      <c r="P175" s="74"/>
      <c r="R175" s="53"/>
    </row>
    <row r="176" spans="1:18" hidden="1" x14ac:dyDescent="0.25">
      <c r="A176" s="237">
        <v>3000</v>
      </c>
      <c r="B176" s="237" t="s">
        <v>192</v>
      </c>
      <c r="C176" s="241">
        <f t="shared" si="9"/>
        <v>0</v>
      </c>
      <c r="D176" s="239">
        <f>SUM(D177,D187)</f>
        <v>0</v>
      </c>
      <c r="E176" s="245">
        <f>SUM(E177,E187)</f>
        <v>0</v>
      </c>
      <c r="F176" s="243">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row>
    <row r="177" spans="1:18" ht="24" hidden="1" x14ac:dyDescent="0.25">
      <c r="A177" s="99">
        <v>3200</v>
      </c>
      <c r="B177" s="321" t="s">
        <v>193</v>
      </c>
      <c r="C177" s="249">
        <f t="shared" si="9"/>
        <v>0</v>
      </c>
      <c r="D177" s="112">
        <f>SUM(D178,D182)</f>
        <v>0</v>
      </c>
      <c r="E177" s="293">
        <f>SUM(E178,E182)</f>
        <v>0</v>
      </c>
      <c r="F177" s="114">
        <f t="shared" si="10"/>
        <v>0</v>
      </c>
      <c r="G177" s="112">
        <f>SUM(G178,G182)</f>
        <v>0</v>
      </c>
      <c r="H177" s="113">
        <f t="shared" ref="H177" si="24">SUM(H178,H182)</f>
        <v>0</v>
      </c>
      <c r="I177" s="114">
        <f t="shared" si="11"/>
        <v>0</v>
      </c>
      <c r="J177" s="112">
        <f>SUM(J178,J182)</f>
        <v>0</v>
      </c>
      <c r="K177" s="113">
        <f t="shared" ref="K177" si="25">SUM(K178,K182)</f>
        <v>0</v>
      </c>
      <c r="L177" s="114">
        <f t="shared" si="12"/>
        <v>0</v>
      </c>
      <c r="M177" s="250">
        <f t="shared" ref="M177:N177" si="26">SUM(M178,M182)</f>
        <v>0</v>
      </c>
      <c r="N177" s="251">
        <f t="shared" si="26"/>
        <v>0</v>
      </c>
      <c r="O177" s="252">
        <f t="shared" si="13"/>
        <v>0</v>
      </c>
      <c r="P177" s="253"/>
      <c r="R177" s="53"/>
    </row>
    <row r="178" spans="1:18" ht="36" hidden="1" x14ac:dyDescent="0.25">
      <c r="A178" s="609">
        <v>3260</v>
      </c>
      <c r="B178" s="116" t="s">
        <v>194</v>
      </c>
      <c r="C178" s="296">
        <f t="shared" si="9"/>
        <v>0</v>
      </c>
      <c r="D178" s="297">
        <f>SUM(D179:D181)</f>
        <v>0</v>
      </c>
      <c r="E178" s="301">
        <f>SUM(E179:E181)</f>
        <v>0</v>
      </c>
      <c r="F178" s="125">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row>
    <row r="179" spans="1:18" ht="24" hidden="1" x14ac:dyDescent="0.25">
      <c r="A179" s="76">
        <v>3261</v>
      </c>
      <c r="B179" s="127" t="s">
        <v>195</v>
      </c>
      <c r="C179" s="279">
        <f t="shared" si="9"/>
        <v>0</v>
      </c>
      <c r="D179" s="134">
        <v>0</v>
      </c>
      <c r="E179" s="285"/>
      <c r="F179" s="136">
        <f t="shared" si="10"/>
        <v>0</v>
      </c>
      <c r="G179" s="134">
        <v>0</v>
      </c>
      <c r="H179" s="135"/>
      <c r="I179" s="136">
        <f t="shared" si="11"/>
        <v>0</v>
      </c>
      <c r="J179" s="134"/>
      <c r="K179" s="135"/>
      <c r="L179" s="136">
        <f t="shared" si="12"/>
        <v>0</v>
      </c>
      <c r="M179" s="284"/>
      <c r="N179" s="285"/>
      <c r="O179" s="136">
        <f t="shared" si="13"/>
        <v>0</v>
      </c>
      <c r="P179" s="85"/>
      <c r="R179" s="53"/>
    </row>
    <row r="180" spans="1:18" ht="36" hidden="1" x14ac:dyDescent="0.25">
      <c r="A180" s="76">
        <v>3262</v>
      </c>
      <c r="B180" s="127" t="s">
        <v>196</v>
      </c>
      <c r="C180" s="279">
        <f t="shared" si="9"/>
        <v>0</v>
      </c>
      <c r="D180" s="134">
        <v>0</v>
      </c>
      <c r="E180" s="285"/>
      <c r="F180" s="136">
        <f t="shared" si="10"/>
        <v>0</v>
      </c>
      <c r="G180" s="134">
        <v>0</v>
      </c>
      <c r="H180" s="135"/>
      <c r="I180" s="136">
        <f t="shared" si="11"/>
        <v>0</v>
      </c>
      <c r="J180" s="134"/>
      <c r="K180" s="135"/>
      <c r="L180" s="136">
        <f t="shared" si="12"/>
        <v>0</v>
      </c>
      <c r="M180" s="284"/>
      <c r="N180" s="285"/>
      <c r="O180" s="136">
        <f t="shared" si="13"/>
        <v>0</v>
      </c>
      <c r="P180" s="85"/>
      <c r="R180" s="53"/>
    </row>
    <row r="181" spans="1:18" ht="24" hidden="1" x14ac:dyDescent="0.25">
      <c r="A181" s="76">
        <v>3263</v>
      </c>
      <c r="B181" s="127" t="s">
        <v>197</v>
      </c>
      <c r="C181" s="279">
        <f t="shared" si="9"/>
        <v>0</v>
      </c>
      <c r="D181" s="134">
        <v>0</v>
      </c>
      <c r="E181" s="285"/>
      <c r="F181" s="136">
        <f t="shared" si="10"/>
        <v>0</v>
      </c>
      <c r="G181" s="134">
        <v>0</v>
      </c>
      <c r="H181" s="135"/>
      <c r="I181" s="136">
        <f t="shared" si="11"/>
        <v>0</v>
      </c>
      <c r="J181" s="134"/>
      <c r="K181" s="135"/>
      <c r="L181" s="136">
        <f t="shared" si="12"/>
        <v>0</v>
      </c>
      <c r="M181" s="284"/>
      <c r="N181" s="285"/>
      <c r="O181" s="136">
        <f t="shared" si="13"/>
        <v>0</v>
      </c>
      <c r="P181" s="85"/>
      <c r="R181" s="53"/>
    </row>
    <row r="182" spans="1:18" ht="72" hidden="1" x14ac:dyDescent="0.25">
      <c r="A182" s="609">
        <v>3290</v>
      </c>
      <c r="B182" s="116" t="s">
        <v>198</v>
      </c>
      <c r="C182" s="279">
        <f t="shared" ref="C182:C258" si="27">F182+I182+L182+O182</f>
        <v>0</v>
      </c>
      <c r="D182" s="297">
        <f>SUM(D183:D186)</f>
        <v>0</v>
      </c>
      <c r="E182" s="301">
        <f>SUM(E183:E186)</f>
        <v>0</v>
      </c>
      <c r="F182" s="125">
        <f t="shared" si="10"/>
        <v>0</v>
      </c>
      <c r="G182" s="297">
        <f>SUM(G183:G186)</f>
        <v>0</v>
      </c>
      <c r="H182" s="299">
        <f t="shared" ref="H182" si="28">SUM(H183:H186)</f>
        <v>0</v>
      </c>
      <c r="I182" s="125">
        <f t="shared" si="11"/>
        <v>0</v>
      </c>
      <c r="J182" s="297">
        <f>SUM(J183:J186)</f>
        <v>0</v>
      </c>
      <c r="K182" s="299">
        <f t="shared" ref="K182" si="29">SUM(K183:K186)</f>
        <v>0</v>
      </c>
      <c r="L182" s="125">
        <f t="shared" si="12"/>
        <v>0</v>
      </c>
      <c r="M182" s="322">
        <f t="shared" ref="M182:N182" si="30">SUM(M183:M186)</f>
        <v>0</v>
      </c>
      <c r="N182" s="323">
        <f t="shared" si="30"/>
        <v>0</v>
      </c>
      <c r="O182" s="324">
        <f t="shared" si="13"/>
        <v>0</v>
      </c>
      <c r="P182" s="325"/>
      <c r="R182" s="53"/>
    </row>
    <row r="183" spans="1:18" ht="60" hidden="1" x14ac:dyDescent="0.25">
      <c r="A183" s="76">
        <v>3291</v>
      </c>
      <c r="B183" s="127" t="s">
        <v>199</v>
      </c>
      <c r="C183" s="279">
        <f t="shared" si="27"/>
        <v>0</v>
      </c>
      <c r="D183" s="134">
        <v>0</v>
      </c>
      <c r="E183" s="285"/>
      <c r="F183" s="136">
        <f t="shared" ref="F183:F246" si="31">D183+E183</f>
        <v>0</v>
      </c>
      <c r="G183" s="134">
        <v>0</v>
      </c>
      <c r="H183" s="135"/>
      <c r="I183" s="136">
        <f t="shared" ref="I183:I246" si="32">G183+H183</f>
        <v>0</v>
      </c>
      <c r="J183" s="134"/>
      <c r="K183" s="135"/>
      <c r="L183" s="136">
        <f t="shared" ref="L183:L246" si="33">J183+K183</f>
        <v>0</v>
      </c>
      <c r="M183" s="284"/>
      <c r="N183" s="285"/>
      <c r="O183" s="136">
        <f t="shared" ref="O183:O246" si="34">M183+N183</f>
        <v>0</v>
      </c>
      <c r="P183" s="85"/>
      <c r="R183" s="53"/>
    </row>
    <row r="184" spans="1:18" ht="60" hidden="1" x14ac:dyDescent="0.25">
      <c r="A184" s="76">
        <v>3292</v>
      </c>
      <c r="B184" s="127" t="s">
        <v>200</v>
      </c>
      <c r="C184" s="279">
        <f t="shared" si="27"/>
        <v>0</v>
      </c>
      <c r="D184" s="134">
        <v>0</v>
      </c>
      <c r="E184" s="285"/>
      <c r="F184" s="136">
        <f t="shared" si="31"/>
        <v>0</v>
      </c>
      <c r="G184" s="134">
        <v>0</v>
      </c>
      <c r="H184" s="135"/>
      <c r="I184" s="136">
        <f t="shared" si="32"/>
        <v>0</v>
      </c>
      <c r="J184" s="134"/>
      <c r="K184" s="135"/>
      <c r="L184" s="136">
        <f t="shared" si="33"/>
        <v>0</v>
      </c>
      <c r="M184" s="284"/>
      <c r="N184" s="285"/>
      <c r="O184" s="136">
        <f t="shared" si="34"/>
        <v>0</v>
      </c>
      <c r="P184" s="85"/>
      <c r="R184" s="53"/>
    </row>
    <row r="185" spans="1:18" ht="60" hidden="1" x14ac:dyDescent="0.25">
      <c r="A185" s="76">
        <v>3293</v>
      </c>
      <c r="B185" s="127" t="s">
        <v>201</v>
      </c>
      <c r="C185" s="279">
        <f t="shared" si="27"/>
        <v>0</v>
      </c>
      <c r="D185" s="134">
        <v>0</v>
      </c>
      <c r="E185" s="285"/>
      <c r="F185" s="136">
        <f t="shared" si="31"/>
        <v>0</v>
      </c>
      <c r="G185" s="134">
        <v>0</v>
      </c>
      <c r="H185" s="135"/>
      <c r="I185" s="136">
        <f t="shared" si="32"/>
        <v>0</v>
      </c>
      <c r="J185" s="134"/>
      <c r="K185" s="135"/>
      <c r="L185" s="136">
        <f t="shared" si="33"/>
        <v>0</v>
      </c>
      <c r="M185" s="284"/>
      <c r="N185" s="285"/>
      <c r="O185" s="136">
        <f t="shared" si="34"/>
        <v>0</v>
      </c>
      <c r="P185" s="85"/>
      <c r="R185" s="53"/>
    </row>
    <row r="186" spans="1:18" ht="48" hidden="1" x14ac:dyDescent="0.25">
      <c r="A186" s="326">
        <v>3294</v>
      </c>
      <c r="B186" s="127" t="s">
        <v>202</v>
      </c>
      <c r="C186" s="647">
        <f t="shared" si="27"/>
        <v>0</v>
      </c>
      <c r="D186" s="328">
        <v>0</v>
      </c>
      <c r="E186" s="329"/>
      <c r="F186" s="324">
        <f t="shared" si="31"/>
        <v>0</v>
      </c>
      <c r="G186" s="328">
        <v>0</v>
      </c>
      <c r="H186" s="331"/>
      <c r="I186" s="324">
        <f t="shared" si="32"/>
        <v>0</v>
      </c>
      <c r="J186" s="328"/>
      <c r="K186" s="331"/>
      <c r="L186" s="324">
        <f t="shared" si="33"/>
        <v>0</v>
      </c>
      <c r="M186" s="332"/>
      <c r="N186" s="329"/>
      <c r="O186" s="324">
        <f t="shared" si="34"/>
        <v>0</v>
      </c>
      <c r="P186" s="325"/>
      <c r="R186" s="53"/>
    </row>
    <row r="187" spans="1:18" ht="36" hidden="1" x14ac:dyDescent="0.25">
      <c r="A187" s="160">
        <v>3300</v>
      </c>
      <c r="B187" s="321" t="s">
        <v>203</v>
      </c>
      <c r="C187" s="648">
        <f t="shared" si="27"/>
        <v>0</v>
      </c>
      <c r="D187" s="334">
        <f>SUM(D188:D189)</f>
        <v>0</v>
      </c>
      <c r="E187" s="251">
        <f>SUM(E188:E189)</f>
        <v>0</v>
      </c>
      <c r="F187" s="252">
        <f t="shared" si="31"/>
        <v>0</v>
      </c>
      <c r="G187" s="334">
        <f>SUM(G188:G189)</f>
        <v>0</v>
      </c>
      <c r="H187" s="336">
        <f t="shared" ref="H187" si="35">SUM(H188:H189)</f>
        <v>0</v>
      </c>
      <c r="I187" s="252">
        <f t="shared" si="32"/>
        <v>0</v>
      </c>
      <c r="J187" s="334">
        <f>SUM(J188:J189)</f>
        <v>0</v>
      </c>
      <c r="K187" s="336">
        <f t="shared" ref="K187" si="36">SUM(K188:K189)</f>
        <v>0</v>
      </c>
      <c r="L187" s="252">
        <f t="shared" si="33"/>
        <v>0</v>
      </c>
      <c r="M187" s="250">
        <f t="shared" ref="M187:N187" si="37">SUM(M188:M189)</f>
        <v>0</v>
      </c>
      <c r="N187" s="251">
        <f t="shared" si="37"/>
        <v>0</v>
      </c>
      <c r="O187" s="252">
        <f t="shared" si="34"/>
        <v>0</v>
      </c>
      <c r="P187" s="253"/>
      <c r="R187" s="53"/>
    </row>
    <row r="188" spans="1:18" ht="36" hidden="1" x14ac:dyDescent="0.25">
      <c r="A188" s="178">
        <v>3310</v>
      </c>
      <c r="B188" s="179" t="s">
        <v>204</v>
      </c>
      <c r="C188" s="257">
        <f t="shared" si="27"/>
        <v>0</v>
      </c>
      <c r="D188" s="287">
        <v>0</v>
      </c>
      <c r="E188" s="291"/>
      <c r="F188" s="259">
        <f t="shared" si="31"/>
        <v>0</v>
      </c>
      <c r="G188" s="287">
        <v>0</v>
      </c>
      <c r="H188" s="289"/>
      <c r="I188" s="259">
        <f t="shared" si="32"/>
        <v>0</v>
      </c>
      <c r="J188" s="287"/>
      <c r="K188" s="289"/>
      <c r="L188" s="259">
        <f t="shared" si="33"/>
        <v>0</v>
      </c>
      <c r="M188" s="290"/>
      <c r="N188" s="291"/>
      <c r="O188" s="259">
        <f t="shared" si="34"/>
        <v>0</v>
      </c>
      <c r="P188" s="189"/>
      <c r="R188" s="53"/>
    </row>
    <row r="189" spans="1:18" ht="48" hidden="1" x14ac:dyDescent="0.25">
      <c r="A189" s="66">
        <v>3320</v>
      </c>
      <c r="B189" s="116" t="s">
        <v>205</v>
      </c>
      <c r="C189" s="296">
        <f t="shared" si="27"/>
        <v>0</v>
      </c>
      <c r="D189" s="123">
        <v>0</v>
      </c>
      <c r="E189" s="262"/>
      <c r="F189" s="125">
        <f t="shared" si="31"/>
        <v>0</v>
      </c>
      <c r="G189" s="123">
        <v>0</v>
      </c>
      <c r="H189" s="124"/>
      <c r="I189" s="125">
        <f t="shared" si="32"/>
        <v>0</v>
      </c>
      <c r="J189" s="123"/>
      <c r="K189" s="124"/>
      <c r="L189" s="125">
        <f t="shared" si="33"/>
        <v>0</v>
      </c>
      <c r="M189" s="264"/>
      <c r="N189" s="262"/>
      <c r="O189" s="125">
        <f t="shared" si="34"/>
        <v>0</v>
      </c>
      <c r="P189" s="74"/>
      <c r="R189" s="53"/>
    </row>
    <row r="190" spans="1:18" hidden="1" x14ac:dyDescent="0.25">
      <c r="A190" s="337">
        <v>4000</v>
      </c>
      <c r="B190" s="237" t="s">
        <v>206</v>
      </c>
      <c r="C190" s="241">
        <f t="shared" si="27"/>
        <v>0</v>
      </c>
      <c r="D190" s="239">
        <f>SUM(D191,D194)</f>
        <v>0</v>
      </c>
      <c r="E190" s="245">
        <f>SUM(E191,E194)</f>
        <v>0</v>
      </c>
      <c r="F190" s="243">
        <f t="shared" si="31"/>
        <v>0</v>
      </c>
      <c r="G190" s="239">
        <f>SUM(G191,G194)</f>
        <v>0</v>
      </c>
      <c r="H190" s="242">
        <f>SUM(H191,H194)</f>
        <v>0</v>
      </c>
      <c r="I190" s="243">
        <f t="shared" si="32"/>
        <v>0</v>
      </c>
      <c r="J190" s="239">
        <f>SUM(J191,J194)</f>
        <v>0</v>
      </c>
      <c r="K190" s="242">
        <f>SUM(K191,K194)</f>
        <v>0</v>
      </c>
      <c r="L190" s="243">
        <f t="shared" si="33"/>
        <v>0</v>
      </c>
      <c r="M190" s="244">
        <f>SUM(M191,M194)</f>
        <v>0</v>
      </c>
      <c r="N190" s="245">
        <f>SUM(N191,N194)</f>
        <v>0</v>
      </c>
      <c r="O190" s="243">
        <f t="shared" si="34"/>
        <v>0</v>
      </c>
      <c r="P190" s="246"/>
      <c r="R190" s="53"/>
    </row>
    <row r="191" spans="1:18" hidden="1" x14ac:dyDescent="0.25">
      <c r="A191" s="338">
        <v>4200</v>
      </c>
      <c r="B191" s="247" t="s">
        <v>207</v>
      </c>
      <c r="C191" s="249">
        <f t="shared" si="27"/>
        <v>0</v>
      </c>
      <c r="D191" s="112">
        <f>SUM(D192,D193)</f>
        <v>0</v>
      </c>
      <c r="E191" s="293">
        <f>SUM(E192,E193)</f>
        <v>0</v>
      </c>
      <c r="F191" s="114">
        <f t="shared" si="31"/>
        <v>0</v>
      </c>
      <c r="G191" s="112">
        <f>SUM(G192,G193)</f>
        <v>0</v>
      </c>
      <c r="H191" s="113">
        <f>SUM(H192,H193)</f>
        <v>0</v>
      </c>
      <c r="I191" s="114">
        <f t="shared" si="32"/>
        <v>0</v>
      </c>
      <c r="J191" s="112">
        <f>SUM(J192,J193)</f>
        <v>0</v>
      </c>
      <c r="K191" s="113">
        <f>SUM(K192,K193)</f>
        <v>0</v>
      </c>
      <c r="L191" s="114">
        <f t="shared" si="33"/>
        <v>0</v>
      </c>
      <c r="M191" s="292">
        <f>SUM(M192,M193)</f>
        <v>0</v>
      </c>
      <c r="N191" s="293">
        <f>SUM(N192,N193)</f>
        <v>0</v>
      </c>
      <c r="O191" s="114">
        <f t="shared" si="34"/>
        <v>0</v>
      </c>
      <c r="P191" s="109"/>
      <c r="R191" s="53"/>
    </row>
    <row r="192" spans="1:18" ht="36" hidden="1" x14ac:dyDescent="0.25">
      <c r="A192" s="609">
        <v>4240</v>
      </c>
      <c r="B192" s="116" t="s">
        <v>208</v>
      </c>
      <c r="C192" s="296">
        <f t="shared" si="27"/>
        <v>0</v>
      </c>
      <c r="D192" s="123">
        <v>0</v>
      </c>
      <c r="E192" s="262"/>
      <c r="F192" s="125">
        <f t="shared" si="31"/>
        <v>0</v>
      </c>
      <c r="G192" s="123">
        <v>0</v>
      </c>
      <c r="H192" s="124"/>
      <c r="I192" s="125">
        <f t="shared" si="32"/>
        <v>0</v>
      </c>
      <c r="J192" s="123"/>
      <c r="K192" s="124"/>
      <c r="L192" s="125">
        <f t="shared" si="33"/>
        <v>0</v>
      </c>
      <c r="M192" s="264"/>
      <c r="N192" s="262"/>
      <c r="O192" s="125">
        <f t="shared" si="34"/>
        <v>0</v>
      </c>
      <c r="P192" s="74"/>
      <c r="R192" s="53"/>
    </row>
    <row r="193" spans="1:18" hidden="1" x14ac:dyDescent="0.25">
      <c r="A193" s="276">
        <v>4250</v>
      </c>
      <c r="B193" s="127" t="s">
        <v>209</v>
      </c>
      <c r="C193" s="279">
        <f t="shared" si="27"/>
        <v>0</v>
      </c>
      <c r="D193" s="134">
        <v>0</v>
      </c>
      <c r="E193" s="285"/>
      <c r="F193" s="136">
        <f t="shared" si="31"/>
        <v>0</v>
      </c>
      <c r="G193" s="134">
        <v>0</v>
      </c>
      <c r="H193" s="135"/>
      <c r="I193" s="136">
        <f t="shared" si="32"/>
        <v>0</v>
      </c>
      <c r="J193" s="134"/>
      <c r="K193" s="135"/>
      <c r="L193" s="136">
        <f t="shared" si="33"/>
        <v>0</v>
      </c>
      <c r="M193" s="284"/>
      <c r="N193" s="285"/>
      <c r="O193" s="136">
        <f t="shared" si="34"/>
        <v>0</v>
      </c>
      <c r="P193" s="85"/>
      <c r="R193" s="53"/>
    </row>
    <row r="194" spans="1:18" hidden="1" x14ac:dyDescent="0.25">
      <c r="A194" s="99">
        <v>4300</v>
      </c>
      <c r="B194" s="247" t="s">
        <v>210</v>
      </c>
      <c r="C194" s="249">
        <f t="shared" si="27"/>
        <v>0</v>
      </c>
      <c r="D194" s="112">
        <f>SUM(D195)</f>
        <v>0</v>
      </c>
      <c r="E194" s="293">
        <f>SUM(E195)</f>
        <v>0</v>
      </c>
      <c r="F194" s="114">
        <f t="shared" si="31"/>
        <v>0</v>
      </c>
      <c r="G194" s="112">
        <f>SUM(G195)</f>
        <v>0</v>
      </c>
      <c r="H194" s="113">
        <f>SUM(H195)</f>
        <v>0</v>
      </c>
      <c r="I194" s="114">
        <f t="shared" si="32"/>
        <v>0</v>
      </c>
      <c r="J194" s="112">
        <f>SUM(J195)</f>
        <v>0</v>
      </c>
      <c r="K194" s="113">
        <f>SUM(K195)</f>
        <v>0</v>
      </c>
      <c r="L194" s="114">
        <f t="shared" si="33"/>
        <v>0</v>
      </c>
      <c r="M194" s="292">
        <f>SUM(M195)</f>
        <v>0</v>
      </c>
      <c r="N194" s="293">
        <f>SUM(N195)</f>
        <v>0</v>
      </c>
      <c r="O194" s="114">
        <f t="shared" si="34"/>
        <v>0</v>
      </c>
      <c r="P194" s="109"/>
      <c r="R194" s="53"/>
    </row>
    <row r="195" spans="1:18" ht="24" hidden="1" x14ac:dyDescent="0.25">
      <c r="A195" s="609">
        <v>4310</v>
      </c>
      <c r="B195" s="116" t="s">
        <v>211</v>
      </c>
      <c r="C195" s="296">
        <f t="shared" si="27"/>
        <v>0</v>
      </c>
      <c r="D195" s="297">
        <f>SUM(D196:D196)</f>
        <v>0</v>
      </c>
      <c r="E195" s="301">
        <f>SUM(E196:E196)</f>
        <v>0</v>
      </c>
      <c r="F195" s="125">
        <f t="shared" si="31"/>
        <v>0</v>
      </c>
      <c r="G195" s="297">
        <f>SUM(G196:G196)</f>
        <v>0</v>
      </c>
      <c r="H195" s="299">
        <f>SUM(H196:H196)</f>
        <v>0</v>
      </c>
      <c r="I195" s="125">
        <f t="shared" si="32"/>
        <v>0</v>
      </c>
      <c r="J195" s="297">
        <f>SUM(J196:J196)</f>
        <v>0</v>
      </c>
      <c r="K195" s="299">
        <f>SUM(K196:K196)</f>
        <v>0</v>
      </c>
      <c r="L195" s="125">
        <f t="shared" si="33"/>
        <v>0</v>
      </c>
      <c r="M195" s="300">
        <f>SUM(M196:M196)</f>
        <v>0</v>
      </c>
      <c r="N195" s="301">
        <f>SUM(N196:N196)</f>
        <v>0</v>
      </c>
      <c r="O195" s="125">
        <f t="shared" si="34"/>
        <v>0</v>
      </c>
      <c r="P195" s="74"/>
      <c r="R195" s="53"/>
    </row>
    <row r="196" spans="1:18" ht="36" hidden="1" x14ac:dyDescent="0.25">
      <c r="A196" s="76">
        <v>4311</v>
      </c>
      <c r="B196" s="127" t="s">
        <v>212</v>
      </c>
      <c r="C196" s="279">
        <f t="shared" si="27"/>
        <v>0</v>
      </c>
      <c r="D196" s="134">
        <v>0</v>
      </c>
      <c r="E196" s="285"/>
      <c r="F196" s="136">
        <f t="shared" si="31"/>
        <v>0</v>
      </c>
      <c r="G196" s="134">
        <v>0</v>
      </c>
      <c r="H196" s="135"/>
      <c r="I196" s="136">
        <f t="shared" si="32"/>
        <v>0</v>
      </c>
      <c r="J196" s="134"/>
      <c r="K196" s="135"/>
      <c r="L196" s="136">
        <f t="shared" si="33"/>
        <v>0</v>
      </c>
      <c r="M196" s="284"/>
      <c r="N196" s="285"/>
      <c r="O196" s="136">
        <f t="shared" si="34"/>
        <v>0</v>
      </c>
      <c r="P196" s="85"/>
      <c r="R196" s="53"/>
    </row>
    <row r="197" spans="1:18" s="41" customFormat="1" x14ac:dyDescent="0.25">
      <c r="A197" s="168"/>
      <c r="B197" s="169" t="s">
        <v>213</v>
      </c>
      <c r="C197" s="649">
        <f t="shared" si="27"/>
        <v>676866</v>
      </c>
      <c r="D197" s="493">
        <f>SUM(D198,D233,D271)</f>
        <v>677785</v>
      </c>
      <c r="E197" s="341">
        <f>SUM(E198,E233,E271)</f>
        <v>-919</v>
      </c>
      <c r="F197" s="342">
        <f t="shared" si="31"/>
        <v>676866</v>
      </c>
      <c r="G197" s="493">
        <f>SUM(G198,G233,G271)</f>
        <v>0</v>
      </c>
      <c r="H197" s="650">
        <f>SUM(H198,H233,H271)</f>
        <v>0</v>
      </c>
      <c r="I197" s="342">
        <f t="shared" si="32"/>
        <v>0</v>
      </c>
      <c r="J197" s="493">
        <f>SUM(J198,J233,J271)</f>
        <v>0</v>
      </c>
      <c r="K197" s="650">
        <f>SUM(K198,K233,K271)</f>
        <v>0</v>
      </c>
      <c r="L197" s="342">
        <f t="shared" si="33"/>
        <v>0</v>
      </c>
      <c r="M197" s="340">
        <f>SUM(M198,M233,M271)</f>
        <v>0</v>
      </c>
      <c r="N197" s="341">
        <f>SUM(N198,N233,N271)</f>
        <v>0</v>
      </c>
      <c r="O197" s="342">
        <f t="shared" si="34"/>
        <v>0</v>
      </c>
      <c r="P197" s="343"/>
      <c r="R197" s="53"/>
    </row>
    <row r="198" spans="1:18" x14ac:dyDescent="0.25">
      <c r="A198" s="237">
        <v>5000</v>
      </c>
      <c r="B198" s="237" t="s">
        <v>214</v>
      </c>
      <c r="C198" s="241">
        <f>F198+I198+L198+O198</f>
        <v>676866</v>
      </c>
      <c r="D198" s="239">
        <f>D199+D207</f>
        <v>677785</v>
      </c>
      <c r="E198" s="467">
        <f>E199+E207</f>
        <v>-919</v>
      </c>
      <c r="F198" s="243">
        <f t="shared" si="31"/>
        <v>676866</v>
      </c>
      <c r="G198" s="239">
        <f>G199+G207</f>
        <v>0</v>
      </c>
      <c r="H198" s="242">
        <f>H199+H207</f>
        <v>0</v>
      </c>
      <c r="I198" s="243">
        <f t="shared" si="32"/>
        <v>0</v>
      </c>
      <c r="J198" s="239">
        <f>J199+J207</f>
        <v>0</v>
      </c>
      <c r="K198" s="242">
        <f>K199+K207</f>
        <v>0</v>
      </c>
      <c r="L198" s="243">
        <f t="shared" si="33"/>
        <v>0</v>
      </c>
      <c r="M198" s="244">
        <f>M199+M207</f>
        <v>0</v>
      </c>
      <c r="N198" s="245">
        <f>N199+N207</f>
        <v>0</v>
      </c>
      <c r="O198" s="243">
        <f t="shared" si="34"/>
        <v>0</v>
      </c>
      <c r="P198" s="246"/>
      <c r="R198" s="53"/>
    </row>
    <row r="199" spans="1:18" hidden="1" x14ac:dyDescent="0.25">
      <c r="A199" s="99">
        <v>5100</v>
      </c>
      <c r="B199" s="247" t="s">
        <v>215</v>
      </c>
      <c r="C199" s="249">
        <f t="shared" si="27"/>
        <v>0</v>
      </c>
      <c r="D199" s="334">
        <f>D200+D201+D204+D205+D206</f>
        <v>0</v>
      </c>
      <c r="E199" s="251">
        <f>E200+E201+E204+E205+E206</f>
        <v>0</v>
      </c>
      <c r="F199" s="252">
        <f t="shared" si="31"/>
        <v>0</v>
      </c>
      <c r="G199" s="112">
        <f>G200+G201+G204+G205+G206</f>
        <v>0</v>
      </c>
      <c r="H199" s="113">
        <f>H200+H201+H204+H205+H206</f>
        <v>0</v>
      </c>
      <c r="I199" s="114">
        <f t="shared" si="32"/>
        <v>0</v>
      </c>
      <c r="J199" s="112">
        <f>J200+J201+J204+J205+J206</f>
        <v>0</v>
      </c>
      <c r="K199" s="113">
        <f>K200+K201+K204+K205+K206</f>
        <v>0</v>
      </c>
      <c r="L199" s="114">
        <f t="shared" si="33"/>
        <v>0</v>
      </c>
      <c r="M199" s="292">
        <f>M200+M201+M204+M205+M206</f>
        <v>0</v>
      </c>
      <c r="N199" s="293">
        <f>N200+N201+N204+N205+N206</f>
        <v>0</v>
      </c>
      <c r="O199" s="114">
        <f t="shared" si="34"/>
        <v>0</v>
      </c>
      <c r="P199" s="109"/>
      <c r="R199" s="53"/>
    </row>
    <row r="200" spans="1:18" hidden="1" x14ac:dyDescent="0.25">
      <c r="A200" s="609">
        <v>5110</v>
      </c>
      <c r="B200" s="116" t="s">
        <v>216</v>
      </c>
      <c r="C200" s="296">
        <f t="shared" si="27"/>
        <v>0</v>
      </c>
      <c r="D200" s="123">
        <v>0</v>
      </c>
      <c r="E200" s="262"/>
      <c r="F200" s="125">
        <f t="shared" si="31"/>
        <v>0</v>
      </c>
      <c r="G200" s="123">
        <v>0</v>
      </c>
      <c r="H200" s="124"/>
      <c r="I200" s="125">
        <f t="shared" si="32"/>
        <v>0</v>
      </c>
      <c r="J200" s="123"/>
      <c r="K200" s="124"/>
      <c r="L200" s="125">
        <f t="shared" si="33"/>
        <v>0</v>
      </c>
      <c r="M200" s="264"/>
      <c r="N200" s="262"/>
      <c r="O200" s="125">
        <f t="shared" si="34"/>
        <v>0</v>
      </c>
      <c r="P200" s="74"/>
      <c r="R200" s="53"/>
    </row>
    <row r="201" spans="1:18" ht="24" hidden="1" x14ac:dyDescent="0.25">
      <c r="A201" s="276">
        <v>5120</v>
      </c>
      <c r="B201" s="127" t="s">
        <v>217</v>
      </c>
      <c r="C201" s="279">
        <f t="shared" si="27"/>
        <v>0</v>
      </c>
      <c r="D201" s="277">
        <f>D202+D203</f>
        <v>0</v>
      </c>
      <c r="E201" s="282">
        <f>E202+E203</f>
        <v>0</v>
      </c>
      <c r="F201" s="136">
        <f t="shared" si="31"/>
        <v>0</v>
      </c>
      <c r="G201" s="277">
        <f>G202+G203</f>
        <v>0</v>
      </c>
      <c r="H201" s="280">
        <f>H202+H203</f>
        <v>0</v>
      </c>
      <c r="I201" s="136">
        <f t="shared" si="32"/>
        <v>0</v>
      </c>
      <c r="J201" s="277">
        <f>J202+J203</f>
        <v>0</v>
      </c>
      <c r="K201" s="280">
        <f>K202+K203</f>
        <v>0</v>
      </c>
      <c r="L201" s="136">
        <f t="shared" si="33"/>
        <v>0</v>
      </c>
      <c r="M201" s="281">
        <f>M202+M203</f>
        <v>0</v>
      </c>
      <c r="N201" s="282">
        <f>N202+N203</f>
        <v>0</v>
      </c>
      <c r="O201" s="136">
        <f t="shared" si="34"/>
        <v>0</v>
      </c>
      <c r="P201" s="85"/>
      <c r="R201" s="53"/>
    </row>
    <row r="202" spans="1:18" hidden="1" x14ac:dyDescent="0.25">
      <c r="A202" s="76">
        <v>5121</v>
      </c>
      <c r="B202" s="127" t="s">
        <v>218</v>
      </c>
      <c r="C202" s="279">
        <f t="shared" si="27"/>
        <v>0</v>
      </c>
      <c r="D202" s="134">
        <v>0</v>
      </c>
      <c r="E202" s="285"/>
      <c r="F202" s="136">
        <f t="shared" si="31"/>
        <v>0</v>
      </c>
      <c r="G202" s="134">
        <v>0</v>
      </c>
      <c r="H202" s="135"/>
      <c r="I202" s="136">
        <f t="shared" si="32"/>
        <v>0</v>
      </c>
      <c r="J202" s="134"/>
      <c r="K202" s="135"/>
      <c r="L202" s="136">
        <f t="shared" si="33"/>
        <v>0</v>
      </c>
      <c r="M202" s="284"/>
      <c r="N202" s="285"/>
      <c r="O202" s="136">
        <f t="shared" si="34"/>
        <v>0</v>
      </c>
      <c r="P202" s="85"/>
      <c r="R202" s="53"/>
    </row>
    <row r="203" spans="1:18" ht="24" hidden="1" x14ac:dyDescent="0.25">
      <c r="A203" s="76">
        <v>5129</v>
      </c>
      <c r="B203" s="127" t="s">
        <v>219</v>
      </c>
      <c r="C203" s="279">
        <f t="shared" si="27"/>
        <v>0</v>
      </c>
      <c r="D203" s="134">
        <v>0</v>
      </c>
      <c r="E203" s="285"/>
      <c r="F203" s="136">
        <f t="shared" si="31"/>
        <v>0</v>
      </c>
      <c r="G203" s="134">
        <v>0</v>
      </c>
      <c r="H203" s="135"/>
      <c r="I203" s="136">
        <f t="shared" si="32"/>
        <v>0</v>
      </c>
      <c r="J203" s="134"/>
      <c r="K203" s="135"/>
      <c r="L203" s="136">
        <f t="shared" si="33"/>
        <v>0</v>
      </c>
      <c r="M203" s="284"/>
      <c r="N203" s="285"/>
      <c r="O203" s="136">
        <f t="shared" si="34"/>
        <v>0</v>
      </c>
      <c r="P203" s="85"/>
      <c r="R203" s="53"/>
    </row>
    <row r="204" spans="1:18" hidden="1" x14ac:dyDescent="0.25">
      <c r="A204" s="276">
        <v>5130</v>
      </c>
      <c r="B204" s="127" t="s">
        <v>220</v>
      </c>
      <c r="C204" s="279">
        <f t="shared" si="27"/>
        <v>0</v>
      </c>
      <c r="D204" s="134">
        <v>0</v>
      </c>
      <c r="E204" s="285"/>
      <c r="F204" s="136">
        <f t="shared" si="31"/>
        <v>0</v>
      </c>
      <c r="G204" s="134">
        <v>0</v>
      </c>
      <c r="H204" s="135"/>
      <c r="I204" s="136">
        <f t="shared" si="32"/>
        <v>0</v>
      </c>
      <c r="J204" s="134"/>
      <c r="K204" s="135"/>
      <c r="L204" s="136">
        <f t="shared" si="33"/>
        <v>0</v>
      </c>
      <c r="M204" s="284"/>
      <c r="N204" s="285"/>
      <c r="O204" s="136">
        <f t="shared" si="34"/>
        <v>0</v>
      </c>
      <c r="P204" s="85"/>
      <c r="R204" s="53"/>
    </row>
    <row r="205" spans="1:18" hidden="1" x14ac:dyDescent="0.25">
      <c r="A205" s="276">
        <v>5140</v>
      </c>
      <c r="B205" s="127" t="s">
        <v>221</v>
      </c>
      <c r="C205" s="279">
        <f t="shared" si="27"/>
        <v>0</v>
      </c>
      <c r="D205" s="134">
        <v>0</v>
      </c>
      <c r="E205" s="285"/>
      <c r="F205" s="136">
        <f t="shared" si="31"/>
        <v>0</v>
      </c>
      <c r="G205" s="134">
        <v>0</v>
      </c>
      <c r="H205" s="135"/>
      <c r="I205" s="136">
        <f t="shared" si="32"/>
        <v>0</v>
      </c>
      <c r="J205" s="134"/>
      <c r="K205" s="135"/>
      <c r="L205" s="136">
        <f t="shared" si="33"/>
        <v>0</v>
      </c>
      <c r="M205" s="284"/>
      <c r="N205" s="285"/>
      <c r="O205" s="136">
        <f t="shared" si="34"/>
        <v>0</v>
      </c>
      <c r="P205" s="85"/>
      <c r="R205" s="53"/>
    </row>
    <row r="206" spans="1:18" ht="24" hidden="1" x14ac:dyDescent="0.25">
      <c r="A206" s="276">
        <v>5170</v>
      </c>
      <c r="B206" s="127" t="s">
        <v>222</v>
      </c>
      <c r="C206" s="279">
        <f t="shared" si="27"/>
        <v>0</v>
      </c>
      <c r="D206" s="134">
        <v>0</v>
      </c>
      <c r="E206" s="285"/>
      <c r="F206" s="136">
        <f t="shared" si="31"/>
        <v>0</v>
      </c>
      <c r="G206" s="134">
        <v>0</v>
      </c>
      <c r="H206" s="135"/>
      <c r="I206" s="136">
        <f t="shared" si="32"/>
        <v>0</v>
      </c>
      <c r="J206" s="134"/>
      <c r="K206" s="135"/>
      <c r="L206" s="136">
        <f t="shared" si="33"/>
        <v>0</v>
      </c>
      <c r="M206" s="284"/>
      <c r="N206" s="285"/>
      <c r="O206" s="136">
        <f t="shared" si="34"/>
        <v>0</v>
      </c>
      <c r="P206" s="85"/>
      <c r="R206" s="53"/>
    </row>
    <row r="207" spans="1:18" x14ac:dyDescent="0.25">
      <c r="A207" s="99">
        <v>5200</v>
      </c>
      <c r="B207" s="247" t="s">
        <v>223</v>
      </c>
      <c r="C207" s="249">
        <f t="shared" si="27"/>
        <v>676866</v>
      </c>
      <c r="D207" s="112">
        <f>D208+D218+D219+D228+D229+D230+D232</f>
        <v>677785</v>
      </c>
      <c r="E207" s="293">
        <f>E208+E218+E219+E228+E229+E230+E232</f>
        <v>-919</v>
      </c>
      <c r="F207" s="114">
        <f t="shared" si="31"/>
        <v>676866</v>
      </c>
      <c r="G207" s="112">
        <f>G208+G218+G219+G228+G229+G230+G232</f>
        <v>0</v>
      </c>
      <c r="H207" s="113">
        <f>H208+H218+H219+H228+H229+H230+H232</f>
        <v>0</v>
      </c>
      <c r="I207" s="114">
        <f t="shared" si="32"/>
        <v>0</v>
      </c>
      <c r="J207" s="112">
        <f>J208+J218+J219+J228+J229+J230+J232</f>
        <v>0</v>
      </c>
      <c r="K207" s="113">
        <f>K208+K218+K219+K228+K229+K230+K232</f>
        <v>0</v>
      </c>
      <c r="L207" s="114">
        <f t="shared" si="33"/>
        <v>0</v>
      </c>
      <c r="M207" s="292">
        <f>M208+M218+M219+M228+M229+M230+M232</f>
        <v>0</v>
      </c>
      <c r="N207" s="293">
        <f>N208+N218+N219+N228+N229+N230+N232</f>
        <v>0</v>
      </c>
      <c r="O207" s="114">
        <f t="shared" si="34"/>
        <v>0</v>
      </c>
      <c r="P207" s="109"/>
      <c r="R207" s="53"/>
    </row>
    <row r="208" spans="1:18" hidden="1" x14ac:dyDescent="0.25">
      <c r="A208" s="254">
        <v>5210</v>
      </c>
      <c r="B208" s="179" t="s">
        <v>224</v>
      </c>
      <c r="C208" s="257">
        <f t="shared" si="27"/>
        <v>0</v>
      </c>
      <c r="D208" s="255">
        <f>SUM(D209:D217)</f>
        <v>0</v>
      </c>
      <c r="E208" s="261">
        <f>SUM(E209:E217)</f>
        <v>0</v>
      </c>
      <c r="F208" s="259">
        <f t="shared" si="31"/>
        <v>0</v>
      </c>
      <c r="G208" s="255">
        <f>SUM(G209:G217)</f>
        <v>0</v>
      </c>
      <c r="H208" s="258">
        <f>SUM(H209:H217)</f>
        <v>0</v>
      </c>
      <c r="I208" s="259">
        <f t="shared" si="32"/>
        <v>0</v>
      </c>
      <c r="J208" s="255">
        <f>SUM(J209:J217)</f>
        <v>0</v>
      </c>
      <c r="K208" s="258">
        <f>SUM(K209:K217)</f>
        <v>0</v>
      </c>
      <c r="L208" s="259">
        <f t="shared" si="33"/>
        <v>0</v>
      </c>
      <c r="M208" s="260">
        <f>SUM(M209:M217)</f>
        <v>0</v>
      </c>
      <c r="N208" s="261">
        <f>SUM(N209:N217)</f>
        <v>0</v>
      </c>
      <c r="O208" s="259">
        <f t="shared" si="34"/>
        <v>0</v>
      </c>
      <c r="P208" s="189"/>
      <c r="R208" s="53"/>
    </row>
    <row r="209" spans="1:18" hidden="1" x14ac:dyDescent="0.25">
      <c r="A209" s="66">
        <v>5211</v>
      </c>
      <c r="B209" s="116" t="s">
        <v>225</v>
      </c>
      <c r="C209" s="279">
        <f t="shared" si="27"/>
        <v>0</v>
      </c>
      <c r="D209" s="123">
        <v>0</v>
      </c>
      <c r="E209" s="262"/>
      <c r="F209" s="125">
        <f t="shared" si="31"/>
        <v>0</v>
      </c>
      <c r="G209" s="123">
        <v>0</v>
      </c>
      <c r="H209" s="124"/>
      <c r="I209" s="125">
        <f t="shared" si="32"/>
        <v>0</v>
      </c>
      <c r="J209" s="123"/>
      <c r="K209" s="124"/>
      <c r="L209" s="125">
        <f t="shared" si="33"/>
        <v>0</v>
      </c>
      <c r="M209" s="264"/>
      <c r="N209" s="262"/>
      <c r="O209" s="125">
        <f t="shared" si="34"/>
        <v>0</v>
      </c>
      <c r="P209" s="74"/>
      <c r="R209" s="53"/>
    </row>
    <row r="210" spans="1:18" hidden="1" x14ac:dyDescent="0.25">
      <c r="A210" s="76">
        <v>5212</v>
      </c>
      <c r="B210" s="127" t="s">
        <v>226</v>
      </c>
      <c r="C210" s="279">
        <f t="shared" si="27"/>
        <v>0</v>
      </c>
      <c r="D210" s="134">
        <v>0</v>
      </c>
      <c r="E210" s="285"/>
      <c r="F210" s="136">
        <f t="shared" si="31"/>
        <v>0</v>
      </c>
      <c r="G210" s="134">
        <v>0</v>
      </c>
      <c r="H210" s="135"/>
      <c r="I210" s="136">
        <f t="shared" si="32"/>
        <v>0</v>
      </c>
      <c r="J210" s="134"/>
      <c r="K210" s="135"/>
      <c r="L210" s="136">
        <f t="shared" si="33"/>
        <v>0</v>
      </c>
      <c r="M210" s="284"/>
      <c r="N210" s="285"/>
      <c r="O210" s="136">
        <f t="shared" si="34"/>
        <v>0</v>
      </c>
      <c r="P210" s="85"/>
      <c r="R210" s="53"/>
    </row>
    <row r="211" spans="1:18" hidden="1" x14ac:dyDescent="0.25">
      <c r="A211" s="76">
        <v>5213</v>
      </c>
      <c r="B211" s="127" t="s">
        <v>227</v>
      </c>
      <c r="C211" s="279">
        <f t="shared" si="27"/>
        <v>0</v>
      </c>
      <c r="D211" s="134">
        <v>0</v>
      </c>
      <c r="E211" s="285"/>
      <c r="F211" s="136">
        <f t="shared" si="31"/>
        <v>0</v>
      </c>
      <c r="G211" s="134">
        <v>0</v>
      </c>
      <c r="H211" s="135"/>
      <c r="I211" s="136">
        <f t="shared" si="32"/>
        <v>0</v>
      </c>
      <c r="J211" s="134"/>
      <c r="K211" s="135"/>
      <c r="L211" s="136">
        <f t="shared" si="33"/>
        <v>0</v>
      </c>
      <c r="M211" s="284"/>
      <c r="N211" s="285"/>
      <c r="O211" s="136">
        <f t="shared" si="34"/>
        <v>0</v>
      </c>
      <c r="P211" s="85"/>
      <c r="R211" s="53"/>
    </row>
    <row r="212" spans="1:18" hidden="1" x14ac:dyDescent="0.25">
      <c r="A212" s="76">
        <v>5214</v>
      </c>
      <c r="B212" s="127" t="s">
        <v>228</v>
      </c>
      <c r="C212" s="279">
        <f t="shared" si="27"/>
        <v>0</v>
      </c>
      <c r="D212" s="134">
        <v>0</v>
      </c>
      <c r="E212" s="285"/>
      <c r="F212" s="136">
        <f t="shared" si="31"/>
        <v>0</v>
      </c>
      <c r="G212" s="134">
        <v>0</v>
      </c>
      <c r="H212" s="135"/>
      <c r="I212" s="136">
        <f t="shared" si="32"/>
        <v>0</v>
      </c>
      <c r="J212" s="134"/>
      <c r="K212" s="135"/>
      <c r="L212" s="136">
        <f t="shared" si="33"/>
        <v>0</v>
      </c>
      <c r="M212" s="284"/>
      <c r="N212" s="285"/>
      <c r="O212" s="136">
        <f t="shared" si="34"/>
        <v>0</v>
      </c>
      <c r="P212" s="85"/>
      <c r="R212" s="53"/>
    </row>
    <row r="213" spans="1:18" hidden="1" x14ac:dyDescent="0.25">
      <c r="A213" s="76">
        <v>5215</v>
      </c>
      <c r="B213" s="127" t="s">
        <v>229</v>
      </c>
      <c r="C213" s="279">
        <f t="shared" si="27"/>
        <v>0</v>
      </c>
      <c r="D213" s="134">
        <v>0</v>
      </c>
      <c r="E213" s="285"/>
      <c r="F213" s="136">
        <f t="shared" si="31"/>
        <v>0</v>
      </c>
      <c r="G213" s="134">
        <v>0</v>
      </c>
      <c r="H213" s="135"/>
      <c r="I213" s="136">
        <f t="shared" si="32"/>
        <v>0</v>
      </c>
      <c r="J213" s="134"/>
      <c r="K213" s="135"/>
      <c r="L213" s="136">
        <f t="shared" si="33"/>
        <v>0</v>
      </c>
      <c r="M213" s="284"/>
      <c r="N213" s="285"/>
      <c r="O213" s="136">
        <f t="shared" si="34"/>
        <v>0</v>
      </c>
      <c r="P213" s="85"/>
      <c r="R213" s="53"/>
    </row>
    <row r="214" spans="1:18" hidden="1" x14ac:dyDescent="0.25">
      <c r="A214" s="76">
        <v>5216</v>
      </c>
      <c r="B214" s="127" t="s">
        <v>230</v>
      </c>
      <c r="C214" s="279">
        <f t="shared" si="27"/>
        <v>0</v>
      </c>
      <c r="D214" s="134">
        <v>0</v>
      </c>
      <c r="E214" s="285"/>
      <c r="F214" s="136">
        <f t="shared" si="31"/>
        <v>0</v>
      </c>
      <c r="G214" s="134">
        <v>0</v>
      </c>
      <c r="H214" s="135"/>
      <c r="I214" s="136">
        <f t="shared" si="32"/>
        <v>0</v>
      </c>
      <c r="J214" s="134"/>
      <c r="K214" s="135"/>
      <c r="L214" s="136">
        <f t="shared" si="33"/>
        <v>0</v>
      </c>
      <c r="M214" s="284"/>
      <c r="N214" s="285"/>
      <c r="O214" s="136">
        <f t="shared" si="34"/>
        <v>0</v>
      </c>
      <c r="P214" s="85"/>
      <c r="R214" s="53"/>
    </row>
    <row r="215" spans="1:18" hidden="1" x14ac:dyDescent="0.25">
      <c r="A215" s="76">
        <v>5217</v>
      </c>
      <c r="B215" s="127" t="s">
        <v>231</v>
      </c>
      <c r="C215" s="279">
        <f t="shared" si="27"/>
        <v>0</v>
      </c>
      <c r="D215" s="134">
        <v>0</v>
      </c>
      <c r="E215" s="285"/>
      <c r="F215" s="136">
        <f t="shared" si="31"/>
        <v>0</v>
      </c>
      <c r="G215" s="134">
        <v>0</v>
      </c>
      <c r="H215" s="135"/>
      <c r="I215" s="136">
        <f t="shared" si="32"/>
        <v>0</v>
      </c>
      <c r="J215" s="134"/>
      <c r="K215" s="135"/>
      <c r="L215" s="136">
        <f t="shared" si="33"/>
        <v>0</v>
      </c>
      <c r="M215" s="284"/>
      <c r="N215" s="285"/>
      <c r="O215" s="136">
        <f t="shared" si="34"/>
        <v>0</v>
      </c>
      <c r="P215" s="85"/>
      <c r="R215" s="53"/>
    </row>
    <row r="216" spans="1:18" hidden="1" x14ac:dyDescent="0.25">
      <c r="A216" s="76">
        <v>5218</v>
      </c>
      <c r="B216" s="127" t="s">
        <v>232</v>
      </c>
      <c r="C216" s="279">
        <f t="shared" si="27"/>
        <v>0</v>
      </c>
      <c r="D216" s="134">
        <v>0</v>
      </c>
      <c r="E216" s="285"/>
      <c r="F216" s="136">
        <f t="shared" si="31"/>
        <v>0</v>
      </c>
      <c r="G216" s="134">
        <v>0</v>
      </c>
      <c r="H216" s="135"/>
      <c r="I216" s="136">
        <f t="shared" si="32"/>
        <v>0</v>
      </c>
      <c r="J216" s="134"/>
      <c r="K216" s="135"/>
      <c r="L216" s="136">
        <f t="shared" si="33"/>
        <v>0</v>
      </c>
      <c r="M216" s="284"/>
      <c r="N216" s="285"/>
      <c r="O216" s="136">
        <f t="shared" si="34"/>
        <v>0</v>
      </c>
      <c r="P216" s="85"/>
      <c r="R216" s="53"/>
    </row>
    <row r="217" spans="1:18" hidden="1" x14ac:dyDescent="0.25">
      <c r="A217" s="76">
        <v>5219</v>
      </c>
      <c r="B217" s="127" t="s">
        <v>233</v>
      </c>
      <c r="C217" s="279">
        <f t="shared" si="27"/>
        <v>0</v>
      </c>
      <c r="D217" s="134">
        <v>0</v>
      </c>
      <c r="E217" s="285"/>
      <c r="F217" s="136">
        <f t="shared" si="31"/>
        <v>0</v>
      </c>
      <c r="G217" s="134">
        <v>0</v>
      </c>
      <c r="H217" s="135"/>
      <c r="I217" s="136">
        <f t="shared" si="32"/>
        <v>0</v>
      </c>
      <c r="J217" s="134"/>
      <c r="K217" s="135"/>
      <c r="L217" s="136">
        <f t="shared" si="33"/>
        <v>0</v>
      </c>
      <c r="M217" s="284"/>
      <c r="N217" s="285"/>
      <c r="O217" s="136">
        <f t="shared" si="34"/>
        <v>0</v>
      </c>
      <c r="P217" s="85"/>
      <c r="R217" s="53"/>
    </row>
    <row r="218" spans="1:18" hidden="1" x14ac:dyDescent="0.25">
      <c r="A218" s="276">
        <v>5220</v>
      </c>
      <c r="B218" s="127" t="s">
        <v>234</v>
      </c>
      <c r="C218" s="279">
        <f t="shared" si="27"/>
        <v>0</v>
      </c>
      <c r="D218" s="134">
        <v>0</v>
      </c>
      <c r="E218" s="285"/>
      <c r="F218" s="136">
        <f t="shared" si="31"/>
        <v>0</v>
      </c>
      <c r="G218" s="134">
        <v>0</v>
      </c>
      <c r="H218" s="135"/>
      <c r="I218" s="136">
        <f t="shared" si="32"/>
        <v>0</v>
      </c>
      <c r="J218" s="134"/>
      <c r="K218" s="135"/>
      <c r="L218" s="136">
        <f t="shared" si="33"/>
        <v>0</v>
      </c>
      <c r="M218" s="284"/>
      <c r="N218" s="285"/>
      <c r="O218" s="136">
        <f t="shared" si="34"/>
        <v>0</v>
      </c>
      <c r="P218" s="85"/>
      <c r="R218" s="53"/>
    </row>
    <row r="219" spans="1:18" hidden="1" x14ac:dyDescent="0.25">
      <c r="A219" s="276">
        <v>5230</v>
      </c>
      <c r="B219" s="127" t="s">
        <v>235</v>
      </c>
      <c r="C219" s="279">
        <f t="shared" si="27"/>
        <v>0</v>
      </c>
      <c r="D219" s="277">
        <f>SUM(D220:D227)</f>
        <v>0</v>
      </c>
      <c r="E219" s="282">
        <f>SUM(E220:E227)</f>
        <v>0</v>
      </c>
      <c r="F219" s="136">
        <f t="shared" si="31"/>
        <v>0</v>
      </c>
      <c r="G219" s="277">
        <f>SUM(G220:G227)</f>
        <v>0</v>
      </c>
      <c r="H219" s="280">
        <f>SUM(H220:H227)</f>
        <v>0</v>
      </c>
      <c r="I219" s="136">
        <f t="shared" si="32"/>
        <v>0</v>
      </c>
      <c r="J219" s="277">
        <f>SUM(J220:J227)</f>
        <v>0</v>
      </c>
      <c r="K219" s="280">
        <f>SUM(K220:K227)</f>
        <v>0</v>
      </c>
      <c r="L219" s="136">
        <f t="shared" si="33"/>
        <v>0</v>
      </c>
      <c r="M219" s="281">
        <f>SUM(M220:M227)</f>
        <v>0</v>
      </c>
      <c r="N219" s="282">
        <f>SUM(N220:N227)</f>
        <v>0</v>
      </c>
      <c r="O219" s="136">
        <f t="shared" si="34"/>
        <v>0</v>
      </c>
      <c r="P219" s="85"/>
      <c r="R219" s="53"/>
    </row>
    <row r="220" spans="1:18" hidden="1" x14ac:dyDescent="0.25">
      <c r="A220" s="76">
        <v>5231</v>
      </c>
      <c r="B220" s="127" t="s">
        <v>236</v>
      </c>
      <c r="C220" s="279">
        <f t="shared" si="27"/>
        <v>0</v>
      </c>
      <c r="D220" s="134">
        <v>0</v>
      </c>
      <c r="E220" s="285"/>
      <c r="F220" s="136">
        <f t="shared" si="31"/>
        <v>0</v>
      </c>
      <c r="G220" s="134">
        <v>0</v>
      </c>
      <c r="H220" s="135"/>
      <c r="I220" s="136">
        <f t="shared" si="32"/>
        <v>0</v>
      </c>
      <c r="J220" s="134"/>
      <c r="K220" s="135"/>
      <c r="L220" s="136">
        <f t="shared" si="33"/>
        <v>0</v>
      </c>
      <c r="M220" s="284"/>
      <c r="N220" s="285"/>
      <c r="O220" s="136">
        <f t="shared" si="34"/>
        <v>0</v>
      </c>
      <c r="P220" s="85"/>
      <c r="R220" s="53"/>
    </row>
    <row r="221" spans="1:18" hidden="1" x14ac:dyDescent="0.25">
      <c r="A221" s="76">
        <v>5232</v>
      </c>
      <c r="B221" s="127" t="s">
        <v>237</v>
      </c>
      <c r="C221" s="279">
        <f t="shared" si="27"/>
        <v>0</v>
      </c>
      <c r="D221" s="134">
        <v>0</v>
      </c>
      <c r="E221" s="285"/>
      <c r="F221" s="136">
        <f t="shared" si="31"/>
        <v>0</v>
      </c>
      <c r="G221" s="134">
        <v>0</v>
      </c>
      <c r="H221" s="135"/>
      <c r="I221" s="136">
        <f t="shared" si="32"/>
        <v>0</v>
      </c>
      <c r="J221" s="134"/>
      <c r="K221" s="135"/>
      <c r="L221" s="136">
        <f t="shared" si="33"/>
        <v>0</v>
      </c>
      <c r="M221" s="284"/>
      <c r="N221" s="285"/>
      <c r="O221" s="136">
        <f t="shared" si="34"/>
        <v>0</v>
      </c>
      <c r="P221" s="85"/>
      <c r="R221" s="53"/>
    </row>
    <row r="222" spans="1:18" hidden="1" x14ac:dyDescent="0.25">
      <c r="A222" s="76">
        <v>5233</v>
      </c>
      <c r="B222" s="127" t="s">
        <v>238</v>
      </c>
      <c r="C222" s="279">
        <f t="shared" si="27"/>
        <v>0</v>
      </c>
      <c r="D222" s="134">
        <v>0</v>
      </c>
      <c r="E222" s="285"/>
      <c r="F222" s="136">
        <f t="shared" si="31"/>
        <v>0</v>
      </c>
      <c r="G222" s="134">
        <v>0</v>
      </c>
      <c r="H222" s="135"/>
      <c r="I222" s="136">
        <f t="shared" si="32"/>
        <v>0</v>
      </c>
      <c r="J222" s="134"/>
      <c r="K222" s="135"/>
      <c r="L222" s="136">
        <f t="shared" si="33"/>
        <v>0</v>
      </c>
      <c r="M222" s="284"/>
      <c r="N222" s="285"/>
      <c r="O222" s="136">
        <f t="shared" si="34"/>
        <v>0</v>
      </c>
      <c r="P222" s="85"/>
      <c r="R222" s="53"/>
    </row>
    <row r="223" spans="1:18" hidden="1" x14ac:dyDescent="0.25">
      <c r="A223" s="76">
        <v>5234</v>
      </c>
      <c r="B223" s="127" t="s">
        <v>239</v>
      </c>
      <c r="C223" s="279">
        <f t="shared" si="27"/>
        <v>0</v>
      </c>
      <c r="D223" s="134">
        <v>0</v>
      </c>
      <c r="E223" s="285"/>
      <c r="F223" s="136">
        <f t="shared" si="31"/>
        <v>0</v>
      </c>
      <c r="G223" s="134">
        <v>0</v>
      </c>
      <c r="H223" s="135"/>
      <c r="I223" s="136">
        <f t="shared" si="32"/>
        <v>0</v>
      </c>
      <c r="J223" s="134"/>
      <c r="K223" s="135"/>
      <c r="L223" s="136">
        <f t="shared" si="33"/>
        <v>0</v>
      </c>
      <c r="M223" s="284"/>
      <c r="N223" s="285"/>
      <c r="O223" s="136">
        <f t="shared" si="34"/>
        <v>0</v>
      </c>
      <c r="P223" s="85"/>
      <c r="R223" s="53"/>
    </row>
    <row r="224" spans="1:18" hidden="1" x14ac:dyDescent="0.25">
      <c r="A224" s="76">
        <v>5236</v>
      </c>
      <c r="B224" s="127" t="s">
        <v>240</v>
      </c>
      <c r="C224" s="279">
        <f t="shared" si="27"/>
        <v>0</v>
      </c>
      <c r="D224" s="134">
        <v>0</v>
      </c>
      <c r="E224" s="285"/>
      <c r="F224" s="136">
        <f t="shared" si="31"/>
        <v>0</v>
      </c>
      <c r="G224" s="134">
        <v>0</v>
      </c>
      <c r="H224" s="135"/>
      <c r="I224" s="136">
        <f t="shared" si="32"/>
        <v>0</v>
      </c>
      <c r="J224" s="134"/>
      <c r="K224" s="135"/>
      <c r="L224" s="136">
        <f t="shared" si="33"/>
        <v>0</v>
      </c>
      <c r="M224" s="284"/>
      <c r="N224" s="285"/>
      <c r="O224" s="136">
        <f t="shared" si="34"/>
        <v>0</v>
      </c>
      <c r="P224" s="85"/>
      <c r="R224" s="53"/>
    </row>
    <row r="225" spans="1:18" hidden="1" x14ac:dyDescent="0.25">
      <c r="A225" s="76">
        <v>5237</v>
      </c>
      <c r="B225" s="127" t="s">
        <v>241</v>
      </c>
      <c r="C225" s="279">
        <f t="shared" si="27"/>
        <v>0</v>
      </c>
      <c r="D225" s="134">
        <v>0</v>
      </c>
      <c r="E225" s="285"/>
      <c r="F225" s="136">
        <f t="shared" si="31"/>
        <v>0</v>
      </c>
      <c r="G225" s="134">
        <v>0</v>
      </c>
      <c r="H225" s="135"/>
      <c r="I225" s="136">
        <f t="shared" si="32"/>
        <v>0</v>
      </c>
      <c r="J225" s="134"/>
      <c r="K225" s="135"/>
      <c r="L225" s="136">
        <f t="shared" si="33"/>
        <v>0</v>
      </c>
      <c r="M225" s="284"/>
      <c r="N225" s="285"/>
      <c r="O225" s="136">
        <f t="shared" si="34"/>
        <v>0</v>
      </c>
      <c r="P225" s="85"/>
      <c r="R225" s="53"/>
    </row>
    <row r="226" spans="1:18" hidden="1" x14ac:dyDescent="0.25">
      <c r="A226" s="76">
        <v>5238</v>
      </c>
      <c r="B226" s="127" t="s">
        <v>242</v>
      </c>
      <c r="C226" s="279">
        <f t="shared" si="27"/>
        <v>0</v>
      </c>
      <c r="D226" s="134">
        <v>0</v>
      </c>
      <c r="E226" s="285"/>
      <c r="F226" s="136">
        <f t="shared" si="31"/>
        <v>0</v>
      </c>
      <c r="G226" s="134">
        <v>0</v>
      </c>
      <c r="H226" s="135"/>
      <c r="I226" s="136">
        <f t="shared" si="32"/>
        <v>0</v>
      </c>
      <c r="J226" s="134"/>
      <c r="K226" s="135"/>
      <c r="L226" s="136">
        <f t="shared" si="33"/>
        <v>0</v>
      </c>
      <c r="M226" s="284"/>
      <c r="N226" s="285"/>
      <c r="O226" s="136">
        <f t="shared" si="34"/>
        <v>0</v>
      </c>
      <c r="P226" s="85"/>
      <c r="R226" s="53"/>
    </row>
    <row r="227" spans="1:18" hidden="1" x14ac:dyDescent="0.25">
      <c r="A227" s="76">
        <v>5239</v>
      </c>
      <c r="B227" s="127" t="s">
        <v>243</v>
      </c>
      <c r="C227" s="279">
        <f t="shared" si="27"/>
        <v>0</v>
      </c>
      <c r="D227" s="134">
        <v>0</v>
      </c>
      <c r="E227" s="285"/>
      <c r="F227" s="136">
        <f t="shared" si="31"/>
        <v>0</v>
      </c>
      <c r="G227" s="134"/>
      <c r="H227" s="135"/>
      <c r="I227" s="136">
        <f t="shared" si="32"/>
        <v>0</v>
      </c>
      <c r="J227" s="134"/>
      <c r="K227" s="135"/>
      <c r="L227" s="136">
        <f t="shared" si="33"/>
        <v>0</v>
      </c>
      <c r="M227" s="284"/>
      <c r="N227" s="285"/>
      <c r="O227" s="136">
        <f t="shared" si="34"/>
        <v>0</v>
      </c>
      <c r="P227" s="85"/>
      <c r="R227" s="53"/>
    </row>
    <row r="228" spans="1:18" ht="24" x14ac:dyDescent="0.25">
      <c r="A228" s="276">
        <v>5240</v>
      </c>
      <c r="B228" s="127" t="s">
        <v>244</v>
      </c>
      <c r="C228" s="279">
        <f t="shared" si="27"/>
        <v>11596</v>
      </c>
      <c r="D228" s="134">
        <v>12515</v>
      </c>
      <c r="E228" s="285">
        <v>-919</v>
      </c>
      <c r="F228" s="136">
        <f t="shared" si="31"/>
        <v>11596</v>
      </c>
      <c r="G228" s="134"/>
      <c r="H228" s="135"/>
      <c r="I228" s="136">
        <f t="shared" si="32"/>
        <v>0</v>
      </c>
      <c r="J228" s="134"/>
      <c r="K228" s="135"/>
      <c r="L228" s="136">
        <f t="shared" si="33"/>
        <v>0</v>
      </c>
      <c r="M228" s="284"/>
      <c r="N228" s="285"/>
      <c r="O228" s="136">
        <f t="shared" si="34"/>
        <v>0</v>
      </c>
      <c r="P228" s="85"/>
      <c r="R228" s="53"/>
    </row>
    <row r="229" spans="1:18" x14ac:dyDescent="0.25">
      <c r="A229" s="276">
        <v>5250</v>
      </c>
      <c r="B229" s="127" t="s">
        <v>245</v>
      </c>
      <c r="C229" s="279">
        <f t="shared" si="27"/>
        <v>665270</v>
      </c>
      <c r="D229" s="134">
        <f>703935-38665</f>
        <v>665270</v>
      </c>
      <c r="E229" s="285"/>
      <c r="F229" s="136">
        <f t="shared" si="31"/>
        <v>665270</v>
      </c>
      <c r="G229" s="134"/>
      <c r="H229" s="135"/>
      <c r="I229" s="136">
        <f t="shared" si="32"/>
        <v>0</v>
      </c>
      <c r="J229" s="134"/>
      <c r="K229" s="135"/>
      <c r="L229" s="136">
        <f t="shared" si="33"/>
        <v>0</v>
      </c>
      <c r="M229" s="284"/>
      <c r="N229" s="285"/>
      <c r="O229" s="136">
        <f t="shared" si="34"/>
        <v>0</v>
      </c>
      <c r="P229" s="85"/>
      <c r="R229" s="53"/>
    </row>
    <row r="230" spans="1:18" hidden="1" x14ac:dyDescent="0.25">
      <c r="A230" s="276">
        <v>5260</v>
      </c>
      <c r="B230" s="127" t="s">
        <v>246</v>
      </c>
      <c r="C230" s="279">
        <f t="shared" si="27"/>
        <v>0</v>
      </c>
      <c r="D230" s="277">
        <f>SUM(D231)</f>
        <v>0</v>
      </c>
      <c r="E230" s="282">
        <f>SUM(E231)</f>
        <v>0</v>
      </c>
      <c r="F230" s="136">
        <f t="shared" si="31"/>
        <v>0</v>
      </c>
      <c r="G230" s="277">
        <f>SUM(G231)</f>
        <v>0</v>
      </c>
      <c r="H230" s="280">
        <f>SUM(H231)</f>
        <v>0</v>
      </c>
      <c r="I230" s="136">
        <f t="shared" si="32"/>
        <v>0</v>
      </c>
      <c r="J230" s="277">
        <f>SUM(J231)</f>
        <v>0</v>
      </c>
      <c r="K230" s="280">
        <f>SUM(K231)</f>
        <v>0</v>
      </c>
      <c r="L230" s="136">
        <f t="shared" si="33"/>
        <v>0</v>
      </c>
      <c r="M230" s="281">
        <f>SUM(M231)</f>
        <v>0</v>
      </c>
      <c r="N230" s="282">
        <f>SUM(N231)</f>
        <v>0</v>
      </c>
      <c r="O230" s="136">
        <f t="shared" si="34"/>
        <v>0</v>
      </c>
      <c r="P230" s="85"/>
      <c r="R230" s="53"/>
    </row>
    <row r="231" spans="1:18" hidden="1" x14ac:dyDescent="0.25">
      <c r="A231" s="76">
        <v>5269</v>
      </c>
      <c r="B231" s="127" t="s">
        <v>247</v>
      </c>
      <c r="C231" s="279">
        <f t="shared" si="27"/>
        <v>0</v>
      </c>
      <c r="D231" s="134">
        <v>0</v>
      </c>
      <c r="E231" s="285"/>
      <c r="F231" s="136">
        <f t="shared" si="31"/>
        <v>0</v>
      </c>
      <c r="G231" s="134">
        <v>0</v>
      </c>
      <c r="H231" s="135"/>
      <c r="I231" s="136">
        <f t="shared" si="32"/>
        <v>0</v>
      </c>
      <c r="J231" s="134"/>
      <c r="K231" s="135"/>
      <c r="L231" s="136">
        <f t="shared" si="33"/>
        <v>0</v>
      </c>
      <c r="M231" s="284"/>
      <c r="N231" s="285"/>
      <c r="O231" s="136">
        <f t="shared" si="34"/>
        <v>0</v>
      </c>
      <c r="P231" s="85"/>
      <c r="R231" s="53"/>
    </row>
    <row r="232" spans="1:18" ht="24" hidden="1" x14ac:dyDescent="0.25">
      <c r="A232" s="254">
        <v>5270</v>
      </c>
      <c r="B232" s="179" t="s">
        <v>248</v>
      </c>
      <c r="C232" s="302">
        <f t="shared" si="27"/>
        <v>0</v>
      </c>
      <c r="D232" s="287">
        <v>0</v>
      </c>
      <c r="E232" s="291"/>
      <c r="F232" s="259">
        <f t="shared" si="31"/>
        <v>0</v>
      </c>
      <c r="G232" s="287">
        <v>0</v>
      </c>
      <c r="H232" s="289"/>
      <c r="I232" s="259">
        <f t="shared" si="32"/>
        <v>0</v>
      </c>
      <c r="J232" s="287"/>
      <c r="K232" s="289"/>
      <c r="L232" s="259">
        <f t="shared" si="33"/>
        <v>0</v>
      </c>
      <c r="M232" s="290"/>
      <c r="N232" s="291"/>
      <c r="O232" s="259">
        <f t="shared" si="34"/>
        <v>0</v>
      </c>
      <c r="P232" s="189"/>
      <c r="R232" s="53"/>
    </row>
    <row r="233" spans="1:18" hidden="1" x14ac:dyDescent="0.25">
      <c r="A233" s="237">
        <v>6000</v>
      </c>
      <c r="B233" s="237" t="s">
        <v>249</v>
      </c>
      <c r="C233" s="241">
        <f t="shared" si="27"/>
        <v>0</v>
      </c>
      <c r="D233" s="239">
        <f>D234+D254+D261</f>
        <v>0</v>
      </c>
      <c r="E233" s="245">
        <f>E234+E254+E261</f>
        <v>0</v>
      </c>
      <c r="F233" s="243">
        <f t="shared" si="31"/>
        <v>0</v>
      </c>
      <c r="G233" s="239">
        <f>G234+G254+G261</f>
        <v>0</v>
      </c>
      <c r="H233" s="242">
        <f>H234+H254+H261</f>
        <v>0</v>
      </c>
      <c r="I233" s="243">
        <f t="shared" si="32"/>
        <v>0</v>
      </c>
      <c r="J233" s="239">
        <f>J234+J254+J261</f>
        <v>0</v>
      </c>
      <c r="K233" s="242">
        <f>K234+K254+K261</f>
        <v>0</v>
      </c>
      <c r="L233" s="243">
        <f t="shared" si="33"/>
        <v>0</v>
      </c>
      <c r="M233" s="244">
        <f>M234+M254+M261</f>
        <v>0</v>
      </c>
      <c r="N233" s="245">
        <f>N234+N254+N261</f>
        <v>0</v>
      </c>
      <c r="O233" s="243">
        <f t="shared" si="34"/>
        <v>0</v>
      </c>
      <c r="P233" s="246"/>
      <c r="R233" s="53"/>
    </row>
    <row r="234" spans="1:18" hidden="1" x14ac:dyDescent="0.25">
      <c r="A234" s="160">
        <v>6200</v>
      </c>
      <c r="B234" s="321" t="s">
        <v>250</v>
      </c>
      <c r="C234" s="648">
        <f>F234+I234+L234+O234</f>
        <v>0</v>
      </c>
      <c r="D234" s="334">
        <f>SUM(D235,D236,D238,D241,D247,D248,D249)</f>
        <v>0</v>
      </c>
      <c r="E234" s="251">
        <f>SUM(E235,E236,E238,E241,E247,E248,E249)</f>
        <v>0</v>
      </c>
      <c r="F234" s="252">
        <f>D234+E234</f>
        <v>0</v>
      </c>
      <c r="G234" s="334">
        <f>SUM(G235,G236,G238,G241,G247,G248,G249)</f>
        <v>0</v>
      </c>
      <c r="H234" s="336">
        <f>SUM(H235,H236,H238,H241,H247,H248,H249)</f>
        <v>0</v>
      </c>
      <c r="I234" s="252">
        <f t="shared" si="32"/>
        <v>0</v>
      </c>
      <c r="J234" s="334">
        <f>SUM(J235,J236,J238,J241,J247,J248,J249)</f>
        <v>0</v>
      </c>
      <c r="K234" s="336">
        <f>SUM(K235,K236,K238,K241,K247,K248,K249)</f>
        <v>0</v>
      </c>
      <c r="L234" s="252">
        <f t="shared" si="33"/>
        <v>0</v>
      </c>
      <c r="M234" s="250">
        <f>SUM(M235,M236,M238,M241,M247,M248,M249)</f>
        <v>0</v>
      </c>
      <c r="N234" s="251">
        <f>SUM(N235,N236,N238,N241,N247,N248,N249)</f>
        <v>0</v>
      </c>
      <c r="O234" s="252">
        <f t="shared" si="34"/>
        <v>0</v>
      </c>
      <c r="P234" s="253"/>
      <c r="R234" s="53"/>
    </row>
    <row r="235" spans="1:18" hidden="1" x14ac:dyDescent="0.25">
      <c r="A235" s="609">
        <v>6220</v>
      </c>
      <c r="B235" s="116" t="s">
        <v>251</v>
      </c>
      <c r="C235" s="296">
        <f t="shared" si="27"/>
        <v>0</v>
      </c>
      <c r="D235" s="123">
        <v>0</v>
      </c>
      <c r="E235" s="262"/>
      <c r="F235" s="125">
        <f t="shared" si="31"/>
        <v>0</v>
      </c>
      <c r="G235" s="123">
        <v>0</v>
      </c>
      <c r="H235" s="124"/>
      <c r="I235" s="125">
        <f t="shared" si="32"/>
        <v>0</v>
      </c>
      <c r="J235" s="123"/>
      <c r="K235" s="124"/>
      <c r="L235" s="125">
        <f t="shared" si="33"/>
        <v>0</v>
      </c>
      <c r="M235" s="264"/>
      <c r="N235" s="262"/>
      <c r="O235" s="125">
        <f t="shared" si="34"/>
        <v>0</v>
      </c>
      <c r="P235" s="74"/>
      <c r="R235" s="53"/>
    </row>
    <row r="236" spans="1:18" hidden="1" x14ac:dyDescent="0.25">
      <c r="A236" s="276">
        <v>6230</v>
      </c>
      <c r="B236" s="127" t="s">
        <v>252</v>
      </c>
      <c r="C236" s="279">
        <f t="shared" si="27"/>
        <v>0</v>
      </c>
      <c r="D236" s="277">
        <f>SUM(D237)</f>
        <v>0</v>
      </c>
      <c r="E236" s="282">
        <f>SUM(E237)</f>
        <v>0</v>
      </c>
      <c r="F236" s="136">
        <f t="shared" si="31"/>
        <v>0</v>
      </c>
      <c r="G236" s="277">
        <f>SUM(G237)</f>
        <v>0</v>
      </c>
      <c r="H236" s="280">
        <f>SUM(H237)</f>
        <v>0</v>
      </c>
      <c r="I236" s="136">
        <f t="shared" si="32"/>
        <v>0</v>
      </c>
      <c r="J236" s="277">
        <f>SUM(J237)</f>
        <v>0</v>
      </c>
      <c r="K236" s="280">
        <f>SUM(K237)</f>
        <v>0</v>
      </c>
      <c r="L236" s="136">
        <f t="shared" si="33"/>
        <v>0</v>
      </c>
      <c r="M236" s="277">
        <f>SUM(M237)</f>
        <v>0</v>
      </c>
      <c r="N236" s="280">
        <f>SUM(N237)</f>
        <v>0</v>
      </c>
      <c r="O236" s="136">
        <f t="shared" si="34"/>
        <v>0</v>
      </c>
      <c r="P236" s="85"/>
      <c r="R236" s="53"/>
    </row>
    <row r="237" spans="1:18" hidden="1" x14ac:dyDescent="0.25">
      <c r="A237" s="76">
        <v>6239</v>
      </c>
      <c r="B237" s="116" t="s">
        <v>253</v>
      </c>
      <c r="C237" s="279">
        <f t="shared" si="27"/>
        <v>0</v>
      </c>
      <c r="D237" s="134">
        <v>0</v>
      </c>
      <c r="E237" s="285"/>
      <c r="F237" s="136">
        <f t="shared" si="31"/>
        <v>0</v>
      </c>
      <c r="G237" s="134">
        <v>0</v>
      </c>
      <c r="H237" s="135"/>
      <c r="I237" s="136">
        <f t="shared" si="32"/>
        <v>0</v>
      </c>
      <c r="J237" s="134"/>
      <c r="K237" s="135"/>
      <c r="L237" s="136">
        <f t="shared" si="33"/>
        <v>0</v>
      </c>
      <c r="M237" s="284"/>
      <c r="N237" s="285"/>
      <c r="O237" s="136">
        <f t="shared" si="34"/>
        <v>0</v>
      </c>
      <c r="P237" s="85"/>
      <c r="R237" s="53"/>
    </row>
    <row r="238" spans="1:18" ht="24" hidden="1" x14ac:dyDescent="0.25">
      <c r="A238" s="276">
        <v>6240</v>
      </c>
      <c r="B238" s="127" t="s">
        <v>254</v>
      </c>
      <c r="C238" s="279">
        <f t="shared" si="27"/>
        <v>0</v>
      </c>
      <c r="D238" s="277">
        <f>SUM(D239:D240)</f>
        <v>0</v>
      </c>
      <c r="E238" s="282">
        <f>SUM(E239:E240)</f>
        <v>0</v>
      </c>
      <c r="F238" s="136">
        <f t="shared" si="31"/>
        <v>0</v>
      </c>
      <c r="G238" s="277">
        <f>SUM(G239:G240)</f>
        <v>0</v>
      </c>
      <c r="H238" s="280">
        <f>SUM(H239:H240)</f>
        <v>0</v>
      </c>
      <c r="I238" s="136">
        <f t="shared" si="32"/>
        <v>0</v>
      </c>
      <c r="J238" s="277">
        <f>SUM(J239:J240)</f>
        <v>0</v>
      </c>
      <c r="K238" s="280">
        <f>SUM(K239:K240)</f>
        <v>0</v>
      </c>
      <c r="L238" s="136">
        <f t="shared" si="33"/>
        <v>0</v>
      </c>
      <c r="M238" s="281">
        <f>SUM(M239:M240)</f>
        <v>0</v>
      </c>
      <c r="N238" s="282">
        <f>SUM(N239:N240)</f>
        <v>0</v>
      </c>
      <c r="O238" s="136">
        <f t="shared" si="34"/>
        <v>0</v>
      </c>
      <c r="P238" s="85"/>
      <c r="R238" s="53"/>
    </row>
    <row r="239" spans="1:18" hidden="1" x14ac:dyDescent="0.25">
      <c r="A239" s="76">
        <v>6241</v>
      </c>
      <c r="B239" s="127" t="s">
        <v>255</v>
      </c>
      <c r="C239" s="279">
        <f t="shared" si="27"/>
        <v>0</v>
      </c>
      <c r="D239" s="134">
        <v>0</v>
      </c>
      <c r="E239" s="285"/>
      <c r="F239" s="136">
        <f t="shared" si="31"/>
        <v>0</v>
      </c>
      <c r="G239" s="134">
        <v>0</v>
      </c>
      <c r="H239" s="135"/>
      <c r="I239" s="136">
        <f t="shared" si="32"/>
        <v>0</v>
      </c>
      <c r="J239" s="134"/>
      <c r="K239" s="135"/>
      <c r="L239" s="136">
        <f t="shared" si="33"/>
        <v>0</v>
      </c>
      <c r="M239" s="284"/>
      <c r="N239" s="285"/>
      <c r="O239" s="136">
        <f t="shared" si="34"/>
        <v>0</v>
      </c>
      <c r="P239" s="85"/>
      <c r="R239" s="53"/>
    </row>
    <row r="240" spans="1:18" hidden="1" x14ac:dyDescent="0.25">
      <c r="A240" s="76">
        <v>6242</v>
      </c>
      <c r="B240" s="127" t="s">
        <v>256</v>
      </c>
      <c r="C240" s="279">
        <f t="shared" si="27"/>
        <v>0</v>
      </c>
      <c r="D240" s="134">
        <v>0</v>
      </c>
      <c r="E240" s="285"/>
      <c r="F240" s="136">
        <f t="shared" si="31"/>
        <v>0</v>
      </c>
      <c r="G240" s="134">
        <v>0</v>
      </c>
      <c r="H240" s="135"/>
      <c r="I240" s="136">
        <f t="shared" si="32"/>
        <v>0</v>
      </c>
      <c r="J240" s="134"/>
      <c r="K240" s="135"/>
      <c r="L240" s="136">
        <f t="shared" si="33"/>
        <v>0</v>
      </c>
      <c r="M240" s="284"/>
      <c r="N240" s="285"/>
      <c r="O240" s="136">
        <f t="shared" si="34"/>
        <v>0</v>
      </c>
      <c r="P240" s="85"/>
      <c r="R240" s="53"/>
    </row>
    <row r="241" spans="1:18" ht="24" hidden="1" x14ac:dyDescent="0.25">
      <c r="A241" s="276">
        <v>6250</v>
      </c>
      <c r="B241" s="127" t="s">
        <v>257</v>
      </c>
      <c r="C241" s="279">
        <f t="shared" si="27"/>
        <v>0</v>
      </c>
      <c r="D241" s="277">
        <f>SUM(D242:D246)</f>
        <v>0</v>
      </c>
      <c r="E241" s="282">
        <f>SUM(E242:E246)</f>
        <v>0</v>
      </c>
      <c r="F241" s="136">
        <f t="shared" si="31"/>
        <v>0</v>
      </c>
      <c r="G241" s="277">
        <f>SUM(G242:G246)</f>
        <v>0</v>
      </c>
      <c r="H241" s="280">
        <f>SUM(H242:H246)</f>
        <v>0</v>
      </c>
      <c r="I241" s="136">
        <f t="shared" si="32"/>
        <v>0</v>
      </c>
      <c r="J241" s="277">
        <f>SUM(J242:J246)</f>
        <v>0</v>
      </c>
      <c r="K241" s="280">
        <f>SUM(K242:K246)</f>
        <v>0</v>
      </c>
      <c r="L241" s="136">
        <f t="shared" si="33"/>
        <v>0</v>
      </c>
      <c r="M241" s="281">
        <f>SUM(M242:M246)</f>
        <v>0</v>
      </c>
      <c r="N241" s="282">
        <f>SUM(N242:N246)</f>
        <v>0</v>
      </c>
      <c r="O241" s="136">
        <f t="shared" si="34"/>
        <v>0</v>
      </c>
      <c r="P241" s="85"/>
      <c r="R241" s="53"/>
    </row>
    <row r="242" spans="1:18" hidden="1" x14ac:dyDescent="0.25">
      <c r="A242" s="76">
        <v>6252</v>
      </c>
      <c r="B242" s="127" t="s">
        <v>258</v>
      </c>
      <c r="C242" s="279">
        <f t="shared" si="27"/>
        <v>0</v>
      </c>
      <c r="D242" s="134">
        <v>0</v>
      </c>
      <c r="E242" s="285"/>
      <c r="F242" s="136">
        <f t="shared" si="31"/>
        <v>0</v>
      </c>
      <c r="G242" s="134">
        <v>0</v>
      </c>
      <c r="H242" s="135"/>
      <c r="I242" s="136">
        <f t="shared" si="32"/>
        <v>0</v>
      </c>
      <c r="J242" s="134"/>
      <c r="K242" s="135"/>
      <c r="L242" s="136">
        <f t="shared" si="33"/>
        <v>0</v>
      </c>
      <c r="M242" s="284"/>
      <c r="N242" s="285"/>
      <c r="O242" s="136">
        <f t="shared" si="34"/>
        <v>0</v>
      </c>
      <c r="P242" s="85"/>
      <c r="R242" s="53"/>
    </row>
    <row r="243" spans="1:18" hidden="1" x14ac:dyDescent="0.25">
      <c r="A243" s="76">
        <v>6253</v>
      </c>
      <c r="B243" s="127" t="s">
        <v>259</v>
      </c>
      <c r="C243" s="279">
        <f t="shared" si="27"/>
        <v>0</v>
      </c>
      <c r="D243" s="134">
        <v>0</v>
      </c>
      <c r="E243" s="285"/>
      <c r="F243" s="136">
        <f t="shared" si="31"/>
        <v>0</v>
      </c>
      <c r="G243" s="134">
        <v>0</v>
      </c>
      <c r="H243" s="135"/>
      <c r="I243" s="136">
        <f t="shared" si="32"/>
        <v>0</v>
      </c>
      <c r="J243" s="134"/>
      <c r="K243" s="135"/>
      <c r="L243" s="136">
        <f t="shared" si="33"/>
        <v>0</v>
      </c>
      <c r="M243" s="284"/>
      <c r="N243" s="285"/>
      <c r="O243" s="136">
        <f t="shared" si="34"/>
        <v>0</v>
      </c>
      <c r="P243" s="85"/>
      <c r="R243" s="53"/>
    </row>
    <row r="244" spans="1:18" ht="24" hidden="1" x14ac:dyDescent="0.25">
      <c r="A244" s="76">
        <v>6254</v>
      </c>
      <c r="B244" s="127" t="s">
        <v>260</v>
      </c>
      <c r="C244" s="279">
        <f t="shared" si="27"/>
        <v>0</v>
      </c>
      <c r="D244" s="134">
        <v>0</v>
      </c>
      <c r="E244" s="285"/>
      <c r="F244" s="136">
        <f t="shared" si="31"/>
        <v>0</v>
      </c>
      <c r="G244" s="134">
        <v>0</v>
      </c>
      <c r="H244" s="135"/>
      <c r="I244" s="136">
        <f t="shared" si="32"/>
        <v>0</v>
      </c>
      <c r="J244" s="134"/>
      <c r="K244" s="135"/>
      <c r="L244" s="136">
        <f t="shared" si="33"/>
        <v>0</v>
      </c>
      <c r="M244" s="284"/>
      <c r="N244" s="285"/>
      <c r="O244" s="136">
        <f t="shared" si="34"/>
        <v>0</v>
      </c>
      <c r="P244" s="85"/>
      <c r="R244" s="53"/>
    </row>
    <row r="245" spans="1:18" ht="24" hidden="1" x14ac:dyDescent="0.25">
      <c r="A245" s="76">
        <v>6255</v>
      </c>
      <c r="B245" s="127" t="s">
        <v>261</v>
      </c>
      <c r="C245" s="279">
        <f t="shared" si="27"/>
        <v>0</v>
      </c>
      <c r="D245" s="134">
        <v>0</v>
      </c>
      <c r="E245" s="285"/>
      <c r="F245" s="136">
        <f t="shared" si="31"/>
        <v>0</v>
      </c>
      <c r="G245" s="134">
        <v>0</v>
      </c>
      <c r="H245" s="135"/>
      <c r="I245" s="136">
        <f t="shared" si="32"/>
        <v>0</v>
      </c>
      <c r="J245" s="134"/>
      <c r="K245" s="135"/>
      <c r="L245" s="136">
        <f t="shared" si="33"/>
        <v>0</v>
      </c>
      <c r="M245" s="284"/>
      <c r="N245" s="285"/>
      <c r="O245" s="136">
        <f t="shared" si="34"/>
        <v>0</v>
      </c>
      <c r="P245" s="85"/>
      <c r="R245" s="53"/>
    </row>
    <row r="246" spans="1:18" hidden="1" x14ac:dyDescent="0.25">
      <c r="A246" s="76">
        <v>6259</v>
      </c>
      <c r="B246" s="127" t="s">
        <v>262</v>
      </c>
      <c r="C246" s="279">
        <f t="shared" si="27"/>
        <v>0</v>
      </c>
      <c r="D246" s="134">
        <v>0</v>
      </c>
      <c r="E246" s="285"/>
      <c r="F246" s="136">
        <f t="shared" si="31"/>
        <v>0</v>
      </c>
      <c r="G246" s="134">
        <v>0</v>
      </c>
      <c r="H246" s="135"/>
      <c r="I246" s="136">
        <f t="shared" si="32"/>
        <v>0</v>
      </c>
      <c r="J246" s="134"/>
      <c r="K246" s="135"/>
      <c r="L246" s="136">
        <f t="shared" si="33"/>
        <v>0</v>
      </c>
      <c r="M246" s="284"/>
      <c r="N246" s="285"/>
      <c r="O246" s="136">
        <f t="shared" si="34"/>
        <v>0</v>
      </c>
      <c r="P246" s="85"/>
      <c r="R246" s="53"/>
    </row>
    <row r="247" spans="1:18" ht="24" hidden="1" x14ac:dyDescent="0.25">
      <c r="A247" s="276">
        <v>6260</v>
      </c>
      <c r="B247" s="127" t="s">
        <v>263</v>
      </c>
      <c r="C247" s="279">
        <f t="shared" si="27"/>
        <v>0</v>
      </c>
      <c r="D247" s="134">
        <v>0</v>
      </c>
      <c r="E247" s="285"/>
      <c r="F247" s="136">
        <f t="shared" ref="F247:F299" si="38">D247+E247</f>
        <v>0</v>
      </c>
      <c r="G247" s="134">
        <v>0</v>
      </c>
      <c r="H247" s="135"/>
      <c r="I247" s="136">
        <f t="shared" ref="I247:I299" si="39">G247+H247</f>
        <v>0</v>
      </c>
      <c r="J247" s="134"/>
      <c r="K247" s="135"/>
      <c r="L247" s="136">
        <f t="shared" ref="L247:L299" si="40">J247+K247</f>
        <v>0</v>
      </c>
      <c r="M247" s="284"/>
      <c r="N247" s="285"/>
      <c r="O247" s="136">
        <f t="shared" ref="O247:O276" si="41">M247+N247</f>
        <v>0</v>
      </c>
      <c r="P247" s="85"/>
      <c r="R247" s="53"/>
    </row>
    <row r="248" spans="1:18" hidden="1" x14ac:dyDescent="0.25">
      <c r="A248" s="276">
        <v>6270</v>
      </c>
      <c r="B248" s="127" t="s">
        <v>264</v>
      </c>
      <c r="C248" s="279">
        <f t="shared" si="27"/>
        <v>0</v>
      </c>
      <c r="D248" s="134">
        <v>0</v>
      </c>
      <c r="E248" s="285"/>
      <c r="F248" s="136">
        <f t="shared" si="38"/>
        <v>0</v>
      </c>
      <c r="G248" s="134">
        <v>0</v>
      </c>
      <c r="H248" s="135"/>
      <c r="I248" s="136">
        <f t="shared" si="39"/>
        <v>0</v>
      </c>
      <c r="J248" s="134"/>
      <c r="K248" s="135"/>
      <c r="L248" s="136">
        <f t="shared" si="40"/>
        <v>0</v>
      </c>
      <c r="M248" s="284"/>
      <c r="N248" s="285"/>
      <c r="O248" s="136">
        <f t="shared" si="41"/>
        <v>0</v>
      </c>
      <c r="P248" s="85"/>
      <c r="R248" s="53"/>
    </row>
    <row r="249" spans="1:18" hidden="1" x14ac:dyDescent="0.25">
      <c r="A249" s="609">
        <v>6290</v>
      </c>
      <c r="B249" s="116" t="s">
        <v>265</v>
      </c>
      <c r="C249" s="279">
        <f t="shared" si="27"/>
        <v>0</v>
      </c>
      <c r="D249" s="297">
        <f>SUM(D250:D253)</f>
        <v>0</v>
      </c>
      <c r="E249" s="301">
        <f>SUM(E250:E253)</f>
        <v>0</v>
      </c>
      <c r="F249" s="125">
        <f t="shared" si="38"/>
        <v>0</v>
      </c>
      <c r="G249" s="297">
        <f>SUM(G250:G253)</f>
        <v>0</v>
      </c>
      <c r="H249" s="299">
        <f t="shared" ref="H249" si="42">SUM(H250:H253)</f>
        <v>0</v>
      </c>
      <c r="I249" s="125">
        <f t="shared" si="39"/>
        <v>0</v>
      </c>
      <c r="J249" s="297">
        <f>SUM(J250:J253)</f>
        <v>0</v>
      </c>
      <c r="K249" s="299">
        <f t="shared" ref="K249" si="43">SUM(K250:K253)</f>
        <v>0</v>
      </c>
      <c r="L249" s="125">
        <f t="shared" si="40"/>
        <v>0</v>
      </c>
      <c r="M249" s="322">
        <f t="shared" ref="M249:N249" si="44">SUM(M250:M253)</f>
        <v>0</v>
      </c>
      <c r="N249" s="323">
        <f t="shared" si="44"/>
        <v>0</v>
      </c>
      <c r="O249" s="324">
        <f t="shared" si="41"/>
        <v>0</v>
      </c>
      <c r="P249" s="325"/>
      <c r="R249" s="53"/>
    </row>
    <row r="250" spans="1:18" hidden="1" x14ac:dyDescent="0.25">
      <c r="A250" s="76">
        <v>6291</v>
      </c>
      <c r="B250" s="127" t="s">
        <v>266</v>
      </c>
      <c r="C250" s="279">
        <f t="shared" si="27"/>
        <v>0</v>
      </c>
      <c r="D250" s="134">
        <v>0</v>
      </c>
      <c r="E250" s="285"/>
      <c r="F250" s="136">
        <f t="shared" si="38"/>
        <v>0</v>
      </c>
      <c r="G250" s="134">
        <v>0</v>
      </c>
      <c r="H250" s="135"/>
      <c r="I250" s="136">
        <f t="shared" si="39"/>
        <v>0</v>
      </c>
      <c r="J250" s="134"/>
      <c r="K250" s="135"/>
      <c r="L250" s="136">
        <f t="shared" si="40"/>
        <v>0</v>
      </c>
      <c r="M250" s="284"/>
      <c r="N250" s="285"/>
      <c r="O250" s="136">
        <f t="shared" si="41"/>
        <v>0</v>
      </c>
      <c r="P250" s="85"/>
      <c r="R250" s="53"/>
    </row>
    <row r="251" spans="1:18" hidden="1" x14ac:dyDescent="0.25">
      <c r="A251" s="76">
        <v>6292</v>
      </c>
      <c r="B251" s="127" t="s">
        <v>267</v>
      </c>
      <c r="C251" s="279">
        <f t="shared" si="27"/>
        <v>0</v>
      </c>
      <c r="D251" s="134">
        <v>0</v>
      </c>
      <c r="E251" s="285"/>
      <c r="F251" s="136">
        <f t="shared" si="38"/>
        <v>0</v>
      </c>
      <c r="G251" s="134">
        <v>0</v>
      </c>
      <c r="H251" s="135"/>
      <c r="I251" s="136">
        <f t="shared" si="39"/>
        <v>0</v>
      </c>
      <c r="J251" s="134"/>
      <c r="K251" s="135"/>
      <c r="L251" s="136">
        <f t="shared" si="40"/>
        <v>0</v>
      </c>
      <c r="M251" s="284"/>
      <c r="N251" s="285"/>
      <c r="O251" s="136">
        <f t="shared" si="41"/>
        <v>0</v>
      </c>
      <c r="P251" s="85"/>
      <c r="R251" s="53"/>
    </row>
    <row r="252" spans="1:18" ht="72" hidden="1" x14ac:dyDescent="0.25">
      <c r="A252" s="76">
        <v>6296</v>
      </c>
      <c r="B252" s="127" t="s">
        <v>268</v>
      </c>
      <c r="C252" s="279">
        <f t="shared" si="27"/>
        <v>0</v>
      </c>
      <c r="D252" s="134">
        <v>0</v>
      </c>
      <c r="E252" s="285"/>
      <c r="F252" s="136">
        <f t="shared" si="38"/>
        <v>0</v>
      </c>
      <c r="G252" s="134">
        <v>0</v>
      </c>
      <c r="H252" s="135"/>
      <c r="I252" s="136">
        <f t="shared" si="39"/>
        <v>0</v>
      </c>
      <c r="J252" s="134"/>
      <c r="K252" s="135"/>
      <c r="L252" s="136">
        <f t="shared" si="40"/>
        <v>0</v>
      </c>
      <c r="M252" s="284"/>
      <c r="N252" s="285"/>
      <c r="O252" s="136">
        <f t="shared" si="41"/>
        <v>0</v>
      </c>
      <c r="P252" s="85"/>
      <c r="R252" s="53"/>
    </row>
    <row r="253" spans="1:18" ht="36" hidden="1" x14ac:dyDescent="0.25">
      <c r="A253" s="76">
        <v>6299</v>
      </c>
      <c r="B253" s="127" t="s">
        <v>269</v>
      </c>
      <c r="C253" s="279">
        <f t="shared" si="27"/>
        <v>0</v>
      </c>
      <c r="D253" s="134">
        <v>0</v>
      </c>
      <c r="E253" s="285"/>
      <c r="F253" s="136">
        <f t="shared" si="38"/>
        <v>0</v>
      </c>
      <c r="G253" s="134">
        <v>0</v>
      </c>
      <c r="H253" s="135"/>
      <c r="I253" s="136">
        <f t="shared" si="39"/>
        <v>0</v>
      </c>
      <c r="J253" s="134"/>
      <c r="K253" s="135"/>
      <c r="L253" s="136">
        <f t="shared" si="40"/>
        <v>0</v>
      </c>
      <c r="M253" s="284"/>
      <c r="N253" s="285"/>
      <c r="O253" s="136">
        <f t="shared" si="41"/>
        <v>0</v>
      </c>
      <c r="P253" s="85"/>
      <c r="R253" s="53"/>
    </row>
    <row r="254" spans="1:18" hidden="1" x14ac:dyDescent="0.25">
      <c r="A254" s="99">
        <v>6300</v>
      </c>
      <c r="B254" s="247" t="s">
        <v>270</v>
      </c>
      <c r="C254" s="249">
        <f t="shared" si="27"/>
        <v>0</v>
      </c>
      <c r="D254" s="112">
        <f>SUM(D255,D259,D260)</f>
        <v>0</v>
      </c>
      <c r="E254" s="293">
        <f>SUM(E255,E259,E260)</f>
        <v>0</v>
      </c>
      <c r="F254" s="114">
        <f t="shared" si="38"/>
        <v>0</v>
      </c>
      <c r="G254" s="112">
        <f>SUM(G255,G259,G260)</f>
        <v>0</v>
      </c>
      <c r="H254" s="113">
        <f t="shared" ref="H254" si="45">SUM(H255,H259,H260)</f>
        <v>0</v>
      </c>
      <c r="I254" s="114">
        <f t="shared" si="39"/>
        <v>0</v>
      </c>
      <c r="J254" s="112">
        <f>SUM(J255,J259,J260)</f>
        <v>0</v>
      </c>
      <c r="K254" s="113">
        <f t="shared" ref="K254" si="46">SUM(K255,K259,K260)</f>
        <v>0</v>
      </c>
      <c r="L254" s="114">
        <f t="shared" si="40"/>
        <v>0</v>
      </c>
      <c r="M254" s="303">
        <f t="shared" ref="M254:N254" si="47">SUM(M255,M259,M260)</f>
        <v>0</v>
      </c>
      <c r="N254" s="304">
        <f t="shared" si="47"/>
        <v>0</v>
      </c>
      <c r="O254" s="305">
        <f t="shared" si="41"/>
        <v>0</v>
      </c>
      <c r="P254" s="306"/>
      <c r="R254" s="53"/>
    </row>
    <row r="255" spans="1:18" ht="24" hidden="1" x14ac:dyDescent="0.25">
      <c r="A255" s="609">
        <v>6320</v>
      </c>
      <c r="B255" s="116" t="s">
        <v>271</v>
      </c>
      <c r="C255" s="647">
        <f t="shared" si="27"/>
        <v>0</v>
      </c>
      <c r="D255" s="297">
        <f>SUM(D256:D258)</f>
        <v>0</v>
      </c>
      <c r="E255" s="301">
        <f>SUM(E256:E258)</f>
        <v>0</v>
      </c>
      <c r="F255" s="125">
        <f t="shared" si="38"/>
        <v>0</v>
      </c>
      <c r="G255" s="297">
        <f>SUM(G256:G258)</f>
        <v>0</v>
      </c>
      <c r="H255" s="299">
        <f t="shared" ref="H255" si="48">SUM(H256:H258)</f>
        <v>0</v>
      </c>
      <c r="I255" s="125">
        <f t="shared" si="39"/>
        <v>0</v>
      </c>
      <c r="J255" s="297">
        <f>SUM(J256:J258)</f>
        <v>0</v>
      </c>
      <c r="K255" s="299">
        <f t="shared" ref="K255" si="49">SUM(K256:K258)</f>
        <v>0</v>
      </c>
      <c r="L255" s="125">
        <f t="shared" si="40"/>
        <v>0</v>
      </c>
      <c r="M255" s="300">
        <f t="shared" ref="M255:N255" si="50">SUM(M256:M258)</f>
        <v>0</v>
      </c>
      <c r="N255" s="301">
        <f t="shared" si="50"/>
        <v>0</v>
      </c>
      <c r="O255" s="125">
        <f t="shared" si="41"/>
        <v>0</v>
      </c>
      <c r="P255" s="74"/>
      <c r="R255" s="53"/>
    </row>
    <row r="256" spans="1:18" hidden="1" x14ac:dyDescent="0.25">
      <c r="A256" s="76">
        <v>6322</v>
      </c>
      <c r="B256" s="127" t="s">
        <v>272</v>
      </c>
      <c r="C256" s="279">
        <f t="shared" si="27"/>
        <v>0</v>
      </c>
      <c r="D256" s="134">
        <v>0</v>
      </c>
      <c r="E256" s="285"/>
      <c r="F256" s="136">
        <f t="shared" si="38"/>
        <v>0</v>
      </c>
      <c r="G256" s="134">
        <v>0</v>
      </c>
      <c r="H256" s="135"/>
      <c r="I256" s="136">
        <f t="shared" si="39"/>
        <v>0</v>
      </c>
      <c r="J256" s="134"/>
      <c r="K256" s="135"/>
      <c r="L256" s="136">
        <f t="shared" si="40"/>
        <v>0</v>
      </c>
      <c r="M256" s="284"/>
      <c r="N256" s="285"/>
      <c r="O256" s="136">
        <f t="shared" si="41"/>
        <v>0</v>
      </c>
      <c r="P256" s="85"/>
      <c r="R256" s="53"/>
    </row>
    <row r="257" spans="1:18" ht="24" hidden="1" x14ac:dyDescent="0.25">
      <c r="A257" s="76">
        <v>6323</v>
      </c>
      <c r="B257" s="127" t="s">
        <v>273</v>
      </c>
      <c r="C257" s="279">
        <f t="shared" si="27"/>
        <v>0</v>
      </c>
      <c r="D257" s="134">
        <v>0</v>
      </c>
      <c r="E257" s="285"/>
      <c r="F257" s="136">
        <f t="shared" si="38"/>
        <v>0</v>
      </c>
      <c r="G257" s="134">
        <v>0</v>
      </c>
      <c r="H257" s="135"/>
      <c r="I257" s="136">
        <f t="shared" si="39"/>
        <v>0</v>
      </c>
      <c r="J257" s="134"/>
      <c r="K257" s="135"/>
      <c r="L257" s="136">
        <f t="shared" si="40"/>
        <v>0</v>
      </c>
      <c r="M257" s="284"/>
      <c r="N257" s="285"/>
      <c r="O257" s="136">
        <f t="shared" si="41"/>
        <v>0</v>
      </c>
      <c r="P257" s="85"/>
      <c r="R257" s="53"/>
    </row>
    <row r="258" spans="1:18" ht="24" hidden="1" x14ac:dyDescent="0.25">
      <c r="A258" s="66">
        <v>6324</v>
      </c>
      <c r="B258" s="116" t="s">
        <v>274</v>
      </c>
      <c r="C258" s="279">
        <f t="shared" si="27"/>
        <v>0</v>
      </c>
      <c r="D258" s="123">
        <v>0</v>
      </c>
      <c r="E258" s="262"/>
      <c r="F258" s="125">
        <f t="shared" si="38"/>
        <v>0</v>
      </c>
      <c r="G258" s="123">
        <v>0</v>
      </c>
      <c r="H258" s="124"/>
      <c r="I258" s="125">
        <f t="shared" si="39"/>
        <v>0</v>
      </c>
      <c r="J258" s="123"/>
      <c r="K258" s="124"/>
      <c r="L258" s="125">
        <f t="shared" si="40"/>
        <v>0</v>
      </c>
      <c r="M258" s="264"/>
      <c r="N258" s="262"/>
      <c r="O258" s="125">
        <f t="shared" si="41"/>
        <v>0</v>
      </c>
      <c r="P258" s="74"/>
      <c r="R258" s="53"/>
    </row>
    <row r="259" spans="1:18" hidden="1" x14ac:dyDescent="0.25">
      <c r="A259" s="344">
        <v>6330</v>
      </c>
      <c r="B259" s="345" t="s">
        <v>275</v>
      </c>
      <c r="C259" s="279">
        <f t="shared" ref="C259:C286" si="51">F259+I259+L259+O259</f>
        <v>0</v>
      </c>
      <c r="D259" s="328">
        <v>0</v>
      </c>
      <c r="E259" s="329"/>
      <c r="F259" s="324">
        <f t="shared" si="38"/>
        <v>0</v>
      </c>
      <c r="G259" s="328">
        <v>0</v>
      </c>
      <c r="H259" s="331"/>
      <c r="I259" s="324">
        <f t="shared" si="39"/>
        <v>0</v>
      </c>
      <c r="J259" s="328"/>
      <c r="K259" s="331"/>
      <c r="L259" s="324">
        <f t="shared" si="40"/>
        <v>0</v>
      </c>
      <c r="M259" s="332"/>
      <c r="N259" s="329"/>
      <c r="O259" s="324">
        <f t="shared" si="41"/>
        <v>0</v>
      </c>
      <c r="P259" s="325"/>
      <c r="R259" s="53"/>
    </row>
    <row r="260" spans="1:18" hidden="1" x14ac:dyDescent="0.25">
      <c r="A260" s="276">
        <v>6360</v>
      </c>
      <c r="B260" s="127" t="s">
        <v>276</v>
      </c>
      <c r="C260" s="279">
        <f t="shared" si="51"/>
        <v>0</v>
      </c>
      <c r="D260" s="134">
        <v>0</v>
      </c>
      <c r="E260" s="285"/>
      <c r="F260" s="136">
        <f t="shared" si="38"/>
        <v>0</v>
      </c>
      <c r="G260" s="134">
        <v>0</v>
      </c>
      <c r="H260" s="135"/>
      <c r="I260" s="136">
        <f t="shared" si="39"/>
        <v>0</v>
      </c>
      <c r="J260" s="134"/>
      <c r="K260" s="135"/>
      <c r="L260" s="136">
        <f t="shared" si="40"/>
        <v>0</v>
      </c>
      <c r="M260" s="284"/>
      <c r="N260" s="285"/>
      <c r="O260" s="136">
        <f t="shared" si="41"/>
        <v>0</v>
      </c>
      <c r="P260" s="85"/>
      <c r="R260" s="53"/>
    </row>
    <row r="261" spans="1:18" ht="24" hidden="1" x14ac:dyDescent="0.25">
      <c r="A261" s="99">
        <v>6400</v>
      </c>
      <c r="B261" s="247" t="s">
        <v>277</v>
      </c>
      <c r="C261" s="249">
        <f t="shared" si="51"/>
        <v>0</v>
      </c>
      <c r="D261" s="360">
        <f>SUM(D262,D266)</f>
        <v>0</v>
      </c>
      <c r="E261" s="304">
        <f>SUM(E262,E266)</f>
        <v>0</v>
      </c>
      <c r="F261" s="305">
        <f t="shared" si="38"/>
        <v>0</v>
      </c>
      <c r="G261" s="112">
        <f>SUM(G262,G266)</f>
        <v>0</v>
      </c>
      <c r="H261" s="113">
        <f t="shared" ref="H261" si="52">SUM(H262,H266)</f>
        <v>0</v>
      </c>
      <c r="I261" s="114">
        <f t="shared" si="39"/>
        <v>0</v>
      </c>
      <c r="J261" s="112">
        <f>SUM(J262,J266)</f>
        <v>0</v>
      </c>
      <c r="K261" s="113">
        <f t="shared" ref="K261" si="53">SUM(K262,K266)</f>
        <v>0</v>
      </c>
      <c r="L261" s="114">
        <f t="shared" si="40"/>
        <v>0</v>
      </c>
      <c r="M261" s="303">
        <f t="shared" ref="M261:N261" si="54">SUM(M262,M266)</f>
        <v>0</v>
      </c>
      <c r="N261" s="304">
        <f t="shared" si="54"/>
        <v>0</v>
      </c>
      <c r="O261" s="305">
        <f t="shared" si="41"/>
        <v>0</v>
      </c>
      <c r="P261" s="306"/>
      <c r="R261" s="53"/>
    </row>
    <row r="262" spans="1:18" ht="24" hidden="1" x14ac:dyDescent="0.25">
      <c r="A262" s="609">
        <v>6410</v>
      </c>
      <c r="B262" s="116" t="s">
        <v>278</v>
      </c>
      <c r="C262" s="296">
        <f t="shared" si="51"/>
        <v>0</v>
      </c>
      <c r="D262" s="297">
        <f>SUM(D263:D265)</f>
        <v>0</v>
      </c>
      <c r="E262" s="301">
        <f>SUM(E263:E265)</f>
        <v>0</v>
      </c>
      <c r="F262" s="125">
        <f t="shared" si="38"/>
        <v>0</v>
      </c>
      <c r="G262" s="297">
        <f>SUM(G263:G265)</f>
        <v>0</v>
      </c>
      <c r="H262" s="299">
        <f t="shared" ref="H262" si="55">SUM(H263:H265)</f>
        <v>0</v>
      </c>
      <c r="I262" s="125">
        <f t="shared" si="39"/>
        <v>0</v>
      </c>
      <c r="J262" s="297">
        <f>SUM(J263:J265)</f>
        <v>0</v>
      </c>
      <c r="K262" s="299">
        <f t="shared" ref="K262" si="56">SUM(K263:K265)</f>
        <v>0</v>
      </c>
      <c r="L262" s="125">
        <f t="shared" si="40"/>
        <v>0</v>
      </c>
      <c r="M262" s="317">
        <f t="shared" ref="M262:N262" si="57">SUM(M263:M265)</f>
        <v>0</v>
      </c>
      <c r="N262" s="318">
        <f t="shared" si="57"/>
        <v>0</v>
      </c>
      <c r="O262" s="151">
        <f t="shared" si="41"/>
        <v>0</v>
      </c>
      <c r="P262" s="153"/>
      <c r="R262" s="53"/>
    </row>
    <row r="263" spans="1:18" hidden="1" x14ac:dyDescent="0.25">
      <c r="A263" s="76">
        <v>6411</v>
      </c>
      <c r="B263" s="346" t="s">
        <v>279</v>
      </c>
      <c r="C263" s="279">
        <f t="shared" si="51"/>
        <v>0</v>
      </c>
      <c r="D263" s="134">
        <v>0</v>
      </c>
      <c r="E263" s="285"/>
      <c r="F263" s="136">
        <f t="shared" si="38"/>
        <v>0</v>
      </c>
      <c r="G263" s="134">
        <v>0</v>
      </c>
      <c r="H263" s="135"/>
      <c r="I263" s="136">
        <f t="shared" si="39"/>
        <v>0</v>
      </c>
      <c r="J263" s="134"/>
      <c r="K263" s="135"/>
      <c r="L263" s="136">
        <f t="shared" si="40"/>
        <v>0</v>
      </c>
      <c r="M263" s="284"/>
      <c r="N263" s="285"/>
      <c r="O263" s="136">
        <f t="shared" si="41"/>
        <v>0</v>
      </c>
      <c r="P263" s="85"/>
      <c r="R263" s="53"/>
    </row>
    <row r="264" spans="1:18" ht="36" hidden="1" x14ac:dyDescent="0.25">
      <c r="A264" s="76">
        <v>6412</v>
      </c>
      <c r="B264" s="127" t="s">
        <v>280</v>
      </c>
      <c r="C264" s="279">
        <f t="shared" si="51"/>
        <v>0</v>
      </c>
      <c r="D264" s="134">
        <v>0</v>
      </c>
      <c r="E264" s="285"/>
      <c r="F264" s="136">
        <f t="shared" si="38"/>
        <v>0</v>
      </c>
      <c r="G264" s="134">
        <v>0</v>
      </c>
      <c r="H264" s="135"/>
      <c r="I264" s="136">
        <f t="shared" si="39"/>
        <v>0</v>
      </c>
      <c r="J264" s="134"/>
      <c r="K264" s="135"/>
      <c r="L264" s="136">
        <f t="shared" si="40"/>
        <v>0</v>
      </c>
      <c r="M264" s="284"/>
      <c r="N264" s="285"/>
      <c r="O264" s="136">
        <f t="shared" si="41"/>
        <v>0</v>
      </c>
      <c r="P264" s="85"/>
      <c r="R264" s="53"/>
    </row>
    <row r="265" spans="1:18" ht="36" hidden="1" x14ac:dyDescent="0.25">
      <c r="A265" s="76">
        <v>6419</v>
      </c>
      <c r="B265" s="127" t="s">
        <v>281</v>
      </c>
      <c r="C265" s="279">
        <f t="shared" si="51"/>
        <v>0</v>
      </c>
      <c r="D265" s="134">
        <v>0</v>
      </c>
      <c r="E265" s="285"/>
      <c r="F265" s="136">
        <f t="shared" si="38"/>
        <v>0</v>
      </c>
      <c r="G265" s="134">
        <v>0</v>
      </c>
      <c r="H265" s="135"/>
      <c r="I265" s="136">
        <f t="shared" si="39"/>
        <v>0</v>
      </c>
      <c r="J265" s="134"/>
      <c r="K265" s="135"/>
      <c r="L265" s="136">
        <f t="shared" si="40"/>
        <v>0</v>
      </c>
      <c r="M265" s="284"/>
      <c r="N265" s="285"/>
      <c r="O265" s="136">
        <f t="shared" si="41"/>
        <v>0</v>
      </c>
      <c r="P265" s="85"/>
      <c r="R265" s="53"/>
    </row>
    <row r="266" spans="1:18" ht="36" hidden="1" x14ac:dyDescent="0.25">
      <c r="A266" s="276">
        <v>6420</v>
      </c>
      <c r="B266" s="127" t="s">
        <v>282</v>
      </c>
      <c r="C266" s="279">
        <f t="shared" si="51"/>
        <v>0</v>
      </c>
      <c r="D266" s="277">
        <f>SUM(D267:D270)</f>
        <v>0</v>
      </c>
      <c r="E266" s="282">
        <f>SUM(E267:E270)</f>
        <v>0</v>
      </c>
      <c r="F266" s="136">
        <f t="shared" si="38"/>
        <v>0</v>
      </c>
      <c r="G266" s="277">
        <f>SUM(G267:G270)</f>
        <v>0</v>
      </c>
      <c r="H266" s="280">
        <f>SUM(H267:H270)</f>
        <v>0</v>
      </c>
      <c r="I266" s="136">
        <f t="shared" si="39"/>
        <v>0</v>
      </c>
      <c r="J266" s="277">
        <f>SUM(J267:J270)</f>
        <v>0</v>
      </c>
      <c r="K266" s="280">
        <f>SUM(K267:K270)</f>
        <v>0</v>
      </c>
      <c r="L266" s="136">
        <f t="shared" si="40"/>
        <v>0</v>
      </c>
      <c r="M266" s="281">
        <f>SUM(M267:M270)</f>
        <v>0</v>
      </c>
      <c r="N266" s="282">
        <f>SUM(N267:N270)</f>
        <v>0</v>
      </c>
      <c r="O266" s="136">
        <f t="shared" si="41"/>
        <v>0</v>
      </c>
      <c r="P266" s="85"/>
      <c r="R266" s="53"/>
    </row>
    <row r="267" spans="1:18" hidden="1" x14ac:dyDescent="0.25">
      <c r="A267" s="76">
        <v>6421</v>
      </c>
      <c r="B267" s="127" t="s">
        <v>283</v>
      </c>
      <c r="C267" s="279">
        <f t="shared" si="51"/>
        <v>0</v>
      </c>
      <c r="D267" s="134">
        <v>0</v>
      </c>
      <c r="E267" s="285"/>
      <c r="F267" s="136">
        <f t="shared" si="38"/>
        <v>0</v>
      </c>
      <c r="G267" s="134">
        <v>0</v>
      </c>
      <c r="H267" s="135"/>
      <c r="I267" s="136">
        <f t="shared" si="39"/>
        <v>0</v>
      </c>
      <c r="J267" s="134"/>
      <c r="K267" s="135"/>
      <c r="L267" s="136">
        <f t="shared" si="40"/>
        <v>0</v>
      </c>
      <c r="M267" s="284"/>
      <c r="N267" s="285"/>
      <c r="O267" s="136">
        <f t="shared" si="41"/>
        <v>0</v>
      </c>
      <c r="P267" s="85"/>
      <c r="R267" s="53"/>
    </row>
    <row r="268" spans="1:18" hidden="1" x14ac:dyDescent="0.25">
      <c r="A268" s="76">
        <v>6422</v>
      </c>
      <c r="B268" s="127" t="s">
        <v>284</v>
      </c>
      <c r="C268" s="279">
        <f t="shared" si="51"/>
        <v>0</v>
      </c>
      <c r="D268" s="134">
        <v>0</v>
      </c>
      <c r="E268" s="285"/>
      <c r="F268" s="136">
        <f t="shared" si="38"/>
        <v>0</v>
      </c>
      <c r="G268" s="134">
        <v>0</v>
      </c>
      <c r="H268" s="135"/>
      <c r="I268" s="136">
        <f t="shared" si="39"/>
        <v>0</v>
      </c>
      <c r="J268" s="134"/>
      <c r="K268" s="135"/>
      <c r="L268" s="136">
        <f t="shared" si="40"/>
        <v>0</v>
      </c>
      <c r="M268" s="284"/>
      <c r="N268" s="285"/>
      <c r="O268" s="136">
        <f t="shared" si="41"/>
        <v>0</v>
      </c>
      <c r="P268" s="85"/>
      <c r="R268" s="53"/>
    </row>
    <row r="269" spans="1:18" hidden="1" x14ac:dyDescent="0.25">
      <c r="A269" s="76">
        <v>6423</v>
      </c>
      <c r="B269" s="127" t="s">
        <v>285</v>
      </c>
      <c r="C269" s="279">
        <f t="shared" si="51"/>
        <v>0</v>
      </c>
      <c r="D269" s="134">
        <v>0</v>
      </c>
      <c r="E269" s="285"/>
      <c r="F269" s="136">
        <f t="shared" si="38"/>
        <v>0</v>
      </c>
      <c r="G269" s="134">
        <v>0</v>
      </c>
      <c r="H269" s="135"/>
      <c r="I269" s="136">
        <f t="shared" si="39"/>
        <v>0</v>
      </c>
      <c r="J269" s="134"/>
      <c r="K269" s="135"/>
      <c r="L269" s="136">
        <f t="shared" si="40"/>
        <v>0</v>
      </c>
      <c r="M269" s="284"/>
      <c r="N269" s="285"/>
      <c r="O269" s="136">
        <f t="shared" si="41"/>
        <v>0</v>
      </c>
      <c r="P269" s="85"/>
      <c r="R269" s="53"/>
    </row>
    <row r="270" spans="1:18" ht="24" hidden="1" x14ac:dyDescent="0.25">
      <c r="A270" s="76">
        <v>6424</v>
      </c>
      <c r="B270" s="127" t="s">
        <v>286</v>
      </c>
      <c r="C270" s="279">
        <f t="shared" si="51"/>
        <v>0</v>
      </c>
      <c r="D270" s="134">
        <v>0</v>
      </c>
      <c r="E270" s="285"/>
      <c r="F270" s="136">
        <f t="shared" si="38"/>
        <v>0</v>
      </c>
      <c r="G270" s="134">
        <v>0</v>
      </c>
      <c r="H270" s="135"/>
      <c r="I270" s="136">
        <f t="shared" si="39"/>
        <v>0</v>
      </c>
      <c r="J270" s="134"/>
      <c r="K270" s="135"/>
      <c r="L270" s="136">
        <f t="shared" si="40"/>
        <v>0</v>
      </c>
      <c r="M270" s="284"/>
      <c r="N270" s="285"/>
      <c r="O270" s="136">
        <f t="shared" si="41"/>
        <v>0</v>
      </c>
      <c r="P270" s="85"/>
      <c r="R270" s="53"/>
    </row>
    <row r="271" spans="1:18" ht="36" hidden="1" x14ac:dyDescent="0.25">
      <c r="A271" s="347">
        <v>7000</v>
      </c>
      <c r="B271" s="347" t="s">
        <v>287</v>
      </c>
      <c r="C271" s="351">
        <f t="shared" si="51"/>
        <v>0</v>
      </c>
      <c r="D271" s="349">
        <f>SUM(D272,D282)</f>
        <v>0</v>
      </c>
      <c r="E271" s="407">
        <f>SUM(E272,E282)</f>
        <v>0</v>
      </c>
      <c r="F271" s="353">
        <f t="shared" si="38"/>
        <v>0</v>
      </c>
      <c r="G271" s="349">
        <f>SUM(G272,G282)</f>
        <v>0</v>
      </c>
      <c r="H271" s="352">
        <f>SUM(H272,H282)</f>
        <v>0</v>
      </c>
      <c r="I271" s="353">
        <f t="shared" si="39"/>
        <v>0</v>
      </c>
      <c r="J271" s="349">
        <f>SUM(J272,J282)</f>
        <v>0</v>
      </c>
      <c r="K271" s="352">
        <f>SUM(K272,K282)</f>
        <v>0</v>
      </c>
      <c r="L271" s="353">
        <f t="shared" si="40"/>
        <v>0</v>
      </c>
      <c r="M271" s="354">
        <f>SUM(M272,M282)</f>
        <v>0</v>
      </c>
      <c r="N271" s="355">
        <f>SUM(N272,N282)</f>
        <v>0</v>
      </c>
      <c r="O271" s="356">
        <f t="shared" si="41"/>
        <v>0</v>
      </c>
      <c r="P271" s="357"/>
      <c r="R271" s="53"/>
    </row>
    <row r="272" spans="1:18" hidden="1" x14ac:dyDescent="0.25">
      <c r="A272" s="99">
        <v>7200</v>
      </c>
      <c r="B272" s="247" t="s">
        <v>288</v>
      </c>
      <c r="C272" s="249">
        <f t="shared" si="51"/>
        <v>0</v>
      </c>
      <c r="D272" s="112">
        <f>SUM(D273,D274,D277,D278,D281)</f>
        <v>0</v>
      </c>
      <c r="E272" s="293">
        <f>SUM(E273,E274,E277,E278,E281)</f>
        <v>0</v>
      </c>
      <c r="F272" s="114">
        <f t="shared" si="38"/>
        <v>0</v>
      </c>
      <c r="G272" s="112">
        <f>SUM(G273,G274,G277,G278,G281)</f>
        <v>0</v>
      </c>
      <c r="H272" s="113">
        <f>SUM(H273,H274,H277,H278,H281)</f>
        <v>0</v>
      </c>
      <c r="I272" s="114">
        <f t="shared" si="39"/>
        <v>0</v>
      </c>
      <c r="J272" s="112">
        <f>SUM(J273,J274,J277,J278,J281)</f>
        <v>0</v>
      </c>
      <c r="K272" s="113">
        <f>SUM(K273,K274,K277,K278,K281)</f>
        <v>0</v>
      </c>
      <c r="L272" s="114">
        <f t="shared" si="40"/>
        <v>0</v>
      </c>
      <c r="M272" s="250">
        <f>SUM(M273,M274,M277,M278,M281)</f>
        <v>0</v>
      </c>
      <c r="N272" s="251">
        <f>SUM(N273,N274,N277,N278,N281)</f>
        <v>0</v>
      </c>
      <c r="O272" s="252">
        <f t="shared" si="41"/>
        <v>0</v>
      </c>
      <c r="P272" s="253"/>
      <c r="R272" s="53"/>
    </row>
    <row r="273" spans="1:18" ht="24" hidden="1" x14ac:dyDescent="0.25">
      <c r="A273" s="609">
        <v>7210</v>
      </c>
      <c r="B273" s="116" t="s">
        <v>289</v>
      </c>
      <c r="C273" s="296">
        <f t="shared" si="51"/>
        <v>0</v>
      </c>
      <c r="D273" s="123">
        <v>0</v>
      </c>
      <c r="E273" s="262"/>
      <c r="F273" s="125">
        <f t="shared" si="38"/>
        <v>0</v>
      </c>
      <c r="G273" s="123">
        <v>0</v>
      </c>
      <c r="H273" s="124"/>
      <c r="I273" s="125">
        <f t="shared" si="39"/>
        <v>0</v>
      </c>
      <c r="J273" s="123"/>
      <c r="K273" s="124"/>
      <c r="L273" s="125">
        <f t="shared" si="40"/>
        <v>0</v>
      </c>
      <c r="M273" s="264"/>
      <c r="N273" s="262"/>
      <c r="O273" s="125">
        <f t="shared" si="41"/>
        <v>0</v>
      </c>
      <c r="P273" s="74"/>
      <c r="R273" s="53"/>
    </row>
    <row r="274" spans="1:18" s="358" customFormat="1" ht="24" hidden="1" x14ac:dyDescent="0.25">
      <c r="A274" s="276">
        <v>7220</v>
      </c>
      <c r="B274" s="127" t="s">
        <v>290</v>
      </c>
      <c r="C274" s="279">
        <f t="shared" si="51"/>
        <v>0</v>
      </c>
      <c r="D274" s="277">
        <f>SUM(D275:D276)</f>
        <v>0</v>
      </c>
      <c r="E274" s="282">
        <f>SUM(E275:E276)</f>
        <v>0</v>
      </c>
      <c r="F274" s="136">
        <f t="shared" si="38"/>
        <v>0</v>
      </c>
      <c r="G274" s="277">
        <f>SUM(G275:G276)</f>
        <v>0</v>
      </c>
      <c r="H274" s="280">
        <f>SUM(H275:H276)</f>
        <v>0</v>
      </c>
      <c r="I274" s="136">
        <f t="shared" si="39"/>
        <v>0</v>
      </c>
      <c r="J274" s="277">
        <f>SUM(J275:J276)</f>
        <v>0</v>
      </c>
      <c r="K274" s="280">
        <f>SUM(K275:K276)</f>
        <v>0</v>
      </c>
      <c r="L274" s="136">
        <f t="shared" si="40"/>
        <v>0</v>
      </c>
      <c r="M274" s="281">
        <f>SUM(M275:M276)</f>
        <v>0</v>
      </c>
      <c r="N274" s="282">
        <f>SUM(N275:N276)</f>
        <v>0</v>
      </c>
      <c r="O274" s="136">
        <f t="shared" si="41"/>
        <v>0</v>
      </c>
      <c r="P274" s="85"/>
      <c r="R274" s="53"/>
    </row>
    <row r="275" spans="1:18" s="358" customFormat="1" ht="36" hidden="1" x14ac:dyDescent="0.25">
      <c r="A275" s="76">
        <v>7221</v>
      </c>
      <c r="B275" s="127" t="s">
        <v>291</v>
      </c>
      <c r="C275" s="279">
        <f t="shared" si="51"/>
        <v>0</v>
      </c>
      <c r="D275" s="134">
        <v>0</v>
      </c>
      <c r="E275" s="285"/>
      <c r="F275" s="136">
        <f t="shared" si="38"/>
        <v>0</v>
      </c>
      <c r="G275" s="134">
        <v>0</v>
      </c>
      <c r="H275" s="135"/>
      <c r="I275" s="136">
        <f t="shared" si="39"/>
        <v>0</v>
      </c>
      <c r="J275" s="134"/>
      <c r="K275" s="135"/>
      <c r="L275" s="136">
        <f t="shared" si="40"/>
        <v>0</v>
      </c>
      <c r="M275" s="284"/>
      <c r="N275" s="285"/>
      <c r="O275" s="136">
        <f t="shared" si="41"/>
        <v>0</v>
      </c>
      <c r="P275" s="85"/>
      <c r="R275" s="53"/>
    </row>
    <row r="276" spans="1:18" s="358" customFormat="1" ht="36" hidden="1" x14ac:dyDescent="0.25">
      <c r="A276" s="76">
        <v>7222</v>
      </c>
      <c r="B276" s="127" t="s">
        <v>292</v>
      </c>
      <c r="C276" s="279">
        <f t="shared" si="51"/>
        <v>0</v>
      </c>
      <c r="D276" s="134">
        <v>0</v>
      </c>
      <c r="E276" s="285"/>
      <c r="F276" s="136">
        <f t="shared" si="38"/>
        <v>0</v>
      </c>
      <c r="G276" s="134">
        <v>0</v>
      </c>
      <c r="H276" s="135"/>
      <c r="I276" s="136">
        <f t="shared" si="39"/>
        <v>0</v>
      </c>
      <c r="J276" s="134"/>
      <c r="K276" s="135"/>
      <c r="L276" s="136">
        <f t="shared" si="40"/>
        <v>0</v>
      </c>
      <c r="M276" s="284"/>
      <c r="N276" s="285"/>
      <c r="O276" s="136">
        <f t="shared" si="41"/>
        <v>0</v>
      </c>
      <c r="P276" s="85"/>
      <c r="R276" s="53"/>
    </row>
    <row r="277" spans="1:18" s="358" customFormat="1" ht="24" hidden="1" x14ac:dyDescent="0.25">
      <c r="A277" s="276">
        <v>7230</v>
      </c>
      <c r="B277" s="127" t="s">
        <v>293</v>
      </c>
      <c r="C277" s="279">
        <f t="shared" si="51"/>
        <v>0</v>
      </c>
      <c r="D277" s="134">
        <v>0</v>
      </c>
      <c r="E277" s="285"/>
      <c r="F277" s="136">
        <f t="shared" si="38"/>
        <v>0</v>
      </c>
      <c r="G277" s="134">
        <v>0</v>
      </c>
      <c r="H277" s="135"/>
      <c r="I277" s="136">
        <f t="shared" si="39"/>
        <v>0</v>
      </c>
      <c r="J277" s="134"/>
      <c r="K277" s="135"/>
      <c r="L277" s="136">
        <f t="shared" si="40"/>
        <v>0</v>
      </c>
      <c r="M277" s="284"/>
      <c r="N277" s="285"/>
      <c r="O277" s="136">
        <f>M277+N277</f>
        <v>0</v>
      </c>
      <c r="P277" s="85"/>
      <c r="R277" s="53"/>
    </row>
    <row r="278" spans="1:18" ht="24" hidden="1" x14ac:dyDescent="0.25">
      <c r="A278" s="276">
        <v>7240</v>
      </c>
      <c r="B278" s="127" t="s">
        <v>294</v>
      </c>
      <c r="C278" s="279">
        <f t="shared" si="51"/>
        <v>0</v>
      </c>
      <c r="D278" s="277">
        <f>SUM(D279:D280)</f>
        <v>0</v>
      </c>
      <c r="E278" s="282">
        <f>SUM(E279:E280)</f>
        <v>0</v>
      </c>
      <c r="F278" s="136">
        <f t="shared" si="38"/>
        <v>0</v>
      </c>
      <c r="G278" s="277">
        <f>SUM(G279:G280)</f>
        <v>0</v>
      </c>
      <c r="H278" s="280">
        <f>SUM(H279:H280)</f>
        <v>0</v>
      </c>
      <c r="I278" s="136">
        <f t="shared" si="39"/>
        <v>0</v>
      </c>
      <c r="J278" s="277">
        <f>SUM(J279:J280)</f>
        <v>0</v>
      </c>
      <c r="K278" s="280">
        <f>SUM(K279:K280)</f>
        <v>0</v>
      </c>
      <c r="L278" s="136">
        <f t="shared" si="40"/>
        <v>0</v>
      </c>
      <c r="M278" s="281">
        <f>SUM(M279:M280)</f>
        <v>0</v>
      </c>
      <c r="N278" s="282">
        <f>SUM(N279:N280)</f>
        <v>0</v>
      </c>
      <c r="O278" s="136">
        <f>SUM(O279:O280)</f>
        <v>0</v>
      </c>
      <c r="P278" s="85"/>
      <c r="R278" s="53"/>
    </row>
    <row r="279" spans="1:18" ht="48" hidden="1" x14ac:dyDescent="0.25">
      <c r="A279" s="76">
        <v>7245</v>
      </c>
      <c r="B279" s="127" t="s">
        <v>295</v>
      </c>
      <c r="C279" s="279">
        <f t="shared" si="51"/>
        <v>0</v>
      </c>
      <c r="D279" s="134">
        <v>0</v>
      </c>
      <c r="E279" s="285"/>
      <c r="F279" s="136">
        <f t="shared" si="38"/>
        <v>0</v>
      </c>
      <c r="G279" s="134">
        <v>0</v>
      </c>
      <c r="H279" s="135"/>
      <c r="I279" s="136">
        <f t="shared" si="39"/>
        <v>0</v>
      </c>
      <c r="J279" s="134"/>
      <c r="K279" s="135"/>
      <c r="L279" s="136">
        <f t="shared" si="40"/>
        <v>0</v>
      </c>
      <c r="M279" s="284"/>
      <c r="N279" s="285"/>
      <c r="O279" s="136">
        <f t="shared" ref="O279:O282" si="58">M279+N279</f>
        <v>0</v>
      </c>
      <c r="P279" s="85"/>
      <c r="R279" s="53"/>
    </row>
    <row r="280" spans="1:18" ht="72" hidden="1" x14ac:dyDescent="0.25">
      <c r="A280" s="76">
        <v>7246</v>
      </c>
      <c r="B280" s="127" t="s">
        <v>296</v>
      </c>
      <c r="C280" s="279">
        <f t="shared" si="51"/>
        <v>0</v>
      </c>
      <c r="D280" s="134">
        <v>0</v>
      </c>
      <c r="E280" s="285"/>
      <c r="F280" s="136">
        <f t="shared" si="38"/>
        <v>0</v>
      </c>
      <c r="G280" s="134">
        <v>0</v>
      </c>
      <c r="H280" s="135"/>
      <c r="I280" s="136">
        <f t="shared" si="39"/>
        <v>0</v>
      </c>
      <c r="J280" s="134"/>
      <c r="K280" s="135"/>
      <c r="L280" s="136">
        <f t="shared" si="40"/>
        <v>0</v>
      </c>
      <c r="M280" s="284"/>
      <c r="N280" s="285"/>
      <c r="O280" s="136">
        <f t="shared" si="58"/>
        <v>0</v>
      </c>
      <c r="P280" s="85"/>
      <c r="R280" s="53"/>
    </row>
    <row r="281" spans="1:18" ht="24" hidden="1" x14ac:dyDescent="0.25">
      <c r="A281" s="276">
        <v>7260</v>
      </c>
      <c r="B281" s="127" t="s">
        <v>297</v>
      </c>
      <c r="C281" s="279">
        <f t="shared" si="51"/>
        <v>0</v>
      </c>
      <c r="D281" s="123">
        <v>0</v>
      </c>
      <c r="E281" s="262"/>
      <c r="F281" s="125">
        <f t="shared" si="38"/>
        <v>0</v>
      </c>
      <c r="G281" s="123">
        <v>0</v>
      </c>
      <c r="H281" s="124"/>
      <c r="I281" s="125">
        <f t="shared" si="39"/>
        <v>0</v>
      </c>
      <c r="J281" s="123"/>
      <c r="K281" s="124"/>
      <c r="L281" s="125">
        <f t="shared" si="40"/>
        <v>0</v>
      </c>
      <c r="M281" s="264"/>
      <c r="N281" s="262"/>
      <c r="O281" s="125">
        <f t="shared" si="58"/>
        <v>0</v>
      </c>
      <c r="P281" s="74"/>
      <c r="R281" s="53"/>
    </row>
    <row r="282" spans="1:18" hidden="1" x14ac:dyDescent="0.25">
      <c r="A282" s="99">
        <v>7700</v>
      </c>
      <c r="B282" s="247" t="s">
        <v>298</v>
      </c>
      <c r="C282" s="302">
        <f t="shared" si="51"/>
        <v>0</v>
      </c>
      <c r="D282" s="360">
        <f>D283</f>
        <v>0</v>
      </c>
      <c r="E282" s="304">
        <f>SUM(E283)</f>
        <v>0</v>
      </c>
      <c r="F282" s="305">
        <f t="shared" si="38"/>
        <v>0</v>
      </c>
      <c r="G282" s="360">
        <f>G283</f>
        <v>0</v>
      </c>
      <c r="H282" s="361">
        <f>SUM(H283)</f>
        <v>0</v>
      </c>
      <c r="I282" s="305">
        <f t="shared" si="39"/>
        <v>0</v>
      </c>
      <c r="J282" s="360">
        <f>J283</f>
        <v>0</v>
      </c>
      <c r="K282" s="361">
        <f>SUM(K283)</f>
        <v>0</v>
      </c>
      <c r="L282" s="305">
        <f t="shared" si="40"/>
        <v>0</v>
      </c>
      <c r="M282" s="303">
        <f>SUM(M283)</f>
        <v>0</v>
      </c>
      <c r="N282" s="304">
        <f>SUM(N283)</f>
        <v>0</v>
      </c>
      <c r="O282" s="305">
        <f t="shared" si="58"/>
        <v>0</v>
      </c>
      <c r="P282" s="306"/>
      <c r="R282" s="53"/>
    </row>
    <row r="283" spans="1:18" hidden="1" x14ac:dyDescent="0.25">
      <c r="A283" s="141">
        <v>7720</v>
      </c>
      <c r="B283" s="142" t="s">
        <v>299</v>
      </c>
      <c r="C283" s="362">
        <f t="shared" si="51"/>
        <v>0</v>
      </c>
      <c r="D283" s="149">
        <v>0</v>
      </c>
      <c r="E283" s="363"/>
      <c r="F283" s="151">
        <f t="shared" si="38"/>
        <v>0</v>
      </c>
      <c r="G283" s="149">
        <v>0</v>
      </c>
      <c r="H283" s="150"/>
      <c r="I283" s="151">
        <f t="shared" si="39"/>
        <v>0</v>
      </c>
      <c r="J283" s="149"/>
      <c r="K283" s="150"/>
      <c r="L283" s="151">
        <f t="shared" si="40"/>
        <v>0</v>
      </c>
      <c r="M283" s="365"/>
      <c r="N283" s="363"/>
      <c r="O283" s="151">
        <f>M283+N283</f>
        <v>0</v>
      </c>
      <c r="P283" s="153"/>
      <c r="R283" s="53"/>
    </row>
    <row r="284" spans="1:18" hidden="1" x14ac:dyDescent="0.25">
      <c r="A284" s="366"/>
      <c r="B284" s="179" t="s">
        <v>300</v>
      </c>
      <c r="C284" s="296">
        <f t="shared" si="51"/>
        <v>0</v>
      </c>
      <c r="D284" s="255">
        <f>SUM(D285:D286)</f>
        <v>0</v>
      </c>
      <c r="E284" s="261">
        <f>SUM(E285:E286)</f>
        <v>0</v>
      </c>
      <c r="F284" s="259">
        <f t="shared" si="38"/>
        <v>0</v>
      </c>
      <c r="G284" s="255">
        <f>SUM(G285:G286)</f>
        <v>0</v>
      </c>
      <c r="H284" s="258">
        <f>SUM(H285:H286)</f>
        <v>0</v>
      </c>
      <c r="I284" s="259">
        <f t="shared" si="39"/>
        <v>0</v>
      </c>
      <c r="J284" s="255">
        <f>SUM(J285:J286)</f>
        <v>0</v>
      </c>
      <c r="K284" s="258">
        <f>SUM(K285:K286)</f>
        <v>0</v>
      </c>
      <c r="L284" s="259">
        <f t="shared" si="40"/>
        <v>0</v>
      </c>
      <c r="M284" s="260">
        <f>SUM(M285:M286)</f>
        <v>0</v>
      </c>
      <c r="N284" s="261">
        <f>SUM(N285:N286)</f>
        <v>0</v>
      </c>
      <c r="O284" s="259">
        <f t="shared" ref="O284:O299" si="59">M284+N284</f>
        <v>0</v>
      </c>
      <c r="P284" s="189"/>
      <c r="R284" s="53"/>
    </row>
    <row r="285" spans="1:18" hidden="1" x14ac:dyDescent="0.25">
      <c r="A285" s="346" t="s">
        <v>301</v>
      </c>
      <c r="B285" s="76" t="s">
        <v>302</v>
      </c>
      <c r="C285" s="279">
        <f t="shared" si="51"/>
        <v>0</v>
      </c>
      <c r="D285" s="134"/>
      <c r="E285" s="285"/>
      <c r="F285" s="136">
        <f t="shared" si="38"/>
        <v>0</v>
      </c>
      <c r="G285" s="134"/>
      <c r="H285" s="135"/>
      <c r="I285" s="136">
        <f t="shared" si="39"/>
        <v>0</v>
      </c>
      <c r="J285" s="134"/>
      <c r="K285" s="135"/>
      <c r="L285" s="136">
        <f t="shared" si="40"/>
        <v>0</v>
      </c>
      <c r="M285" s="284"/>
      <c r="N285" s="285"/>
      <c r="O285" s="136">
        <f t="shared" si="59"/>
        <v>0</v>
      </c>
      <c r="P285" s="85"/>
      <c r="R285" s="53"/>
    </row>
    <row r="286" spans="1:18" hidden="1" x14ac:dyDescent="0.25">
      <c r="A286" s="346" t="s">
        <v>303</v>
      </c>
      <c r="B286" s="367" t="s">
        <v>304</v>
      </c>
      <c r="C286" s="296">
        <f t="shared" si="51"/>
        <v>0</v>
      </c>
      <c r="D286" s="123"/>
      <c r="E286" s="262"/>
      <c r="F286" s="125">
        <f t="shared" si="38"/>
        <v>0</v>
      </c>
      <c r="G286" s="123"/>
      <c r="H286" s="124"/>
      <c r="I286" s="125">
        <f t="shared" si="39"/>
        <v>0</v>
      </c>
      <c r="J286" s="123"/>
      <c r="K286" s="124"/>
      <c r="L286" s="125">
        <f t="shared" si="40"/>
        <v>0</v>
      </c>
      <c r="M286" s="264"/>
      <c r="N286" s="262"/>
      <c r="O286" s="125">
        <f t="shared" si="59"/>
        <v>0</v>
      </c>
      <c r="P286" s="74"/>
      <c r="R286" s="53"/>
    </row>
    <row r="287" spans="1:18" x14ac:dyDescent="0.25">
      <c r="A287" s="368"/>
      <c r="B287" s="368" t="s">
        <v>305</v>
      </c>
      <c r="C287" s="648">
        <f>SUM(C284,C271,C233,C198,C190,C176,C78,C56)</f>
        <v>777986</v>
      </c>
      <c r="D287" s="334">
        <f t="shared" ref="D287" si="60">SUM(D284,D271,D233,D198,D190,D176,D78,D56)</f>
        <v>778905</v>
      </c>
      <c r="E287" s="251">
        <f>SUM(E284,E271,E233,E198,E190,E176,E78,E56)</f>
        <v>-919</v>
      </c>
      <c r="F287" s="252">
        <f t="shared" si="38"/>
        <v>777986</v>
      </c>
      <c r="G287" s="334">
        <f t="shared" ref="G287" si="61">SUM(G284,G271,G233,G198,G190,G176,G78,G56)</f>
        <v>0</v>
      </c>
      <c r="H287" s="336">
        <f>SUM(H284,H271,H233,H198,H190,H176,H78,H56)</f>
        <v>0</v>
      </c>
      <c r="I287" s="252">
        <f t="shared" si="39"/>
        <v>0</v>
      </c>
      <c r="J287" s="334">
        <f>SUM(J284,J271,J233,J198,J190,J176,J78,J56)</f>
        <v>0</v>
      </c>
      <c r="K287" s="336">
        <f>SUM(K284,K271,K233,K198,K190,K176,K78,K56)</f>
        <v>0</v>
      </c>
      <c r="L287" s="252">
        <f t="shared" si="40"/>
        <v>0</v>
      </c>
      <c r="M287" s="250">
        <f>SUM(M284,M271,M233,M198,M190,M176,M78,M56)</f>
        <v>0</v>
      </c>
      <c r="N287" s="251">
        <f>SUM(N284,N271,N233,N198,N190,N176,N78,N56)</f>
        <v>0</v>
      </c>
      <c r="O287" s="252">
        <f t="shared" si="59"/>
        <v>0</v>
      </c>
      <c r="P287" s="253"/>
      <c r="R287" s="53"/>
    </row>
    <row r="288" spans="1:18" hidden="1" x14ac:dyDescent="0.25">
      <c r="A288" s="376" t="s">
        <v>306</v>
      </c>
      <c r="B288" s="377"/>
      <c r="C288" s="381">
        <f t="shared" ref="C288" si="62">F288+I288+L288+O288</f>
        <v>0</v>
      </c>
      <c r="D288" s="379">
        <f>SUM(D28,D29,D45)-D54</f>
        <v>0</v>
      </c>
      <c r="E288" s="384">
        <f>SUM(E28,E29,E45)-E54</f>
        <v>0</v>
      </c>
      <c r="F288" s="383">
        <f t="shared" si="38"/>
        <v>0</v>
      </c>
      <c r="G288" s="379">
        <f>SUM(G28,G29,G45)-G54</f>
        <v>0</v>
      </c>
      <c r="H288" s="382">
        <f>SUM(H28,H29,H45)-H54</f>
        <v>0</v>
      </c>
      <c r="I288" s="383">
        <f t="shared" si="39"/>
        <v>0</v>
      </c>
      <c r="J288" s="379">
        <f>(J30+J46)-J54</f>
        <v>0</v>
      </c>
      <c r="K288" s="382">
        <f>(K30+K46)-K54</f>
        <v>0</v>
      </c>
      <c r="L288" s="383">
        <f t="shared" si="40"/>
        <v>0</v>
      </c>
      <c r="M288" s="378">
        <f>M48-M54</f>
        <v>0</v>
      </c>
      <c r="N288" s="384">
        <f>N48-N54</f>
        <v>0</v>
      </c>
      <c r="O288" s="383">
        <f t="shared" si="59"/>
        <v>0</v>
      </c>
      <c r="P288" s="385"/>
      <c r="R288" s="53"/>
    </row>
    <row r="289" spans="1:18" s="41" customFormat="1" hidden="1" x14ac:dyDescent="0.25">
      <c r="A289" s="376" t="s">
        <v>307</v>
      </c>
      <c r="B289" s="377"/>
      <c r="C289" s="381">
        <f>SUM(C290,C291)-C298+C299</f>
        <v>0</v>
      </c>
      <c r="D289" s="379">
        <f t="shared" ref="D289" si="63">SUM(D290,D291)-D298+D299</f>
        <v>0</v>
      </c>
      <c r="E289" s="384">
        <f>SUM(E290,E291)-E298+E299</f>
        <v>0</v>
      </c>
      <c r="F289" s="383">
        <f t="shared" si="38"/>
        <v>0</v>
      </c>
      <c r="G289" s="379">
        <f t="shared" ref="G289" si="64">SUM(G290,G291)-G298+G299</f>
        <v>0</v>
      </c>
      <c r="H289" s="382">
        <f>SUM(H290,H291)-H298+H299</f>
        <v>0</v>
      </c>
      <c r="I289" s="383">
        <f t="shared" si="39"/>
        <v>0</v>
      </c>
      <c r="J289" s="379">
        <f>SUM(J290,J291)-J298+J299</f>
        <v>0</v>
      </c>
      <c r="K289" s="382">
        <f>SUM(K290,K291)-K298+K299</f>
        <v>0</v>
      </c>
      <c r="L289" s="383">
        <f t="shared" si="40"/>
        <v>0</v>
      </c>
      <c r="M289" s="378">
        <f>SUM(M290,M291)-M298+M299</f>
        <v>0</v>
      </c>
      <c r="N289" s="384">
        <f>SUM(N290,N291)-N298+N299</f>
        <v>0</v>
      </c>
      <c r="O289" s="383">
        <f t="shared" si="59"/>
        <v>0</v>
      </c>
      <c r="P289" s="385"/>
      <c r="R289" s="53"/>
    </row>
    <row r="290" spans="1:18" s="41" customFormat="1" hidden="1" x14ac:dyDescent="0.25">
      <c r="A290" s="386" t="s">
        <v>308</v>
      </c>
      <c r="B290" s="386" t="s">
        <v>309</v>
      </c>
      <c r="C290" s="381">
        <f>C25-C284</f>
        <v>0</v>
      </c>
      <c r="D290" s="379">
        <f t="shared" ref="D290" si="65">D25-D284</f>
        <v>0</v>
      </c>
      <c r="E290" s="384">
        <f>E25-E284</f>
        <v>0</v>
      </c>
      <c r="F290" s="383">
        <f t="shared" si="38"/>
        <v>0</v>
      </c>
      <c r="G290" s="379">
        <f t="shared" ref="G290" si="66">G25-G284</f>
        <v>0</v>
      </c>
      <c r="H290" s="382">
        <f>H25-H284</f>
        <v>0</v>
      </c>
      <c r="I290" s="383">
        <f t="shared" si="39"/>
        <v>0</v>
      </c>
      <c r="J290" s="379">
        <f>J25-J284</f>
        <v>0</v>
      </c>
      <c r="K290" s="382">
        <f>K25-K284</f>
        <v>0</v>
      </c>
      <c r="L290" s="383">
        <f t="shared" si="40"/>
        <v>0</v>
      </c>
      <c r="M290" s="378">
        <f>M25-M284</f>
        <v>0</v>
      </c>
      <c r="N290" s="384">
        <f>N25-N284</f>
        <v>0</v>
      </c>
      <c r="O290" s="383">
        <f t="shared" si="59"/>
        <v>0</v>
      </c>
      <c r="P290" s="385"/>
      <c r="R290" s="53"/>
    </row>
    <row r="291" spans="1:18" s="41" customFormat="1" hidden="1" x14ac:dyDescent="0.25">
      <c r="A291" s="387" t="s">
        <v>310</v>
      </c>
      <c r="B291" s="387" t="s">
        <v>311</v>
      </c>
      <c r="C291" s="381">
        <f>SUM(C292,C294,C296)-SUM(C293,C295,C297)</f>
        <v>0</v>
      </c>
      <c r="D291" s="379">
        <f t="shared" ref="D291:E291" si="67">SUM(D292,D294,D296)-SUM(D293,D295,D297)</f>
        <v>0</v>
      </c>
      <c r="E291" s="384">
        <f t="shared" si="67"/>
        <v>0</v>
      </c>
      <c r="F291" s="383">
        <f t="shared" si="38"/>
        <v>0</v>
      </c>
      <c r="G291" s="379">
        <f t="shared" ref="G291:H291" si="68">SUM(G292,G294,G296)-SUM(G293,G295,G297)</f>
        <v>0</v>
      </c>
      <c r="H291" s="382">
        <f t="shared" si="68"/>
        <v>0</v>
      </c>
      <c r="I291" s="383">
        <f t="shared" si="39"/>
        <v>0</v>
      </c>
      <c r="J291" s="379">
        <f t="shared" ref="J291:K291" si="69">SUM(J292,J294,J296)-SUM(J293,J295,J297)</f>
        <v>0</v>
      </c>
      <c r="K291" s="382">
        <f t="shared" si="69"/>
        <v>0</v>
      </c>
      <c r="L291" s="383">
        <f t="shared" si="40"/>
        <v>0</v>
      </c>
      <c r="M291" s="378">
        <f t="shared" ref="M291:N291" si="70">SUM(M292,M294,M296)-SUM(M293,M295,M297)</f>
        <v>0</v>
      </c>
      <c r="N291" s="384">
        <f t="shared" si="70"/>
        <v>0</v>
      </c>
      <c r="O291" s="383">
        <f t="shared" si="59"/>
        <v>0</v>
      </c>
      <c r="P291" s="385"/>
      <c r="R291" s="53"/>
    </row>
    <row r="292" spans="1:18" s="41" customFormat="1" hidden="1" x14ac:dyDescent="0.25">
      <c r="A292" s="366" t="s">
        <v>312</v>
      </c>
      <c r="B292" s="190" t="s">
        <v>313</v>
      </c>
      <c r="C292" s="362">
        <f t="shared" ref="C292:C299" si="71">F292+I292+L292+O292</f>
        <v>0</v>
      </c>
      <c r="D292" s="149"/>
      <c r="E292" s="363"/>
      <c r="F292" s="151">
        <f t="shared" si="38"/>
        <v>0</v>
      </c>
      <c r="G292" s="149"/>
      <c r="H292" s="150"/>
      <c r="I292" s="151">
        <f t="shared" si="39"/>
        <v>0</v>
      </c>
      <c r="J292" s="149"/>
      <c r="K292" s="150"/>
      <c r="L292" s="151">
        <f t="shared" si="40"/>
        <v>0</v>
      </c>
      <c r="M292" s="365"/>
      <c r="N292" s="363"/>
      <c r="O292" s="151">
        <f t="shared" si="59"/>
        <v>0</v>
      </c>
      <c r="P292" s="153"/>
      <c r="R292" s="53"/>
    </row>
    <row r="293" spans="1:18" hidden="1" x14ac:dyDescent="0.25">
      <c r="A293" s="346" t="s">
        <v>314</v>
      </c>
      <c r="B293" s="75" t="s">
        <v>315</v>
      </c>
      <c r="C293" s="279">
        <f t="shared" si="71"/>
        <v>0</v>
      </c>
      <c r="D293" s="134"/>
      <c r="E293" s="285"/>
      <c r="F293" s="136">
        <f t="shared" si="38"/>
        <v>0</v>
      </c>
      <c r="G293" s="134"/>
      <c r="H293" s="135"/>
      <c r="I293" s="136">
        <f t="shared" si="39"/>
        <v>0</v>
      </c>
      <c r="J293" s="134"/>
      <c r="K293" s="135"/>
      <c r="L293" s="136">
        <f t="shared" si="40"/>
        <v>0</v>
      </c>
      <c r="M293" s="284"/>
      <c r="N293" s="285"/>
      <c r="O293" s="136">
        <f t="shared" si="59"/>
        <v>0</v>
      </c>
      <c r="P293" s="85"/>
      <c r="R293" s="53"/>
    </row>
    <row r="294" spans="1:18" hidden="1" x14ac:dyDescent="0.25">
      <c r="A294" s="346" t="s">
        <v>316</v>
      </c>
      <c r="B294" s="75" t="s">
        <v>317</v>
      </c>
      <c r="C294" s="279">
        <f t="shared" si="71"/>
        <v>0</v>
      </c>
      <c r="D294" s="134"/>
      <c r="E294" s="285"/>
      <c r="F294" s="136">
        <f t="shared" si="38"/>
        <v>0</v>
      </c>
      <c r="G294" s="134"/>
      <c r="H294" s="135"/>
      <c r="I294" s="136">
        <f t="shared" si="39"/>
        <v>0</v>
      </c>
      <c r="J294" s="134"/>
      <c r="K294" s="135"/>
      <c r="L294" s="136">
        <f t="shared" si="40"/>
        <v>0</v>
      </c>
      <c r="M294" s="284"/>
      <c r="N294" s="285"/>
      <c r="O294" s="136">
        <f t="shared" si="59"/>
        <v>0</v>
      </c>
      <c r="P294" s="85"/>
      <c r="R294" s="53"/>
    </row>
    <row r="295" spans="1:18" hidden="1" x14ac:dyDescent="0.25">
      <c r="A295" s="346" t="s">
        <v>318</v>
      </c>
      <c r="B295" s="75" t="s">
        <v>319</v>
      </c>
      <c r="C295" s="279">
        <f t="shared" si="71"/>
        <v>0</v>
      </c>
      <c r="D295" s="134"/>
      <c r="E295" s="285"/>
      <c r="F295" s="136">
        <f t="shared" si="38"/>
        <v>0</v>
      </c>
      <c r="G295" s="134"/>
      <c r="H295" s="135"/>
      <c r="I295" s="136">
        <f t="shared" si="39"/>
        <v>0</v>
      </c>
      <c r="J295" s="134"/>
      <c r="K295" s="135"/>
      <c r="L295" s="136">
        <f t="shared" si="40"/>
        <v>0</v>
      </c>
      <c r="M295" s="284"/>
      <c r="N295" s="285"/>
      <c r="O295" s="136">
        <f t="shared" si="59"/>
        <v>0</v>
      </c>
      <c r="P295" s="85"/>
      <c r="R295" s="53"/>
    </row>
    <row r="296" spans="1:18" hidden="1" x14ac:dyDescent="0.25">
      <c r="A296" s="346" t="s">
        <v>320</v>
      </c>
      <c r="B296" s="75" t="s">
        <v>321</v>
      </c>
      <c r="C296" s="279">
        <f t="shared" si="71"/>
        <v>0</v>
      </c>
      <c r="D296" s="134"/>
      <c r="E296" s="285"/>
      <c r="F296" s="136">
        <f t="shared" si="38"/>
        <v>0</v>
      </c>
      <c r="G296" s="134"/>
      <c r="H296" s="135"/>
      <c r="I296" s="136">
        <f t="shared" si="39"/>
        <v>0</v>
      </c>
      <c r="J296" s="134"/>
      <c r="K296" s="135"/>
      <c r="L296" s="136">
        <f t="shared" si="40"/>
        <v>0</v>
      </c>
      <c r="M296" s="284"/>
      <c r="N296" s="285"/>
      <c r="O296" s="136">
        <f t="shared" si="59"/>
        <v>0</v>
      </c>
      <c r="P296" s="85"/>
      <c r="R296" s="53"/>
    </row>
    <row r="297" spans="1:18" hidden="1" x14ac:dyDescent="0.25">
      <c r="A297" s="389" t="s">
        <v>322</v>
      </c>
      <c r="B297" s="390" t="s">
        <v>323</v>
      </c>
      <c r="C297" s="647">
        <f t="shared" si="71"/>
        <v>0</v>
      </c>
      <c r="D297" s="328"/>
      <c r="E297" s="329"/>
      <c r="F297" s="324">
        <f t="shared" si="38"/>
        <v>0</v>
      </c>
      <c r="G297" s="328"/>
      <c r="H297" s="331"/>
      <c r="I297" s="324">
        <f t="shared" si="39"/>
        <v>0</v>
      </c>
      <c r="J297" s="328"/>
      <c r="K297" s="331"/>
      <c r="L297" s="324">
        <f t="shared" si="40"/>
        <v>0</v>
      </c>
      <c r="M297" s="332"/>
      <c r="N297" s="329"/>
      <c r="O297" s="324">
        <f t="shared" si="59"/>
        <v>0</v>
      </c>
      <c r="P297" s="325"/>
      <c r="R297" s="53"/>
    </row>
    <row r="298" spans="1:18" hidden="1" x14ac:dyDescent="0.25">
      <c r="A298" s="387" t="s">
        <v>324</v>
      </c>
      <c r="B298" s="387" t="s">
        <v>325</v>
      </c>
      <c r="C298" s="381">
        <f t="shared" si="71"/>
        <v>0</v>
      </c>
      <c r="D298" s="392"/>
      <c r="E298" s="393"/>
      <c r="F298" s="383">
        <f t="shared" si="38"/>
        <v>0</v>
      </c>
      <c r="G298" s="392"/>
      <c r="H298" s="394"/>
      <c r="I298" s="383">
        <f t="shared" si="39"/>
        <v>0</v>
      </c>
      <c r="J298" s="392"/>
      <c r="K298" s="394"/>
      <c r="L298" s="383">
        <f t="shared" si="40"/>
        <v>0</v>
      </c>
      <c r="M298" s="395"/>
      <c r="N298" s="393"/>
      <c r="O298" s="383">
        <f t="shared" si="59"/>
        <v>0</v>
      </c>
      <c r="P298" s="385"/>
      <c r="R298" s="53"/>
    </row>
    <row r="299" spans="1:18" s="41" customFormat="1" ht="36" hidden="1" x14ac:dyDescent="0.25">
      <c r="A299" s="387" t="s">
        <v>326</v>
      </c>
      <c r="B299" s="396" t="s">
        <v>327</v>
      </c>
      <c r="C299" s="651">
        <f t="shared" si="71"/>
        <v>0</v>
      </c>
      <c r="D299" s="398"/>
      <c r="E299" s="399"/>
      <c r="F299" s="521">
        <f t="shared" si="38"/>
        <v>0</v>
      </c>
      <c r="G299" s="392"/>
      <c r="H299" s="394"/>
      <c r="I299" s="383">
        <f t="shared" si="39"/>
        <v>0</v>
      </c>
      <c r="J299" s="392"/>
      <c r="K299" s="394"/>
      <c r="L299" s="383">
        <f t="shared" si="40"/>
        <v>0</v>
      </c>
      <c r="M299" s="395"/>
      <c r="N299" s="393"/>
      <c r="O299" s="383">
        <f t="shared" si="59"/>
        <v>0</v>
      </c>
      <c r="P299" s="385"/>
      <c r="R299" s="53"/>
    </row>
    <row r="300" spans="1:18" s="41" customFormat="1" hidden="1" x14ac:dyDescent="0.25">
      <c r="A300" s="401" t="s">
        <v>328</v>
      </c>
      <c r="B300" s="402"/>
      <c r="C300" s="402"/>
      <c r="D300" s="402"/>
      <c r="E300" s="402"/>
      <c r="F300" s="402"/>
      <c r="G300" s="402"/>
      <c r="H300" s="402"/>
      <c r="I300" s="402"/>
      <c r="J300" s="402"/>
      <c r="K300" s="402"/>
      <c r="L300" s="402"/>
      <c r="M300" s="402"/>
      <c r="N300" s="402"/>
      <c r="O300" s="402"/>
      <c r="P300" s="403"/>
      <c r="Q300" s="32"/>
    </row>
    <row r="301" spans="1:18" ht="12.75" thickBot="1" x14ac:dyDescent="0.3">
      <c r="A301" s="404"/>
      <c r="B301" s="405"/>
      <c r="C301" s="405"/>
      <c r="D301" s="405"/>
      <c r="E301" s="405"/>
      <c r="F301" s="405"/>
      <c r="G301" s="405"/>
      <c r="H301" s="405"/>
      <c r="I301" s="405"/>
      <c r="J301" s="405"/>
      <c r="K301" s="405"/>
      <c r="L301" s="405"/>
      <c r="M301" s="405"/>
      <c r="N301" s="405"/>
      <c r="O301" s="405"/>
      <c r="P301" s="406"/>
      <c r="Q301" s="7"/>
    </row>
    <row r="302" spans="1:18" x14ac:dyDescent="0.25">
      <c r="A302" s="5"/>
      <c r="B302" s="5"/>
      <c r="C302" s="5"/>
      <c r="D302" s="5"/>
      <c r="E302" s="5"/>
      <c r="F302" s="5"/>
      <c r="G302" s="5"/>
      <c r="H302" s="5"/>
      <c r="I302" s="5"/>
      <c r="J302" s="5"/>
      <c r="K302" s="5"/>
      <c r="L302" s="5"/>
      <c r="M302" s="5"/>
      <c r="N302" s="5"/>
      <c r="O302" s="5"/>
    </row>
    <row r="303" spans="1:18" x14ac:dyDescent="0.25">
      <c r="A303" s="5"/>
      <c r="B303" s="5"/>
      <c r="C303" s="5"/>
      <c r="D303" s="5"/>
      <c r="E303" s="5"/>
      <c r="F303" s="5"/>
      <c r="G303" s="5"/>
      <c r="H303" s="5"/>
      <c r="I303" s="5"/>
      <c r="J303" s="5"/>
      <c r="K303" s="5"/>
      <c r="L303" s="5"/>
      <c r="M303" s="5"/>
      <c r="N303" s="5"/>
      <c r="O303" s="5"/>
    </row>
    <row r="304" spans="1:18"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5+2682wdiIgnht04q/2V5961u+FmAOoFaLJoU20ItPF70OgyRaLKm45Gyi2t4kUfAF67TK+WzqBjqOn98KHG5g==" saltValue="QJMwBkMPoi4BDHXc6kz51g==" spinCount="100000" sheet="1" objects="1" scenarios="1" formatCells="0" formatColumns="0" formatRows="0"/>
  <autoFilter ref="A22:P300">
    <filterColumn colId="2">
      <filters>
        <filter val="100 245"/>
        <filter val="101 120"/>
        <filter val="11 596"/>
        <filter val="378"/>
        <filter val="497"/>
        <filter val="665 270"/>
        <filter val="676 866"/>
        <filter val="777 986"/>
      </filters>
    </filterColumn>
  </autoFilter>
  <mergeCells count="3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81.pielikums Jūrmalas pilsētas domes
2017.gada 30.janvāra saistošajiem noteikumiem Nr.10
(Protokols Nr.4, 1.punkts)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sheetPr>
  <dimension ref="A3:BU1416"/>
  <sheetViews>
    <sheetView view="pageLayout" zoomScaleNormal="100" workbookViewId="0">
      <selection activeCell="BW4" sqref="BW4"/>
    </sheetView>
  </sheetViews>
  <sheetFormatPr defaultColWidth="8.42578125" defaultRowHeight="12" outlineLevelRow="1" outlineLevelCol="1" x14ac:dyDescent="0.25"/>
  <cols>
    <col min="1" max="1" width="11" style="1037" customWidth="1"/>
    <col min="2" max="2" width="4.140625" style="1037" customWidth="1"/>
    <col min="3" max="3" width="2.140625" style="1038" customWidth="1"/>
    <col min="4" max="4" width="21.140625" style="1037" customWidth="1"/>
    <col min="5" max="5" width="24.85546875" style="1037" customWidth="1"/>
    <col min="6" max="6" width="9.7109375" style="1037" hidden="1" customWidth="1" outlineLevel="1"/>
    <col min="7" max="7" width="10.42578125" style="1039" bestFit="1" customWidth="1" collapsed="1"/>
    <col min="8" max="8" width="9.140625" style="1037" hidden="1" customWidth="1" outlineLevel="1"/>
    <col min="9" max="9" width="9.140625" style="1037" customWidth="1" collapsed="1"/>
    <col min="10" max="10" width="9.140625" style="1037" hidden="1" customWidth="1" outlineLevel="1"/>
    <col min="11" max="11" width="7.140625" style="1037" hidden="1" customWidth="1" outlineLevel="1"/>
    <col min="12" max="12" width="15.140625" style="1037" hidden="1" customWidth="1" outlineLevel="1"/>
    <col min="13" max="13" width="8.140625" style="1037" hidden="1" customWidth="1" outlineLevel="1"/>
    <col min="14" max="14" width="10.42578125" style="1037" hidden="1" customWidth="1" outlineLevel="1"/>
    <col min="15" max="15" width="7.140625" style="1037" hidden="1" customWidth="1" outlineLevel="1"/>
    <col min="16" max="16" width="15.140625" style="1037" hidden="1" customWidth="1" outlineLevel="1"/>
    <col min="17" max="17" width="7.140625" style="1037" hidden="1" customWidth="1" outlineLevel="1"/>
    <col min="18" max="18" width="6.42578125" style="1037" hidden="1" customWidth="1" outlineLevel="1"/>
    <col min="19" max="19" width="6.28515625" style="1037" hidden="1" customWidth="1" outlineLevel="1"/>
    <col min="20" max="20" width="7.140625" style="1037" hidden="1" customWidth="1" outlineLevel="1"/>
    <col min="21" max="21" width="5.42578125" style="1037" hidden="1" customWidth="1" outlineLevel="1"/>
    <col min="22" max="22" width="6.28515625" style="1037" hidden="1" customWidth="1" outlineLevel="1"/>
    <col min="23" max="23" width="11.5703125" style="1037" hidden="1" customWidth="1" outlineLevel="1"/>
    <col min="24" max="24" width="7.140625" style="1037" hidden="1" customWidth="1" outlineLevel="1"/>
    <col min="25" max="25" width="19.140625" style="1037" hidden="1" customWidth="1" outlineLevel="1"/>
    <col min="26" max="26" width="8.42578125" style="1037" hidden="1" customWidth="1" outlineLevel="1"/>
    <col min="27" max="27" width="19.140625" style="1037" hidden="1" customWidth="1" outlineLevel="1"/>
    <col min="28" max="28" width="9.140625" style="1037" hidden="1" customWidth="1" outlineLevel="1"/>
    <col min="29" max="29" width="9.42578125" style="1037" hidden="1" customWidth="1" outlineLevel="1"/>
    <col min="30" max="30" width="9.42578125" style="1037" customWidth="1" collapsed="1"/>
    <col min="31" max="31" width="9.42578125" style="1037" hidden="1" customWidth="1" outlineLevel="1"/>
    <col min="32" max="33" width="6.7109375" style="1037" hidden="1" customWidth="1" outlineLevel="1"/>
    <col min="34" max="34" width="6.28515625" style="1037" hidden="1" customWidth="1" outlineLevel="1"/>
    <col min="35" max="37" width="9.42578125" style="1037" hidden="1" customWidth="1" outlineLevel="1"/>
    <col min="38" max="38" width="8.42578125" style="1037" hidden="1" customWidth="1" outlineLevel="1"/>
    <col min="39" max="39" width="8.42578125" style="1037" customWidth="1" collapsed="1"/>
    <col min="40" max="40" width="8.42578125" style="1037" hidden="1" customWidth="1" outlineLevel="1"/>
    <col min="41" max="41" width="6.42578125" style="1037" hidden="1" customWidth="1" outlineLevel="1"/>
    <col min="42" max="44" width="5.85546875" style="1037" hidden="1" customWidth="1" outlineLevel="1"/>
    <col min="45" max="45" width="8.42578125" style="1037" hidden="1" customWidth="1" outlineLevel="1"/>
    <col min="46" max="46" width="5.42578125" style="1037" hidden="1" customWidth="1" outlineLevel="1"/>
    <col min="47" max="47" width="7.140625" style="1037" hidden="1" customWidth="1" outlineLevel="1"/>
    <col min="48" max="48" width="5.42578125" style="1037" hidden="1" customWidth="1" outlineLevel="1"/>
    <col min="49" max="49" width="8.42578125" style="1037" hidden="1" customWidth="1" outlineLevel="1"/>
    <col min="50" max="50" width="8.42578125" style="1037" customWidth="1" collapsed="1"/>
    <col min="51" max="51" width="6.7109375" style="1037" hidden="1" customWidth="1" outlineLevel="1"/>
    <col min="52" max="52" width="6.7109375" style="1037" customWidth="1" collapsed="1"/>
    <col min="53" max="53" width="6.7109375" style="1037" hidden="1" customWidth="1" outlineLevel="1"/>
    <col min="54" max="54" width="5.7109375" style="1037" hidden="1" customWidth="1" outlineLevel="1"/>
    <col min="55" max="57" width="6.7109375" style="1037" hidden="1" customWidth="1" outlineLevel="1"/>
    <col min="58" max="58" width="8.28515625" style="1037" hidden="1" customWidth="1" outlineLevel="1"/>
    <col min="59" max="59" width="8.28515625" style="1037" customWidth="1" collapsed="1"/>
    <col min="60" max="60" width="8.28515625" style="1037" hidden="1" customWidth="1" outlineLevel="1"/>
    <col min="61" max="61" width="7.140625" style="1037" hidden="1" customWidth="1" outlineLevel="1"/>
    <col min="62" max="62" width="5.7109375" style="1037" hidden="1" customWidth="1" outlineLevel="1"/>
    <col min="63" max="63" width="6.28515625" style="1037" hidden="1" customWidth="1" outlineLevel="1"/>
    <col min="64" max="64" width="10.42578125" style="1037" hidden="1" customWidth="1" outlineLevel="1"/>
    <col min="65" max="65" width="6.28515625" style="1037" hidden="1" customWidth="1" outlineLevel="1"/>
    <col min="66" max="68" width="5.42578125" style="1037" hidden="1" customWidth="1" outlineLevel="1"/>
    <col min="69" max="69" width="8.28515625" style="1040" hidden="1" customWidth="1" outlineLevel="1"/>
    <col min="70" max="71" width="8.28515625" style="1037" hidden="1" customWidth="1" outlineLevel="1"/>
    <col min="72" max="72" width="6.7109375" style="1038" customWidth="1" collapsed="1"/>
    <col min="73" max="73" width="10.140625" style="1037" customWidth="1"/>
    <col min="74" max="74" width="8.42578125" style="1037" customWidth="1"/>
    <col min="75" max="16384" width="8.42578125" style="1037"/>
  </cols>
  <sheetData>
    <row r="3" spans="1:73" x14ac:dyDescent="0.25">
      <c r="BU3" s="1041" t="s">
        <v>1270</v>
      </c>
    </row>
    <row r="4" spans="1:73" x14ac:dyDescent="0.25">
      <c r="BU4" s="1041" t="s">
        <v>353</v>
      </c>
    </row>
    <row r="5" spans="1:73" x14ac:dyDescent="0.25">
      <c r="BU5" s="1041" t="s">
        <v>354</v>
      </c>
    </row>
    <row r="6" spans="1:73" ht="18.75" customHeight="1" x14ac:dyDescent="0.25">
      <c r="B6" s="1496" t="s">
        <v>1271</v>
      </c>
      <c r="C6" s="1496"/>
      <c r="D6" s="1496"/>
      <c r="E6" s="1496"/>
      <c r="F6" s="1496"/>
      <c r="G6" s="1496"/>
      <c r="H6" s="1496"/>
      <c r="I6" s="1496"/>
      <c r="J6" s="1496"/>
      <c r="K6" s="1496"/>
      <c r="L6" s="1496"/>
      <c r="M6" s="1496"/>
      <c r="N6" s="1496"/>
      <c r="O6" s="1496"/>
      <c r="P6" s="1496"/>
      <c r="Q6" s="1496"/>
      <c r="R6" s="1496"/>
      <c r="S6" s="1496"/>
      <c r="T6" s="1496"/>
      <c r="U6" s="1496"/>
      <c r="V6" s="1496"/>
      <c r="W6" s="1496"/>
      <c r="X6" s="1496"/>
      <c r="Y6" s="1496"/>
      <c r="Z6" s="1496"/>
      <c r="AA6" s="1496"/>
      <c r="AB6" s="1496"/>
      <c r="AC6" s="1496"/>
      <c r="AD6" s="1496"/>
      <c r="AE6" s="1496"/>
      <c r="AF6" s="1496"/>
      <c r="AG6" s="1496"/>
      <c r="AH6" s="1496"/>
      <c r="AI6" s="1496"/>
      <c r="AJ6" s="1496"/>
      <c r="AK6" s="1496"/>
      <c r="AL6" s="1496"/>
      <c r="AM6" s="1496"/>
      <c r="AN6" s="1496"/>
      <c r="AO6" s="1496"/>
      <c r="AP6" s="1496"/>
      <c r="AQ6" s="1496"/>
      <c r="AR6" s="1496"/>
      <c r="AS6" s="1496"/>
      <c r="AT6" s="1496"/>
      <c r="AU6" s="1496"/>
      <c r="AV6" s="1496"/>
      <c r="AW6" s="1496"/>
      <c r="AX6" s="1496"/>
      <c r="AY6" s="1496"/>
      <c r="AZ6" s="1496"/>
      <c r="BA6" s="1496"/>
      <c r="BB6" s="1496"/>
      <c r="BC6" s="1496"/>
      <c r="BD6" s="1496"/>
      <c r="BE6" s="1496"/>
      <c r="BF6" s="1496"/>
      <c r="BG6" s="1496"/>
      <c r="BH6" s="1496"/>
      <c r="BI6" s="1496"/>
      <c r="BJ6" s="1496"/>
      <c r="BK6" s="1496"/>
      <c r="BL6" s="1496"/>
      <c r="BM6" s="1496"/>
      <c r="BN6" s="1496"/>
      <c r="BO6" s="1496"/>
      <c r="BP6" s="1496"/>
      <c r="BQ6" s="1496"/>
      <c r="BR6" s="1496"/>
      <c r="BS6" s="1496"/>
      <c r="BT6" s="1496"/>
      <c r="BU6" s="1496"/>
    </row>
    <row r="7" spans="1:73" ht="12.75" thickBot="1" x14ac:dyDescent="0.3"/>
    <row r="8" spans="1:73" ht="13.5" customHeight="1" thickBot="1" x14ac:dyDescent="0.25">
      <c r="A8" s="1497" t="s">
        <v>1272</v>
      </c>
      <c r="B8" s="1499" t="s">
        <v>1273</v>
      </c>
      <c r="C8" s="1494"/>
      <c r="D8" s="1500"/>
      <c r="E8" s="1504" t="s">
        <v>10</v>
      </c>
      <c r="F8" s="1042"/>
      <c r="G8" s="1507" t="s">
        <v>1274</v>
      </c>
      <c r="H8" s="1508"/>
      <c r="I8" s="1508"/>
      <c r="J8" s="1508"/>
      <c r="K8" s="1508"/>
      <c r="L8" s="1508"/>
      <c r="M8" s="1508"/>
      <c r="N8" s="1508"/>
      <c r="O8" s="1508"/>
      <c r="P8" s="1508"/>
      <c r="Q8" s="1508"/>
      <c r="R8" s="1508"/>
      <c r="S8" s="1508"/>
      <c r="T8" s="1508"/>
      <c r="U8" s="1508"/>
      <c r="V8" s="1508"/>
      <c r="W8" s="1508"/>
      <c r="X8" s="1508"/>
      <c r="Y8" s="1508"/>
      <c r="Z8" s="1508"/>
      <c r="AA8" s="1508"/>
      <c r="AB8" s="1508"/>
      <c r="AC8" s="1508"/>
      <c r="AD8" s="1508"/>
      <c r="AE8" s="1508"/>
      <c r="AF8" s="1508"/>
      <c r="AG8" s="1508"/>
      <c r="AH8" s="1508"/>
      <c r="AI8" s="1508"/>
      <c r="AJ8" s="1508"/>
      <c r="AK8" s="1508"/>
      <c r="AL8" s="1508"/>
      <c r="AM8" s="1508"/>
      <c r="AN8" s="1508"/>
      <c r="AO8" s="1508"/>
      <c r="AP8" s="1508"/>
      <c r="AQ8" s="1508"/>
      <c r="AR8" s="1508"/>
      <c r="AS8" s="1508"/>
      <c r="AT8" s="1508"/>
      <c r="AU8" s="1508"/>
      <c r="AV8" s="1508"/>
      <c r="AW8" s="1508"/>
      <c r="AX8" s="1508"/>
      <c r="AY8" s="1508"/>
      <c r="AZ8" s="1043"/>
      <c r="BA8" s="1043"/>
      <c r="BB8" s="1043"/>
      <c r="BC8" s="1043"/>
      <c r="BD8" s="1043"/>
      <c r="BE8" s="1043"/>
      <c r="BF8" s="1043"/>
      <c r="BG8" s="1043"/>
      <c r="BH8" s="1043"/>
      <c r="BI8" s="1043"/>
      <c r="BJ8" s="1043"/>
      <c r="BK8" s="1043"/>
      <c r="BL8" s="1043"/>
      <c r="BM8" s="1043"/>
      <c r="BN8" s="1043"/>
      <c r="BO8" s="1043"/>
      <c r="BP8" s="1043"/>
      <c r="BQ8" s="1044"/>
      <c r="BR8" s="1043"/>
      <c r="BS8" s="1043"/>
      <c r="BT8" s="1509" t="s">
        <v>1275</v>
      </c>
      <c r="BU8" s="1509" t="s">
        <v>1276</v>
      </c>
    </row>
    <row r="9" spans="1:73" ht="13.5" customHeight="1" thickBot="1" x14ac:dyDescent="0.3">
      <c r="A9" s="1498"/>
      <c r="B9" s="1501"/>
      <c r="C9" s="1502"/>
      <c r="D9" s="1503"/>
      <c r="E9" s="1505"/>
      <c r="F9" s="1512" t="s">
        <v>1277</v>
      </c>
      <c r="G9" s="1512" t="s">
        <v>27</v>
      </c>
      <c r="H9" s="1490" t="s">
        <v>1278</v>
      </c>
      <c r="I9" s="1490" t="s">
        <v>30</v>
      </c>
      <c r="J9" s="1490" t="s">
        <v>1279</v>
      </c>
      <c r="K9" s="1492" t="s">
        <v>1280</v>
      </c>
      <c r="L9" s="1493"/>
      <c r="M9" s="1494"/>
      <c r="N9" s="1494"/>
      <c r="O9" s="1494"/>
      <c r="P9" s="1493"/>
      <c r="Q9" s="1493"/>
      <c r="R9" s="1493"/>
      <c r="S9" s="1493"/>
      <c r="T9" s="1493"/>
      <c r="U9" s="1493"/>
      <c r="V9" s="1493"/>
      <c r="W9" s="1493"/>
      <c r="X9" s="1493"/>
      <c r="Y9" s="1493"/>
      <c r="Z9" s="1493"/>
      <c r="AA9" s="1493"/>
      <c r="AB9" s="1495"/>
      <c r="AC9" s="1490" t="s">
        <v>1281</v>
      </c>
      <c r="AD9" s="1490" t="s">
        <v>1282</v>
      </c>
      <c r="AE9" s="1490" t="s">
        <v>1283</v>
      </c>
      <c r="AF9" s="1492" t="s">
        <v>1280</v>
      </c>
      <c r="AG9" s="1493"/>
      <c r="AH9" s="1493"/>
      <c r="AI9" s="1493"/>
      <c r="AJ9" s="1493"/>
      <c r="AK9" s="1495"/>
      <c r="AL9" s="1531" t="s">
        <v>1284</v>
      </c>
      <c r="AM9" s="1531" t="s">
        <v>36</v>
      </c>
      <c r="AN9" s="1531" t="s">
        <v>1285</v>
      </c>
      <c r="AO9" s="1492" t="s">
        <v>1280</v>
      </c>
      <c r="AP9" s="1493"/>
      <c r="AQ9" s="1493"/>
      <c r="AR9" s="1493"/>
      <c r="AS9" s="1493"/>
      <c r="AT9" s="1493"/>
      <c r="AU9" s="1493"/>
      <c r="AV9" s="1493"/>
      <c r="AW9" s="1495"/>
      <c r="AX9" s="1533" t="s">
        <v>1286</v>
      </c>
      <c r="AY9" s="1521" t="s">
        <v>1287</v>
      </c>
      <c r="AZ9" s="1521" t="s">
        <v>1288</v>
      </c>
      <c r="BA9" s="1521" t="s">
        <v>1289</v>
      </c>
      <c r="BB9" s="1492" t="s">
        <v>1280</v>
      </c>
      <c r="BC9" s="1493"/>
      <c r="BD9" s="1493"/>
      <c r="BE9" s="1495"/>
      <c r="BF9" s="1521" t="s">
        <v>1290</v>
      </c>
      <c r="BG9" s="1521" t="s">
        <v>1291</v>
      </c>
      <c r="BH9" s="1521" t="s">
        <v>1292</v>
      </c>
      <c r="BI9" s="1492" t="s">
        <v>1280</v>
      </c>
      <c r="BJ9" s="1493"/>
      <c r="BK9" s="1493"/>
      <c r="BL9" s="1493"/>
      <c r="BM9" s="1493"/>
      <c r="BN9" s="1493"/>
      <c r="BO9" s="1493"/>
      <c r="BP9" s="1493"/>
      <c r="BQ9" s="1493"/>
      <c r="BR9" s="1493"/>
      <c r="BS9" s="1523"/>
      <c r="BT9" s="1510"/>
      <c r="BU9" s="1510"/>
    </row>
    <row r="10" spans="1:73" ht="66" customHeight="1" thickBot="1" x14ac:dyDescent="0.3">
      <c r="A10" s="1498"/>
      <c r="B10" s="1501"/>
      <c r="C10" s="1502"/>
      <c r="D10" s="1503"/>
      <c r="E10" s="1506"/>
      <c r="F10" s="1513"/>
      <c r="G10" s="1513"/>
      <c r="H10" s="1491"/>
      <c r="I10" s="1491"/>
      <c r="J10" s="1491"/>
      <c r="K10" s="1045" t="s">
        <v>1293</v>
      </c>
      <c r="L10" s="1046" t="s">
        <v>1294</v>
      </c>
      <c r="M10" s="1047" t="s">
        <v>1295</v>
      </c>
      <c r="N10" s="1048" t="s">
        <v>1296</v>
      </c>
      <c r="O10" s="1049" t="s">
        <v>1297</v>
      </c>
      <c r="P10" s="1045" t="s">
        <v>1298</v>
      </c>
      <c r="Q10" s="1049" t="s">
        <v>1299</v>
      </c>
      <c r="R10" s="1045" t="s">
        <v>1300</v>
      </c>
      <c r="S10" s="1045" t="s">
        <v>1301</v>
      </c>
      <c r="T10" s="1045" t="s">
        <v>1302</v>
      </c>
      <c r="U10" s="1045" t="s">
        <v>1303</v>
      </c>
      <c r="V10" s="1045" t="s">
        <v>1304</v>
      </c>
      <c r="W10" s="1045" t="s">
        <v>1305</v>
      </c>
      <c r="X10" s="1045" t="s">
        <v>1306</v>
      </c>
      <c r="Y10" s="1045" t="s">
        <v>1307</v>
      </c>
      <c r="Z10" s="1045" t="s">
        <v>1308</v>
      </c>
      <c r="AA10" s="1045" t="s">
        <v>1309</v>
      </c>
      <c r="AB10" s="1045" t="s">
        <v>1310</v>
      </c>
      <c r="AC10" s="1491"/>
      <c r="AD10" s="1491"/>
      <c r="AE10" s="1491"/>
      <c r="AF10" s="1045" t="s">
        <v>1293</v>
      </c>
      <c r="AG10" s="1050" t="s">
        <v>1295</v>
      </c>
      <c r="AH10" s="1045" t="s">
        <v>1306</v>
      </c>
      <c r="AI10" s="1045" t="s">
        <v>1308</v>
      </c>
      <c r="AJ10" s="1051"/>
      <c r="AK10" s="1051"/>
      <c r="AL10" s="1532"/>
      <c r="AM10" s="1532"/>
      <c r="AN10" s="1532"/>
      <c r="AO10" s="1045" t="s">
        <v>1293</v>
      </c>
      <c r="AP10" s="1050" t="s">
        <v>1295</v>
      </c>
      <c r="AQ10" s="1049" t="s">
        <v>1297</v>
      </c>
      <c r="AR10" s="1049" t="s">
        <v>1299</v>
      </c>
      <c r="AS10" s="1045" t="s">
        <v>1301</v>
      </c>
      <c r="AT10" s="1045" t="s">
        <v>1302</v>
      </c>
      <c r="AU10" s="1045" t="s">
        <v>1306</v>
      </c>
      <c r="AV10" s="1045" t="s">
        <v>1308</v>
      </c>
      <c r="AW10" s="1046"/>
      <c r="AX10" s="1534"/>
      <c r="AY10" s="1522"/>
      <c r="AZ10" s="1522"/>
      <c r="BA10" s="1522"/>
      <c r="BB10" s="1050" t="s">
        <v>1295</v>
      </c>
      <c r="BC10" s="1045" t="s">
        <v>1306</v>
      </c>
      <c r="BD10" s="1046"/>
      <c r="BE10" s="1046"/>
      <c r="BF10" s="1522"/>
      <c r="BG10" s="1522"/>
      <c r="BH10" s="1522"/>
      <c r="BI10" s="1045" t="s">
        <v>1293</v>
      </c>
      <c r="BJ10" s="1050" t="s">
        <v>1295</v>
      </c>
      <c r="BK10" s="1049" t="s">
        <v>1297</v>
      </c>
      <c r="BL10" s="1045" t="s">
        <v>1311</v>
      </c>
      <c r="BM10" s="1049" t="s">
        <v>1299</v>
      </c>
      <c r="BN10" s="1045" t="s">
        <v>1301</v>
      </c>
      <c r="BO10" s="1048" t="s">
        <v>1304</v>
      </c>
      <c r="BP10" s="1045" t="s">
        <v>1306</v>
      </c>
      <c r="BQ10" s="1052" t="s">
        <v>1312</v>
      </c>
      <c r="BR10" s="1045"/>
      <c r="BS10" s="1053"/>
      <c r="BT10" s="1511"/>
      <c r="BU10" s="1511"/>
    </row>
    <row r="11" spans="1:73" s="1062" customFormat="1" ht="12.75" thickTop="1" thickBot="1" x14ac:dyDescent="0.3">
      <c r="A11" s="1054">
        <v>1</v>
      </c>
      <c r="B11" s="1524">
        <v>2</v>
      </c>
      <c r="C11" s="1525"/>
      <c r="D11" s="1526"/>
      <c r="E11" s="1055">
        <v>3</v>
      </c>
      <c r="F11" s="1055"/>
      <c r="G11" s="1056">
        <v>9</v>
      </c>
      <c r="H11" s="1057">
        <v>10</v>
      </c>
      <c r="I11" s="1057"/>
      <c r="J11" s="1057"/>
      <c r="K11" s="1057"/>
      <c r="L11" s="1057"/>
      <c r="M11" s="1057"/>
      <c r="N11" s="1057"/>
      <c r="O11" s="1057"/>
      <c r="P11" s="1057"/>
      <c r="Q11" s="1057"/>
      <c r="R11" s="1057"/>
      <c r="S11" s="1057"/>
      <c r="T11" s="1057"/>
      <c r="U11" s="1057"/>
      <c r="V11" s="1057"/>
      <c r="W11" s="1057"/>
      <c r="X11" s="1057"/>
      <c r="Y11" s="1057"/>
      <c r="Z11" s="1057"/>
      <c r="AA11" s="1057"/>
      <c r="AB11" s="1057"/>
      <c r="AC11" s="1057">
        <v>11</v>
      </c>
      <c r="AD11" s="1057"/>
      <c r="AE11" s="1057"/>
      <c r="AF11" s="1057"/>
      <c r="AG11" s="1057"/>
      <c r="AH11" s="1057"/>
      <c r="AI11" s="1057"/>
      <c r="AJ11" s="1057"/>
      <c r="AK11" s="1057"/>
      <c r="AL11" s="1057">
        <v>12</v>
      </c>
      <c r="AM11" s="1058"/>
      <c r="AN11" s="1058"/>
      <c r="AO11" s="1058"/>
      <c r="AP11" s="1058"/>
      <c r="AQ11" s="1058"/>
      <c r="AR11" s="1058"/>
      <c r="AS11" s="1058"/>
      <c r="AT11" s="1058"/>
      <c r="AU11" s="1058"/>
      <c r="AV11" s="1058"/>
      <c r="AW11" s="1058"/>
      <c r="AX11" s="1058">
        <v>13</v>
      </c>
      <c r="AY11" s="1058">
        <v>14</v>
      </c>
      <c r="AZ11" s="1058"/>
      <c r="BA11" s="1058"/>
      <c r="BB11" s="1058"/>
      <c r="BC11" s="1058"/>
      <c r="BD11" s="1058"/>
      <c r="BE11" s="1058"/>
      <c r="BF11" s="1058">
        <v>15</v>
      </c>
      <c r="BG11" s="1057"/>
      <c r="BH11" s="1057"/>
      <c r="BI11" s="1057"/>
      <c r="BJ11" s="1057"/>
      <c r="BK11" s="1057"/>
      <c r="BL11" s="1057"/>
      <c r="BM11" s="1057"/>
      <c r="BN11" s="1057"/>
      <c r="BO11" s="1055"/>
      <c r="BP11" s="1057"/>
      <c r="BQ11" s="1059"/>
      <c r="BR11" s="1057"/>
      <c r="BS11" s="1060"/>
      <c r="BT11" s="1061" t="s">
        <v>1313</v>
      </c>
      <c r="BU11" s="1054">
        <v>17</v>
      </c>
    </row>
    <row r="12" spans="1:73" ht="13.5" thickTop="1" thickBot="1" x14ac:dyDescent="0.3">
      <c r="A12" s="1063"/>
      <c r="B12" s="1527"/>
      <c r="C12" s="1528"/>
      <c r="D12" s="1529"/>
      <c r="E12" s="1064"/>
      <c r="F12" s="1064"/>
      <c r="G12" s="1065"/>
      <c r="H12" s="1066"/>
      <c r="I12" s="1066"/>
      <c r="J12" s="1066"/>
      <c r="K12" s="1066"/>
      <c r="L12" s="1066"/>
      <c r="M12" s="1066"/>
      <c r="N12" s="1066"/>
      <c r="O12" s="1066"/>
      <c r="P12" s="1066"/>
      <c r="Q12" s="1066"/>
      <c r="R12" s="1066"/>
      <c r="S12" s="1066"/>
      <c r="T12" s="1066"/>
      <c r="U12" s="1066"/>
      <c r="V12" s="1066"/>
      <c r="W12" s="1066"/>
      <c r="X12" s="1066"/>
      <c r="Y12" s="1066"/>
      <c r="Z12" s="1066"/>
      <c r="AA12" s="1066"/>
      <c r="AB12" s="1066"/>
      <c r="AC12" s="1066"/>
      <c r="AD12" s="1066"/>
      <c r="AE12" s="1066"/>
      <c r="AF12" s="1066"/>
      <c r="AG12" s="1066"/>
      <c r="AH12" s="1066"/>
      <c r="AI12" s="1066"/>
      <c r="AJ12" s="1066"/>
      <c r="AK12" s="1066"/>
      <c r="AL12" s="1066"/>
      <c r="AM12" s="1067"/>
      <c r="AN12" s="1067"/>
      <c r="AO12" s="1067"/>
      <c r="AP12" s="1067"/>
      <c r="AQ12" s="1067"/>
      <c r="AR12" s="1067"/>
      <c r="AS12" s="1067"/>
      <c r="AT12" s="1067"/>
      <c r="AU12" s="1067"/>
      <c r="AV12" s="1067"/>
      <c r="AW12" s="1067"/>
      <c r="AX12" s="1067"/>
      <c r="AY12" s="1067"/>
      <c r="AZ12" s="1067"/>
      <c r="BA12" s="1067"/>
      <c r="BB12" s="1067"/>
      <c r="BC12" s="1067"/>
      <c r="BD12" s="1067"/>
      <c r="BE12" s="1067"/>
      <c r="BF12" s="1067"/>
      <c r="BG12" s="1066"/>
      <c r="BH12" s="1066"/>
      <c r="BI12" s="1066"/>
      <c r="BJ12" s="1066"/>
      <c r="BK12" s="1066"/>
      <c r="BL12" s="1066"/>
      <c r="BM12" s="1066"/>
      <c r="BN12" s="1066"/>
      <c r="BO12" s="1064"/>
      <c r="BP12" s="1066"/>
      <c r="BQ12" s="1068"/>
      <c r="BR12" s="1066"/>
      <c r="BS12" s="1069"/>
      <c r="BT12" s="1070"/>
      <c r="BU12" s="1071"/>
    </row>
    <row r="13" spans="1:73" ht="24.75" thickBot="1" x14ac:dyDescent="0.3">
      <c r="A13" s="1072"/>
      <c r="B13" s="1530" t="s">
        <v>1314</v>
      </c>
      <c r="C13" s="1518"/>
      <c r="D13" s="1073" t="s">
        <v>1315</v>
      </c>
      <c r="E13" s="1074"/>
      <c r="F13" s="1075">
        <f>SUM(F14:F26)</f>
        <v>16246208</v>
      </c>
      <c r="G13" s="1075">
        <f t="shared" ref="G13" si="0">SUM(G14:G26)</f>
        <v>15601692</v>
      </c>
      <c r="H13" s="1075">
        <f>SUM(H14:H26)</f>
        <v>16215722</v>
      </c>
      <c r="I13" s="1075">
        <f t="shared" ref="I13:BS13" si="1">SUM(I14:I26)</f>
        <v>15580681</v>
      </c>
      <c r="J13" s="1075">
        <f t="shared" si="1"/>
        <v>-635041</v>
      </c>
      <c r="K13" s="1075">
        <f>SUM(K14:K26)</f>
        <v>-88108</v>
      </c>
      <c r="L13" s="1075">
        <f t="shared" si="1"/>
        <v>-4100</v>
      </c>
      <c r="M13" s="1075">
        <f t="shared" si="1"/>
        <v>-53928</v>
      </c>
      <c r="N13" s="1075">
        <f t="shared" si="1"/>
        <v>-4394</v>
      </c>
      <c r="O13" s="1075">
        <f t="shared" si="1"/>
        <v>-7081</v>
      </c>
      <c r="P13" s="1075">
        <f t="shared" si="1"/>
        <v>2241</v>
      </c>
      <c r="Q13" s="1075">
        <f t="shared" si="1"/>
        <v>-131686</v>
      </c>
      <c r="R13" s="1075">
        <f t="shared" si="1"/>
        <v>2000</v>
      </c>
      <c r="S13" s="1075">
        <f t="shared" si="1"/>
        <v>-5637</v>
      </c>
      <c r="T13" s="1075">
        <f t="shared" si="1"/>
        <v>-297693</v>
      </c>
      <c r="U13" s="1075">
        <f t="shared" si="1"/>
        <v>0</v>
      </c>
      <c r="V13" s="1075">
        <f t="shared" si="1"/>
        <v>-12459</v>
      </c>
      <c r="W13" s="1075">
        <f t="shared" si="1"/>
        <v>-4031</v>
      </c>
      <c r="X13" s="1075">
        <f t="shared" si="1"/>
        <v>-538</v>
      </c>
      <c r="Y13" s="1075">
        <f t="shared" si="1"/>
        <v>-19300</v>
      </c>
      <c r="Z13" s="1075">
        <f t="shared" si="1"/>
        <v>-7505</v>
      </c>
      <c r="AA13" s="1075">
        <f t="shared" si="1"/>
        <v>-2822</v>
      </c>
      <c r="AB13" s="1075">
        <f t="shared" si="1"/>
        <v>0</v>
      </c>
      <c r="AC13" s="1075">
        <f t="shared" si="1"/>
        <v>0</v>
      </c>
      <c r="AD13" s="1075">
        <f t="shared" si="1"/>
        <v>965</v>
      </c>
      <c r="AE13" s="1075">
        <f t="shared" si="1"/>
        <v>965</v>
      </c>
      <c r="AF13" s="1075">
        <f t="shared" si="1"/>
        <v>0</v>
      </c>
      <c r="AG13" s="1075">
        <f t="shared" si="1"/>
        <v>965</v>
      </c>
      <c r="AH13" s="1075">
        <f t="shared" si="1"/>
        <v>0</v>
      </c>
      <c r="AI13" s="1075">
        <f t="shared" si="1"/>
        <v>0</v>
      </c>
      <c r="AJ13" s="1075">
        <f t="shared" si="1"/>
        <v>0</v>
      </c>
      <c r="AK13" s="1075">
        <f t="shared" si="1"/>
        <v>0</v>
      </c>
      <c r="AL13" s="1075">
        <f t="shared" si="1"/>
        <v>30486</v>
      </c>
      <c r="AM13" s="1075">
        <f t="shared" si="1"/>
        <v>20046</v>
      </c>
      <c r="AN13" s="1075">
        <f t="shared" si="1"/>
        <v>-10440</v>
      </c>
      <c r="AO13" s="1075">
        <f t="shared" si="1"/>
        <v>-10440</v>
      </c>
      <c r="AP13" s="1075">
        <f t="shared" si="1"/>
        <v>0</v>
      </c>
      <c r="AQ13" s="1075">
        <f t="shared" si="1"/>
        <v>0</v>
      </c>
      <c r="AR13" s="1075">
        <f t="shared" si="1"/>
        <v>0</v>
      </c>
      <c r="AS13" s="1075">
        <f t="shared" si="1"/>
        <v>0</v>
      </c>
      <c r="AT13" s="1075">
        <f t="shared" si="1"/>
        <v>0</v>
      </c>
      <c r="AU13" s="1075">
        <f t="shared" si="1"/>
        <v>0</v>
      </c>
      <c r="AV13" s="1075">
        <f t="shared" si="1"/>
        <v>0</v>
      </c>
      <c r="AW13" s="1075">
        <f t="shared" si="1"/>
        <v>0</v>
      </c>
      <c r="AX13" s="1075">
        <f t="shared" si="1"/>
        <v>0</v>
      </c>
      <c r="AY13" s="1076">
        <f t="shared" si="1"/>
        <v>0</v>
      </c>
      <c r="AZ13" s="1076">
        <f t="shared" si="1"/>
        <v>0</v>
      </c>
      <c r="BA13" s="1076">
        <f t="shared" si="1"/>
        <v>0</v>
      </c>
      <c r="BB13" s="1076">
        <f t="shared" si="1"/>
        <v>0</v>
      </c>
      <c r="BC13" s="1076">
        <f t="shared" si="1"/>
        <v>0</v>
      </c>
      <c r="BD13" s="1076">
        <f t="shared" si="1"/>
        <v>0</v>
      </c>
      <c r="BE13" s="1076">
        <f t="shared" si="1"/>
        <v>0</v>
      </c>
      <c r="BF13" s="1076">
        <f t="shared" si="1"/>
        <v>0</v>
      </c>
      <c r="BG13" s="1076">
        <f t="shared" si="1"/>
        <v>0</v>
      </c>
      <c r="BH13" s="1076">
        <f t="shared" si="1"/>
        <v>0</v>
      </c>
      <c r="BI13" s="1076">
        <f t="shared" si="1"/>
        <v>0</v>
      </c>
      <c r="BJ13" s="1076">
        <f t="shared" si="1"/>
        <v>0</v>
      </c>
      <c r="BK13" s="1076">
        <f t="shared" si="1"/>
        <v>0</v>
      </c>
      <c r="BL13" s="1076">
        <f t="shared" si="1"/>
        <v>0</v>
      </c>
      <c r="BM13" s="1076">
        <f t="shared" si="1"/>
        <v>0</v>
      </c>
      <c r="BN13" s="1076">
        <f t="shared" si="1"/>
        <v>0</v>
      </c>
      <c r="BO13" s="1076">
        <f t="shared" si="1"/>
        <v>0</v>
      </c>
      <c r="BP13" s="1075">
        <f t="shared" si="1"/>
        <v>0</v>
      </c>
      <c r="BQ13" s="1077">
        <f t="shared" si="1"/>
        <v>0</v>
      </c>
      <c r="BR13" s="1075">
        <f t="shared" si="1"/>
        <v>0</v>
      </c>
      <c r="BS13" s="1078">
        <f t="shared" si="1"/>
        <v>0</v>
      </c>
      <c r="BT13" s="1079"/>
      <c r="BU13" s="1072"/>
    </row>
    <row r="14" spans="1:73" ht="13.5" thickTop="1" x14ac:dyDescent="0.25">
      <c r="A14" s="1080">
        <v>90000056357</v>
      </c>
      <c r="B14" s="1081"/>
      <c r="C14" s="1519" t="s">
        <v>501</v>
      </c>
      <c r="D14" s="1520"/>
      <c r="E14" s="1082" t="s">
        <v>525</v>
      </c>
      <c r="F14" s="1083">
        <f>H14+AC14+AL14+AX14+AY14+BF14</f>
        <v>853246</v>
      </c>
      <c r="G14" s="1083">
        <f>I14+AD14+AM14+AX14+AZ14+BG14</f>
        <v>858379</v>
      </c>
      <c r="H14" s="1084">
        <v>822760</v>
      </c>
      <c r="I14" s="1084">
        <f>H14+J14</f>
        <v>838333</v>
      </c>
      <c r="J14" s="1084">
        <f>SUM(K14:AB14)</f>
        <v>15573</v>
      </c>
      <c r="K14" s="1084">
        <v>10440</v>
      </c>
      <c r="L14" s="1084">
        <v>-4100</v>
      </c>
      <c r="M14" s="1084">
        <v>752</v>
      </c>
      <c r="N14" s="1084"/>
      <c r="O14" s="1084">
        <v>2500</v>
      </c>
      <c r="P14" s="1084"/>
      <c r="Q14" s="1084">
        <v>-16</v>
      </c>
      <c r="R14" s="1084">
        <v>2000</v>
      </c>
      <c r="S14" s="1084"/>
      <c r="T14" s="1084"/>
      <c r="U14" s="1084"/>
      <c r="V14" s="1084"/>
      <c r="W14" s="1084"/>
      <c r="X14" s="1084"/>
      <c r="Y14" s="1084">
        <v>3997</v>
      </c>
      <c r="Z14" s="1084"/>
      <c r="AA14" s="1084"/>
      <c r="AB14" s="1084"/>
      <c r="AC14" s="1084">
        <v>0</v>
      </c>
      <c r="AD14" s="1084">
        <f>AC14+AE14</f>
        <v>0</v>
      </c>
      <c r="AE14" s="1084">
        <f>SUM(AF14:AK14)</f>
        <v>0</v>
      </c>
      <c r="AF14" s="1084"/>
      <c r="AG14" s="1084"/>
      <c r="AH14" s="1084"/>
      <c r="AI14" s="1084"/>
      <c r="AJ14" s="1084"/>
      <c r="AK14" s="1084"/>
      <c r="AL14" s="1084">
        <v>30486</v>
      </c>
      <c r="AM14" s="1085">
        <f>AN14+AL14</f>
        <v>20046</v>
      </c>
      <c r="AN14" s="1085">
        <f>SUM(AO14:AW14)</f>
        <v>-10440</v>
      </c>
      <c r="AO14" s="1085">
        <v>-10440</v>
      </c>
      <c r="AP14" s="1085"/>
      <c r="AQ14" s="1085"/>
      <c r="AR14" s="1085"/>
      <c r="AS14" s="1085"/>
      <c r="AT14" s="1085"/>
      <c r="AU14" s="1085"/>
      <c r="AV14" s="1085"/>
      <c r="AW14" s="1085"/>
      <c r="AX14" s="1085"/>
      <c r="AY14" s="1085">
        <v>0</v>
      </c>
      <c r="AZ14" s="1085">
        <f>BA14+AY14</f>
        <v>0</v>
      </c>
      <c r="BA14" s="1085">
        <f>SUM(BB14:BE14)</f>
        <v>0</v>
      </c>
      <c r="BB14" s="1085"/>
      <c r="BC14" s="1085"/>
      <c r="BD14" s="1085"/>
      <c r="BE14" s="1085"/>
      <c r="BF14" s="1085"/>
      <c r="BG14" s="1084">
        <f>BH14+BF14</f>
        <v>0</v>
      </c>
      <c r="BH14" s="1084">
        <f t="shared" ref="BH14:BH25" si="2">SUM(BI14:BS14)</f>
        <v>0</v>
      </c>
      <c r="BI14" s="1084"/>
      <c r="BJ14" s="1084"/>
      <c r="BK14" s="1084"/>
      <c r="BL14" s="1084"/>
      <c r="BM14" s="1084"/>
      <c r="BN14" s="1084"/>
      <c r="BO14" s="1086"/>
      <c r="BP14" s="1084"/>
      <c r="BQ14" s="1087"/>
      <c r="BR14" s="1084"/>
      <c r="BS14" s="1088"/>
      <c r="BT14" s="1089" t="s">
        <v>1316</v>
      </c>
      <c r="BU14" s="1090"/>
    </row>
    <row r="15" spans="1:73" ht="24" x14ac:dyDescent="0.25">
      <c r="A15" s="1091"/>
      <c r="C15" s="1092"/>
      <c r="D15" s="1093"/>
      <c r="E15" s="1082" t="s">
        <v>1317</v>
      </c>
      <c r="F15" s="1083">
        <f t="shared" ref="F15:F25" si="3">H15+AC15+AL15+AX15+AY15+BF15</f>
        <v>164472</v>
      </c>
      <c r="G15" s="1083">
        <f t="shared" ref="G15:G25" si="4">I15+AD15+AM15+AX15+AZ15+BG15</f>
        <v>164472</v>
      </c>
      <c r="H15" s="1084">
        <v>164472</v>
      </c>
      <c r="I15" s="1084">
        <f t="shared" ref="I15:I25" si="5">H15+J15</f>
        <v>164472</v>
      </c>
      <c r="J15" s="1084">
        <f t="shared" ref="J15:J24" si="6">SUM(K15:AB15)</f>
        <v>0</v>
      </c>
      <c r="K15" s="1084"/>
      <c r="L15" s="1084"/>
      <c r="M15" s="1084"/>
      <c r="N15" s="1084"/>
      <c r="O15" s="1084"/>
      <c r="P15" s="1084"/>
      <c r="Q15" s="1084"/>
      <c r="R15" s="1084"/>
      <c r="S15" s="1084"/>
      <c r="T15" s="1084"/>
      <c r="U15" s="1084"/>
      <c r="V15" s="1084"/>
      <c r="W15" s="1084"/>
      <c r="X15" s="1084"/>
      <c r="Y15" s="1084"/>
      <c r="Z15" s="1084"/>
      <c r="AA15" s="1084"/>
      <c r="AB15" s="1084"/>
      <c r="AC15" s="1084">
        <v>0</v>
      </c>
      <c r="AD15" s="1084">
        <f t="shared" ref="AD15:AD25" si="7">AC15+AE15</f>
        <v>0</v>
      </c>
      <c r="AE15" s="1084">
        <f t="shared" ref="AE15:AE24" si="8">SUM(AF15:AK15)</f>
        <v>0</v>
      </c>
      <c r="AF15" s="1084"/>
      <c r="AG15" s="1084"/>
      <c r="AH15" s="1084"/>
      <c r="AI15" s="1084"/>
      <c r="AJ15" s="1084"/>
      <c r="AK15" s="1084"/>
      <c r="AL15" s="1084">
        <v>0</v>
      </c>
      <c r="AM15" s="1085">
        <f>AN15+AL15</f>
        <v>0</v>
      </c>
      <c r="AN15" s="1085">
        <f>SUM(AO15:AW15)</f>
        <v>0</v>
      </c>
      <c r="AO15" s="1085"/>
      <c r="AP15" s="1085"/>
      <c r="AQ15" s="1085"/>
      <c r="AR15" s="1085"/>
      <c r="AS15" s="1085"/>
      <c r="AT15" s="1085"/>
      <c r="AU15" s="1085"/>
      <c r="AV15" s="1085"/>
      <c r="AW15" s="1085"/>
      <c r="AX15" s="1085"/>
      <c r="AY15" s="1085">
        <v>0</v>
      </c>
      <c r="AZ15" s="1085">
        <f t="shared" ref="AZ15:AZ20" si="9">BA15+AY15</f>
        <v>0</v>
      </c>
      <c r="BA15" s="1085">
        <f t="shared" ref="BA15:BA20" si="10">SUM(BB15:BE15)</f>
        <v>0</v>
      </c>
      <c r="BB15" s="1085"/>
      <c r="BC15" s="1085"/>
      <c r="BD15" s="1085"/>
      <c r="BE15" s="1085"/>
      <c r="BF15" s="1085"/>
      <c r="BG15" s="1084">
        <f t="shared" ref="BG15:BG25" si="11">BH15+BF15</f>
        <v>0</v>
      </c>
      <c r="BH15" s="1084">
        <f t="shared" si="2"/>
        <v>0</v>
      </c>
      <c r="BI15" s="1084"/>
      <c r="BJ15" s="1084"/>
      <c r="BK15" s="1084"/>
      <c r="BL15" s="1084"/>
      <c r="BM15" s="1084"/>
      <c r="BN15" s="1084"/>
      <c r="BO15" s="1086"/>
      <c r="BP15" s="1084"/>
      <c r="BQ15" s="1087"/>
      <c r="BR15" s="1084"/>
      <c r="BS15" s="1088"/>
      <c r="BT15" s="1089" t="s">
        <v>1318</v>
      </c>
      <c r="BU15" s="1090"/>
    </row>
    <row r="16" spans="1:73" ht="24" x14ac:dyDescent="0.25">
      <c r="A16" s="1094"/>
      <c r="B16" s="1095"/>
      <c r="C16" s="1096"/>
      <c r="D16" s="1097"/>
      <c r="E16" s="1082" t="s">
        <v>361</v>
      </c>
      <c r="F16" s="1083">
        <f t="shared" si="3"/>
        <v>100957</v>
      </c>
      <c r="G16" s="1083">
        <f t="shared" si="4"/>
        <v>126087</v>
      </c>
      <c r="H16" s="1084">
        <v>100957</v>
      </c>
      <c r="I16" s="1084">
        <f t="shared" si="5"/>
        <v>126087</v>
      </c>
      <c r="J16" s="1084">
        <f t="shared" si="6"/>
        <v>25130</v>
      </c>
      <c r="K16" s="1084"/>
      <c r="L16" s="1084"/>
      <c r="M16" s="1084"/>
      <c r="N16" s="1084"/>
      <c r="O16" s="1084"/>
      <c r="P16" s="1084">
        <v>15641</v>
      </c>
      <c r="Q16" s="1084"/>
      <c r="R16" s="1084"/>
      <c r="S16" s="1084"/>
      <c r="T16" s="1084"/>
      <c r="U16" s="1084"/>
      <c r="V16" s="1084">
        <v>9489</v>
      </c>
      <c r="W16" s="1084"/>
      <c r="X16" s="1084"/>
      <c r="Y16" s="1084"/>
      <c r="Z16" s="1084"/>
      <c r="AA16" s="1084"/>
      <c r="AB16" s="1084"/>
      <c r="AC16" s="1084">
        <v>0</v>
      </c>
      <c r="AD16" s="1084">
        <f t="shared" si="7"/>
        <v>0</v>
      </c>
      <c r="AE16" s="1084">
        <f t="shared" si="8"/>
        <v>0</v>
      </c>
      <c r="AF16" s="1084"/>
      <c r="AG16" s="1084"/>
      <c r="AH16" s="1084"/>
      <c r="AI16" s="1084"/>
      <c r="AJ16" s="1084"/>
      <c r="AK16" s="1084"/>
      <c r="AL16" s="1084">
        <v>0</v>
      </c>
      <c r="AM16" s="1085">
        <f t="shared" ref="AM16:AM20" si="12">AN16+AL16</f>
        <v>0</v>
      </c>
      <c r="AN16" s="1085">
        <f t="shared" ref="AN16:AN20" si="13">SUM(AO16:AW16)</f>
        <v>0</v>
      </c>
      <c r="AO16" s="1085"/>
      <c r="AP16" s="1085"/>
      <c r="AQ16" s="1085"/>
      <c r="AR16" s="1085"/>
      <c r="AS16" s="1085"/>
      <c r="AT16" s="1085"/>
      <c r="AU16" s="1085"/>
      <c r="AV16" s="1085"/>
      <c r="AW16" s="1085"/>
      <c r="AX16" s="1085"/>
      <c r="AY16" s="1085">
        <v>0</v>
      </c>
      <c r="AZ16" s="1085">
        <f t="shared" si="9"/>
        <v>0</v>
      </c>
      <c r="BA16" s="1085">
        <f t="shared" si="10"/>
        <v>0</v>
      </c>
      <c r="BB16" s="1085"/>
      <c r="BC16" s="1085"/>
      <c r="BD16" s="1085"/>
      <c r="BE16" s="1085"/>
      <c r="BF16" s="1085"/>
      <c r="BG16" s="1084">
        <f t="shared" si="11"/>
        <v>0</v>
      </c>
      <c r="BH16" s="1084">
        <f t="shared" si="2"/>
        <v>0</v>
      </c>
      <c r="BI16" s="1084"/>
      <c r="BJ16" s="1084"/>
      <c r="BK16" s="1084"/>
      <c r="BL16" s="1084"/>
      <c r="BM16" s="1084"/>
      <c r="BN16" s="1084"/>
      <c r="BO16" s="1086"/>
      <c r="BP16" s="1084"/>
      <c r="BQ16" s="1087"/>
      <c r="BR16" s="1084"/>
      <c r="BS16" s="1088"/>
      <c r="BT16" s="1089" t="s">
        <v>1319</v>
      </c>
      <c r="BU16" s="1090" t="s">
        <v>1320</v>
      </c>
    </row>
    <row r="17" spans="1:73" ht="36" x14ac:dyDescent="0.25">
      <c r="A17" s="1094"/>
      <c r="B17" s="1095"/>
      <c r="C17" s="1096"/>
      <c r="D17" s="1097"/>
      <c r="E17" s="1082" t="s">
        <v>1321</v>
      </c>
      <c r="F17" s="1083">
        <f t="shared" si="3"/>
        <v>600804</v>
      </c>
      <c r="G17" s="1083">
        <f t="shared" si="4"/>
        <v>600804</v>
      </c>
      <c r="H17" s="1084">
        <v>600804</v>
      </c>
      <c r="I17" s="1084">
        <f t="shared" si="5"/>
        <v>600804</v>
      </c>
      <c r="J17" s="1084">
        <f t="shared" si="6"/>
        <v>0</v>
      </c>
      <c r="K17" s="1084"/>
      <c r="L17" s="1084"/>
      <c r="M17" s="1084"/>
      <c r="N17" s="1084"/>
      <c r="O17" s="1084"/>
      <c r="P17" s="1084"/>
      <c r="Q17" s="1084"/>
      <c r="R17" s="1084"/>
      <c r="S17" s="1084"/>
      <c r="T17" s="1084"/>
      <c r="U17" s="1084"/>
      <c r="V17" s="1084"/>
      <c r="W17" s="1084"/>
      <c r="X17" s="1084"/>
      <c r="Y17" s="1084"/>
      <c r="Z17" s="1084"/>
      <c r="AA17" s="1084"/>
      <c r="AB17" s="1084"/>
      <c r="AC17" s="1084">
        <v>0</v>
      </c>
      <c r="AD17" s="1084">
        <f t="shared" si="7"/>
        <v>0</v>
      </c>
      <c r="AE17" s="1084">
        <f t="shared" si="8"/>
        <v>0</v>
      </c>
      <c r="AF17" s="1084"/>
      <c r="AG17" s="1084"/>
      <c r="AH17" s="1084"/>
      <c r="AI17" s="1084"/>
      <c r="AJ17" s="1084"/>
      <c r="AK17" s="1084"/>
      <c r="AL17" s="1084">
        <v>0</v>
      </c>
      <c r="AM17" s="1085">
        <f t="shared" si="12"/>
        <v>0</v>
      </c>
      <c r="AN17" s="1085">
        <f t="shared" si="13"/>
        <v>0</v>
      </c>
      <c r="AO17" s="1085"/>
      <c r="AP17" s="1085"/>
      <c r="AQ17" s="1085"/>
      <c r="AR17" s="1085"/>
      <c r="AS17" s="1085"/>
      <c r="AT17" s="1085"/>
      <c r="AU17" s="1085"/>
      <c r="AV17" s="1085"/>
      <c r="AW17" s="1085"/>
      <c r="AX17" s="1085"/>
      <c r="AY17" s="1085">
        <v>0</v>
      </c>
      <c r="AZ17" s="1085">
        <f t="shared" si="9"/>
        <v>0</v>
      </c>
      <c r="BA17" s="1085">
        <f t="shared" si="10"/>
        <v>0</v>
      </c>
      <c r="BB17" s="1085"/>
      <c r="BC17" s="1085"/>
      <c r="BD17" s="1085"/>
      <c r="BE17" s="1085"/>
      <c r="BF17" s="1085"/>
      <c r="BG17" s="1084">
        <f t="shared" si="11"/>
        <v>0</v>
      </c>
      <c r="BH17" s="1084">
        <f t="shared" si="2"/>
        <v>0</v>
      </c>
      <c r="BI17" s="1084"/>
      <c r="BJ17" s="1084"/>
      <c r="BK17" s="1084"/>
      <c r="BL17" s="1084"/>
      <c r="BM17" s="1084"/>
      <c r="BN17" s="1084"/>
      <c r="BO17" s="1086"/>
      <c r="BP17" s="1084"/>
      <c r="BQ17" s="1087"/>
      <c r="BR17" s="1084"/>
      <c r="BS17" s="1088"/>
      <c r="BT17" s="1089" t="s">
        <v>1322</v>
      </c>
      <c r="BU17" s="1090"/>
    </row>
    <row r="18" spans="1:73" ht="24" x14ac:dyDescent="0.25">
      <c r="A18" s="1094"/>
      <c r="B18" s="1095"/>
      <c r="C18" s="1096"/>
      <c r="D18" s="1097"/>
      <c r="E18" s="1082" t="s">
        <v>1323</v>
      </c>
      <c r="F18" s="1083">
        <f t="shared" si="3"/>
        <v>1086333</v>
      </c>
      <c r="G18" s="1083">
        <f t="shared" si="4"/>
        <v>986333</v>
      </c>
      <c r="H18" s="1084">
        <v>1086333</v>
      </c>
      <c r="I18" s="1084">
        <f t="shared" si="5"/>
        <v>986333</v>
      </c>
      <c r="J18" s="1084">
        <f t="shared" si="6"/>
        <v>-100000</v>
      </c>
      <c r="K18" s="1084">
        <v>-100000</v>
      </c>
      <c r="L18" s="1084"/>
      <c r="M18" s="1084"/>
      <c r="N18" s="1084"/>
      <c r="O18" s="1084"/>
      <c r="P18" s="1084"/>
      <c r="Q18" s="1084"/>
      <c r="R18" s="1084"/>
      <c r="S18" s="1084"/>
      <c r="T18" s="1084"/>
      <c r="U18" s="1084"/>
      <c r="V18" s="1084"/>
      <c r="W18" s="1084"/>
      <c r="X18" s="1084"/>
      <c r="Y18" s="1084"/>
      <c r="Z18" s="1084"/>
      <c r="AA18" s="1084"/>
      <c r="AB18" s="1084"/>
      <c r="AC18" s="1084">
        <v>0</v>
      </c>
      <c r="AD18" s="1084">
        <f t="shared" si="7"/>
        <v>0</v>
      </c>
      <c r="AE18" s="1084">
        <f t="shared" si="8"/>
        <v>0</v>
      </c>
      <c r="AF18" s="1084"/>
      <c r="AG18" s="1084"/>
      <c r="AH18" s="1084"/>
      <c r="AI18" s="1084"/>
      <c r="AJ18" s="1084"/>
      <c r="AK18" s="1084"/>
      <c r="AL18" s="1084">
        <v>0</v>
      </c>
      <c r="AM18" s="1085">
        <f t="shared" si="12"/>
        <v>0</v>
      </c>
      <c r="AN18" s="1085">
        <f>SUM(AO18:AW18)</f>
        <v>0</v>
      </c>
      <c r="AO18" s="1085"/>
      <c r="AP18" s="1085"/>
      <c r="AQ18" s="1085"/>
      <c r="AR18" s="1085"/>
      <c r="AS18" s="1085"/>
      <c r="AT18" s="1085"/>
      <c r="AU18" s="1085"/>
      <c r="AV18" s="1085"/>
      <c r="AW18" s="1085"/>
      <c r="AX18" s="1085"/>
      <c r="AY18" s="1085">
        <v>0</v>
      </c>
      <c r="AZ18" s="1085">
        <f t="shared" si="9"/>
        <v>0</v>
      </c>
      <c r="BA18" s="1085">
        <f t="shared" si="10"/>
        <v>0</v>
      </c>
      <c r="BB18" s="1085"/>
      <c r="BC18" s="1085"/>
      <c r="BD18" s="1085"/>
      <c r="BE18" s="1085"/>
      <c r="BF18" s="1085"/>
      <c r="BG18" s="1084">
        <f t="shared" si="11"/>
        <v>0</v>
      </c>
      <c r="BH18" s="1084">
        <f t="shared" si="2"/>
        <v>0</v>
      </c>
      <c r="BI18" s="1084"/>
      <c r="BJ18" s="1084"/>
      <c r="BK18" s="1084"/>
      <c r="BL18" s="1084"/>
      <c r="BM18" s="1084"/>
      <c r="BN18" s="1084"/>
      <c r="BO18" s="1086"/>
      <c r="BP18" s="1084"/>
      <c r="BQ18" s="1087"/>
      <c r="BR18" s="1084"/>
      <c r="BS18" s="1088"/>
      <c r="BT18" s="1089" t="s">
        <v>1324</v>
      </c>
      <c r="BU18" s="1090" t="s">
        <v>1325</v>
      </c>
    </row>
    <row r="19" spans="1:73" ht="36" x14ac:dyDescent="0.25">
      <c r="A19" s="1094"/>
      <c r="B19" s="1095"/>
      <c r="C19" s="1096"/>
      <c r="D19" s="1097"/>
      <c r="E19" s="1098" t="s">
        <v>1326</v>
      </c>
      <c r="F19" s="1083">
        <f t="shared" si="3"/>
        <v>4000</v>
      </c>
      <c r="G19" s="1083">
        <f t="shared" si="4"/>
        <v>2000</v>
      </c>
      <c r="H19" s="1084">
        <v>4000</v>
      </c>
      <c r="I19" s="1084">
        <f t="shared" si="5"/>
        <v>2000</v>
      </c>
      <c r="J19" s="1084">
        <f t="shared" si="6"/>
        <v>-2000</v>
      </c>
      <c r="K19" s="1084"/>
      <c r="L19" s="1084"/>
      <c r="M19" s="1084"/>
      <c r="N19" s="1084"/>
      <c r="O19" s="1084"/>
      <c r="P19" s="1084"/>
      <c r="Q19" s="1084">
        <v>-2000</v>
      </c>
      <c r="R19" s="1084"/>
      <c r="S19" s="1084"/>
      <c r="T19" s="1084"/>
      <c r="U19" s="1084"/>
      <c r="V19" s="1084"/>
      <c r="W19" s="1084"/>
      <c r="X19" s="1084"/>
      <c r="Y19" s="1084"/>
      <c r="Z19" s="1084"/>
      <c r="AA19" s="1084"/>
      <c r="AB19" s="1084"/>
      <c r="AC19" s="1084">
        <v>0</v>
      </c>
      <c r="AD19" s="1084">
        <f t="shared" si="7"/>
        <v>0</v>
      </c>
      <c r="AE19" s="1084">
        <f t="shared" si="8"/>
        <v>0</v>
      </c>
      <c r="AF19" s="1084"/>
      <c r="AG19" s="1084"/>
      <c r="AH19" s="1084"/>
      <c r="AI19" s="1084"/>
      <c r="AJ19" s="1084"/>
      <c r="AK19" s="1084"/>
      <c r="AL19" s="1084">
        <v>0</v>
      </c>
      <c r="AM19" s="1085">
        <f t="shared" si="12"/>
        <v>0</v>
      </c>
      <c r="AN19" s="1085">
        <f t="shared" si="13"/>
        <v>0</v>
      </c>
      <c r="AO19" s="1085"/>
      <c r="AP19" s="1085"/>
      <c r="AQ19" s="1085"/>
      <c r="AR19" s="1085"/>
      <c r="AS19" s="1085"/>
      <c r="AT19" s="1085"/>
      <c r="AU19" s="1085"/>
      <c r="AV19" s="1085"/>
      <c r="AW19" s="1085"/>
      <c r="AX19" s="1085"/>
      <c r="AY19" s="1085">
        <v>0</v>
      </c>
      <c r="AZ19" s="1085">
        <f t="shared" si="9"/>
        <v>0</v>
      </c>
      <c r="BA19" s="1085">
        <f t="shared" si="10"/>
        <v>0</v>
      </c>
      <c r="BB19" s="1085"/>
      <c r="BC19" s="1085"/>
      <c r="BD19" s="1085"/>
      <c r="BE19" s="1085"/>
      <c r="BF19" s="1085"/>
      <c r="BG19" s="1084">
        <f t="shared" si="11"/>
        <v>0</v>
      </c>
      <c r="BH19" s="1084">
        <f t="shared" si="2"/>
        <v>0</v>
      </c>
      <c r="BI19" s="1084"/>
      <c r="BJ19" s="1084"/>
      <c r="BK19" s="1084"/>
      <c r="BL19" s="1084"/>
      <c r="BM19" s="1084"/>
      <c r="BN19" s="1084"/>
      <c r="BO19" s="1086"/>
      <c r="BP19" s="1084"/>
      <c r="BQ19" s="1087"/>
      <c r="BR19" s="1084"/>
      <c r="BS19" s="1088"/>
      <c r="BT19" s="1089" t="s">
        <v>1327</v>
      </c>
      <c r="BU19" s="1099" t="s">
        <v>1328</v>
      </c>
    </row>
    <row r="20" spans="1:73" ht="36" x14ac:dyDescent="0.25">
      <c r="A20" s="1094"/>
      <c r="B20" s="1095"/>
      <c r="C20" s="1096"/>
      <c r="D20" s="1097"/>
      <c r="E20" s="1100" t="s">
        <v>1329</v>
      </c>
      <c r="F20" s="1101">
        <f t="shared" si="3"/>
        <v>15555</v>
      </c>
      <c r="G20" s="1101">
        <f t="shared" si="4"/>
        <v>15555</v>
      </c>
      <c r="H20" s="1102">
        <v>15555</v>
      </c>
      <c r="I20" s="1084">
        <f t="shared" si="5"/>
        <v>15555</v>
      </c>
      <c r="J20" s="1084">
        <f t="shared" si="6"/>
        <v>0</v>
      </c>
      <c r="K20" s="1102"/>
      <c r="L20" s="1102"/>
      <c r="M20" s="1102"/>
      <c r="N20" s="1102"/>
      <c r="O20" s="1102"/>
      <c r="P20" s="1102"/>
      <c r="Q20" s="1102"/>
      <c r="R20" s="1102"/>
      <c r="S20" s="1102"/>
      <c r="T20" s="1102"/>
      <c r="U20" s="1102"/>
      <c r="V20" s="1102"/>
      <c r="W20" s="1102"/>
      <c r="X20" s="1102"/>
      <c r="Y20" s="1102"/>
      <c r="Z20" s="1102"/>
      <c r="AA20" s="1102"/>
      <c r="AB20" s="1102"/>
      <c r="AC20" s="1102">
        <v>0</v>
      </c>
      <c r="AD20" s="1084">
        <f t="shared" si="7"/>
        <v>0</v>
      </c>
      <c r="AE20" s="1084">
        <f t="shared" si="8"/>
        <v>0</v>
      </c>
      <c r="AF20" s="1102"/>
      <c r="AG20" s="1102"/>
      <c r="AH20" s="1102"/>
      <c r="AI20" s="1102"/>
      <c r="AJ20" s="1102"/>
      <c r="AK20" s="1102"/>
      <c r="AL20" s="1102">
        <v>0</v>
      </c>
      <c r="AM20" s="1085">
        <f t="shared" si="12"/>
        <v>0</v>
      </c>
      <c r="AN20" s="1085">
        <f t="shared" si="13"/>
        <v>0</v>
      </c>
      <c r="AO20" s="1103"/>
      <c r="AP20" s="1103"/>
      <c r="AQ20" s="1103"/>
      <c r="AR20" s="1103"/>
      <c r="AS20" s="1103"/>
      <c r="AT20" s="1103"/>
      <c r="AU20" s="1103"/>
      <c r="AV20" s="1103"/>
      <c r="AW20" s="1103"/>
      <c r="AX20" s="1103"/>
      <c r="AY20" s="1103">
        <v>0</v>
      </c>
      <c r="AZ20" s="1085">
        <f t="shared" si="9"/>
        <v>0</v>
      </c>
      <c r="BA20" s="1085">
        <f t="shared" si="10"/>
        <v>0</v>
      </c>
      <c r="BB20" s="1103"/>
      <c r="BC20" s="1103"/>
      <c r="BD20" s="1103"/>
      <c r="BE20" s="1103"/>
      <c r="BF20" s="1103"/>
      <c r="BG20" s="1084">
        <f t="shared" si="11"/>
        <v>0</v>
      </c>
      <c r="BH20" s="1084">
        <f t="shared" si="2"/>
        <v>0</v>
      </c>
      <c r="BI20" s="1102"/>
      <c r="BJ20" s="1102"/>
      <c r="BK20" s="1102"/>
      <c r="BL20" s="1102"/>
      <c r="BM20" s="1102"/>
      <c r="BN20" s="1102"/>
      <c r="BO20" s="1104"/>
      <c r="BP20" s="1102"/>
      <c r="BQ20" s="1105"/>
      <c r="BR20" s="1102"/>
      <c r="BS20" s="1106"/>
      <c r="BT20" s="1089" t="s">
        <v>1330</v>
      </c>
      <c r="BU20" s="1099"/>
    </row>
    <row r="21" spans="1:73" ht="12.75" x14ac:dyDescent="0.25">
      <c r="A21" s="1094"/>
      <c r="B21" s="1095"/>
      <c r="C21" s="1514" t="s">
        <v>1047</v>
      </c>
      <c r="D21" s="1515"/>
      <c r="E21" s="1082" t="s">
        <v>1331</v>
      </c>
      <c r="F21" s="1083">
        <f t="shared" si="3"/>
        <v>277490</v>
      </c>
      <c r="G21" s="1083">
        <f t="shared" si="4"/>
        <v>277490</v>
      </c>
      <c r="H21" s="1084">
        <f>341490-64000</f>
        <v>277490</v>
      </c>
      <c r="I21" s="1084">
        <f t="shared" si="5"/>
        <v>277490</v>
      </c>
      <c r="J21" s="1084">
        <f t="shared" si="6"/>
        <v>0</v>
      </c>
      <c r="K21" s="1084"/>
      <c r="L21" s="1084"/>
      <c r="M21" s="1084"/>
      <c r="N21" s="1084"/>
      <c r="O21" s="1084"/>
      <c r="P21" s="1084"/>
      <c r="Q21" s="1084"/>
      <c r="R21" s="1084"/>
      <c r="S21" s="1084"/>
      <c r="T21" s="1084"/>
      <c r="U21" s="1084"/>
      <c r="V21" s="1084"/>
      <c r="W21" s="1084"/>
      <c r="X21" s="1084"/>
      <c r="Y21" s="1084"/>
      <c r="Z21" s="1084"/>
      <c r="AA21" s="1084"/>
      <c r="AB21" s="1084"/>
      <c r="AC21" s="1084"/>
      <c r="AD21" s="1084">
        <f t="shared" si="7"/>
        <v>0</v>
      </c>
      <c r="AE21" s="1084">
        <f t="shared" si="8"/>
        <v>0</v>
      </c>
      <c r="AF21" s="1084"/>
      <c r="AG21" s="1084"/>
      <c r="AH21" s="1084"/>
      <c r="AI21" s="1084"/>
      <c r="AJ21" s="1084"/>
      <c r="AK21" s="1084"/>
      <c r="AL21" s="1084"/>
      <c r="AM21" s="1085"/>
      <c r="AN21" s="1085"/>
      <c r="AO21" s="1085"/>
      <c r="AP21" s="1085"/>
      <c r="AQ21" s="1085"/>
      <c r="AR21" s="1085"/>
      <c r="AS21" s="1085"/>
      <c r="AT21" s="1085"/>
      <c r="AU21" s="1085"/>
      <c r="AV21" s="1085"/>
      <c r="AW21" s="1085"/>
      <c r="AX21" s="1085"/>
      <c r="AY21" s="1085"/>
      <c r="AZ21" s="1085"/>
      <c r="BA21" s="1085"/>
      <c r="BB21" s="1085"/>
      <c r="BC21" s="1085"/>
      <c r="BD21" s="1085"/>
      <c r="BE21" s="1085"/>
      <c r="BF21" s="1085"/>
      <c r="BG21" s="1084">
        <f t="shared" si="11"/>
        <v>0</v>
      </c>
      <c r="BH21" s="1084">
        <f t="shared" si="2"/>
        <v>0</v>
      </c>
      <c r="BI21" s="1084"/>
      <c r="BJ21" s="1084"/>
      <c r="BK21" s="1084"/>
      <c r="BL21" s="1084"/>
      <c r="BM21" s="1084"/>
      <c r="BN21" s="1084"/>
      <c r="BO21" s="1086"/>
      <c r="BP21" s="1084"/>
      <c r="BQ21" s="1087"/>
      <c r="BR21" s="1084"/>
      <c r="BS21" s="1088"/>
      <c r="BT21" s="1089" t="s">
        <v>1332</v>
      </c>
      <c r="BU21" s="1090"/>
    </row>
    <row r="22" spans="1:73" ht="24" x14ac:dyDescent="0.25">
      <c r="A22" s="1094"/>
      <c r="B22" s="1095"/>
      <c r="C22" s="1096"/>
      <c r="D22" s="1107"/>
      <c r="E22" s="1082" t="s">
        <v>1333</v>
      </c>
      <c r="F22" s="1083">
        <f t="shared" si="3"/>
        <v>11735219</v>
      </c>
      <c r="G22" s="1083">
        <f t="shared" si="4"/>
        <v>11802058</v>
      </c>
      <c r="H22" s="1084">
        <v>11735219</v>
      </c>
      <c r="I22" s="1084">
        <f t="shared" si="5"/>
        <v>11802058</v>
      </c>
      <c r="J22" s="1084">
        <f t="shared" si="6"/>
        <v>66839</v>
      </c>
      <c r="K22" s="1084"/>
      <c r="L22" s="1084"/>
      <c r="M22" s="1084"/>
      <c r="N22" s="1084"/>
      <c r="O22" s="1084"/>
      <c r="P22" s="1084"/>
      <c r="Q22" s="1084"/>
      <c r="R22" s="1084"/>
      <c r="S22" s="1084"/>
      <c r="T22" s="1084"/>
      <c r="U22" s="1084"/>
      <c r="V22" s="1084"/>
      <c r="W22" s="1084"/>
      <c r="X22" s="1084"/>
      <c r="Y22" s="1084"/>
      <c r="Z22" s="1084">
        <v>66839</v>
      </c>
      <c r="AA22" s="1084"/>
      <c r="AB22" s="1084"/>
      <c r="AC22" s="1084"/>
      <c r="AD22" s="1084">
        <f t="shared" si="7"/>
        <v>0</v>
      </c>
      <c r="AE22" s="1084">
        <f t="shared" si="8"/>
        <v>0</v>
      </c>
      <c r="AF22" s="1084"/>
      <c r="AG22" s="1084"/>
      <c r="AH22" s="1084"/>
      <c r="AI22" s="1084"/>
      <c r="AJ22" s="1084"/>
      <c r="AK22" s="1084"/>
      <c r="AL22" s="1084"/>
      <c r="AM22" s="1085"/>
      <c r="AN22" s="1085"/>
      <c r="AO22" s="1085"/>
      <c r="AP22" s="1085"/>
      <c r="AQ22" s="1085"/>
      <c r="AR22" s="1085"/>
      <c r="AS22" s="1085"/>
      <c r="AT22" s="1085"/>
      <c r="AU22" s="1085"/>
      <c r="AV22" s="1085"/>
      <c r="AW22" s="1085"/>
      <c r="AX22" s="1085"/>
      <c r="AY22" s="1085"/>
      <c r="AZ22" s="1085"/>
      <c r="BA22" s="1085"/>
      <c r="BB22" s="1085"/>
      <c r="BC22" s="1085"/>
      <c r="BD22" s="1085"/>
      <c r="BE22" s="1085"/>
      <c r="BF22" s="1085"/>
      <c r="BG22" s="1084">
        <f t="shared" si="11"/>
        <v>0</v>
      </c>
      <c r="BH22" s="1084">
        <f t="shared" si="2"/>
        <v>0</v>
      </c>
      <c r="BI22" s="1084"/>
      <c r="BJ22" s="1084"/>
      <c r="BK22" s="1084"/>
      <c r="BL22" s="1084"/>
      <c r="BM22" s="1084"/>
      <c r="BN22" s="1084"/>
      <c r="BO22" s="1086"/>
      <c r="BP22" s="1084"/>
      <c r="BQ22" s="1087"/>
      <c r="BR22" s="1084"/>
      <c r="BS22" s="1088"/>
      <c r="BT22" s="1089" t="s">
        <v>1334</v>
      </c>
      <c r="BU22" s="1090"/>
    </row>
    <row r="23" spans="1:73" ht="24" x14ac:dyDescent="0.25">
      <c r="A23" s="1094"/>
      <c r="B23" s="1095"/>
      <c r="C23" s="1096"/>
      <c r="D23" s="1107"/>
      <c r="E23" s="1082" t="s">
        <v>1050</v>
      </c>
      <c r="F23" s="1083">
        <f t="shared" si="3"/>
        <v>200000</v>
      </c>
      <c r="G23" s="1083">
        <f t="shared" si="4"/>
        <v>46043</v>
      </c>
      <c r="H23" s="1084">
        <v>200000</v>
      </c>
      <c r="I23" s="1084">
        <f t="shared" si="5"/>
        <v>46043</v>
      </c>
      <c r="J23" s="1084">
        <f t="shared" si="6"/>
        <v>-153957</v>
      </c>
      <c r="K23" s="1084"/>
      <c r="L23" s="1084"/>
      <c r="M23" s="1084">
        <f>-42000-12680</f>
        <v>-54680</v>
      </c>
      <c r="N23" s="1084">
        <f>-3838-556</f>
        <v>-4394</v>
      </c>
      <c r="O23" s="1084">
        <f>2968-5814-4235-2500</f>
        <v>-9581</v>
      </c>
      <c r="P23" s="1084">
        <f>-6234-2070-498-4598</f>
        <v>-13400</v>
      </c>
      <c r="Q23" s="1084">
        <v>-6124</v>
      </c>
      <c r="R23" s="1084"/>
      <c r="S23" s="1084">
        <f>-4723-914</f>
        <v>-5637</v>
      </c>
      <c r="T23" s="1084"/>
      <c r="U23" s="1084"/>
      <c r="V23" s="1084">
        <f>-21948</f>
        <v>-21948</v>
      </c>
      <c r="W23" s="1084">
        <v>-4031</v>
      </c>
      <c r="X23" s="1084">
        <v>-538</v>
      </c>
      <c r="Y23" s="1084">
        <f>-3997-16000-3300</f>
        <v>-23297</v>
      </c>
      <c r="Z23" s="1084">
        <v>-7505</v>
      </c>
      <c r="AA23" s="1084">
        <v>-2822</v>
      </c>
      <c r="AB23" s="1084"/>
      <c r="AC23" s="1084"/>
      <c r="AD23" s="1084">
        <f t="shared" si="7"/>
        <v>0</v>
      </c>
      <c r="AE23" s="1084">
        <f t="shared" si="8"/>
        <v>0</v>
      </c>
      <c r="AF23" s="1084"/>
      <c r="AG23" s="1084"/>
      <c r="AH23" s="1084"/>
      <c r="AI23" s="1084"/>
      <c r="AJ23" s="1084"/>
      <c r="AK23" s="1084"/>
      <c r="AL23" s="1084"/>
      <c r="AM23" s="1085"/>
      <c r="AN23" s="1085"/>
      <c r="AO23" s="1085"/>
      <c r="AP23" s="1085"/>
      <c r="AQ23" s="1085"/>
      <c r="AR23" s="1085"/>
      <c r="AS23" s="1085"/>
      <c r="AT23" s="1085"/>
      <c r="AU23" s="1085"/>
      <c r="AV23" s="1085"/>
      <c r="AW23" s="1085"/>
      <c r="AX23" s="1085"/>
      <c r="AY23" s="1085"/>
      <c r="AZ23" s="1085"/>
      <c r="BA23" s="1085"/>
      <c r="BB23" s="1085"/>
      <c r="BC23" s="1085"/>
      <c r="BD23" s="1085"/>
      <c r="BE23" s="1085"/>
      <c r="BF23" s="1085"/>
      <c r="BG23" s="1084">
        <f t="shared" si="11"/>
        <v>0</v>
      </c>
      <c r="BH23" s="1084">
        <f t="shared" si="2"/>
        <v>0</v>
      </c>
      <c r="BI23" s="1084"/>
      <c r="BJ23" s="1084"/>
      <c r="BK23" s="1084"/>
      <c r="BL23" s="1084"/>
      <c r="BM23" s="1084"/>
      <c r="BN23" s="1084"/>
      <c r="BO23" s="1086"/>
      <c r="BP23" s="1084"/>
      <c r="BQ23" s="1087"/>
      <c r="BR23" s="1084"/>
      <c r="BS23" s="1088"/>
      <c r="BT23" s="1089" t="s">
        <v>1335</v>
      </c>
      <c r="BU23" s="1090"/>
    </row>
    <row r="24" spans="1:73" ht="12.75" x14ac:dyDescent="0.25">
      <c r="A24" s="1094"/>
      <c r="B24" s="1095"/>
      <c r="C24" s="1096"/>
      <c r="D24" s="1107"/>
      <c r="E24" s="1082" t="s">
        <v>1336</v>
      </c>
      <c r="F24" s="1083">
        <f t="shared" si="3"/>
        <v>1208132</v>
      </c>
      <c r="G24" s="1083">
        <f t="shared" si="4"/>
        <v>720054</v>
      </c>
      <c r="H24" s="1084">
        <v>1208132</v>
      </c>
      <c r="I24" s="1084">
        <f t="shared" si="5"/>
        <v>720054</v>
      </c>
      <c r="J24" s="1084">
        <f t="shared" si="6"/>
        <v>-488078</v>
      </c>
      <c r="K24" s="1084"/>
      <c r="L24" s="1084"/>
      <c r="M24" s="1084"/>
      <c r="N24" s="1084"/>
      <c r="O24" s="1084"/>
      <c r="P24" s="1084"/>
      <c r="Q24" s="1084">
        <f>-70000-19911-22744-9186-1705</f>
        <v>-123546</v>
      </c>
      <c r="R24" s="1084"/>
      <c r="S24" s="1084"/>
      <c r="T24" s="1084">
        <v>-297693</v>
      </c>
      <c r="U24" s="1084"/>
      <c r="V24" s="1084"/>
      <c r="W24" s="1084"/>
      <c r="X24" s="1084"/>
      <c r="Y24" s="1084"/>
      <c r="Z24" s="1084">
        <v>-66839</v>
      </c>
      <c r="AA24" s="1084"/>
      <c r="AB24" s="1084"/>
      <c r="AC24" s="1084"/>
      <c r="AD24" s="1084">
        <f t="shared" si="7"/>
        <v>0</v>
      </c>
      <c r="AE24" s="1084">
        <f t="shared" si="8"/>
        <v>0</v>
      </c>
      <c r="AF24" s="1084"/>
      <c r="AG24" s="1084"/>
      <c r="AH24" s="1084"/>
      <c r="AI24" s="1084"/>
      <c r="AJ24" s="1084"/>
      <c r="AK24" s="1084"/>
      <c r="AL24" s="1084"/>
      <c r="AM24" s="1085"/>
      <c r="AN24" s="1085"/>
      <c r="AO24" s="1085"/>
      <c r="AP24" s="1085"/>
      <c r="AQ24" s="1085"/>
      <c r="AR24" s="1085"/>
      <c r="AS24" s="1085"/>
      <c r="AT24" s="1085"/>
      <c r="AU24" s="1085"/>
      <c r="AV24" s="1085"/>
      <c r="AW24" s="1085"/>
      <c r="AX24" s="1085"/>
      <c r="AY24" s="1085"/>
      <c r="AZ24" s="1085"/>
      <c r="BA24" s="1085"/>
      <c r="BB24" s="1085"/>
      <c r="BC24" s="1085"/>
      <c r="BD24" s="1085"/>
      <c r="BE24" s="1085"/>
      <c r="BF24" s="1085"/>
      <c r="BG24" s="1084">
        <f t="shared" si="11"/>
        <v>0</v>
      </c>
      <c r="BH24" s="1084">
        <f t="shared" si="2"/>
        <v>0</v>
      </c>
      <c r="BI24" s="1084"/>
      <c r="BJ24" s="1084"/>
      <c r="BK24" s="1084"/>
      <c r="BL24" s="1084"/>
      <c r="BM24" s="1084"/>
      <c r="BN24" s="1084"/>
      <c r="BO24" s="1086"/>
      <c r="BP24" s="1084"/>
      <c r="BQ24" s="1087"/>
      <c r="BR24" s="1084"/>
      <c r="BS24" s="1088"/>
      <c r="BT24" s="1089" t="s">
        <v>1337</v>
      </c>
      <c r="BU24" s="1090"/>
    </row>
    <row r="25" spans="1:73" ht="24" x14ac:dyDescent="0.25">
      <c r="A25" s="1094"/>
      <c r="B25" s="1095"/>
      <c r="C25" s="1096"/>
      <c r="D25" s="1107"/>
      <c r="E25" s="1082" t="s">
        <v>1338</v>
      </c>
      <c r="F25" s="1083">
        <f t="shared" si="3"/>
        <v>0</v>
      </c>
      <c r="G25" s="1083">
        <f t="shared" si="4"/>
        <v>2417</v>
      </c>
      <c r="H25" s="1084"/>
      <c r="I25" s="1084">
        <f t="shared" si="5"/>
        <v>1452</v>
      </c>
      <c r="J25" s="1084">
        <f t="shared" ref="J25" si="14">SUM(K25:AB25)</f>
        <v>1452</v>
      </c>
      <c r="K25" s="1084">
        <v>1452</v>
      </c>
      <c r="L25" s="1084"/>
      <c r="M25" s="1084"/>
      <c r="N25" s="1084"/>
      <c r="O25" s="1084"/>
      <c r="P25" s="1084"/>
      <c r="Q25" s="1084"/>
      <c r="R25" s="1084"/>
      <c r="S25" s="1084"/>
      <c r="T25" s="1084"/>
      <c r="U25" s="1084"/>
      <c r="V25" s="1084"/>
      <c r="W25" s="1084"/>
      <c r="X25" s="1084"/>
      <c r="Y25" s="1084"/>
      <c r="Z25" s="1084"/>
      <c r="AA25" s="1084"/>
      <c r="AB25" s="1084"/>
      <c r="AC25" s="1084"/>
      <c r="AD25" s="1084">
        <f t="shared" si="7"/>
        <v>965</v>
      </c>
      <c r="AE25" s="1084">
        <f t="shared" ref="AE25" si="15">SUM(AF25:AK25)</f>
        <v>965</v>
      </c>
      <c r="AF25" s="1084"/>
      <c r="AG25" s="1084">
        <f>609+356</f>
        <v>965</v>
      </c>
      <c r="AH25" s="1084"/>
      <c r="AI25" s="1084"/>
      <c r="AJ25" s="1084"/>
      <c r="AK25" s="1084"/>
      <c r="AL25" s="1084"/>
      <c r="AM25" s="1085"/>
      <c r="AN25" s="1085"/>
      <c r="AO25" s="1085"/>
      <c r="AP25" s="1085"/>
      <c r="AQ25" s="1085"/>
      <c r="AR25" s="1085"/>
      <c r="AS25" s="1085"/>
      <c r="AT25" s="1085"/>
      <c r="AU25" s="1085"/>
      <c r="AV25" s="1085"/>
      <c r="AW25" s="1085"/>
      <c r="AX25" s="1085"/>
      <c r="AY25" s="1085"/>
      <c r="AZ25" s="1085"/>
      <c r="BA25" s="1085"/>
      <c r="BB25" s="1085"/>
      <c r="BC25" s="1085"/>
      <c r="BD25" s="1085"/>
      <c r="BE25" s="1085"/>
      <c r="BF25" s="1085"/>
      <c r="BG25" s="1084">
        <f t="shared" si="11"/>
        <v>0</v>
      </c>
      <c r="BH25" s="1084">
        <f t="shared" si="2"/>
        <v>0</v>
      </c>
      <c r="BI25" s="1084"/>
      <c r="BJ25" s="1084"/>
      <c r="BK25" s="1084"/>
      <c r="BL25" s="1084"/>
      <c r="BM25" s="1084"/>
      <c r="BN25" s="1084"/>
      <c r="BO25" s="1086"/>
      <c r="BP25" s="1084"/>
      <c r="BQ25" s="1087"/>
      <c r="BR25" s="1084"/>
      <c r="BS25" s="1088"/>
      <c r="BT25" s="1089" t="s">
        <v>1339</v>
      </c>
      <c r="BU25" s="1090"/>
    </row>
    <row r="26" spans="1:73" ht="12.75" thickBot="1" x14ac:dyDescent="0.3">
      <c r="A26" s="1108"/>
      <c r="B26" s="1109"/>
      <c r="C26" s="1516"/>
      <c r="D26" s="1517"/>
      <c r="E26" s="1038"/>
      <c r="F26" s="1101"/>
      <c r="G26" s="1101"/>
      <c r="H26" s="1102"/>
      <c r="I26" s="1102"/>
      <c r="J26" s="1102"/>
      <c r="K26" s="1102"/>
      <c r="L26" s="1102"/>
      <c r="M26" s="1102"/>
      <c r="N26" s="1102"/>
      <c r="O26" s="1102"/>
      <c r="P26" s="1102"/>
      <c r="Q26" s="1102"/>
      <c r="R26" s="1102"/>
      <c r="S26" s="1102"/>
      <c r="T26" s="1102"/>
      <c r="U26" s="1102"/>
      <c r="V26" s="1102"/>
      <c r="W26" s="1102"/>
      <c r="X26" s="1102"/>
      <c r="Y26" s="1102"/>
      <c r="Z26" s="1102"/>
      <c r="AA26" s="1102"/>
      <c r="AB26" s="1102"/>
      <c r="AC26" s="1102"/>
      <c r="AD26" s="1102"/>
      <c r="AE26" s="1102"/>
      <c r="AF26" s="1102"/>
      <c r="AG26" s="1102"/>
      <c r="AH26" s="1102"/>
      <c r="AI26" s="1102"/>
      <c r="AJ26" s="1102"/>
      <c r="AK26" s="1102"/>
      <c r="AL26" s="1102"/>
      <c r="AM26" s="1103"/>
      <c r="AN26" s="1103"/>
      <c r="AO26" s="1103"/>
      <c r="AP26" s="1103"/>
      <c r="AQ26" s="1103"/>
      <c r="AR26" s="1103"/>
      <c r="AS26" s="1103"/>
      <c r="AT26" s="1103"/>
      <c r="AU26" s="1103"/>
      <c r="AV26" s="1103"/>
      <c r="AW26" s="1103"/>
      <c r="AX26" s="1103"/>
      <c r="AY26" s="1103"/>
      <c r="AZ26" s="1103"/>
      <c r="BA26" s="1103"/>
      <c r="BB26" s="1103"/>
      <c r="BC26" s="1103"/>
      <c r="BD26" s="1103"/>
      <c r="BE26" s="1103"/>
      <c r="BF26" s="1103"/>
      <c r="BG26" s="1102"/>
      <c r="BH26" s="1102"/>
      <c r="BI26" s="1102"/>
      <c r="BJ26" s="1102"/>
      <c r="BK26" s="1102"/>
      <c r="BL26" s="1102"/>
      <c r="BM26" s="1102"/>
      <c r="BN26" s="1102"/>
      <c r="BO26" s="1104"/>
      <c r="BP26" s="1102"/>
      <c r="BQ26" s="1105"/>
      <c r="BR26" s="1102"/>
      <c r="BS26" s="1106"/>
      <c r="BT26" s="1110"/>
      <c r="BU26" s="1099"/>
    </row>
    <row r="27" spans="1:73" ht="24.75" thickBot="1" x14ac:dyDescent="0.3">
      <c r="A27" s="1111"/>
      <c r="B27" s="1518" t="s">
        <v>1340</v>
      </c>
      <c r="C27" s="1518"/>
      <c r="D27" s="1073" t="s">
        <v>1341</v>
      </c>
      <c r="E27" s="1112"/>
      <c r="F27" s="1075">
        <f t="shared" ref="F27:BQ27" si="16">SUM(F28:F34)</f>
        <v>1996351</v>
      </c>
      <c r="G27" s="1075">
        <f t="shared" si="16"/>
        <v>1982628</v>
      </c>
      <c r="H27" s="1075">
        <f t="shared" si="16"/>
        <v>1918490</v>
      </c>
      <c r="I27" s="1075">
        <f t="shared" si="16"/>
        <v>1902996</v>
      </c>
      <c r="J27" s="1075">
        <f t="shared" si="16"/>
        <v>-15494</v>
      </c>
      <c r="K27" s="1075">
        <f t="shared" si="16"/>
        <v>-1771</v>
      </c>
      <c r="L27" s="1075">
        <f t="shared" si="16"/>
        <v>4100</v>
      </c>
      <c r="M27" s="1075">
        <f t="shared" si="16"/>
        <v>0</v>
      </c>
      <c r="N27" s="1075">
        <f t="shared" si="16"/>
        <v>0</v>
      </c>
      <c r="O27" s="1075">
        <f t="shared" si="16"/>
        <v>0</v>
      </c>
      <c r="P27" s="1075">
        <f t="shared" si="16"/>
        <v>0</v>
      </c>
      <c r="Q27" s="1075">
        <f t="shared" si="16"/>
        <v>0</v>
      </c>
      <c r="R27" s="1075">
        <f t="shared" si="16"/>
        <v>0</v>
      </c>
      <c r="S27" s="1075">
        <f t="shared" si="16"/>
        <v>-2818</v>
      </c>
      <c r="T27" s="1075">
        <f t="shared" si="16"/>
        <v>0</v>
      </c>
      <c r="U27" s="1075">
        <f t="shared" si="16"/>
        <v>0</v>
      </c>
      <c r="V27" s="1075">
        <f t="shared" si="16"/>
        <v>-7005</v>
      </c>
      <c r="W27" s="1075">
        <f t="shared" si="16"/>
        <v>0</v>
      </c>
      <c r="X27" s="1075">
        <f t="shared" si="16"/>
        <v>0</v>
      </c>
      <c r="Y27" s="1075">
        <f t="shared" si="16"/>
        <v>0</v>
      </c>
      <c r="Z27" s="1075">
        <f t="shared" si="16"/>
        <v>-8000</v>
      </c>
      <c r="AA27" s="1075">
        <f t="shared" si="16"/>
        <v>0</v>
      </c>
      <c r="AB27" s="1075">
        <f t="shared" si="16"/>
        <v>0</v>
      </c>
      <c r="AC27" s="1075">
        <f t="shared" si="16"/>
        <v>0</v>
      </c>
      <c r="AD27" s="1075">
        <f t="shared" si="16"/>
        <v>0</v>
      </c>
      <c r="AE27" s="1075">
        <f t="shared" si="16"/>
        <v>0</v>
      </c>
      <c r="AF27" s="1075">
        <f t="shared" si="16"/>
        <v>0</v>
      </c>
      <c r="AG27" s="1075">
        <f t="shared" si="16"/>
        <v>0</v>
      </c>
      <c r="AH27" s="1075">
        <f t="shared" si="16"/>
        <v>0</v>
      </c>
      <c r="AI27" s="1075">
        <f t="shared" si="16"/>
        <v>0</v>
      </c>
      <c r="AJ27" s="1075">
        <f t="shared" si="16"/>
        <v>0</v>
      </c>
      <c r="AK27" s="1075">
        <f t="shared" si="16"/>
        <v>0</v>
      </c>
      <c r="AL27" s="1075">
        <f t="shared" si="16"/>
        <v>106658</v>
      </c>
      <c r="AM27" s="1075">
        <f t="shared" si="16"/>
        <v>132141</v>
      </c>
      <c r="AN27" s="1075">
        <f t="shared" si="16"/>
        <v>25483</v>
      </c>
      <c r="AO27" s="1075">
        <f t="shared" si="16"/>
        <v>1771</v>
      </c>
      <c r="AP27" s="1075">
        <f t="shared" si="16"/>
        <v>0</v>
      </c>
      <c r="AQ27" s="1075">
        <f t="shared" si="16"/>
        <v>23712</v>
      </c>
      <c r="AR27" s="1075">
        <f t="shared" si="16"/>
        <v>0</v>
      </c>
      <c r="AS27" s="1075">
        <f t="shared" si="16"/>
        <v>0</v>
      </c>
      <c r="AT27" s="1075">
        <f t="shared" si="16"/>
        <v>0</v>
      </c>
      <c r="AU27" s="1075">
        <f t="shared" si="16"/>
        <v>0</v>
      </c>
      <c r="AV27" s="1075">
        <f t="shared" si="16"/>
        <v>0</v>
      </c>
      <c r="AW27" s="1075">
        <f t="shared" si="16"/>
        <v>0</v>
      </c>
      <c r="AX27" s="1075">
        <f t="shared" si="16"/>
        <v>0</v>
      </c>
      <c r="AY27" s="1076">
        <f t="shared" si="16"/>
        <v>0</v>
      </c>
      <c r="AZ27" s="1076">
        <f t="shared" si="16"/>
        <v>0</v>
      </c>
      <c r="BA27" s="1076">
        <f t="shared" si="16"/>
        <v>0</v>
      </c>
      <c r="BB27" s="1076">
        <f t="shared" si="16"/>
        <v>0</v>
      </c>
      <c r="BC27" s="1076">
        <f t="shared" si="16"/>
        <v>0</v>
      </c>
      <c r="BD27" s="1076">
        <f t="shared" si="16"/>
        <v>0</v>
      </c>
      <c r="BE27" s="1076">
        <f t="shared" si="16"/>
        <v>0</v>
      </c>
      <c r="BF27" s="1076">
        <f t="shared" si="16"/>
        <v>-28797</v>
      </c>
      <c r="BG27" s="1076">
        <f t="shared" si="16"/>
        <v>-52509</v>
      </c>
      <c r="BH27" s="1076">
        <f t="shared" si="16"/>
        <v>-23712</v>
      </c>
      <c r="BI27" s="1076">
        <f t="shared" si="16"/>
        <v>0</v>
      </c>
      <c r="BJ27" s="1076">
        <f t="shared" si="16"/>
        <v>0</v>
      </c>
      <c r="BK27" s="1076">
        <f t="shared" si="16"/>
        <v>-23712</v>
      </c>
      <c r="BL27" s="1076">
        <f t="shared" si="16"/>
        <v>0</v>
      </c>
      <c r="BM27" s="1076">
        <f t="shared" si="16"/>
        <v>0</v>
      </c>
      <c r="BN27" s="1076">
        <f t="shared" si="16"/>
        <v>0</v>
      </c>
      <c r="BO27" s="1076">
        <f t="shared" si="16"/>
        <v>0</v>
      </c>
      <c r="BP27" s="1075">
        <f t="shared" si="16"/>
        <v>0</v>
      </c>
      <c r="BQ27" s="1077">
        <f t="shared" si="16"/>
        <v>0</v>
      </c>
      <c r="BR27" s="1075">
        <f t="shared" ref="BR27:BS27" si="17">SUM(BR28:BR34)</f>
        <v>0</v>
      </c>
      <c r="BS27" s="1078">
        <f t="shared" si="17"/>
        <v>0</v>
      </c>
      <c r="BT27" s="1113"/>
      <c r="BU27" s="1114"/>
    </row>
    <row r="28" spans="1:73" ht="13.5" thickTop="1" x14ac:dyDescent="0.25">
      <c r="A28" s="1115">
        <v>90000056357</v>
      </c>
      <c r="B28" s="1116"/>
      <c r="C28" s="1519" t="s">
        <v>501</v>
      </c>
      <c r="D28" s="1520"/>
      <c r="E28" s="1082" t="s">
        <v>525</v>
      </c>
      <c r="F28" s="1083">
        <f t="shared" ref="F28:F33" si="18">H28+AC28+AL28+AX28+AY28+BF28</f>
        <v>205829</v>
      </c>
      <c r="G28" s="1083">
        <f t="shared" ref="G28:G33" si="19">I28+AD28+AM28+AX28+AZ28+BG28</f>
        <v>209929</v>
      </c>
      <c r="H28" s="1084">
        <v>205829</v>
      </c>
      <c r="I28" s="1084">
        <f t="shared" ref="I28:I33" si="20">H28+J28</f>
        <v>209929</v>
      </c>
      <c r="J28" s="1084">
        <f t="shared" ref="J28:J33" si="21">SUM(K28:AB28)</f>
        <v>4100</v>
      </c>
      <c r="K28" s="1084"/>
      <c r="L28" s="1084">
        <v>4100</v>
      </c>
      <c r="M28" s="1084"/>
      <c r="N28" s="1084"/>
      <c r="O28" s="1084"/>
      <c r="P28" s="1084"/>
      <c r="Q28" s="1084"/>
      <c r="R28" s="1084"/>
      <c r="S28" s="1084"/>
      <c r="T28" s="1084"/>
      <c r="U28" s="1084"/>
      <c r="V28" s="1084"/>
      <c r="W28" s="1084"/>
      <c r="X28" s="1084"/>
      <c r="Y28" s="1084"/>
      <c r="Z28" s="1084"/>
      <c r="AA28" s="1084"/>
      <c r="AB28" s="1084"/>
      <c r="AC28" s="1084">
        <v>0</v>
      </c>
      <c r="AD28" s="1084">
        <f t="shared" ref="AD28:AD33" si="22">AC28+AE28</f>
        <v>0</v>
      </c>
      <c r="AE28" s="1084">
        <f t="shared" ref="AE28:AE33" si="23">SUM(AF28:AK28)</f>
        <v>0</v>
      </c>
      <c r="AF28" s="1084"/>
      <c r="AG28" s="1084"/>
      <c r="AH28" s="1084"/>
      <c r="AI28" s="1084"/>
      <c r="AJ28" s="1084"/>
      <c r="AK28" s="1084"/>
      <c r="AL28" s="1084">
        <v>0</v>
      </c>
      <c r="AM28" s="1085">
        <f t="shared" ref="AM28:AM33" si="24">AN28+AL28</f>
        <v>0</v>
      </c>
      <c r="AN28" s="1085">
        <f t="shared" ref="AN28:AN33" si="25">SUM(AO28:AW28)</f>
        <v>0</v>
      </c>
      <c r="AO28" s="1085"/>
      <c r="AP28" s="1085"/>
      <c r="AQ28" s="1085"/>
      <c r="AR28" s="1085"/>
      <c r="AS28" s="1085"/>
      <c r="AT28" s="1085"/>
      <c r="AU28" s="1085"/>
      <c r="AV28" s="1085"/>
      <c r="AW28" s="1085"/>
      <c r="AX28" s="1085"/>
      <c r="AY28" s="1085">
        <v>0</v>
      </c>
      <c r="AZ28" s="1085">
        <f t="shared" ref="AZ28:AZ33" si="26">BA28+AY28</f>
        <v>0</v>
      </c>
      <c r="BA28" s="1085">
        <f t="shared" ref="BA28:BA33" si="27">SUM(BB28:BE28)</f>
        <v>0</v>
      </c>
      <c r="BB28" s="1085"/>
      <c r="BC28" s="1085"/>
      <c r="BD28" s="1085"/>
      <c r="BE28" s="1085"/>
      <c r="BF28" s="1085"/>
      <c r="BG28" s="1084">
        <f t="shared" ref="BG28:BG33" si="28">BH28+BF28</f>
        <v>0</v>
      </c>
      <c r="BH28" s="1084">
        <f t="shared" ref="BH28:BH33" si="29">SUM(BI28:BS28)</f>
        <v>0</v>
      </c>
      <c r="BI28" s="1084"/>
      <c r="BJ28" s="1084"/>
      <c r="BK28" s="1084"/>
      <c r="BL28" s="1084"/>
      <c r="BM28" s="1084"/>
      <c r="BN28" s="1084"/>
      <c r="BO28" s="1086"/>
      <c r="BP28" s="1084"/>
      <c r="BQ28" s="1087"/>
      <c r="BR28" s="1084"/>
      <c r="BS28" s="1088"/>
      <c r="BT28" s="1089" t="s">
        <v>1342</v>
      </c>
      <c r="BU28" s="1090"/>
    </row>
    <row r="29" spans="1:73" ht="24" x14ac:dyDescent="0.25">
      <c r="A29" s="1117"/>
      <c r="C29" s="1092"/>
      <c r="D29" s="1093"/>
      <c r="E29" s="1082" t="s">
        <v>1343</v>
      </c>
      <c r="F29" s="1083">
        <f t="shared" si="18"/>
        <v>105911</v>
      </c>
      <c r="G29" s="1083">
        <f t="shared" si="19"/>
        <v>103093</v>
      </c>
      <c r="H29" s="1084">
        <v>43750</v>
      </c>
      <c r="I29" s="1084">
        <f t="shared" si="20"/>
        <v>39270</v>
      </c>
      <c r="J29" s="1084">
        <f t="shared" si="21"/>
        <v>-4480</v>
      </c>
      <c r="K29" s="1084">
        <v>-1662</v>
      </c>
      <c r="L29" s="1084"/>
      <c r="M29" s="1084"/>
      <c r="N29" s="1084"/>
      <c r="O29" s="1084"/>
      <c r="P29" s="1084"/>
      <c r="Q29" s="1084"/>
      <c r="R29" s="1084"/>
      <c r="S29" s="1084">
        <v>-2818</v>
      </c>
      <c r="T29" s="1084"/>
      <c r="U29" s="1084"/>
      <c r="V29" s="1084"/>
      <c r="W29" s="1084"/>
      <c r="X29" s="1084"/>
      <c r="Y29" s="1084"/>
      <c r="Z29" s="1084"/>
      <c r="AA29" s="1084"/>
      <c r="AB29" s="1084"/>
      <c r="AC29" s="1084">
        <v>0</v>
      </c>
      <c r="AD29" s="1084">
        <f t="shared" si="22"/>
        <v>0</v>
      </c>
      <c r="AE29" s="1084">
        <f t="shared" si="23"/>
        <v>0</v>
      </c>
      <c r="AF29" s="1084"/>
      <c r="AG29" s="1084"/>
      <c r="AH29" s="1084"/>
      <c r="AI29" s="1084"/>
      <c r="AJ29" s="1084"/>
      <c r="AK29" s="1084"/>
      <c r="AL29" s="1084">
        <v>62161</v>
      </c>
      <c r="AM29" s="1085">
        <f t="shared" si="24"/>
        <v>63823</v>
      </c>
      <c r="AN29" s="1085">
        <f t="shared" si="25"/>
        <v>1662</v>
      </c>
      <c r="AO29" s="1085">
        <v>1662</v>
      </c>
      <c r="AP29" s="1085"/>
      <c r="AQ29" s="1085"/>
      <c r="AR29" s="1085"/>
      <c r="AS29" s="1085"/>
      <c r="AT29" s="1085"/>
      <c r="AU29" s="1085"/>
      <c r="AV29" s="1085"/>
      <c r="AW29" s="1085"/>
      <c r="AX29" s="1085"/>
      <c r="AY29" s="1085">
        <v>0</v>
      </c>
      <c r="AZ29" s="1085">
        <f t="shared" si="26"/>
        <v>0</v>
      </c>
      <c r="BA29" s="1085">
        <f t="shared" si="27"/>
        <v>0</v>
      </c>
      <c r="BB29" s="1085"/>
      <c r="BC29" s="1085"/>
      <c r="BD29" s="1085"/>
      <c r="BE29" s="1085"/>
      <c r="BF29" s="1085"/>
      <c r="BG29" s="1084">
        <f t="shared" si="28"/>
        <v>0</v>
      </c>
      <c r="BH29" s="1084">
        <f t="shared" si="29"/>
        <v>0</v>
      </c>
      <c r="BI29" s="1084"/>
      <c r="BJ29" s="1084"/>
      <c r="BK29" s="1084"/>
      <c r="BL29" s="1084"/>
      <c r="BM29" s="1084"/>
      <c r="BN29" s="1084"/>
      <c r="BO29" s="1086"/>
      <c r="BP29" s="1084"/>
      <c r="BQ29" s="1087"/>
      <c r="BR29" s="1084"/>
      <c r="BS29" s="1088"/>
      <c r="BT29" s="1089" t="s">
        <v>1344</v>
      </c>
      <c r="BU29" s="1090"/>
    </row>
    <row r="30" spans="1:73" ht="24" x14ac:dyDescent="0.25">
      <c r="A30" s="1094"/>
      <c r="B30" s="1095"/>
      <c r="C30" s="1096"/>
      <c r="D30" s="1097"/>
      <c r="E30" s="1082" t="s">
        <v>373</v>
      </c>
      <c r="F30" s="1101">
        <f t="shared" si="18"/>
        <v>20050</v>
      </c>
      <c r="G30" s="1101">
        <f t="shared" si="19"/>
        <v>5045</v>
      </c>
      <c r="H30" s="1102">
        <v>20050</v>
      </c>
      <c r="I30" s="1102">
        <f t="shared" si="20"/>
        <v>5045</v>
      </c>
      <c r="J30" s="1102">
        <f t="shared" si="21"/>
        <v>-15005</v>
      </c>
      <c r="K30" s="1102"/>
      <c r="L30" s="1102"/>
      <c r="M30" s="1102"/>
      <c r="N30" s="1102"/>
      <c r="O30" s="1102"/>
      <c r="P30" s="1102"/>
      <c r="Q30" s="1102"/>
      <c r="R30" s="1102"/>
      <c r="S30" s="1102"/>
      <c r="T30" s="1102"/>
      <c r="U30" s="1102"/>
      <c r="V30" s="1102">
        <v>-7005</v>
      </c>
      <c r="W30" s="1102"/>
      <c r="X30" s="1102"/>
      <c r="Y30" s="1102"/>
      <c r="Z30" s="1102">
        <v>-8000</v>
      </c>
      <c r="AA30" s="1102"/>
      <c r="AB30" s="1102"/>
      <c r="AC30" s="1102">
        <v>0</v>
      </c>
      <c r="AD30" s="1102">
        <f t="shared" si="22"/>
        <v>0</v>
      </c>
      <c r="AE30" s="1102">
        <f t="shared" si="23"/>
        <v>0</v>
      </c>
      <c r="AF30" s="1102"/>
      <c r="AG30" s="1102"/>
      <c r="AH30" s="1102"/>
      <c r="AI30" s="1102"/>
      <c r="AJ30" s="1102"/>
      <c r="AK30" s="1102"/>
      <c r="AL30" s="1102">
        <v>0</v>
      </c>
      <c r="AM30" s="1103">
        <f t="shared" si="24"/>
        <v>0</v>
      </c>
      <c r="AN30" s="1103">
        <f t="shared" si="25"/>
        <v>0</v>
      </c>
      <c r="AO30" s="1103"/>
      <c r="AP30" s="1103"/>
      <c r="AQ30" s="1103"/>
      <c r="AR30" s="1103"/>
      <c r="AS30" s="1103"/>
      <c r="AT30" s="1103"/>
      <c r="AU30" s="1103"/>
      <c r="AV30" s="1103"/>
      <c r="AW30" s="1103"/>
      <c r="AX30" s="1103"/>
      <c r="AY30" s="1103">
        <v>0</v>
      </c>
      <c r="AZ30" s="1103">
        <f t="shared" si="26"/>
        <v>0</v>
      </c>
      <c r="BA30" s="1103">
        <f t="shared" si="27"/>
        <v>0</v>
      </c>
      <c r="BB30" s="1103"/>
      <c r="BC30" s="1103"/>
      <c r="BD30" s="1103"/>
      <c r="BE30" s="1103"/>
      <c r="BF30" s="1103"/>
      <c r="BG30" s="1102">
        <f t="shared" si="28"/>
        <v>0</v>
      </c>
      <c r="BH30" s="1102">
        <f t="shared" si="29"/>
        <v>0</v>
      </c>
      <c r="BI30" s="1102"/>
      <c r="BJ30" s="1102"/>
      <c r="BK30" s="1102"/>
      <c r="BL30" s="1102"/>
      <c r="BM30" s="1102"/>
      <c r="BN30" s="1102"/>
      <c r="BO30" s="1104"/>
      <c r="BP30" s="1102"/>
      <c r="BQ30" s="1105"/>
      <c r="BR30" s="1102"/>
      <c r="BS30" s="1106"/>
      <c r="BT30" s="1089" t="s">
        <v>1345</v>
      </c>
      <c r="BU30" s="1090" t="s">
        <v>1320</v>
      </c>
    </row>
    <row r="31" spans="1:73" ht="12.75" x14ac:dyDescent="0.25">
      <c r="A31" s="1094">
        <v>90000594245</v>
      </c>
      <c r="B31" s="1095"/>
      <c r="C31" s="1514" t="s">
        <v>1346</v>
      </c>
      <c r="D31" s="1515"/>
      <c r="E31" s="1082" t="s">
        <v>1347</v>
      </c>
      <c r="F31" s="1083">
        <f t="shared" si="18"/>
        <v>143</v>
      </c>
      <c r="G31" s="1083">
        <f t="shared" si="19"/>
        <v>143</v>
      </c>
      <c r="H31" s="1084">
        <v>143</v>
      </c>
      <c r="I31" s="1084">
        <f t="shared" si="20"/>
        <v>143</v>
      </c>
      <c r="J31" s="1084">
        <f t="shared" si="21"/>
        <v>0</v>
      </c>
      <c r="K31" s="1084"/>
      <c r="L31" s="1084"/>
      <c r="M31" s="1084"/>
      <c r="N31" s="1084"/>
      <c r="O31" s="1084"/>
      <c r="P31" s="1084"/>
      <c r="Q31" s="1084"/>
      <c r="R31" s="1084"/>
      <c r="S31" s="1084"/>
      <c r="T31" s="1084"/>
      <c r="U31" s="1084"/>
      <c r="V31" s="1084"/>
      <c r="W31" s="1084"/>
      <c r="X31" s="1084"/>
      <c r="Y31" s="1084"/>
      <c r="Z31" s="1084"/>
      <c r="AA31" s="1084"/>
      <c r="AB31" s="1084"/>
      <c r="AC31" s="1084">
        <v>0</v>
      </c>
      <c r="AD31" s="1084">
        <f t="shared" si="22"/>
        <v>0</v>
      </c>
      <c r="AE31" s="1084">
        <f t="shared" si="23"/>
        <v>0</v>
      </c>
      <c r="AF31" s="1084"/>
      <c r="AG31" s="1084"/>
      <c r="AH31" s="1084"/>
      <c r="AI31" s="1084"/>
      <c r="AJ31" s="1084"/>
      <c r="AK31" s="1084"/>
      <c r="AL31" s="1084">
        <v>0</v>
      </c>
      <c r="AM31" s="1085">
        <f t="shared" si="24"/>
        <v>0</v>
      </c>
      <c r="AN31" s="1085">
        <f t="shared" si="25"/>
        <v>0</v>
      </c>
      <c r="AO31" s="1085"/>
      <c r="AP31" s="1085"/>
      <c r="AQ31" s="1085"/>
      <c r="AR31" s="1085"/>
      <c r="AS31" s="1085"/>
      <c r="AT31" s="1085"/>
      <c r="AU31" s="1085"/>
      <c r="AV31" s="1085"/>
      <c r="AW31" s="1085"/>
      <c r="AX31" s="1085"/>
      <c r="AY31" s="1085">
        <v>0</v>
      </c>
      <c r="AZ31" s="1085">
        <f t="shared" si="26"/>
        <v>0</v>
      </c>
      <c r="BA31" s="1085">
        <f t="shared" si="27"/>
        <v>0</v>
      </c>
      <c r="BB31" s="1085"/>
      <c r="BC31" s="1085"/>
      <c r="BD31" s="1085"/>
      <c r="BE31" s="1085"/>
      <c r="BF31" s="1085"/>
      <c r="BG31" s="1084">
        <f t="shared" si="28"/>
        <v>0</v>
      </c>
      <c r="BH31" s="1084">
        <f t="shared" si="29"/>
        <v>0</v>
      </c>
      <c r="BI31" s="1084"/>
      <c r="BJ31" s="1084"/>
      <c r="BK31" s="1084"/>
      <c r="BL31" s="1084"/>
      <c r="BM31" s="1084"/>
      <c r="BN31" s="1084"/>
      <c r="BO31" s="1086"/>
      <c r="BP31" s="1084"/>
      <c r="BQ31" s="1087"/>
      <c r="BR31" s="1084"/>
      <c r="BS31" s="1088"/>
      <c r="BT31" s="1089" t="s">
        <v>1348</v>
      </c>
      <c r="BU31" s="1090" t="s">
        <v>1349</v>
      </c>
    </row>
    <row r="32" spans="1:73" ht="36" x14ac:dyDescent="0.25">
      <c r="A32" s="1094">
        <v>90000056554</v>
      </c>
      <c r="B32" s="1095"/>
      <c r="C32" s="1514" t="s">
        <v>1350</v>
      </c>
      <c r="D32" s="1515"/>
      <c r="E32" s="1082" t="s">
        <v>1351</v>
      </c>
      <c r="F32" s="1083">
        <f t="shared" si="18"/>
        <v>1634418</v>
      </c>
      <c r="G32" s="1083">
        <f t="shared" si="19"/>
        <v>1634418</v>
      </c>
      <c r="H32" s="1084">
        <v>1618718</v>
      </c>
      <c r="I32" s="1084">
        <f t="shared" si="20"/>
        <v>1618609</v>
      </c>
      <c r="J32" s="1084">
        <f t="shared" si="21"/>
        <v>-109</v>
      </c>
      <c r="K32" s="1084">
        <v>-109</v>
      </c>
      <c r="L32" s="1084"/>
      <c r="M32" s="1084"/>
      <c r="N32" s="1084"/>
      <c r="O32" s="1084"/>
      <c r="P32" s="1084"/>
      <c r="Q32" s="1084"/>
      <c r="R32" s="1084"/>
      <c r="S32" s="1084"/>
      <c r="T32" s="1084"/>
      <c r="U32" s="1084"/>
      <c r="V32" s="1084"/>
      <c r="W32" s="1084"/>
      <c r="X32" s="1084"/>
      <c r="Y32" s="1084"/>
      <c r="Z32" s="1084"/>
      <c r="AA32" s="1084"/>
      <c r="AB32" s="1084"/>
      <c r="AC32" s="1084">
        <v>0</v>
      </c>
      <c r="AD32" s="1084">
        <f t="shared" si="22"/>
        <v>0</v>
      </c>
      <c r="AE32" s="1084">
        <f t="shared" si="23"/>
        <v>0</v>
      </c>
      <c r="AF32" s="1084"/>
      <c r="AG32" s="1084"/>
      <c r="AH32" s="1084"/>
      <c r="AI32" s="1084"/>
      <c r="AJ32" s="1084"/>
      <c r="AK32" s="1084"/>
      <c r="AL32" s="1084">
        <v>44497</v>
      </c>
      <c r="AM32" s="1085">
        <f t="shared" si="24"/>
        <v>68318</v>
      </c>
      <c r="AN32" s="1085">
        <f t="shared" si="25"/>
        <v>23821</v>
      </c>
      <c r="AO32" s="1085">
        <v>109</v>
      </c>
      <c r="AP32" s="1085"/>
      <c r="AQ32" s="1085">
        <v>23712</v>
      </c>
      <c r="AR32" s="1085"/>
      <c r="AS32" s="1085"/>
      <c r="AT32" s="1085"/>
      <c r="AU32" s="1085"/>
      <c r="AV32" s="1085"/>
      <c r="AW32" s="1085"/>
      <c r="AX32" s="1085"/>
      <c r="AY32" s="1085">
        <v>0</v>
      </c>
      <c r="AZ32" s="1085">
        <f t="shared" si="26"/>
        <v>0</v>
      </c>
      <c r="BA32" s="1085">
        <f t="shared" si="27"/>
        <v>0</v>
      </c>
      <c r="BB32" s="1085"/>
      <c r="BC32" s="1085"/>
      <c r="BD32" s="1085"/>
      <c r="BE32" s="1085"/>
      <c r="BF32" s="1085">
        <v>-28797</v>
      </c>
      <c r="BG32" s="1084">
        <f t="shared" si="28"/>
        <v>-52509</v>
      </c>
      <c r="BH32" s="1084">
        <f t="shared" si="29"/>
        <v>-23712</v>
      </c>
      <c r="BI32" s="1084"/>
      <c r="BJ32" s="1084"/>
      <c r="BK32" s="1084">
        <v>-23712</v>
      </c>
      <c r="BL32" s="1084"/>
      <c r="BM32" s="1084"/>
      <c r="BN32" s="1084"/>
      <c r="BO32" s="1086"/>
      <c r="BP32" s="1084"/>
      <c r="BQ32" s="1087"/>
      <c r="BR32" s="1084"/>
      <c r="BS32" s="1088"/>
      <c r="BT32" s="1089" t="s">
        <v>1352</v>
      </c>
      <c r="BU32" s="1090"/>
    </row>
    <row r="33" spans="1:73" ht="48" x14ac:dyDescent="0.25">
      <c r="A33" s="1094"/>
      <c r="B33" s="1095"/>
      <c r="C33" s="1514" t="s">
        <v>1047</v>
      </c>
      <c r="D33" s="1515"/>
      <c r="E33" s="1118" t="s">
        <v>1353</v>
      </c>
      <c r="F33" s="1083">
        <f t="shared" si="18"/>
        <v>30000</v>
      </c>
      <c r="G33" s="1083">
        <f t="shared" si="19"/>
        <v>30000</v>
      </c>
      <c r="H33" s="1084">
        <v>30000</v>
      </c>
      <c r="I33" s="1084">
        <f t="shared" si="20"/>
        <v>30000</v>
      </c>
      <c r="J33" s="1084">
        <f t="shared" si="21"/>
        <v>0</v>
      </c>
      <c r="K33" s="1084"/>
      <c r="L33" s="1084"/>
      <c r="M33" s="1084"/>
      <c r="N33" s="1084"/>
      <c r="O33" s="1084"/>
      <c r="P33" s="1084"/>
      <c r="Q33" s="1084"/>
      <c r="R33" s="1084"/>
      <c r="S33" s="1084"/>
      <c r="T33" s="1084"/>
      <c r="U33" s="1084"/>
      <c r="V33" s="1084"/>
      <c r="W33" s="1084"/>
      <c r="X33" s="1084"/>
      <c r="Y33" s="1084"/>
      <c r="Z33" s="1084"/>
      <c r="AA33" s="1084"/>
      <c r="AB33" s="1084"/>
      <c r="AC33" s="1084">
        <v>0</v>
      </c>
      <c r="AD33" s="1084">
        <f t="shared" si="22"/>
        <v>0</v>
      </c>
      <c r="AE33" s="1084">
        <f t="shared" si="23"/>
        <v>0</v>
      </c>
      <c r="AF33" s="1084"/>
      <c r="AG33" s="1084"/>
      <c r="AH33" s="1084"/>
      <c r="AI33" s="1084"/>
      <c r="AJ33" s="1084"/>
      <c r="AK33" s="1084"/>
      <c r="AL33" s="1084">
        <v>0</v>
      </c>
      <c r="AM33" s="1085">
        <f t="shared" si="24"/>
        <v>0</v>
      </c>
      <c r="AN33" s="1085">
        <f t="shared" si="25"/>
        <v>0</v>
      </c>
      <c r="AO33" s="1085"/>
      <c r="AP33" s="1085"/>
      <c r="AQ33" s="1085"/>
      <c r="AR33" s="1085"/>
      <c r="AS33" s="1085"/>
      <c r="AT33" s="1085"/>
      <c r="AU33" s="1085"/>
      <c r="AV33" s="1085"/>
      <c r="AW33" s="1085"/>
      <c r="AX33" s="1085"/>
      <c r="AY33" s="1085">
        <v>0</v>
      </c>
      <c r="AZ33" s="1085">
        <f t="shared" si="26"/>
        <v>0</v>
      </c>
      <c r="BA33" s="1085">
        <f t="shared" si="27"/>
        <v>0</v>
      </c>
      <c r="BB33" s="1085"/>
      <c r="BC33" s="1085"/>
      <c r="BD33" s="1085"/>
      <c r="BE33" s="1085"/>
      <c r="BF33" s="1085"/>
      <c r="BG33" s="1084">
        <f t="shared" si="28"/>
        <v>0</v>
      </c>
      <c r="BH33" s="1084">
        <f t="shared" si="29"/>
        <v>0</v>
      </c>
      <c r="BI33" s="1084"/>
      <c r="BJ33" s="1084"/>
      <c r="BK33" s="1084"/>
      <c r="BL33" s="1084"/>
      <c r="BM33" s="1084"/>
      <c r="BN33" s="1084"/>
      <c r="BO33" s="1086"/>
      <c r="BP33" s="1084"/>
      <c r="BQ33" s="1087"/>
      <c r="BR33" s="1084"/>
      <c r="BS33" s="1088"/>
      <c r="BT33" s="1089" t="s">
        <v>1354</v>
      </c>
      <c r="BU33" s="1090"/>
    </row>
    <row r="34" spans="1:73" ht="12.75" thickBot="1" x14ac:dyDescent="0.3">
      <c r="A34" s="1094"/>
      <c r="B34" s="1109"/>
      <c r="C34" s="1537"/>
      <c r="D34" s="1538"/>
      <c r="E34" s="1119"/>
      <c r="F34" s="1101"/>
      <c r="G34" s="1101"/>
      <c r="H34" s="1102"/>
      <c r="I34" s="1102"/>
      <c r="J34" s="1102"/>
      <c r="K34" s="1102"/>
      <c r="L34" s="1102"/>
      <c r="M34" s="1102"/>
      <c r="N34" s="1102"/>
      <c r="O34" s="1102"/>
      <c r="P34" s="1102"/>
      <c r="Q34" s="1102"/>
      <c r="R34" s="1102"/>
      <c r="S34" s="1102"/>
      <c r="T34" s="1102"/>
      <c r="U34" s="1102"/>
      <c r="V34" s="1102"/>
      <c r="W34" s="1102"/>
      <c r="X34" s="1102"/>
      <c r="Y34" s="1102"/>
      <c r="Z34" s="1102"/>
      <c r="AA34" s="1102"/>
      <c r="AB34" s="1102"/>
      <c r="AC34" s="1102"/>
      <c r="AD34" s="1102"/>
      <c r="AE34" s="1102"/>
      <c r="AF34" s="1102"/>
      <c r="AG34" s="1102"/>
      <c r="AH34" s="1102"/>
      <c r="AI34" s="1102"/>
      <c r="AJ34" s="1102"/>
      <c r="AK34" s="1102"/>
      <c r="AL34" s="1102"/>
      <c r="AM34" s="1103"/>
      <c r="AN34" s="1103"/>
      <c r="AO34" s="1103"/>
      <c r="AP34" s="1103"/>
      <c r="AQ34" s="1103"/>
      <c r="AR34" s="1103"/>
      <c r="AS34" s="1103"/>
      <c r="AT34" s="1103"/>
      <c r="AU34" s="1103"/>
      <c r="AV34" s="1103"/>
      <c r="AW34" s="1103"/>
      <c r="AX34" s="1103"/>
      <c r="AY34" s="1103"/>
      <c r="AZ34" s="1103"/>
      <c r="BA34" s="1103"/>
      <c r="BB34" s="1103"/>
      <c r="BC34" s="1103"/>
      <c r="BD34" s="1103"/>
      <c r="BE34" s="1103"/>
      <c r="BF34" s="1103"/>
      <c r="BG34" s="1102"/>
      <c r="BH34" s="1102"/>
      <c r="BI34" s="1102"/>
      <c r="BJ34" s="1102"/>
      <c r="BK34" s="1102"/>
      <c r="BL34" s="1102"/>
      <c r="BM34" s="1102"/>
      <c r="BN34" s="1102"/>
      <c r="BO34" s="1104"/>
      <c r="BP34" s="1102"/>
      <c r="BQ34" s="1105"/>
      <c r="BR34" s="1102"/>
      <c r="BS34" s="1106"/>
      <c r="BT34" s="1120"/>
      <c r="BU34" s="1099"/>
    </row>
    <row r="35" spans="1:73" ht="12.75" thickBot="1" x14ac:dyDescent="0.3">
      <c r="A35" s="1111"/>
      <c r="B35" s="1518" t="s">
        <v>1355</v>
      </c>
      <c r="C35" s="1518"/>
      <c r="D35" s="1073" t="s">
        <v>1356</v>
      </c>
      <c r="E35" s="1112"/>
      <c r="F35" s="1075">
        <f t="shared" ref="F35:BQ35" si="30">SUM(F36:F67)</f>
        <v>17171074</v>
      </c>
      <c r="G35" s="1075">
        <f t="shared" si="30"/>
        <v>14924057</v>
      </c>
      <c r="H35" s="1075">
        <f t="shared" si="30"/>
        <v>15375010</v>
      </c>
      <c r="I35" s="1075">
        <f t="shared" si="30"/>
        <v>13313397</v>
      </c>
      <c r="J35" s="1075">
        <f t="shared" si="30"/>
        <v>-2061613</v>
      </c>
      <c r="K35" s="1075">
        <f t="shared" si="30"/>
        <v>29712</v>
      </c>
      <c r="L35" s="1075">
        <f t="shared" si="30"/>
        <v>0</v>
      </c>
      <c r="M35" s="1075">
        <f t="shared" si="30"/>
        <v>19772</v>
      </c>
      <c r="N35" s="1075">
        <f t="shared" si="30"/>
        <v>-18167</v>
      </c>
      <c r="O35" s="1075">
        <f t="shared" si="30"/>
        <v>-47957</v>
      </c>
      <c r="P35" s="1075">
        <f t="shared" si="30"/>
        <v>15024</v>
      </c>
      <c r="Q35" s="1075">
        <f>SUM(Q36:Q67)</f>
        <v>3387</v>
      </c>
      <c r="R35" s="1075">
        <f t="shared" si="30"/>
        <v>-11460</v>
      </c>
      <c r="S35" s="1075">
        <f t="shared" si="30"/>
        <v>-76961</v>
      </c>
      <c r="T35" s="1075">
        <f t="shared" si="30"/>
        <v>0</v>
      </c>
      <c r="U35" s="1075">
        <f t="shared" si="30"/>
        <v>0</v>
      </c>
      <c r="V35" s="1075">
        <f t="shared" si="30"/>
        <v>27987</v>
      </c>
      <c r="W35" s="1075">
        <f t="shared" si="30"/>
        <v>-2386</v>
      </c>
      <c r="X35" s="1075">
        <f t="shared" si="30"/>
        <v>8000</v>
      </c>
      <c r="Y35" s="1075">
        <f t="shared" si="30"/>
        <v>0</v>
      </c>
      <c r="Z35" s="1075">
        <f t="shared" si="30"/>
        <v>-1999658</v>
      </c>
      <c r="AA35" s="1075">
        <f t="shared" si="30"/>
        <v>-8906</v>
      </c>
      <c r="AB35" s="1075">
        <f t="shared" si="30"/>
        <v>0</v>
      </c>
      <c r="AC35" s="1075">
        <f t="shared" si="30"/>
        <v>1527681</v>
      </c>
      <c r="AD35" s="1075">
        <f t="shared" si="30"/>
        <v>1539151</v>
      </c>
      <c r="AE35" s="1075">
        <f t="shared" si="30"/>
        <v>11470</v>
      </c>
      <c r="AF35" s="1075">
        <f t="shared" si="30"/>
        <v>5470</v>
      </c>
      <c r="AG35" s="1075">
        <f t="shared" si="30"/>
        <v>0</v>
      </c>
      <c r="AH35" s="1075">
        <f t="shared" si="30"/>
        <v>0</v>
      </c>
      <c r="AI35" s="1075">
        <f t="shared" si="30"/>
        <v>6000</v>
      </c>
      <c r="AJ35" s="1075">
        <f t="shared" si="30"/>
        <v>0</v>
      </c>
      <c r="AK35" s="1075">
        <f t="shared" si="30"/>
        <v>0</v>
      </c>
      <c r="AL35" s="1075">
        <f t="shared" si="30"/>
        <v>10380</v>
      </c>
      <c r="AM35" s="1075">
        <f t="shared" si="30"/>
        <v>15654</v>
      </c>
      <c r="AN35" s="1075">
        <f t="shared" si="30"/>
        <v>5274</v>
      </c>
      <c r="AO35" s="1075">
        <f t="shared" si="30"/>
        <v>335</v>
      </c>
      <c r="AP35" s="1075">
        <f t="shared" si="30"/>
        <v>0</v>
      </c>
      <c r="AQ35" s="1075">
        <f t="shared" si="30"/>
        <v>0</v>
      </c>
      <c r="AR35" s="1075">
        <f t="shared" si="30"/>
        <v>0</v>
      </c>
      <c r="AS35" s="1075">
        <f t="shared" si="30"/>
        <v>1414</v>
      </c>
      <c r="AT35" s="1075">
        <f t="shared" si="30"/>
        <v>0</v>
      </c>
      <c r="AU35" s="1075">
        <f t="shared" si="30"/>
        <v>0</v>
      </c>
      <c r="AV35" s="1075">
        <f t="shared" si="30"/>
        <v>3525</v>
      </c>
      <c r="AW35" s="1075">
        <f t="shared" si="30"/>
        <v>0</v>
      </c>
      <c r="AX35" s="1075">
        <f t="shared" si="30"/>
        <v>1652764</v>
      </c>
      <c r="AY35" s="1076">
        <f t="shared" si="30"/>
        <v>0</v>
      </c>
      <c r="AZ35" s="1076">
        <f t="shared" si="30"/>
        <v>0</v>
      </c>
      <c r="BA35" s="1076">
        <f t="shared" si="30"/>
        <v>0</v>
      </c>
      <c r="BB35" s="1076">
        <f t="shared" si="30"/>
        <v>0</v>
      </c>
      <c r="BC35" s="1076">
        <f t="shared" si="30"/>
        <v>0</v>
      </c>
      <c r="BD35" s="1076">
        <f t="shared" si="30"/>
        <v>0</v>
      </c>
      <c r="BE35" s="1076">
        <f t="shared" si="30"/>
        <v>0</v>
      </c>
      <c r="BF35" s="1076">
        <f t="shared" si="30"/>
        <v>-1394761</v>
      </c>
      <c r="BG35" s="1076">
        <f t="shared" si="30"/>
        <v>-1596909</v>
      </c>
      <c r="BH35" s="1076">
        <f t="shared" si="30"/>
        <v>-202148</v>
      </c>
      <c r="BI35" s="1076">
        <f t="shared" si="30"/>
        <v>-204846</v>
      </c>
      <c r="BJ35" s="1076">
        <f t="shared" si="30"/>
        <v>0</v>
      </c>
      <c r="BK35" s="1076">
        <f t="shared" si="30"/>
        <v>0</v>
      </c>
      <c r="BL35" s="1076">
        <f t="shared" si="30"/>
        <v>2698</v>
      </c>
      <c r="BM35" s="1076">
        <f t="shared" si="30"/>
        <v>0</v>
      </c>
      <c r="BN35" s="1076">
        <f t="shared" si="30"/>
        <v>0</v>
      </c>
      <c r="BO35" s="1076">
        <f t="shared" si="30"/>
        <v>0</v>
      </c>
      <c r="BP35" s="1075">
        <f t="shared" si="30"/>
        <v>0</v>
      </c>
      <c r="BQ35" s="1077">
        <f t="shared" si="30"/>
        <v>0</v>
      </c>
      <c r="BR35" s="1075">
        <f t="shared" ref="BR35:BS35" si="31">SUM(BR36:BR67)</f>
        <v>0</v>
      </c>
      <c r="BS35" s="1078">
        <f t="shared" si="31"/>
        <v>0</v>
      </c>
      <c r="BT35" s="1113"/>
      <c r="BU35" s="1114"/>
    </row>
    <row r="36" spans="1:73" ht="24.75" thickTop="1" x14ac:dyDescent="0.25">
      <c r="A36" s="1094">
        <v>90000056357</v>
      </c>
      <c r="B36" s="1116"/>
      <c r="C36" s="1519" t="s">
        <v>501</v>
      </c>
      <c r="D36" s="1520"/>
      <c r="E36" s="1082" t="s">
        <v>525</v>
      </c>
      <c r="F36" s="1083">
        <f t="shared" ref="F36:F66" si="32">H36+AC36+AL36+AX36+AY36+BF36</f>
        <v>4251213</v>
      </c>
      <c r="G36" s="1083">
        <f t="shared" ref="G36:G66" si="33">I36+AD36+AM36+AX36+AZ36+BG36</f>
        <v>4197553</v>
      </c>
      <c r="H36" s="1084">
        <v>4251213</v>
      </c>
      <c r="I36" s="1084">
        <f t="shared" ref="I36:I66" si="34">H36+J36</f>
        <v>4197553</v>
      </c>
      <c r="J36" s="1084">
        <f t="shared" ref="J36:J66" si="35">SUM(K36:AB36)</f>
        <v>-53660</v>
      </c>
      <c r="K36" s="1084"/>
      <c r="L36" s="1084"/>
      <c r="M36" s="1084"/>
      <c r="N36" s="1084"/>
      <c r="O36" s="1084"/>
      <c r="P36" s="1084"/>
      <c r="Q36" s="1084">
        <f>3000-60</f>
        <v>2940</v>
      </c>
      <c r="R36" s="1084">
        <v>-600</v>
      </c>
      <c r="S36" s="1084">
        <v>-64000</v>
      </c>
      <c r="T36" s="1084"/>
      <c r="U36" s="1084"/>
      <c r="V36" s="1084"/>
      <c r="W36" s="1084"/>
      <c r="X36" s="1084">
        <v>8000</v>
      </c>
      <c r="Y36" s="1084"/>
      <c r="Z36" s="1084"/>
      <c r="AA36" s="1084"/>
      <c r="AB36" s="1084"/>
      <c r="AC36" s="1084">
        <v>0</v>
      </c>
      <c r="AD36" s="1084">
        <f t="shared" ref="AD36:AD57" si="36">AC36+AE36</f>
        <v>0</v>
      </c>
      <c r="AE36" s="1084">
        <f t="shared" ref="AE36:AE57" si="37">SUM(AF36:AK36)</f>
        <v>0</v>
      </c>
      <c r="AF36" s="1084"/>
      <c r="AG36" s="1084"/>
      <c r="AH36" s="1084"/>
      <c r="AI36" s="1084"/>
      <c r="AJ36" s="1084"/>
      <c r="AK36" s="1084"/>
      <c r="AL36" s="1084">
        <v>0</v>
      </c>
      <c r="AM36" s="1085">
        <f t="shared" ref="AM36:AM57" si="38">AN36+AL36</f>
        <v>0</v>
      </c>
      <c r="AN36" s="1085">
        <f t="shared" ref="AN36:AN57" si="39">SUM(AO36:AW36)</f>
        <v>0</v>
      </c>
      <c r="AO36" s="1085"/>
      <c r="AP36" s="1085"/>
      <c r="AQ36" s="1085"/>
      <c r="AR36" s="1085"/>
      <c r="AS36" s="1085"/>
      <c r="AT36" s="1085"/>
      <c r="AU36" s="1085"/>
      <c r="AV36" s="1085"/>
      <c r="AW36" s="1085"/>
      <c r="AX36" s="1085"/>
      <c r="AY36" s="1085">
        <v>0</v>
      </c>
      <c r="AZ36" s="1085">
        <f t="shared" ref="AZ36:AZ57" si="40">BA36+AY36</f>
        <v>0</v>
      </c>
      <c r="BA36" s="1085">
        <f t="shared" ref="BA36:BA57" si="41">SUM(BB36:BE36)</f>
        <v>0</v>
      </c>
      <c r="BB36" s="1085"/>
      <c r="BC36" s="1085"/>
      <c r="BD36" s="1085"/>
      <c r="BE36" s="1085"/>
      <c r="BF36" s="1085"/>
      <c r="BG36" s="1084">
        <f t="shared" ref="BG36:BG66" si="42">BH36+BF36</f>
        <v>0</v>
      </c>
      <c r="BH36" s="1084">
        <f t="shared" ref="BH36:BH57" si="43">SUM(BI36:BS36)</f>
        <v>0</v>
      </c>
      <c r="BI36" s="1084"/>
      <c r="BJ36" s="1084"/>
      <c r="BK36" s="1084"/>
      <c r="BL36" s="1084"/>
      <c r="BM36" s="1084"/>
      <c r="BN36" s="1084"/>
      <c r="BO36" s="1086"/>
      <c r="BP36" s="1084"/>
      <c r="BQ36" s="1087"/>
      <c r="BR36" s="1084"/>
      <c r="BS36" s="1088"/>
      <c r="BT36" s="1089" t="s">
        <v>1357</v>
      </c>
      <c r="BU36" s="1090"/>
    </row>
    <row r="37" spans="1:73" ht="12.75" x14ac:dyDescent="0.25">
      <c r="A37" s="1094"/>
      <c r="B37" s="1121"/>
      <c r="C37" s="1122"/>
      <c r="D37" s="1123"/>
      <c r="E37" s="1082" t="s">
        <v>1317</v>
      </c>
      <c r="F37" s="1083">
        <f t="shared" si="32"/>
        <v>736018</v>
      </c>
      <c r="G37" s="1083">
        <f t="shared" si="33"/>
        <v>738018</v>
      </c>
      <c r="H37" s="1084">
        <v>736018</v>
      </c>
      <c r="I37" s="1084">
        <f t="shared" si="34"/>
        <v>738018</v>
      </c>
      <c r="J37" s="1084">
        <f t="shared" si="35"/>
        <v>2000</v>
      </c>
      <c r="K37" s="1084"/>
      <c r="L37" s="1084"/>
      <c r="M37" s="1084"/>
      <c r="N37" s="1084"/>
      <c r="O37" s="1084"/>
      <c r="P37" s="1084"/>
      <c r="Q37" s="1084">
        <v>2000</v>
      </c>
      <c r="R37" s="1084"/>
      <c r="S37" s="1084"/>
      <c r="T37" s="1084"/>
      <c r="U37" s="1084"/>
      <c r="V37" s="1084"/>
      <c r="W37" s="1084"/>
      <c r="X37" s="1084"/>
      <c r="Y37" s="1084"/>
      <c r="Z37" s="1084"/>
      <c r="AA37" s="1084"/>
      <c r="AB37" s="1084"/>
      <c r="AC37" s="1084">
        <v>0</v>
      </c>
      <c r="AD37" s="1084">
        <f t="shared" si="36"/>
        <v>0</v>
      </c>
      <c r="AE37" s="1084">
        <f t="shared" si="37"/>
        <v>0</v>
      </c>
      <c r="AF37" s="1084"/>
      <c r="AG37" s="1084"/>
      <c r="AH37" s="1084"/>
      <c r="AI37" s="1084"/>
      <c r="AJ37" s="1084"/>
      <c r="AK37" s="1084"/>
      <c r="AL37" s="1084">
        <v>0</v>
      </c>
      <c r="AM37" s="1085">
        <f t="shared" si="38"/>
        <v>0</v>
      </c>
      <c r="AN37" s="1085">
        <f t="shared" si="39"/>
        <v>0</v>
      </c>
      <c r="AO37" s="1085"/>
      <c r="AP37" s="1085"/>
      <c r="AQ37" s="1085"/>
      <c r="AR37" s="1085"/>
      <c r="AS37" s="1085"/>
      <c r="AT37" s="1085"/>
      <c r="AU37" s="1085"/>
      <c r="AV37" s="1085"/>
      <c r="AW37" s="1085"/>
      <c r="AX37" s="1085"/>
      <c r="AY37" s="1085">
        <v>0</v>
      </c>
      <c r="AZ37" s="1124">
        <f t="shared" si="40"/>
        <v>0</v>
      </c>
      <c r="BA37" s="1124">
        <f t="shared" si="41"/>
        <v>0</v>
      </c>
      <c r="BB37" s="1124"/>
      <c r="BC37" s="1124"/>
      <c r="BD37" s="1124"/>
      <c r="BE37" s="1124"/>
      <c r="BF37" s="1124"/>
      <c r="BG37" s="1125">
        <f t="shared" si="42"/>
        <v>0</v>
      </c>
      <c r="BH37" s="1125">
        <f t="shared" si="43"/>
        <v>0</v>
      </c>
      <c r="BI37" s="1125"/>
      <c r="BJ37" s="1125"/>
      <c r="BK37" s="1125"/>
      <c r="BL37" s="1125"/>
      <c r="BM37" s="1125"/>
      <c r="BN37" s="1125"/>
      <c r="BO37" s="1126"/>
      <c r="BP37" s="1125"/>
      <c r="BQ37" s="1127"/>
      <c r="BR37" s="1125"/>
      <c r="BS37" s="1128"/>
      <c r="BT37" s="1129" t="s">
        <v>1358</v>
      </c>
      <c r="BU37" s="1090"/>
    </row>
    <row r="38" spans="1:73" ht="24" x14ac:dyDescent="0.25">
      <c r="A38" s="1094"/>
      <c r="B38" s="1095"/>
      <c r="C38" s="1096"/>
      <c r="D38" s="1097"/>
      <c r="E38" s="1082" t="s">
        <v>1359</v>
      </c>
      <c r="F38" s="1083">
        <f t="shared" si="32"/>
        <v>23823</v>
      </c>
      <c r="G38" s="1083">
        <f t="shared" si="33"/>
        <v>28823</v>
      </c>
      <c r="H38" s="1084">
        <v>18223</v>
      </c>
      <c r="I38" s="1084">
        <f t="shared" si="34"/>
        <v>22888</v>
      </c>
      <c r="J38" s="1084">
        <f t="shared" si="35"/>
        <v>4665</v>
      </c>
      <c r="K38" s="1084">
        <v>-335</v>
      </c>
      <c r="L38" s="1084"/>
      <c r="M38" s="1084"/>
      <c r="N38" s="1084"/>
      <c r="O38" s="1084"/>
      <c r="P38" s="1084"/>
      <c r="Q38" s="1084"/>
      <c r="R38" s="1084"/>
      <c r="S38" s="1084">
        <v>5000</v>
      </c>
      <c r="T38" s="1084"/>
      <c r="U38" s="1084"/>
      <c r="V38" s="1084"/>
      <c r="W38" s="1084"/>
      <c r="X38" s="1084"/>
      <c r="Y38" s="1084"/>
      <c r="Z38" s="1084"/>
      <c r="AA38" s="1084"/>
      <c r="AB38" s="1084"/>
      <c r="AC38" s="1084">
        <v>0</v>
      </c>
      <c r="AD38" s="1084">
        <f t="shared" si="36"/>
        <v>0</v>
      </c>
      <c r="AE38" s="1084">
        <f t="shared" si="37"/>
        <v>0</v>
      </c>
      <c r="AF38" s="1084"/>
      <c r="AG38" s="1084"/>
      <c r="AH38" s="1084"/>
      <c r="AI38" s="1084"/>
      <c r="AJ38" s="1084"/>
      <c r="AK38" s="1084"/>
      <c r="AL38" s="1084">
        <v>5600</v>
      </c>
      <c r="AM38" s="1085">
        <f t="shared" si="38"/>
        <v>5935</v>
      </c>
      <c r="AN38" s="1085">
        <f t="shared" si="39"/>
        <v>335</v>
      </c>
      <c r="AO38" s="1085">
        <v>335</v>
      </c>
      <c r="AP38" s="1085"/>
      <c r="AQ38" s="1085"/>
      <c r="AR38" s="1085"/>
      <c r="AS38" s="1085"/>
      <c r="AT38" s="1085"/>
      <c r="AU38" s="1085"/>
      <c r="AV38" s="1085"/>
      <c r="AW38" s="1085"/>
      <c r="AX38" s="1085"/>
      <c r="AY38" s="1085">
        <v>0</v>
      </c>
      <c r="AZ38" s="1124">
        <f t="shared" si="40"/>
        <v>0</v>
      </c>
      <c r="BA38" s="1124">
        <f t="shared" si="41"/>
        <v>0</v>
      </c>
      <c r="BB38" s="1124"/>
      <c r="BC38" s="1124"/>
      <c r="BD38" s="1124"/>
      <c r="BE38" s="1124"/>
      <c r="BF38" s="1124"/>
      <c r="BG38" s="1125">
        <f t="shared" si="42"/>
        <v>0</v>
      </c>
      <c r="BH38" s="1125">
        <f t="shared" si="43"/>
        <v>0</v>
      </c>
      <c r="BI38" s="1125"/>
      <c r="BJ38" s="1125"/>
      <c r="BK38" s="1125"/>
      <c r="BL38" s="1125"/>
      <c r="BM38" s="1125"/>
      <c r="BN38" s="1125"/>
      <c r="BO38" s="1126"/>
      <c r="BP38" s="1125"/>
      <c r="BQ38" s="1127"/>
      <c r="BR38" s="1125"/>
      <c r="BS38" s="1128"/>
      <c r="BT38" s="1129" t="s">
        <v>1360</v>
      </c>
      <c r="BU38" s="1090"/>
    </row>
    <row r="39" spans="1:73" ht="12.75" x14ac:dyDescent="0.25">
      <c r="A39" s="1094"/>
      <c r="B39" s="1121"/>
      <c r="C39" s="1122"/>
      <c r="D39" s="1123"/>
      <c r="E39" s="1082" t="s">
        <v>1361</v>
      </c>
      <c r="F39" s="1130">
        <f t="shared" si="32"/>
        <v>2500</v>
      </c>
      <c r="G39" s="1130">
        <f t="shared" si="33"/>
        <v>2500</v>
      </c>
      <c r="H39" s="1125">
        <v>2500</v>
      </c>
      <c r="I39" s="1125">
        <f t="shared" si="34"/>
        <v>2500</v>
      </c>
      <c r="J39" s="1125">
        <f t="shared" si="35"/>
        <v>0</v>
      </c>
      <c r="K39" s="1125"/>
      <c r="L39" s="1125"/>
      <c r="M39" s="1125"/>
      <c r="N39" s="1125"/>
      <c r="O39" s="1125"/>
      <c r="P39" s="1125"/>
      <c r="Q39" s="1125"/>
      <c r="R39" s="1125"/>
      <c r="S39" s="1125"/>
      <c r="T39" s="1125"/>
      <c r="U39" s="1125"/>
      <c r="V39" s="1125"/>
      <c r="W39" s="1125"/>
      <c r="X39" s="1125"/>
      <c r="Y39" s="1125"/>
      <c r="Z39" s="1125"/>
      <c r="AA39" s="1125"/>
      <c r="AB39" s="1125"/>
      <c r="AC39" s="1125">
        <v>0</v>
      </c>
      <c r="AD39" s="1125">
        <f t="shared" si="36"/>
        <v>0</v>
      </c>
      <c r="AE39" s="1125">
        <f t="shared" si="37"/>
        <v>0</v>
      </c>
      <c r="AF39" s="1125"/>
      <c r="AG39" s="1125"/>
      <c r="AH39" s="1125"/>
      <c r="AI39" s="1125"/>
      <c r="AJ39" s="1125"/>
      <c r="AK39" s="1125"/>
      <c r="AL39" s="1125">
        <v>0</v>
      </c>
      <c r="AM39" s="1124">
        <f t="shared" si="38"/>
        <v>0</v>
      </c>
      <c r="AN39" s="1124">
        <f t="shared" si="39"/>
        <v>0</v>
      </c>
      <c r="AO39" s="1124"/>
      <c r="AP39" s="1124"/>
      <c r="AQ39" s="1124"/>
      <c r="AR39" s="1124"/>
      <c r="AS39" s="1124"/>
      <c r="AT39" s="1124"/>
      <c r="AU39" s="1124"/>
      <c r="AV39" s="1124"/>
      <c r="AW39" s="1124"/>
      <c r="AX39" s="1124"/>
      <c r="AY39" s="1124">
        <v>0</v>
      </c>
      <c r="AZ39" s="1124">
        <f t="shared" si="40"/>
        <v>0</v>
      </c>
      <c r="BA39" s="1124">
        <f t="shared" si="41"/>
        <v>0</v>
      </c>
      <c r="BB39" s="1124"/>
      <c r="BC39" s="1124"/>
      <c r="BD39" s="1124"/>
      <c r="BE39" s="1124"/>
      <c r="BF39" s="1124"/>
      <c r="BG39" s="1125">
        <f t="shared" si="42"/>
        <v>0</v>
      </c>
      <c r="BH39" s="1125">
        <f t="shared" si="43"/>
        <v>0</v>
      </c>
      <c r="BI39" s="1125"/>
      <c r="BJ39" s="1125"/>
      <c r="BK39" s="1125"/>
      <c r="BL39" s="1125"/>
      <c r="BM39" s="1125"/>
      <c r="BN39" s="1125"/>
      <c r="BO39" s="1126"/>
      <c r="BP39" s="1125"/>
      <c r="BQ39" s="1127"/>
      <c r="BR39" s="1125"/>
      <c r="BS39" s="1128"/>
      <c r="BT39" s="1129" t="s">
        <v>1362</v>
      </c>
      <c r="BU39" s="1090" t="s">
        <v>1363</v>
      </c>
    </row>
    <row r="40" spans="1:73" ht="36" x14ac:dyDescent="0.25">
      <c r="A40" s="1094"/>
      <c r="B40" s="1121"/>
      <c r="C40" s="1122"/>
      <c r="D40" s="1123"/>
      <c r="E40" s="1082" t="s">
        <v>1364</v>
      </c>
      <c r="F40" s="1130">
        <f t="shared" si="32"/>
        <v>141950</v>
      </c>
      <c r="G40" s="1130">
        <f t="shared" si="33"/>
        <v>101950</v>
      </c>
      <c r="H40" s="1125">
        <v>141950</v>
      </c>
      <c r="I40" s="1125">
        <f t="shared" si="34"/>
        <v>101950</v>
      </c>
      <c r="J40" s="1125">
        <f t="shared" si="35"/>
        <v>-40000</v>
      </c>
      <c r="K40" s="1125">
        <v>-40000</v>
      </c>
      <c r="L40" s="1125"/>
      <c r="M40" s="1125"/>
      <c r="N40" s="1125"/>
      <c r="O40" s="1125"/>
      <c r="P40" s="1125"/>
      <c r="Q40" s="1125"/>
      <c r="R40" s="1125"/>
      <c r="S40" s="1125"/>
      <c r="T40" s="1125"/>
      <c r="U40" s="1125"/>
      <c r="V40" s="1125"/>
      <c r="W40" s="1125"/>
      <c r="X40" s="1125"/>
      <c r="Y40" s="1125"/>
      <c r="Z40" s="1125"/>
      <c r="AA40" s="1125"/>
      <c r="AB40" s="1125"/>
      <c r="AC40" s="1125">
        <v>0</v>
      </c>
      <c r="AD40" s="1125">
        <f t="shared" si="36"/>
        <v>0</v>
      </c>
      <c r="AE40" s="1125">
        <f t="shared" si="37"/>
        <v>0</v>
      </c>
      <c r="AF40" s="1125"/>
      <c r="AG40" s="1125"/>
      <c r="AH40" s="1125"/>
      <c r="AI40" s="1125"/>
      <c r="AJ40" s="1125"/>
      <c r="AK40" s="1125"/>
      <c r="AL40" s="1125">
        <v>0</v>
      </c>
      <c r="AM40" s="1124">
        <f t="shared" si="38"/>
        <v>0</v>
      </c>
      <c r="AN40" s="1124">
        <f t="shared" si="39"/>
        <v>0</v>
      </c>
      <c r="AO40" s="1124"/>
      <c r="AP40" s="1124"/>
      <c r="AQ40" s="1124"/>
      <c r="AR40" s="1124"/>
      <c r="AS40" s="1124"/>
      <c r="AT40" s="1124"/>
      <c r="AU40" s="1124"/>
      <c r="AV40" s="1124"/>
      <c r="AW40" s="1124"/>
      <c r="AX40" s="1124"/>
      <c r="AY40" s="1124">
        <v>0</v>
      </c>
      <c r="AZ40" s="1124">
        <f t="shared" si="40"/>
        <v>0</v>
      </c>
      <c r="BA40" s="1124">
        <f t="shared" si="41"/>
        <v>0</v>
      </c>
      <c r="BB40" s="1124"/>
      <c r="BC40" s="1124"/>
      <c r="BD40" s="1124"/>
      <c r="BE40" s="1124"/>
      <c r="BF40" s="1124"/>
      <c r="BG40" s="1125">
        <f t="shared" si="42"/>
        <v>0</v>
      </c>
      <c r="BH40" s="1125">
        <f t="shared" si="43"/>
        <v>0</v>
      </c>
      <c r="BI40" s="1125"/>
      <c r="BJ40" s="1125"/>
      <c r="BK40" s="1125"/>
      <c r="BL40" s="1125"/>
      <c r="BM40" s="1125"/>
      <c r="BN40" s="1125"/>
      <c r="BO40" s="1126"/>
      <c r="BP40" s="1125"/>
      <c r="BQ40" s="1127"/>
      <c r="BR40" s="1125"/>
      <c r="BS40" s="1128"/>
      <c r="BT40" s="1129" t="s">
        <v>1365</v>
      </c>
      <c r="BU40" s="1099" t="s">
        <v>1366</v>
      </c>
    </row>
    <row r="41" spans="1:73" ht="24" x14ac:dyDescent="0.25">
      <c r="A41" s="1094"/>
      <c r="B41" s="1095"/>
      <c r="C41" s="1096"/>
      <c r="D41" s="1097"/>
      <c r="E41" s="1082" t="s">
        <v>1367</v>
      </c>
      <c r="F41" s="1083">
        <f t="shared" si="32"/>
        <v>1696625</v>
      </c>
      <c r="G41" s="1083">
        <f t="shared" si="33"/>
        <v>1708095</v>
      </c>
      <c r="H41" s="1084">
        <v>1589425</v>
      </c>
      <c r="I41" s="1084">
        <f t="shared" si="34"/>
        <v>1589425</v>
      </c>
      <c r="J41" s="1084">
        <f t="shared" si="35"/>
        <v>0</v>
      </c>
      <c r="K41" s="1084"/>
      <c r="L41" s="1084"/>
      <c r="M41" s="1084"/>
      <c r="N41" s="1084"/>
      <c r="O41" s="1084"/>
      <c r="P41" s="1084"/>
      <c r="Q41" s="1084"/>
      <c r="R41" s="1084"/>
      <c r="S41" s="1084"/>
      <c r="T41" s="1084"/>
      <c r="U41" s="1084"/>
      <c r="V41" s="1084"/>
      <c r="W41" s="1084"/>
      <c r="X41" s="1084"/>
      <c r="Y41" s="1084"/>
      <c r="Z41" s="1084"/>
      <c r="AA41" s="1084"/>
      <c r="AB41" s="1084"/>
      <c r="AC41" s="1084">
        <v>107200</v>
      </c>
      <c r="AD41" s="1084">
        <f t="shared" si="36"/>
        <v>118670</v>
      </c>
      <c r="AE41" s="1084">
        <f t="shared" si="37"/>
        <v>11470</v>
      </c>
      <c r="AF41" s="1084">
        <v>5470</v>
      </c>
      <c r="AG41" s="1084"/>
      <c r="AH41" s="1084"/>
      <c r="AI41" s="1084">
        <v>6000</v>
      </c>
      <c r="AJ41" s="1084"/>
      <c r="AK41" s="1084"/>
      <c r="AL41" s="1084">
        <v>0</v>
      </c>
      <c r="AM41" s="1085">
        <f t="shared" si="38"/>
        <v>0</v>
      </c>
      <c r="AN41" s="1085">
        <f t="shared" si="39"/>
        <v>0</v>
      </c>
      <c r="AO41" s="1085"/>
      <c r="AP41" s="1085"/>
      <c r="AQ41" s="1085"/>
      <c r="AR41" s="1085"/>
      <c r="AS41" s="1085"/>
      <c r="AT41" s="1085"/>
      <c r="AU41" s="1085"/>
      <c r="AV41" s="1085"/>
      <c r="AW41" s="1085"/>
      <c r="AX41" s="1085"/>
      <c r="AY41" s="1085">
        <v>0</v>
      </c>
      <c r="AZ41" s="1124">
        <f t="shared" si="40"/>
        <v>0</v>
      </c>
      <c r="BA41" s="1124">
        <f t="shared" si="41"/>
        <v>0</v>
      </c>
      <c r="BB41" s="1124"/>
      <c r="BC41" s="1124"/>
      <c r="BD41" s="1124"/>
      <c r="BE41" s="1124"/>
      <c r="BF41" s="1124"/>
      <c r="BG41" s="1125">
        <f t="shared" si="42"/>
        <v>0</v>
      </c>
      <c r="BH41" s="1125">
        <f t="shared" si="43"/>
        <v>0</v>
      </c>
      <c r="BI41" s="1125"/>
      <c r="BJ41" s="1125"/>
      <c r="BK41" s="1125"/>
      <c r="BL41" s="1125"/>
      <c r="BM41" s="1125"/>
      <c r="BN41" s="1125"/>
      <c r="BO41" s="1126"/>
      <c r="BP41" s="1125"/>
      <c r="BQ41" s="1127"/>
      <c r="BR41" s="1125"/>
      <c r="BS41" s="1128"/>
      <c r="BT41" s="1129" t="s">
        <v>1368</v>
      </c>
      <c r="BU41" s="1090" t="s">
        <v>1369</v>
      </c>
    </row>
    <row r="42" spans="1:73" ht="36" x14ac:dyDescent="0.25">
      <c r="A42" s="1094"/>
      <c r="B42" s="1095"/>
      <c r="C42" s="1096"/>
      <c r="D42" s="1097"/>
      <c r="E42" s="1082" t="s">
        <v>505</v>
      </c>
      <c r="F42" s="1083">
        <f t="shared" si="32"/>
        <v>6300500</v>
      </c>
      <c r="G42" s="1083">
        <f t="shared" si="33"/>
        <v>4307258</v>
      </c>
      <c r="H42" s="1084">
        <v>4880019</v>
      </c>
      <c r="I42" s="1084">
        <f t="shared" si="34"/>
        <v>2886777</v>
      </c>
      <c r="J42" s="1084">
        <f t="shared" si="35"/>
        <v>-1993242</v>
      </c>
      <c r="K42" s="1084"/>
      <c r="L42" s="1084"/>
      <c r="M42" s="1084"/>
      <c r="N42" s="1084"/>
      <c r="O42" s="1084"/>
      <c r="P42" s="1084">
        <v>4598</v>
      </c>
      <c r="Q42" s="1084"/>
      <c r="R42" s="1084"/>
      <c r="S42" s="1084"/>
      <c r="T42" s="1084"/>
      <c r="U42" s="1084"/>
      <c r="V42" s="1084"/>
      <c r="W42" s="1084"/>
      <c r="X42" s="1084"/>
      <c r="Y42" s="1084"/>
      <c r="Z42" s="1084">
        <v>-1997840</v>
      </c>
      <c r="AA42" s="1084"/>
      <c r="AB42" s="1084"/>
      <c r="AC42" s="1084">
        <v>1420481</v>
      </c>
      <c r="AD42" s="1084">
        <f t="shared" si="36"/>
        <v>1420481</v>
      </c>
      <c r="AE42" s="1084">
        <f t="shared" si="37"/>
        <v>0</v>
      </c>
      <c r="AF42" s="1084"/>
      <c r="AG42" s="1084"/>
      <c r="AH42" s="1084"/>
      <c r="AI42" s="1084"/>
      <c r="AJ42" s="1084"/>
      <c r="AK42" s="1084"/>
      <c r="AL42" s="1084">
        <v>0</v>
      </c>
      <c r="AM42" s="1085">
        <f t="shared" si="38"/>
        <v>0</v>
      </c>
      <c r="AN42" s="1085">
        <f t="shared" si="39"/>
        <v>0</v>
      </c>
      <c r="AO42" s="1085"/>
      <c r="AP42" s="1085"/>
      <c r="AQ42" s="1085"/>
      <c r="AR42" s="1085"/>
      <c r="AS42" s="1085"/>
      <c r="AT42" s="1085"/>
      <c r="AU42" s="1085"/>
      <c r="AV42" s="1085"/>
      <c r="AW42" s="1085"/>
      <c r="AX42" s="1085"/>
      <c r="AY42" s="1085">
        <v>0</v>
      </c>
      <c r="AZ42" s="1124">
        <f t="shared" si="40"/>
        <v>0</v>
      </c>
      <c r="BA42" s="1124">
        <f t="shared" si="41"/>
        <v>0</v>
      </c>
      <c r="BB42" s="1124"/>
      <c r="BC42" s="1124"/>
      <c r="BD42" s="1124"/>
      <c r="BE42" s="1124"/>
      <c r="BF42" s="1124"/>
      <c r="BG42" s="1125">
        <f t="shared" si="42"/>
        <v>0</v>
      </c>
      <c r="BH42" s="1125">
        <f t="shared" si="43"/>
        <v>0</v>
      </c>
      <c r="BI42" s="1125"/>
      <c r="BJ42" s="1125"/>
      <c r="BK42" s="1125"/>
      <c r="BL42" s="1125"/>
      <c r="BM42" s="1125"/>
      <c r="BN42" s="1125"/>
      <c r="BO42" s="1126"/>
      <c r="BP42" s="1125"/>
      <c r="BQ42" s="1127"/>
      <c r="BR42" s="1125"/>
      <c r="BS42" s="1128"/>
      <c r="BT42" s="1129" t="s">
        <v>1370</v>
      </c>
      <c r="BU42" s="1090" t="s">
        <v>1371</v>
      </c>
    </row>
    <row r="43" spans="1:73" ht="24" x14ac:dyDescent="0.25">
      <c r="A43" s="1094"/>
      <c r="B43" s="1095"/>
      <c r="C43" s="1096"/>
      <c r="D43" s="1097"/>
      <c r="E43" s="1082" t="s">
        <v>378</v>
      </c>
      <c r="F43" s="1083">
        <f t="shared" si="32"/>
        <v>28000</v>
      </c>
      <c r="G43" s="1083">
        <f t="shared" si="33"/>
        <v>6579</v>
      </c>
      <c r="H43" s="1084">
        <v>28000</v>
      </c>
      <c r="I43" s="1084">
        <f t="shared" si="34"/>
        <v>6579</v>
      </c>
      <c r="J43" s="1084">
        <f t="shared" si="35"/>
        <v>-21421</v>
      </c>
      <c r="K43" s="1084"/>
      <c r="L43" s="1084"/>
      <c r="M43" s="1084"/>
      <c r="N43" s="1084"/>
      <c r="O43" s="1084"/>
      <c r="P43" s="1084"/>
      <c r="Q43" s="1084"/>
      <c r="R43" s="1084"/>
      <c r="S43" s="1084"/>
      <c r="T43" s="1084"/>
      <c r="U43" s="1084"/>
      <c r="V43" s="1084"/>
      <c r="W43" s="1084"/>
      <c r="X43" s="1084"/>
      <c r="Y43" s="1084"/>
      <c r="Z43" s="1084">
        <v>-21421</v>
      </c>
      <c r="AA43" s="1084"/>
      <c r="AB43" s="1084"/>
      <c r="AC43" s="1084">
        <v>0</v>
      </c>
      <c r="AD43" s="1084">
        <f t="shared" si="36"/>
        <v>0</v>
      </c>
      <c r="AE43" s="1084">
        <f t="shared" si="37"/>
        <v>0</v>
      </c>
      <c r="AF43" s="1084"/>
      <c r="AG43" s="1084"/>
      <c r="AH43" s="1084"/>
      <c r="AI43" s="1084"/>
      <c r="AJ43" s="1084"/>
      <c r="AK43" s="1084"/>
      <c r="AL43" s="1084">
        <v>0</v>
      </c>
      <c r="AM43" s="1085">
        <f t="shared" si="38"/>
        <v>0</v>
      </c>
      <c r="AN43" s="1085">
        <f t="shared" si="39"/>
        <v>0</v>
      </c>
      <c r="AO43" s="1085"/>
      <c r="AP43" s="1085"/>
      <c r="AQ43" s="1085"/>
      <c r="AR43" s="1085"/>
      <c r="AS43" s="1085"/>
      <c r="AT43" s="1085"/>
      <c r="AU43" s="1085"/>
      <c r="AV43" s="1085"/>
      <c r="AW43" s="1085"/>
      <c r="AX43" s="1085"/>
      <c r="AY43" s="1085">
        <v>0</v>
      </c>
      <c r="AZ43" s="1124">
        <f t="shared" si="40"/>
        <v>0</v>
      </c>
      <c r="BA43" s="1124">
        <f t="shared" si="41"/>
        <v>0</v>
      </c>
      <c r="BB43" s="1124"/>
      <c r="BC43" s="1124"/>
      <c r="BD43" s="1124"/>
      <c r="BE43" s="1124"/>
      <c r="BF43" s="1124"/>
      <c r="BG43" s="1125">
        <f t="shared" si="42"/>
        <v>0</v>
      </c>
      <c r="BH43" s="1125">
        <f t="shared" si="43"/>
        <v>0</v>
      </c>
      <c r="BI43" s="1125"/>
      <c r="BJ43" s="1125"/>
      <c r="BK43" s="1125"/>
      <c r="BL43" s="1125"/>
      <c r="BM43" s="1125"/>
      <c r="BN43" s="1125"/>
      <c r="BO43" s="1126"/>
      <c r="BP43" s="1125"/>
      <c r="BQ43" s="1127"/>
      <c r="BR43" s="1125"/>
      <c r="BS43" s="1128"/>
      <c r="BT43" s="1129" t="s">
        <v>1372</v>
      </c>
      <c r="BU43" s="1090" t="s">
        <v>1320</v>
      </c>
    </row>
    <row r="44" spans="1:73" ht="36" x14ac:dyDescent="0.25">
      <c r="A44" s="1094"/>
      <c r="B44" s="1121"/>
      <c r="C44" s="1122"/>
      <c r="D44" s="1123"/>
      <c r="E44" s="1082" t="s">
        <v>516</v>
      </c>
      <c r="F44" s="1083">
        <f t="shared" si="32"/>
        <v>85275</v>
      </c>
      <c r="G44" s="1083">
        <f t="shared" si="33"/>
        <v>76369</v>
      </c>
      <c r="H44" s="1125">
        <v>85275</v>
      </c>
      <c r="I44" s="1125">
        <f t="shared" si="34"/>
        <v>76369</v>
      </c>
      <c r="J44" s="1125">
        <f t="shared" si="35"/>
        <v>-8906</v>
      </c>
      <c r="K44" s="1125"/>
      <c r="L44" s="1125"/>
      <c r="M44" s="1125"/>
      <c r="N44" s="1125"/>
      <c r="O44" s="1125"/>
      <c r="P44" s="1125"/>
      <c r="Q44" s="1125"/>
      <c r="R44" s="1125"/>
      <c r="S44" s="1125"/>
      <c r="T44" s="1125"/>
      <c r="U44" s="1125"/>
      <c r="V44" s="1125"/>
      <c r="W44" s="1125"/>
      <c r="X44" s="1125"/>
      <c r="Y44" s="1125"/>
      <c r="Z44" s="1125"/>
      <c r="AA44" s="1125">
        <v>-8906</v>
      </c>
      <c r="AB44" s="1125"/>
      <c r="AC44" s="1125">
        <v>0</v>
      </c>
      <c r="AD44" s="1125">
        <f t="shared" si="36"/>
        <v>0</v>
      </c>
      <c r="AE44" s="1125">
        <f t="shared" si="37"/>
        <v>0</v>
      </c>
      <c r="AF44" s="1125"/>
      <c r="AG44" s="1125"/>
      <c r="AH44" s="1125"/>
      <c r="AI44" s="1125"/>
      <c r="AJ44" s="1125"/>
      <c r="AK44" s="1125"/>
      <c r="AL44" s="1125">
        <v>0</v>
      </c>
      <c r="AM44" s="1124">
        <f t="shared" si="38"/>
        <v>0</v>
      </c>
      <c r="AN44" s="1124">
        <f t="shared" si="39"/>
        <v>0</v>
      </c>
      <c r="AO44" s="1124"/>
      <c r="AP44" s="1124"/>
      <c r="AQ44" s="1124"/>
      <c r="AR44" s="1124"/>
      <c r="AS44" s="1124"/>
      <c r="AT44" s="1124"/>
      <c r="AU44" s="1124"/>
      <c r="AV44" s="1124"/>
      <c r="AW44" s="1124"/>
      <c r="AX44" s="1124"/>
      <c r="AY44" s="1124">
        <v>0</v>
      </c>
      <c r="AZ44" s="1124">
        <f t="shared" si="40"/>
        <v>0</v>
      </c>
      <c r="BA44" s="1124">
        <f t="shared" si="41"/>
        <v>0</v>
      </c>
      <c r="BB44" s="1124"/>
      <c r="BC44" s="1124"/>
      <c r="BD44" s="1124"/>
      <c r="BE44" s="1124"/>
      <c r="BF44" s="1124"/>
      <c r="BG44" s="1125">
        <f t="shared" si="42"/>
        <v>0</v>
      </c>
      <c r="BH44" s="1125">
        <f t="shared" si="43"/>
        <v>0</v>
      </c>
      <c r="BI44" s="1125"/>
      <c r="BJ44" s="1125"/>
      <c r="BK44" s="1125"/>
      <c r="BL44" s="1125"/>
      <c r="BM44" s="1125"/>
      <c r="BN44" s="1125"/>
      <c r="BO44" s="1126"/>
      <c r="BP44" s="1125"/>
      <c r="BQ44" s="1127"/>
      <c r="BR44" s="1125"/>
      <c r="BS44" s="1128"/>
      <c r="BT44" s="1129" t="s">
        <v>1373</v>
      </c>
      <c r="BU44" s="1090" t="s">
        <v>1374</v>
      </c>
    </row>
    <row r="45" spans="1:73" ht="12.75" x14ac:dyDescent="0.25">
      <c r="A45" s="1094"/>
      <c r="B45" s="1095"/>
      <c r="C45" s="1096"/>
      <c r="D45" s="1097"/>
      <c r="E45" s="1082" t="s">
        <v>1375</v>
      </c>
      <c r="F45" s="1083">
        <f t="shared" si="32"/>
        <v>20502</v>
      </c>
      <c r="G45" s="1083">
        <f t="shared" si="33"/>
        <v>34902</v>
      </c>
      <c r="H45" s="1084">
        <v>20502</v>
      </c>
      <c r="I45" s="1084">
        <f t="shared" si="34"/>
        <v>34902</v>
      </c>
      <c r="J45" s="1084">
        <f t="shared" si="35"/>
        <v>14400</v>
      </c>
      <c r="K45" s="1084"/>
      <c r="L45" s="1084"/>
      <c r="M45" s="1084"/>
      <c r="N45" s="1084"/>
      <c r="O45" s="1084"/>
      <c r="P45" s="1084"/>
      <c r="Q45" s="1084"/>
      <c r="R45" s="1084"/>
      <c r="S45" s="1084">
        <v>-20502</v>
      </c>
      <c r="T45" s="1084"/>
      <c r="U45" s="1084"/>
      <c r="V45" s="1084">
        <v>34902</v>
      </c>
      <c r="W45" s="1084"/>
      <c r="X45" s="1084"/>
      <c r="Y45" s="1084"/>
      <c r="Z45" s="1084"/>
      <c r="AA45" s="1084"/>
      <c r="AB45" s="1084"/>
      <c r="AC45" s="1084">
        <v>0</v>
      </c>
      <c r="AD45" s="1084">
        <f t="shared" si="36"/>
        <v>0</v>
      </c>
      <c r="AE45" s="1084">
        <f t="shared" si="37"/>
        <v>0</v>
      </c>
      <c r="AF45" s="1084"/>
      <c r="AG45" s="1084"/>
      <c r="AH45" s="1084"/>
      <c r="AI45" s="1084"/>
      <c r="AJ45" s="1084"/>
      <c r="AK45" s="1084"/>
      <c r="AL45" s="1084">
        <v>0</v>
      </c>
      <c r="AM45" s="1085">
        <f t="shared" si="38"/>
        <v>0</v>
      </c>
      <c r="AN45" s="1085">
        <f t="shared" si="39"/>
        <v>0</v>
      </c>
      <c r="AO45" s="1085"/>
      <c r="AP45" s="1085"/>
      <c r="AQ45" s="1085"/>
      <c r="AR45" s="1085"/>
      <c r="AS45" s="1085"/>
      <c r="AT45" s="1085"/>
      <c r="AU45" s="1085"/>
      <c r="AV45" s="1085"/>
      <c r="AW45" s="1085"/>
      <c r="AX45" s="1085"/>
      <c r="AY45" s="1085">
        <v>0</v>
      </c>
      <c r="AZ45" s="1124">
        <f t="shared" si="40"/>
        <v>0</v>
      </c>
      <c r="BA45" s="1124">
        <f t="shared" si="41"/>
        <v>0</v>
      </c>
      <c r="BB45" s="1124"/>
      <c r="BC45" s="1124"/>
      <c r="BD45" s="1124"/>
      <c r="BE45" s="1124"/>
      <c r="BF45" s="1124"/>
      <c r="BG45" s="1125">
        <f t="shared" si="42"/>
        <v>0</v>
      </c>
      <c r="BH45" s="1125">
        <f t="shared" si="43"/>
        <v>0</v>
      </c>
      <c r="BI45" s="1125"/>
      <c r="BJ45" s="1125"/>
      <c r="BK45" s="1125"/>
      <c r="BL45" s="1125"/>
      <c r="BM45" s="1125"/>
      <c r="BN45" s="1125"/>
      <c r="BO45" s="1126"/>
      <c r="BP45" s="1125"/>
      <c r="BQ45" s="1127"/>
      <c r="BR45" s="1125"/>
      <c r="BS45" s="1128"/>
      <c r="BT45" s="1129" t="s">
        <v>1376</v>
      </c>
      <c r="BU45" s="1090" t="s">
        <v>1377</v>
      </c>
    </row>
    <row r="46" spans="1:73" ht="24" x14ac:dyDescent="0.25">
      <c r="A46" s="1094"/>
      <c r="B46" s="1095"/>
      <c r="C46" s="1096"/>
      <c r="D46" s="1097"/>
      <c r="E46" s="1082" t="s">
        <v>1378</v>
      </c>
      <c r="F46" s="1083">
        <f t="shared" si="32"/>
        <v>149488</v>
      </c>
      <c r="G46" s="1083">
        <f t="shared" si="33"/>
        <v>187099</v>
      </c>
      <c r="H46" s="1084">
        <v>144708</v>
      </c>
      <c r="I46" s="1084">
        <f t="shared" si="34"/>
        <v>177380</v>
      </c>
      <c r="J46" s="1084">
        <f t="shared" si="35"/>
        <v>32672</v>
      </c>
      <c r="K46" s="1084"/>
      <c r="L46" s="1084"/>
      <c r="M46" s="1084"/>
      <c r="N46" s="1084"/>
      <c r="O46" s="1084"/>
      <c r="P46" s="1084">
        <v>8000</v>
      </c>
      <c r="Q46" s="1084"/>
      <c r="R46" s="1084"/>
      <c r="S46" s="1084">
        <v>2541</v>
      </c>
      <c r="T46" s="1084"/>
      <c r="U46" s="1084"/>
      <c r="V46" s="1084"/>
      <c r="W46" s="1084"/>
      <c r="X46" s="1084"/>
      <c r="Y46" s="1084">
        <f>3927+4201</f>
        <v>8128</v>
      </c>
      <c r="Z46" s="1084">
        <v>14003</v>
      </c>
      <c r="AA46" s="1084"/>
      <c r="AB46" s="1084"/>
      <c r="AC46" s="1084">
        <v>0</v>
      </c>
      <c r="AD46" s="1084">
        <f t="shared" si="36"/>
        <v>0</v>
      </c>
      <c r="AE46" s="1084">
        <f t="shared" si="37"/>
        <v>0</v>
      </c>
      <c r="AF46" s="1084"/>
      <c r="AG46" s="1084"/>
      <c r="AH46" s="1084"/>
      <c r="AI46" s="1084"/>
      <c r="AJ46" s="1084"/>
      <c r="AK46" s="1084"/>
      <c r="AL46" s="1084">
        <v>4780</v>
      </c>
      <c r="AM46" s="1085">
        <f t="shared" si="38"/>
        <v>9719</v>
      </c>
      <c r="AN46" s="1085">
        <f t="shared" si="39"/>
        <v>4939</v>
      </c>
      <c r="AO46" s="1085"/>
      <c r="AP46" s="1085"/>
      <c r="AQ46" s="1085"/>
      <c r="AR46" s="1085"/>
      <c r="AS46" s="1085">
        <f>900+514</f>
        <v>1414</v>
      </c>
      <c r="AT46" s="1085"/>
      <c r="AU46" s="1085"/>
      <c r="AV46" s="1085">
        <v>3525</v>
      </c>
      <c r="AW46" s="1085"/>
      <c r="AX46" s="1085"/>
      <c r="AY46" s="1085">
        <v>0</v>
      </c>
      <c r="AZ46" s="1124">
        <f t="shared" si="40"/>
        <v>0</v>
      </c>
      <c r="BA46" s="1124">
        <f t="shared" si="41"/>
        <v>0</v>
      </c>
      <c r="BB46" s="1124"/>
      <c r="BC46" s="1124"/>
      <c r="BD46" s="1124"/>
      <c r="BE46" s="1124"/>
      <c r="BF46" s="1124"/>
      <c r="BG46" s="1125">
        <f t="shared" si="42"/>
        <v>0</v>
      </c>
      <c r="BH46" s="1125">
        <f t="shared" si="43"/>
        <v>0</v>
      </c>
      <c r="BI46" s="1125"/>
      <c r="BJ46" s="1125"/>
      <c r="BK46" s="1125"/>
      <c r="BL46" s="1125"/>
      <c r="BM46" s="1125"/>
      <c r="BN46" s="1125"/>
      <c r="BO46" s="1126"/>
      <c r="BP46" s="1125"/>
      <c r="BQ46" s="1127"/>
      <c r="BR46" s="1125"/>
      <c r="BS46" s="1128"/>
      <c r="BT46" s="1129" t="s">
        <v>1379</v>
      </c>
      <c r="BU46" s="1090" t="s">
        <v>1380</v>
      </c>
    </row>
    <row r="47" spans="1:73" ht="48" x14ac:dyDescent="0.25">
      <c r="A47" s="1094"/>
      <c r="B47" s="1095"/>
      <c r="C47" s="1096"/>
      <c r="D47" s="1097"/>
      <c r="E47" s="1082" t="s">
        <v>1381</v>
      </c>
      <c r="F47" s="1083">
        <f t="shared" si="32"/>
        <v>1069097</v>
      </c>
      <c r="G47" s="1083">
        <f t="shared" si="33"/>
        <v>998670</v>
      </c>
      <c r="H47" s="1084">
        <v>1069097</v>
      </c>
      <c r="I47" s="1084">
        <f t="shared" si="34"/>
        <v>998670</v>
      </c>
      <c r="J47" s="1084">
        <f t="shared" si="35"/>
        <v>-70427</v>
      </c>
      <c r="K47" s="1084"/>
      <c r="L47" s="1084"/>
      <c r="M47" s="1084">
        <v>42000</v>
      </c>
      <c r="N47" s="1084"/>
      <c r="O47" s="1084">
        <f>-42710-70000</f>
        <v>-112710</v>
      </c>
      <c r="P47" s="1084"/>
      <c r="Q47" s="1084"/>
      <c r="R47" s="1084"/>
      <c r="S47" s="1084"/>
      <c r="T47" s="1084"/>
      <c r="U47" s="1084"/>
      <c r="V47" s="1084"/>
      <c r="W47" s="1084">
        <v>4210</v>
      </c>
      <c r="X47" s="1084"/>
      <c r="Y47" s="1084">
        <v>-3927</v>
      </c>
      <c r="Z47" s="1084"/>
      <c r="AA47" s="1084"/>
      <c r="AB47" s="1084"/>
      <c r="AC47" s="1084">
        <v>0</v>
      </c>
      <c r="AD47" s="1084">
        <f t="shared" si="36"/>
        <v>0</v>
      </c>
      <c r="AE47" s="1084">
        <f t="shared" si="37"/>
        <v>0</v>
      </c>
      <c r="AF47" s="1084"/>
      <c r="AG47" s="1084"/>
      <c r="AH47" s="1084"/>
      <c r="AI47" s="1084"/>
      <c r="AJ47" s="1084"/>
      <c r="AK47" s="1084"/>
      <c r="AL47" s="1084">
        <v>0</v>
      </c>
      <c r="AM47" s="1085">
        <f t="shared" si="38"/>
        <v>0</v>
      </c>
      <c r="AN47" s="1085">
        <f t="shared" si="39"/>
        <v>0</v>
      </c>
      <c r="AO47" s="1085"/>
      <c r="AP47" s="1085"/>
      <c r="AQ47" s="1085"/>
      <c r="AR47" s="1085"/>
      <c r="AS47" s="1085"/>
      <c r="AT47" s="1085"/>
      <c r="AU47" s="1085"/>
      <c r="AV47" s="1085"/>
      <c r="AW47" s="1085"/>
      <c r="AX47" s="1085"/>
      <c r="AY47" s="1085">
        <v>0</v>
      </c>
      <c r="AZ47" s="1124">
        <f t="shared" si="40"/>
        <v>0</v>
      </c>
      <c r="BA47" s="1124">
        <f t="shared" si="41"/>
        <v>0</v>
      </c>
      <c r="BB47" s="1124"/>
      <c r="BC47" s="1124"/>
      <c r="BD47" s="1124"/>
      <c r="BE47" s="1124"/>
      <c r="BF47" s="1124"/>
      <c r="BG47" s="1125">
        <f t="shared" si="42"/>
        <v>0</v>
      </c>
      <c r="BH47" s="1125">
        <f t="shared" si="43"/>
        <v>0</v>
      </c>
      <c r="BI47" s="1125"/>
      <c r="BJ47" s="1125"/>
      <c r="BK47" s="1125"/>
      <c r="BL47" s="1125"/>
      <c r="BM47" s="1125"/>
      <c r="BN47" s="1125"/>
      <c r="BO47" s="1126"/>
      <c r="BP47" s="1125"/>
      <c r="BQ47" s="1127"/>
      <c r="BR47" s="1125"/>
      <c r="BS47" s="1128"/>
      <c r="BT47" s="1129" t="s">
        <v>1382</v>
      </c>
      <c r="BU47" s="1090" t="s">
        <v>1383</v>
      </c>
    </row>
    <row r="48" spans="1:73" ht="36" x14ac:dyDescent="0.25">
      <c r="A48" s="1094"/>
      <c r="B48" s="1095"/>
      <c r="C48" s="1096"/>
      <c r="D48" s="1097"/>
      <c r="E48" s="1082" t="s">
        <v>1384</v>
      </c>
      <c r="F48" s="1083">
        <f t="shared" si="32"/>
        <v>0</v>
      </c>
      <c r="G48" s="1083">
        <f t="shared" si="33"/>
        <v>0</v>
      </c>
      <c r="H48" s="1084">
        <v>1390689</v>
      </c>
      <c r="I48" s="1084">
        <f t="shared" si="34"/>
        <v>1569762</v>
      </c>
      <c r="J48" s="1084">
        <f t="shared" si="35"/>
        <v>179073</v>
      </c>
      <c r="K48" s="1084">
        <v>179073</v>
      </c>
      <c r="L48" s="1084"/>
      <c r="M48" s="1084"/>
      <c r="N48" s="1084"/>
      <c r="O48" s="1084"/>
      <c r="P48" s="1084"/>
      <c r="Q48" s="1084"/>
      <c r="R48" s="1084"/>
      <c r="S48" s="1084"/>
      <c r="T48" s="1084"/>
      <c r="U48" s="1084"/>
      <c r="V48" s="1084"/>
      <c r="W48" s="1084"/>
      <c r="X48" s="1084"/>
      <c r="Y48" s="1084"/>
      <c r="Z48" s="1084"/>
      <c r="AA48" s="1084"/>
      <c r="AB48" s="1084"/>
      <c r="AC48" s="1084">
        <v>0</v>
      </c>
      <c r="AD48" s="1084">
        <f t="shared" si="36"/>
        <v>0</v>
      </c>
      <c r="AE48" s="1084">
        <f t="shared" si="37"/>
        <v>0</v>
      </c>
      <c r="AF48" s="1084"/>
      <c r="AG48" s="1084"/>
      <c r="AH48" s="1084"/>
      <c r="AI48" s="1084"/>
      <c r="AJ48" s="1084"/>
      <c r="AK48" s="1084"/>
      <c r="AL48" s="1084">
        <v>0</v>
      </c>
      <c r="AM48" s="1085">
        <f t="shared" si="38"/>
        <v>0</v>
      </c>
      <c r="AN48" s="1085">
        <f t="shared" si="39"/>
        <v>0</v>
      </c>
      <c r="AO48" s="1085"/>
      <c r="AP48" s="1085"/>
      <c r="AQ48" s="1085"/>
      <c r="AR48" s="1085"/>
      <c r="AS48" s="1085"/>
      <c r="AT48" s="1085"/>
      <c r="AU48" s="1085"/>
      <c r="AV48" s="1085"/>
      <c r="AW48" s="1085"/>
      <c r="AX48" s="1085"/>
      <c r="AY48" s="1085">
        <v>0</v>
      </c>
      <c r="AZ48" s="1124">
        <f t="shared" si="40"/>
        <v>0</v>
      </c>
      <c r="BA48" s="1124">
        <f t="shared" si="41"/>
        <v>0</v>
      </c>
      <c r="BB48" s="1124"/>
      <c r="BC48" s="1124"/>
      <c r="BD48" s="1124"/>
      <c r="BE48" s="1124"/>
      <c r="BF48" s="1124">
        <v>-1390689</v>
      </c>
      <c r="BG48" s="1125">
        <f t="shared" si="42"/>
        <v>-1569762</v>
      </c>
      <c r="BH48" s="1125">
        <f t="shared" si="43"/>
        <v>-179073</v>
      </c>
      <c r="BI48" s="1125">
        <f>-179073</f>
        <v>-179073</v>
      </c>
      <c r="BJ48" s="1125"/>
      <c r="BK48" s="1125"/>
      <c r="BL48" s="1125"/>
      <c r="BM48" s="1125"/>
      <c r="BN48" s="1125"/>
      <c r="BO48" s="1126"/>
      <c r="BP48" s="1125"/>
      <c r="BQ48" s="1127"/>
      <c r="BR48" s="1125"/>
      <c r="BS48" s="1128"/>
      <c r="BT48" s="1129" t="s">
        <v>1385</v>
      </c>
      <c r="BU48" s="1090"/>
    </row>
    <row r="49" spans="1:73" ht="48" x14ac:dyDescent="0.25">
      <c r="A49" s="1094"/>
      <c r="B49" s="1095"/>
      <c r="C49" s="1096"/>
      <c r="D49" s="1097"/>
      <c r="E49" s="1082" t="s">
        <v>1386</v>
      </c>
      <c r="F49" s="1083">
        <f t="shared" si="32"/>
        <v>6300</v>
      </c>
      <c r="G49" s="1083">
        <f>I49+AD49+AM49+AX49+AZ49+BG49</f>
        <v>6332</v>
      </c>
      <c r="H49" s="1084">
        <v>10372</v>
      </c>
      <c r="I49" s="1084">
        <f t="shared" si="34"/>
        <v>8506</v>
      </c>
      <c r="J49" s="1084">
        <f t="shared" si="35"/>
        <v>-1866</v>
      </c>
      <c r="K49" s="1084">
        <v>808</v>
      </c>
      <c r="L49" s="1084"/>
      <c r="M49" s="1084"/>
      <c r="N49" s="1084"/>
      <c r="O49" s="1084"/>
      <c r="P49" s="1084">
        <v>-2674</v>
      </c>
      <c r="Q49" s="1084"/>
      <c r="R49" s="1084"/>
      <c r="S49" s="1084"/>
      <c r="T49" s="1084"/>
      <c r="U49" s="1084"/>
      <c r="V49" s="1084"/>
      <c r="W49" s="1084"/>
      <c r="X49" s="1084"/>
      <c r="Y49" s="1084"/>
      <c r="Z49" s="1084"/>
      <c r="AA49" s="1084"/>
      <c r="AB49" s="1084"/>
      <c r="AC49" s="1084">
        <v>0</v>
      </c>
      <c r="AD49" s="1084">
        <f t="shared" si="36"/>
        <v>0</v>
      </c>
      <c r="AE49" s="1084">
        <f t="shared" si="37"/>
        <v>0</v>
      </c>
      <c r="AF49" s="1084"/>
      <c r="AG49" s="1084"/>
      <c r="AH49" s="1084"/>
      <c r="AI49" s="1084"/>
      <c r="AJ49" s="1084"/>
      <c r="AK49" s="1084"/>
      <c r="AL49" s="1084">
        <v>0</v>
      </c>
      <c r="AM49" s="1085">
        <f t="shared" si="38"/>
        <v>0</v>
      </c>
      <c r="AN49" s="1085">
        <f t="shared" si="39"/>
        <v>0</v>
      </c>
      <c r="AO49" s="1085"/>
      <c r="AP49" s="1085"/>
      <c r="AQ49" s="1085"/>
      <c r="AR49" s="1085"/>
      <c r="AS49" s="1085"/>
      <c r="AT49" s="1085"/>
      <c r="AU49" s="1085"/>
      <c r="AV49" s="1085"/>
      <c r="AW49" s="1085"/>
      <c r="AX49" s="1085"/>
      <c r="AY49" s="1085">
        <v>0</v>
      </c>
      <c r="AZ49" s="1124">
        <f t="shared" si="40"/>
        <v>0</v>
      </c>
      <c r="BA49" s="1124">
        <f t="shared" si="41"/>
        <v>0</v>
      </c>
      <c r="BB49" s="1124"/>
      <c r="BC49" s="1124"/>
      <c r="BD49" s="1124"/>
      <c r="BE49" s="1124"/>
      <c r="BF49" s="1124">
        <v>-4072</v>
      </c>
      <c r="BG49" s="1125">
        <f t="shared" si="42"/>
        <v>-2174</v>
      </c>
      <c r="BH49" s="1125">
        <f t="shared" si="43"/>
        <v>1898</v>
      </c>
      <c r="BI49" s="1125">
        <v>-800</v>
      </c>
      <c r="BJ49" s="1125"/>
      <c r="BK49" s="1125"/>
      <c r="BL49" s="1125">
        <f>1898+800</f>
        <v>2698</v>
      </c>
      <c r="BM49" s="1125"/>
      <c r="BN49" s="1125"/>
      <c r="BO49" s="1126"/>
      <c r="BP49" s="1125"/>
      <c r="BQ49" s="1127"/>
      <c r="BR49" s="1125"/>
      <c r="BS49" s="1128"/>
      <c r="BT49" s="1129" t="s">
        <v>1387</v>
      </c>
      <c r="BU49" s="1090"/>
    </row>
    <row r="50" spans="1:73" ht="72" x14ac:dyDescent="0.25">
      <c r="A50" s="1094"/>
      <c r="B50" s="1095"/>
      <c r="C50" s="1096"/>
      <c r="D50" s="1097"/>
      <c r="E50" s="1082" t="s">
        <v>1388</v>
      </c>
      <c r="F50" s="1083">
        <f t="shared" si="32"/>
        <v>85236</v>
      </c>
      <c r="G50" s="1083">
        <f t="shared" si="33"/>
        <v>61523</v>
      </c>
      <c r="H50" s="1084">
        <v>85236</v>
      </c>
      <c r="I50" s="1084">
        <f t="shared" si="34"/>
        <v>61523</v>
      </c>
      <c r="J50" s="1084">
        <f t="shared" si="35"/>
        <v>-23713</v>
      </c>
      <c r="K50" s="1084">
        <v>2631</v>
      </c>
      <c r="L50" s="1084"/>
      <c r="M50" s="1084">
        <v>-21191</v>
      </c>
      <c r="N50" s="1084"/>
      <c r="O50" s="1084"/>
      <c r="P50" s="1084"/>
      <c r="Q50" s="1084">
        <v>-5153</v>
      </c>
      <c r="R50" s="1084"/>
      <c r="S50" s="1084"/>
      <c r="T50" s="1084"/>
      <c r="U50" s="1084"/>
      <c r="V50" s="1084"/>
      <c r="W50" s="1084"/>
      <c r="X50" s="1084"/>
      <c r="Y50" s="1084"/>
      <c r="Z50" s="1084"/>
      <c r="AA50" s="1084"/>
      <c r="AB50" s="1084"/>
      <c r="AC50" s="1084">
        <v>0</v>
      </c>
      <c r="AD50" s="1084">
        <f t="shared" si="36"/>
        <v>0</v>
      </c>
      <c r="AE50" s="1084">
        <f t="shared" si="37"/>
        <v>0</v>
      </c>
      <c r="AF50" s="1084"/>
      <c r="AG50" s="1084"/>
      <c r="AH50" s="1084"/>
      <c r="AI50" s="1084"/>
      <c r="AJ50" s="1084"/>
      <c r="AK50" s="1084"/>
      <c r="AL50" s="1084">
        <v>0</v>
      </c>
      <c r="AM50" s="1085">
        <f t="shared" si="38"/>
        <v>0</v>
      </c>
      <c r="AN50" s="1085">
        <f t="shared" si="39"/>
        <v>0</v>
      </c>
      <c r="AO50" s="1085"/>
      <c r="AP50" s="1085"/>
      <c r="AQ50" s="1085"/>
      <c r="AR50" s="1085"/>
      <c r="AS50" s="1085"/>
      <c r="AT50" s="1085"/>
      <c r="AU50" s="1085"/>
      <c r="AV50" s="1085"/>
      <c r="AW50" s="1085"/>
      <c r="AX50" s="1085"/>
      <c r="AY50" s="1085">
        <v>0</v>
      </c>
      <c r="AZ50" s="1124">
        <f t="shared" si="40"/>
        <v>0</v>
      </c>
      <c r="BA50" s="1124">
        <f t="shared" si="41"/>
        <v>0</v>
      </c>
      <c r="BB50" s="1124"/>
      <c r="BC50" s="1124"/>
      <c r="BD50" s="1124"/>
      <c r="BE50" s="1124"/>
      <c r="BF50" s="1124"/>
      <c r="BG50" s="1125">
        <f t="shared" si="42"/>
        <v>0</v>
      </c>
      <c r="BH50" s="1125">
        <f t="shared" si="43"/>
        <v>0</v>
      </c>
      <c r="BI50" s="1125"/>
      <c r="BJ50" s="1125"/>
      <c r="BK50" s="1125"/>
      <c r="BL50" s="1125"/>
      <c r="BM50" s="1125"/>
      <c r="BN50" s="1125"/>
      <c r="BO50" s="1126"/>
      <c r="BP50" s="1125"/>
      <c r="BQ50" s="1127"/>
      <c r="BR50" s="1125"/>
      <c r="BS50" s="1128"/>
      <c r="BT50" s="1129" t="s">
        <v>1389</v>
      </c>
      <c r="BU50" s="1090" t="s">
        <v>1380</v>
      </c>
    </row>
    <row r="51" spans="1:73" ht="24" x14ac:dyDescent="0.25">
      <c r="A51" s="1094"/>
      <c r="B51" s="1095"/>
      <c r="C51" s="1096"/>
      <c r="D51" s="1097"/>
      <c r="E51" s="1082" t="s">
        <v>1390</v>
      </c>
      <c r="F51" s="1083">
        <f t="shared" si="32"/>
        <v>5144</v>
      </c>
      <c r="G51" s="1083">
        <f t="shared" si="33"/>
        <v>4618</v>
      </c>
      <c r="H51" s="1084">
        <v>5144</v>
      </c>
      <c r="I51" s="1084">
        <f t="shared" si="34"/>
        <v>4618</v>
      </c>
      <c r="J51" s="1084">
        <f t="shared" si="35"/>
        <v>-526</v>
      </c>
      <c r="K51" s="1084">
        <v>410</v>
      </c>
      <c r="L51" s="1084"/>
      <c r="M51" s="1084">
        <v>-936</v>
      </c>
      <c r="N51" s="1084"/>
      <c r="O51" s="1084"/>
      <c r="P51" s="1084"/>
      <c r="Q51" s="1084"/>
      <c r="R51" s="1084"/>
      <c r="S51" s="1084"/>
      <c r="T51" s="1084"/>
      <c r="U51" s="1084"/>
      <c r="V51" s="1084"/>
      <c r="W51" s="1084"/>
      <c r="X51" s="1084"/>
      <c r="Y51" s="1084"/>
      <c r="Z51" s="1084"/>
      <c r="AA51" s="1084"/>
      <c r="AB51" s="1084"/>
      <c r="AC51" s="1084">
        <v>0</v>
      </c>
      <c r="AD51" s="1084">
        <f t="shared" si="36"/>
        <v>0</v>
      </c>
      <c r="AE51" s="1084">
        <f t="shared" si="37"/>
        <v>0</v>
      </c>
      <c r="AF51" s="1084"/>
      <c r="AG51" s="1084"/>
      <c r="AH51" s="1084"/>
      <c r="AI51" s="1084"/>
      <c r="AJ51" s="1084"/>
      <c r="AK51" s="1084"/>
      <c r="AL51" s="1084">
        <v>0</v>
      </c>
      <c r="AM51" s="1085">
        <f t="shared" si="38"/>
        <v>0</v>
      </c>
      <c r="AN51" s="1085">
        <f t="shared" si="39"/>
        <v>0</v>
      </c>
      <c r="AO51" s="1085"/>
      <c r="AP51" s="1085"/>
      <c r="AQ51" s="1085"/>
      <c r="AR51" s="1085"/>
      <c r="AS51" s="1085"/>
      <c r="AT51" s="1085"/>
      <c r="AU51" s="1085"/>
      <c r="AV51" s="1085"/>
      <c r="AW51" s="1085"/>
      <c r="AX51" s="1085"/>
      <c r="AY51" s="1085">
        <v>0</v>
      </c>
      <c r="AZ51" s="1124">
        <f t="shared" si="40"/>
        <v>0</v>
      </c>
      <c r="BA51" s="1124">
        <f t="shared" si="41"/>
        <v>0</v>
      </c>
      <c r="BB51" s="1124"/>
      <c r="BC51" s="1124"/>
      <c r="BD51" s="1124"/>
      <c r="BE51" s="1124"/>
      <c r="BF51" s="1124"/>
      <c r="BG51" s="1125">
        <f t="shared" si="42"/>
        <v>0</v>
      </c>
      <c r="BH51" s="1125">
        <f t="shared" si="43"/>
        <v>0</v>
      </c>
      <c r="BI51" s="1125"/>
      <c r="BJ51" s="1125"/>
      <c r="BK51" s="1125"/>
      <c r="BL51" s="1125"/>
      <c r="BM51" s="1125"/>
      <c r="BN51" s="1125"/>
      <c r="BO51" s="1126"/>
      <c r="BP51" s="1125"/>
      <c r="BQ51" s="1127"/>
      <c r="BR51" s="1125"/>
      <c r="BS51" s="1128"/>
      <c r="BT51" s="1129" t="s">
        <v>1391</v>
      </c>
      <c r="BU51" s="1090"/>
    </row>
    <row r="52" spans="1:73" ht="24" x14ac:dyDescent="0.25">
      <c r="A52" s="1094"/>
      <c r="B52" s="1095"/>
      <c r="C52" s="1096"/>
      <c r="D52" s="1097"/>
      <c r="E52" s="1082" t="s">
        <v>1392</v>
      </c>
      <c r="F52" s="1083">
        <f t="shared" si="32"/>
        <v>0</v>
      </c>
      <c r="G52" s="1083">
        <f t="shared" si="33"/>
        <v>62152</v>
      </c>
      <c r="H52" s="1084"/>
      <c r="I52" s="1084">
        <f t="shared" si="34"/>
        <v>62152</v>
      </c>
      <c r="J52" s="1084">
        <f t="shared" si="35"/>
        <v>62152</v>
      </c>
      <c r="K52" s="1084">
        <v>62152</v>
      </c>
      <c r="L52" s="1084"/>
      <c r="M52" s="1084"/>
      <c r="N52" s="1084"/>
      <c r="O52" s="1084"/>
      <c r="P52" s="1084"/>
      <c r="Q52" s="1084"/>
      <c r="R52" s="1084"/>
      <c r="S52" s="1084"/>
      <c r="T52" s="1084"/>
      <c r="U52" s="1084"/>
      <c r="V52" s="1084"/>
      <c r="W52" s="1084"/>
      <c r="X52" s="1084"/>
      <c r="Y52" s="1084"/>
      <c r="Z52" s="1084"/>
      <c r="AA52" s="1084"/>
      <c r="AB52" s="1084"/>
      <c r="AC52" s="1084"/>
      <c r="AD52" s="1084">
        <f t="shared" si="36"/>
        <v>0</v>
      </c>
      <c r="AE52" s="1084">
        <f t="shared" ref="AE52" si="44">SUM(AF52:AK52)</f>
        <v>0</v>
      </c>
      <c r="AF52" s="1084"/>
      <c r="AG52" s="1084"/>
      <c r="AH52" s="1084"/>
      <c r="AI52" s="1084"/>
      <c r="AJ52" s="1084"/>
      <c r="AK52" s="1084"/>
      <c r="AL52" s="1084"/>
      <c r="AM52" s="1085">
        <f t="shared" si="38"/>
        <v>0</v>
      </c>
      <c r="AN52" s="1085">
        <f t="shared" si="39"/>
        <v>0</v>
      </c>
      <c r="AO52" s="1085"/>
      <c r="AP52" s="1085"/>
      <c r="AQ52" s="1085"/>
      <c r="AR52" s="1085"/>
      <c r="AS52" s="1085"/>
      <c r="AT52" s="1085"/>
      <c r="AU52" s="1085"/>
      <c r="AV52" s="1085"/>
      <c r="AW52" s="1085"/>
      <c r="AX52" s="1085"/>
      <c r="AY52" s="1085"/>
      <c r="AZ52" s="1124">
        <f t="shared" si="40"/>
        <v>0</v>
      </c>
      <c r="BA52" s="1124">
        <f t="shared" si="41"/>
        <v>0</v>
      </c>
      <c r="BB52" s="1124"/>
      <c r="BC52" s="1124"/>
      <c r="BD52" s="1124"/>
      <c r="BE52" s="1124"/>
      <c r="BF52" s="1124"/>
      <c r="BG52" s="1125">
        <f t="shared" si="42"/>
        <v>0</v>
      </c>
      <c r="BH52" s="1125">
        <f t="shared" si="43"/>
        <v>0</v>
      </c>
      <c r="BI52" s="1125"/>
      <c r="BJ52" s="1125"/>
      <c r="BK52" s="1125"/>
      <c r="BL52" s="1125"/>
      <c r="BM52" s="1125"/>
      <c r="BN52" s="1125"/>
      <c r="BO52" s="1126"/>
      <c r="BP52" s="1125"/>
      <c r="BQ52" s="1127"/>
      <c r="BR52" s="1125"/>
      <c r="BS52" s="1128"/>
      <c r="BT52" s="1129" t="s">
        <v>1393</v>
      </c>
      <c r="BU52" s="1090"/>
    </row>
    <row r="53" spans="1:73" ht="24" x14ac:dyDescent="0.25">
      <c r="A53" s="1094"/>
      <c r="B53" s="1095"/>
      <c r="C53" s="1096"/>
      <c r="D53" s="1097"/>
      <c r="E53" s="1082" t="s">
        <v>1394</v>
      </c>
      <c r="F53" s="1083">
        <f t="shared" si="32"/>
        <v>0</v>
      </c>
      <c r="G53" s="1083">
        <f t="shared" si="33"/>
        <v>0</v>
      </c>
      <c r="H53" s="1084"/>
      <c r="I53" s="1084">
        <f t="shared" si="34"/>
        <v>17647</v>
      </c>
      <c r="J53" s="1084">
        <f t="shared" si="35"/>
        <v>17647</v>
      </c>
      <c r="K53" s="1084">
        <v>17647</v>
      </c>
      <c r="L53" s="1084"/>
      <c r="M53" s="1084"/>
      <c r="N53" s="1084"/>
      <c r="O53" s="1084"/>
      <c r="P53" s="1084"/>
      <c r="Q53" s="1084"/>
      <c r="R53" s="1084"/>
      <c r="S53" s="1084"/>
      <c r="T53" s="1084"/>
      <c r="U53" s="1084"/>
      <c r="V53" s="1084"/>
      <c r="W53" s="1084"/>
      <c r="X53" s="1084"/>
      <c r="Y53" s="1084"/>
      <c r="Z53" s="1084"/>
      <c r="AA53" s="1084"/>
      <c r="AB53" s="1084"/>
      <c r="AC53" s="1084"/>
      <c r="AD53" s="1084">
        <f t="shared" si="36"/>
        <v>0</v>
      </c>
      <c r="AE53" s="1084">
        <f t="shared" ref="AE53:AE56" si="45">SUM(AF53:AK53)</f>
        <v>0</v>
      </c>
      <c r="AF53" s="1084"/>
      <c r="AG53" s="1084"/>
      <c r="AH53" s="1084"/>
      <c r="AI53" s="1084"/>
      <c r="AJ53" s="1084"/>
      <c r="AK53" s="1084"/>
      <c r="AL53" s="1084"/>
      <c r="AM53" s="1085">
        <f t="shared" si="38"/>
        <v>0</v>
      </c>
      <c r="AN53" s="1085">
        <f t="shared" si="39"/>
        <v>0</v>
      </c>
      <c r="AO53" s="1085"/>
      <c r="AP53" s="1085"/>
      <c r="AQ53" s="1085"/>
      <c r="AR53" s="1085"/>
      <c r="AS53" s="1085"/>
      <c r="AT53" s="1085"/>
      <c r="AU53" s="1085"/>
      <c r="AV53" s="1085"/>
      <c r="AW53" s="1085"/>
      <c r="AX53" s="1085"/>
      <c r="AY53" s="1085"/>
      <c r="AZ53" s="1124">
        <f t="shared" si="40"/>
        <v>0</v>
      </c>
      <c r="BA53" s="1124">
        <f t="shared" si="41"/>
        <v>0</v>
      </c>
      <c r="BB53" s="1124"/>
      <c r="BC53" s="1124"/>
      <c r="BD53" s="1124"/>
      <c r="BE53" s="1124"/>
      <c r="BF53" s="1124"/>
      <c r="BG53" s="1125">
        <f t="shared" si="42"/>
        <v>-17647</v>
      </c>
      <c r="BH53" s="1125">
        <f t="shared" si="43"/>
        <v>-17647</v>
      </c>
      <c r="BI53" s="1125">
        <v>-17647</v>
      </c>
      <c r="BJ53" s="1125"/>
      <c r="BK53" s="1125"/>
      <c r="BL53" s="1125"/>
      <c r="BM53" s="1125"/>
      <c r="BN53" s="1125"/>
      <c r="BO53" s="1126"/>
      <c r="BP53" s="1125"/>
      <c r="BQ53" s="1127"/>
      <c r="BR53" s="1125"/>
      <c r="BS53" s="1128"/>
      <c r="BT53" s="1129" t="s">
        <v>1395</v>
      </c>
      <c r="BU53" s="1090"/>
    </row>
    <row r="54" spans="1:73" ht="48" x14ac:dyDescent="0.25">
      <c r="A54" s="1094"/>
      <c r="B54" s="1095"/>
      <c r="C54" s="1096"/>
      <c r="D54" s="1097"/>
      <c r="E54" s="1082" t="s">
        <v>1396</v>
      </c>
      <c r="F54" s="1083">
        <f t="shared" si="32"/>
        <v>0</v>
      </c>
      <c r="G54" s="1083">
        <f t="shared" si="33"/>
        <v>0</v>
      </c>
      <c r="H54" s="1084"/>
      <c r="I54" s="1084">
        <f t="shared" si="34"/>
        <v>7326</v>
      </c>
      <c r="J54" s="1084">
        <f t="shared" si="35"/>
        <v>7326</v>
      </c>
      <c r="K54" s="1084">
        <v>7326</v>
      </c>
      <c r="L54" s="1084"/>
      <c r="M54" s="1084"/>
      <c r="N54" s="1084"/>
      <c r="O54" s="1084"/>
      <c r="P54" s="1084"/>
      <c r="Q54" s="1084"/>
      <c r="R54" s="1084"/>
      <c r="S54" s="1084"/>
      <c r="T54" s="1084"/>
      <c r="U54" s="1084"/>
      <c r="V54" s="1084"/>
      <c r="W54" s="1084"/>
      <c r="X54" s="1084"/>
      <c r="Y54" s="1084"/>
      <c r="Z54" s="1084"/>
      <c r="AA54" s="1084"/>
      <c r="AB54" s="1084"/>
      <c r="AC54" s="1084"/>
      <c r="AD54" s="1084">
        <f t="shared" si="36"/>
        <v>0</v>
      </c>
      <c r="AE54" s="1084">
        <f t="shared" si="45"/>
        <v>0</v>
      </c>
      <c r="AF54" s="1084"/>
      <c r="AG54" s="1084"/>
      <c r="AH54" s="1084"/>
      <c r="AI54" s="1084"/>
      <c r="AJ54" s="1084"/>
      <c r="AK54" s="1084"/>
      <c r="AL54" s="1084"/>
      <c r="AM54" s="1085">
        <f t="shared" si="38"/>
        <v>0</v>
      </c>
      <c r="AN54" s="1085">
        <f t="shared" si="39"/>
        <v>0</v>
      </c>
      <c r="AO54" s="1085"/>
      <c r="AP54" s="1085"/>
      <c r="AQ54" s="1085"/>
      <c r="AR54" s="1085"/>
      <c r="AS54" s="1085"/>
      <c r="AT54" s="1085"/>
      <c r="AU54" s="1085"/>
      <c r="AV54" s="1085"/>
      <c r="AW54" s="1085"/>
      <c r="AX54" s="1085"/>
      <c r="AY54" s="1085"/>
      <c r="AZ54" s="1124">
        <f t="shared" si="40"/>
        <v>0</v>
      </c>
      <c r="BA54" s="1124">
        <f t="shared" si="41"/>
        <v>0</v>
      </c>
      <c r="BB54" s="1124"/>
      <c r="BC54" s="1124"/>
      <c r="BD54" s="1124"/>
      <c r="BE54" s="1124"/>
      <c r="BF54" s="1124"/>
      <c r="BG54" s="1125">
        <f t="shared" si="42"/>
        <v>-7326</v>
      </c>
      <c r="BH54" s="1125">
        <f t="shared" si="43"/>
        <v>-7326</v>
      </c>
      <c r="BI54" s="1125">
        <v>-7326</v>
      </c>
      <c r="BJ54" s="1125"/>
      <c r="BK54" s="1125"/>
      <c r="BL54" s="1125"/>
      <c r="BM54" s="1125"/>
      <c r="BN54" s="1125"/>
      <c r="BO54" s="1126"/>
      <c r="BP54" s="1125"/>
      <c r="BQ54" s="1127"/>
      <c r="BR54" s="1125"/>
      <c r="BS54" s="1128"/>
      <c r="BT54" s="1129" t="s">
        <v>1397</v>
      </c>
      <c r="BU54" s="1090"/>
    </row>
    <row r="55" spans="1:73" ht="36" x14ac:dyDescent="0.25">
      <c r="A55" s="1094"/>
      <c r="B55" s="1095"/>
      <c r="C55" s="1096"/>
      <c r="D55" s="1097"/>
      <c r="E55" s="1082" t="s">
        <v>1398</v>
      </c>
      <c r="F55" s="1083">
        <f t="shared" si="32"/>
        <v>0</v>
      </c>
      <c r="G55" s="1083">
        <f t="shared" si="33"/>
        <v>11931</v>
      </c>
      <c r="H55" s="1084"/>
      <c r="I55" s="1084">
        <f t="shared" si="34"/>
        <v>11931</v>
      </c>
      <c r="J55" s="1084">
        <f t="shared" si="35"/>
        <v>11931</v>
      </c>
      <c r="K55" s="1084"/>
      <c r="L55" s="1084"/>
      <c r="M55" s="1084"/>
      <c r="N55" s="1084"/>
      <c r="O55" s="1084"/>
      <c r="P55" s="1084">
        <v>11931</v>
      </c>
      <c r="Q55" s="1084"/>
      <c r="R55" s="1084"/>
      <c r="S55" s="1084"/>
      <c r="T55" s="1084"/>
      <c r="U55" s="1084"/>
      <c r="V55" s="1084"/>
      <c r="W55" s="1084"/>
      <c r="X55" s="1084"/>
      <c r="Y55" s="1084"/>
      <c r="Z55" s="1084"/>
      <c r="AA55" s="1084"/>
      <c r="AB55" s="1084"/>
      <c r="AC55" s="1084"/>
      <c r="AD55" s="1084">
        <f t="shared" si="36"/>
        <v>0</v>
      </c>
      <c r="AE55" s="1084">
        <f t="shared" si="45"/>
        <v>0</v>
      </c>
      <c r="AF55" s="1084"/>
      <c r="AG55" s="1084"/>
      <c r="AH55" s="1084"/>
      <c r="AI55" s="1084"/>
      <c r="AJ55" s="1084"/>
      <c r="AK55" s="1084"/>
      <c r="AL55" s="1084"/>
      <c r="AM55" s="1085">
        <f t="shared" si="38"/>
        <v>0</v>
      </c>
      <c r="AN55" s="1085">
        <f t="shared" si="39"/>
        <v>0</v>
      </c>
      <c r="AO55" s="1085"/>
      <c r="AP55" s="1085"/>
      <c r="AQ55" s="1085"/>
      <c r="AR55" s="1085"/>
      <c r="AS55" s="1085"/>
      <c r="AT55" s="1085"/>
      <c r="AU55" s="1085"/>
      <c r="AV55" s="1085"/>
      <c r="AW55" s="1085"/>
      <c r="AX55" s="1085"/>
      <c r="AY55" s="1085"/>
      <c r="AZ55" s="1124">
        <f t="shared" si="40"/>
        <v>0</v>
      </c>
      <c r="BA55" s="1124">
        <f t="shared" si="41"/>
        <v>0</v>
      </c>
      <c r="BB55" s="1124"/>
      <c r="BC55" s="1124"/>
      <c r="BD55" s="1124"/>
      <c r="BE55" s="1124"/>
      <c r="BF55" s="1124"/>
      <c r="BG55" s="1125">
        <f t="shared" si="42"/>
        <v>0</v>
      </c>
      <c r="BH55" s="1125">
        <f t="shared" si="43"/>
        <v>0</v>
      </c>
      <c r="BI55" s="1125"/>
      <c r="BJ55" s="1125"/>
      <c r="BK55" s="1125"/>
      <c r="BL55" s="1125"/>
      <c r="BM55" s="1125"/>
      <c r="BN55" s="1125"/>
      <c r="BO55" s="1126"/>
      <c r="BP55" s="1125"/>
      <c r="BQ55" s="1127"/>
      <c r="BR55" s="1125"/>
      <c r="BS55" s="1128"/>
      <c r="BT55" s="1129" t="s">
        <v>1399</v>
      </c>
      <c r="BU55" s="1090"/>
    </row>
    <row r="56" spans="1:73" ht="36" x14ac:dyDescent="0.25">
      <c r="A56" s="1094"/>
      <c r="B56" s="1095"/>
      <c r="C56" s="1096"/>
      <c r="D56" s="1097"/>
      <c r="E56" s="1082" t="s">
        <v>1400</v>
      </c>
      <c r="F56" s="1083">
        <f t="shared" si="32"/>
        <v>0</v>
      </c>
      <c r="G56" s="1083">
        <f t="shared" si="33"/>
        <v>10040</v>
      </c>
      <c r="H56" s="1084"/>
      <c r="I56" s="1084">
        <f t="shared" si="34"/>
        <v>10040</v>
      </c>
      <c r="J56" s="1084">
        <f t="shared" si="35"/>
        <v>10040</v>
      </c>
      <c r="K56" s="1084"/>
      <c r="L56" s="1084"/>
      <c r="M56" s="1084"/>
      <c r="N56" s="1084"/>
      <c r="O56" s="1084"/>
      <c r="P56" s="1084"/>
      <c r="Q56" s="1084"/>
      <c r="R56" s="1084"/>
      <c r="S56" s="1084"/>
      <c r="T56" s="1084"/>
      <c r="U56" s="1084"/>
      <c r="V56" s="1084"/>
      <c r="W56" s="1084"/>
      <c r="X56" s="1084"/>
      <c r="Y56" s="1084"/>
      <c r="Z56" s="1084">
        <v>10040</v>
      </c>
      <c r="AA56" s="1084"/>
      <c r="AB56" s="1084"/>
      <c r="AC56" s="1084"/>
      <c r="AD56" s="1084">
        <f t="shared" si="36"/>
        <v>0</v>
      </c>
      <c r="AE56" s="1084">
        <f t="shared" si="45"/>
        <v>0</v>
      </c>
      <c r="AF56" s="1084"/>
      <c r="AG56" s="1084"/>
      <c r="AH56" s="1084"/>
      <c r="AI56" s="1084"/>
      <c r="AJ56" s="1084"/>
      <c r="AK56" s="1084"/>
      <c r="AL56" s="1084"/>
      <c r="AM56" s="1085">
        <f t="shared" si="38"/>
        <v>0</v>
      </c>
      <c r="AN56" s="1085">
        <f t="shared" si="39"/>
        <v>0</v>
      </c>
      <c r="AO56" s="1085"/>
      <c r="AP56" s="1085"/>
      <c r="AQ56" s="1085"/>
      <c r="AR56" s="1085"/>
      <c r="AS56" s="1085"/>
      <c r="AT56" s="1085"/>
      <c r="AU56" s="1085"/>
      <c r="AV56" s="1085"/>
      <c r="AW56" s="1085"/>
      <c r="AX56" s="1085"/>
      <c r="AY56" s="1085"/>
      <c r="AZ56" s="1124">
        <f t="shared" si="40"/>
        <v>0</v>
      </c>
      <c r="BA56" s="1124">
        <f t="shared" si="41"/>
        <v>0</v>
      </c>
      <c r="BB56" s="1124"/>
      <c r="BC56" s="1124"/>
      <c r="BD56" s="1124"/>
      <c r="BE56" s="1124"/>
      <c r="BF56" s="1124"/>
      <c r="BG56" s="1125">
        <f t="shared" si="42"/>
        <v>0</v>
      </c>
      <c r="BH56" s="1125">
        <f t="shared" si="43"/>
        <v>0</v>
      </c>
      <c r="BI56" s="1125"/>
      <c r="BJ56" s="1125"/>
      <c r="BK56" s="1125"/>
      <c r="BL56" s="1125"/>
      <c r="BM56" s="1125"/>
      <c r="BN56" s="1125"/>
      <c r="BO56" s="1126"/>
      <c r="BP56" s="1125"/>
      <c r="BQ56" s="1127"/>
      <c r="BR56" s="1125"/>
      <c r="BS56" s="1128"/>
      <c r="BT56" s="1129" t="s">
        <v>1401</v>
      </c>
      <c r="BU56" s="1090"/>
    </row>
    <row r="57" spans="1:73" ht="24" x14ac:dyDescent="0.25">
      <c r="A57" s="1094">
        <v>90000518538</v>
      </c>
      <c r="B57" s="1095"/>
      <c r="C57" s="1514" t="s">
        <v>1402</v>
      </c>
      <c r="D57" s="1515"/>
      <c r="E57" s="1082" t="s">
        <v>1403</v>
      </c>
      <c r="F57" s="1083">
        <f t="shared" si="32"/>
        <v>265344</v>
      </c>
      <c r="G57" s="1083">
        <f t="shared" si="33"/>
        <v>265344</v>
      </c>
      <c r="H57" s="1084">
        <v>265344</v>
      </c>
      <c r="I57" s="1084">
        <f t="shared" si="34"/>
        <v>265344</v>
      </c>
      <c r="J57" s="1084">
        <f t="shared" si="35"/>
        <v>0</v>
      </c>
      <c r="K57" s="1084"/>
      <c r="L57" s="1084"/>
      <c r="M57" s="1084"/>
      <c r="N57" s="1084"/>
      <c r="O57" s="1084"/>
      <c r="P57" s="1084"/>
      <c r="Q57" s="1084"/>
      <c r="R57" s="1084"/>
      <c r="S57" s="1084"/>
      <c r="T57" s="1084"/>
      <c r="U57" s="1084"/>
      <c r="V57" s="1084"/>
      <c r="W57" s="1084"/>
      <c r="X57" s="1084"/>
      <c r="Y57" s="1084"/>
      <c r="Z57" s="1084"/>
      <c r="AA57" s="1084"/>
      <c r="AB57" s="1084"/>
      <c r="AC57" s="1084">
        <v>0</v>
      </c>
      <c r="AD57" s="1084">
        <f t="shared" si="36"/>
        <v>0</v>
      </c>
      <c r="AE57" s="1084">
        <f t="shared" si="37"/>
        <v>0</v>
      </c>
      <c r="AF57" s="1084"/>
      <c r="AG57" s="1084"/>
      <c r="AH57" s="1084"/>
      <c r="AI57" s="1084"/>
      <c r="AJ57" s="1084"/>
      <c r="AK57" s="1084"/>
      <c r="AL57" s="1084">
        <v>0</v>
      </c>
      <c r="AM57" s="1085">
        <f t="shared" si="38"/>
        <v>0</v>
      </c>
      <c r="AN57" s="1085">
        <f t="shared" si="39"/>
        <v>0</v>
      </c>
      <c r="AO57" s="1085"/>
      <c r="AP57" s="1085"/>
      <c r="AQ57" s="1085"/>
      <c r="AR57" s="1085"/>
      <c r="AS57" s="1085"/>
      <c r="AT57" s="1085"/>
      <c r="AU57" s="1085"/>
      <c r="AV57" s="1085"/>
      <c r="AW57" s="1085"/>
      <c r="AX57" s="1085"/>
      <c r="AY57" s="1085">
        <v>0</v>
      </c>
      <c r="AZ57" s="1085">
        <f t="shared" si="40"/>
        <v>0</v>
      </c>
      <c r="BA57" s="1085">
        <f t="shared" si="41"/>
        <v>0</v>
      </c>
      <c r="BB57" s="1085"/>
      <c r="BC57" s="1085"/>
      <c r="BD57" s="1085"/>
      <c r="BE57" s="1085"/>
      <c r="BF57" s="1085"/>
      <c r="BG57" s="1084">
        <f t="shared" si="42"/>
        <v>0</v>
      </c>
      <c r="BH57" s="1084">
        <f t="shared" si="43"/>
        <v>0</v>
      </c>
      <c r="BI57" s="1084"/>
      <c r="BJ57" s="1084"/>
      <c r="BK57" s="1084"/>
      <c r="BL57" s="1084"/>
      <c r="BM57" s="1084"/>
      <c r="BN57" s="1084"/>
      <c r="BO57" s="1086"/>
      <c r="BP57" s="1084"/>
      <c r="BQ57" s="1087"/>
      <c r="BR57" s="1084"/>
      <c r="BS57" s="1088"/>
      <c r="BT57" s="1089" t="s">
        <v>1404</v>
      </c>
      <c r="BU57" s="1090"/>
    </row>
    <row r="58" spans="1:73" ht="60" x14ac:dyDescent="0.25">
      <c r="A58" s="1094"/>
      <c r="B58" s="1095"/>
      <c r="C58" s="1096"/>
      <c r="D58" s="1097"/>
      <c r="E58" s="1082" t="s">
        <v>1405</v>
      </c>
      <c r="F58" s="1083">
        <f t="shared" si="32"/>
        <v>0</v>
      </c>
      <c r="G58" s="1083">
        <f t="shared" si="33"/>
        <v>80000</v>
      </c>
      <c r="H58" s="1084"/>
      <c r="I58" s="1084">
        <f t="shared" si="34"/>
        <v>80000</v>
      </c>
      <c r="J58" s="1084">
        <f t="shared" si="35"/>
        <v>80000</v>
      </c>
      <c r="K58" s="1084"/>
      <c r="L58" s="1084">
        <v>80000</v>
      </c>
      <c r="M58" s="1084"/>
      <c r="N58" s="1084"/>
      <c r="O58" s="1084"/>
      <c r="P58" s="1084"/>
      <c r="Q58" s="1084"/>
      <c r="R58" s="1084"/>
      <c r="S58" s="1084"/>
      <c r="T58" s="1084"/>
      <c r="U58" s="1084"/>
      <c r="V58" s="1084"/>
      <c r="W58" s="1084"/>
      <c r="X58" s="1084"/>
      <c r="Y58" s="1084"/>
      <c r="Z58" s="1084"/>
      <c r="AA58" s="1084"/>
      <c r="AB58" s="1084"/>
      <c r="AC58" s="1084"/>
      <c r="AD58" s="1084"/>
      <c r="AE58" s="1084"/>
      <c r="AF58" s="1084"/>
      <c r="AG58" s="1084"/>
      <c r="AH58" s="1084"/>
      <c r="AI58" s="1084"/>
      <c r="AJ58" s="1084"/>
      <c r="AK58" s="1084"/>
      <c r="AL58" s="1084"/>
      <c r="AM58" s="1085"/>
      <c r="AN58" s="1085"/>
      <c r="AO58" s="1085"/>
      <c r="AP58" s="1085"/>
      <c r="AQ58" s="1085"/>
      <c r="AR58" s="1085"/>
      <c r="AS58" s="1085"/>
      <c r="AT58" s="1085"/>
      <c r="AU58" s="1085"/>
      <c r="AV58" s="1085"/>
      <c r="AW58" s="1085"/>
      <c r="AX58" s="1085"/>
      <c r="AY58" s="1085"/>
      <c r="AZ58" s="1085"/>
      <c r="BA58" s="1085"/>
      <c r="BB58" s="1085"/>
      <c r="BC58" s="1085"/>
      <c r="BD58" s="1085"/>
      <c r="BE58" s="1085"/>
      <c r="BF58" s="1085"/>
      <c r="BG58" s="1084"/>
      <c r="BH58" s="1084"/>
      <c r="BI58" s="1084"/>
      <c r="BJ58" s="1084"/>
      <c r="BK58" s="1084"/>
      <c r="BL58" s="1084"/>
      <c r="BM58" s="1084"/>
      <c r="BN58" s="1084"/>
      <c r="BO58" s="1086"/>
      <c r="BP58" s="1084"/>
      <c r="BQ58" s="1087"/>
      <c r="BR58" s="1084"/>
      <c r="BS58" s="1088"/>
      <c r="BT58" s="1089" t="s">
        <v>1406</v>
      </c>
      <c r="BU58" s="1090"/>
    </row>
    <row r="59" spans="1:73" ht="48" x14ac:dyDescent="0.25">
      <c r="A59" s="1094"/>
      <c r="B59" s="1095"/>
      <c r="C59" s="1514" t="s">
        <v>1047</v>
      </c>
      <c r="D59" s="1515"/>
      <c r="E59" s="1118" t="s">
        <v>1407</v>
      </c>
      <c r="F59" s="1083">
        <f t="shared" si="32"/>
        <v>534375</v>
      </c>
      <c r="G59" s="1083">
        <f t="shared" si="33"/>
        <v>295028</v>
      </c>
      <c r="H59" s="1084">
        <v>534375</v>
      </c>
      <c r="I59" s="1084">
        <f t="shared" si="34"/>
        <v>295028</v>
      </c>
      <c r="J59" s="1084">
        <f t="shared" si="35"/>
        <v>-239347</v>
      </c>
      <c r="K59" s="1084">
        <v>-100000</v>
      </c>
      <c r="L59" s="1084">
        <v>-80000</v>
      </c>
      <c r="M59" s="1084">
        <v>-101</v>
      </c>
      <c r="N59" s="1084">
        <v>-18167</v>
      </c>
      <c r="O59" s="1084">
        <f>-2531-2716</f>
        <v>-5247</v>
      </c>
      <c r="P59" s="1084">
        <v>-6831</v>
      </c>
      <c r="Q59" s="1084">
        <f>-18860+3600</f>
        <v>-15260</v>
      </c>
      <c r="R59" s="1084"/>
      <c r="S59" s="1084"/>
      <c r="T59" s="1084"/>
      <c r="U59" s="1084"/>
      <c r="V59" s="1084">
        <v>-6915</v>
      </c>
      <c r="W59" s="1084">
        <v>-2386</v>
      </c>
      <c r="X59" s="1084"/>
      <c r="Y59" s="1084"/>
      <c r="Z59" s="1084">
        <v>-4440</v>
      </c>
      <c r="AA59" s="1084"/>
      <c r="AB59" s="1084"/>
      <c r="AC59" s="1084"/>
      <c r="AD59" s="1084"/>
      <c r="AE59" s="1084"/>
      <c r="AF59" s="1084"/>
      <c r="AG59" s="1084"/>
      <c r="AH59" s="1084"/>
      <c r="AI59" s="1084"/>
      <c r="AJ59" s="1084"/>
      <c r="AK59" s="1084"/>
      <c r="AL59" s="1084"/>
      <c r="AM59" s="1085"/>
      <c r="AN59" s="1085"/>
      <c r="AO59" s="1085"/>
      <c r="AP59" s="1085"/>
      <c r="AQ59" s="1085"/>
      <c r="AR59" s="1085"/>
      <c r="AS59" s="1085"/>
      <c r="AT59" s="1085"/>
      <c r="AU59" s="1085"/>
      <c r="AV59" s="1085"/>
      <c r="AW59" s="1085"/>
      <c r="AX59" s="1085"/>
      <c r="AY59" s="1085"/>
      <c r="AZ59" s="1085"/>
      <c r="BA59" s="1085"/>
      <c r="BB59" s="1085"/>
      <c r="BC59" s="1085"/>
      <c r="BD59" s="1085"/>
      <c r="BE59" s="1085"/>
      <c r="BF59" s="1085"/>
      <c r="BG59" s="1084">
        <f t="shared" si="42"/>
        <v>0</v>
      </c>
      <c r="BH59" s="1084">
        <f>SUM(BI59:BS59)</f>
        <v>0</v>
      </c>
      <c r="BI59" s="1084"/>
      <c r="BJ59" s="1084"/>
      <c r="BK59" s="1084"/>
      <c r="BL59" s="1084"/>
      <c r="BM59" s="1084"/>
      <c r="BN59" s="1084"/>
      <c r="BO59" s="1086"/>
      <c r="BP59" s="1084"/>
      <c r="BQ59" s="1087"/>
      <c r="BR59" s="1084"/>
      <c r="BS59" s="1088"/>
      <c r="BT59" s="1089" t="s">
        <v>1408</v>
      </c>
      <c r="BU59" s="1090"/>
    </row>
    <row r="60" spans="1:73" ht="12.75" x14ac:dyDescent="0.25">
      <c r="A60" s="1094"/>
      <c r="B60" s="1095"/>
      <c r="C60" s="1096"/>
      <c r="D60" s="1097"/>
      <c r="E60" s="1118" t="s">
        <v>1409</v>
      </c>
      <c r="F60" s="1083">
        <f t="shared" si="32"/>
        <v>16920</v>
      </c>
      <c r="G60" s="1083">
        <f t="shared" si="33"/>
        <v>16920</v>
      </c>
      <c r="H60" s="1084">
        <v>16920</v>
      </c>
      <c r="I60" s="1084">
        <f t="shared" si="34"/>
        <v>16920</v>
      </c>
      <c r="J60" s="1084">
        <f t="shared" si="35"/>
        <v>0</v>
      </c>
      <c r="K60" s="1084"/>
      <c r="L60" s="1084"/>
      <c r="M60" s="1084"/>
      <c r="N60" s="1084"/>
      <c r="O60" s="1084"/>
      <c r="P60" s="1084"/>
      <c r="Q60" s="1084"/>
      <c r="R60" s="1084"/>
      <c r="S60" s="1084"/>
      <c r="T60" s="1084"/>
      <c r="U60" s="1084"/>
      <c r="V60" s="1084"/>
      <c r="W60" s="1084"/>
      <c r="X60" s="1084"/>
      <c r="Y60" s="1084"/>
      <c r="Z60" s="1084"/>
      <c r="AA60" s="1084"/>
      <c r="AB60" s="1084"/>
      <c r="AC60" s="1084"/>
      <c r="AD60" s="1084"/>
      <c r="AE60" s="1084"/>
      <c r="AF60" s="1084"/>
      <c r="AG60" s="1084"/>
      <c r="AH60" s="1084"/>
      <c r="AI60" s="1084"/>
      <c r="AJ60" s="1084"/>
      <c r="AK60" s="1084"/>
      <c r="AL60" s="1084"/>
      <c r="AM60" s="1085"/>
      <c r="AN60" s="1085"/>
      <c r="AO60" s="1085"/>
      <c r="AP60" s="1085"/>
      <c r="AQ60" s="1085"/>
      <c r="AR60" s="1085"/>
      <c r="AS60" s="1085"/>
      <c r="AT60" s="1085"/>
      <c r="AU60" s="1085"/>
      <c r="AV60" s="1085"/>
      <c r="AW60" s="1085"/>
      <c r="AX60" s="1085"/>
      <c r="AY60" s="1085"/>
      <c r="AZ60" s="1085"/>
      <c r="BA60" s="1085"/>
      <c r="BB60" s="1085"/>
      <c r="BC60" s="1085"/>
      <c r="BD60" s="1085"/>
      <c r="BE60" s="1085"/>
      <c r="BF60" s="1085"/>
      <c r="BG60" s="1084">
        <f t="shared" si="42"/>
        <v>0</v>
      </c>
      <c r="BH60" s="1084">
        <f>SUM(BI60:BS60)</f>
        <v>0</v>
      </c>
      <c r="BI60" s="1084"/>
      <c r="BJ60" s="1084"/>
      <c r="BK60" s="1084"/>
      <c r="BL60" s="1084"/>
      <c r="BM60" s="1084"/>
      <c r="BN60" s="1084"/>
      <c r="BO60" s="1086"/>
      <c r="BP60" s="1084"/>
      <c r="BQ60" s="1087"/>
      <c r="BR60" s="1084"/>
      <c r="BS60" s="1088"/>
      <c r="BT60" s="1089" t="s">
        <v>1410</v>
      </c>
      <c r="BU60" s="1090"/>
    </row>
    <row r="61" spans="1:73" ht="12.75" x14ac:dyDescent="0.25">
      <c r="A61" s="1094"/>
      <c r="B61" s="1095"/>
      <c r="C61" s="1096"/>
      <c r="D61" s="1097"/>
      <c r="E61" s="1118" t="s">
        <v>1411</v>
      </c>
      <c r="F61" s="1083">
        <f t="shared" si="32"/>
        <v>100000</v>
      </c>
      <c r="G61" s="1083">
        <f t="shared" si="33"/>
        <v>0</v>
      </c>
      <c r="H61" s="1084">
        <v>100000</v>
      </c>
      <c r="I61" s="1084">
        <f t="shared" si="34"/>
        <v>0</v>
      </c>
      <c r="J61" s="1084">
        <f t="shared" si="35"/>
        <v>-100000</v>
      </c>
      <c r="K61" s="1084">
        <v>-100000</v>
      </c>
      <c r="L61" s="1084"/>
      <c r="M61" s="1084"/>
      <c r="N61" s="1084"/>
      <c r="O61" s="1084"/>
      <c r="P61" s="1084"/>
      <c r="Q61" s="1084"/>
      <c r="R61" s="1084"/>
      <c r="S61" s="1084"/>
      <c r="T61" s="1084"/>
      <c r="U61" s="1084"/>
      <c r="V61" s="1084"/>
      <c r="W61" s="1084"/>
      <c r="X61" s="1084"/>
      <c r="Y61" s="1084"/>
      <c r="Z61" s="1084"/>
      <c r="AA61" s="1084"/>
      <c r="AB61" s="1084"/>
      <c r="AC61" s="1084"/>
      <c r="AD61" s="1084"/>
      <c r="AE61" s="1084"/>
      <c r="AF61" s="1084"/>
      <c r="AG61" s="1084"/>
      <c r="AH61" s="1084"/>
      <c r="AI61" s="1084"/>
      <c r="AJ61" s="1084"/>
      <c r="AK61" s="1084"/>
      <c r="AL61" s="1084"/>
      <c r="AM61" s="1085"/>
      <c r="AN61" s="1085"/>
      <c r="AO61" s="1085"/>
      <c r="AP61" s="1085"/>
      <c r="AQ61" s="1085"/>
      <c r="AR61" s="1085"/>
      <c r="AS61" s="1085"/>
      <c r="AT61" s="1085"/>
      <c r="AU61" s="1085"/>
      <c r="AV61" s="1085"/>
      <c r="AW61" s="1085"/>
      <c r="AX61" s="1085"/>
      <c r="AY61" s="1085"/>
      <c r="AZ61" s="1085"/>
      <c r="BA61" s="1085"/>
      <c r="BB61" s="1085"/>
      <c r="BC61" s="1085"/>
      <c r="BD61" s="1085"/>
      <c r="BE61" s="1085"/>
      <c r="BF61" s="1085"/>
      <c r="BG61" s="1084">
        <f t="shared" si="42"/>
        <v>0</v>
      </c>
      <c r="BH61" s="1084">
        <f>SUM(BI61:BS61)</f>
        <v>0</v>
      </c>
      <c r="BI61" s="1084"/>
      <c r="BJ61" s="1084"/>
      <c r="BK61" s="1084"/>
      <c r="BL61" s="1084"/>
      <c r="BM61" s="1084"/>
      <c r="BN61" s="1084"/>
      <c r="BO61" s="1086"/>
      <c r="BP61" s="1084"/>
      <c r="BQ61" s="1087"/>
      <c r="BR61" s="1084"/>
      <c r="BS61" s="1088"/>
      <c r="BT61" s="1089" t="s">
        <v>1412</v>
      </c>
      <c r="BU61" s="1090"/>
    </row>
    <row r="62" spans="1:73" ht="48" x14ac:dyDescent="0.25">
      <c r="A62" s="1094"/>
      <c r="B62" s="1095"/>
      <c r="C62" s="1096"/>
      <c r="D62" s="1097"/>
      <c r="E62" s="1118" t="s">
        <v>1413</v>
      </c>
      <c r="F62" s="1083">
        <f t="shared" si="32"/>
        <v>0</v>
      </c>
      <c r="G62" s="1083">
        <f t="shared" si="33"/>
        <v>50729</v>
      </c>
      <c r="H62" s="1084"/>
      <c r="I62" s="1084">
        <f t="shared" si="34"/>
        <v>50729</v>
      </c>
      <c r="J62" s="1084">
        <f t="shared" si="35"/>
        <v>50729</v>
      </c>
      <c r="K62" s="1084"/>
      <c r="L62" s="1084"/>
      <c r="M62" s="1084"/>
      <c r="N62" s="1084"/>
      <c r="O62" s="1084">
        <v>70000</v>
      </c>
      <c r="P62" s="1084"/>
      <c r="Q62" s="1084"/>
      <c r="R62" s="1084">
        <v>-10860</v>
      </c>
      <c r="S62" s="1084"/>
      <c r="T62" s="1084"/>
      <c r="U62" s="1084"/>
      <c r="V62" s="1084"/>
      <c r="W62" s="1084">
        <v>-4210</v>
      </c>
      <c r="X62" s="1084"/>
      <c r="Y62" s="1084">
        <v>-4201</v>
      </c>
      <c r="Z62" s="1084"/>
      <c r="AA62" s="1084"/>
      <c r="AB62" s="1084"/>
      <c r="AC62" s="1084"/>
      <c r="AD62" s="1084"/>
      <c r="AE62" s="1084"/>
      <c r="AF62" s="1084"/>
      <c r="AG62" s="1084"/>
      <c r="AH62" s="1084"/>
      <c r="AI62" s="1084"/>
      <c r="AJ62" s="1084"/>
      <c r="AK62" s="1084"/>
      <c r="AL62" s="1084"/>
      <c r="AM62" s="1085"/>
      <c r="AN62" s="1085"/>
      <c r="AO62" s="1085"/>
      <c r="AP62" s="1085"/>
      <c r="AQ62" s="1085"/>
      <c r="AR62" s="1085"/>
      <c r="AS62" s="1085"/>
      <c r="AT62" s="1085"/>
      <c r="AU62" s="1085"/>
      <c r="AV62" s="1085"/>
      <c r="AW62" s="1085"/>
      <c r="AX62" s="1085"/>
      <c r="AY62" s="1085"/>
      <c r="AZ62" s="1085"/>
      <c r="BA62" s="1085"/>
      <c r="BB62" s="1085"/>
      <c r="BC62" s="1085"/>
      <c r="BD62" s="1085"/>
      <c r="BE62" s="1085"/>
      <c r="BF62" s="1085"/>
      <c r="BG62" s="1084"/>
      <c r="BH62" s="1084"/>
      <c r="BI62" s="1084"/>
      <c r="BJ62" s="1084"/>
      <c r="BK62" s="1084"/>
      <c r="BL62" s="1084"/>
      <c r="BM62" s="1084"/>
      <c r="BN62" s="1084"/>
      <c r="BO62" s="1086"/>
      <c r="BP62" s="1084"/>
      <c r="BQ62" s="1087"/>
      <c r="BR62" s="1084"/>
      <c r="BS62" s="1088"/>
      <c r="BT62" s="1089" t="s">
        <v>1414</v>
      </c>
      <c r="BU62" s="1090"/>
    </row>
    <row r="63" spans="1:73" ht="24" x14ac:dyDescent="0.25">
      <c r="A63" s="1094"/>
      <c r="B63" s="1095"/>
      <c r="C63" s="1131"/>
      <c r="D63" s="1132"/>
      <c r="E63" s="1118" t="s">
        <v>1415</v>
      </c>
      <c r="F63" s="1083">
        <f t="shared" si="32"/>
        <v>463545</v>
      </c>
      <c r="G63" s="1083">
        <f t="shared" si="33"/>
        <v>463545</v>
      </c>
      <c r="H63" s="1084"/>
      <c r="I63" s="1084">
        <f t="shared" si="34"/>
        <v>0</v>
      </c>
      <c r="J63" s="1084">
        <f t="shared" si="35"/>
        <v>0</v>
      </c>
      <c r="K63" s="1084"/>
      <c r="L63" s="1084"/>
      <c r="M63" s="1084"/>
      <c r="N63" s="1084"/>
      <c r="O63" s="1084"/>
      <c r="P63" s="1084"/>
      <c r="Q63" s="1084"/>
      <c r="R63" s="1084"/>
      <c r="S63" s="1084"/>
      <c r="T63" s="1084"/>
      <c r="U63" s="1084"/>
      <c r="V63" s="1084"/>
      <c r="W63" s="1084"/>
      <c r="X63" s="1084"/>
      <c r="Y63" s="1084"/>
      <c r="Z63" s="1084"/>
      <c r="AA63" s="1084"/>
      <c r="AB63" s="1084"/>
      <c r="AC63" s="1084"/>
      <c r="AD63" s="1084"/>
      <c r="AE63" s="1084"/>
      <c r="AF63" s="1084"/>
      <c r="AG63" s="1084"/>
      <c r="AH63" s="1084"/>
      <c r="AI63" s="1084"/>
      <c r="AJ63" s="1084"/>
      <c r="AK63" s="1084"/>
      <c r="AL63" s="1084"/>
      <c r="AM63" s="1084"/>
      <c r="AN63" s="1084"/>
      <c r="AO63" s="1084"/>
      <c r="AP63" s="1084"/>
      <c r="AQ63" s="1084"/>
      <c r="AR63" s="1084"/>
      <c r="AS63" s="1084"/>
      <c r="AT63" s="1084"/>
      <c r="AU63" s="1084"/>
      <c r="AV63" s="1084"/>
      <c r="AW63" s="1084"/>
      <c r="AX63" s="1084">
        <f>220545+243000</f>
        <v>463545</v>
      </c>
      <c r="AY63" s="1085"/>
      <c r="AZ63" s="1085"/>
      <c r="BA63" s="1085"/>
      <c r="BB63" s="1085"/>
      <c r="BC63" s="1085"/>
      <c r="BD63" s="1085"/>
      <c r="BE63" s="1085"/>
      <c r="BF63" s="1085"/>
      <c r="BG63" s="1084">
        <f t="shared" si="42"/>
        <v>0</v>
      </c>
      <c r="BH63" s="1084">
        <f>SUM(BI63:BS63)</f>
        <v>0</v>
      </c>
      <c r="BI63" s="1084"/>
      <c r="BJ63" s="1084"/>
      <c r="BK63" s="1084"/>
      <c r="BL63" s="1084"/>
      <c r="BM63" s="1084"/>
      <c r="BN63" s="1084"/>
      <c r="BO63" s="1086"/>
      <c r="BP63" s="1084"/>
      <c r="BQ63" s="1087"/>
      <c r="BR63" s="1084"/>
      <c r="BS63" s="1088"/>
      <c r="BT63" s="1089"/>
      <c r="BU63" s="1090"/>
    </row>
    <row r="64" spans="1:73" ht="36" x14ac:dyDescent="0.25">
      <c r="A64" s="1094"/>
      <c r="B64" s="1095"/>
      <c r="C64" s="1131"/>
      <c r="D64" s="1132"/>
      <c r="E64" s="1118" t="s">
        <v>1416</v>
      </c>
      <c r="F64" s="1083">
        <f t="shared" si="32"/>
        <v>256117</v>
      </c>
      <c r="G64" s="1083">
        <f t="shared" si="33"/>
        <v>256117</v>
      </c>
      <c r="H64" s="1084"/>
      <c r="I64" s="1084">
        <f t="shared" si="34"/>
        <v>0</v>
      </c>
      <c r="J64" s="1084">
        <f t="shared" si="35"/>
        <v>0</v>
      </c>
      <c r="K64" s="1084"/>
      <c r="L64" s="1084"/>
      <c r="M64" s="1084"/>
      <c r="N64" s="1084"/>
      <c r="O64" s="1084"/>
      <c r="P64" s="1084"/>
      <c r="Q64" s="1084"/>
      <c r="R64" s="1084"/>
      <c r="S64" s="1084"/>
      <c r="T64" s="1084"/>
      <c r="U64" s="1084"/>
      <c r="V64" s="1084"/>
      <c r="W64" s="1084"/>
      <c r="X64" s="1084"/>
      <c r="Y64" s="1084"/>
      <c r="Z64" s="1084"/>
      <c r="AA64" s="1084"/>
      <c r="AB64" s="1084"/>
      <c r="AC64" s="1084"/>
      <c r="AD64" s="1084"/>
      <c r="AE64" s="1084"/>
      <c r="AF64" s="1084"/>
      <c r="AG64" s="1084"/>
      <c r="AH64" s="1084"/>
      <c r="AI64" s="1084"/>
      <c r="AJ64" s="1084"/>
      <c r="AK64" s="1084"/>
      <c r="AL64" s="1084"/>
      <c r="AM64" s="1084"/>
      <c r="AN64" s="1084"/>
      <c r="AO64" s="1084"/>
      <c r="AP64" s="1084"/>
      <c r="AQ64" s="1084"/>
      <c r="AR64" s="1084"/>
      <c r="AS64" s="1084"/>
      <c r="AT64" s="1084"/>
      <c r="AU64" s="1084"/>
      <c r="AV64" s="1084"/>
      <c r="AW64" s="1084"/>
      <c r="AX64" s="1084">
        <v>256117</v>
      </c>
      <c r="AY64" s="1085"/>
      <c r="AZ64" s="1085"/>
      <c r="BA64" s="1085"/>
      <c r="BB64" s="1085"/>
      <c r="BC64" s="1085"/>
      <c r="BD64" s="1085"/>
      <c r="BE64" s="1085"/>
      <c r="BF64" s="1085"/>
      <c r="BG64" s="1084">
        <f t="shared" si="42"/>
        <v>0</v>
      </c>
      <c r="BH64" s="1084">
        <f>SUM(BI64:BS64)</f>
        <v>0</v>
      </c>
      <c r="BI64" s="1084"/>
      <c r="BJ64" s="1084"/>
      <c r="BK64" s="1084"/>
      <c r="BL64" s="1084"/>
      <c r="BM64" s="1084"/>
      <c r="BN64" s="1084"/>
      <c r="BO64" s="1086"/>
      <c r="BP64" s="1084"/>
      <c r="BQ64" s="1087"/>
      <c r="BR64" s="1084"/>
      <c r="BS64" s="1088"/>
      <c r="BT64" s="1089"/>
      <c r="BU64" s="1090"/>
    </row>
    <row r="65" spans="1:73" ht="36" x14ac:dyDescent="0.25">
      <c r="A65" s="1094"/>
      <c r="B65" s="1095"/>
      <c r="C65" s="1131"/>
      <c r="D65" s="1132"/>
      <c r="E65" s="1118" t="s">
        <v>1417</v>
      </c>
      <c r="F65" s="1083">
        <f t="shared" si="32"/>
        <v>933102</v>
      </c>
      <c r="G65" s="1083">
        <f t="shared" si="33"/>
        <v>933102</v>
      </c>
      <c r="H65" s="1084"/>
      <c r="I65" s="1084">
        <f t="shared" si="34"/>
        <v>0</v>
      </c>
      <c r="J65" s="1084">
        <f t="shared" si="35"/>
        <v>0</v>
      </c>
      <c r="K65" s="1084"/>
      <c r="L65" s="1084"/>
      <c r="M65" s="1084"/>
      <c r="N65" s="1084"/>
      <c r="O65" s="1084"/>
      <c r="P65" s="1084"/>
      <c r="Q65" s="1084"/>
      <c r="R65" s="1084"/>
      <c r="S65" s="1084"/>
      <c r="T65" s="1084"/>
      <c r="U65" s="1084"/>
      <c r="V65" s="1084"/>
      <c r="W65" s="1084"/>
      <c r="X65" s="1084"/>
      <c r="Y65" s="1084"/>
      <c r="Z65" s="1084"/>
      <c r="AA65" s="1084"/>
      <c r="AB65" s="1084"/>
      <c r="AC65" s="1084"/>
      <c r="AD65" s="1084"/>
      <c r="AE65" s="1084"/>
      <c r="AF65" s="1084"/>
      <c r="AG65" s="1084"/>
      <c r="AH65" s="1084"/>
      <c r="AI65" s="1084"/>
      <c r="AJ65" s="1084"/>
      <c r="AK65" s="1084"/>
      <c r="AL65" s="1084"/>
      <c r="AM65" s="1084"/>
      <c r="AN65" s="1084"/>
      <c r="AO65" s="1084"/>
      <c r="AP65" s="1084"/>
      <c r="AQ65" s="1084"/>
      <c r="AR65" s="1084"/>
      <c r="AS65" s="1084"/>
      <c r="AT65" s="1084"/>
      <c r="AU65" s="1084"/>
      <c r="AV65" s="1084"/>
      <c r="AW65" s="1084"/>
      <c r="AX65" s="1084">
        <f>320000+613102</f>
        <v>933102</v>
      </c>
      <c r="AY65" s="1085"/>
      <c r="AZ65" s="1085"/>
      <c r="BA65" s="1085"/>
      <c r="BB65" s="1085"/>
      <c r="BC65" s="1085"/>
      <c r="BD65" s="1085"/>
      <c r="BE65" s="1085"/>
      <c r="BF65" s="1085"/>
      <c r="BG65" s="1084">
        <f t="shared" si="42"/>
        <v>0</v>
      </c>
      <c r="BH65" s="1084">
        <f>SUM(BI65:BS65)</f>
        <v>0</v>
      </c>
      <c r="BI65" s="1084"/>
      <c r="BJ65" s="1084"/>
      <c r="BK65" s="1084"/>
      <c r="BL65" s="1084"/>
      <c r="BM65" s="1084"/>
      <c r="BN65" s="1084"/>
      <c r="BO65" s="1086"/>
      <c r="BP65" s="1084"/>
      <c r="BQ65" s="1087"/>
      <c r="BR65" s="1084"/>
      <c r="BS65" s="1088"/>
      <c r="BT65" s="1089"/>
      <c r="BU65" s="1090"/>
    </row>
    <row r="66" spans="1:73" ht="36" x14ac:dyDescent="0.25">
      <c r="A66" s="1094">
        <v>90000056554</v>
      </c>
      <c r="B66" s="1095"/>
      <c r="C66" s="1514" t="s">
        <v>1350</v>
      </c>
      <c r="D66" s="1515"/>
      <c r="E66" s="1133" t="s">
        <v>1418</v>
      </c>
      <c r="F66" s="1083">
        <f t="shared" si="32"/>
        <v>0</v>
      </c>
      <c r="G66" s="1083">
        <f t="shared" si="33"/>
        <v>18860</v>
      </c>
      <c r="H66" s="1134"/>
      <c r="I66" s="1084">
        <f t="shared" si="34"/>
        <v>18860</v>
      </c>
      <c r="J66" s="1084">
        <f t="shared" si="35"/>
        <v>18860</v>
      </c>
      <c r="K66" s="1134"/>
      <c r="L66" s="1134"/>
      <c r="M66" s="1134"/>
      <c r="N66" s="1134"/>
      <c r="O66" s="1134"/>
      <c r="P66" s="1134"/>
      <c r="Q66" s="1134">
        <v>18860</v>
      </c>
      <c r="R66" s="1134"/>
      <c r="S66" s="1134"/>
      <c r="T66" s="1134"/>
      <c r="U66" s="1134"/>
      <c r="V66" s="1134"/>
      <c r="W66" s="1134"/>
      <c r="X66" s="1134"/>
      <c r="Y66" s="1134"/>
      <c r="Z66" s="1134"/>
      <c r="AA66" s="1134"/>
      <c r="AB66" s="1134"/>
      <c r="AC66" s="1134"/>
      <c r="AD66" s="1134"/>
      <c r="AE66" s="1134"/>
      <c r="AF66" s="1134"/>
      <c r="AG66" s="1134"/>
      <c r="AH66" s="1134"/>
      <c r="AI66" s="1134"/>
      <c r="AJ66" s="1134"/>
      <c r="AK66" s="1134"/>
      <c r="AL66" s="1134"/>
      <c r="AM66" s="1135"/>
      <c r="AN66" s="1135"/>
      <c r="AO66" s="1135"/>
      <c r="AP66" s="1135"/>
      <c r="AQ66" s="1135"/>
      <c r="AR66" s="1135"/>
      <c r="AS66" s="1135"/>
      <c r="AT66" s="1135"/>
      <c r="AU66" s="1135"/>
      <c r="AV66" s="1135"/>
      <c r="AW66" s="1135"/>
      <c r="AX66" s="1135"/>
      <c r="AY66" s="1135"/>
      <c r="AZ66" s="1135"/>
      <c r="BA66" s="1135"/>
      <c r="BB66" s="1135"/>
      <c r="BC66" s="1135"/>
      <c r="BD66" s="1135"/>
      <c r="BE66" s="1135"/>
      <c r="BF66" s="1135"/>
      <c r="BG66" s="1084">
        <f t="shared" si="42"/>
        <v>0</v>
      </c>
      <c r="BH66" s="1084">
        <f>SUM(BI66:BS66)</f>
        <v>0</v>
      </c>
      <c r="BI66" s="1134"/>
      <c r="BJ66" s="1134"/>
      <c r="BK66" s="1134"/>
      <c r="BL66" s="1134"/>
      <c r="BM66" s="1134"/>
      <c r="BN66" s="1134"/>
      <c r="BO66" s="1136"/>
      <c r="BP66" s="1134"/>
      <c r="BQ66" s="1137"/>
      <c r="BR66" s="1134"/>
      <c r="BS66" s="1138"/>
      <c r="BT66" s="1089" t="s">
        <v>1419</v>
      </c>
      <c r="BU66" s="1139"/>
    </row>
    <row r="67" spans="1:73" ht="13.5" thickBot="1" x14ac:dyDescent="0.3">
      <c r="A67" s="1140"/>
      <c r="B67" s="1141"/>
      <c r="C67" s="1535"/>
      <c r="D67" s="1536"/>
      <c r="E67" s="1142"/>
      <c r="F67" s="1143"/>
      <c r="G67" s="1143"/>
      <c r="H67" s="1134"/>
      <c r="I67" s="1134"/>
      <c r="J67" s="1134"/>
      <c r="K67" s="1134"/>
      <c r="L67" s="1134"/>
      <c r="M67" s="1134"/>
      <c r="N67" s="1134"/>
      <c r="O67" s="1134"/>
      <c r="P67" s="1134"/>
      <c r="Q67" s="1134"/>
      <c r="R67" s="1134"/>
      <c r="S67" s="1134"/>
      <c r="T67" s="1134"/>
      <c r="U67" s="1134"/>
      <c r="V67" s="1134"/>
      <c r="W67" s="1134"/>
      <c r="X67" s="1134"/>
      <c r="Y67" s="1134"/>
      <c r="Z67" s="1134"/>
      <c r="AA67" s="1134"/>
      <c r="AB67" s="1134"/>
      <c r="AC67" s="1134"/>
      <c r="AD67" s="1134"/>
      <c r="AE67" s="1134"/>
      <c r="AF67" s="1134"/>
      <c r="AG67" s="1134"/>
      <c r="AH67" s="1134"/>
      <c r="AI67" s="1134"/>
      <c r="AJ67" s="1134"/>
      <c r="AK67" s="1134"/>
      <c r="AL67" s="1134"/>
      <c r="AM67" s="1135"/>
      <c r="AN67" s="1135"/>
      <c r="AO67" s="1135"/>
      <c r="AP67" s="1135"/>
      <c r="AQ67" s="1135"/>
      <c r="AR67" s="1135"/>
      <c r="AS67" s="1135"/>
      <c r="AT67" s="1135"/>
      <c r="AU67" s="1135"/>
      <c r="AV67" s="1135"/>
      <c r="AW67" s="1135"/>
      <c r="AX67" s="1135"/>
      <c r="AY67" s="1135"/>
      <c r="AZ67" s="1135"/>
      <c r="BA67" s="1135"/>
      <c r="BB67" s="1135"/>
      <c r="BC67" s="1135"/>
      <c r="BD67" s="1135"/>
      <c r="BE67" s="1135"/>
      <c r="BF67" s="1135"/>
      <c r="BG67" s="1134"/>
      <c r="BH67" s="1134"/>
      <c r="BI67" s="1134"/>
      <c r="BJ67" s="1134"/>
      <c r="BK67" s="1134"/>
      <c r="BL67" s="1134"/>
      <c r="BM67" s="1134"/>
      <c r="BN67" s="1134"/>
      <c r="BO67" s="1136"/>
      <c r="BP67" s="1134"/>
      <c r="BQ67" s="1137"/>
      <c r="BR67" s="1134"/>
      <c r="BS67" s="1138"/>
      <c r="BT67" s="1144"/>
      <c r="BU67" s="1139"/>
    </row>
    <row r="68" spans="1:73" ht="12.75" thickBot="1" x14ac:dyDescent="0.3">
      <c r="A68" s="1111"/>
      <c r="B68" s="1518" t="s">
        <v>1420</v>
      </c>
      <c r="C68" s="1518"/>
      <c r="D68" s="1073" t="s">
        <v>1421</v>
      </c>
      <c r="E68" s="1112"/>
      <c r="F68" s="1075">
        <f t="shared" ref="F68:BS68" si="46">SUM(F69:F80)</f>
        <v>9103223</v>
      </c>
      <c r="G68" s="1075">
        <f t="shared" si="46"/>
        <v>6825006</v>
      </c>
      <c r="H68" s="1075">
        <f t="shared" si="46"/>
        <v>8256318</v>
      </c>
      <c r="I68" s="1075">
        <f t="shared" si="46"/>
        <v>5917326</v>
      </c>
      <c r="J68" s="1075">
        <f t="shared" si="46"/>
        <v>-2338992</v>
      </c>
      <c r="K68" s="1075">
        <f>SUM(K69:K80)</f>
        <v>-63923</v>
      </c>
      <c r="L68" s="1075">
        <f t="shared" si="46"/>
        <v>0</v>
      </c>
      <c r="M68" s="1075">
        <f t="shared" si="46"/>
        <v>12680</v>
      </c>
      <c r="N68" s="1075">
        <f t="shared" si="46"/>
        <v>-20000</v>
      </c>
      <c r="O68" s="1075">
        <f t="shared" si="46"/>
        <v>6816</v>
      </c>
      <c r="P68" s="1075">
        <f t="shared" si="46"/>
        <v>0</v>
      </c>
      <c r="Q68" s="1075">
        <f t="shared" si="46"/>
        <v>24000</v>
      </c>
      <c r="R68" s="1075">
        <f t="shared" si="46"/>
        <v>0</v>
      </c>
      <c r="S68" s="1075">
        <f t="shared" si="46"/>
        <v>0</v>
      </c>
      <c r="T68" s="1075">
        <f t="shared" si="46"/>
        <v>5218</v>
      </c>
      <c r="U68" s="1075">
        <f t="shared" si="46"/>
        <v>0</v>
      </c>
      <c r="V68" s="1075">
        <f t="shared" si="46"/>
        <v>0</v>
      </c>
      <c r="W68" s="1075">
        <f t="shared" si="46"/>
        <v>0</v>
      </c>
      <c r="X68" s="1075">
        <f t="shared" si="46"/>
        <v>0</v>
      </c>
      <c r="Y68" s="1075">
        <f t="shared" si="46"/>
        <v>0</v>
      </c>
      <c r="Z68" s="1075">
        <f t="shared" si="46"/>
        <v>-2303783</v>
      </c>
      <c r="AA68" s="1075">
        <f t="shared" si="46"/>
        <v>0</v>
      </c>
      <c r="AB68" s="1075">
        <f t="shared" si="46"/>
        <v>0</v>
      </c>
      <c r="AC68" s="1075">
        <f t="shared" si="46"/>
        <v>647702</v>
      </c>
      <c r="AD68" s="1075">
        <f t="shared" si="46"/>
        <v>708477</v>
      </c>
      <c r="AE68" s="1075">
        <f t="shared" si="46"/>
        <v>60775</v>
      </c>
      <c r="AF68" s="1075">
        <f t="shared" si="46"/>
        <v>60775</v>
      </c>
      <c r="AG68" s="1075">
        <f t="shared" si="46"/>
        <v>0</v>
      </c>
      <c r="AH68" s="1075">
        <f t="shared" si="46"/>
        <v>0</v>
      </c>
      <c r="AI68" s="1075">
        <f t="shared" si="46"/>
        <v>0</v>
      </c>
      <c r="AJ68" s="1075">
        <f t="shared" si="46"/>
        <v>0</v>
      </c>
      <c r="AK68" s="1075">
        <f t="shared" si="46"/>
        <v>0</v>
      </c>
      <c r="AL68" s="1075">
        <f t="shared" si="46"/>
        <v>0</v>
      </c>
      <c r="AM68" s="1075">
        <f t="shared" si="46"/>
        <v>0</v>
      </c>
      <c r="AN68" s="1075">
        <f t="shared" si="46"/>
        <v>0</v>
      </c>
      <c r="AO68" s="1075">
        <f t="shared" si="46"/>
        <v>0</v>
      </c>
      <c r="AP68" s="1075">
        <f t="shared" si="46"/>
        <v>0</v>
      </c>
      <c r="AQ68" s="1075">
        <f t="shared" si="46"/>
        <v>0</v>
      </c>
      <c r="AR68" s="1075">
        <f t="shared" si="46"/>
        <v>0</v>
      </c>
      <c r="AS68" s="1075">
        <f t="shared" si="46"/>
        <v>0</v>
      </c>
      <c r="AT68" s="1075">
        <f t="shared" si="46"/>
        <v>0</v>
      </c>
      <c r="AU68" s="1075">
        <f t="shared" si="46"/>
        <v>0</v>
      </c>
      <c r="AV68" s="1075">
        <f t="shared" si="46"/>
        <v>0</v>
      </c>
      <c r="AW68" s="1075">
        <f t="shared" si="46"/>
        <v>0</v>
      </c>
      <c r="AX68" s="1075">
        <f t="shared" si="46"/>
        <v>199203</v>
      </c>
      <c r="AY68" s="1076">
        <f t="shared" si="46"/>
        <v>0</v>
      </c>
      <c r="AZ68" s="1076">
        <f t="shared" si="46"/>
        <v>0</v>
      </c>
      <c r="BA68" s="1076">
        <f t="shared" si="46"/>
        <v>0</v>
      </c>
      <c r="BB68" s="1076">
        <f t="shared" si="46"/>
        <v>0</v>
      </c>
      <c r="BC68" s="1076">
        <f t="shared" si="46"/>
        <v>0</v>
      </c>
      <c r="BD68" s="1076">
        <f t="shared" si="46"/>
        <v>0</v>
      </c>
      <c r="BE68" s="1076">
        <f t="shared" si="46"/>
        <v>0</v>
      </c>
      <c r="BF68" s="1076">
        <f t="shared" si="46"/>
        <v>0</v>
      </c>
      <c r="BG68" s="1076">
        <f t="shared" si="46"/>
        <v>0</v>
      </c>
      <c r="BH68" s="1076">
        <f t="shared" si="46"/>
        <v>0</v>
      </c>
      <c r="BI68" s="1076">
        <f t="shared" si="46"/>
        <v>0</v>
      </c>
      <c r="BJ68" s="1076">
        <f t="shared" si="46"/>
        <v>0</v>
      </c>
      <c r="BK68" s="1076">
        <f t="shared" si="46"/>
        <v>0</v>
      </c>
      <c r="BL68" s="1076">
        <f>SUM(BL69:BL80)</f>
        <v>0</v>
      </c>
      <c r="BM68" s="1076">
        <f t="shared" ref="BM68" si="47">SUM(BM69:BM80)</f>
        <v>0</v>
      </c>
      <c r="BN68" s="1076">
        <f t="shared" si="46"/>
        <v>0</v>
      </c>
      <c r="BO68" s="1076">
        <f t="shared" si="46"/>
        <v>0</v>
      </c>
      <c r="BP68" s="1075">
        <f t="shared" si="46"/>
        <v>0</v>
      </c>
      <c r="BQ68" s="1077">
        <f t="shared" si="46"/>
        <v>0</v>
      </c>
      <c r="BR68" s="1075">
        <f t="shared" si="46"/>
        <v>0</v>
      </c>
      <c r="BS68" s="1078">
        <f t="shared" si="46"/>
        <v>0</v>
      </c>
      <c r="BT68" s="1113"/>
      <c r="BU68" s="1114"/>
    </row>
    <row r="69" spans="1:73" ht="24.75" thickTop="1" x14ac:dyDescent="0.25">
      <c r="A69" s="1094">
        <v>90000056357</v>
      </c>
      <c r="B69" s="1081"/>
      <c r="C69" s="1519" t="s">
        <v>501</v>
      </c>
      <c r="D69" s="1520"/>
      <c r="E69" s="1145" t="s">
        <v>1422</v>
      </c>
      <c r="F69" s="1146">
        <f t="shared" ref="F69:F79" si="48">H69+AC69+AL69+AX69+AY69+BF69</f>
        <v>24255</v>
      </c>
      <c r="G69" s="1146">
        <f t="shared" ref="G69:G79" si="49">I69+AD69+AM69+AX69+AZ69+BG69</f>
        <v>24255</v>
      </c>
      <c r="H69" s="1147">
        <v>24255</v>
      </c>
      <c r="I69" s="1147">
        <f t="shared" ref="I69:I79" si="50">H69+J69</f>
        <v>24255</v>
      </c>
      <c r="J69" s="1147">
        <f t="shared" ref="J69:J79" si="51">SUM(K69:AB69)</f>
        <v>0</v>
      </c>
      <c r="K69" s="1147"/>
      <c r="L69" s="1147"/>
      <c r="M69" s="1147"/>
      <c r="N69" s="1147"/>
      <c r="O69" s="1147"/>
      <c r="P69" s="1147"/>
      <c r="Q69" s="1147"/>
      <c r="R69" s="1147"/>
      <c r="S69" s="1147"/>
      <c r="T69" s="1147"/>
      <c r="U69" s="1147"/>
      <c r="V69" s="1147"/>
      <c r="W69" s="1147"/>
      <c r="X69" s="1147"/>
      <c r="Y69" s="1147"/>
      <c r="Z69" s="1147"/>
      <c r="AA69" s="1147"/>
      <c r="AB69" s="1147"/>
      <c r="AC69" s="1147">
        <v>0</v>
      </c>
      <c r="AD69" s="1147">
        <f t="shared" ref="AD69:AD78" si="52">AC69+AE69</f>
        <v>0</v>
      </c>
      <c r="AE69" s="1147">
        <f t="shared" ref="AE69:AE78" si="53">SUM(AF69:AK69)</f>
        <v>0</v>
      </c>
      <c r="AF69" s="1147"/>
      <c r="AG69" s="1147"/>
      <c r="AH69" s="1147"/>
      <c r="AI69" s="1147"/>
      <c r="AJ69" s="1147"/>
      <c r="AK69" s="1147"/>
      <c r="AL69" s="1147">
        <v>0</v>
      </c>
      <c r="AM69" s="1148">
        <f t="shared" ref="AM69:AM78" si="54">AN69+AL69</f>
        <v>0</v>
      </c>
      <c r="AN69" s="1148">
        <f t="shared" ref="AN69:AN78" si="55">SUM(AO69:AW69)</f>
        <v>0</v>
      </c>
      <c r="AO69" s="1148"/>
      <c r="AP69" s="1148"/>
      <c r="AQ69" s="1148"/>
      <c r="AR69" s="1148"/>
      <c r="AS69" s="1148"/>
      <c r="AT69" s="1148"/>
      <c r="AU69" s="1148"/>
      <c r="AV69" s="1148"/>
      <c r="AW69" s="1148"/>
      <c r="AX69" s="1148"/>
      <c r="AY69" s="1148">
        <v>0</v>
      </c>
      <c r="AZ69" s="1148">
        <f t="shared" ref="AZ69:AZ78" si="56">BA69+AY69</f>
        <v>0</v>
      </c>
      <c r="BA69" s="1148">
        <f t="shared" ref="BA69:BA78" si="57">SUM(BB69:BE69)</f>
        <v>0</v>
      </c>
      <c r="BB69" s="1148"/>
      <c r="BC69" s="1148"/>
      <c r="BD69" s="1148"/>
      <c r="BE69" s="1148"/>
      <c r="BF69" s="1148"/>
      <c r="BG69" s="1147">
        <f t="shared" ref="BG69:BG79" si="58">BH69+BF69</f>
        <v>0</v>
      </c>
      <c r="BH69" s="1147">
        <f t="shared" ref="BH69:BH79" si="59">SUM(BI69:BS69)</f>
        <v>0</v>
      </c>
      <c r="BI69" s="1147"/>
      <c r="BJ69" s="1147"/>
      <c r="BK69" s="1147"/>
      <c r="BL69" s="1147"/>
      <c r="BM69" s="1147"/>
      <c r="BN69" s="1147"/>
      <c r="BO69" s="1149"/>
      <c r="BP69" s="1147"/>
      <c r="BQ69" s="1150"/>
      <c r="BR69" s="1147"/>
      <c r="BS69" s="1151"/>
      <c r="BT69" s="1152" t="s">
        <v>1423</v>
      </c>
      <c r="BU69" s="1153" t="s">
        <v>1363</v>
      </c>
    </row>
    <row r="70" spans="1:73" ht="36" x14ac:dyDescent="0.25">
      <c r="A70" s="1094"/>
      <c r="B70" s="1154"/>
      <c r="C70" s="1096"/>
      <c r="D70" s="1097"/>
      <c r="E70" s="1082" t="s">
        <v>1424</v>
      </c>
      <c r="F70" s="1083">
        <f t="shared" si="48"/>
        <v>29500</v>
      </c>
      <c r="G70" s="1083">
        <f t="shared" si="49"/>
        <v>47994</v>
      </c>
      <c r="H70" s="1084">
        <v>29500</v>
      </c>
      <c r="I70" s="1084">
        <f t="shared" si="50"/>
        <v>47994</v>
      </c>
      <c r="J70" s="1084">
        <f t="shared" si="51"/>
        <v>18494</v>
      </c>
      <c r="K70" s="1084"/>
      <c r="L70" s="1084"/>
      <c r="M70" s="1084">
        <v>12680</v>
      </c>
      <c r="N70" s="1084"/>
      <c r="O70" s="1084">
        <v>5814</v>
      </c>
      <c r="P70" s="1084"/>
      <c r="Q70" s="1084"/>
      <c r="R70" s="1084"/>
      <c r="S70" s="1084"/>
      <c r="T70" s="1084"/>
      <c r="U70" s="1084"/>
      <c r="V70" s="1084"/>
      <c r="W70" s="1084"/>
      <c r="X70" s="1084"/>
      <c r="Y70" s="1084"/>
      <c r="Z70" s="1084"/>
      <c r="AA70" s="1084"/>
      <c r="AB70" s="1084"/>
      <c r="AC70" s="1084">
        <v>0</v>
      </c>
      <c r="AD70" s="1084">
        <f t="shared" si="52"/>
        <v>0</v>
      </c>
      <c r="AE70" s="1084">
        <f t="shared" si="53"/>
        <v>0</v>
      </c>
      <c r="AF70" s="1084"/>
      <c r="AG70" s="1084"/>
      <c r="AH70" s="1084"/>
      <c r="AI70" s="1084"/>
      <c r="AJ70" s="1084"/>
      <c r="AK70" s="1084"/>
      <c r="AL70" s="1084">
        <v>0</v>
      </c>
      <c r="AM70" s="1085">
        <f t="shared" si="54"/>
        <v>0</v>
      </c>
      <c r="AN70" s="1085">
        <f t="shared" si="55"/>
        <v>0</v>
      </c>
      <c r="AO70" s="1085"/>
      <c r="AP70" s="1085"/>
      <c r="AQ70" s="1085"/>
      <c r="AR70" s="1085"/>
      <c r="AS70" s="1085"/>
      <c r="AT70" s="1085"/>
      <c r="AU70" s="1085"/>
      <c r="AV70" s="1085"/>
      <c r="AW70" s="1085"/>
      <c r="AX70" s="1085"/>
      <c r="AY70" s="1085">
        <v>0</v>
      </c>
      <c r="AZ70" s="1085">
        <f t="shared" si="56"/>
        <v>0</v>
      </c>
      <c r="BA70" s="1085">
        <f t="shared" si="57"/>
        <v>0</v>
      </c>
      <c r="BB70" s="1085"/>
      <c r="BC70" s="1085"/>
      <c r="BD70" s="1085"/>
      <c r="BE70" s="1085"/>
      <c r="BF70" s="1085"/>
      <c r="BG70" s="1084">
        <f t="shared" si="58"/>
        <v>0</v>
      </c>
      <c r="BH70" s="1084">
        <f t="shared" si="59"/>
        <v>0</v>
      </c>
      <c r="BI70" s="1084"/>
      <c r="BJ70" s="1084"/>
      <c r="BK70" s="1084"/>
      <c r="BL70" s="1084"/>
      <c r="BM70" s="1084"/>
      <c r="BN70" s="1084"/>
      <c r="BO70" s="1086"/>
      <c r="BP70" s="1084"/>
      <c r="BQ70" s="1087"/>
      <c r="BR70" s="1084"/>
      <c r="BS70" s="1088"/>
      <c r="BT70" s="1089" t="s">
        <v>1425</v>
      </c>
      <c r="BU70" s="1090" t="s">
        <v>1363</v>
      </c>
    </row>
    <row r="71" spans="1:73" ht="36" x14ac:dyDescent="0.25">
      <c r="A71" s="1094"/>
      <c r="C71" s="1092"/>
      <c r="D71" s="1093"/>
      <c r="E71" s="1100" t="s">
        <v>1426</v>
      </c>
      <c r="F71" s="1101">
        <f t="shared" si="48"/>
        <v>24274</v>
      </c>
      <c r="G71" s="1101">
        <f t="shared" si="49"/>
        <v>28509</v>
      </c>
      <c r="H71" s="1102">
        <v>24274</v>
      </c>
      <c r="I71" s="1102">
        <f t="shared" si="50"/>
        <v>28509</v>
      </c>
      <c r="J71" s="1102">
        <f t="shared" si="51"/>
        <v>4235</v>
      </c>
      <c r="K71" s="1102"/>
      <c r="L71" s="1102"/>
      <c r="M71" s="1102"/>
      <c r="N71" s="1102"/>
      <c r="O71" s="1102">
        <v>4235</v>
      </c>
      <c r="P71" s="1102"/>
      <c r="Q71" s="1102"/>
      <c r="R71" s="1102"/>
      <c r="S71" s="1102"/>
      <c r="T71" s="1102"/>
      <c r="U71" s="1102"/>
      <c r="V71" s="1102"/>
      <c r="W71" s="1102"/>
      <c r="X71" s="1102"/>
      <c r="Y71" s="1102"/>
      <c r="Z71" s="1102"/>
      <c r="AA71" s="1102"/>
      <c r="AB71" s="1102"/>
      <c r="AC71" s="1102">
        <v>0</v>
      </c>
      <c r="AD71" s="1102">
        <f t="shared" si="52"/>
        <v>0</v>
      </c>
      <c r="AE71" s="1102">
        <f t="shared" si="53"/>
        <v>0</v>
      </c>
      <c r="AF71" s="1102"/>
      <c r="AG71" s="1102"/>
      <c r="AH71" s="1102"/>
      <c r="AI71" s="1102"/>
      <c r="AJ71" s="1102"/>
      <c r="AK71" s="1102"/>
      <c r="AL71" s="1102">
        <v>0</v>
      </c>
      <c r="AM71" s="1103">
        <f t="shared" si="54"/>
        <v>0</v>
      </c>
      <c r="AN71" s="1103">
        <f t="shared" si="55"/>
        <v>0</v>
      </c>
      <c r="AO71" s="1103"/>
      <c r="AP71" s="1103"/>
      <c r="AQ71" s="1103"/>
      <c r="AR71" s="1103"/>
      <c r="AS71" s="1103"/>
      <c r="AT71" s="1103"/>
      <c r="AU71" s="1103"/>
      <c r="AV71" s="1103"/>
      <c r="AW71" s="1103"/>
      <c r="AX71" s="1103"/>
      <c r="AY71" s="1103">
        <v>0</v>
      </c>
      <c r="AZ71" s="1103">
        <f t="shared" si="56"/>
        <v>0</v>
      </c>
      <c r="BA71" s="1103">
        <f t="shared" si="57"/>
        <v>0</v>
      </c>
      <c r="BB71" s="1103"/>
      <c r="BC71" s="1103"/>
      <c r="BD71" s="1103"/>
      <c r="BE71" s="1103"/>
      <c r="BF71" s="1103"/>
      <c r="BG71" s="1102">
        <f t="shared" si="58"/>
        <v>0</v>
      </c>
      <c r="BH71" s="1102">
        <f t="shared" si="59"/>
        <v>0</v>
      </c>
      <c r="BI71" s="1102"/>
      <c r="BJ71" s="1102"/>
      <c r="BK71" s="1102"/>
      <c r="BL71" s="1102"/>
      <c r="BM71" s="1102"/>
      <c r="BN71" s="1102"/>
      <c r="BO71" s="1104"/>
      <c r="BP71" s="1102"/>
      <c r="BQ71" s="1105"/>
      <c r="BR71" s="1102"/>
      <c r="BS71" s="1106"/>
      <c r="BT71" s="1089" t="s">
        <v>1427</v>
      </c>
      <c r="BU71" s="1090" t="s">
        <v>1363</v>
      </c>
    </row>
    <row r="72" spans="1:73" ht="36" x14ac:dyDescent="0.25">
      <c r="A72" s="1094"/>
      <c r="B72" s="1095"/>
      <c r="C72" s="1096"/>
      <c r="D72" s="1097"/>
      <c r="E72" s="1082" t="s">
        <v>1428</v>
      </c>
      <c r="F72" s="1083">
        <f t="shared" si="48"/>
        <v>2352564</v>
      </c>
      <c r="G72" s="1083">
        <f t="shared" si="49"/>
        <v>2366766</v>
      </c>
      <c r="H72" s="1084">
        <v>2352564</v>
      </c>
      <c r="I72" s="1084">
        <f t="shared" si="50"/>
        <v>2366766</v>
      </c>
      <c r="J72" s="1084">
        <f t="shared" si="51"/>
        <v>14202</v>
      </c>
      <c r="K72" s="1084"/>
      <c r="L72" s="1084"/>
      <c r="M72" s="1084"/>
      <c r="N72" s="1084">
        <v>-20000</v>
      </c>
      <c r="O72" s="1084">
        <f>20000-23233</f>
        <v>-3233</v>
      </c>
      <c r="P72" s="1084"/>
      <c r="Q72" s="1084">
        <v>24000</v>
      </c>
      <c r="R72" s="1084"/>
      <c r="S72" s="1084"/>
      <c r="T72" s="1084">
        <v>5218</v>
      </c>
      <c r="U72" s="1084"/>
      <c r="V72" s="1084"/>
      <c r="W72" s="1084"/>
      <c r="X72" s="1084"/>
      <c r="Y72" s="1084"/>
      <c r="Z72" s="1084">
        <v>8217</v>
      </c>
      <c r="AA72" s="1084"/>
      <c r="AB72" s="1084"/>
      <c r="AC72" s="1084">
        <v>0</v>
      </c>
      <c r="AD72" s="1084">
        <f t="shared" si="52"/>
        <v>0</v>
      </c>
      <c r="AE72" s="1084">
        <f t="shared" si="53"/>
        <v>0</v>
      </c>
      <c r="AF72" s="1084"/>
      <c r="AG72" s="1084"/>
      <c r="AH72" s="1084"/>
      <c r="AI72" s="1084"/>
      <c r="AJ72" s="1084"/>
      <c r="AK72" s="1084"/>
      <c r="AL72" s="1084">
        <v>0</v>
      </c>
      <c r="AM72" s="1085">
        <f t="shared" si="54"/>
        <v>0</v>
      </c>
      <c r="AN72" s="1085">
        <f t="shared" si="55"/>
        <v>0</v>
      </c>
      <c r="AO72" s="1085"/>
      <c r="AP72" s="1085"/>
      <c r="AQ72" s="1085"/>
      <c r="AR72" s="1085"/>
      <c r="AS72" s="1085"/>
      <c r="AT72" s="1085"/>
      <c r="AU72" s="1085"/>
      <c r="AV72" s="1085"/>
      <c r="AW72" s="1085"/>
      <c r="AX72" s="1085"/>
      <c r="AY72" s="1085">
        <v>0</v>
      </c>
      <c r="AZ72" s="1085">
        <f t="shared" si="56"/>
        <v>0</v>
      </c>
      <c r="BA72" s="1085">
        <f t="shared" si="57"/>
        <v>0</v>
      </c>
      <c r="BB72" s="1085"/>
      <c r="BC72" s="1085"/>
      <c r="BD72" s="1085"/>
      <c r="BE72" s="1085"/>
      <c r="BF72" s="1085"/>
      <c r="BG72" s="1084">
        <f t="shared" si="58"/>
        <v>0</v>
      </c>
      <c r="BH72" s="1084">
        <f t="shared" si="59"/>
        <v>0</v>
      </c>
      <c r="BI72" s="1084"/>
      <c r="BJ72" s="1084"/>
      <c r="BK72" s="1084"/>
      <c r="BL72" s="1084"/>
      <c r="BM72" s="1084"/>
      <c r="BN72" s="1084"/>
      <c r="BO72" s="1086"/>
      <c r="BP72" s="1084"/>
      <c r="BQ72" s="1087"/>
      <c r="BR72" s="1084"/>
      <c r="BS72" s="1088"/>
      <c r="BT72" s="1089" t="s">
        <v>1429</v>
      </c>
      <c r="BU72" s="1090" t="s">
        <v>1430</v>
      </c>
    </row>
    <row r="73" spans="1:73" ht="36" x14ac:dyDescent="0.25">
      <c r="A73" s="1094"/>
      <c r="B73" s="1095"/>
      <c r="C73" s="1096"/>
      <c r="D73" s="1097"/>
      <c r="E73" s="1082" t="s">
        <v>505</v>
      </c>
      <c r="F73" s="1083">
        <f t="shared" si="48"/>
        <v>1705494</v>
      </c>
      <c r="G73" s="1083">
        <f t="shared" si="49"/>
        <v>1705494</v>
      </c>
      <c r="H73" s="1084">
        <v>1057792</v>
      </c>
      <c r="I73" s="1084">
        <f t="shared" si="50"/>
        <v>997017</v>
      </c>
      <c r="J73" s="1084">
        <f t="shared" si="51"/>
        <v>-60775</v>
      </c>
      <c r="K73" s="1084">
        <f>-94875+34100</f>
        <v>-60775</v>
      </c>
      <c r="L73" s="1084"/>
      <c r="M73" s="1084"/>
      <c r="N73" s="1084"/>
      <c r="O73" s="1084"/>
      <c r="P73" s="1084"/>
      <c r="Q73" s="1084"/>
      <c r="R73" s="1084"/>
      <c r="S73" s="1084"/>
      <c r="T73" s="1084"/>
      <c r="U73" s="1084"/>
      <c r="V73" s="1084"/>
      <c r="W73" s="1084"/>
      <c r="X73" s="1084"/>
      <c r="Y73" s="1084"/>
      <c r="Z73" s="1084"/>
      <c r="AA73" s="1084"/>
      <c r="AB73" s="1084"/>
      <c r="AC73" s="1084">
        <v>647702</v>
      </c>
      <c r="AD73" s="1084">
        <f t="shared" si="52"/>
        <v>708477</v>
      </c>
      <c r="AE73" s="1084">
        <f t="shared" si="53"/>
        <v>60775</v>
      </c>
      <c r="AF73" s="1084">
        <f>94875-34100</f>
        <v>60775</v>
      </c>
      <c r="AG73" s="1084"/>
      <c r="AH73" s="1084"/>
      <c r="AI73" s="1084"/>
      <c r="AJ73" s="1084"/>
      <c r="AK73" s="1084"/>
      <c r="AL73" s="1084">
        <v>0</v>
      </c>
      <c r="AM73" s="1085">
        <f t="shared" si="54"/>
        <v>0</v>
      </c>
      <c r="AN73" s="1085">
        <f t="shared" si="55"/>
        <v>0</v>
      </c>
      <c r="AO73" s="1085"/>
      <c r="AP73" s="1085"/>
      <c r="AQ73" s="1085"/>
      <c r="AR73" s="1085"/>
      <c r="AS73" s="1085"/>
      <c r="AT73" s="1085"/>
      <c r="AU73" s="1085"/>
      <c r="AV73" s="1085"/>
      <c r="AW73" s="1085"/>
      <c r="AX73" s="1085"/>
      <c r="AY73" s="1085">
        <v>0</v>
      </c>
      <c r="AZ73" s="1085">
        <f t="shared" si="56"/>
        <v>0</v>
      </c>
      <c r="BA73" s="1085">
        <f t="shared" si="57"/>
        <v>0</v>
      </c>
      <c r="BB73" s="1085"/>
      <c r="BC73" s="1085"/>
      <c r="BD73" s="1085"/>
      <c r="BE73" s="1085"/>
      <c r="BF73" s="1085"/>
      <c r="BG73" s="1084">
        <f t="shared" si="58"/>
        <v>0</v>
      </c>
      <c r="BH73" s="1084">
        <f t="shared" si="59"/>
        <v>0</v>
      </c>
      <c r="BI73" s="1084"/>
      <c r="BJ73" s="1084"/>
      <c r="BK73" s="1084"/>
      <c r="BL73" s="1084"/>
      <c r="BM73" s="1084"/>
      <c r="BN73" s="1084"/>
      <c r="BO73" s="1086"/>
      <c r="BP73" s="1084"/>
      <c r="BQ73" s="1087"/>
      <c r="BR73" s="1084"/>
      <c r="BS73" s="1088"/>
      <c r="BT73" s="1089" t="s">
        <v>1431</v>
      </c>
      <c r="BU73" s="1090" t="s">
        <v>1371</v>
      </c>
    </row>
    <row r="74" spans="1:73" ht="36" x14ac:dyDescent="0.25">
      <c r="A74" s="1094">
        <v>40003275333</v>
      </c>
      <c r="B74" s="1095"/>
      <c r="C74" s="1514" t="s">
        <v>1266</v>
      </c>
      <c r="D74" s="1515"/>
      <c r="E74" s="1082" t="s">
        <v>1262</v>
      </c>
      <c r="F74" s="1083">
        <f t="shared" si="48"/>
        <v>466010</v>
      </c>
      <c r="G74" s="1083">
        <f t="shared" si="49"/>
        <v>450710</v>
      </c>
      <c r="H74" s="1084">
        <v>466010</v>
      </c>
      <c r="I74" s="1084">
        <f t="shared" si="50"/>
        <v>450710</v>
      </c>
      <c r="J74" s="1084">
        <f t="shared" si="51"/>
        <v>-15300</v>
      </c>
      <c r="K74" s="1084"/>
      <c r="L74" s="1084"/>
      <c r="M74" s="1084"/>
      <c r="N74" s="1084"/>
      <c r="O74" s="1084"/>
      <c r="P74" s="1084"/>
      <c r="Q74" s="1084"/>
      <c r="R74" s="1084"/>
      <c r="S74" s="1084"/>
      <c r="T74" s="1084"/>
      <c r="U74" s="1084"/>
      <c r="V74" s="1084"/>
      <c r="W74" s="1084"/>
      <c r="X74" s="1084"/>
      <c r="Y74" s="1084"/>
      <c r="Z74" s="1084"/>
      <c r="AA74" s="1084"/>
      <c r="AB74" s="1084">
        <v>-15300</v>
      </c>
      <c r="AC74" s="1084">
        <v>0</v>
      </c>
      <c r="AD74" s="1084">
        <f t="shared" si="52"/>
        <v>0</v>
      </c>
      <c r="AE74" s="1084">
        <f t="shared" si="53"/>
        <v>0</v>
      </c>
      <c r="AF74" s="1084"/>
      <c r="AG74" s="1084"/>
      <c r="AH74" s="1084"/>
      <c r="AI74" s="1084"/>
      <c r="AJ74" s="1084"/>
      <c r="AK74" s="1084"/>
      <c r="AL74" s="1084">
        <v>0</v>
      </c>
      <c r="AM74" s="1085">
        <f t="shared" si="54"/>
        <v>0</v>
      </c>
      <c r="AN74" s="1085">
        <f t="shared" si="55"/>
        <v>0</v>
      </c>
      <c r="AO74" s="1085"/>
      <c r="AP74" s="1085"/>
      <c r="AQ74" s="1085"/>
      <c r="AR74" s="1085"/>
      <c r="AS74" s="1085"/>
      <c r="AT74" s="1085"/>
      <c r="AU74" s="1085"/>
      <c r="AV74" s="1085"/>
      <c r="AW74" s="1085"/>
      <c r="AX74" s="1085"/>
      <c r="AY74" s="1085">
        <v>0</v>
      </c>
      <c r="AZ74" s="1085">
        <f t="shared" si="56"/>
        <v>0</v>
      </c>
      <c r="BA74" s="1085">
        <f t="shared" si="57"/>
        <v>0</v>
      </c>
      <c r="BB74" s="1085"/>
      <c r="BC74" s="1085"/>
      <c r="BD74" s="1085"/>
      <c r="BE74" s="1085"/>
      <c r="BF74" s="1085"/>
      <c r="BG74" s="1084">
        <f t="shared" si="58"/>
        <v>0</v>
      </c>
      <c r="BH74" s="1084">
        <f t="shared" si="59"/>
        <v>0</v>
      </c>
      <c r="BI74" s="1084"/>
      <c r="BJ74" s="1084"/>
      <c r="BK74" s="1084"/>
      <c r="BL74" s="1084"/>
      <c r="BM74" s="1084"/>
      <c r="BN74" s="1084"/>
      <c r="BO74" s="1086"/>
      <c r="BP74" s="1084"/>
      <c r="BQ74" s="1087"/>
      <c r="BR74" s="1084"/>
      <c r="BS74" s="1088"/>
      <c r="BT74" s="1089" t="s">
        <v>1432</v>
      </c>
      <c r="BU74" s="1090"/>
    </row>
    <row r="75" spans="1:73" ht="36" x14ac:dyDescent="0.25">
      <c r="A75" s="1094"/>
      <c r="B75" s="1095"/>
      <c r="C75" s="1096"/>
      <c r="D75" s="1097"/>
      <c r="E75" s="1082" t="s">
        <v>1268</v>
      </c>
      <c r="F75" s="1083">
        <f t="shared" si="48"/>
        <v>177470</v>
      </c>
      <c r="G75" s="1083">
        <f t="shared" si="49"/>
        <v>192770</v>
      </c>
      <c r="H75" s="1084">
        <v>177470</v>
      </c>
      <c r="I75" s="1084">
        <f t="shared" si="50"/>
        <v>192770</v>
      </c>
      <c r="J75" s="1084">
        <f t="shared" si="51"/>
        <v>15300</v>
      </c>
      <c r="K75" s="1084"/>
      <c r="L75" s="1084"/>
      <c r="M75" s="1084"/>
      <c r="N75" s="1084"/>
      <c r="O75" s="1084"/>
      <c r="P75" s="1084"/>
      <c r="Q75" s="1084"/>
      <c r="R75" s="1084"/>
      <c r="S75" s="1084"/>
      <c r="T75" s="1084"/>
      <c r="U75" s="1084"/>
      <c r="V75" s="1084"/>
      <c r="W75" s="1084"/>
      <c r="X75" s="1084"/>
      <c r="Y75" s="1084"/>
      <c r="Z75" s="1084"/>
      <c r="AA75" s="1084"/>
      <c r="AB75" s="1084">
        <v>15300</v>
      </c>
      <c r="AC75" s="1084">
        <v>0</v>
      </c>
      <c r="AD75" s="1084">
        <f t="shared" si="52"/>
        <v>0</v>
      </c>
      <c r="AE75" s="1084">
        <f t="shared" si="53"/>
        <v>0</v>
      </c>
      <c r="AF75" s="1084"/>
      <c r="AG75" s="1084"/>
      <c r="AH75" s="1084"/>
      <c r="AI75" s="1084"/>
      <c r="AJ75" s="1084"/>
      <c r="AK75" s="1084"/>
      <c r="AL75" s="1084">
        <v>0</v>
      </c>
      <c r="AM75" s="1085">
        <f t="shared" si="54"/>
        <v>0</v>
      </c>
      <c r="AN75" s="1085">
        <f t="shared" si="55"/>
        <v>0</v>
      </c>
      <c r="AO75" s="1085"/>
      <c r="AP75" s="1085"/>
      <c r="AQ75" s="1085"/>
      <c r="AR75" s="1085"/>
      <c r="AS75" s="1085"/>
      <c r="AT75" s="1085"/>
      <c r="AU75" s="1085"/>
      <c r="AV75" s="1085"/>
      <c r="AW75" s="1085"/>
      <c r="AX75" s="1085"/>
      <c r="AY75" s="1085">
        <v>0</v>
      </c>
      <c r="AZ75" s="1085">
        <f t="shared" si="56"/>
        <v>0</v>
      </c>
      <c r="BA75" s="1085">
        <f t="shared" si="57"/>
        <v>0</v>
      </c>
      <c r="BB75" s="1085"/>
      <c r="BC75" s="1085"/>
      <c r="BD75" s="1085"/>
      <c r="BE75" s="1085"/>
      <c r="BF75" s="1085"/>
      <c r="BG75" s="1084">
        <f t="shared" si="58"/>
        <v>0</v>
      </c>
      <c r="BH75" s="1084">
        <f t="shared" si="59"/>
        <v>0</v>
      </c>
      <c r="BI75" s="1084"/>
      <c r="BJ75" s="1084"/>
      <c r="BK75" s="1084"/>
      <c r="BL75" s="1084"/>
      <c r="BM75" s="1084"/>
      <c r="BN75" s="1084"/>
      <c r="BO75" s="1086"/>
      <c r="BP75" s="1084"/>
      <c r="BQ75" s="1087"/>
      <c r="BR75" s="1084"/>
      <c r="BS75" s="1088"/>
      <c r="BT75" s="1089" t="s">
        <v>1433</v>
      </c>
      <c r="BU75" s="1090"/>
    </row>
    <row r="76" spans="1:73" ht="48" x14ac:dyDescent="0.25">
      <c r="A76" s="1094"/>
      <c r="B76" s="1095"/>
      <c r="C76" s="1096"/>
      <c r="D76" s="1097"/>
      <c r="E76" s="1082" t="s">
        <v>1434</v>
      </c>
      <c r="F76" s="1083">
        <f t="shared" si="48"/>
        <v>1762790</v>
      </c>
      <c r="G76" s="1083">
        <f t="shared" si="49"/>
        <v>1762790</v>
      </c>
      <c r="H76" s="1084">
        <v>1762790</v>
      </c>
      <c r="I76" s="1084">
        <f t="shared" si="50"/>
        <v>1762790</v>
      </c>
      <c r="J76" s="1084">
        <f t="shared" si="51"/>
        <v>0</v>
      </c>
      <c r="K76" s="1084"/>
      <c r="L76" s="1084"/>
      <c r="M76" s="1084"/>
      <c r="N76" s="1084"/>
      <c r="O76" s="1084"/>
      <c r="P76" s="1084"/>
      <c r="Q76" s="1084"/>
      <c r="R76" s="1084"/>
      <c r="S76" s="1084"/>
      <c r="T76" s="1084"/>
      <c r="U76" s="1084"/>
      <c r="V76" s="1084"/>
      <c r="W76" s="1084"/>
      <c r="X76" s="1084"/>
      <c r="Y76" s="1084"/>
      <c r="Z76" s="1084"/>
      <c r="AA76" s="1084"/>
      <c r="AB76" s="1084"/>
      <c r="AC76" s="1084">
        <v>0</v>
      </c>
      <c r="AD76" s="1084">
        <f t="shared" si="52"/>
        <v>0</v>
      </c>
      <c r="AE76" s="1084">
        <f t="shared" si="53"/>
        <v>0</v>
      </c>
      <c r="AF76" s="1084"/>
      <c r="AG76" s="1084"/>
      <c r="AH76" s="1084"/>
      <c r="AI76" s="1084"/>
      <c r="AJ76" s="1084"/>
      <c r="AK76" s="1084"/>
      <c r="AL76" s="1084">
        <v>0</v>
      </c>
      <c r="AM76" s="1085">
        <f t="shared" si="54"/>
        <v>0</v>
      </c>
      <c r="AN76" s="1085">
        <f t="shared" si="55"/>
        <v>0</v>
      </c>
      <c r="AO76" s="1085"/>
      <c r="AP76" s="1085"/>
      <c r="AQ76" s="1085"/>
      <c r="AR76" s="1085"/>
      <c r="AS76" s="1085"/>
      <c r="AT76" s="1085"/>
      <c r="AU76" s="1085"/>
      <c r="AV76" s="1085"/>
      <c r="AW76" s="1085"/>
      <c r="AX76" s="1085"/>
      <c r="AY76" s="1085">
        <v>0</v>
      </c>
      <c r="AZ76" s="1085">
        <f t="shared" si="56"/>
        <v>0</v>
      </c>
      <c r="BA76" s="1085">
        <f t="shared" si="57"/>
        <v>0</v>
      </c>
      <c r="BB76" s="1085"/>
      <c r="BC76" s="1085"/>
      <c r="BD76" s="1085"/>
      <c r="BE76" s="1085"/>
      <c r="BF76" s="1085"/>
      <c r="BG76" s="1084">
        <f t="shared" si="58"/>
        <v>0</v>
      </c>
      <c r="BH76" s="1084">
        <f t="shared" si="59"/>
        <v>0</v>
      </c>
      <c r="BI76" s="1084"/>
      <c r="BJ76" s="1084"/>
      <c r="BK76" s="1084"/>
      <c r="BL76" s="1084"/>
      <c r="BM76" s="1084"/>
      <c r="BN76" s="1084"/>
      <c r="BO76" s="1086"/>
      <c r="BP76" s="1084"/>
      <c r="BQ76" s="1087"/>
      <c r="BR76" s="1084"/>
      <c r="BS76" s="1088"/>
      <c r="BT76" s="1089" t="s">
        <v>1435</v>
      </c>
      <c r="BU76" s="1090"/>
    </row>
    <row r="77" spans="1:73" ht="48" x14ac:dyDescent="0.25">
      <c r="A77" s="1094"/>
      <c r="B77" s="1095"/>
      <c r="C77" s="1096"/>
      <c r="D77" s="1097"/>
      <c r="E77" s="1082" t="s">
        <v>1436</v>
      </c>
      <c r="F77" s="1083">
        <f t="shared" si="48"/>
        <v>2312000</v>
      </c>
      <c r="G77" s="1083">
        <f t="shared" si="49"/>
        <v>0</v>
      </c>
      <c r="H77" s="1084">
        <v>2312000</v>
      </c>
      <c r="I77" s="1084">
        <f t="shared" si="50"/>
        <v>0</v>
      </c>
      <c r="J77" s="1084">
        <f t="shared" si="51"/>
        <v>-2312000</v>
      </c>
      <c r="K77" s="1084"/>
      <c r="L77" s="1084"/>
      <c r="M77" s="1084"/>
      <c r="N77" s="1084"/>
      <c r="O77" s="1084"/>
      <c r="P77" s="1084"/>
      <c r="Q77" s="1084"/>
      <c r="R77" s="1084"/>
      <c r="S77" s="1084"/>
      <c r="T77" s="1084"/>
      <c r="U77" s="1084"/>
      <c r="V77" s="1084"/>
      <c r="W77" s="1084"/>
      <c r="X77" s="1084"/>
      <c r="Y77" s="1084"/>
      <c r="Z77" s="1084">
        <v>-2312000</v>
      </c>
      <c r="AA77" s="1084"/>
      <c r="AB77" s="1084"/>
      <c r="AC77" s="1084">
        <v>0</v>
      </c>
      <c r="AD77" s="1084">
        <f t="shared" si="52"/>
        <v>0</v>
      </c>
      <c r="AE77" s="1084">
        <f t="shared" si="53"/>
        <v>0</v>
      </c>
      <c r="AF77" s="1084"/>
      <c r="AG77" s="1084"/>
      <c r="AH77" s="1084"/>
      <c r="AI77" s="1084"/>
      <c r="AJ77" s="1084"/>
      <c r="AK77" s="1084"/>
      <c r="AL77" s="1084">
        <v>0</v>
      </c>
      <c r="AM77" s="1085">
        <f t="shared" si="54"/>
        <v>0</v>
      </c>
      <c r="AN77" s="1085">
        <f t="shared" si="55"/>
        <v>0</v>
      </c>
      <c r="AO77" s="1085"/>
      <c r="AP77" s="1085"/>
      <c r="AQ77" s="1085"/>
      <c r="AR77" s="1085"/>
      <c r="AS77" s="1085"/>
      <c r="AT77" s="1085"/>
      <c r="AU77" s="1085"/>
      <c r="AV77" s="1085"/>
      <c r="AW77" s="1085"/>
      <c r="AX77" s="1085"/>
      <c r="AY77" s="1085">
        <v>0</v>
      </c>
      <c r="AZ77" s="1085">
        <f t="shared" si="56"/>
        <v>0</v>
      </c>
      <c r="BA77" s="1085">
        <f t="shared" si="57"/>
        <v>0</v>
      </c>
      <c r="BB77" s="1085"/>
      <c r="BC77" s="1085"/>
      <c r="BD77" s="1085"/>
      <c r="BE77" s="1085"/>
      <c r="BF77" s="1085"/>
      <c r="BG77" s="1084">
        <f t="shared" si="58"/>
        <v>0</v>
      </c>
      <c r="BH77" s="1084">
        <f t="shared" si="59"/>
        <v>0</v>
      </c>
      <c r="BI77" s="1084"/>
      <c r="BJ77" s="1084"/>
      <c r="BK77" s="1084"/>
      <c r="BL77" s="1084"/>
      <c r="BM77" s="1084"/>
      <c r="BN77" s="1084"/>
      <c r="BO77" s="1086"/>
      <c r="BP77" s="1084"/>
      <c r="BQ77" s="1087"/>
      <c r="BR77" s="1084"/>
      <c r="BS77" s="1088"/>
      <c r="BT77" s="1089" t="s">
        <v>1437</v>
      </c>
      <c r="BU77" s="1090"/>
    </row>
    <row r="78" spans="1:73" ht="24" x14ac:dyDescent="0.25">
      <c r="A78" s="1094"/>
      <c r="B78" s="1095"/>
      <c r="C78" s="1096"/>
      <c r="D78" s="1097"/>
      <c r="E78" s="1082" t="s">
        <v>1256</v>
      </c>
      <c r="F78" s="1083">
        <f t="shared" si="48"/>
        <v>49663</v>
      </c>
      <c r="G78" s="1083">
        <f t="shared" si="49"/>
        <v>46515</v>
      </c>
      <c r="H78" s="1084">
        <v>49663</v>
      </c>
      <c r="I78" s="1084">
        <f t="shared" si="50"/>
        <v>46515</v>
      </c>
      <c r="J78" s="1084">
        <f t="shared" si="51"/>
        <v>-3148</v>
      </c>
      <c r="K78" s="1084">
        <v>-3148</v>
      </c>
      <c r="L78" s="1084"/>
      <c r="M78" s="1084"/>
      <c r="N78" s="1084"/>
      <c r="O78" s="1084"/>
      <c r="P78" s="1084"/>
      <c r="Q78" s="1084"/>
      <c r="R78" s="1084"/>
      <c r="S78" s="1084"/>
      <c r="T78" s="1084"/>
      <c r="U78" s="1084"/>
      <c r="V78" s="1084"/>
      <c r="W78" s="1084"/>
      <c r="X78" s="1084"/>
      <c r="Y78" s="1084"/>
      <c r="Z78" s="1084"/>
      <c r="AA78" s="1084"/>
      <c r="AB78" s="1084"/>
      <c r="AC78" s="1084">
        <v>0</v>
      </c>
      <c r="AD78" s="1084">
        <f t="shared" si="52"/>
        <v>0</v>
      </c>
      <c r="AE78" s="1084">
        <f t="shared" si="53"/>
        <v>0</v>
      </c>
      <c r="AF78" s="1084"/>
      <c r="AG78" s="1084"/>
      <c r="AH78" s="1084"/>
      <c r="AI78" s="1084"/>
      <c r="AJ78" s="1084"/>
      <c r="AK78" s="1084"/>
      <c r="AL78" s="1084">
        <v>0</v>
      </c>
      <c r="AM78" s="1085">
        <f t="shared" si="54"/>
        <v>0</v>
      </c>
      <c r="AN78" s="1085">
        <f t="shared" si="55"/>
        <v>0</v>
      </c>
      <c r="AO78" s="1085"/>
      <c r="AP78" s="1085"/>
      <c r="AQ78" s="1085"/>
      <c r="AR78" s="1085"/>
      <c r="AS78" s="1085"/>
      <c r="AT78" s="1085"/>
      <c r="AU78" s="1085"/>
      <c r="AV78" s="1085"/>
      <c r="AW78" s="1085"/>
      <c r="AX78" s="1085"/>
      <c r="AY78" s="1085">
        <v>0</v>
      </c>
      <c r="AZ78" s="1085">
        <f t="shared" si="56"/>
        <v>0</v>
      </c>
      <c r="BA78" s="1085">
        <f t="shared" si="57"/>
        <v>0</v>
      </c>
      <c r="BB78" s="1085"/>
      <c r="BC78" s="1085"/>
      <c r="BD78" s="1085"/>
      <c r="BE78" s="1085"/>
      <c r="BF78" s="1085"/>
      <c r="BG78" s="1084">
        <f t="shared" si="58"/>
        <v>0</v>
      </c>
      <c r="BH78" s="1084">
        <f t="shared" si="59"/>
        <v>0</v>
      </c>
      <c r="BI78" s="1084"/>
      <c r="BJ78" s="1084"/>
      <c r="BK78" s="1084"/>
      <c r="BL78" s="1084"/>
      <c r="BM78" s="1084"/>
      <c r="BN78" s="1084"/>
      <c r="BO78" s="1086"/>
      <c r="BP78" s="1084"/>
      <c r="BQ78" s="1087"/>
      <c r="BR78" s="1084"/>
      <c r="BS78" s="1088"/>
      <c r="BT78" s="1089" t="s">
        <v>1438</v>
      </c>
      <c r="BU78" s="1090"/>
    </row>
    <row r="79" spans="1:73" ht="48" x14ac:dyDescent="0.25">
      <c r="A79" s="1094"/>
      <c r="B79" s="1095"/>
      <c r="C79" s="1514" t="s">
        <v>1047</v>
      </c>
      <c r="D79" s="1515"/>
      <c r="E79" s="1082" t="s">
        <v>1439</v>
      </c>
      <c r="F79" s="1083">
        <f t="shared" si="48"/>
        <v>199203</v>
      </c>
      <c r="G79" s="1083">
        <f t="shared" si="49"/>
        <v>199203</v>
      </c>
      <c r="H79" s="1084"/>
      <c r="I79" s="1084">
        <f t="shared" si="50"/>
        <v>0</v>
      </c>
      <c r="J79" s="1084">
        <f t="shared" si="51"/>
        <v>0</v>
      </c>
      <c r="K79" s="1084"/>
      <c r="L79" s="1084"/>
      <c r="M79" s="1084"/>
      <c r="N79" s="1084"/>
      <c r="O79" s="1084"/>
      <c r="P79" s="1084"/>
      <c r="Q79" s="1084"/>
      <c r="R79" s="1084"/>
      <c r="S79" s="1084"/>
      <c r="T79" s="1084"/>
      <c r="U79" s="1084"/>
      <c r="V79" s="1084"/>
      <c r="W79" s="1084"/>
      <c r="X79" s="1084"/>
      <c r="Y79" s="1084"/>
      <c r="Z79" s="1084"/>
      <c r="AA79" s="1084"/>
      <c r="AB79" s="1084"/>
      <c r="AC79" s="1084"/>
      <c r="AD79" s="1084"/>
      <c r="AE79" s="1084"/>
      <c r="AF79" s="1084"/>
      <c r="AG79" s="1084"/>
      <c r="AH79" s="1084"/>
      <c r="AI79" s="1084"/>
      <c r="AJ79" s="1084"/>
      <c r="AK79" s="1084"/>
      <c r="AL79" s="1084"/>
      <c r="AM79" s="1085"/>
      <c r="AN79" s="1085"/>
      <c r="AO79" s="1085"/>
      <c r="AP79" s="1085"/>
      <c r="AQ79" s="1085"/>
      <c r="AR79" s="1085"/>
      <c r="AS79" s="1085"/>
      <c r="AT79" s="1085"/>
      <c r="AU79" s="1085"/>
      <c r="AV79" s="1085"/>
      <c r="AW79" s="1085"/>
      <c r="AX79" s="1085">
        <v>199203</v>
      </c>
      <c r="AY79" s="1085"/>
      <c r="AZ79" s="1085"/>
      <c r="BA79" s="1085"/>
      <c r="BB79" s="1085"/>
      <c r="BC79" s="1085"/>
      <c r="BD79" s="1085"/>
      <c r="BE79" s="1085"/>
      <c r="BF79" s="1085"/>
      <c r="BG79" s="1084">
        <f t="shared" si="58"/>
        <v>0</v>
      </c>
      <c r="BH79" s="1084">
        <f t="shared" si="59"/>
        <v>0</v>
      </c>
      <c r="BI79" s="1084"/>
      <c r="BJ79" s="1084"/>
      <c r="BK79" s="1084"/>
      <c r="BL79" s="1084"/>
      <c r="BM79" s="1084"/>
      <c r="BN79" s="1084"/>
      <c r="BO79" s="1086"/>
      <c r="BP79" s="1084"/>
      <c r="BQ79" s="1087"/>
      <c r="BR79" s="1084"/>
      <c r="BS79" s="1088"/>
      <c r="BT79" s="1089"/>
      <c r="BU79" s="1090"/>
    </row>
    <row r="80" spans="1:73" ht="12.75" thickBot="1" x14ac:dyDescent="0.3">
      <c r="A80" s="1094"/>
      <c r="B80" s="1109"/>
      <c r="C80" s="1537"/>
      <c r="D80" s="1538"/>
      <c r="E80" s="1119"/>
      <c r="F80" s="1101"/>
      <c r="G80" s="1101"/>
      <c r="H80" s="1102"/>
      <c r="I80" s="1102"/>
      <c r="J80" s="1102"/>
      <c r="K80" s="1102"/>
      <c r="L80" s="1102"/>
      <c r="M80" s="1102"/>
      <c r="N80" s="1102"/>
      <c r="O80" s="1102"/>
      <c r="P80" s="1102"/>
      <c r="Q80" s="1102"/>
      <c r="R80" s="1102"/>
      <c r="S80" s="1102"/>
      <c r="T80" s="1102"/>
      <c r="U80" s="1102"/>
      <c r="V80" s="1102"/>
      <c r="W80" s="1102"/>
      <c r="X80" s="1102"/>
      <c r="Y80" s="1102"/>
      <c r="Z80" s="1102"/>
      <c r="AA80" s="1102"/>
      <c r="AB80" s="1102"/>
      <c r="AC80" s="1102"/>
      <c r="AD80" s="1102"/>
      <c r="AE80" s="1102"/>
      <c r="AF80" s="1102"/>
      <c r="AG80" s="1102"/>
      <c r="AH80" s="1102"/>
      <c r="AI80" s="1102"/>
      <c r="AJ80" s="1102"/>
      <c r="AK80" s="1102"/>
      <c r="AL80" s="1102"/>
      <c r="AM80" s="1103"/>
      <c r="AN80" s="1103"/>
      <c r="AO80" s="1103"/>
      <c r="AP80" s="1103"/>
      <c r="AQ80" s="1103"/>
      <c r="AR80" s="1103"/>
      <c r="AS80" s="1103"/>
      <c r="AT80" s="1103"/>
      <c r="AU80" s="1103"/>
      <c r="AV80" s="1103"/>
      <c r="AW80" s="1103"/>
      <c r="AX80" s="1103"/>
      <c r="AY80" s="1103"/>
      <c r="AZ80" s="1103"/>
      <c r="BA80" s="1103"/>
      <c r="BB80" s="1103"/>
      <c r="BC80" s="1103"/>
      <c r="BD80" s="1103"/>
      <c r="BE80" s="1103"/>
      <c r="BF80" s="1103"/>
      <c r="BG80" s="1102"/>
      <c r="BH80" s="1102"/>
      <c r="BI80" s="1102"/>
      <c r="BJ80" s="1102"/>
      <c r="BK80" s="1102"/>
      <c r="BL80" s="1102"/>
      <c r="BM80" s="1102"/>
      <c r="BN80" s="1102"/>
      <c r="BO80" s="1104"/>
      <c r="BP80" s="1102"/>
      <c r="BQ80" s="1105"/>
      <c r="BR80" s="1102"/>
      <c r="BS80" s="1106"/>
      <c r="BT80" s="1120"/>
      <c r="BU80" s="1099"/>
    </row>
    <row r="81" spans="1:73" ht="24.75" thickBot="1" x14ac:dyDescent="0.3">
      <c r="A81" s="1111"/>
      <c r="B81" s="1518" t="s">
        <v>1440</v>
      </c>
      <c r="C81" s="1518"/>
      <c r="D81" s="1073" t="s">
        <v>1441</v>
      </c>
      <c r="E81" s="1112"/>
      <c r="F81" s="1075">
        <f t="shared" ref="F81:BS81" si="60">SUM(F82:F94)</f>
        <v>11858344</v>
      </c>
      <c r="G81" s="1075">
        <f t="shared" si="60"/>
        <v>9622185</v>
      </c>
      <c r="H81" s="1075">
        <f t="shared" si="60"/>
        <v>10665531</v>
      </c>
      <c r="I81" s="1075">
        <f t="shared" si="60"/>
        <v>8352764</v>
      </c>
      <c r="J81" s="1075">
        <f t="shared" si="60"/>
        <v>-2312767</v>
      </c>
      <c r="K81" s="1075">
        <f>SUM(K82:K94)</f>
        <v>-58751</v>
      </c>
      <c r="L81" s="1075">
        <f t="shared" si="60"/>
        <v>0</v>
      </c>
      <c r="M81" s="1075">
        <f t="shared" si="60"/>
        <v>-3580</v>
      </c>
      <c r="N81" s="1075">
        <f t="shared" si="60"/>
        <v>-36254</v>
      </c>
      <c r="O81" s="1075">
        <f t="shared" si="60"/>
        <v>46690</v>
      </c>
      <c r="P81" s="1075">
        <f t="shared" si="60"/>
        <v>-46084</v>
      </c>
      <c r="Q81" s="1075">
        <f t="shared" si="60"/>
        <v>-19290</v>
      </c>
      <c r="R81" s="1075">
        <f t="shared" si="60"/>
        <v>-200</v>
      </c>
      <c r="S81" s="1075">
        <f t="shared" si="60"/>
        <v>83872</v>
      </c>
      <c r="T81" s="1075">
        <f t="shared" si="60"/>
        <v>527</v>
      </c>
      <c r="U81" s="1075">
        <f t="shared" si="60"/>
        <v>0</v>
      </c>
      <c r="V81" s="1075">
        <f t="shared" si="60"/>
        <v>90698</v>
      </c>
      <c r="W81" s="1075">
        <f t="shared" si="60"/>
        <v>0</v>
      </c>
      <c r="X81" s="1075">
        <f t="shared" si="60"/>
        <v>-8000</v>
      </c>
      <c r="Y81" s="1075">
        <f t="shared" si="60"/>
        <v>-338</v>
      </c>
      <c r="Z81" s="1075">
        <f t="shared" si="60"/>
        <v>-2362057</v>
      </c>
      <c r="AA81" s="1075">
        <f t="shared" si="60"/>
        <v>0</v>
      </c>
      <c r="AB81" s="1075">
        <f t="shared" si="60"/>
        <v>0</v>
      </c>
      <c r="AC81" s="1075">
        <f t="shared" si="60"/>
        <v>0</v>
      </c>
      <c r="AD81" s="1075">
        <f t="shared" si="60"/>
        <v>0</v>
      </c>
      <c r="AE81" s="1075">
        <f t="shared" si="60"/>
        <v>0</v>
      </c>
      <c r="AF81" s="1075">
        <f t="shared" si="60"/>
        <v>0</v>
      </c>
      <c r="AG81" s="1075">
        <f t="shared" si="60"/>
        <v>0</v>
      </c>
      <c r="AH81" s="1075">
        <f t="shared" si="60"/>
        <v>0</v>
      </c>
      <c r="AI81" s="1075">
        <f t="shared" si="60"/>
        <v>0</v>
      </c>
      <c r="AJ81" s="1075">
        <f t="shared" si="60"/>
        <v>0</v>
      </c>
      <c r="AK81" s="1075">
        <f t="shared" si="60"/>
        <v>0</v>
      </c>
      <c r="AL81" s="1075">
        <f t="shared" si="60"/>
        <v>359599</v>
      </c>
      <c r="AM81" s="1075">
        <f t="shared" si="60"/>
        <v>436919</v>
      </c>
      <c r="AN81" s="1075">
        <f t="shared" si="60"/>
        <v>77320</v>
      </c>
      <c r="AO81" s="1075">
        <f t="shared" si="60"/>
        <v>1229</v>
      </c>
      <c r="AP81" s="1075">
        <f t="shared" si="60"/>
        <v>19171</v>
      </c>
      <c r="AQ81" s="1075">
        <f t="shared" si="60"/>
        <v>10398</v>
      </c>
      <c r="AR81" s="1075">
        <f t="shared" si="60"/>
        <v>5981</v>
      </c>
      <c r="AS81" s="1075">
        <f t="shared" si="60"/>
        <v>19114</v>
      </c>
      <c r="AT81" s="1075">
        <f t="shared" si="60"/>
        <v>0</v>
      </c>
      <c r="AU81" s="1075">
        <f t="shared" si="60"/>
        <v>18638</v>
      </c>
      <c r="AV81" s="1075">
        <f t="shared" si="60"/>
        <v>2789</v>
      </c>
      <c r="AW81" s="1075">
        <f t="shared" si="60"/>
        <v>0</v>
      </c>
      <c r="AX81" s="1075">
        <f t="shared" si="60"/>
        <v>833040</v>
      </c>
      <c r="AY81" s="1076">
        <f t="shared" si="60"/>
        <v>174</v>
      </c>
      <c r="AZ81" s="1076">
        <f t="shared" si="60"/>
        <v>174</v>
      </c>
      <c r="BA81" s="1076">
        <f t="shared" si="60"/>
        <v>0</v>
      </c>
      <c r="BB81" s="1076">
        <f t="shared" si="60"/>
        <v>0</v>
      </c>
      <c r="BC81" s="1076">
        <f t="shared" si="60"/>
        <v>0</v>
      </c>
      <c r="BD81" s="1076">
        <f t="shared" si="60"/>
        <v>0</v>
      </c>
      <c r="BE81" s="1076">
        <f t="shared" si="60"/>
        <v>0</v>
      </c>
      <c r="BF81" s="1076">
        <f t="shared" si="60"/>
        <v>0</v>
      </c>
      <c r="BG81" s="1076">
        <f t="shared" si="60"/>
        <v>-712</v>
      </c>
      <c r="BH81" s="1076">
        <f t="shared" si="60"/>
        <v>-712</v>
      </c>
      <c r="BI81" s="1076">
        <f t="shared" si="60"/>
        <v>0</v>
      </c>
      <c r="BJ81" s="1076">
        <f t="shared" si="60"/>
        <v>0</v>
      </c>
      <c r="BK81" s="1076">
        <f t="shared" si="60"/>
        <v>0</v>
      </c>
      <c r="BL81" s="1076">
        <f t="shared" si="60"/>
        <v>0</v>
      </c>
      <c r="BM81" s="1076">
        <f t="shared" si="60"/>
        <v>-712</v>
      </c>
      <c r="BN81" s="1076">
        <f t="shared" si="60"/>
        <v>0</v>
      </c>
      <c r="BO81" s="1076">
        <f t="shared" si="60"/>
        <v>0</v>
      </c>
      <c r="BP81" s="1075">
        <f t="shared" si="60"/>
        <v>0</v>
      </c>
      <c r="BQ81" s="1077">
        <f t="shared" si="60"/>
        <v>0</v>
      </c>
      <c r="BR81" s="1075">
        <f t="shared" si="60"/>
        <v>0</v>
      </c>
      <c r="BS81" s="1078">
        <f t="shared" si="60"/>
        <v>0</v>
      </c>
      <c r="BT81" s="1113"/>
      <c r="BU81" s="1114"/>
    </row>
    <row r="82" spans="1:73" s="1121" customFormat="1" ht="13.5" thickTop="1" x14ac:dyDescent="0.25">
      <c r="A82" s="1094">
        <v>90000056357</v>
      </c>
      <c r="B82" s="1116"/>
      <c r="C82" s="1519" t="s">
        <v>501</v>
      </c>
      <c r="D82" s="1520"/>
      <c r="E82" s="1155" t="s">
        <v>525</v>
      </c>
      <c r="F82" s="1146">
        <f t="shared" ref="F82:F93" si="61">H82+AC82+AL82+AX82+AY82+BF82</f>
        <v>2598947</v>
      </c>
      <c r="G82" s="1146">
        <f t="shared" ref="G82:G93" si="62">I82+AD82+AM82+AX82+AZ82+BG82</f>
        <v>2665620</v>
      </c>
      <c r="H82" s="1147">
        <v>2349028</v>
      </c>
      <c r="I82" s="1147">
        <f t="shared" ref="I82:I93" si="63">H82+J82</f>
        <v>2395627</v>
      </c>
      <c r="J82" s="1147">
        <f t="shared" ref="J82:J93" si="64">SUM(K82:AB82)</f>
        <v>46599</v>
      </c>
      <c r="K82" s="1147">
        <v>-1229</v>
      </c>
      <c r="L82" s="1147"/>
      <c r="M82" s="1147"/>
      <c r="N82" s="1147">
        <v>-36254</v>
      </c>
      <c r="O82" s="1147">
        <v>36254</v>
      </c>
      <c r="P82" s="1147"/>
      <c r="Q82" s="1147">
        <f>-3000-1070-112</f>
        <v>-4182</v>
      </c>
      <c r="R82" s="1147">
        <v>-200</v>
      </c>
      <c r="S82" s="1147">
        <v>64000</v>
      </c>
      <c r="T82" s="1147"/>
      <c r="U82" s="1147"/>
      <c r="V82" s="1147"/>
      <c r="W82" s="1147"/>
      <c r="X82" s="1147">
        <v>-8000</v>
      </c>
      <c r="Y82" s="1147">
        <v>-700</v>
      </c>
      <c r="Z82" s="1147"/>
      <c r="AA82" s="1147">
        <v>-3090</v>
      </c>
      <c r="AB82" s="1147"/>
      <c r="AC82" s="1147">
        <v>0</v>
      </c>
      <c r="AD82" s="1147">
        <f t="shared" ref="AD82:AD90" si="65">AC82+AE82</f>
        <v>0</v>
      </c>
      <c r="AE82" s="1147">
        <f t="shared" ref="AE82:AE90" si="66">SUM(AF82:AK82)</f>
        <v>0</v>
      </c>
      <c r="AF82" s="1147"/>
      <c r="AG82" s="1147"/>
      <c r="AH82" s="1147"/>
      <c r="AI82" s="1147"/>
      <c r="AJ82" s="1147"/>
      <c r="AK82" s="1147"/>
      <c r="AL82" s="1147">
        <v>249919</v>
      </c>
      <c r="AM82" s="1148">
        <f>AN82+AL82</f>
        <v>270705</v>
      </c>
      <c r="AN82" s="1148">
        <f t="shared" ref="AN82:AN90" si="67">SUM(AO82:AW82)</f>
        <v>20786</v>
      </c>
      <c r="AO82" s="1148">
        <v>1229</v>
      </c>
      <c r="AP82" s="1148">
        <v>15000</v>
      </c>
      <c r="AQ82" s="1148">
        <v>1056</v>
      </c>
      <c r="AR82" s="1148">
        <v>712</v>
      </c>
      <c r="AS82" s="1148"/>
      <c r="AT82" s="1148"/>
      <c r="AU82" s="1148"/>
      <c r="AV82" s="1148">
        <v>2789</v>
      </c>
      <c r="AW82" s="1148"/>
      <c r="AX82" s="1148"/>
      <c r="AY82" s="1148">
        <v>0</v>
      </c>
      <c r="AZ82" s="1148">
        <f t="shared" ref="AZ82:AZ90" si="68">BA82+AY82</f>
        <v>0</v>
      </c>
      <c r="BA82" s="1148">
        <f t="shared" ref="BA82:BA90" si="69">SUM(BB82:BE82)</f>
        <v>0</v>
      </c>
      <c r="BB82" s="1148"/>
      <c r="BC82" s="1148"/>
      <c r="BD82" s="1148"/>
      <c r="BE82" s="1148"/>
      <c r="BF82" s="1148"/>
      <c r="BG82" s="1147">
        <f t="shared" ref="BG82:BG93" si="70">BH82+BF82</f>
        <v>-712</v>
      </c>
      <c r="BH82" s="1147">
        <f t="shared" ref="BH82:BH93" si="71">SUM(BI82:BS82)</f>
        <v>-712</v>
      </c>
      <c r="BI82" s="1147"/>
      <c r="BJ82" s="1147"/>
      <c r="BK82" s="1147"/>
      <c r="BL82" s="1147"/>
      <c r="BM82" s="1147">
        <v>-712</v>
      </c>
      <c r="BN82" s="1147"/>
      <c r="BO82" s="1149"/>
      <c r="BP82" s="1147"/>
      <c r="BQ82" s="1150"/>
      <c r="BR82" s="1147"/>
      <c r="BS82" s="1151"/>
      <c r="BT82" s="1156" t="s">
        <v>1442</v>
      </c>
      <c r="BU82" s="1153"/>
    </row>
    <row r="83" spans="1:73" s="1121" customFormat="1" ht="12.75" x14ac:dyDescent="0.25">
      <c r="A83" s="1094"/>
      <c r="C83" s="1122"/>
      <c r="D83" s="1123"/>
      <c r="E83" s="1100" t="s">
        <v>1317</v>
      </c>
      <c r="F83" s="1130">
        <f t="shared" si="61"/>
        <v>4500</v>
      </c>
      <c r="G83" s="1130">
        <f t="shared" si="62"/>
        <v>4500</v>
      </c>
      <c r="H83" s="1125">
        <v>4500</v>
      </c>
      <c r="I83" s="1125">
        <f t="shared" si="63"/>
        <v>4500</v>
      </c>
      <c r="J83" s="1125">
        <f t="shared" si="64"/>
        <v>0</v>
      </c>
      <c r="K83" s="1125"/>
      <c r="L83" s="1125"/>
      <c r="M83" s="1125"/>
      <c r="N83" s="1125"/>
      <c r="O83" s="1125"/>
      <c r="P83" s="1125"/>
      <c r="Q83" s="1125"/>
      <c r="R83" s="1125"/>
      <c r="S83" s="1125"/>
      <c r="T83" s="1125"/>
      <c r="U83" s="1125"/>
      <c r="V83" s="1125"/>
      <c r="W83" s="1125"/>
      <c r="X83" s="1125"/>
      <c r="Y83" s="1125"/>
      <c r="Z83" s="1125"/>
      <c r="AA83" s="1125"/>
      <c r="AB83" s="1125"/>
      <c r="AC83" s="1125">
        <v>0</v>
      </c>
      <c r="AD83" s="1125">
        <f t="shared" si="65"/>
        <v>0</v>
      </c>
      <c r="AE83" s="1125">
        <f t="shared" si="66"/>
        <v>0</v>
      </c>
      <c r="AF83" s="1125"/>
      <c r="AG83" s="1125"/>
      <c r="AH83" s="1125"/>
      <c r="AI83" s="1125"/>
      <c r="AJ83" s="1125"/>
      <c r="AK83" s="1125"/>
      <c r="AL83" s="1125">
        <v>0</v>
      </c>
      <c r="AM83" s="1124">
        <f t="shared" ref="AM83:AM90" si="72">AN83+AL83</f>
        <v>0</v>
      </c>
      <c r="AN83" s="1124">
        <f t="shared" si="67"/>
        <v>0</v>
      </c>
      <c r="AO83" s="1124"/>
      <c r="AP83" s="1124"/>
      <c r="AQ83" s="1124"/>
      <c r="AR83" s="1124"/>
      <c r="AS83" s="1124"/>
      <c r="AT83" s="1124"/>
      <c r="AU83" s="1124"/>
      <c r="AV83" s="1124"/>
      <c r="AW83" s="1124"/>
      <c r="AX83" s="1124"/>
      <c r="AY83" s="1124">
        <v>0</v>
      </c>
      <c r="AZ83" s="1124">
        <f t="shared" si="68"/>
        <v>0</v>
      </c>
      <c r="BA83" s="1124">
        <f t="shared" si="69"/>
        <v>0</v>
      </c>
      <c r="BB83" s="1124"/>
      <c r="BC83" s="1124"/>
      <c r="BD83" s="1124"/>
      <c r="BE83" s="1124"/>
      <c r="BF83" s="1124"/>
      <c r="BG83" s="1125">
        <f t="shared" si="70"/>
        <v>0</v>
      </c>
      <c r="BH83" s="1125">
        <f t="shared" si="71"/>
        <v>0</v>
      </c>
      <c r="BI83" s="1125"/>
      <c r="BJ83" s="1125"/>
      <c r="BK83" s="1125"/>
      <c r="BL83" s="1125"/>
      <c r="BM83" s="1125"/>
      <c r="BN83" s="1125"/>
      <c r="BO83" s="1126"/>
      <c r="BP83" s="1125"/>
      <c r="BQ83" s="1127"/>
      <c r="BR83" s="1125"/>
      <c r="BS83" s="1128"/>
      <c r="BT83" s="1089" t="s">
        <v>1443</v>
      </c>
      <c r="BU83" s="1157"/>
    </row>
    <row r="84" spans="1:73" s="1095" customFormat="1" ht="24" x14ac:dyDescent="0.25">
      <c r="A84" s="1094"/>
      <c r="C84" s="1096"/>
      <c r="D84" s="1097"/>
      <c r="E84" s="1098" t="s">
        <v>1444</v>
      </c>
      <c r="F84" s="1083">
        <f t="shared" si="61"/>
        <v>378185</v>
      </c>
      <c r="G84" s="1083">
        <f t="shared" si="62"/>
        <v>380610</v>
      </c>
      <c r="H84" s="1084">
        <v>378185</v>
      </c>
      <c r="I84" s="1084">
        <f t="shared" si="63"/>
        <v>380610</v>
      </c>
      <c r="J84" s="1084">
        <f t="shared" si="64"/>
        <v>2425</v>
      </c>
      <c r="K84" s="1084"/>
      <c r="L84" s="1084"/>
      <c r="M84" s="1084"/>
      <c r="N84" s="1084"/>
      <c r="O84" s="1084">
        <v>10436</v>
      </c>
      <c r="P84" s="1084"/>
      <c r="Q84" s="1084">
        <v>255</v>
      </c>
      <c r="R84" s="1084"/>
      <c r="S84" s="1084"/>
      <c r="T84" s="1084">
        <v>527</v>
      </c>
      <c r="U84" s="1084"/>
      <c r="V84" s="1084"/>
      <c r="W84" s="1084"/>
      <c r="X84" s="1084"/>
      <c r="Y84" s="1084"/>
      <c r="Z84" s="1084">
        <v>-8793</v>
      </c>
      <c r="AA84" s="1084"/>
      <c r="AB84" s="1084"/>
      <c r="AC84" s="1084">
        <v>0</v>
      </c>
      <c r="AD84" s="1084">
        <f t="shared" si="65"/>
        <v>0</v>
      </c>
      <c r="AE84" s="1084">
        <f t="shared" si="66"/>
        <v>0</v>
      </c>
      <c r="AF84" s="1084"/>
      <c r="AG84" s="1084"/>
      <c r="AH84" s="1084"/>
      <c r="AI84" s="1084"/>
      <c r="AJ84" s="1084"/>
      <c r="AK84" s="1084"/>
      <c r="AL84" s="1084">
        <v>0</v>
      </c>
      <c r="AM84" s="1085">
        <f t="shared" si="72"/>
        <v>0</v>
      </c>
      <c r="AN84" s="1085">
        <f t="shared" si="67"/>
        <v>0</v>
      </c>
      <c r="AO84" s="1085"/>
      <c r="AP84" s="1085"/>
      <c r="AQ84" s="1085"/>
      <c r="AR84" s="1085"/>
      <c r="AS84" s="1085"/>
      <c r="AT84" s="1085"/>
      <c r="AU84" s="1085"/>
      <c r="AV84" s="1085"/>
      <c r="AW84" s="1085"/>
      <c r="AX84" s="1085"/>
      <c r="AY84" s="1085">
        <v>0</v>
      </c>
      <c r="AZ84" s="1085">
        <f t="shared" si="68"/>
        <v>0</v>
      </c>
      <c r="BA84" s="1085">
        <f t="shared" si="69"/>
        <v>0</v>
      </c>
      <c r="BB84" s="1085"/>
      <c r="BC84" s="1085"/>
      <c r="BD84" s="1085"/>
      <c r="BE84" s="1085"/>
      <c r="BF84" s="1085"/>
      <c r="BG84" s="1084">
        <f t="shared" si="70"/>
        <v>0</v>
      </c>
      <c r="BH84" s="1084">
        <f t="shared" si="71"/>
        <v>0</v>
      </c>
      <c r="BI84" s="1084"/>
      <c r="BJ84" s="1084"/>
      <c r="BK84" s="1084"/>
      <c r="BL84" s="1084"/>
      <c r="BM84" s="1084"/>
      <c r="BN84" s="1084"/>
      <c r="BO84" s="1086"/>
      <c r="BP84" s="1084"/>
      <c r="BQ84" s="1087"/>
      <c r="BR84" s="1084"/>
      <c r="BS84" s="1088"/>
      <c r="BT84" s="1089" t="s">
        <v>1445</v>
      </c>
      <c r="BU84" s="1090" t="s">
        <v>1446</v>
      </c>
    </row>
    <row r="85" spans="1:73" s="1095" customFormat="1" ht="12.75" x14ac:dyDescent="0.25">
      <c r="A85" s="1094"/>
      <c r="C85" s="1096"/>
      <c r="D85" s="1097"/>
      <c r="E85" s="1082" t="s">
        <v>1447</v>
      </c>
      <c r="F85" s="1083">
        <f t="shared" si="61"/>
        <v>138000</v>
      </c>
      <c r="G85" s="1083">
        <f t="shared" si="62"/>
        <v>137610</v>
      </c>
      <c r="H85" s="1084">
        <v>138000</v>
      </c>
      <c r="I85" s="1084">
        <f t="shared" si="63"/>
        <v>137610</v>
      </c>
      <c r="J85" s="1084">
        <f t="shared" si="64"/>
        <v>-390</v>
      </c>
      <c r="K85" s="1084"/>
      <c r="L85" s="1084"/>
      <c r="M85" s="1084">
        <v>-752</v>
      </c>
      <c r="N85" s="1084"/>
      <c r="O85" s="1084"/>
      <c r="P85" s="1084"/>
      <c r="Q85" s="1084"/>
      <c r="R85" s="1084"/>
      <c r="S85" s="1084"/>
      <c r="T85" s="1084"/>
      <c r="U85" s="1084"/>
      <c r="V85" s="1084"/>
      <c r="W85" s="1084"/>
      <c r="X85" s="1084"/>
      <c r="Y85" s="1084">
        <v>362</v>
      </c>
      <c r="Z85" s="1084"/>
      <c r="AA85" s="1084"/>
      <c r="AB85" s="1084"/>
      <c r="AC85" s="1084">
        <v>0</v>
      </c>
      <c r="AD85" s="1084">
        <f t="shared" si="65"/>
        <v>0</v>
      </c>
      <c r="AE85" s="1084">
        <f t="shared" si="66"/>
        <v>0</v>
      </c>
      <c r="AF85" s="1084"/>
      <c r="AG85" s="1084"/>
      <c r="AH85" s="1084"/>
      <c r="AI85" s="1084"/>
      <c r="AJ85" s="1084"/>
      <c r="AK85" s="1084"/>
      <c r="AL85" s="1084">
        <v>0</v>
      </c>
      <c r="AM85" s="1085">
        <f t="shared" si="72"/>
        <v>0</v>
      </c>
      <c r="AN85" s="1085">
        <f t="shared" si="67"/>
        <v>0</v>
      </c>
      <c r="AO85" s="1085"/>
      <c r="AP85" s="1085"/>
      <c r="AQ85" s="1085"/>
      <c r="AR85" s="1085"/>
      <c r="AS85" s="1085"/>
      <c r="AT85" s="1085"/>
      <c r="AU85" s="1085"/>
      <c r="AV85" s="1085"/>
      <c r="AW85" s="1085"/>
      <c r="AX85" s="1085"/>
      <c r="AY85" s="1085">
        <v>0</v>
      </c>
      <c r="AZ85" s="1085">
        <f t="shared" si="68"/>
        <v>0</v>
      </c>
      <c r="BA85" s="1085">
        <f t="shared" si="69"/>
        <v>0</v>
      </c>
      <c r="BB85" s="1085"/>
      <c r="BC85" s="1085"/>
      <c r="BD85" s="1085"/>
      <c r="BE85" s="1085"/>
      <c r="BF85" s="1085"/>
      <c r="BG85" s="1084">
        <f t="shared" si="70"/>
        <v>0</v>
      </c>
      <c r="BH85" s="1084">
        <f t="shared" si="71"/>
        <v>0</v>
      </c>
      <c r="BI85" s="1084"/>
      <c r="BJ85" s="1084"/>
      <c r="BK85" s="1084"/>
      <c r="BL85" s="1084"/>
      <c r="BM85" s="1084"/>
      <c r="BN85" s="1084"/>
      <c r="BO85" s="1086"/>
      <c r="BP85" s="1084"/>
      <c r="BQ85" s="1087"/>
      <c r="BR85" s="1084"/>
      <c r="BS85" s="1088"/>
      <c r="BT85" s="1089" t="s">
        <v>1448</v>
      </c>
      <c r="BU85" s="1090" t="s">
        <v>1449</v>
      </c>
    </row>
    <row r="86" spans="1:73" s="1095" customFormat="1" ht="36" x14ac:dyDescent="0.25">
      <c r="A86" s="1094"/>
      <c r="C86" s="1096"/>
      <c r="D86" s="1097"/>
      <c r="E86" s="1082" t="s">
        <v>1450</v>
      </c>
      <c r="F86" s="1083">
        <f t="shared" si="61"/>
        <v>654674</v>
      </c>
      <c r="G86" s="1083">
        <f t="shared" si="62"/>
        <v>626814</v>
      </c>
      <c r="H86" s="1084">
        <v>610991</v>
      </c>
      <c r="I86" s="1084">
        <f t="shared" si="63"/>
        <v>583131</v>
      </c>
      <c r="J86" s="1084">
        <f t="shared" si="64"/>
        <v>-27860</v>
      </c>
      <c r="K86" s="1084">
        <f>-50000-1452</f>
        <v>-51452</v>
      </c>
      <c r="L86" s="1084"/>
      <c r="M86" s="1084"/>
      <c r="N86" s="1084"/>
      <c r="O86" s="1084"/>
      <c r="P86" s="1084"/>
      <c r="Q86" s="1084"/>
      <c r="R86" s="1084"/>
      <c r="S86" s="1084">
        <v>20502</v>
      </c>
      <c r="T86" s="1084"/>
      <c r="U86" s="1084"/>
      <c r="V86" s="1084"/>
      <c r="W86" s="1084"/>
      <c r="X86" s="1084"/>
      <c r="Y86" s="1084"/>
      <c r="Z86" s="1084"/>
      <c r="AA86" s="1084">
        <v>3090</v>
      </c>
      <c r="AB86" s="1084"/>
      <c r="AC86" s="1084">
        <v>0</v>
      </c>
      <c r="AD86" s="1084">
        <f t="shared" si="65"/>
        <v>0</v>
      </c>
      <c r="AE86" s="1084">
        <f t="shared" si="66"/>
        <v>0</v>
      </c>
      <c r="AF86" s="1084"/>
      <c r="AG86" s="1084"/>
      <c r="AH86" s="1084"/>
      <c r="AI86" s="1084"/>
      <c r="AJ86" s="1084"/>
      <c r="AK86" s="1084"/>
      <c r="AL86" s="1084">
        <v>43683</v>
      </c>
      <c r="AM86" s="1085">
        <f t="shared" si="72"/>
        <v>43683</v>
      </c>
      <c r="AN86" s="1085">
        <f t="shared" si="67"/>
        <v>0</v>
      </c>
      <c r="AO86" s="1085"/>
      <c r="AP86" s="1085"/>
      <c r="AQ86" s="1085"/>
      <c r="AR86" s="1085"/>
      <c r="AS86" s="1085"/>
      <c r="AT86" s="1085"/>
      <c r="AU86" s="1085"/>
      <c r="AV86" s="1085"/>
      <c r="AW86" s="1085"/>
      <c r="AX86" s="1085"/>
      <c r="AY86" s="1085">
        <v>0</v>
      </c>
      <c r="AZ86" s="1085">
        <f t="shared" si="68"/>
        <v>0</v>
      </c>
      <c r="BA86" s="1085">
        <f t="shared" si="69"/>
        <v>0</v>
      </c>
      <c r="BB86" s="1085"/>
      <c r="BC86" s="1085"/>
      <c r="BD86" s="1085"/>
      <c r="BE86" s="1085"/>
      <c r="BF86" s="1085"/>
      <c r="BG86" s="1084">
        <f t="shared" si="70"/>
        <v>0</v>
      </c>
      <c r="BH86" s="1084">
        <f t="shared" si="71"/>
        <v>0</v>
      </c>
      <c r="BI86" s="1084"/>
      <c r="BJ86" s="1084"/>
      <c r="BK86" s="1084"/>
      <c r="BL86" s="1084"/>
      <c r="BM86" s="1084"/>
      <c r="BN86" s="1084"/>
      <c r="BO86" s="1086"/>
      <c r="BP86" s="1084"/>
      <c r="BQ86" s="1087"/>
      <c r="BR86" s="1084"/>
      <c r="BS86" s="1088"/>
      <c r="BT86" s="1089" t="s">
        <v>1451</v>
      </c>
      <c r="BU86" s="1090" t="s">
        <v>1452</v>
      </c>
    </row>
    <row r="87" spans="1:73" s="1121" customFormat="1" ht="36" x14ac:dyDescent="0.25">
      <c r="A87" s="1094"/>
      <c r="C87" s="1122"/>
      <c r="D87" s="1123"/>
      <c r="E87" s="1100" t="s">
        <v>1453</v>
      </c>
      <c r="F87" s="1083">
        <f t="shared" si="61"/>
        <v>5467983</v>
      </c>
      <c r="G87" s="1083">
        <f t="shared" si="62"/>
        <v>3085391</v>
      </c>
      <c r="H87" s="1125">
        <v>5467809</v>
      </c>
      <c r="I87" s="1125">
        <f t="shared" si="63"/>
        <v>3085217</v>
      </c>
      <c r="J87" s="1125">
        <f t="shared" si="64"/>
        <v>-2382592</v>
      </c>
      <c r="K87" s="1125"/>
      <c r="L87" s="1125"/>
      <c r="M87" s="1125"/>
      <c r="N87" s="1125"/>
      <c r="O87" s="1125"/>
      <c r="P87" s="1125">
        <f>2070-48154</f>
        <v>-46084</v>
      </c>
      <c r="Q87" s="1125">
        <v>-15363</v>
      </c>
      <c r="R87" s="1125"/>
      <c r="S87" s="1125">
        <v>-630</v>
      </c>
      <c r="T87" s="1125"/>
      <c r="U87" s="1125"/>
      <c r="V87" s="1125">
        <v>54482</v>
      </c>
      <c r="W87" s="1125"/>
      <c r="X87" s="1125"/>
      <c r="Y87" s="1125"/>
      <c r="Z87" s="1125">
        <f>-176882-2201115+3000</f>
        <v>-2374997</v>
      </c>
      <c r="AA87" s="1125"/>
      <c r="AB87" s="1125"/>
      <c r="AC87" s="1125">
        <v>0</v>
      </c>
      <c r="AD87" s="1125">
        <f t="shared" si="65"/>
        <v>0</v>
      </c>
      <c r="AE87" s="1125">
        <f t="shared" si="66"/>
        <v>0</v>
      </c>
      <c r="AF87" s="1125"/>
      <c r="AG87" s="1125"/>
      <c r="AH87" s="1125"/>
      <c r="AI87" s="1125"/>
      <c r="AJ87" s="1125"/>
      <c r="AK87" s="1125"/>
      <c r="AL87" s="1125">
        <v>0</v>
      </c>
      <c r="AM87" s="1124">
        <f t="shared" si="72"/>
        <v>0</v>
      </c>
      <c r="AN87" s="1124">
        <f t="shared" si="67"/>
        <v>0</v>
      </c>
      <c r="AO87" s="1124"/>
      <c r="AP87" s="1124"/>
      <c r="AQ87" s="1124"/>
      <c r="AR87" s="1124"/>
      <c r="AS87" s="1124"/>
      <c r="AT87" s="1124"/>
      <c r="AU87" s="1124"/>
      <c r="AV87" s="1124"/>
      <c r="AW87" s="1124"/>
      <c r="AX87" s="1124"/>
      <c r="AY87" s="1124">
        <v>174</v>
      </c>
      <c r="AZ87" s="1124">
        <f t="shared" si="68"/>
        <v>174</v>
      </c>
      <c r="BA87" s="1124">
        <f t="shared" si="69"/>
        <v>0</v>
      </c>
      <c r="BB87" s="1124"/>
      <c r="BC87" s="1124"/>
      <c r="BD87" s="1124"/>
      <c r="BE87" s="1124"/>
      <c r="BF87" s="1124"/>
      <c r="BG87" s="1125">
        <f t="shared" si="70"/>
        <v>0</v>
      </c>
      <c r="BH87" s="1125">
        <f t="shared" si="71"/>
        <v>0</v>
      </c>
      <c r="BI87" s="1125"/>
      <c r="BJ87" s="1125"/>
      <c r="BK87" s="1125"/>
      <c r="BL87" s="1125"/>
      <c r="BM87" s="1125"/>
      <c r="BN87" s="1125"/>
      <c r="BO87" s="1126"/>
      <c r="BP87" s="1125"/>
      <c r="BQ87" s="1127"/>
      <c r="BR87" s="1125"/>
      <c r="BS87" s="1128"/>
      <c r="BT87" s="1129" t="s">
        <v>1454</v>
      </c>
      <c r="BU87" s="1157" t="s">
        <v>1320</v>
      </c>
    </row>
    <row r="88" spans="1:73" ht="60" x14ac:dyDescent="0.25">
      <c r="A88" s="1094"/>
      <c r="B88" s="1121"/>
      <c r="C88" s="1122"/>
      <c r="D88" s="1123"/>
      <c r="E88" s="1100" t="s">
        <v>1455</v>
      </c>
      <c r="F88" s="1083">
        <f t="shared" si="61"/>
        <v>0</v>
      </c>
      <c r="G88" s="1083">
        <f t="shared" si="62"/>
        <v>36216</v>
      </c>
      <c r="H88" s="1125"/>
      <c r="I88" s="1125">
        <f t="shared" si="63"/>
        <v>36216</v>
      </c>
      <c r="J88" s="1125">
        <f t="shared" si="64"/>
        <v>36216</v>
      </c>
      <c r="K88" s="1125"/>
      <c r="L88" s="1125"/>
      <c r="M88" s="1125"/>
      <c r="N88" s="1125"/>
      <c r="O88" s="1125"/>
      <c r="P88" s="1125"/>
      <c r="Q88" s="1125"/>
      <c r="R88" s="1125"/>
      <c r="S88" s="1125"/>
      <c r="T88" s="1125"/>
      <c r="U88" s="1125"/>
      <c r="V88" s="1125">
        <v>36216</v>
      </c>
      <c r="W88" s="1125"/>
      <c r="X88" s="1125"/>
      <c r="Y88" s="1125"/>
      <c r="Z88" s="1125"/>
      <c r="AA88" s="1125"/>
      <c r="AB88" s="1125"/>
      <c r="AC88" s="1125"/>
      <c r="AD88" s="1125">
        <f t="shared" si="65"/>
        <v>0</v>
      </c>
      <c r="AE88" s="1125">
        <f t="shared" ref="AE88" si="73">SUM(AF88:AK88)</f>
        <v>0</v>
      </c>
      <c r="AF88" s="1125"/>
      <c r="AG88" s="1125"/>
      <c r="AH88" s="1125"/>
      <c r="AI88" s="1125"/>
      <c r="AJ88" s="1125"/>
      <c r="AK88" s="1125"/>
      <c r="AL88" s="1125"/>
      <c r="AM88" s="1124">
        <f t="shared" si="72"/>
        <v>0</v>
      </c>
      <c r="AN88" s="1124">
        <f t="shared" si="67"/>
        <v>0</v>
      </c>
      <c r="AO88" s="1124"/>
      <c r="AP88" s="1124"/>
      <c r="AQ88" s="1124"/>
      <c r="AR88" s="1124"/>
      <c r="AS88" s="1124"/>
      <c r="AT88" s="1124"/>
      <c r="AU88" s="1124"/>
      <c r="AV88" s="1124"/>
      <c r="AW88" s="1124"/>
      <c r="AX88" s="1124"/>
      <c r="AY88" s="1124"/>
      <c r="AZ88" s="1124">
        <f t="shared" si="68"/>
        <v>0</v>
      </c>
      <c r="BA88" s="1124">
        <f t="shared" si="69"/>
        <v>0</v>
      </c>
      <c r="BB88" s="1124"/>
      <c r="BC88" s="1124"/>
      <c r="BD88" s="1124"/>
      <c r="BE88" s="1124"/>
      <c r="BF88" s="1124"/>
      <c r="BG88" s="1125">
        <f t="shared" si="70"/>
        <v>0</v>
      </c>
      <c r="BH88" s="1125">
        <f t="shared" si="71"/>
        <v>0</v>
      </c>
      <c r="BI88" s="1125"/>
      <c r="BJ88" s="1125"/>
      <c r="BK88" s="1125"/>
      <c r="BL88" s="1125"/>
      <c r="BM88" s="1125"/>
      <c r="BN88" s="1125"/>
      <c r="BO88" s="1126"/>
      <c r="BP88" s="1125"/>
      <c r="BQ88" s="1127"/>
      <c r="BR88" s="1125"/>
      <c r="BS88" s="1128"/>
      <c r="BT88" s="1129" t="s">
        <v>1456</v>
      </c>
      <c r="BU88" s="1157"/>
    </row>
    <row r="89" spans="1:73" ht="24" x14ac:dyDescent="0.25">
      <c r="A89" s="1094">
        <v>42803002568</v>
      </c>
      <c r="B89" s="1095"/>
      <c r="C89" s="1514" t="s">
        <v>1457</v>
      </c>
      <c r="D89" s="1515"/>
      <c r="E89" s="1082" t="s">
        <v>1458</v>
      </c>
      <c r="F89" s="1083">
        <f t="shared" si="61"/>
        <v>1508405</v>
      </c>
      <c r="G89" s="1083">
        <f t="shared" si="62"/>
        <v>1530138</v>
      </c>
      <c r="H89" s="1084">
        <v>1508405</v>
      </c>
      <c r="I89" s="1084">
        <f t="shared" si="63"/>
        <v>1530138</v>
      </c>
      <c r="J89" s="1084">
        <f t="shared" si="64"/>
        <v>21733</v>
      </c>
      <c r="K89" s="1084"/>
      <c r="L89" s="1084"/>
      <c r="M89" s="1084"/>
      <c r="N89" s="1084"/>
      <c r="O89" s="1084"/>
      <c r="P89" s="1084"/>
      <c r="Q89" s="1084"/>
      <c r="R89" s="1084"/>
      <c r="S89" s="1084"/>
      <c r="T89" s="1084"/>
      <c r="U89" s="1084"/>
      <c r="V89" s="1084"/>
      <c r="W89" s="1084"/>
      <c r="X89" s="1084"/>
      <c r="Y89" s="1084"/>
      <c r="Z89" s="1084">
        <v>21733</v>
      </c>
      <c r="AA89" s="1084"/>
      <c r="AB89" s="1084"/>
      <c r="AC89" s="1084">
        <v>0</v>
      </c>
      <c r="AD89" s="1084">
        <f t="shared" si="65"/>
        <v>0</v>
      </c>
      <c r="AE89" s="1084">
        <f t="shared" si="66"/>
        <v>0</v>
      </c>
      <c r="AF89" s="1084"/>
      <c r="AG89" s="1084"/>
      <c r="AH89" s="1084"/>
      <c r="AI89" s="1084"/>
      <c r="AJ89" s="1084"/>
      <c r="AK89" s="1084"/>
      <c r="AL89" s="1084">
        <v>0</v>
      </c>
      <c r="AM89" s="1085">
        <f t="shared" si="72"/>
        <v>0</v>
      </c>
      <c r="AN89" s="1085">
        <f t="shared" si="67"/>
        <v>0</v>
      </c>
      <c r="AO89" s="1085"/>
      <c r="AP89" s="1085"/>
      <c r="AQ89" s="1085"/>
      <c r="AR89" s="1085"/>
      <c r="AS89" s="1085"/>
      <c r="AT89" s="1085"/>
      <c r="AU89" s="1085"/>
      <c r="AV89" s="1085"/>
      <c r="AW89" s="1085"/>
      <c r="AX89" s="1085"/>
      <c r="AY89" s="1085">
        <v>0</v>
      </c>
      <c r="AZ89" s="1085">
        <f t="shared" si="68"/>
        <v>0</v>
      </c>
      <c r="BA89" s="1085">
        <f t="shared" si="69"/>
        <v>0</v>
      </c>
      <c r="BB89" s="1085"/>
      <c r="BC89" s="1085"/>
      <c r="BD89" s="1085"/>
      <c r="BE89" s="1085"/>
      <c r="BF89" s="1085"/>
      <c r="BG89" s="1084">
        <f t="shared" si="70"/>
        <v>0</v>
      </c>
      <c r="BH89" s="1084">
        <f t="shared" si="71"/>
        <v>0</v>
      </c>
      <c r="BI89" s="1084"/>
      <c r="BJ89" s="1084"/>
      <c r="BK89" s="1084"/>
      <c r="BL89" s="1084"/>
      <c r="BM89" s="1084"/>
      <c r="BN89" s="1084"/>
      <c r="BO89" s="1086"/>
      <c r="BP89" s="1084"/>
      <c r="BQ89" s="1087"/>
      <c r="BR89" s="1084"/>
      <c r="BS89" s="1088"/>
      <c r="BT89" s="1089" t="s">
        <v>1459</v>
      </c>
      <c r="BU89" s="1090"/>
    </row>
    <row r="90" spans="1:73" ht="24" x14ac:dyDescent="0.25">
      <c r="A90" s="1094">
        <v>90010691331</v>
      </c>
      <c r="B90" s="1158"/>
      <c r="C90" s="1543" t="s">
        <v>341</v>
      </c>
      <c r="D90" s="1544"/>
      <c r="E90" s="1159" t="s">
        <v>345</v>
      </c>
      <c r="F90" s="1160">
        <f t="shared" si="61"/>
        <v>274610</v>
      </c>
      <c r="G90" s="1160">
        <f t="shared" si="62"/>
        <v>322246</v>
      </c>
      <c r="H90" s="1161">
        <v>208613</v>
      </c>
      <c r="I90" s="1161">
        <f t="shared" si="63"/>
        <v>199715</v>
      </c>
      <c r="J90" s="1161">
        <f t="shared" si="64"/>
        <v>-8898</v>
      </c>
      <c r="K90" s="1161">
        <v>-6070</v>
      </c>
      <c r="L90" s="1161"/>
      <c r="M90" s="1161">
        <v>-2828</v>
      </c>
      <c r="N90" s="1161"/>
      <c r="O90" s="1161"/>
      <c r="P90" s="1161"/>
      <c r="Q90" s="1161"/>
      <c r="R90" s="1161"/>
      <c r="S90" s="1161"/>
      <c r="T90" s="1161"/>
      <c r="U90" s="1161"/>
      <c r="V90" s="1161"/>
      <c r="W90" s="1161"/>
      <c r="X90" s="1161"/>
      <c r="Y90" s="1161"/>
      <c r="Z90" s="1161"/>
      <c r="AA90" s="1161"/>
      <c r="AB90" s="1161"/>
      <c r="AC90" s="1161">
        <v>0</v>
      </c>
      <c r="AD90" s="1161">
        <f t="shared" si="65"/>
        <v>0</v>
      </c>
      <c r="AE90" s="1161">
        <f t="shared" si="66"/>
        <v>0</v>
      </c>
      <c r="AF90" s="1161"/>
      <c r="AG90" s="1161"/>
      <c r="AH90" s="1161"/>
      <c r="AI90" s="1161"/>
      <c r="AJ90" s="1161"/>
      <c r="AK90" s="1161"/>
      <c r="AL90" s="1161">
        <v>65997</v>
      </c>
      <c r="AM90" s="1162">
        <f t="shared" si="72"/>
        <v>122531</v>
      </c>
      <c r="AN90" s="1162">
        <f t="shared" si="67"/>
        <v>56534</v>
      </c>
      <c r="AO90" s="1162"/>
      <c r="AP90" s="1162">
        <v>4171</v>
      </c>
      <c r="AQ90" s="1162">
        <v>9342</v>
      </c>
      <c r="AR90" s="1162">
        <v>5269</v>
      </c>
      <c r="AS90" s="1162">
        <v>19114</v>
      </c>
      <c r="AT90" s="1162"/>
      <c r="AU90" s="1162">
        <v>18638</v>
      </c>
      <c r="AV90" s="1162"/>
      <c r="AW90" s="1162"/>
      <c r="AX90" s="1162"/>
      <c r="AY90" s="1162">
        <v>0</v>
      </c>
      <c r="AZ90" s="1162">
        <f t="shared" si="68"/>
        <v>0</v>
      </c>
      <c r="BA90" s="1162">
        <f t="shared" si="69"/>
        <v>0</v>
      </c>
      <c r="BB90" s="1162"/>
      <c r="BC90" s="1162"/>
      <c r="BD90" s="1162"/>
      <c r="BE90" s="1162"/>
      <c r="BF90" s="1162"/>
      <c r="BG90" s="1161">
        <f t="shared" si="70"/>
        <v>0</v>
      </c>
      <c r="BH90" s="1161">
        <f t="shared" si="71"/>
        <v>0</v>
      </c>
      <c r="BI90" s="1161"/>
      <c r="BJ90" s="1161"/>
      <c r="BK90" s="1161"/>
      <c r="BL90" s="1161"/>
      <c r="BM90" s="1161"/>
      <c r="BN90" s="1161"/>
      <c r="BO90" s="1163"/>
      <c r="BP90" s="1161"/>
      <c r="BQ90" s="1164"/>
      <c r="BR90" s="1161"/>
      <c r="BS90" s="1165"/>
      <c r="BT90" s="1166" t="s">
        <v>1460</v>
      </c>
      <c r="BU90" s="1167"/>
    </row>
    <row r="91" spans="1:73" ht="60" x14ac:dyDescent="0.25">
      <c r="A91" s="1094"/>
      <c r="B91" s="1095"/>
      <c r="C91" s="1514" t="s">
        <v>1047</v>
      </c>
      <c r="D91" s="1515"/>
      <c r="E91" s="1118" t="s">
        <v>1461</v>
      </c>
      <c r="F91" s="1083">
        <f t="shared" si="61"/>
        <v>300000</v>
      </c>
      <c r="G91" s="1083">
        <f t="shared" si="62"/>
        <v>300000</v>
      </c>
      <c r="H91" s="1084"/>
      <c r="I91" s="1084">
        <f t="shared" si="63"/>
        <v>0</v>
      </c>
      <c r="J91" s="1084">
        <f t="shared" si="64"/>
        <v>0</v>
      </c>
      <c r="K91" s="1084"/>
      <c r="L91" s="1084"/>
      <c r="M91" s="1084"/>
      <c r="N91" s="1084"/>
      <c r="O91" s="1084"/>
      <c r="P91" s="1084"/>
      <c r="Q91" s="1084"/>
      <c r="R91" s="1084"/>
      <c r="S91" s="1084"/>
      <c r="T91" s="1084"/>
      <c r="U91" s="1084"/>
      <c r="V91" s="1084"/>
      <c r="W91" s="1084"/>
      <c r="X91" s="1084"/>
      <c r="Y91" s="1084"/>
      <c r="Z91" s="1084"/>
      <c r="AA91" s="1084"/>
      <c r="AB91" s="1084"/>
      <c r="AC91" s="1084"/>
      <c r="AD91" s="1084"/>
      <c r="AE91" s="1084"/>
      <c r="AF91" s="1084"/>
      <c r="AG91" s="1084"/>
      <c r="AH91" s="1084"/>
      <c r="AI91" s="1084"/>
      <c r="AJ91" s="1084"/>
      <c r="AK91" s="1084"/>
      <c r="AL91" s="1084"/>
      <c r="AM91" s="1085"/>
      <c r="AN91" s="1085"/>
      <c r="AO91" s="1085"/>
      <c r="AP91" s="1085"/>
      <c r="AQ91" s="1085"/>
      <c r="AR91" s="1085"/>
      <c r="AS91" s="1085"/>
      <c r="AT91" s="1085"/>
      <c r="AU91" s="1085"/>
      <c r="AV91" s="1085"/>
      <c r="AW91" s="1085"/>
      <c r="AX91" s="1085">
        <v>300000</v>
      </c>
      <c r="AY91" s="1085"/>
      <c r="AZ91" s="1085"/>
      <c r="BA91" s="1085"/>
      <c r="BB91" s="1085"/>
      <c r="BC91" s="1085"/>
      <c r="BD91" s="1085"/>
      <c r="BE91" s="1085"/>
      <c r="BF91" s="1085"/>
      <c r="BG91" s="1084">
        <f t="shared" si="70"/>
        <v>0</v>
      </c>
      <c r="BH91" s="1084">
        <f t="shared" si="71"/>
        <v>0</v>
      </c>
      <c r="BI91" s="1084"/>
      <c r="BJ91" s="1084"/>
      <c r="BK91" s="1084"/>
      <c r="BL91" s="1084"/>
      <c r="BM91" s="1084"/>
      <c r="BN91" s="1084"/>
      <c r="BO91" s="1086"/>
      <c r="BP91" s="1084"/>
      <c r="BQ91" s="1087"/>
      <c r="BR91" s="1084"/>
      <c r="BS91" s="1088"/>
      <c r="BT91" s="1089"/>
      <c r="BU91" s="1090"/>
    </row>
    <row r="92" spans="1:73" ht="60" x14ac:dyDescent="0.25">
      <c r="A92" s="1094"/>
      <c r="B92" s="1095"/>
      <c r="C92" s="1096"/>
      <c r="D92" s="1097"/>
      <c r="E92" s="1118" t="s">
        <v>1462</v>
      </c>
      <c r="F92" s="1083">
        <f t="shared" si="61"/>
        <v>320500</v>
      </c>
      <c r="G92" s="1083">
        <f t="shared" si="62"/>
        <v>320500</v>
      </c>
      <c r="H92" s="1084"/>
      <c r="I92" s="1084">
        <f t="shared" si="63"/>
        <v>0</v>
      </c>
      <c r="J92" s="1084">
        <f t="shared" si="64"/>
        <v>0</v>
      </c>
      <c r="K92" s="1084"/>
      <c r="L92" s="1084"/>
      <c r="M92" s="1084"/>
      <c r="N92" s="1084"/>
      <c r="O92" s="1084"/>
      <c r="P92" s="1084"/>
      <c r="Q92" s="1084"/>
      <c r="R92" s="1084"/>
      <c r="S92" s="1084"/>
      <c r="T92" s="1084"/>
      <c r="U92" s="1084"/>
      <c r="V92" s="1084"/>
      <c r="W92" s="1084"/>
      <c r="X92" s="1084"/>
      <c r="Y92" s="1084"/>
      <c r="Z92" s="1084"/>
      <c r="AA92" s="1084"/>
      <c r="AB92" s="1084"/>
      <c r="AC92" s="1084"/>
      <c r="AD92" s="1084"/>
      <c r="AE92" s="1084"/>
      <c r="AF92" s="1084"/>
      <c r="AG92" s="1084"/>
      <c r="AH92" s="1084"/>
      <c r="AI92" s="1084"/>
      <c r="AJ92" s="1084"/>
      <c r="AK92" s="1084"/>
      <c r="AL92" s="1084"/>
      <c r="AM92" s="1085"/>
      <c r="AN92" s="1085"/>
      <c r="AO92" s="1085"/>
      <c r="AP92" s="1085"/>
      <c r="AQ92" s="1085"/>
      <c r="AR92" s="1085"/>
      <c r="AS92" s="1085"/>
      <c r="AT92" s="1085"/>
      <c r="AU92" s="1085"/>
      <c r="AV92" s="1085"/>
      <c r="AW92" s="1085"/>
      <c r="AX92" s="1085">
        <v>320500</v>
      </c>
      <c r="AY92" s="1085"/>
      <c r="AZ92" s="1085"/>
      <c r="BA92" s="1085"/>
      <c r="BB92" s="1085"/>
      <c r="BC92" s="1085"/>
      <c r="BD92" s="1085"/>
      <c r="BE92" s="1085"/>
      <c r="BF92" s="1085"/>
      <c r="BG92" s="1084">
        <f t="shared" si="70"/>
        <v>0</v>
      </c>
      <c r="BH92" s="1084">
        <f t="shared" si="71"/>
        <v>0</v>
      </c>
      <c r="BI92" s="1084"/>
      <c r="BJ92" s="1084"/>
      <c r="BK92" s="1084"/>
      <c r="BL92" s="1084"/>
      <c r="BM92" s="1084"/>
      <c r="BN92" s="1084"/>
      <c r="BO92" s="1086"/>
      <c r="BP92" s="1084"/>
      <c r="BQ92" s="1087"/>
      <c r="BR92" s="1084"/>
      <c r="BS92" s="1088"/>
      <c r="BT92" s="1089"/>
      <c r="BU92" s="1090"/>
    </row>
    <row r="93" spans="1:73" ht="72" x14ac:dyDescent="0.25">
      <c r="A93" s="1094"/>
      <c r="B93" s="1154"/>
      <c r="C93" s="1096"/>
      <c r="D93" s="1097"/>
      <c r="E93" s="1118" t="s">
        <v>1463</v>
      </c>
      <c r="F93" s="1083">
        <f t="shared" si="61"/>
        <v>212540</v>
      </c>
      <c r="G93" s="1083">
        <f t="shared" si="62"/>
        <v>212540</v>
      </c>
      <c r="H93" s="1084"/>
      <c r="I93" s="1084">
        <f t="shared" si="63"/>
        <v>0</v>
      </c>
      <c r="J93" s="1084">
        <f t="shared" si="64"/>
        <v>0</v>
      </c>
      <c r="K93" s="1084"/>
      <c r="L93" s="1084"/>
      <c r="M93" s="1084"/>
      <c r="N93" s="1084"/>
      <c r="O93" s="1084"/>
      <c r="P93" s="1084"/>
      <c r="Q93" s="1084"/>
      <c r="R93" s="1084"/>
      <c r="S93" s="1084"/>
      <c r="T93" s="1084"/>
      <c r="U93" s="1084"/>
      <c r="V93" s="1084"/>
      <c r="W93" s="1084"/>
      <c r="X93" s="1084"/>
      <c r="Y93" s="1084"/>
      <c r="Z93" s="1084"/>
      <c r="AA93" s="1084"/>
      <c r="AB93" s="1084"/>
      <c r="AC93" s="1084"/>
      <c r="AD93" s="1084"/>
      <c r="AE93" s="1084"/>
      <c r="AF93" s="1084"/>
      <c r="AG93" s="1084"/>
      <c r="AH93" s="1084"/>
      <c r="AI93" s="1084"/>
      <c r="AJ93" s="1084"/>
      <c r="AK93" s="1084"/>
      <c r="AL93" s="1084"/>
      <c r="AM93" s="1085"/>
      <c r="AN93" s="1085"/>
      <c r="AO93" s="1085"/>
      <c r="AP93" s="1085"/>
      <c r="AQ93" s="1085"/>
      <c r="AR93" s="1085"/>
      <c r="AS93" s="1085"/>
      <c r="AT93" s="1085"/>
      <c r="AU93" s="1085"/>
      <c r="AV93" s="1085"/>
      <c r="AW93" s="1085"/>
      <c r="AX93" s="1085">
        <v>212540</v>
      </c>
      <c r="AY93" s="1085"/>
      <c r="AZ93" s="1085"/>
      <c r="BA93" s="1085"/>
      <c r="BB93" s="1085"/>
      <c r="BC93" s="1085"/>
      <c r="BD93" s="1085"/>
      <c r="BE93" s="1085"/>
      <c r="BF93" s="1085"/>
      <c r="BG93" s="1084">
        <f t="shared" si="70"/>
        <v>0</v>
      </c>
      <c r="BH93" s="1084">
        <f t="shared" si="71"/>
        <v>0</v>
      </c>
      <c r="BI93" s="1084"/>
      <c r="BJ93" s="1084"/>
      <c r="BK93" s="1084"/>
      <c r="BL93" s="1084"/>
      <c r="BM93" s="1084"/>
      <c r="BN93" s="1084"/>
      <c r="BO93" s="1086"/>
      <c r="BP93" s="1084"/>
      <c r="BQ93" s="1087"/>
      <c r="BR93" s="1084"/>
      <c r="BS93" s="1088"/>
      <c r="BT93" s="1089"/>
      <c r="BU93" s="1090"/>
    </row>
    <row r="94" spans="1:73" ht="12.75" thickBot="1" x14ac:dyDescent="0.3">
      <c r="A94" s="1094"/>
      <c r="B94" s="1109"/>
      <c r="C94" s="1537"/>
      <c r="D94" s="1538"/>
      <c r="E94" s="1119"/>
      <c r="F94" s="1101"/>
      <c r="G94" s="1101"/>
      <c r="H94" s="1102"/>
      <c r="I94" s="1102"/>
      <c r="J94" s="1102"/>
      <c r="K94" s="1102"/>
      <c r="L94" s="1102"/>
      <c r="M94" s="1102"/>
      <c r="N94" s="1102"/>
      <c r="O94" s="1102"/>
      <c r="P94" s="1102"/>
      <c r="Q94" s="1102"/>
      <c r="R94" s="1102"/>
      <c r="S94" s="1102"/>
      <c r="T94" s="1102"/>
      <c r="U94" s="1102"/>
      <c r="V94" s="1102"/>
      <c r="W94" s="1102"/>
      <c r="X94" s="1102"/>
      <c r="Y94" s="1102"/>
      <c r="Z94" s="1102"/>
      <c r="AA94" s="1102"/>
      <c r="AB94" s="1102"/>
      <c r="AC94" s="1102"/>
      <c r="AD94" s="1102"/>
      <c r="AE94" s="1102"/>
      <c r="AF94" s="1102"/>
      <c r="AG94" s="1102"/>
      <c r="AH94" s="1102"/>
      <c r="AI94" s="1102"/>
      <c r="AJ94" s="1102"/>
      <c r="AK94" s="1102"/>
      <c r="AL94" s="1102"/>
      <c r="AM94" s="1103"/>
      <c r="AN94" s="1103"/>
      <c r="AO94" s="1103"/>
      <c r="AP94" s="1103"/>
      <c r="AQ94" s="1103"/>
      <c r="AR94" s="1103"/>
      <c r="AS94" s="1103"/>
      <c r="AT94" s="1103"/>
      <c r="AU94" s="1103"/>
      <c r="AV94" s="1103"/>
      <c r="AW94" s="1103"/>
      <c r="AX94" s="1103"/>
      <c r="AY94" s="1103"/>
      <c r="AZ94" s="1103"/>
      <c r="BA94" s="1103"/>
      <c r="BB94" s="1103"/>
      <c r="BC94" s="1103"/>
      <c r="BD94" s="1103"/>
      <c r="BE94" s="1103"/>
      <c r="BF94" s="1103"/>
      <c r="BG94" s="1102"/>
      <c r="BH94" s="1102"/>
      <c r="BI94" s="1102"/>
      <c r="BJ94" s="1102"/>
      <c r="BK94" s="1102"/>
      <c r="BL94" s="1102"/>
      <c r="BM94" s="1102"/>
      <c r="BN94" s="1102"/>
      <c r="BO94" s="1104"/>
      <c r="BP94" s="1102"/>
      <c r="BQ94" s="1105"/>
      <c r="BR94" s="1102"/>
      <c r="BS94" s="1106"/>
      <c r="BT94" s="1120"/>
      <c r="BU94" s="1099"/>
    </row>
    <row r="95" spans="1:73" ht="12.75" thickBot="1" x14ac:dyDescent="0.3">
      <c r="A95" s="1111"/>
      <c r="B95" s="1518" t="s">
        <v>1464</v>
      </c>
      <c r="C95" s="1518"/>
      <c r="D95" s="1073" t="s">
        <v>1465</v>
      </c>
      <c r="E95" s="1112"/>
      <c r="F95" s="1076">
        <f t="shared" ref="F95:BS95" si="74">SUM(F96:F104)</f>
        <v>191001</v>
      </c>
      <c r="G95" s="1076">
        <f t="shared" si="74"/>
        <v>190387</v>
      </c>
      <c r="H95" s="1076">
        <f t="shared" si="74"/>
        <v>190164</v>
      </c>
      <c r="I95" s="1076">
        <f t="shared" si="74"/>
        <v>189550</v>
      </c>
      <c r="J95" s="1076">
        <f t="shared" si="74"/>
        <v>-614</v>
      </c>
      <c r="K95" s="1076">
        <f t="shared" si="74"/>
        <v>0</v>
      </c>
      <c r="L95" s="1076">
        <f t="shared" si="74"/>
        <v>0</v>
      </c>
      <c r="M95" s="1076">
        <f t="shared" si="74"/>
        <v>0</v>
      </c>
      <c r="N95" s="1076">
        <f t="shared" si="74"/>
        <v>0</v>
      </c>
      <c r="O95" s="1076">
        <f t="shared" si="74"/>
        <v>0</v>
      </c>
      <c r="P95" s="1076">
        <f t="shared" si="74"/>
        <v>0</v>
      </c>
      <c r="Q95" s="1076">
        <f t="shared" si="74"/>
        <v>0</v>
      </c>
      <c r="R95" s="1076">
        <f t="shared" si="74"/>
        <v>0</v>
      </c>
      <c r="S95" s="1076">
        <f t="shared" si="74"/>
        <v>0</v>
      </c>
      <c r="T95" s="1076">
        <f t="shared" si="74"/>
        <v>0</v>
      </c>
      <c r="U95" s="1076">
        <f t="shared" si="74"/>
        <v>-614</v>
      </c>
      <c r="V95" s="1076">
        <f t="shared" si="74"/>
        <v>0</v>
      </c>
      <c r="W95" s="1076">
        <f t="shared" si="74"/>
        <v>0</v>
      </c>
      <c r="X95" s="1076">
        <f t="shared" si="74"/>
        <v>0</v>
      </c>
      <c r="Y95" s="1076">
        <f t="shared" si="74"/>
        <v>0</v>
      </c>
      <c r="Z95" s="1076">
        <f t="shared" si="74"/>
        <v>0</v>
      </c>
      <c r="AA95" s="1076">
        <f t="shared" si="74"/>
        <v>0</v>
      </c>
      <c r="AB95" s="1076">
        <f t="shared" si="74"/>
        <v>0</v>
      </c>
      <c r="AC95" s="1076">
        <f t="shared" si="74"/>
        <v>0</v>
      </c>
      <c r="AD95" s="1076">
        <f t="shared" si="74"/>
        <v>0</v>
      </c>
      <c r="AE95" s="1076">
        <f t="shared" si="74"/>
        <v>0</v>
      </c>
      <c r="AF95" s="1076">
        <f t="shared" si="74"/>
        <v>0</v>
      </c>
      <c r="AG95" s="1076">
        <f t="shared" si="74"/>
        <v>0</v>
      </c>
      <c r="AH95" s="1076">
        <f t="shared" si="74"/>
        <v>0</v>
      </c>
      <c r="AI95" s="1076">
        <f t="shared" si="74"/>
        <v>0</v>
      </c>
      <c r="AJ95" s="1076">
        <f t="shared" si="74"/>
        <v>0</v>
      </c>
      <c r="AK95" s="1076">
        <f t="shared" si="74"/>
        <v>0</v>
      </c>
      <c r="AL95" s="1076">
        <f t="shared" si="74"/>
        <v>837</v>
      </c>
      <c r="AM95" s="1076">
        <f t="shared" si="74"/>
        <v>837</v>
      </c>
      <c r="AN95" s="1076">
        <f t="shared" si="74"/>
        <v>0</v>
      </c>
      <c r="AO95" s="1076">
        <f t="shared" si="74"/>
        <v>0</v>
      </c>
      <c r="AP95" s="1076">
        <f t="shared" si="74"/>
        <v>0</v>
      </c>
      <c r="AQ95" s="1076">
        <f t="shared" si="74"/>
        <v>0</v>
      </c>
      <c r="AR95" s="1076">
        <f t="shared" si="74"/>
        <v>0</v>
      </c>
      <c r="AS95" s="1076">
        <f t="shared" si="74"/>
        <v>0</v>
      </c>
      <c r="AT95" s="1076">
        <f t="shared" si="74"/>
        <v>0</v>
      </c>
      <c r="AU95" s="1076">
        <f t="shared" si="74"/>
        <v>0</v>
      </c>
      <c r="AV95" s="1076">
        <f t="shared" si="74"/>
        <v>0</v>
      </c>
      <c r="AW95" s="1076">
        <f t="shared" si="74"/>
        <v>0</v>
      </c>
      <c r="AX95" s="1076">
        <f t="shared" si="74"/>
        <v>0</v>
      </c>
      <c r="AY95" s="1076">
        <f t="shared" si="74"/>
        <v>0</v>
      </c>
      <c r="AZ95" s="1076">
        <f t="shared" si="74"/>
        <v>0</v>
      </c>
      <c r="BA95" s="1076">
        <f t="shared" si="74"/>
        <v>0</v>
      </c>
      <c r="BB95" s="1076">
        <f t="shared" si="74"/>
        <v>0</v>
      </c>
      <c r="BC95" s="1076">
        <f t="shared" si="74"/>
        <v>0</v>
      </c>
      <c r="BD95" s="1076">
        <f t="shared" si="74"/>
        <v>0</v>
      </c>
      <c r="BE95" s="1076">
        <f t="shared" si="74"/>
        <v>0</v>
      </c>
      <c r="BF95" s="1076">
        <f t="shared" si="74"/>
        <v>0</v>
      </c>
      <c r="BG95" s="1076">
        <f t="shared" si="74"/>
        <v>0</v>
      </c>
      <c r="BH95" s="1076">
        <f t="shared" si="74"/>
        <v>0</v>
      </c>
      <c r="BI95" s="1076">
        <f t="shared" si="74"/>
        <v>0</v>
      </c>
      <c r="BJ95" s="1076">
        <f t="shared" si="74"/>
        <v>0</v>
      </c>
      <c r="BK95" s="1076">
        <f t="shared" si="74"/>
        <v>0</v>
      </c>
      <c r="BL95" s="1076">
        <f t="shared" si="74"/>
        <v>0</v>
      </c>
      <c r="BM95" s="1076">
        <f t="shared" si="74"/>
        <v>0</v>
      </c>
      <c r="BN95" s="1076">
        <f t="shared" si="74"/>
        <v>0</v>
      </c>
      <c r="BO95" s="1076">
        <f t="shared" si="74"/>
        <v>0</v>
      </c>
      <c r="BP95" s="1075">
        <f t="shared" si="74"/>
        <v>0</v>
      </c>
      <c r="BQ95" s="1077">
        <f t="shared" si="74"/>
        <v>0</v>
      </c>
      <c r="BR95" s="1075">
        <f t="shared" si="74"/>
        <v>0</v>
      </c>
      <c r="BS95" s="1078">
        <f t="shared" si="74"/>
        <v>0</v>
      </c>
      <c r="BT95" s="1113"/>
      <c r="BU95" s="1114"/>
    </row>
    <row r="96" spans="1:73" ht="24.75" thickTop="1" x14ac:dyDescent="0.25">
      <c r="A96" s="1094">
        <v>90000594245</v>
      </c>
      <c r="B96" s="1095"/>
      <c r="C96" s="1514" t="s">
        <v>1346</v>
      </c>
      <c r="D96" s="1515"/>
      <c r="E96" s="1082" t="s">
        <v>1466</v>
      </c>
      <c r="F96" s="1083">
        <f t="shared" ref="F96:F103" si="75">H96+AC96+AL96+AX96+AY96+BF96</f>
        <v>40712</v>
      </c>
      <c r="G96" s="1083">
        <f t="shared" ref="G96:G103" si="76">I96+AD96+AM96+AX96+AZ96+BG96</f>
        <v>40712</v>
      </c>
      <c r="H96" s="1084">
        <v>40712</v>
      </c>
      <c r="I96" s="1084">
        <f t="shared" ref="I96:I103" si="77">H96+J96</f>
        <v>40712</v>
      </c>
      <c r="J96" s="1084">
        <f t="shared" ref="J96:J103" si="78">SUM(K96:AB96)</f>
        <v>0</v>
      </c>
      <c r="K96" s="1084"/>
      <c r="L96" s="1084"/>
      <c r="M96" s="1084"/>
      <c r="N96" s="1084"/>
      <c r="O96" s="1084"/>
      <c r="P96" s="1084"/>
      <c r="Q96" s="1084"/>
      <c r="R96" s="1084"/>
      <c r="S96" s="1084"/>
      <c r="T96" s="1084"/>
      <c r="U96" s="1084"/>
      <c r="V96" s="1084"/>
      <c r="W96" s="1084"/>
      <c r="X96" s="1084"/>
      <c r="Y96" s="1084"/>
      <c r="Z96" s="1084"/>
      <c r="AA96" s="1084"/>
      <c r="AB96" s="1084"/>
      <c r="AC96" s="1084">
        <v>0</v>
      </c>
      <c r="AD96" s="1084">
        <f t="shared" ref="AD96:AD103" si="79">AC96+AE96</f>
        <v>0</v>
      </c>
      <c r="AE96" s="1084">
        <f t="shared" ref="AE96:AE103" si="80">SUM(AF96:AK96)</f>
        <v>0</v>
      </c>
      <c r="AF96" s="1084"/>
      <c r="AG96" s="1084"/>
      <c r="AH96" s="1084"/>
      <c r="AI96" s="1084"/>
      <c r="AJ96" s="1084"/>
      <c r="AK96" s="1084"/>
      <c r="AL96" s="1084">
        <v>0</v>
      </c>
      <c r="AM96" s="1085">
        <f t="shared" ref="AM96:AM103" si="81">AN96+AL96</f>
        <v>0</v>
      </c>
      <c r="AN96" s="1085">
        <f t="shared" ref="AN96:AN103" si="82">SUM(AO96:AW96)</f>
        <v>0</v>
      </c>
      <c r="AO96" s="1085"/>
      <c r="AP96" s="1085"/>
      <c r="AQ96" s="1085"/>
      <c r="AR96" s="1085"/>
      <c r="AS96" s="1085"/>
      <c r="AT96" s="1085"/>
      <c r="AU96" s="1085"/>
      <c r="AV96" s="1085"/>
      <c r="AW96" s="1085"/>
      <c r="AX96" s="1085"/>
      <c r="AY96" s="1085">
        <v>0</v>
      </c>
      <c r="AZ96" s="1085">
        <f t="shared" ref="AZ96:AZ103" si="83">BA96+AY96</f>
        <v>0</v>
      </c>
      <c r="BA96" s="1085">
        <f t="shared" ref="BA96:BA103" si="84">SUM(BB96:BE96)</f>
        <v>0</v>
      </c>
      <c r="BB96" s="1085"/>
      <c r="BC96" s="1085"/>
      <c r="BD96" s="1085"/>
      <c r="BE96" s="1085"/>
      <c r="BF96" s="1085"/>
      <c r="BG96" s="1084">
        <f t="shared" ref="BG96:BG103" si="85">BH96+BF96</f>
        <v>0</v>
      </c>
      <c r="BH96" s="1084">
        <f t="shared" ref="BH96:BH103" si="86">SUM(BI96:BS96)</f>
        <v>0</v>
      </c>
      <c r="BI96" s="1084"/>
      <c r="BJ96" s="1084"/>
      <c r="BK96" s="1084"/>
      <c r="BL96" s="1084"/>
      <c r="BM96" s="1084"/>
      <c r="BN96" s="1084"/>
      <c r="BO96" s="1086"/>
      <c r="BP96" s="1084"/>
      <c r="BQ96" s="1087"/>
      <c r="BR96" s="1084"/>
      <c r="BS96" s="1088"/>
      <c r="BT96" s="1089" t="s">
        <v>1467</v>
      </c>
      <c r="BU96" s="1090" t="s">
        <v>1468</v>
      </c>
    </row>
    <row r="97" spans="1:73" ht="24" x14ac:dyDescent="0.25">
      <c r="A97" s="1094"/>
      <c r="B97" s="1095"/>
      <c r="C97" s="1096"/>
      <c r="D97" s="1097"/>
      <c r="E97" s="1082" t="s">
        <v>1469</v>
      </c>
      <c r="F97" s="1083">
        <f t="shared" si="75"/>
        <v>28227</v>
      </c>
      <c r="G97" s="1083">
        <f t="shared" si="76"/>
        <v>27873</v>
      </c>
      <c r="H97" s="1084">
        <v>28227</v>
      </c>
      <c r="I97" s="1084">
        <f t="shared" si="77"/>
        <v>27873</v>
      </c>
      <c r="J97" s="1084">
        <f t="shared" si="78"/>
        <v>-354</v>
      </c>
      <c r="K97" s="1084"/>
      <c r="L97" s="1084"/>
      <c r="M97" s="1084"/>
      <c r="N97" s="1084"/>
      <c r="O97" s="1084"/>
      <c r="P97" s="1084"/>
      <c r="Q97" s="1084"/>
      <c r="R97" s="1084"/>
      <c r="S97" s="1084"/>
      <c r="T97" s="1084"/>
      <c r="U97" s="1084">
        <v>-354</v>
      </c>
      <c r="V97" s="1084"/>
      <c r="W97" s="1084"/>
      <c r="X97" s="1084"/>
      <c r="Y97" s="1084"/>
      <c r="Z97" s="1084"/>
      <c r="AA97" s="1084"/>
      <c r="AB97" s="1084"/>
      <c r="AC97" s="1084">
        <v>0</v>
      </c>
      <c r="AD97" s="1084">
        <f t="shared" si="79"/>
        <v>0</v>
      </c>
      <c r="AE97" s="1084">
        <f t="shared" si="80"/>
        <v>0</v>
      </c>
      <c r="AF97" s="1084"/>
      <c r="AG97" s="1084"/>
      <c r="AH97" s="1084"/>
      <c r="AI97" s="1084"/>
      <c r="AJ97" s="1084"/>
      <c r="AK97" s="1084"/>
      <c r="AL97" s="1084">
        <v>0</v>
      </c>
      <c r="AM97" s="1085">
        <f t="shared" si="81"/>
        <v>0</v>
      </c>
      <c r="AN97" s="1085">
        <f t="shared" si="82"/>
        <v>0</v>
      </c>
      <c r="AO97" s="1085"/>
      <c r="AP97" s="1085"/>
      <c r="AQ97" s="1085"/>
      <c r="AR97" s="1085"/>
      <c r="AS97" s="1085"/>
      <c r="AT97" s="1085"/>
      <c r="AU97" s="1085"/>
      <c r="AV97" s="1085"/>
      <c r="AW97" s="1085"/>
      <c r="AX97" s="1085"/>
      <c r="AY97" s="1085">
        <v>0</v>
      </c>
      <c r="AZ97" s="1085">
        <f t="shared" si="83"/>
        <v>0</v>
      </c>
      <c r="BA97" s="1085">
        <f t="shared" si="84"/>
        <v>0</v>
      </c>
      <c r="BB97" s="1085"/>
      <c r="BC97" s="1085"/>
      <c r="BD97" s="1085"/>
      <c r="BE97" s="1085"/>
      <c r="BF97" s="1085"/>
      <c r="BG97" s="1084">
        <f t="shared" si="85"/>
        <v>0</v>
      </c>
      <c r="BH97" s="1084">
        <f t="shared" si="86"/>
        <v>0</v>
      </c>
      <c r="BI97" s="1084"/>
      <c r="BJ97" s="1084"/>
      <c r="BK97" s="1084"/>
      <c r="BL97" s="1084"/>
      <c r="BM97" s="1084"/>
      <c r="BN97" s="1084"/>
      <c r="BO97" s="1086"/>
      <c r="BP97" s="1084"/>
      <c r="BQ97" s="1087"/>
      <c r="BR97" s="1084"/>
      <c r="BS97" s="1088"/>
      <c r="BT97" s="1089" t="s">
        <v>1470</v>
      </c>
      <c r="BU97" s="1090" t="s">
        <v>1468</v>
      </c>
    </row>
    <row r="98" spans="1:73" ht="24" x14ac:dyDescent="0.25">
      <c r="A98" s="1094"/>
      <c r="B98" s="1095"/>
      <c r="C98" s="1096"/>
      <c r="D98" s="1097"/>
      <c r="E98" s="1082" t="s">
        <v>1471</v>
      </c>
      <c r="F98" s="1083">
        <f t="shared" si="75"/>
        <v>99838</v>
      </c>
      <c r="G98" s="1083">
        <f t="shared" si="76"/>
        <v>99578</v>
      </c>
      <c r="H98" s="1084">
        <v>99838</v>
      </c>
      <c r="I98" s="1084">
        <f t="shared" si="77"/>
        <v>99578</v>
      </c>
      <c r="J98" s="1084">
        <f t="shared" si="78"/>
        <v>-260</v>
      </c>
      <c r="K98" s="1084"/>
      <c r="L98" s="1084"/>
      <c r="M98" s="1084"/>
      <c r="N98" s="1084"/>
      <c r="O98" s="1084"/>
      <c r="P98" s="1084"/>
      <c r="Q98" s="1084"/>
      <c r="R98" s="1084"/>
      <c r="S98" s="1084"/>
      <c r="T98" s="1084"/>
      <c r="U98" s="1084">
        <v>-260</v>
      </c>
      <c r="V98" s="1084"/>
      <c r="W98" s="1084"/>
      <c r="X98" s="1084"/>
      <c r="Y98" s="1084"/>
      <c r="Z98" s="1084"/>
      <c r="AA98" s="1084"/>
      <c r="AB98" s="1084"/>
      <c r="AC98" s="1084">
        <v>0</v>
      </c>
      <c r="AD98" s="1084">
        <f t="shared" si="79"/>
        <v>0</v>
      </c>
      <c r="AE98" s="1084">
        <f t="shared" si="80"/>
        <v>0</v>
      </c>
      <c r="AF98" s="1084"/>
      <c r="AG98" s="1084"/>
      <c r="AH98" s="1084"/>
      <c r="AI98" s="1084"/>
      <c r="AJ98" s="1084"/>
      <c r="AK98" s="1084"/>
      <c r="AL98" s="1084">
        <v>0</v>
      </c>
      <c r="AM98" s="1085">
        <f t="shared" si="81"/>
        <v>0</v>
      </c>
      <c r="AN98" s="1085">
        <f t="shared" si="82"/>
        <v>0</v>
      </c>
      <c r="AO98" s="1085"/>
      <c r="AP98" s="1085"/>
      <c r="AQ98" s="1085"/>
      <c r="AR98" s="1085"/>
      <c r="AS98" s="1085"/>
      <c r="AT98" s="1085"/>
      <c r="AU98" s="1085"/>
      <c r="AV98" s="1085"/>
      <c r="AW98" s="1085"/>
      <c r="AX98" s="1085"/>
      <c r="AY98" s="1085">
        <v>0</v>
      </c>
      <c r="AZ98" s="1085">
        <f t="shared" si="83"/>
        <v>0</v>
      </c>
      <c r="BA98" s="1085">
        <f t="shared" si="84"/>
        <v>0</v>
      </c>
      <c r="BB98" s="1085"/>
      <c r="BC98" s="1085"/>
      <c r="BD98" s="1085"/>
      <c r="BE98" s="1085"/>
      <c r="BF98" s="1085"/>
      <c r="BG98" s="1084">
        <f t="shared" si="85"/>
        <v>0</v>
      </c>
      <c r="BH98" s="1084">
        <f t="shared" si="86"/>
        <v>0</v>
      </c>
      <c r="BI98" s="1084"/>
      <c r="BJ98" s="1084"/>
      <c r="BK98" s="1084"/>
      <c r="BL98" s="1084"/>
      <c r="BM98" s="1084"/>
      <c r="BN98" s="1084"/>
      <c r="BO98" s="1086"/>
      <c r="BP98" s="1084"/>
      <c r="BQ98" s="1087"/>
      <c r="BR98" s="1084"/>
      <c r="BS98" s="1088"/>
      <c r="BT98" s="1089" t="s">
        <v>1472</v>
      </c>
      <c r="BU98" s="1090" t="s">
        <v>1468</v>
      </c>
    </row>
    <row r="99" spans="1:73" ht="24.75" customHeight="1" x14ac:dyDescent="0.25">
      <c r="A99" s="1094">
        <v>90001876536</v>
      </c>
      <c r="B99" s="1095"/>
      <c r="C99" s="1514" t="s">
        <v>1473</v>
      </c>
      <c r="D99" s="1515"/>
      <c r="E99" s="1082" t="s">
        <v>1474</v>
      </c>
      <c r="F99" s="1083">
        <f t="shared" si="75"/>
        <v>7334</v>
      </c>
      <c r="G99" s="1083">
        <f t="shared" si="76"/>
        <v>5436</v>
      </c>
      <c r="H99" s="1084">
        <v>7334</v>
      </c>
      <c r="I99" s="1084">
        <f t="shared" si="77"/>
        <v>5436</v>
      </c>
      <c r="J99" s="1084">
        <f t="shared" si="78"/>
        <v>-1898</v>
      </c>
      <c r="K99" s="1084"/>
      <c r="L99" s="1084"/>
      <c r="M99" s="1084"/>
      <c r="N99" s="1084"/>
      <c r="O99" s="1084"/>
      <c r="P99" s="1084"/>
      <c r="Q99" s="1084"/>
      <c r="R99" s="1084"/>
      <c r="S99" s="1084"/>
      <c r="T99" s="1084"/>
      <c r="U99" s="1084"/>
      <c r="V99" s="1084"/>
      <c r="W99" s="1084"/>
      <c r="X99" s="1084">
        <v>-1898</v>
      </c>
      <c r="Y99" s="1084"/>
      <c r="Z99" s="1084"/>
      <c r="AA99" s="1084"/>
      <c r="AB99" s="1084"/>
      <c r="AC99" s="1084">
        <v>0</v>
      </c>
      <c r="AD99" s="1084">
        <f t="shared" si="79"/>
        <v>0</v>
      </c>
      <c r="AE99" s="1084">
        <f t="shared" si="80"/>
        <v>0</v>
      </c>
      <c r="AF99" s="1084"/>
      <c r="AG99" s="1084"/>
      <c r="AH99" s="1084"/>
      <c r="AI99" s="1084"/>
      <c r="AJ99" s="1084"/>
      <c r="AK99" s="1084"/>
      <c r="AL99" s="1084">
        <v>0</v>
      </c>
      <c r="AM99" s="1085">
        <f t="shared" si="81"/>
        <v>0</v>
      </c>
      <c r="AN99" s="1085">
        <f t="shared" si="82"/>
        <v>0</v>
      </c>
      <c r="AO99" s="1085"/>
      <c r="AP99" s="1085"/>
      <c r="AQ99" s="1085"/>
      <c r="AR99" s="1085"/>
      <c r="AS99" s="1085"/>
      <c r="AT99" s="1085"/>
      <c r="AU99" s="1085"/>
      <c r="AV99" s="1085"/>
      <c r="AW99" s="1085"/>
      <c r="AX99" s="1085"/>
      <c r="AY99" s="1085">
        <v>0</v>
      </c>
      <c r="AZ99" s="1085">
        <f t="shared" si="83"/>
        <v>0</v>
      </c>
      <c r="BA99" s="1085">
        <f t="shared" si="84"/>
        <v>0</v>
      </c>
      <c r="BB99" s="1085"/>
      <c r="BC99" s="1085"/>
      <c r="BD99" s="1085"/>
      <c r="BE99" s="1085"/>
      <c r="BF99" s="1085"/>
      <c r="BG99" s="1084">
        <f t="shared" si="85"/>
        <v>0</v>
      </c>
      <c r="BH99" s="1084">
        <f t="shared" si="86"/>
        <v>0</v>
      </c>
      <c r="BI99" s="1084"/>
      <c r="BJ99" s="1084"/>
      <c r="BK99" s="1084"/>
      <c r="BL99" s="1084"/>
      <c r="BM99" s="1084"/>
      <c r="BN99" s="1084"/>
      <c r="BO99" s="1086"/>
      <c r="BP99" s="1084"/>
      <c r="BQ99" s="1087"/>
      <c r="BR99" s="1084"/>
      <c r="BS99" s="1088"/>
      <c r="BT99" s="1089" t="s">
        <v>1475</v>
      </c>
      <c r="BU99" s="1090"/>
    </row>
    <row r="100" spans="1:73" ht="12.75" x14ac:dyDescent="0.25">
      <c r="A100" s="1094"/>
      <c r="B100" s="1095"/>
      <c r="C100" s="1096"/>
      <c r="D100" s="1097"/>
      <c r="E100" s="1082" t="s">
        <v>1476</v>
      </c>
      <c r="F100" s="1083">
        <f t="shared" si="75"/>
        <v>10044</v>
      </c>
      <c r="G100" s="1083">
        <f t="shared" si="76"/>
        <v>6756</v>
      </c>
      <c r="H100" s="1084">
        <v>9207</v>
      </c>
      <c r="I100" s="1084">
        <f t="shared" si="77"/>
        <v>5919</v>
      </c>
      <c r="J100" s="1084">
        <f t="shared" si="78"/>
        <v>-3288</v>
      </c>
      <c r="K100" s="1084"/>
      <c r="L100" s="1084"/>
      <c r="M100" s="1084"/>
      <c r="N100" s="1084"/>
      <c r="O100" s="1084"/>
      <c r="P100" s="1084"/>
      <c r="Q100" s="1084"/>
      <c r="R100" s="1084"/>
      <c r="S100" s="1084"/>
      <c r="T100" s="1084"/>
      <c r="U100" s="1084"/>
      <c r="V100" s="1084"/>
      <c r="W100" s="1084"/>
      <c r="X100" s="1084">
        <v>-3288</v>
      </c>
      <c r="Y100" s="1084"/>
      <c r="Z100" s="1084"/>
      <c r="AA100" s="1084"/>
      <c r="AB100" s="1084"/>
      <c r="AC100" s="1084">
        <v>0</v>
      </c>
      <c r="AD100" s="1084">
        <f t="shared" si="79"/>
        <v>0</v>
      </c>
      <c r="AE100" s="1084">
        <f t="shared" si="80"/>
        <v>0</v>
      </c>
      <c r="AF100" s="1084"/>
      <c r="AG100" s="1084"/>
      <c r="AH100" s="1084"/>
      <c r="AI100" s="1084"/>
      <c r="AJ100" s="1084"/>
      <c r="AK100" s="1084"/>
      <c r="AL100" s="1084">
        <v>837</v>
      </c>
      <c r="AM100" s="1085">
        <f t="shared" si="81"/>
        <v>837</v>
      </c>
      <c r="AN100" s="1085">
        <f t="shared" si="82"/>
        <v>0</v>
      </c>
      <c r="AO100" s="1085"/>
      <c r="AP100" s="1085"/>
      <c r="AQ100" s="1085"/>
      <c r="AR100" s="1085"/>
      <c r="AS100" s="1085"/>
      <c r="AT100" s="1085"/>
      <c r="AU100" s="1085"/>
      <c r="AV100" s="1085"/>
      <c r="AW100" s="1085"/>
      <c r="AX100" s="1085"/>
      <c r="AY100" s="1085">
        <v>0</v>
      </c>
      <c r="AZ100" s="1085">
        <f t="shared" si="83"/>
        <v>0</v>
      </c>
      <c r="BA100" s="1085">
        <f t="shared" si="84"/>
        <v>0</v>
      </c>
      <c r="BB100" s="1085"/>
      <c r="BC100" s="1085"/>
      <c r="BD100" s="1085"/>
      <c r="BE100" s="1085"/>
      <c r="BF100" s="1085"/>
      <c r="BG100" s="1084">
        <f t="shared" si="85"/>
        <v>0</v>
      </c>
      <c r="BH100" s="1084">
        <f t="shared" si="86"/>
        <v>0</v>
      </c>
      <c r="BI100" s="1084"/>
      <c r="BJ100" s="1084"/>
      <c r="BK100" s="1084"/>
      <c r="BL100" s="1084"/>
      <c r="BM100" s="1084"/>
      <c r="BN100" s="1084"/>
      <c r="BO100" s="1086"/>
      <c r="BP100" s="1084"/>
      <c r="BQ100" s="1087"/>
      <c r="BR100" s="1084"/>
      <c r="BS100" s="1088"/>
      <c r="BT100" s="1089" t="s">
        <v>1477</v>
      </c>
      <c r="BU100" s="1090"/>
    </row>
    <row r="101" spans="1:73" ht="36" customHeight="1" x14ac:dyDescent="0.25">
      <c r="A101" s="1168">
        <v>40003219995</v>
      </c>
      <c r="B101" s="1169"/>
      <c r="C101" s="1539" t="s">
        <v>1478</v>
      </c>
      <c r="D101" s="1540"/>
      <c r="E101" s="1170" t="s">
        <v>1256</v>
      </c>
      <c r="F101" s="1083">
        <f t="shared" si="75"/>
        <v>4846</v>
      </c>
      <c r="G101" s="1083">
        <f t="shared" si="76"/>
        <v>4846</v>
      </c>
      <c r="H101" s="1084">
        <v>4846</v>
      </c>
      <c r="I101" s="1084">
        <f t="shared" si="77"/>
        <v>4846</v>
      </c>
      <c r="J101" s="1084">
        <f t="shared" si="78"/>
        <v>0</v>
      </c>
      <c r="K101" s="1084"/>
      <c r="L101" s="1084"/>
      <c r="M101" s="1084"/>
      <c r="N101" s="1084"/>
      <c r="O101" s="1084"/>
      <c r="P101" s="1084"/>
      <c r="Q101" s="1084"/>
      <c r="R101" s="1084"/>
      <c r="S101" s="1084"/>
      <c r="T101" s="1084"/>
      <c r="U101" s="1084"/>
      <c r="V101" s="1084"/>
      <c r="W101" s="1084"/>
      <c r="X101" s="1084"/>
      <c r="Y101" s="1084"/>
      <c r="Z101" s="1084"/>
      <c r="AA101" s="1084"/>
      <c r="AB101" s="1084"/>
      <c r="AC101" s="1084">
        <v>0</v>
      </c>
      <c r="AD101" s="1084">
        <f t="shared" si="79"/>
        <v>0</v>
      </c>
      <c r="AE101" s="1084">
        <f t="shared" si="80"/>
        <v>0</v>
      </c>
      <c r="AF101" s="1084"/>
      <c r="AG101" s="1084"/>
      <c r="AH101" s="1084"/>
      <c r="AI101" s="1084"/>
      <c r="AJ101" s="1084"/>
      <c r="AK101" s="1084"/>
      <c r="AL101" s="1084">
        <v>0</v>
      </c>
      <c r="AM101" s="1085">
        <f t="shared" si="81"/>
        <v>0</v>
      </c>
      <c r="AN101" s="1085">
        <f t="shared" si="82"/>
        <v>0</v>
      </c>
      <c r="AO101" s="1085"/>
      <c r="AP101" s="1085"/>
      <c r="AQ101" s="1085"/>
      <c r="AR101" s="1085"/>
      <c r="AS101" s="1085"/>
      <c r="AT101" s="1085"/>
      <c r="AU101" s="1085"/>
      <c r="AV101" s="1085"/>
      <c r="AW101" s="1085"/>
      <c r="AX101" s="1085"/>
      <c r="AY101" s="1085">
        <v>0</v>
      </c>
      <c r="AZ101" s="1085">
        <f t="shared" si="83"/>
        <v>0</v>
      </c>
      <c r="BA101" s="1085">
        <f t="shared" si="84"/>
        <v>0</v>
      </c>
      <c r="BB101" s="1085"/>
      <c r="BC101" s="1085"/>
      <c r="BD101" s="1085"/>
      <c r="BE101" s="1085"/>
      <c r="BF101" s="1085"/>
      <c r="BG101" s="1084">
        <f t="shared" si="85"/>
        <v>0</v>
      </c>
      <c r="BH101" s="1084">
        <f t="shared" si="86"/>
        <v>0</v>
      </c>
      <c r="BI101" s="1084"/>
      <c r="BJ101" s="1084"/>
      <c r="BK101" s="1084"/>
      <c r="BL101" s="1084"/>
      <c r="BM101" s="1084"/>
      <c r="BN101" s="1084"/>
      <c r="BO101" s="1086"/>
      <c r="BP101" s="1084"/>
      <c r="BQ101" s="1087"/>
      <c r="BR101" s="1084"/>
      <c r="BS101" s="1088"/>
      <c r="BT101" s="1089" t="s">
        <v>1479</v>
      </c>
      <c r="BU101" s="1090"/>
    </row>
    <row r="102" spans="1:73" ht="52.5" customHeight="1" x14ac:dyDescent="0.25">
      <c r="A102" s="1140">
        <v>90010991438</v>
      </c>
      <c r="B102" s="1141"/>
      <c r="C102" s="1541" t="s">
        <v>1480</v>
      </c>
      <c r="D102" s="1542"/>
      <c r="E102" s="1171" t="s">
        <v>1474</v>
      </c>
      <c r="F102" s="1083">
        <f t="shared" si="75"/>
        <v>0</v>
      </c>
      <c r="G102" s="1083">
        <f t="shared" si="76"/>
        <v>1898</v>
      </c>
      <c r="H102" s="1102"/>
      <c r="I102" s="1084">
        <f t="shared" si="77"/>
        <v>1898</v>
      </c>
      <c r="J102" s="1084">
        <f t="shared" si="78"/>
        <v>1898</v>
      </c>
      <c r="K102" s="1102"/>
      <c r="L102" s="1102"/>
      <c r="M102" s="1102"/>
      <c r="N102" s="1102"/>
      <c r="O102" s="1102"/>
      <c r="P102" s="1102"/>
      <c r="Q102" s="1102"/>
      <c r="R102" s="1102"/>
      <c r="S102" s="1102"/>
      <c r="T102" s="1102"/>
      <c r="U102" s="1102"/>
      <c r="V102" s="1102"/>
      <c r="W102" s="1102"/>
      <c r="X102" s="1102">
        <v>1898</v>
      </c>
      <c r="Y102" s="1102"/>
      <c r="Z102" s="1102"/>
      <c r="AA102" s="1102"/>
      <c r="AB102" s="1102"/>
      <c r="AC102" s="1102"/>
      <c r="AD102" s="1084">
        <f t="shared" si="79"/>
        <v>0</v>
      </c>
      <c r="AE102" s="1084">
        <f t="shared" si="80"/>
        <v>0</v>
      </c>
      <c r="AF102" s="1102"/>
      <c r="AG102" s="1102"/>
      <c r="AH102" s="1102"/>
      <c r="AI102" s="1102"/>
      <c r="AJ102" s="1102"/>
      <c r="AK102" s="1102"/>
      <c r="AL102" s="1102"/>
      <c r="AM102" s="1085">
        <f t="shared" si="81"/>
        <v>0</v>
      </c>
      <c r="AN102" s="1085">
        <f t="shared" si="82"/>
        <v>0</v>
      </c>
      <c r="AO102" s="1103"/>
      <c r="AP102" s="1103"/>
      <c r="AQ102" s="1103"/>
      <c r="AR102" s="1103"/>
      <c r="AS102" s="1103"/>
      <c r="AT102" s="1103"/>
      <c r="AU102" s="1103"/>
      <c r="AV102" s="1103"/>
      <c r="AW102" s="1103"/>
      <c r="AX102" s="1103"/>
      <c r="AY102" s="1103"/>
      <c r="AZ102" s="1085">
        <f t="shared" si="83"/>
        <v>0</v>
      </c>
      <c r="BA102" s="1085">
        <f t="shared" si="84"/>
        <v>0</v>
      </c>
      <c r="BB102" s="1103"/>
      <c r="BC102" s="1103"/>
      <c r="BD102" s="1103"/>
      <c r="BE102" s="1103"/>
      <c r="BF102" s="1103"/>
      <c r="BG102" s="1084">
        <f t="shared" si="85"/>
        <v>0</v>
      </c>
      <c r="BH102" s="1084">
        <f t="shared" si="86"/>
        <v>0</v>
      </c>
      <c r="BI102" s="1102"/>
      <c r="BJ102" s="1102"/>
      <c r="BK102" s="1102"/>
      <c r="BL102" s="1102"/>
      <c r="BM102" s="1102"/>
      <c r="BN102" s="1102"/>
      <c r="BO102" s="1104"/>
      <c r="BP102" s="1102"/>
      <c r="BQ102" s="1105"/>
      <c r="BR102" s="1102"/>
      <c r="BS102" s="1106"/>
      <c r="BT102" s="1089" t="s">
        <v>1481</v>
      </c>
      <c r="BU102" s="1099"/>
    </row>
    <row r="103" spans="1:73" ht="12.75" x14ac:dyDescent="0.25">
      <c r="A103" s="1168"/>
      <c r="B103" s="1169"/>
      <c r="C103" s="1172"/>
      <c r="D103" s="1173"/>
      <c r="E103" s="1082" t="s">
        <v>1476</v>
      </c>
      <c r="F103" s="1083">
        <f t="shared" si="75"/>
        <v>0</v>
      </c>
      <c r="G103" s="1083">
        <f t="shared" si="76"/>
        <v>3288</v>
      </c>
      <c r="H103" s="1084"/>
      <c r="I103" s="1084">
        <f t="shared" si="77"/>
        <v>3288</v>
      </c>
      <c r="J103" s="1084">
        <f t="shared" si="78"/>
        <v>3288</v>
      </c>
      <c r="K103" s="1084"/>
      <c r="L103" s="1084"/>
      <c r="M103" s="1084"/>
      <c r="N103" s="1084"/>
      <c r="O103" s="1084"/>
      <c r="P103" s="1084"/>
      <c r="Q103" s="1084"/>
      <c r="R103" s="1084"/>
      <c r="S103" s="1084"/>
      <c r="T103" s="1084"/>
      <c r="U103" s="1084"/>
      <c r="V103" s="1084"/>
      <c r="W103" s="1084"/>
      <c r="X103" s="1084">
        <v>3288</v>
      </c>
      <c r="Y103" s="1084"/>
      <c r="Z103" s="1084"/>
      <c r="AA103" s="1084"/>
      <c r="AB103" s="1084"/>
      <c r="AC103" s="1084"/>
      <c r="AD103" s="1084">
        <f t="shared" si="79"/>
        <v>0</v>
      </c>
      <c r="AE103" s="1084">
        <f t="shared" si="80"/>
        <v>0</v>
      </c>
      <c r="AF103" s="1084"/>
      <c r="AG103" s="1084"/>
      <c r="AH103" s="1084"/>
      <c r="AI103" s="1084"/>
      <c r="AJ103" s="1084"/>
      <c r="AK103" s="1084"/>
      <c r="AL103" s="1084"/>
      <c r="AM103" s="1085">
        <f t="shared" si="81"/>
        <v>0</v>
      </c>
      <c r="AN103" s="1085">
        <f t="shared" si="82"/>
        <v>0</v>
      </c>
      <c r="AO103" s="1085"/>
      <c r="AP103" s="1085"/>
      <c r="AQ103" s="1085"/>
      <c r="AR103" s="1085"/>
      <c r="AS103" s="1085"/>
      <c r="AT103" s="1085"/>
      <c r="AU103" s="1085"/>
      <c r="AV103" s="1085"/>
      <c r="AW103" s="1085"/>
      <c r="AX103" s="1085"/>
      <c r="AY103" s="1085"/>
      <c r="AZ103" s="1085">
        <f t="shared" si="83"/>
        <v>0</v>
      </c>
      <c r="BA103" s="1085">
        <f t="shared" si="84"/>
        <v>0</v>
      </c>
      <c r="BB103" s="1085"/>
      <c r="BC103" s="1085"/>
      <c r="BD103" s="1085"/>
      <c r="BE103" s="1085"/>
      <c r="BF103" s="1085"/>
      <c r="BG103" s="1084">
        <f t="shared" si="85"/>
        <v>0</v>
      </c>
      <c r="BH103" s="1084">
        <f t="shared" si="86"/>
        <v>0</v>
      </c>
      <c r="BI103" s="1084"/>
      <c r="BJ103" s="1084"/>
      <c r="BK103" s="1084"/>
      <c r="BL103" s="1084"/>
      <c r="BM103" s="1084"/>
      <c r="BN103" s="1084"/>
      <c r="BO103" s="1086"/>
      <c r="BP103" s="1084"/>
      <c r="BQ103" s="1087"/>
      <c r="BR103" s="1084"/>
      <c r="BS103" s="1088"/>
      <c r="BT103" s="1089" t="s">
        <v>1482</v>
      </c>
      <c r="BU103" s="1090"/>
    </row>
    <row r="104" spans="1:73" ht="12.75" thickBot="1" x14ac:dyDescent="0.3">
      <c r="A104" s="1117"/>
      <c r="B104" s="1109"/>
      <c r="C104" s="1537"/>
      <c r="D104" s="1538"/>
      <c r="E104" s="1119"/>
      <c r="F104" s="1101"/>
      <c r="G104" s="1101"/>
      <c r="H104" s="1102"/>
      <c r="I104" s="1102"/>
      <c r="J104" s="1102"/>
      <c r="K104" s="1102"/>
      <c r="L104" s="1102"/>
      <c r="M104" s="1102"/>
      <c r="N104" s="1102"/>
      <c r="O104" s="1102"/>
      <c r="P104" s="1102"/>
      <c r="Q104" s="1102"/>
      <c r="R104" s="1102"/>
      <c r="S104" s="1102"/>
      <c r="T104" s="1102"/>
      <c r="U104" s="1102"/>
      <c r="V104" s="1102"/>
      <c r="W104" s="1102"/>
      <c r="X104" s="1102"/>
      <c r="Y104" s="1102"/>
      <c r="Z104" s="1102"/>
      <c r="AA104" s="1102"/>
      <c r="AB104" s="1102"/>
      <c r="AC104" s="1102"/>
      <c r="AD104" s="1102"/>
      <c r="AE104" s="1102"/>
      <c r="AF104" s="1102"/>
      <c r="AG104" s="1102"/>
      <c r="AH104" s="1102"/>
      <c r="AI104" s="1102"/>
      <c r="AJ104" s="1102"/>
      <c r="AK104" s="1102"/>
      <c r="AL104" s="1102"/>
      <c r="AM104" s="1103"/>
      <c r="AN104" s="1103"/>
      <c r="AO104" s="1103"/>
      <c r="AP104" s="1103"/>
      <c r="AQ104" s="1103"/>
      <c r="AR104" s="1103"/>
      <c r="AS104" s="1103"/>
      <c r="AT104" s="1103"/>
      <c r="AU104" s="1103"/>
      <c r="AV104" s="1103"/>
      <c r="AW104" s="1103"/>
      <c r="AX104" s="1103"/>
      <c r="AY104" s="1103"/>
      <c r="AZ104" s="1103"/>
      <c r="BA104" s="1103"/>
      <c r="BB104" s="1103"/>
      <c r="BC104" s="1103"/>
      <c r="BD104" s="1103"/>
      <c r="BE104" s="1103"/>
      <c r="BF104" s="1103"/>
      <c r="BG104" s="1102"/>
      <c r="BH104" s="1102"/>
      <c r="BI104" s="1102"/>
      <c r="BJ104" s="1102"/>
      <c r="BK104" s="1102"/>
      <c r="BL104" s="1102"/>
      <c r="BM104" s="1102"/>
      <c r="BN104" s="1102"/>
      <c r="BO104" s="1104"/>
      <c r="BP104" s="1102"/>
      <c r="BQ104" s="1105"/>
      <c r="BR104" s="1102"/>
      <c r="BS104" s="1106"/>
      <c r="BT104" s="1120"/>
      <c r="BU104" s="1099"/>
    </row>
    <row r="105" spans="1:73" ht="24.75" thickBot="1" x14ac:dyDescent="0.3">
      <c r="A105" s="1111"/>
      <c r="B105" s="1518" t="s">
        <v>1483</v>
      </c>
      <c r="C105" s="1518"/>
      <c r="D105" s="1073" t="s">
        <v>1484</v>
      </c>
      <c r="E105" s="1112"/>
      <c r="F105" s="1075">
        <f t="shared" ref="F105:BS105" si="87">SUM(F106:F144)</f>
        <v>10253851.800000001</v>
      </c>
      <c r="G105" s="1075">
        <f t="shared" si="87"/>
        <v>10489460.800000001</v>
      </c>
      <c r="H105" s="1075">
        <f t="shared" si="87"/>
        <v>8344708.7999999998</v>
      </c>
      <c r="I105" s="1075">
        <f t="shared" si="87"/>
        <v>8569348.8000000007</v>
      </c>
      <c r="J105" s="1075">
        <f t="shared" si="87"/>
        <v>224640</v>
      </c>
      <c r="K105" s="1075">
        <f>SUM(K106:K144)</f>
        <v>212632</v>
      </c>
      <c r="L105" s="1075">
        <f t="shared" si="87"/>
        <v>0</v>
      </c>
      <c r="M105" s="1075">
        <f t="shared" si="87"/>
        <v>10622</v>
      </c>
      <c r="N105" s="1075">
        <f t="shared" si="87"/>
        <v>59778</v>
      </c>
      <c r="O105" s="1075">
        <f t="shared" si="87"/>
        <v>-3023</v>
      </c>
      <c r="P105" s="1075">
        <f t="shared" si="87"/>
        <v>-1766</v>
      </c>
      <c r="Q105" s="1075">
        <f t="shared" si="87"/>
        <v>95782</v>
      </c>
      <c r="R105" s="1075">
        <f t="shared" si="87"/>
        <v>9660</v>
      </c>
      <c r="S105" s="1075">
        <f t="shared" si="87"/>
        <v>0</v>
      </c>
      <c r="T105" s="1075">
        <f t="shared" si="87"/>
        <v>-5745</v>
      </c>
      <c r="U105" s="1075">
        <f t="shared" si="87"/>
        <v>0</v>
      </c>
      <c r="V105" s="1075">
        <f t="shared" si="87"/>
        <v>-9659</v>
      </c>
      <c r="W105" s="1075">
        <f t="shared" si="87"/>
        <v>0</v>
      </c>
      <c r="X105" s="1075">
        <f t="shared" si="87"/>
        <v>0</v>
      </c>
      <c r="Y105" s="1075">
        <f t="shared" si="87"/>
        <v>338</v>
      </c>
      <c r="Z105" s="1075">
        <f t="shared" si="87"/>
        <v>-152886</v>
      </c>
      <c r="AA105" s="1075">
        <f t="shared" si="87"/>
        <v>8907</v>
      </c>
      <c r="AB105" s="1075">
        <f t="shared" si="87"/>
        <v>0</v>
      </c>
      <c r="AC105" s="1075">
        <f t="shared" si="87"/>
        <v>7279</v>
      </c>
      <c r="AD105" s="1075">
        <f t="shared" si="87"/>
        <v>11025</v>
      </c>
      <c r="AE105" s="1075">
        <f t="shared" si="87"/>
        <v>3746</v>
      </c>
      <c r="AF105" s="1075">
        <f t="shared" si="87"/>
        <v>0</v>
      </c>
      <c r="AG105" s="1075">
        <f t="shared" si="87"/>
        <v>3746</v>
      </c>
      <c r="AH105" s="1075">
        <f t="shared" si="87"/>
        <v>0</v>
      </c>
      <c r="AI105" s="1075">
        <f t="shared" si="87"/>
        <v>0</v>
      </c>
      <c r="AJ105" s="1075">
        <f t="shared" si="87"/>
        <v>0</v>
      </c>
      <c r="AK105" s="1075">
        <f t="shared" si="87"/>
        <v>0</v>
      </c>
      <c r="AL105" s="1075">
        <f t="shared" si="87"/>
        <v>192870</v>
      </c>
      <c r="AM105" s="1075">
        <f t="shared" si="87"/>
        <v>201003</v>
      </c>
      <c r="AN105" s="1075">
        <f t="shared" si="87"/>
        <v>8133</v>
      </c>
      <c r="AO105" s="1075">
        <f t="shared" si="87"/>
        <v>-8347</v>
      </c>
      <c r="AP105" s="1075">
        <f t="shared" si="87"/>
        <v>2170</v>
      </c>
      <c r="AQ105" s="1075">
        <f t="shared" si="87"/>
        <v>1152</v>
      </c>
      <c r="AR105" s="1075">
        <f t="shared" si="87"/>
        <v>10000</v>
      </c>
      <c r="AS105" s="1075">
        <f t="shared" si="87"/>
        <v>33</v>
      </c>
      <c r="AT105" s="1075">
        <f t="shared" si="87"/>
        <v>0</v>
      </c>
      <c r="AU105" s="1075">
        <f t="shared" si="87"/>
        <v>3125</v>
      </c>
      <c r="AV105" s="1075">
        <f t="shared" si="87"/>
        <v>0</v>
      </c>
      <c r="AW105" s="1075">
        <f t="shared" si="87"/>
        <v>0</v>
      </c>
      <c r="AX105" s="1075">
        <f t="shared" si="87"/>
        <v>1708994</v>
      </c>
      <c r="AY105" s="1076">
        <f t="shared" si="87"/>
        <v>0</v>
      </c>
      <c r="AZ105" s="1076">
        <f t="shared" si="87"/>
        <v>165</v>
      </c>
      <c r="BA105" s="1076">
        <f t="shared" si="87"/>
        <v>165</v>
      </c>
      <c r="BB105" s="1076">
        <f t="shared" si="87"/>
        <v>165</v>
      </c>
      <c r="BC105" s="1076">
        <f t="shared" si="87"/>
        <v>0</v>
      </c>
      <c r="BD105" s="1076">
        <f t="shared" si="87"/>
        <v>0</v>
      </c>
      <c r="BE105" s="1076">
        <f t="shared" si="87"/>
        <v>0</v>
      </c>
      <c r="BF105" s="1076">
        <f t="shared" si="87"/>
        <v>0</v>
      </c>
      <c r="BG105" s="1076">
        <f t="shared" si="87"/>
        <v>-1075</v>
      </c>
      <c r="BH105" s="1076">
        <f t="shared" si="87"/>
        <v>-1075</v>
      </c>
      <c r="BI105" s="1076">
        <f t="shared" si="87"/>
        <v>0</v>
      </c>
      <c r="BJ105" s="1076">
        <f t="shared" si="87"/>
        <v>0</v>
      </c>
      <c r="BK105" s="1076">
        <f t="shared" si="87"/>
        <v>-1042</v>
      </c>
      <c r="BL105" s="1076">
        <f t="shared" si="87"/>
        <v>0</v>
      </c>
      <c r="BM105" s="1076">
        <f t="shared" si="87"/>
        <v>0</v>
      </c>
      <c r="BN105" s="1076">
        <f t="shared" si="87"/>
        <v>-33</v>
      </c>
      <c r="BO105" s="1076">
        <f t="shared" si="87"/>
        <v>0</v>
      </c>
      <c r="BP105" s="1075">
        <f t="shared" si="87"/>
        <v>0</v>
      </c>
      <c r="BQ105" s="1077">
        <f t="shared" si="87"/>
        <v>0</v>
      </c>
      <c r="BR105" s="1075">
        <f t="shared" si="87"/>
        <v>0</v>
      </c>
      <c r="BS105" s="1078">
        <f t="shared" si="87"/>
        <v>0</v>
      </c>
      <c r="BT105" s="1113"/>
      <c r="BU105" s="1114"/>
    </row>
    <row r="106" spans="1:73" ht="24.75" thickTop="1" x14ac:dyDescent="0.25">
      <c r="A106" s="1115">
        <v>90000056357</v>
      </c>
      <c r="B106" s="1116"/>
      <c r="C106" s="1519" t="s">
        <v>501</v>
      </c>
      <c r="D106" s="1520"/>
      <c r="E106" s="1082" t="s">
        <v>525</v>
      </c>
      <c r="F106" s="1146">
        <f t="shared" ref="F106:F143" si="88">H106+AC106+AL106+AX106+AY106+BF106</f>
        <v>804231</v>
      </c>
      <c r="G106" s="1146">
        <f t="shared" ref="G106:G143" si="89">I106+AD106+AM106+AX106+AZ106+BG106</f>
        <v>682867</v>
      </c>
      <c r="H106" s="1147">
        <v>804231</v>
      </c>
      <c r="I106" s="1147">
        <f t="shared" ref="I106:I143" si="90">H106+J106</f>
        <v>682867</v>
      </c>
      <c r="J106" s="1147">
        <f t="shared" ref="J106:J143" si="91">SUM(K106:AB106)</f>
        <v>-121364</v>
      </c>
      <c r="K106" s="1147"/>
      <c r="L106" s="1147"/>
      <c r="M106" s="1147"/>
      <c r="N106" s="1147"/>
      <c r="O106" s="1147"/>
      <c r="P106" s="1147"/>
      <c r="Q106" s="1147">
        <v>-120864</v>
      </c>
      <c r="R106" s="1147">
        <v>-1200</v>
      </c>
      <c r="S106" s="1147"/>
      <c r="T106" s="1147"/>
      <c r="U106" s="1147"/>
      <c r="V106" s="1147"/>
      <c r="W106" s="1147"/>
      <c r="X106" s="1147"/>
      <c r="Y106" s="1147">
        <v>700</v>
      </c>
      <c r="Z106" s="1147"/>
      <c r="AA106" s="1147"/>
      <c r="AB106" s="1147"/>
      <c r="AC106" s="1147">
        <v>0</v>
      </c>
      <c r="AD106" s="1147">
        <f t="shared" ref="AD106:AD139" si="92">AC106+AE106</f>
        <v>0</v>
      </c>
      <c r="AE106" s="1147">
        <f t="shared" ref="AE106:AE139" si="93">SUM(AF106:AK106)</f>
        <v>0</v>
      </c>
      <c r="AF106" s="1147"/>
      <c r="AG106" s="1147"/>
      <c r="AH106" s="1147"/>
      <c r="AI106" s="1147"/>
      <c r="AJ106" s="1147"/>
      <c r="AK106" s="1147"/>
      <c r="AL106" s="1147">
        <v>0</v>
      </c>
      <c r="AM106" s="1148">
        <f t="shared" ref="AM106:AM139" si="94">AN106+AL106</f>
        <v>0</v>
      </c>
      <c r="AN106" s="1148">
        <f t="shared" ref="AN106:AN139" si="95">SUM(AO106:AW106)</f>
        <v>0</v>
      </c>
      <c r="AO106" s="1148"/>
      <c r="AP106" s="1148"/>
      <c r="AQ106" s="1148"/>
      <c r="AR106" s="1148"/>
      <c r="AS106" s="1148"/>
      <c r="AT106" s="1148"/>
      <c r="AU106" s="1148"/>
      <c r="AV106" s="1148"/>
      <c r="AW106" s="1148"/>
      <c r="AX106" s="1148"/>
      <c r="AY106" s="1148">
        <v>0</v>
      </c>
      <c r="AZ106" s="1124">
        <f t="shared" ref="AZ106:AZ139" si="96">BA106+AY106</f>
        <v>0</v>
      </c>
      <c r="BA106" s="1124">
        <f t="shared" ref="BA106:BA139" si="97">SUM(BB106:BE106)</f>
        <v>0</v>
      </c>
      <c r="BB106" s="1124"/>
      <c r="BC106" s="1124"/>
      <c r="BD106" s="1124"/>
      <c r="BE106" s="1124"/>
      <c r="BF106" s="1124"/>
      <c r="BG106" s="1125">
        <f t="shared" ref="BG106:BG143" si="98">BH106+BF106</f>
        <v>0</v>
      </c>
      <c r="BH106" s="1125">
        <f t="shared" ref="BH106:BH143" si="99">SUM(BI106:BS106)</f>
        <v>0</v>
      </c>
      <c r="BI106" s="1125"/>
      <c r="BJ106" s="1125"/>
      <c r="BK106" s="1125"/>
      <c r="BL106" s="1125"/>
      <c r="BM106" s="1125"/>
      <c r="BN106" s="1125"/>
      <c r="BO106" s="1126"/>
      <c r="BP106" s="1125"/>
      <c r="BQ106" s="1127"/>
      <c r="BR106" s="1125"/>
      <c r="BS106" s="1128"/>
      <c r="BT106" s="1089" t="s">
        <v>1485</v>
      </c>
      <c r="BU106" s="1090"/>
    </row>
    <row r="107" spans="1:73" ht="24" x14ac:dyDescent="0.25">
      <c r="A107" s="1094"/>
      <c r="B107" s="1095"/>
      <c r="C107" s="1096"/>
      <c r="D107" s="1097"/>
      <c r="E107" s="1174" t="s">
        <v>411</v>
      </c>
      <c r="F107" s="1083">
        <f t="shared" si="88"/>
        <v>285000</v>
      </c>
      <c r="G107" s="1083">
        <f t="shared" si="89"/>
        <v>583331</v>
      </c>
      <c r="H107" s="1084">
        <v>285000</v>
      </c>
      <c r="I107" s="1084">
        <f t="shared" si="90"/>
        <v>583331</v>
      </c>
      <c r="J107" s="1084">
        <f t="shared" si="91"/>
        <v>298331</v>
      </c>
      <c r="K107" s="1084">
        <v>390018</v>
      </c>
      <c r="L107" s="1084"/>
      <c r="M107" s="1084"/>
      <c r="N107" s="1084"/>
      <c r="O107" s="1084">
        <f>23145+12797</f>
        <v>35942</v>
      </c>
      <c r="P107" s="1084"/>
      <c r="Q107" s="1084">
        <v>-24255</v>
      </c>
      <c r="R107" s="1084"/>
      <c r="S107" s="1084"/>
      <c r="T107" s="1084">
        <v>-5745</v>
      </c>
      <c r="U107" s="1084"/>
      <c r="V107" s="1084">
        <v>-35033</v>
      </c>
      <c r="W107" s="1084"/>
      <c r="X107" s="1084"/>
      <c r="Y107" s="1084"/>
      <c r="Z107" s="1084">
        <f>-63172+576</f>
        <v>-62596</v>
      </c>
      <c r="AA107" s="1084"/>
      <c r="AB107" s="1084"/>
      <c r="AC107" s="1084">
        <v>0</v>
      </c>
      <c r="AD107" s="1084">
        <f t="shared" si="92"/>
        <v>0</v>
      </c>
      <c r="AE107" s="1084">
        <f t="shared" si="93"/>
        <v>0</v>
      </c>
      <c r="AF107" s="1084"/>
      <c r="AG107" s="1084"/>
      <c r="AH107" s="1084"/>
      <c r="AI107" s="1084"/>
      <c r="AJ107" s="1084"/>
      <c r="AK107" s="1084"/>
      <c r="AL107" s="1084">
        <v>0</v>
      </c>
      <c r="AM107" s="1085">
        <f t="shared" si="94"/>
        <v>0</v>
      </c>
      <c r="AN107" s="1085">
        <f t="shared" si="95"/>
        <v>0</v>
      </c>
      <c r="AO107" s="1085"/>
      <c r="AP107" s="1085"/>
      <c r="AQ107" s="1085"/>
      <c r="AR107" s="1085"/>
      <c r="AS107" s="1085"/>
      <c r="AT107" s="1085"/>
      <c r="AU107" s="1085"/>
      <c r="AV107" s="1085"/>
      <c r="AW107" s="1085"/>
      <c r="AX107" s="1085"/>
      <c r="AY107" s="1085">
        <v>0</v>
      </c>
      <c r="AZ107" s="1085">
        <f t="shared" si="96"/>
        <v>0</v>
      </c>
      <c r="BA107" s="1085">
        <f t="shared" si="97"/>
        <v>0</v>
      </c>
      <c r="BB107" s="1085"/>
      <c r="BC107" s="1085"/>
      <c r="BD107" s="1085"/>
      <c r="BE107" s="1085"/>
      <c r="BF107" s="1085"/>
      <c r="BG107" s="1084">
        <f t="shared" si="98"/>
        <v>0</v>
      </c>
      <c r="BH107" s="1084">
        <f t="shared" si="99"/>
        <v>0</v>
      </c>
      <c r="BI107" s="1084"/>
      <c r="BJ107" s="1084"/>
      <c r="BK107" s="1084"/>
      <c r="BL107" s="1084"/>
      <c r="BM107" s="1084"/>
      <c r="BN107" s="1084"/>
      <c r="BO107" s="1086"/>
      <c r="BP107" s="1084"/>
      <c r="BQ107" s="1087"/>
      <c r="BR107" s="1084"/>
      <c r="BS107" s="1088"/>
      <c r="BT107" s="1089" t="s">
        <v>1486</v>
      </c>
      <c r="BU107" s="1090" t="s">
        <v>1487</v>
      </c>
    </row>
    <row r="108" spans="1:73" ht="12.75" x14ac:dyDescent="0.25">
      <c r="A108" s="1094"/>
      <c r="B108" s="1095"/>
      <c r="C108" s="1096"/>
      <c r="D108" s="1097"/>
      <c r="E108" s="1082" t="s">
        <v>519</v>
      </c>
      <c r="F108" s="1083">
        <f t="shared" si="88"/>
        <v>1719844</v>
      </c>
      <c r="G108" s="1083">
        <f>I108+AD108+AM108+AX108+AZ108+BG108</f>
        <v>1748750</v>
      </c>
      <c r="H108" s="1084">
        <v>1719844</v>
      </c>
      <c r="I108" s="1084">
        <f t="shared" si="90"/>
        <v>1748750</v>
      </c>
      <c r="J108" s="1084">
        <f t="shared" si="91"/>
        <v>28906</v>
      </c>
      <c r="K108" s="1084"/>
      <c r="L108" s="1084"/>
      <c r="M108" s="1084"/>
      <c r="N108" s="1084"/>
      <c r="O108" s="1084">
        <v>-50000</v>
      </c>
      <c r="P108" s="1084"/>
      <c r="Q108" s="1084">
        <v>70000</v>
      </c>
      <c r="R108" s="1084"/>
      <c r="S108" s="1084"/>
      <c r="T108" s="1084"/>
      <c r="U108" s="1084"/>
      <c r="V108" s="1084"/>
      <c r="W108" s="1084"/>
      <c r="X108" s="1084"/>
      <c r="Y108" s="1084"/>
      <c r="Z108" s="1084"/>
      <c r="AA108" s="1084">
        <v>8906</v>
      </c>
      <c r="AB108" s="1084"/>
      <c r="AC108" s="1084">
        <v>0</v>
      </c>
      <c r="AD108" s="1084">
        <f t="shared" si="92"/>
        <v>0</v>
      </c>
      <c r="AE108" s="1084">
        <f t="shared" si="93"/>
        <v>0</v>
      </c>
      <c r="AF108" s="1084"/>
      <c r="AG108" s="1084"/>
      <c r="AH108" s="1084"/>
      <c r="AI108" s="1084"/>
      <c r="AJ108" s="1084"/>
      <c r="AK108" s="1084"/>
      <c r="AL108" s="1084">
        <v>0</v>
      </c>
      <c r="AM108" s="1085">
        <f t="shared" si="94"/>
        <v>0</v>
      </c>
      <c r="AN108" s="1085">
        <f t="shared" si="95"/>
        <v>0</v>
      </c>
      <c r="AO108" s="1085"/>
      <c r="AP108" s="1085"/>
      <c r="AQ108" s="1085"/>
      <c r="AR108" s="1085"/>
      <c r="AS108" s="1085"/>
      <c r="AT108" s="1085"/>
      <c r="AU108" s="1085"/>
      <c r="AV108" s="1085"/>
      <c r="AW108" s="1085"/>
      <c r="AX108" s="1085"/>
      <c r="AY108" s="1085">
        <v>0</v>
      </c>
      <c r="AZ108" s="1085">
        <f t="shared" si="96"/>
        <v>0</v>
      </c>
      <c r="BA108" s="1085">
        <f t="shared" si="97"/>
        <v>0</v>
      </c>
      <c r="BB108" s="1085"/>
      <c r="BC108" s="1085"/>
      <c r="BD108" s="1085"/>
      <c r="BE108" s="1085"/>
      <c r="BF108" s="1085"/>
      <c r="BG108" s="1084">
        <f t="shared" si="98"/>
        <v>0</v>
      </c>
      <c r="BH108" s="1084">
        <f t="shared" si="99"/>
        <v>0</v>
      </c>
      <c r="BI108" s="1084"/>
      <c r="BJ108" s="1084"/>
      <c r="BK108" s="1084"/>
      <c r="BL108" s="1084"/>
      <c r="BM108" s="1084"/>
      <c r="BN108" s="1084"/>
      <c r="BO108" s="1086"/>
      <c r="BP108" s="1084"/>
      <c r="BQ108" s="1087"/>
      <c r="BR108" s="1084"/>
      <c r="BS108" s="1088"/>
      <c r="BT108" s="1089" t="s">
        <v>1488</v>
      </c>
      <c r="BU108" s="1090" t="s">
        <v>1489</v>
      </c>
    </row>
    <row r="109" spans="1:73" ht="24" x14ac:dyDescent="0.25">
      <c r="A109" s="1094"/>
      <c r="B109" s="1095"/>
      <c r="C109" s="1096"/>
      <c r="D109" s="1097"/>
      <c r="E109" s="1082" t="s">
        <v>419</v>
      </c>
      <c r="F109" s="1083">
        <f t="shared" si="88"/>
        <v>4055</v>
      </c>
      <c r="G109" s="1083">
        <f t="shared" si="89"/>
        <v>4055</v>
      </c>
      <c r="H109" s="1084">
        <v>4055</v>
      </c>
      <c r="I109" s="1084">
        <f t="shared" si="90"/>
        <v>4055</v>
      </c>
      <c r="J109" s="1084">
        <f t="shared" si="91"/>
        <v>0</v>
      </c>
      <c r="K109" s="1084"/>
      <c r="L109" s="1084"/>
      <c r="M109" s="1084"/>
      <c r="N109" s="1084"/>
      <c r="O109" s="1084"/>
      <c r="P109" s="1084"/>
      <c r="Q109" s="1084"/>
      <c r="R109" s="1084"/>
      <c r="S109" s="1084"/>
      <c r="T109" s="1084"/>
      <c r="U109" s="1084"/>
      <c r="V109" s="1084"/>
      <c r="W109" s="1084"/>
      <c r="X109" s="1084"/>
      <c r="Y109" s="1084"/>
      <c r="Z109" s="1084"/>
      <c r="AA109" s="1084"/>
      <c r="AB109" s="1084"/>
      <c r="AC109" s="1084">
        <v>0</v>
      </c>
      <c r="AD109" s="1084">
        <f t="shared" si="92"/>
        <v>0</v>
      </c>
      <c r="AE109" s="1084">
        <f t="shared" si="93"/>
        <v>0</v>
      </c>
      <c r="AF109" s="1084"/>
      <c r="AG109" s="1084"/>
      <c r="AH109" s="1084"/>
      <c r="AI109" s="1084"/>
      <c r="AJ109" s="1084"/>
      <c r="AK109" s="1084"/>
      <c r="AL109" s="1084">
        <v>0</v>
      </c>
      <c r="AM109" s="1085">
        <f t="shared" si="94"/>
        <v>0</v>
      </c>
      <c r="AN109" s="1085">
        <f t="shared" si="95"/>
        <v>0</v>
      </c>
      <c r="AO109" s="1085"/>
      <c r="AP109" s="1085"/>
      <c r="AQ109" s="1085"/>
      <c r="AR109" s="1085"/>
      <c r="AS109" s="1085"/>
      <c r="AT109" s="1085"/>
      <c r="AU109" s="1085"/>
      <c r="AV109" s="1085"/>
      <c r="AW109" s="1085"/>
      <c r="AX109" s="1085"/>
      <c r="AY109" s="1085">
        <v>0</v>
      </c>
      <c r="AZ109" s="1085">
        <f t="shared" si="96"/>
        <v>0</v>
      </c>
      <c r="BA109" s="1085">
        <f t="shared" si="97"/>
        <v>0</v>
      </c>
      <c r="BB109" s="1085"/>
      <c r="BC109" s="1085"/>
      <c r="BD109" s="1085"/>
      <c r="BE109" s="1085"/>
      <c r="BF109" s="1085"/>
      <c r="BG109" s="1084">
        <f t="shared" si="98"/>
        <v>0</v>
      </c>
      <c r="BH109" s="1084">
        <f t="shared" si="99"/>
        <v>0</v>
      </c>
      <c r="BI109" s="1084"/>
      <c r="BJ109" s="1084"/>
      <c r="BK109" s="1084"/>
      <c r="BL109" s="1084"/>
      <c r="BM109" s="1084"/>
      <c r="BN109" s="1084"/>
      <c r="BO109" s="1086"/>
      <c r="BP109" s="1084"/>
      <c r="BQ109" s="1087"/>
      <c r="BR109" s="1084"/>
      <c r="BS109" s="1088"/>
      <c r="BT109" s="1089" t="s">
        <v>1490</v>
      </c>
      <c r="BU109" s="1090" t="s">
        <v>1320</v>
      </c>
    </row>
    <row r="110" spans="1:73" ht="24" x14ac:dyDescent="0.25">
      <c r="A110" s="1094"/>
      <c r="B110" s="1095"/>
      <c r="C110" s="1096"/>
      <c r="D110" s="1097"/>
      <c r="E110" s="1082" t="s">
        <v>1491</v>
      </c>
      <c r="F110" s="1083">
        <f t="shared" si="88"/>
        <v>57700</v>
      </c>
      <c r="G110" s="1083">
        <f t="shared" si="89"/>
        <v>31588</v>
      </c>
      <c r="H110" s="1084">
        <v>57700</v>
      </c>
      <c r="I110" s="1084">
        <f t="shared" si="90"/>
        <v>31588</v>
      </c>
      <c r="J110" s="1084">
        <f t="shared" si="91"/>
        <v>-26112</v>
      </c>
      <c r="K110" s="1084"/>
      <c r="L110" s="1084"/>
      <c r="M110" s="1084"/>
      <c r="N110" s="1084"/>
      <c r="O110" s="1084"/>
      <c r="P110" s="1084"/>
      <c r="Q110" s="1084"/>
      <c r="R110" s="1084"/>
      <c r="S110" s="1084"/>
      <c r="T110" s="1084"/>
      <c r="U110" s="1084"/>
      <c r="V110" s="1084"/>
      <c r="W110" s="1084"/>
      <c r="X110" s="1084"/>
      <c r="Y110" s="1084"/>
      <c r="Z110" s="1084">
        <v>-26112</v>
      </c>
      <c r="AA110" s="1084"/>
      <c r="AB110" s="1084"/>
      <c r="AC110" s="1084">
        <v>0</v>
      </c>
      <c r="AD110" s="1084">
        <f t="shared" si="92"/>
        <v>0</v>
      </c>
      <c r="AE110" s="1084">
        <f t="shared" si="93"/>
        <v>0</v>
      </c>
      <c r="AF110" s="1084"/>
      <c r="AG110" s="1084"/>
      <c r="AH110" s="1084"/>
      <c r="AI110" s="1084"/>
      <c r="AJ110" s="1084"/>
      <c r="AK110" s="1084"/>
      <c r="AL110" s="1084">
        <v>0</v>
      </c>
      <c r="AM110" s="1085">
        <f t="shared" si="94"/>
        <v>0</v>
      </c>
      <c r="AN110" s="1085">
        <f t="shared" si="95"/>
        <v>0</v>
      </c>
      <c r="AO110" s="1085"/>
      <c r="AP110" s="1085"/>
      <c r="AQ110" s="1085"/>
      <c r="AR110" s="1085"/>
      <c r="AS110" s="1085"/>
      <c r="AT110" s="1085"/>
      <c r="AU110" s="1085"/>
      <c r="AV110" s="1085"/>
      <c r="AW110" s="1085"/>
      <c r="AX110" s="1085"/>
      <c r="AY110" s="1085">
        <v>0</v>
      </c>
      <c r="AZ110" s="1085">
        <f t="shared" si="96"/>
        <v>0</v>
      </c>
      <c r="BA110" s="1085">
        <f t="shared" si="97"/>
        <v>0</v>
      </c>
      <c r="BB110" s="1085"/>
      <c r="BC110" s="1085"/>
      <c r="BD110" s="1085"/>
      <c r="BE110" s="1085"/>
      <c r="BF110" s="1085"/>
      <c r="BG110" s="1084">
        <f t="shared" si="98"/>
        <v>0</v>
      </c>
      <c r="BH110" s="1084">
        <f t="shared" si="99"/>
        <v>0</v>
      </c>
      <c r="BI110" s="1084"/>
      <c r="BJ110" s="1084"/>
      <c r="BK110" s="1084"/>
      <c r="BL110" s="1084"/>
      <c r="BM110" s="1084"/>
      <c r="BN110" s="1084"/>
      <c r="BO110" s="1086"/>
      <c r="BP110" s="1084"/>
      <c r="BQ110" s="1087"/>
      <c r="BR110" s="1084"/>
      <c r="BS110" s="1088"/>
      <c r="BT110" s="1089" t="s">
        <v>1492</v>
      </c>
      <c r="BU110" s="1090" t="s">
        <v>1320</v>
      </c>
    </row>
    <row r="111" spans="1:73" ht="36" x14ac:dyDescent="0.25">
      <c r="A111" s="1094"/>
      <c r="B111" s="1095"/>
      <c r="C111" s="1096"/>
      <c r="D111" s="1097"/>
      <c r="E111" s="1082" t="s">
        <v>426</v>
      </c>
      <c r="F111" s="1083">
        <f t="shared" si="88"/>
        <v>166010</v>
      </c>
      <c r="G111" s="1083">
        <f t="shared" si="89"/>
        <v>38535</v>
      </c>
      <c r="H111" s="1084">
        <v>166010</v>
      </c>
      <c r="I111" s="1084">
        <f t="shared" si="90"/>
        <v>38535</v>
      </c>
      <c r="J111" s="1084">
        <f t="shared" si="91"/>
        <v>-127475</v>
      </c>
      <c r="K111" s="1084">
        <v>-77300</v>
      </c>
      <c r="L111" s="1084"/>
      <c r="M111" s="1084"/>
      <c r="N111" s="1084"/>
      <c r="O111" s="1084"/>
      <c r="P111" s="1084"/>
      <c r="Q111" s="1084"/>
      <c r="R111" s="1084"/>
      <c r="S111" s="1084"/>
      <c r="T111" s="1084"/>
      <c r="U111" s="1084"/>
      <c r="V111" s="1084"/>
      <c r="W111" s="1084"/>
      <c r="X111" s="1084"/>
      <c r="Y111" s="1084"/>
      <c r="Z111" s="1084">
        <v>-50175</v>
      </c>
      <c r="AA111" s="1084"/>
      <c r="AB111" s="1084"/>
      <c r="AC111" s="1084">
        <v>0</v>
      </c>
      <c r="AD111" s="1084">
        <f t="shared" si="92"/>
        <v>0</v>
      </c>
      <c r="AE111" s="1084">
        <f t="shared" si="93"/>
        <v>0</v>
      </c>
      <c r="AF111" s="1084"/>
      <c r="AG111" s="1084"/>
      <c r="AH111" s="1084"/>
      <c r="AI111" s="1084"/>
      <c r="AJ111" s="1084"/>
      <c r="AK111" s="1084"/>
      <c r="AL111" s="1084">
        <v>0</v>
      </c>
      <c r="AM111" s="1085">
        <f t="shared" si="94"/>
        <v>0</v>
      </c>
      <c r="AN111" s="1085">
        <f t="shared" si="95"/>
        <v>0</v>
      </c>
      <c r="AO111" s="1085"/>
      <c r="AP111" s="1085"/>
      <c r="AQ111" s="1085"/>
      <c r="AR111" s="1085"/>
      <c r="AS111" s="1085"/>
      <c r="AT111" s="1085"/>
      <c r="AU111" s="1085"/>
      <c r="AV111" s="1085"/>
      <c r="AW111" s="1085"/>
      <c r="AX111" s="1085"/>
      <c r="AY111" s="1085">
        <v>0</v>
      </c>
      <c r="AZ111" s="1085">
        <f t="shared" si="96"/>
        <v>0</v>
      </c>
      <c r="BA111" s="1085">
        <f t="shared" si="97"/>
        <v>0</v>
      </c>
      <c r="BB111" s="1085"/>
      <c r="BC111" s="1085"/>
      <c r="BD111" s="1085"/>
      <c r="BE111" s="1085"/>
      <c r="BF111" s="1085"/>
      <c r="BG111" s="1084">
        <f t="shared" si="98"/>
        <v>0</v>
      </c>
      <c r="BH111" s="1084">
        <f t="shared" si="99"/>
        <v>0</v>
      </c>
      <c r="BI111" s="1084"/>
      <c r="BJ111" s="1084"/>
      <c r="BK111" s="1084"/>
      <c r="BL111" s="1084"/>
      <c r="BM111" s="1084"/>
      <c r="BN111" s="1084"/>
      <c r="BO111" s="1086"/>
      <c r="BP111" s="1084"/>
      <c r="BQ111" s="1087"/>
      <c r="BR111" s="1084"/>
      <c r="BS111" s="1088"/>
      <c r="BT111" s="1089" t="s">
        <v>1493</v>
      </c>
      <c r="BU111" s="1090" t="s">
        <v>1320</v>
      </c>
    </row>
    <row r="112" spans="1:73" ht="36" x14ac:dyDescent="0.25">
      <c r="A112" s="1094"/>
      <c r="B112" s="1095"/>
      <c r="C112" s="1096"/>
      <c r="D112" s="1097"/>
      <c r="E112" s="1082" t="s">
        <v>1494</v>
      </c>
      <c r="F112" s="1083">
        <f t="shared" si="88"/>
        <v>589511</v>
      </c>
      <c r="G112" s="1083">
        <f t="shared" si="89"/>
        <v>619677</v>
      </c>
      <c r="H112" s="1084">
        <v>589511</v>
      </c>
      <c r="I112" s="1084">
        <f t="shared" si="90"/>
        <v>619677</v>
      </c>
      <c r="J112" s="1084">
        <f t="shared" si="91"/>
        <v>30166</v>
      </c>
      <c r="K112" s="1084"/>
      <c r="L112" s="1084"/>
      <c r="M112" s="1084">
        <v>4792</v>
      </c>
      <c r="N112" s="1084"/>
      <c r="O112" s="1084"/>
      <c r="P112" s="1084"/>
      <c r="Q112" s="1084"/>
      <c r="R112" s="1084"/>
      <c r="S112" s="1084"/>
      <c r="T112" s="1084"/>
      <c r="U112" s="1084"/>
      <c r="V112" s="1084">
        <v>25374</v>
      </c>
      <c r="W112" s="1084"/>
      <c r="X112" s="1084"/>
      <c r="Y112" s="1084"/>
      <c r="Z112" s="1084"/>
      <c r="AA112" s="1084"/>
      <c r="AB112" s="1084"/>
      <c r="AC112" s="1084">
        <v>0</v>
      </c>
      <c r="AD112" s="1084">
        <f t="shared" si="92"/>
        <v>0</v>
      </c>
      <c r="AE112" s="1084">
        <f t="shared" si="93"/>
        <v>0</v>
      </c>
      <c r="AF112" s="1084"/>
      <c r="AG112" s="1084"/>
      <c r="AH112" s="1084"/>
      <c r="AI112" s="1084"/>
      <c r="AJ112" s="1084"/>
      <c r="AK112" s="1084"/>
      <c r="AL112" s="1084">
        <v>0</v>
      </c>
      <c r="AM112" s="1085">
        <f t="shared" si="94"/>
        <v>0</v>
      </c>
      <c r="AN112" s="1085">
        <f t="shared" si="95"/>
        <v>0</v>
      </c>
      <c r="AO112" s="1085"/>
      <c r="AP112" s="1085"/>
      <c r="AQ112" s="1085"/>
      <c r="AR112" s="1085"/>
      <c r="AS112" s="1085"/>
      <c r="AT112" s="1085"/>
      <c r="AU112" s="1085"/>
      <c r="AV112" s="1085"/>
      <c r="AW112" s="1085"/>
      <c r="AX112" s="1085"/>
      <c r="AY112" s="1085">
        <v>0</v>
      </c>
      <c r="AZ112" s="1085">
        <f t="shared" si="96"/>
        <v>0</v>
      </c>
      <c r="BA112" s="1085">
        <f t="shared" si="97"/>
        <v>0</v>
      </c>
      <c r="BB112" s="1085"/>
      <c r="BC112" s="1085"/>
      <c r="BD112" s="1085"/>
      <c r="BE112" s="1085"/>
      <c r="BF112" s="1085"/>
      <c r="BG112" s="1084">
        <f t="shared" si="98"/>
        <v>0</v>
      </c>
      <c r="BH112" s="1084">
        <f t="shared" si="99"/>
        <v>0</v>
      </c>
      <c r="BI112" s="1084"/>
      <c r="BJ112" s="1084"/>
      <c r="BK112" s="1084"/>
      <c r="BL112" s="1084"/>
      <c r="BM112" s="1084"/>
      <c r="BN112" s="1084"/>
      <c r="BO112" s="1086"/>
      <c r="BP112" s="1084"/>
      <c r="BQ112" s="1087"/>
      <c r="BR112" s="1084"/>
      <c r="BS112" s="1088"/>
      <c r="BT112" s="1089" t="s">
        <v>1495</v>
      </c>
      <c r="BU112" s="1090" t="s">
        <v>1320</v>
      </c>
    </row>
    <row r="113" spans="1:73" ht="24" x14ac:dyDescent="0.25">
      <c r="A113" s="1094"/>
      <c r="B113" s="1095"/>
      <c r="C113" s="1096"/>
      <c r="D113" s="1097"/>
      <c r="E113" s="1082" t="s">
        <v>1496</v>
      </c>
      <c r="F113" s="1083">
        <f t="shared" si="88"/>
        <v>101000</v>
      </c>
      <c r="G113" s="1083">
        <f t="shared" si="89"/>
        <v>103138</v>
      </c>
      <c r="H113" s="1084">
        <v>101000</v>
      </c>
      <c r="I113" s="1084">
        <f t="shared" si="90"/>
        <v>100638</v>
      </c>
      <c r="J113" s="1084">
        <f t="shared" si="91"/>
        <v>-362</v>
      </c>
      <c r="K113" s="1084"/>
      <c r="L113" s="1084"/>
      <c r="M113" s="1084"/>
      <c r="N113" s="1084"/>
      <c r="O113" s="1084"/>
      <c r="P113" s="1084"/>
      <c r="Q113" s="1084"/>
      <c r="R113" s="1084"/>
      <c r="S113" s="1084"/>
      <c r="T113" s="1084"/>
      <c r="U113" s="1084"/>
      <c r="V113" s="1084"/>
      <c r="W113" s="1084"/>
      <c r="X113" s="1084"/>
      <c r="Y113" s="1084">
        <v>-362</v>
      </c>
      <c r="Z113" s="1084"/>
      <c r="AA113" s="1084"/>
      <c r="AB113" s="1084"/>
      <c r="AC113" s="1084">
        <v>0</v>
      </c>
      <c r="AD113" s="1084">
        <f t="shared" si="92"/>
        <v>2500</v>
      </c>
      <c r="AE113" s="1084">
        <f t="shared" si="93"/>
        <v>2500</v>
      </c>
      <c r="AF113" s="1084"/>
      <c r="AG113" s="1084">
        <v>2500</v>
      </c>
      <c r="AH113" s="1084"/>
      <c r="AI113" s="1084"/>
      <c r="AJ113" s="1084"/>
      <c r="AK113" s="1084"/>
      <c r="AL113" s="1084">
        <v>0</v>
      </c>
      <c r="AM113" s="1085">
        <f t="shared" si="94"/>
        <v>0</v>
      </c>
      <c r="AN113" s="1085">
        <f t="shared" si="95"/>
        <v>0</v>
      </c>
      <c r="AO113" s="1085"/>
      <c r="AP113" s="1085"/>
      <c r="AQ113" s="1085"/>
      <c r="AR113" s="1085"/>
      <c r="AS113" s="1085"/>
      <c r="AT113" s="1085"/>
      <c r="AU113" s="1085"/>
      <c r="AV113" s="1085"/>
      <c r="AW113" s="1085"/>
      <c r="AX113" s="1085"/>
      <c r="AY113" s="1085">
        <v>0</v>
      </c>
      <c r="AZ113" s="1085">
        <f t="shared" si="96"/>
        <v>0</v>
      </c>
      <c r="BA113" s="1085">
        <f t="shared" si="97"/>
        <v>0</v>
      </c>
      <c r="BB113" s="1085"/>
      <c r="BC113" s="1085"/>
      <c r="BD113" s="1085"/>
      <c r="BE113" s="1085"/>
      <c r="BF113" s="1085"/>
      <c r="BG113" s="1084">
        <f t="shared" si="98"/>
        <v>0</v>
      </c>
      <c r="BH113" s="1084">
        <f t="shared" si="99"/>
        <v>0</v>
      </c>
      <c r="BI113" s="1084"/>
      <c r="BJ113" s="1084"/>
      <c r="BK113" s="1084"/>
      <c r="BL113" s="1084"/>
      <c r="BM113" s="1084"/>
      <c r="BN113" s="1084"/>
      <c r="BO113" s="1086"/>
      <c r="BP113" s="1084"/>
      <c r="BQ113" s="1087"/>
      <c r="BR113" s="1084"/>
      <c r="BS113" s="1088"/>
      <c r="BT113" s="1089" t="s">
        <v>1497</v>
      </c>
      <c r="BU113" s="1090" t="s">
        <v>1449</v>
      </c>
    </row>
    <row r="114" spans="1:73" ht="36" x14ac:dyDescent="0.25">
      <c r="A114" s="1094"/>
      <c r="B114" s="1095"/>
      <c r="C114" s="1096"/>
      <c r="D114" s="1097"/>
      <c r="E114" s="1100" t="s">
        <v>1498</v>
      </c>
      <c r="F114" s="1083">
        <f t="shared" si="88"/>
        <v>465317</v>
      </c>
      <c r="G114" s="1083">
        <f t="shared" si="89"/>
        <v>591895</v>
      </c>
      <c r="H114" s="1084">
        <v>465317</v>
      </c>
      <c r="I114" s="1084">
        <f>H114+J114</f>
        <v>591895</v>
      </c>
      <c r="J114" s="1084">
        <f t="shared" si="91"/>
        <v>126578</v>
      </c>
      <c r="K114" s="1084"/>
      <c r="L114" s="1084"/>
      <c r="M114" s="1084">
        <f>-3625-8407+50000</f>
        <v>37968</v>
      </c>
      <c r="N114" s="1084">
        <v>56254</v>
      </c>
      <c r="O114" s="1084">
        <f>-2968-36254+42710</f>
        <v>3488</v>
      </c>
      <c r="P114" s="1084"/>
      <c r="Q114" s="1084">
        <f>6124+22744</f>
        <v>28868</v>
      </c>
      <c r="R114" s="1084"/>
      <c r="S114" s="1084"/>
      <c r="T114" s="1084"/>
      <c r="U114" s="1084"/>
      <c r="V114" s="1084"/>
      <c r="W114" s="1084"/>
      <c r="X114" s="1084"/>
      <c r="Y114" s="1084"/>
      <c r="Z114" s="1084"/>
      <c r="AA114" s="1084"/>
      <c r="AB114" s="1084"/>
      <c r="AC114" s="1084">
        <v>0</v>
      </c>
      <c r="AD114" s="1084">
        <f t="shared" si="92"/>
        <v>0</v>
      </c>
      <c r="AE114" s="1084">
        <f t="shared" si="93"/>
        <v>0</v>
      </c>
      <c r="AF114" s="1084"/>
      <c r="AG114" s="1084"/>
      <c r="AH114" s="1084"/>
      <c r="AI114" s="1084"/>
      <c r="AJ114" s="1084"/>
      <c r="AK114" s="1084"/>
      <c r="AL114" s="1084">
        <v>0</v>
      </c>
      <c r="AM114" s="1085">
        <f t="shared" si="94"/>
        <v>0</v>
      </c>
      <c r="AN114" s="1085">
        <f t="shared" si="95"/>
        <v>0</v>
      </c>
      <c r="AO114" s="1085"/>
      <c r="AP114" s="1085"/>
      <c r="AQ114" s="1085"/>
      <c r="AR114" s="1085"/>
      <c r="AS114" s="1085"/>
      <c r="AT114" s="1085"/>
      <c r="AU114" s="1085"/>
      <c r="AV114" s="1085"/>
      <c r="AW114" s="1085"/>
      <c r="AX114" s="1085"/>
      <c r="AY114" s="1085">
        <v>0</v>
      </c>
      <c r="AZ114" s="1085">
        <f t="shared" si="96"/>
        <v>0</v>
      </c>
      <c r="BA114" s="1085">
        <f t="shared" si="97"/>
        <v>0</v>
      </c>
      <c r="BB114" s="1085"/>
      <c r="BC114" s="1085"/>
      <c r="BD114" s="1085"/>
      <c r="BE114" s="1085"/>
      <c r="BF114" s="1085"/>
      <c r="BG114" s="1084">
        <f t="shared" si="98"/>
        <v>0</v>
      </c>
      <c r="BH114" s="1084">
        <f t="shared" si="99"/>
        <v>0</v>
      </c>
      <c r="BI114" s="1084"/>
      <c r="BJ114" s="1084"/>
      <c r="BK114" s="1084"/>
      <c r="BL114" s="1084"/>
      <c r="BM114" s="1084"/>
      <c r="BN114" s="1084"/>
      <c r="BO114" s="1086"/>
      <c r="BP114" s="1084"/>
      <c r="BQ114" s="1087"/>
      <c r="BR114" s="1084"/>
      <c r="BS114" s="1088"/>
      <c r="BT114" s="1089" t="s">
        <v>1499</v>
      </c>
      <c r="BU114" s="1090" t="s">
        <v>1500</v>
      </c>
    </row>
    <row r="115" spans="1:73" ht="24" x14ac:dyDescent="0.25">
      <c r="A115" s="1094"/>
      <c r="B115" s="1095"/>
      <c r="C115" s="1096"/>
      <c r="D115" s="1097"/>
      <c r="E115" s="1082" t="s">
        <v>1501</v>
      </c>
      <c r="F115" s="1083">
        <f t="shared" si="88"/>
        <v>254552</v>
      </c>
      <c r="G115" s="1083">
        <f t="shared" si="89"/>
        <v>232549</v>
      </c>
      <c r="H115" s="1084">
        <v>254552</v>
      </c>
      <c r="I115" s="1084">
        <f t="shared" si="90"/>
        <v>232549</v>
      </c>
      <c r="J115" s="1084">
        <f t="shared" si="91"/>
        <v>-22003</v>
      </c>
      <c r="K115" s="1084"/>
      <c r="L115" s="1084"/>
      <c r="M115" s="1084"/>
      <c r="N115" s="1084"/>
      <c r="O115" s="1084"/>
      <c r="P115" s="1084">
        <v>-8000</v>
      </c>
      <c r="Q115" s="1084"/>
      <c r="R115" s="1084"/>
      <c r="S115" s="1084"/>
      <c r="T115" s="1084"/>
      <c r="U115" s="1084"/>
      <c r="V115" s="1084"/>
      <c r="W115" s="1084"/>
      <c r="X115" s="1084"/>
      <c r="Y115" s="1084"/>
      <c r="Z115" s="1084">
        <v>-14003</v>
      </c>
      <c r="AA115" s="1084"/>
      <c r="AB115" s="1084"/>
      <c r="AC115" s="1084">
        <v>0</v>
      </c>
      <c r="AD115" s="1084">
        <f t="shared" si="92"/>
        <v>0</v>
      </c>
      <c r="AE115" s="1084">
        <f t="shared" si="93"/>
        <v>0</v>
      </c>
      <c r="AF115" s="1084"/>
      <c r="AG115" s="1084"/>
      <c r="AH115" s="1084"/>
      <c r="AI115" s="1084"/>
      <c r="AJ115" s="1084"/>
      <c r="AK115" s="1084"/>
      <c r="AL115" s="1084">
        <v>0</v>
      </c>
      <c r="AM115" s="1085">
        <f t="shared" si="94"/>
        <v>0</v>
      </c>
      <c r="AN115" s="1085">
        <f t="shared" si="95"/>
        <v>0</v>
      </c>
      <c r="AO115" s="1085"/>
      <c r="AP115" s="1085"/>
      <c r="AQ115" s="1085"/>
      <c r="AR115" s="1085"/>
      <c r="AS115" s="1085"/>
      <c r="AT115" s="1085"/>
      <c r="AU115" s="1085"/>
      <c r="AV115" s="1085"/>
      <c r="AW115" s="1085"/>
      <c r="AX115" s="1085"/>
      <c r="AY115" s="1085">
        <v>0</v>
      </c>
      <c r="AZ115" s="1085">
        <f t="shared" si="96"/>
        <v>0</v>
      </c>
      <c r="BA115" s="1085">
        <f t="shared" si="97"/>
        <v>0</v>
      </c>
      <c r="BB115" s="1085"/>
      <c r="BC115" s="1085"/>
      <c r="BD115" s="1085"/>
      <c r="BE115" s="1085"/>
      <c r="BF115" s="1085"/>
      <c r="BG115" s="1084">
        <f t="shared" si="98"/>
        <v>0</v>
      </c>
      <c r="BH115" s="1084">
        <f t="shared" si="99"/>
        <v>0</v>
      </c>
      <c r="BI115" s="1084"/>
      <c r="BJ115" s="1084"/>
      <c r="BK115" s="1084"/>
      <c r="BL115" s="1084"/>
      <c r="BM115" s="1084"/>
      <c r="BN115" s="1084"/>
      <c r="BO115" s="1086"/>
      <c r="BP115" s="1084"/>
      <c r="BQ115" s="1087"/>
      <c r="BR115" s="1084"/>
      <c r="BS115" s="1088"/>
      <c r="BT115" s="1089" t="s">
        <v>1502</v>
      </c>
      <c r="BU115" s="1090" t="s">
        <v>1503</v>
      </c>
    </row>
    <row r="116" spans="1:73" ht="24" x14ac:dyDescent="0.25">
      <c r="A116" s="1094"/>
      <c r="B116" s="1095"/>
      <c r="C116" s="1096"/>
      <c r="D116" s="1097"/>
      <c r="E116" s="1082" t="s">
        <v>833</v>
      </c>
      <c r="F116" s="1083">
        <f t="shared" si="88"/>
        <v>9091</v>
      </c>
      <c r="G116" s="1083">
        <f t="shared" si="89"/>
        <v>9091</v>
      </c>
      <c r="H116" s="1084">
        <v>9091</v>
      </c>
      <c r="I116" s="1084">
        <f t="shared" si="90"/>
        <v>9091</v>
      </c>
      <c r="J116" s="1084">
        <f t="shared" si="91"/>
        <v>0</v>
      </c>
      <c r="K116" s="1084"/>
      <c r="L116" s="1084"/>
      <c r="M116" s="1084"/>
      <c r="N116" s="1084"/>
      <c r="O116" s="1084"/>
      <c r="P116" s="1084"/>
      <c r="Q116" s="1084"/>
      <c r="R116" s="1084"/>
      <c r="S116" s="1084"/>
      <c r="T116" s="1084"/>
      <c r="U116" s="1084"/>
      <c r="V116" s="1084"/>
      <c r="W116" s="1084"/>
      <c r="X116" s="1084"/>
      <c r="Y116" s="1084"/>
      <c r="Z116" s="1084"/>
      <c r="AA116" s="1084"/>
      <c r="AB116" s="1084"/>
      <c r="AC116" s="1084">
        <v>0</v>
      </c>
      <c r="AD116" s="1084">
        <f t="shared" si="92"/>
        <v>0</v>
      </c>
      <c r="AE116" s="1084">
        <f t="shared" si="93"/>
        <v>0</v>
      </c>
      <c r="AF116" s="1084"/>
      <c r="AG116" s="1084"/>
      <c r="AH116" s="1084"/>
      <c r="AI116" s="1084"/>
      <c r="AJ116" s="1084"/>
      <c r="AK116" s="1084"/>
      <c r="AL116" s="1084">
        <v>0</v>
      </c>
      <c r="AM116" s="1085">
        <f t="shared" si="94"/>
        <v>0</v>
      </c>
      <c r="AN116" s="1085">
        <f t="shared" si="95"/>
        <v>0</v>
      </c>
      <c r="AO116" s="1085"/>
      <c r="AP116" s="1085"/>
      <c r="AQ116" s="1085"/>
      <c r="AR116" s="1085"/>
      <c r="AS116" s="1085"/>
      <c r="AT116" s="1085"/>
      <c r="AU116" s="1085"/>
      <c r="AV116" s="1085"/>
      <c r="AW116" s="1085"/>
      <c r="AX116" s="1085"/>
      <c r="AY116" s="1085">
        <v>0</v>
      </c>
      <c r="AZ116" s="1085">
        <f t="shared" si="96"/>
        <v>0</v>
      </c>
      <c r="BA116" s="1085">
        <f t="shared" si="97"/>
        <v>0</v>
      </c>
      <c r="BB116" s="1085"/>
      <c r="BC116" s="1085"/>
      <c r="BD116" s="1085"/>
      <c r="BE116" s="1085"/>
      <c r="BF116" s="1085"/>
      <c r="BG116" s="1084">
        <f t="shared" si="98"/>
        <v>0</v>
      </c>
      <c r="BH116" s="1084">
        <f t="shared" si="99"/>
        <v>0</v>
      </c>
      <c r="BI116" s="1084"/>
      <c r="BJ116" s="1084"/>
      <c r="BK116" s="1084"/>
      <c r="BL116" s="1084"/>
      <c r="BM116" s="1084"/>
      <c r="BN116" s="1084"/>
      <c r="BO116" s="1086"/>
      <c r="BP116" s="1084"/>
      <c r="BQ116" s="1087"/>
      <c r="BR116" s="1084"/>
      <c r="BS116" s="1088"/>
      <c r="BT116" s="1089" t="s">
        <v>1504</v>
      </c>
      <c r="BU116" s="1090" t="s">
        <v>1489</v>
      </c>
    </row>
    <row r="117" spans="1:73" ht="12.75" x14ac:dyDescent="0.25">
      <c r="A117" s="1094">
        <v>90000594245</v>
      </c>
      <c r="B117" s="1095"/>
      <c r="C117" s="1514" t="s">
        <v>1346</v>
      </c>
      <c r="D117" s="1515"/>
      <c r="E117" s="1082" t="s">
        <v>1505</v>
      </c>
      <c r="F117" s="1083">
        <f t="shared" si="88"/>
        <v>44228</v>
      </c>
      <c r="G117" s="1083">
        <f t="shared" si="89"/>
        <v>38562</v>
      </c>
      <c r="H117" s="1084">
        <v>44228</v>
      </c>
      <c r="I117" s="1084">
        <f t="shared" si="90"/>
        <v>38562</v>
      </c>
      <c r="J117" s="1084">
        <f t="shared" si="91"/>
        <v>-5666</v>
      </c>
      <c r="K117" s="1084"/>
      <c r="L117" s="1084"/>
      <c r="M117" s="1084"/>
      <c r="N117" s="1084"/>
      <c r="O117" s="1084"/>
      <c r="P117" s="1084"/>
      <c r="Q117" s="1084"/>
      <c r="R117" s="1084"/>
      <c r="S117" s="1084"/>
      <c r="T117" s="1084"/>
      <c r="U117" s="1084"/>
      <c r="V117" s="1084"/>
      <c r="W117" s="1084"/>
      <c r="X117" s="1084"/>
      <c r="Y117" s="1084"/>
      <c r="Z117" s="1084">
        <v>-5666</v>
      </c>
      <c r="AA117" s="1084"/>
      <c r="AB117" s="1084"/>
      <c r="AC117" s="1084">
        <v>0</v>
      </c>
      <c r="AD117" s="1084">
        <f t="shared" si="92"/>
        <v>0</v>
      </c>
      <c r="AE117" s="1084">
        <f t="shared" si="93"/>
        <v>0</v>
      </c>
      <c r="AF117" s="1084"/>
      <c r="AG117" s="1084"/>
      <c r="AH117" s="1084"/>
      <c r="AI117" s="1084"/>
      <c r="AJ117" s="1084"/>
      <c r="AK117" s="1084"/>
      <c r="AL117" s="1084">
        <v>0</v>
      </c>
      <c r="AM117" s="1085">
        <f t="shared" si="94"/>
        <v>0</v>
      </c>
      <c r="AN117" s="1085">
        <f t="shared" si="95"/>
        <v>0</v>
      </c>
      <c r="AO117" s="1085"/>
      <c r="AP117" s="1085"/>
      <c r="AQ117" s="1085"/>
      <c r="AR117" s="1085"/>
      <c r="AS117" s="1085"/>
      <c r="AT117" s="1085"/>
      <c r="AU117" s="1085"/>
      <c r="AV117" s="1085"/>
      <c r="AW117" s="1085"/>
      <c r="AX117" s="1085"/>
      <c r="AY117" s="1085">
        <v>0</v>
      </c>
      <c r="AZ117" s="1085">
        <f t="shared" si="96"/>
        <v>0</v>
      </c>
      <c r="BA117" s="1085">
        <f t="shared" si="97"/>
        <v>0</v>
      </c>
      <c r="BB117" s="1085"/>
      <c r="BC117" s="1085"/>
      <c r="BD117" s="1085"/>
      <c r="BE117" s="1085"/>
      <c r="BF117" s="1085"/>
      <c r="BG117" s="1084">
        <f t="shared" si="98"/>
        <v>0</v>
      </c>
      <c r="BH117" s="1084">
        <f t="shared" si="99"/>
        <v>0</v>
      </c>
      <c r="BI117" s="1084"/>
      <c r="BJ117" s="1084"/>
      <c r="BK117" s="1084"/>
      <c r="BL117" s="1084"/>
      <c r="BM117" s="1084"/>
      <c r="BN117" s="1084"/>
      <c r="BO117" s="1086"/>
      <c r="BP117" s="1084"/>
      <c r="BQ117" s="1087"/>
      <c r="BR117" s="1084"/>
      <c r="BS117" s="1088"/>
      <c r="BT117" s="1089" t="s">
        <v>1506</v>
      </c>
      <c r="BU117" s="1090" t="s">
        <v>1507</v>
      </c>
    </row>
    <row r="118" spans="1:73" ht="12.75" x14ac:dyDescent="0.25">
      <c r="A118" s="1094"/>
      <c r="B118" s="1095"/>
      <c r="C118" s="1096"/>
      <c r="D118" s="1097"/>
      <c r="E118" s="1082" t="s">
        <v>1508</v>
      </c>
      <c r="F118" s="1083">
        <f t="shared" si="88"/>
        <v>9940</v>
      </c>
      <c r="G118" s="1083">
        <f t="shared" si="89"/>
        <v>9940</v>
      </c>
      <c r="H118" s="1084">
        <v>9940</v>
      </c>
      <c r="I118" s="1084">
        <f t="shared" si="90"/>
        <v>9940</v>
      </c>
      <c r="J118" s="1084">
        <f t="shared" si="91"/>
        <v>0</v>
      </c>
      <c r="K118" s="1084"/>
      <c r="L118" s="1084"/>
      <c r="M118" s="1084"/>
      <c r="N118" s="1084"/>
      <c r="O118" s="1084"/>
      <c r="P118" s="1084"/>
      <c r="Q118" s="1084"/>
      <c r="R118" s="1084"/>
      <c r="S118" s="1084"/>
      <c r="T118" s="1084"/>
      <c r="U118" s="1084"/>
      <c r="V118" s="1084"/>
      <c r="W118" s="1084"/>
      <c r="X118" s="1084"/>
      <c r="Y118" s="1084"/>
      <c r="Z118" s="1084"/>
      <c r="AA118" s="1084"/>
      <c r="AB118" s="1084"/>
      <c r="AC118" s="1084">
        <v>0</v>
      </c>
      <c r="AD118" s="1084">
        <f t="shared" si="92"/>
        <v>0</v>
      </c>
      <c r="AE118" s="1084">
        <f t="shared" si="93"/>
        <v>0</v>
      </c>
      <c r="AF118" s="1084"/>
      <c r="AG118" s="1084"/>
      <c r="AH118" s="1084"/>
      <c r="AI118" s="1084"/>
      <c r="AJ118" s="1084"/>
      <c r="AK118" s="1084"/>
      <c r="AL118" s="1084">
        <v>0</v>
      </c>
      <c r="AM118" s="1085">
        <f t="shared" si="94"/>
        <v>0</v>
      </c>
      <c r="AN118" s="1085">
        <f t="shared" si="95"/>
        <v>0</v>
      </c>
      <c r="AO118" s="1085"/>
      <c r="AP118" s="1085"/>
      <c r="AQ118" s="1085"/>
      <c r="AR118" s="1085"/>
      <c r="AS118" s="1085"/>
      <c r="AT118" s="1085"/>
      <c r="AU118" s="1085"/>
      <c r="AV118" s="1085"/>
      <c r="AW118" s="1085"/>
      <c r="AX118" s="1085"/>
      <c r="AY118" s="1085">
        <v>0</v>
      </c>
      <c r="AZ118" s="1085">
        <f t="shared" si="96"/>
        <v>0</v>
      </c>
      <c r="BA118" s="1085">
        <f t="shared" si="97"/>
        <v>0</v>
      </c>
      <c r="BB118" s="1085"/>
      <c r="BC118" s="1085"/>
      <c r="BD118" s="1085"/>
      <c r="BE118" s="1085"/>
      <c r="BF118" s="1085"/>
      <c r="BG118" s="1084">
        <f t="shared" si="98"/>
        <v>0</v>
      </c>
      <c r="BH118" s="1084">
        <f t="shared" si="99"/>
        <v>0</v>
      </c>
      <c r="BI118" s="1084"/>
      <c r="BJ118" s="1084"/>
      <c r="BK118" s="1084"/>
      <c r="BL118" s="1084"/>
      <c r="BM118" s="1084"/>
      <c r="BN118" s="1084"/>
      <c r="BO118" s="1086"/>
      <c r="BP118" s="1084"/>
      <c r="BQ118" s="1087"/>
      <c r="BR118" s="1084"/>
      <c r="BS118" s="1088"/>
      <c r="BT118" s="1089" t="s">
        <v>1509</v>
      </c>
      <c r="BU118" s="1090" t="s">
        <v>1507</v>
      </c>
    </row>
    <row r="119" spans="1:73" ht="12.75" x14ac:dyDescent="0.25">
      <c r="A119" s="1094"/>
      <c r="B119" s="1095"/>
      <c r="C119" s="1096"/>
      <c r="D119" s="1097"/>
      <c r="E119" s="1082" t="s">
        <v>1510</v>
      </c>
      <c r="F119" s="1083">
        <f t="shared" si="88"/>
        <v>20000</v>
      </c>
      <c r="G119" s="1083">
        <f t="shared" si="89"/>
        <v>20000</v>
      </c>
      <c r="H119" s="1084">
        <v>20000</v>
      </c>
      <c r="I119" s="1084">
        <f t="shared" si="90"/>
        <v>20000</v>
      </c>
      <c r="J119" s="1084">
        <f t="shared" si="91"/>
        <v>0</v>
      </c>
      <c r="K119" s="1084"/>
      <c r="L119" s="1084"/>
      <c r="M119" s="1084"/>
      <c r="N119" s="1084"/>
      <c r="O119" s="1084"/>
      <c r="P119" s="1084"/>
      <c r="Q119" s="1084"/>
      <c r="R119" s="1084"/>
      <c r="S119" s="1084"/>
      <c r="T119" s="1084"/>
      <c r="U119" s="1084"/>
      <c r="V119" s="1084"/>
      <c r="W119" s="1084"/>
      <c r="X119" s="1084"/>
      <c r="Y119" s="1084"/>
      <c r="Z119" s="1084"/>
      <c r="AA119" s="1084"/>
      <c r="AB119" s="1084"/>
      <c r="AC119" s="1084">
        <v>0</v>
      </c>
      <c r="AD119" s="1084">
        <f t="shared" si="92"/>
        <v>0</v>
      </c>
      <c r="AE119" s="1084">
        <f t="shared" si="93"/>
        <v>0</v>
      </c>
      <c r="AF119" s="1084"/>
      <c r="AG119" s="1084"/>
      <c r="AH119" s="1084"/>
      <c r="AI119" s="1084"/>
      <c r="AJ119" s="1084"/>
      <c r="AK119" s="1084"/>
      <c r="AL119" s="1084">
        <v>0</v>
      </c>
      <c r="AM119" s="1085">
        <f t="shared" si="94"/>
        <v>0</v>
      </c>
      <c r="AN119" s="1085">
        <f t="shared" si="95"/>
        <v>0</v>
      </c>
      <c r="AO119" s="1085"/>
      <c r="AP119" s="1085"/>
      <c r="AQ119" s="1085"/>
      <c r="AR119" s="1085"/>
      <c r="AS119" s="1085"/>
      <c r="AT119" s="1085"/>
      <c r="AU119" s="1085"/>
      <c r="AV119" s="1085"/>
      <c r="AW119" s="1085"/>
      <c r="AX119" s="1085"/>
      <c r="AY119" s="1085">
        <v>0</v>
      </c>
      <c r="AZ119" s="1085">
        <f t="shared" si="96"/>
        <v>0</v>
      </c>
      <c r="BA119" s="1085">
        <f t="shared" si="97"/>
        <v>0</v>
      </c>
      <c r="BB119" s="1085"/>
      <c r="BC119" s="1085"/>
      <c r="BD119" s="1085"/>
      <c r="BE119" s="1085"/>
      <c r="BF119" s="1085"/>
      <c r="BG119" s="1084">
        <f t="shared" si="98"/>
        <v>0</v>
      </c>
      <c r="BH119" s="1084">
        <f t="shared" si="99"/>
        <v>0</v>
      </c>
      <c r="BI119" s="1084"/>
      <c r="BJ119" s="1084"/>
      <c r="BK119" s="1084"/>
      <c r="BL119" s="1084"/>
      <c r="BM119" s="1084"/>
      <c r="BN119" s="1084"/>
      <c r="BO119" s="1086"/>
      <c r="BP119" s="1084"/>
      <c r="BQ119" s="1087"/>
      <c r="BR119" s="1084"/>
      <c r="BS119" s="1088"/>
      <c r="BT119" s="1089" t="s">
        <v>1511</v>
      </c>
      <c r="BU119" s="1090" t="s">
        <v>1507</v>
      </c>
    </row>
    <row r="120" spans="1:73" ht="12.75" x14ac:dyDescent="0.25">
      <c r="A120" s="1094"/>
      <c r="B120" s="1095"/>
      <c r="C120" s="1096"/>
      <c r="D120" s="1097"/>
      <c r="E120" s="1082" t="s">
        <v>1512</v>
      </c>
      <c r="F120" s="1083">
        <f t="shared" si="88"/>
        <v>27100</v>
      </c>
      <c r="G120" s="1083">
        <f t="shared" si="89"/>
        <v>6405</v>
      </c>
      <c r="H120" s="1084">
        <v>27100</v>
      </c>
      <c r="I120" s="1084">
        <f t="shared" si="90"/>
        <v>6405</v>
      </c>
      <c r="J120" s="1084">
        <f t="shared" si="91"/>
        <v>-20695</v>
      </c>
      <c r="K120" s="1084"/>
      <c r="L120" s="1084"/>
      <c r="M120" s="1084"/>
      <c r="N120" s="1084"/>
      <c r="O120" s="1084">
        <v>-20000</v>
      </c>
      <c r="P120" s="1084"/>
      <c r="Q120" s="1084"/>
      <c r="R120" s="1084"/>
      <c r="S120" s="1084"/>
      <c r="T120" s="1084"/>
      <c r="U120" s="1084"/>
      <c r="V120" s="1084"/>
      <c r="W120" s="1084"/>
      <c r="X120" s="1084"/>
      <c r="Y120" s="1084"/>
      <c r="Z120" s="1084">
        <v>-695</v>
      </c>
      <c r="AA120" s="1084"/>
      <c r="AB120" s="1084"/>
      <c r="AC120" s="1084">
        <v>0</v>
      </c>
      <c r="AD120" s="1084">
        <f t="shared" si="92"/>
        <v>0</v>
      </c>
      <c r="AE120" s="1084">
        <f t="shared" si="93"/>
        <v>0</v>
      </c>
      <c r="AF120" s="1084"/>
      <c r="AG120" s="1084"/>
      <c r="AH120" s="1084"/>
      <c r="AI120" s="1084"/>
      <c r="AJ120" s="1084"/>
      <c r="AK120" s="1084"/>
      <c r="AL120" s="1084">
        <v>0</v>
      </c>
      <c r="AM120" s="1085">
        <f t="shared" si="94"/>
        <v>0</v>
      </c>
      <c r="AN120" s="1085">
        <f t="shared" si="95"/>
        <v>0</v>
      </c>
      <c r="AO120" s="1085"/>
      <c r="AP120" s="1085"/>
      <c r="AQ120" s="1085"/>
      <c r="AR120" s="1085"/>
      <c r="AS120" s="1085"/>
      <c r="AT120" s="1085"/>
      <c r="AU120" s="1085"/>
      <c r="AV120" s="1085"/>
      <c r="AW120" s="1085"/>
      <c r="AX120" s="1085"/>
      <c r="AY120" s="1085">
        <v>0</v>
      </c>
      <c r="AZ120" s="1085">
        <f t="shared" si="96"/>
        <v>0</v>
      </c>
      <c r="BA120" s="1085">
        <f t="shared" si="97"/>
        <v>0</v>
      </c>
      <c r="BB120" s="1085"/>
      <c r="BC120" s="1085"/>
      <c r="BD120" s="1085"/>
      <c r="BE120" s="1085"/>
      <c r="BF120" s="1085"/>
      <c r="BG120" s="1084">
        <f t="shared" si="98"/>
        <v>0</v>
      </c>
      <c r="BH120" s="1084">
        <f t="shared" si="99"/>
        <v>0</v>
      </c>
      <c r="BI120" s="1084"/>
      <c r="BJ120" s="1084"/>
      <c r="BK120" s="1084"/>
      <c r="BL120" s="1084"/>
      <c r="BM120" s="1084"/>
      <c r="BN120" s="1084"/>
      <c r="BO120" s="1086"/>
      <c r="BP120" s="1084"/>
      <c r="BQ120" s="1087"/>
      <c r="BR120" s="1084"/>
      <c r="BS120" s="1088"/>
      <c r="BT120" s="1089" t="s">
        <v>1513</v>
      </c>
      <c r="BU120" s="1090" t="s">
        <v>1507</v>
      </c>
    </row>
    <row r="121" spans="1:73" ht="12.75" x14ac:dyDescent="0.25">
      <c r="A121" s="1094"/>
      <c r="B121" s="1095"/>
      <c r="C121" s="1096"/>
      <c r="D121" s="1097"/>
      <c r="E121" s="1082" t="s">
        <v>1514</v>
      </c>
      <c r="F121" s="1083">
        <f t="shared" si="88"/>
        <v>29669</v>
      </c>
      <c r="G121" s="1083">
        <f t="shared" si="89"/>
        <v>30364</v>
      </c>
      <c r="H121" s="1084">
        <v>29669</v>
      </c>
      <c r="I121" s="1084">
        <f t="shared" si="90"/>
        <v>30364</v>
      </c>
      <c r="J121" s="1084">
        <f t="shared" si="91"/>
        <v>695</v>
      </c>
      <c r="K121" s="1084"/>
      <c r="L121" s="1084"/>
      <c r="M121" s="1084"/>
      <c r="N121" s="1084"/>
      <c r="O121" s="1084"/>
      <c r="P121" s="1084"/>
      <c r="Q121" s="1084"/>
      <c r="R121" s="1084"/>
      <c r="S121" s="1084"/>
      <c r="T121" s="1084"/>
      <c r="U121" s="1084"/>
      <c r="V121" s="1084"/>
      <c r="W121" s="1084"/>
      <c r="X121" s="1084"/>
      <c r="Y121" s="1084"/>
      <c r="Z121" s="1084">
        <v>695</v>
      </c>
      <c r="AA121" s="1084"/>
      <c r="AB121" s="1084"/>
      <c r="AC121" s="1084">
        <v>0</v>
      </c>
      <c r="AD121" s="1084">
        <f t="shared" si="92"/>
        <v>0</v>
      </c>
      <c r="AE121" s="1084">
        <f t="shared" si="93"/>
        <v>0</v>
      </c>
      <c r="AF121" s="1084"/>
      <c r="AG121" s="1084"/>
      <c r="AH121" s="1084"/>
      <c r="AI121" s="1084"/>
      <c r="AJ121" s="1084"/>
      <c r="AK121" s="1084"/>
      <c r="AL121" s="1084">
        <v>0</v>
      </c>
      <c r="AM121" s="1085">
        <f t="shared" si="94"/>
        <v>0</v>
      </c>
      <c r="AN121" s="1085">
        <f t="shared" si="95"/>
        <v>0</v>
      </c>
      <c r="AO121" s="1085"/>
      <c r="AP121" s="1085"/>
      <c r="AQ121" s="1085"/>
      <c r="AR121" s="1085"/>
      <c r="AS121" s="1085"/>
      <c r="AT121" s="1085"/>
      <c r="AU121" s="1085"/>
      <c r="AV121" s="1085"/>
      <c r="AW121" s="1085"/>
      <c r="AX121" s="1085"/>
      <c r="AY121" s="1085">
        <v>0</v>
      </c>
      <c r="AZ121" s="1085">
        <f t="shared" si="96"/>
        <v>0</v>
      </c>
      <c r="BA121" s="1085">
        <f t="shared" si="97"/>
        <v>0</v>
      </c>
      <c r="BB121" s="1085"/>
      <c r="BC121" s="1085"/>
      <c r="BD121" s="1085"/>
      <c r="BE121" s="1085"/>
      <c r="BF121" s="1085"/>
      <c r="BG121" s="1084">
        <f t="shared" si="98"/>
        <v>0</v>
      </c>
      <c r="BH121" s="1084">
        <f t="shared" si="99"/>
        <v>0</v>
      </c>
      <c r="BI121" s="1084"/>
      <c r="BJ121" s="1084"/>
      <c r="BK121" s="1084"/>
      <c r="BL121" s="1084"/>
      <c r="BM121" s="1084"/>
      <c r="BN121" s="1084"/>
      <c r="BO121" s="1086"/>
      <c r="BP121" s="1084"/>
      <c r="BQ121" s="1087"/>
      <c r="BR121" s="1084"/>
      <c r="BS121" s="1088"/>
      <c r="BT121" s="1089" t="s">
        <v>1515</v>
      </c>
      <c r="BU121" s="1090" t="s">
        <v>1507</v>
      </c>
    </row>
    <row r="122" spans="1:73" ht="24" x14ac:dyDescent="0.25">
      <c r="A122" s="1094"/>
      <c r="B122" s="1095"/>
      <c r="C122" s="1096"/>
      <c r="D122" s="1097"/>
      <c r="E122" s="1082" t="s">
        <v>1516</v>
      </c>
      <c r="F122" s="1083">
        <f t="shared" si="88"/>
        <v>5930</v>
      </c>
      <c r="G122" s="1083">
        <f t="shared" si="89"/>
        <v>5930</v>
      </c>
      <c r="H122" s="1084">
        <v>5930</v>
      </c>
      <c r="I122" s="1084">
        <f t="shared" si="90"/>
        <v>5930</v>
      </c>
      <c r="J122" s="1084">
        <f t="shared" si="91"/>
        <v>0</v>
      </c>
      <c r="K122" s="1084"/>
      <c r="L122" s="1084"/>
      <c r="M122" s="1084"/>
      <c r="N122" s="1084"/>
      <c r="O122" s="1084"/>
      <c r="P122" s="1084"/>
      <c r="Q122" s="1084"/>
      <c r="R122" s="1084"/>
      <c r="S122" s="1084"/>
      <c r="T122" s="1084"/>
      <c r="U122" s="1084"/>
      <c r="V122" s="1084"/>
      <c r="W122" s="1084"/>
      <c r="X122" s="1084"/>
      <c r="Y122" s="1084"/>
      <c r="Z122" s="1084"/>
      <c r="AA122" s="1084"/>
      <c r="AB122" s="1084"/>
      <c r="AC122" s="1084">
        <v>0</v>
      </c>
      <c r="AD122" s="1084">
        <f t="shared" si="92"/>
        <v>0</v>
      </c>
      <c r="AE122" s="1084">
        <f t="shared" si="93"/>
        <v>0</v>
      </c>
      <c r="AF122" s="1084"/>
      <c r="AG122" s="1084"/>
      <c r="AH122" s="1084"/>
      <c r="AI122" s="1084"/>
      <c r="AJ122" s="1084"/>
      <c r="AK122" s="1084"/>
      <c r="AL122" s="1084">
        <v>0</v>
      </c>
      <c r="AM122" s="1085">
        <f t="shared" si="94"/>
        <v>0</v>
      </c>
      <c r="AN122" s="1085">
        <f t="shared" si="95"/>
        <v>0</v>
      </c>
      <c r="AO122" s="1085"/>
      <c r="AP122" s="1085"/>
      <c r="AQ122" s="1085"/>
      <c r="AR122" s="1085"/>
      <c r="AS122" s="1085"/>
      <c r="AT122" s="1085"/>
      <c r="AU122" s="1085"/>
      <c r="AV122" s="1085"/>
      <c r="AW122" s="1085"/>
      <c r="AX122" s="1085"/>
      <c r="AY122" s="1085">
        <v>0</v>
      </c>
      <c r="AZ122" s="1085">
        <f t="shared" si="96"/>
        <v>0</v>
      </c>
      <c r="BA122" s="1085">
        <f t="shared" si="97"/>
        <v>0</v>
      </c>
      <c r="BB122" s="1085"/>
      <c r="BC122" s="1085"/>
      <c r="BD122" s="1085"/>
      <c r="BE122" s="1085"/>
      <c r="BF122" s="1085"/>
      <c r="BG122" s="1084">
        <f t="shared" si="98"/>
        <v>0</v>
      </c>
      <c r="BH122" s="1084">
        <f t="shared" si="99"/>
        <v>0</v>
      </c>
      <c r="BI122" s="1084"/>
      <c r="BJ122" s="1084"/>
      <c r="BK122" s="1084"/>
      <c r="BL122" s="1084"/>
      <c r="BM122" s="1084"/>
      <c r="BN122" s="1084"/>
      <c r="BO122" s="1086"/>
      <c r="BP122" s="1084"/>
      <c r="BQ122" s="1087"/>
      <c r="BR122" s="1084"/>
      <c r="BS122" s="1088"/>
      <c r="BT122" s="1089" t="s">
        <v>1517</v>
      </c>
      <c r="BU122" s="1090" t="s">
        <v>1507</v>
      </c>
    </row>
    <row r="123" spans="1:73" ht="24" x14ac:dyDescent="0.25">
      <c r="A123" s="1094"/>
      <c r="B123" s="1095"/>
      <c r="C123" s="1096"/>
      <c r="D123" s="1097"/>
      <c r="E123" s="1082" t="s">
        <v>1518</v>
      </c>
      <c r="F123" s="1083">
        <f t="shared" si="88"/>
        <v>2500</v>
      </c>
      <c r="G123" s="1083">
        <f t="shared" si="89"/>
        <v>13360</v>
      </c>
      <c r="H123" s="1084">
        <v>2500</v>
      </c>
      <c r="I123" s="1084">
        <f t="shared" si="90"/>
        <v>13360</v>
      </c>
      <c r="J123" s="1084">
        <f t="shared" si="91"/>
        <v>10860</v>
      </c>
      <c r="K123" s="1084"/>
      <c r="L123" s="1084"/>
      <c r="M123" s="1084"/>
      <c r="N123" s="1084"/>
      <c r="O123" s="1084"/>
      <c r="P123" s="1084"/>
      <c r="Q123" s="1084"/>
      <c r="R123" s="1084">
        <v>10860</v>
      </c>
      <c r="S123" s="1084"/>
      <c r="T123" s="1084"/>
      <c r="U123" s="1084"/>
      <c r="V123" s="1084"/>
      <c r="W123" s="1084"/>
      <c r="X123" s="1084"/>
      <c r="Y123" s="1084"/>
      <c r="Z123" s="1084"/>
      <c r="AA123" s="1084"/>
      <c r="AB123" s="1084"/>
      <c r="AC123" s="1084">
        <v>0</v>
      </c>
      <c r="AD123" s="1084">
        <f t="shared" si="92"/>
        <v>0</v>
      </c>
      <c r="AE123" s="1084">
        <f t="shared" si="93"/>
        <v>0</v>
      </c>
      <c r="AF123" s="1084"/>
      <c r="AG123" s="1084"/>
      <c r="AH123" s="1084"/>
      <c r="AI123" s="1084"/>
      <c r="AJ123" s="1084"/>
      <c r="AK123" s="1084"/>
      <c r="AL123" s="1084">
        <v>0</v>
      </c>
      <c r="AM123" s="1085">
        <f t="shared" si="94"/>
        <v>0</v>
      </c>
      <c r="AN123" s="1085">
        <f t="shared" si="95"/>
        <v>0</v>
      </c>
      <c r="AO123" s="1085"/>
      <c r="AP123" s="1085"/>
      <c r="AQ123" s="1085"/>
      <c r="AR123" s="1085"/>
      <c r="AS123" s="1085"/>
      <c r="AT123" s="1085"/>
      <c r="AU123" s="1085"/>
      <c r="AV123" s="1085"/>
      <c r="AW123" s="1085"/>
      <c r="AX123" s="1085"/>
      <c r="AY123" s="1085">
        <v>0</v>
      </c>
      <c r="AZ123" s="1085">
        <f t="shared" si="96"/>
        <v>0</v>
      </c>
      <c r="BA123" s="1085">
        <f t="shared" si="97"/>
        <v>0</v>
      </c>
      <c r="BB123" s="1085"/>
      <c r="BC123" s="1085"/>
      <c r="BD123" s="1085"/>
      <c r="BE123" s="1085"/>
      <c r="BF123" s="1085"/>
      <c r="BG123" s="1084">
        <f t="shared" si="98"/>
        <v>0</v>
      </c>
      <c r="BH123" s="1084">
        <f t="shared" si="99"/>
        <v>0</v>
      </c>
      <c r="BI123" s="1084"/>
      <c r="BJ123" s="1084"/>
      <c r="BK123" s="1084"/>
      <c r="BL123" s="1084"/>
      <c r="BM123" s="1084"/>
      <c r="BN123" s="1084"/>
      <c r="BO123" s="1086"/>
      <c r="BP123" s="1084"/>
      <c r="BQ123" s="1087"/>
      <c r="BR123" s="1084"/>
      <c r="BS123" s="1088"/>
      <c r="BT123" s="1089" t="s">
        <v>1519</v>
      </c>
      <c r="BU123" s="1090" t="s">
        <v>1507</v>
      </c>
    </row>
    <row r="124" spans="1:73" ht="36" x14ac:dyDescent="0.25">
      <c r="A124" s="1094">
        <v>90000056450</v>
      </c>
      <c r="B124" s="1095"/>
      <c r="C124" s="1514" t="s">
        <v>1520</v>
      </c>
      <c r="D124" s="1515"/>
      <c r="E124" s="1082" t="s">
        <v>1521</v>
      </c>
      <c r="F124" s="1083">
        <f t="shared" si="88"/>
        <v>668045</v>
      </c>
      <c r="G124" s="1083">
        <f t="shared" si="89"/>
        <v>634920</v>
      </c>
      <c r="H124" s="1084">
        <v>658166</v>
      </c>
      <c r="I124" s="1084">
        <f t="shared" si="90"/>
        <v>623768</v>
      </c>
      <c r="J124" s="1084">
        <f t="shared" si="91"/>
        <v>-34398</v>
      </c>
      <c r="K124" s="1084">
        <f>-33225-1173</f>
        <v>-34398</v>
      </c>
      <c r="L124" s="1084"/>
      <c r="M124" s="1084"/>
      <c r="N124" s="1084"/>
      <c r="O124" s="1084"/>
      <c r="P124" s="1084"/>
      <c r="Q124" s="1084"/>
      <c r="R124" s="1084"/>
      <c r="S124" s="1084"/>
      <c r="T124" s="1084"/>
      <c r="U124" s="1084"/>
      <c r="V124" s="1084"/>
      <c r="W124" s="1084"/>
      <c r="X124" s="1084"/>
      <c r="Y124" s="1084"/>
      <c r="Z124" s="1084"/>
      <c r="AA124" s="1084"/>
      <c r="AB124" s="1084"/>
      <c r="AC124" s="1084">
        <v>0</v>
      </c>
      <c r="AD124" s="1084">
        <f t="shared" si="92"/>
        <v>0</v>
      </c>
      <c r="AE124" s="1084">
        <f t="shared" si="93"/>
        <v>0</v>
      </c>
      <c r="AF124" s="1084"/>
      <c r="AG124" s="1084"/>
      <c r="AH124" s="1084"/>
      <c r="AI124" s="1084"/>
      <c r="AJ124" s="1084"/>
      <c r="AK124" s="1084"/>
      <c r="AL124" s="1084">
        <v>9879</v>
      </c>
      <c r="AM124" s="1085">
        <f>AN124+AL124</f>
        <v>11185</v>
      </c>
      <c r="AN124" s="1085">
        <f>SUM(AO124:AW124)</f>
        <v>1306</v>
      </c>
      <c r="AO124" s="1085">
        <v>1273</v>
      </c>
      <c r="AP124" s="1085"/>
      <c r="AQ124" s="1085"/>
      <c r="AR124" s="1085"/>
      <c r="AS124" s="1085">
        <v>33</v>
      </c>
      <c r="AT124" s="1085"/>
      <c r="AU124" s="1085"/>
      <c r="AV124" s="1085"/>
      <c r="AW124" s="1085"/>
      <c r="AX124" s="1085"/>
      <c r="AY124" s="1085">
        <v>0</v>
      </c>
      <c r="AZ124" s="1085">
        <f t="shared" si="96"/>
        <v>0</v>
      </c>
      <c r="BA124" s="1085">
        <f t="shared" si="97"/>
        <v>0</v>
      </c>
      <c r="BB124" s="1085"/>
      <c r="BC124" s="1085"/>
      <c r="BD124" s="1085"/>
      <c r="BE124" s="1085"/>
      <c r="BF124" s="1085"/>
      <c r="BG124" s="1084">
        <f t="shared" si="98"/>
        <v>-33</v>
      </c>
      <c r="BH124" s="1084">
        <f t="shared" si="99"/>
        <v>-33</v>
      </c>
      <c r="BI124" s="1084"/>
      <c r="BJ124" s="1084"/>
      <c r="BK124" s="1084"/>
      <c r="BL124" s="1084"/>
      <c r="BM124" s="1084"/>
      <c r="BN124" s="1084">
        <v>-33</v>
      </c>
      <c r="BO124" s="1086"/>
      <c r="BP124" s="1084"/>
      <c r="BQ124" s="1087"/>
      <c r="BR124" s="1084"/>
      <c r="BS124" s="1088"/>
      <c r="BT124" s="1089" t="s">
        <v>1522</v>
      </c>
      <c r="BU124" s="1090"/>
    </row>
    <row r="125" spans="1:73" ht="36" x14ac:dyDescent="0.25">
      <c r="A125" s="1094">
        <v>90009229680</v>
      </c>
      <c r="B125" s="1095"/>
      <c r="C125" s="1514" t="s">
        <v>1523</v>
      </c>
      <c r="D125" s="1515"/>
      <c r="E125" s="1082" t="s">
        <v>1524</v>
      </c>
      <c r="F125" s="1083">
        <f t="shared" si="88"/>
        <v>904466</v>
      </c>
      <c r="G125" s="1083">
        <f t="shared" si="89"/>
        <v>894889</v>
      </c>
      <c r="H125" s="1084">
        <v>875140</v>
      </c>
      <c r="I125" s="1084">
        <f t="shared" si="90"/>
        <v>857573</v>
      </c>
      <c r="J125" s="1084">
        <f t="shared" si="91"/>
        <v>-17567</v>
      </c>
      <c r="K125" s="1084">
        <f>-23868-3354</f>
        <v>-27222</v>
      </c>
      <c r="L125" s="1084"/>
      <c r="M125" s="1084">
        <v>8407</v>
      </c>
      <c r="N125" s="1084">
        <v>556</v>
      </c>
      <c r="O125" s="1084">
        <v>692</v>
      </c>
      <c r="P125" s="1084"/>
      <c r="Q125" s="1084"/>
      <c r="R125" s="1084"/>
      <c r="S125" s="1084"/>
      <c r="T125" s="1084"/>
      <c r="U125" s="1084"/>
      <c r="V125" s="1084"/>
      <c r="W125" s="1084"/>
      <c r="X125" s="1084"/>
      <c r="Y125" s="1084"/>
      <c r="Z125" s="1084"/>
      <c r="AA125" s="1084"/>
      <c r="AB125" s="1084"/>
      <c r="AC125" s="1084">
        <v>7279</v>
      </c>
      <c r="AD125" s="1084">
        <f t="shared" si="92"/>
        <v>8525</v>
      </c>
      <c r="AE125" s="1084">
        <f t="shared" si="93"/>
        <v>1246</v>
      </c>
      <c r="AF125" s="1084"/>
      <c r="AG125" s="1084">
        <v>1246</v>
      </c>
      <c r="AH125" s="1084"/>
      <c r="AI125" s="1084"/>
      <c r="AJ125" s="1084"/>
      <c r="AK125" s="1084"/>
      <c r="AL125" s="1084">
        <v>22047</v>
      </c>
      <c r="AM125" s="1085">
        <f>AN125+AL125</f>
        <v>29833</v>
      </c>
      <c r="AN125" s="1085">
        <f>SUM(AO125:AW125)</f>
        <v>7786</v>
      </c>
      <c r="AO125" s="1085">
        <v>4204</v>
      </c>
      <c r="AP125" s="1085"/>
      <c r="AQ125" s="1085">
        <v>1152</v>
      </c>
      <c r="AR125" s="1085"/>
      <c r="AS125" s="1085"/>
      <c r="AT125" s="1085"/>
      <c r="AU125" s="1085">
        <v>2430</v>
      </c>
      <c r="AV125" s="1085"/>
      <c r="AW125" s="1085"/>
      <c r="AX125" s="1085"/>
      <c r="AY125" s="1085">
        <v>0</v>
      </c>
      <c r="AZ125" s="1085">
        <f t="shared" si="96"/>
        <v>0</v>
      </c>
      <c r="BA125" s="1085">
        <f t="shared" si="97"/>
        <v>0</v>
      </c>
      <c r="BB125" s="1085"/>
      <c r="BC125" s="1085"/>
      <c r="BD125" s="1085"/>
      <c r="BE125" s="1085"/>
      <c r="BF125" s="1085"/>
      <c r="BG125" s="1084">
        <f t="shared" si="98"/>
        <v>-1042</v>
      </c>
      <c r="BH125" s="1084">
        <f t="shared" si="99"/>
        <v>-1042</v>
      </c>
      <c r="BI125" s="1084"/>
      <c r="BJ125" s="1084"/>
      <c r="BK125" s="1084">
        <v>-1042</v>
      </c>
      <c r="BL125" s="1084"/>
      <c r="BM125" s="1084"/>
      <c r="BN125" s="1084"/>
      <c r="BO125" s="1086"/>
      <c r="BP125" s="1084"/>
      <c r="BQ125" s="1087"/>
      <c r="BR125" s="1084"/>
      <c r="BS125" s="1088"/>
      <c r="BT125" s="1089" t="s">
        <v>1525</v>
      </c>
      <c r="BU125" s="1090"/>
    </row>
    <row r="126" spans="1:73" ht="24" x14ac:dyDescent="0.25">
      <c r="A126" s="1094"/>
      <c r="B126" s="1095"/>
      <c r="C126" s="1096"/>
      <c r="D126" s="1097"/>
      <c r="E126" s="1082" t="s">
        <v>1526</v>
      </c>
      <c r="F126" s="1083">
        <f t="shared" si="88"/>
        <v>489680</v>
      </c>
      <c r="G126" s="1083">
        <f t="shared" si="89"/>
        <v>449666</v>
      </c>
      <c r="H126" s="1084">
        <v>475830</v>
      </c>
      <c r="I126" s="1084">
        <f t="shared" si="90"/>
        <v>432951</v>
      </c>
      <c r="J126" s="1084">
        <f t="shared" si="91"/>
        <v>-42879</v>
      </c>
      <c r="K126" s="1084"/>
      <c r="L126" s="1084"/>
      <c r="M126" s="1084">
        <f>-2170+3625-50000</f>
        <v>-48545</v>
      </c>
      <c r="N126" s="1084"/>
      <c r="O126" s="1084"/>
      <c r="P126" s="1084"/>
      <c r="Q126" s="1084"/>
      <c r="R126" s="1084"/>
      <c r="S126" s="1084"/>
      <c r="T126" s="1084"/>
      <c r="U126" s="1084"/>
      <c r="V126" s="1084"/>
      <c r="W126" s="1084"/>
      <c r="X126" s="1084"/>
      <c r="Y126" s="1084"/>
      <c r="Z126" s="1084">
        <v>5666</v>
      </c>
      <c r="AA126" s="1084"/>
      <c r="AB126" s="1084"/>
      <c r="AC126" s="1084">
        <v>0</v>
      </c>
      <c r="AD126" s="1084">
        <f t="shared" si="92"/>
        <v>0</v>
      </c>
      <c r="AE126" s="1084">
        <f t="shared" si="93"/>
        <v>0</v>
      </c>
      <c r="AF126" s="1084"/>
      <c r="AG126" s="1084"/>
      <c r="AH126" s="1084"/>
      <c r="AI126" s="1084"/>
      <c r="AJ126" s="1084"/>
      <c r="AK126" s="1084"/>
      <c r="AL126" s="1084">
        <v>13850</v>
      </c>
      <c r="AM126" s="1085">
        <f>AN126+AL126</f>
        <v>16715</v>
      </c>
      <c r="AN126" s="1085">
        <f t="shared" si="95"/>
        <v>2865</v>
      </c>
      <c r="AO126" s="1085"/>
      <c r="AP126" s="1085">
        <v>2170</v>
      </c>
      <c r="AQ126" s="1085"/>
      <c r="AR126" s="1085"/>
      <c r="AS126" s="1085"/>
      <c r="AT126" s="1085"/>
      <c r="AU126" s="1085">
        <v>695</v>
      </c>
      <c r="AV126" s="1085"/>
      <c r="AW126" s="1085"/>
      <c r="AX126" s="1085"/>
      <c r="AY126" s="1085">
        <v>0</v>
      </c>
      <c r="AZ126" s="1085">
        <f t="shared" si="96"/>
        <v>0</v>
      </c>
      <c r="BA126" s="1085">
        <f t="shared" si="97"/>
        <v>0</v>
      </c>
      <c r="BB126" s="1085"/>
      <c r="BC126" s="1085"/>
      <c r="BD126" s="1085"/>
      <c r="BE126" s="1085"/>
      <c r="BF126" s="1085"/>
      <c r="BG126" s="1084">
        <f t="shared" si="98"/>
        <v>0</v>
      </c>
      <c r="BH126" s="1084">
        <f t="shared" si="99"/>
        <v>0</v>
      </c>
      <c r="BI126" s="1084"/>
      <c r="BJ126" s="1084"/>
      <c r="BK126" s="1084"/>
      <c r="BL126" s="1084"/>
      <c r="BM126" s="1084"/>
      <c r="BN126" s="1084"/>
      <c r="BO126" s="1086"/>
      <c r="BP126" s="1084"/>
      <c r="BQ126" s="1087"/>
      <c r="BR126" s="1084"/>
      <c r="BS126" s="1088"/>
      <c r="BT126" s="1089" t="s">
        <v>1527</v>
      </c>
      <c r="BU126" s="1090" t="s">
        <v>1528</v>
      </c>
    </row>
    <row r="127" spans="1:73" ht="12.75" x14ac:dyDescent="0.25">
      <c r="A127" s="1094">
        <v>90010478153</v>
      </c>
      <c r="B127" s="1095"/>
      <c r="C127" s="1514" t="s">
        <v>521</v>
      </c>
      <c r="D127" s="1515"/>
      <c r="E127" s="1082" t="s">
        <v>525</v>
      </c>
      <c r="F127" s="1083">
        <f t="shared" si="88"/>
        <v>404310</v>
      </c>
      <c r="G127" s="1083">
        <f t="shared" si="89"/>
        <v>542482</v>
      </c>
      <c r="H127" s="1084">
        <v>380782</v>
      </c>
      <c r="I127" s="1084">
        <f t="shared" si="90"/>
        <v>518954</v>
      </c>
      <c r="J127" s="1084">
        <f t="shared" si="91"/>
        <v>138172</v>
      </c>
      <c r="K127" s="1084">
        <v>-13621</v>
      </c>
      <c r="L127" s="1084"/>
      <c r="M127" s="1084"/>
      <c r="N127" s="1084"/>
      <c r="O127" s="1084"/>
      <c r="P127" s="1084"/>
      <c r="Q127" s="1084">
        <f>141459+574</f>
        <v>142033</v>
      </c>
      <c r="R127" s="1084"/>
      <c r="S127" s="1084"/>
      <c r="T127" s="1084"/>
      <c r="U127" s="1084"/>
      <c r="V127" s="1084"/>
      <c r="W127" s="1084"/>
      <c r="X127" s="1084"/>
      <c r="Y127" s="1084"/>
      <c r="Z127" s="1084"/>
      <c r="AA127" s="1084">
        <v>9760</v>
      </c>
      <c r="AB127" s="1084"/>
      <c r="AC127" s="1084">
        <v>0</v>
      </c>
      <c r="AD127" s="1084">
        <f t="shared" si="92"/>
        <v>0</v>
      </c>
      <c r="AE127" s="1084">
        <f t="shared" si="93"/>
        <v>0</v>
      </c>
      <c r="AF127" s="1084"/>
      <c r="AG127" s="1084"/>
      <c r="AH127" s="1084"/>
      <c r="AI127" s="1084"/>
      <c r="AJ127" s="1084"/>
      <c r="AK127" s="1084"/>
      <c r="AL127" s="1084">
        <v>23528</v>
      </c>
      <c r="AM127" s="1085">
        <f t="shared" si="94"/>
        <v>23528</v>
      </c>
      <c r="AN127" s="1085">
        <f t="shared" si="95"/>
        <v>0</v>
      </c>
      <c r="AO127" s="1085"/>
      <c r="AP127" s="1085"/>
      <c r="AQ127" s="1085"/>
      <c r="AR127" s="1085"/>
      <c r="AS127" s="1085"/>
      <c r="AT127" s="1085"/>
      <c r="AU127" s="1085"/>
      <c r="AV127" s="1085"/>
      <c r="AW127" s="1085"/>
      <c r="AX127" s="1085"/>
      <c r="AY127" s="1085">
        <v>0</v>
      </c>
      <c r="AZ127" s="1085">
        <f t="shared" si="96"/>
        <v>0</v>
      </c>
      <c r="BA127" s="1085">
        <f t="shared" si="97"/>
        <v>0</v>
      </c>
      <c r="BB127" s="1085"/>
      <c r="BC127" s="1085"/>
      <c r="BD127" s="1085"/>
      <c r="BE127" s="1085"/>
      <c r="BF127" s="1085"/>
      <c r="BG127" s="1084">
        <f t="shared" si="98"/>
        <v>0</v>
      </c>
      <c r="BH127" s="1084">
        <f t="shared" si="99"/>
        <v>0</v>
      </c>
      <c r="BI127" s="1084"/>
      <c r="BJ127" s="1084"/>
      <c r="BK127" s="1084"/>
      <c r="BL127" s="1084"/>
      <c r="BM127" s="1084"/>
      <c r="BN127" s="1084"/>
      <c r="BO127" s="1086"/>
      <c r="BP127" s="1084"/>
      <c r="BQ127" s="1087"/>
      <c r="BR127" s="1084"/>
      <c r="BS127" s="1088"/>
      <c r="BT127" s="1089" t="s">
        <v>1529</v>
      </c>
      <c r="BU127" s="1090"/>
    </row>
    <row r="128" spans="1:73" ht="24" x14ac:dyDescent="0.25">
      <c r="A128" s="1094"/>
      <c r="B128" s="1095"/>
      <c r="C128" s="1096"/>
      <c r="D128" s="1097"/>
      <c r="E128" s="1082" t="s">
        <v>1530</v>
      </c>
      <c r="F128" s="1083">
        <f t="shared" si="88"/>
        <v>63407</v>
      </c>
      <c r="G128" s="1083">
        <f t="shared" si="89"/>
        <v>51818</v>
      </c>
      <c r="H128" s="1084">
        <v>23815</v>
      </c>
      <c r="I128" s="1084">
        <f t="shared" si="90"/>
        <v>23815</v>
      </c>
      <c r="J128" s="1084">
        <f t="shared" si="91"/>
        <v>0</v>
      </c>
      <c r="K128" s="1084"/>
      <c r="L128" s="1084"/>
      <c r="M128" s="1084"/>
      <c r="N128" s="1084"/>
      <c r="O128" s="1084"/>
      <c r="P128" s="1084"/>
      <c r="Q128" s="1084"/>
      <c r="R128" s="1084"/>
      <c r="S128" s="1084"/>
      <c r="T128" s="1084"/>
      <c r="U128" s="1084"/>
      <c r="V128" s="1084"/>
      <c r="W128" s="1084"/>
      <c r="X128" s="1084"/>
      <c r="Y128" s="1084"/>
      <c r="Z128" s="1084"/>
      <c r="AA128" s="1084"/>
      <c r="AB128" s="1084"/>
      <c r="AC128" s="1084">
        <v>0</v>
      </c>
      <c r="AD128" s="1084">
        <f t="shared" si="92"/>
        <v>0</v>
      </c>
      <c r="AE128" s="1084">
        <f t="shared" si="93"/>
        <v>0</v>
      </c>
      <c r="AF128" s="1084"/>
      <c r="AG128" s="1084"/>
      <c r="AH128" s="1084"/>
      <c r="AI128" s="1084"/>
      <c r="AJ128" s="1084"/>
      <c r="AK128" s="1084"/>
      <c r="AL128" s="1084">
        <v>39592</v>
      </c>
      <c r="AM128" s="1085">
        <f t="shared" si="94"/>
        <v>28003</v>
      </c>
      <c r="AN128" s="1085">
        <f t="shared" si="95"/>
        <v>-11589</v>
      </c>
      <c r="AO128" s="1085">
        <v>-11589</v>
      </c>
      <c r="AP128" s="1085"/>
      <c r="AQ128" s="1085"/>
      <c r="AR128" s="1085"/>
      <c r="AS128" s="1085"/>
      <c r="AT128" s="1085"/>
      <c r="AU128" s="1085"/>
      <c r="AV128" s="1085"/>
      <c r="AW128" s="1085"/>
      <c r="AX128" s="1085"/>
      <c r="AY128" s="1085">
        <v>0</v>
      </c>
      <c r="AZ128" s="1085">
        <f t="shared" si="96"/>
        <v>0</v>
      </c>
      <c r="BA128" s="1085">
        <f t="shared" si="97"/>
        <v>0</v>
      </c>
      <c r="BB128" s="1085"/>
      <c r="BC128" s="1085"/>
      <c r="BD128" s="1085"/>
      <c r="BE128" s="1085"/>
      <c r="BF128" s="1085"/>
      <c r="BG128" s="1084">
        <f t="shared" si="98"/>
        <v>0</v>
      </c>
      <c r="BH128" s="1084">
        <f t="shared" si="99"/>
        <v>0</v>
      </c>
      <c r="BI128" s="1084"/>
      <c r="BJ128" s="1084"/>
      <c r="BK128" s="1084"/>
      <c r="BL128" s="1084"/>
      <c r="BM128" s="1084"/>
      <c r="BN128" s="1084"/>
      <c r="BO128" s="1086"/>
      <c r="BP128" s="1084"/>
      <c r="BQ128" s="1087"/>
      <c r="BR128" s="1084"/>
      <c r="BS128" s="1088"/>
      <c r="BT128" s="1089" t="s">
        <v>1531</v>
      </c>
      <c r="BU128" s="1090"/>
    </row>
    <row r="129" spans="1:73" ht="24" x14ac:dyDescent="0.25">
      <c r="A129" s="1094"/>
      <c r="B129" s="1095"/>
      <c r="C129" s="1096"/>
      <c r="D129" s="1097"/>
      <c r="E129" s="1082" t="s">
        <v>1532</v>
      </c>
      <c r="F129" s="1083">
        <f t="shared" si="88"/>
        <v>89550</v>
      </c>
      <c r="G129" s="1083">
        <f t="shared" si="89"/>
        <v>79790</v>
      </c>
      <c r="H129" s="1084">
        <v>85939</v>
      </c>
      <c r="I129" s="1084">
        <f t="shared" si="90"/>
        <v>76179</v>
      </c>
      <c r="J129" s="1084">
        <f t="shared" si="91"/>
        <v>-9760</v>
      </c>
      <c r="K129" s="1084"/>
      <c r="L129" s="1084"/>
      <c r="M129" s="1084"/>
      <c r="N129" s="1084"/>
      <c r="O129" s="1084"/>
      <c r="P129" s="1084"/>
      <c r="Q129" s="1084"/>
      <c r="R129" s="1084"/>
      <c r="S129" s="1084"/>
      <c r="T129" s="1084"/>
      <c r="U129" s="1084"/>
      <c r="V129" s="1084"/>
      <c r="W129" s="1084"/>
      <c r="X129" s="1084"/>
      <c r="Y129" s="1084"/>
      <c r="Z129" s="1084"/>
      <c r="AA129" s="1084">
        <v>-9760</v>
      </c>
      <c r="AB129" s="1084"/>
      <c r="AC129" s="1084">
        <v>0</v>
      </c>
      <c r="AD129" s="1084">
        <f t="shared" si="92"/>
        <v>0</v>
      </c>
      <c r="AE129" s="1084">
        <f t="shared" si="93"/>
        <v>0</v>
      </c>
      <c r="AF129" s="1084"/>
      <c r="AG129" s="1084"/>
      <c r="AH129" s="1084"/>
      <c r="AI129" s="1084"/>
      <c r="AJ129" s="1084"/>
      <c r="AK129" s="1084"/>
      <c r="AL129" s="1084">
        <v>3611</v>
      </c>
      <c r="AM129" s="1085">
        <f t="shared" si="94"/>
        <v>3611</v>
      </c>
      <c r="AN129" s="1085">
        <f t="shared" si="95"/>
        <v>0</v>
      </c>
      <c r="AO129" s="1085"/>
      <c r="AP129" s="1085"/>
      <c r="AQ129" s="1085"/>
      <c r="AR129" s="1085"/>
      <c r="AS129" s="1085"/>
      <c r="AT129" s="1085"/>
      <c r="AU129" s="1085"/>
      <c r="AV129" s="1085"/>
      <c r="AW129" s="1085"/>
      <c r="AX129" s="1085"/>
      <c r="AY129" s="1085">
        <v>0</v>
      </c>
      <c r="AZ129" s="1085">
        <f t="shared" si="96"/>
        <v>0</v>
      </c>
      <c r="BA129" s="1085">
        <f t="shared" si="97"/>
        <v>0</v>
      </c>
      <c r="BB129" s="1085"/>
      <c r="BC129" s="1085"/>
      <c r="BD129" s="1085"/>
      <c r="BE129" s="1085"/>
      <c r="BF129" s="1085"/>
      <c r="BG129" s="1084">
        <f t="shared" si="98"/>
        <v>0</v>
      </c>
      <c r="BH129" s="1084">
        <f t="shared" si="99"/>
        <v>0</v>
      </c>
      <c r="BI129" s="1084"/>
      <c r="BJ129" s="1084"/>
      <c r="BK129" s="1084"/>
      <c r="BL129" s="1084"/>
      <c r="BM129" s="1084"/>
      <c r="BN129" s="1084"/>
      <c r="BO129" s="1086"/>
      <c r="BP129" s="1084"/>
      <c r="BQ129" s="1087"/>
      <c r="BR129" s="1084"/>
      <c r="BS129" s="1088"/>
      <c r="BT129" s="1089" t="s">
        <v>1533</v>
      </c>
      <c r="BU129" s="1090"/>
    </row>
    <row r="130" spans="1:73" ht="24" x14ac:dyDescent="0.25">
      <c r="A130" s="1094"/>
      <c r="B130" s="1095"/>
      <c r="C130" s="1096"/>
      <c r="D130" s="1097"/>
      <c r="E130" s="1082" t="s">
        <v>1534</v>
      </c>
      <c r="F130" s="1083">
        <f t="shared" si="88"/>
        <v>118059</v>
      </c>
      <c r="G130" s="1083">
        <f t="shared" si="89"/>
        <v>114766</v>
      </c>
      <c r="H130" s="1084">
        <v>79544</v>
      </c>
      <c r="I130" s="1084">
        <f t="shared" si="90"/>
        <v>79544</v>
      </c>
      <c r="J130" s="1084">
        <f t="shared" si="91"/>
        <v>0</v>
      </c>
      <c r="K130" s="1084"/>
      <c r="L130" s="1084"/>
      <c r="M130" s="1084"/>
      <c r="N130" s="1084"/>
      <c r="O130" s="1084"/>
      <c r="P130" s="1084"/>
      <c r="Q130" s="1084"/>
      <c r="R130" s="1084"/>
      <c r="S130" s="1084"/>
      <c r="T130" s="1084"/>
      <c r="U130" s="1084"/>
      <c r="V130" s="1084"/>
      <c r="W130" s="1084"/>
      <c r="X130" s="1084"/>
      <c r="Y130" s="1084"/>
      <c r="Z130" s="1084"/>
      <c r="AA130" s="1084"/>
      <c r="AB130" s="1084"/>
      <c r="AC130" s="1084">
        <v>0</v>
      </c>
      <c r="AD130" s="1084">
        <f t="shared" si="92"/>
        <v>0</v>
      </c>
      <c r="AE130" s="1084">
        <f t="shared" si="93"/>
        <v>0</v>
      </c>
      <c r="AF130" s="1084"/>
      <c r="AG130" s="1084"/>
      <c r="AH130" s="1084"/>
      <c r="AI130" s="1084"/>
      <c r="AJ130" s="1084"/>
      <c r="AK130" s="1084"/>
      <c r="AL130" s="1084">
        <v>38515</v>
      </c>
      <c r="AM130" s="1085">
        <f t="shared" si="94"/>
        <v>35222</v>
      </c>
      <c r="AN130" s="1085">
        <f t="shared" si="95"/>
        <v>-3293</v>
      </c>
      <c r="AO130" s="1085">
        <v>-3293</v>
      </c>
      <c r="AP130" s="1085"/>
      <c r="AQ130" s="1085"/>
      <c r="AR130" s="1085"/>
      <c r="AS130" s="1085"/>
      <c r="AT130" s="1085"/>
      <c r="AU130" s="1085"/>
      <c r="AV130" s="1085"/>
      <c r="AW130" s="1085"/>
      <c r="AX130" s="1085"/>
      <c r="AY130" s="1085">
        <v>0</v>
      </c>
      <c r="AZ130" s="1085">
        <f t="shared" si="96"/>
        <v>0</v>
      </c>
      <c r="BA130" s="1085">
        <f t="shared" si="97"/>
        <v>0</v>
      </c>
      <c r="BB130" s="1085"/>
      <c r="BC130" s="1085"/>
      <c r="BD130" s="1085"/>
      <c r="BE130" s="1085"/>
      <c r="BF130" s="1085"/>
      <c r="BG130" s="1084">
        <f t="shared" si="98"/>
        <v>0</v>
      </c>
      <c r="BH130" s="1084">
        <f t="shared" si="99"/>
        <v>0</v>
      </c>
      <c r="BI130" s="1084"/>
      <c r="BJ130" s="1084"/>
      <c r="BK130" s="1084"/>
      <c r="BL130" s="1084"/>
      <c r="BM130" s="1084"/>
      <c r="BN130" s="1084"/>
      <c r="BO130" s="1086"/>
      <c r="BP130" s="1084"/>
      <c r="BQ130" s="1087"/>
      <c r="BR130" s="1084"/>
      <c r="BS130" s="1088"/>
      <c r="BT130" s="1089" t="s">
        <v>1535</v>
      </c>
      <c r="BU130" s="1090"/>
    </row>
    <row r="131" spans="1:73" ht="24" x14ac:dyDescent="0.25">
      <c r="A131" s="1094"/>
      <c r="B131" s="1095"/>
      <c r="C131" s="1096"/>
      <c r="D131" s="1097"/>
      <c r="E131" s="1082" t="s">
        <v>1536</v>
      </c>
      <c r="F131" s="1083">
        <f t="shared" si="88"/>
        <v>37903</v>
      </c>
      <c r="G131" s="1083">
        <f t="shared" si="89"/>
        <v>31703</v>
      </c>
      <c r="H131" s="1084">
        <v>18292</v>
      </c>
      <c r="I131" s="1084">
        <f t="shared" si="90"/>
        <v>11680</v>
      </c>
      <c r="J131" s="1084">
        <f t="shared" si="91"/>
        <v>-6612</v>
      </c>
      <c r="K131" s="1084">
        <v>-6612</v>
      </c>
      <c r="L131" s="1084"/>
      <c r="M131" s="1084"/>
      <c r="N131" s="1084"/>
      <c r="O131" s="1084"/>
      <c r="P131" s="1084"/>
      <c r="Q131" s="1084"/>
      <c r="R131" s="1084"/>
      <c r="S131" s="1084"/>
      <c r="T131" s="1084"/>
      <c r="U131" s="1084"/>
      <c r="V131" s="1084"/>
      <c r="W131" s="1084"/>
      <c r="X131" s="1084"/>
      <c r="Y131" s="1084"/>
      <c r="Z131" s="1084"/>
      <c r="AA131" s="1084"/>
      <c r="AB131" s="1084"/>
      <c r="AC131" s="1084">
        <v>0</v>
      </c>
      <c r="AD131" s="1084">
        <f t="shared" si="92"/>
        <v>0</v>
      </c>
      <c r="AE131" s="1084">
        <f t="shared" si="93"/>
        <v>0</v>
      </c>
      <c r="AF131" s="1084"/>
      <c r="AG131" s="1084"/>
      <c r="AH131" s="1084"/>
      <c r="AI131" s="1084"/>
      <c r="AJ131" s="1084"/>
      <c r="AK131" s="1084"/>
      <c r="AL131" s="1084">
        <v>19611</v>
      </c>
      <c r="AM131" s="1085">
        <f t="shared" si="94"/>
        <v>20023</v>
      </c>
      <c r="AN131" s="1085">
        <f t="shared" si="95"/>
        <v>412</v>
      </c>
      <c r="AO131" s="1085">
        <f>287+125</f>
        <v>412</v>
      </c>
      <c r="AP131" s="1085"/>
      <c r="AQ131" s="1085"/>
      <c r="AR131" s="1085"/>
      <c r="AS131" s="1085"/>
      <c r="AT131" s="1085"/>
      <c r="AU131" s="1085"/>
      <c r="AV131" s="1085"/>
      <c r="AW131" s="1085"/>
      <c r="AX131" s="1085"/>
      <c r="AY131" s="1085">
        <v>0</v>
      </c>
      <c r="AZ131" s="1085">
        <f t="shared" si="96"/>
        <v>0</v>
      </c>
      <c r="BA131" s="1085">
        <f t="shared" si="97"/>
        <v>0</v>
      </c>
      <c r="BB131" s="1085"/>
      <c r="BC131" s="1085"/>
      <c r="BD131" s="1085"/>
      <c r="BE131" s="1085"/>
      <c r="BF131" s="1085"/>
      <c r="BG131" s="1084">
        <f t="shared" si="98"/>
        <v>0</v>
      </c>
      <c r="BH131" s="1084">
        <f t="shared" si="99"/>
        <v>0</v>
      </c>
      <c r="BI131" s="1084"/>
      <c r="BJ131" s="1084"/>
      <c r="BK131" s="1084"/>
      <c r="BL131" s="1084"/>
      <c r="BM131" s="1084"/>
      <c r="BN131" s="1084"/>
      <c r="BO131" s="1086"/>
      <c r="BP131" s="1084"/>
      <c r="BQ131" s="1087"/>
      <c r="BR131" s="1084"/>
      <c r="BS131" s="1088"/>
      <c r="BT131" s="1089" t="s">
        <v>1537</v>
      </c>
      <c r="BU131" s="1090"/>
    </row>
    <row r="132" spans="1:73" ht="24" x14ac:dyDescent="0.25">
      <c r="A132" s="1094"/>
      <c r="B132" s="1095"/>
      <c r="C132" s="1096"/>
      <c r="D132" s="1097"/>
      <c r="E132" s="1082" t="s">
        <v>1538</v>
      </c>
      <c r="F132" s="1083">
        <f t="shared" si="88"/>
        <v>0</v>
      </c>
      <c r="G132" s="1083">
        <f t="shared" si="89"/>
        <v>36855</v>
      </c>
      <c r="H132" s="1084"/>
      <c r="I132" s="1084">
        <f t="shared" si="90"/>
        <v>26855</v>
      </c>
      <c r="J132" s="1084">
        <f t="shared" ref="J132" si="100">SUM(K132:AB132)</f>
        <v>26855</v>
      </c>
      <c r="K132" s="1084"/>
      <c r="L132" s="1084"/>
      <c r="M132" s="1084"/>
      <c r="N132" s="1084"/>
      <c r="O132" s="1084">
        <v>26855</v>
      </c>
      <c r="P132" s="1084"/>
      <c r="Q132" s="1084"/>
      <c r="R132" s="1084"/>
      <c r="S132" s="1084"/>
      <c r="T132" s="1084"/>
      <c r="U132" s="1084"/>
      <c r="V132" s="1084"/>
      <c r="W132" s="1084"/>
      <c r="X132" s="1084"/>
      <c r="Y132" s="1084"/>
      <c r="Z132" s="1084"/>
      <c r="AA132" s="1084"/>
      <c r="AB132" s="1084"/>
      <c r="AC132" s="1084"/>
      <c r="AD132" s="1084">
        <f t="shared" si="92"/>
        <v>0</v>
      </c>
      <c r="AE132" s="1084">
        <f t="shared" si="93"/>
        <v>0</v>
      </c>
      <c r="AF132" s="1084"/>
      <c r="AG132" s="1084"/>
      <c r="AH132" s="1084"/>
      <c r="AI132" s="1084"/>
      <c r="AJ132" s="1084"/>
      <c r="AK132" s="1084"/>
      <c r="AL132" s="1084"/>
      <c r="AM132" s="1085">
        <f t="shared" si="94"/>
        <v>10000</v>
      </c>
      <c r="AN132" s="1085">
        <f t="shared" si="95"/>
        <v>10000</v>
      </c>
      <c r="AO132" s="1085"/>
      <c r="AP132" s="1085"/>
      <c r="AQ132" s="1085"/>
      <c r="AR132" s="1085">
        <v>10000</v>
      </c>
      <c r="AS132" s="1085"/>
      <c r="AT132" s="1085"/>
      <c r="AU132" s="1085"/>
      <c r="AV132" s="1085"/>
      <c r="AW132" s="1085"/>
      <c r="AX132" s="1085"/>
      <c r="AY132" s="1085"/>
      <c r="AZ132" s="1085">
        <f t="shared" si="96"/>
        <v>0</v>
      </c>
      <c r="BA132" s="1085">
        <f t="shared" si="97"/>
        <v>0</v>
      </c>
      <c r="BB132" s="1085"/>
      <c r="BC132" s="1085"/>
      <c r="BD132" s="1085"/>
      <c r="BE132" s="1085"/>
      <c r="BF132" s="1085"/>
      <c r="BG132" s="1084">
        <f t="shared" si="98"/>
        <v>0</v>
      </c>
      <c r="BH132" s="1084">
        <f t="shared" si="99"/>
        <v>0</v>
      </c>
      <c r="BI132" s="1084"/>
      <c r="BJ132" s="1084"/>
      <c r="BK132" s="1084"/>
      <c r="BL132" s="1084"/>
      <c r="BM132" s="1084"/>
      <c r="BN132" s="1084"/>
      <c r="BO132" s="1086"/>
      <c r="BP132" s="1084"/>
      <c r="BQ132" s="1087"/>
      <c r="BR132" s="1084"/>
      <c r="BS132" s="1088"/>
      <c r="BT132" s="1089" t="s">
        <v>1539</v>
      </c>
      <c r="BU132" s="1090"/>
    </row>
    <row r="133" spans="1:73" ht="36" x14ac:dyDescent="0.25">
      <c r="A133" s="1094">
        <v>40000056408</v>
      </c>
      <c r="B133" s="1095"/>
      <c r="C133" s="1514" t="s">
        <v>1540</v>
      </c>
      <c r="D133" s="1515"/>
      <c r="E133" s="1082" t="s">
        <v>1541</v>
      </c>
      <c r="F133" s="1083">
        <f t="shared" si="88"/>
        <v>428871</v>
      </c>
      <c r="G133" s="1083">
        <f t="shared" si="89"/>
        <v>412439</v>
      </c>
      <c r="H133" s="1084">
        <v>409014</v>
      </c>
      <c r="I133" s="1084">
        <f t="shared" si="90"/>
        <v>391771</v>
      </c>
      <c r="J133" s="1084">
        <f t="shared" si="91"/>
        <v>-17243</v>
      </c>
      <c r="K133" s="1084">
        <f>-17531-446</f>
        <v>-17977</v>
      </c>
      <c r="L133" s="1084"/>
      <c r="M133" s="1084"/>
      <c r="N133" s="1084"/>
      <c r="O133" s="1084"/>
      <c r="P133" s="1084">
        <v>734</v>
      </c>
      <c r="Q133" s="1084"/>
      <c r="R133" s="1084"/>
      <c r="S133" s="1084"/>
      <c r="T133" s="1084"/>
      <c r="U133" s="1084"/>
      <c r="V133" s="1084"/>
      <c r="W133" s="1084"/>
      <c r="X133" s="1084"/>
      <c r="Y133" s="1084"/>
      <c r="Z133" s="1084"/>
      <c r="AA133" s="1084"/>
      <c r="AB133" s="1084"/>
      <c r="AC133" s="1084">
        <v>0</v>
      </c>
      <c r="AD133" s="1084">
        <f t="shared" si="92"/>
        <v>0</v>
      </c>
      <c r="AE133" s="1084">
        <f t="shared" si="93"/>
        <v>0</v>
      </c>
      <c r="AF133" s="1084"/>
      <c r="AG133" s="1084"/>
      <c r="AH133" s="1084"/>
      <c r="AI133" s="1084"/>
      <c r="AJ133" s="1084"/>
      <c r="AK133" s="1084"/>
      <c r="AL133" s="1084">
        <v>19857</v>
      </c>
      <c r="AM133" s="1085">
        <f t="shared" si="94"/>
        <v>20503</v>
      </c>
      <c r="AN133" s="1085">
        <f t="shared" si="95"/>
        <v>646</v>
      </c>
      <c r="AO133" s="1085">
        <v>646</v>
      </c>
      <c r="AP133" s="1085"/>
      <c r="AQ133" s="1085"/>
      <c r="AR133" s="1085"/>
      <c r="AS133" s="1085"/>
      <c r="AT133" s="1085"/>
      <c r="AU133" s="1085"/>
      <c r="AV133" s="1085"/>
      <c r="AW133" s="1085"/>
      <c r="AX133" s="1085"/>
      <c r="AY133" s="1085">
        <v>0</v>
      </c>
      <c r="AZ133" s="1085">
        <f t="shared" si="96"/>
        <v>165</v>
      </c>
      <c r="BA133" s="1085">
        <f t="shared" si="97"/>
        <v>165</v>
      </c>
      <c r="BB133" s="1085">
        <v>165</v>
      </c>
      <c r="BC133" s="1085"/>
      <c r="BD133" s="1085"/>
      <c r="BE133" s="1085"/>
      <c r="BF133" s="1085"/>
      <c r="BG133" s="1084">
        <f t="shared" si="98"/>
        <v>0</v>
      </c>
      <c r="BH133" s="1084">
        <f t="shared" si="99"/>
        <v>0</v>
      </c>
      <c r="BI133" s="1084"/>
      <c r="BJ133" s="1084"/>
      <c r="BK133" s="1084"/>
      <c r="BL133" s="1084"/>
      <c r="BM133" s="1084"/>
      <c r="BN133" s="1084"/>
      <c r="BO133" s="1086"/>
      <c r="BP133" s="1084"/>
      <c r="BQ133" s="1087"/>
      <c r="BR133" s="1084"/>
      <c r="BS133" s="1088"/>
      <c r="BT133" s="1089" t="s">
        <v>1542</v>
      </c>
      <c r="BU133" s="1090"/>
    </row>
    <row r="134" spans="1:73" ht="36" x14ac:dyDescent="0.25">
      <c r="A134" s="1094"/>
      <c r="B134" s="1095"/>
      <c r="C134" s="1096"/>
      <c r="D134" s="1097"/>
      <c r="E134" s="1082" t="s">
        <v>1543</v>
      </c>
      <c r="F134" s="1083">
        <f t="shared" si="88"/>
        <v>157885</v>
      </c>
      <c r="G134" s="1083">
        <f t="shared" si="89"/>
        <v>157885</v>
      </c>
      <c r="H134" s="1084">
        <v>157885</v>
      </c>
      <c r="I134" s="1084">
        <f t="shared" si="90"/>
        <v>157885</v>
      </c>
      <c r="J134" s="1084">
        <f t="shared" si="91"/>
        <v>0</v>
      </c>
      <c r="K134" s="1084"/>
      <c r="L134" s="1084"/>
      <c r="M134" s="1084"/>
      <c r="N134" s="1084"/>
      <c r="O134" s="1084"/>
      <c r="P134" s="1084"/>
      <c r="Q134" s="1084"/>
      <c r="R134" s="1084"/>
      <c r="S134" s="1084"/>
      <c r="T134" s="1084"/>
      <c r="U134" s="1084"/>
      <c r="V134" s="1084"/>
      <c r="W134" s="1084"/>
      <c r="X134" s="1084"/>
      <c r="Y134" s="1084"/>
      <c r="Z134" s="1084"/>
      <c r="AA134" s="1084"/>
      <c r="AB134" s="1084"/>
      <c r="AC134" s="1084">
        <v>0</v>
      </c>
      <c r="AD134" s="1084">
        <f t="shared" si="92"/>
        <v>0</v>
      </c>
      <c r="AE134" s="1084">
        <f t="shared" si="93"/>
        <v>0</v>
      </c>
      <c r="AF134" s="1084"/>
      <c r="AG134" s="1084"/>
      <c r="AH134" s="1084"/>
      <c r="AI134" s="1084"/>
      <c r="AJ134" s="1084"/>
      <c r="AK134" s="1084"/>
      <c r="AL134" s="1084">
        <v>0</v>
      </c>
      <c r="AM134" s="1085">
        <f t="shared" si="94"/>
        <v>0</v>
      </c>
      <c r="AN134" s="1085">
        <f t="shared" si="95"/>
        <v>0</v>
      </c>
      <c r="AO134" s="1085"/>
      <c r="AP134" s="1085"/>
      <c r="AQ134" s="1085"/>
      <c r="AR134" s="1085"/>
      <c r="AS134" s="1085"/>
      <c r="AT134" s="1085"/>
      <c r="AU134" s="1085"/>
      <c r="AV134" s="1085"/>
      <c r="AW134" s="1085"/>
      <c r="AX134" s="1085"/>
      <c r="AY134" s="1085">
        <v>0</v>
      </c>
      <c r="AZ134" s="1085">
        <f t="shared" si="96"/>
        <v>0</v>
      </c>
      <c r="BA134" s="1085">
        <f t="shared" si="97"/>
        <v>0</v>
      </c>
      <c r="BB134" s="1085"/>
      <c r="BC134" s="1085"/>
      <c r="BD134" s="1085"/>
      <c r="BE134" s="1085"/>
      <c r="BF134" s="1085"/>
      <c r="BG134" s="1084">
        <f t="shared" si="98"/>
        <v>0</v>
      </c>
      <c r="BH134" s="1084">
        <f t="shared" si="99"/>
        <v>0</v>
      </c>
      <c r="BI134" s="1084"/>
      <c r="BJ134" s="1084"/>
      <c r="BK134" s="1084"/>
      <c r="BL134" s="1084"/>
      <c r="BM134" s="1084"/>
      <c r="BN134" s="1084"/>
      <c r="BO134" s="1086"/>
      <c r="BP134" s="1084"/>
      <c r="BQ134" s="1087"/>
      <c r="BR134" s="1084"/>
      <c r="BS134" s="1088"/>
      <c r="BT134" s="1089" t="s">
        <v>1544</v>
      </c>
      <c r="BU134" s="1090"/>
    </row>
    <row r="135" spans="1:73" ht="24" x14ac:dyDescent="0.25">
      <c r="A135" s="1094"/>
      <c r="B135" s="1095"/>
      <c r="C135" s="1096"/>
      <c r="D135" s="1097"/>
      <c r="E135" s="1082" t="s">
        <v>874</v>
      </c>
      <c r="F135" s="1083">
        <f t="shared" si="88"/>
        <v>28435</v>
      </c>
      <c r="G135" s="1083">
        <f t="shared" si="89"/>
        <v>30878</v>
      </c>
      <c r="H135" s="1084">
        <v>26055</v>
      </c>
      <c r="I135" s="1084">
        <f t="shared" si="90"/>
        <v>28498</v>
      </c>
      <c r="J135" s="1084">
        <f t="shared" si="91"/>
        <v>2443</v>
      </c>
      <c r="K135" s="1084"/>
      <c r="L135" s="1084"/>
      <c r="M135" s="1084">
        <v>-3595</v>
      </c>
      <c r="N135" s="1084"/>
      <c r="O135" s="1084"/>
      <c r="P135" s="1084">
        <v>5500</v>
      </c>
      <c r="Q135" s="1084"/>
      <c r="R135" s="1084"/>
      <c r="S135" s="1084"/>
      <c r="T135" s="1084"/>
      <c r="U135" s="1084"/>
      <c r="V135" s="1084"/>
      <c r="W135" s="1084"/>
      <c r="X135" s="1084">
        <v>538</v>
      </c>
      <c r="Y135" s="1084"/>
      <c r="Z135" s="1084"/>
      <c r="AA135" s="1084"/>
      <c r="AB135" s="1084"/>
      <c r="AC135" s="1084">
        <v>0</v>
      </c>
      <c r="AD135" s="1084">
        <f t="shared" si="92"/>
        <v>0</v>
      </c>
      <c r="AE135" s="1084">
        <f t="shared" si="93"/>
        <v>0</v>
      </c>
      <c r="AF135" s="1084"/>
      <c r="AG135" s="1084"/>
      <c r="AH135" s="1084"/>
      <c r="AI135" s="1084"/>
      <c r="AJ135" s="1084"/>
      <c r="AK135" s="1084"/>
      <c r="AL135" s="1084">
        <v>2380</v>
      </c>
      <c r="AM135" s="1085">
        <f t="shared" si="94"/>
        <v>2380</v>
      </c>
      <c r="AN135" s="1085">
        <f t="shared" si="95"/>
        <v>0</v>
      </c>
      <c r="AO135" s="1085"/>
      <c r="AP135" s="1085"/>
      <c r="AQ135" s="1085"/>
      <c r="AR135" s="1085"/>
      <c r="AS135" s="1085"/>
      <c r="AT135" s="1085"/>
      <c r="AU135" s="1085"/>
      <c r="AV135" s="1085"/>
      <c r="AW135" s="1085"/>
      <c r="AX135" s="1085"/>
      <c r="AY135" s="1085">
        <v>0</v>
      </c>
      <c r="AZ135" s="1085">
        <f t="shared" si="96"/>
        <v>0</v>
      </c>
      <c r="BA135" s="1085">
        <f t="shared" si="97"/>
        <v>0</v>
      </c>
      <c r="BB135" s="1085"/>
      <c r="BC135" s="1085"/>
      <c r="BD135" s="1085"/>
      <c r="BE135" s="1085"/>
      <c r="BF135" s="1085"/>
      <c r="BG135" s="1084">
        <f t="shared" si="98"/>
        <v>0</v>
      </c>
      <c r="BH135" s="1084">
        <f t="shared" si="99"/>
        <v>0</v>
      </c>
      <c r="BI135" s="1084"/>
      <c r="BJ135" s="1084"/>
      <c r="BK135" s="1084"/>
      <c r="BL135" s="1084"/>
      <c r="BM135" s="1084"/>
      <c r="BN135" s="1084"/>
      <c r="BO135" s="1086"/>
      <c r="BP135" s="1084"/>
      <c r="BQ135" s="1087"/>
      <c r="BR135" s="1084"/>
      <c r="BS135" s="1088"/>
      <c r="BT135" s="1089" t="s">
        <v>1545</v>
      </c>
      <c r="BU135" s="1090" t="s">
        <v>1546</v>
      </c>
    </row>
    <row r="136" spans="1:73" ht="24" x14ac:dyDescent="0.25">
      <c r="A136" s="1094"/>
      <c r="B136" s="1095"/>
      <c r="C136" s="1096"/>
      <c r="D136" s="1097"/>
      <c r="E136" s="1082" t="s">
        <v>1547</v>
      </c>
      <c r="F136" s="1083">
        <f t="shared" si="88"/>
        <v>0</v>
      </c>
      <c r="G136" s="1083">
        <f t="shared" si="89"/>
        <v>11057</v>
      </c>
      <c r="H136" s="1084"/>
      <c r="I136" s="1084">
        <f t="shared" si="90"/>
        <v>11057</v>
      </c>
      <c r="J136" s="1084">
        <f t="shared" si="91"/>
        <v>11057</v>
      </c>
      <c r="K136" s="1084"/>
      <c r="L136" s="1084"/>
      <c r="M136" s="1084">
        <v>11595</v>
      </c>
      <c r="N136" s="1084"/>
      <c r="O136" s="1084"/>
      <c r="P136" s="1084"/>
      <c r="Q136" s="1084"/>
      <c r="R136" s="1084"/>
      <c r="S136" s="1084"/>
      <c r="T136" s="1084"/>
      <c r="U136" s="1084"/>
      <c r="V136" s="1084"/>
      <c r="W136" s="1084"/>
      <c r="X136" s="1084">
        <v>-538</v>
      </c>
      <c r="Y136" s="1084"/>
      <c r="Z136" s="1084"/>
      <c r="AA136" s="1084"/>
      <c r="AB136" s="1084"/>
      <c r="AC136" s="1084"/>
      <c r="AD136" s="1084"/>
      <c r="AE136" s="1084"/>
      <c r="AF136" s="1084"/>
      <c r="AG136" s="1084"/>
      <c r="AH136" s="1084"/>
      <c r="AI136" s="1084"/>
      <c r="AJ136" s="1084"/>
      <c r="AK136" s="1084"/>
      <c r="AL136" s="1084"/>
      <c r="AM136" s="1085"/>
      <c r="AN136" s="1085"/>
      <c r="AO136" s="1085"/>
      <c r="AP136" s="1085"/>
      <c r="AQ136" s="1085"/>
      <c r="AR136" s="1085"/>
      <c r="AS136" s="1085"/>
      <c r="AT136" s="1085"/>
      <c r="AU136" s="1085"/>
      <c r="AV136" s="1085"/>
      <c r="AW136" s="1085"/>
      <c r="AX136" s="1085"/>
      <c r="AY136" s="1085"/>
      <c r="AZ136" s="1085"/>
      <c r="BA136" s="1085"/>
      <c r="BB136" s="1085"/>
      <c r="BC136" s="1085"/>
      <c r="BD136" s="1085"/>
      <c r="BE136" s="1085"/>
      <c r="BF136" s="1085"/>
      <c r="BG136" s="1084">
        <f t="shared" si="98"/>
        <v>0</v>
      </c>
      <c r="BH136" s="1084">
        <f t="shared" si="99"/>
        <v>0</v>
      </c>
      <c r="BI136" s="1084"/>
      <c r="BJ136" s="1084"/>
      <c r="BK136" s="1084"/>
      <c r="BL136" s="1084"/>
      <c r="BM136" s="1084"/>
      <c r="BN136" s="1084"/>
      <c r="BO136" s="1086"/>
      <c r="BP136" s="1084"/>
      <c r="BQ136" s="1087"/>
      <c r="BR136" s="1084"/>
      <c r="BS136" s="1088"/>
      <c r="BT136" s="1089" t="s">
        <v>1548</v>
      </c>
      <c r="BU136" s="1090"/>
    </row>
    <row r="137" spans="1:73" s="1177" customFormat="1" ht="36" customHeight="1" x14ac:dyDescent="0.25">
      <c r="A137" s="1175">
        <v>40003378932</v>
      </c>
      <c r="B137" s="1082"/>
      <c r="C137" s="1514" t="s">
        <v>1253</v>
      </c>
      <c r="D137" s="1515"/>
      <c r="E137" s="1082" t="s">
        <v>1549</v>
      </c>
      <c r="F137" s="1083">
        <f t="shared" si="88"/>
        <v>499999.80000000005</v>
      </c>
      <c r="G137" s="1083">
        <f t="shared" si="89"/>
        <v>502967.80000000005</v>
      </c>
      <c r="H137" s="1084">
        <v>499999.80000000005</v>
      </c>
      <c r="I137" s="1084">
        <f t="shared" si="90"/>
        <v>502967.80000000005</v>
      </c>
      <c r="J137" s="1084">
        <f t="shared" si="91"/>
        <v>2968</v>
      </c>
      <c r="K137" s="1084"/>
      <c r="L137" s="1084"/>
      <c r="M137" s="1084"/>
      <c r="N137" s="1084">
        <v>2968</v>
      </c>
      <c r="O137" s="1084"/>
      <c r="P137" s="1084"/>
      <c r="Q137" s="1084"/>
      <c r="R137" s="1084"/>
      <c r="S137" s="1084"/>
      <c r="T137" s="1084"/>
      <c r="U137" s="1084"/>
      <c r="V137" s="1084"/>
      <c r="W137" s="1084"/>
      <c r="X137" s="1084"/>
      <c r="Y137" s="1084"/>
      <c r="Z137" s="1084"/>
      <c r="AA137" s="1084"/>
      <c r="AB137" s="1084"/>
      <c r="AC137" s="1084">
        <v>0</v>
      </c>
      <c r="AD137" s="1084">
        <f t="shared" si="92"/>
        <v>0</v>
      </c>
      <c r="AE137" s="1084">
        <f t="shared" si="93"/>
        <v>0</v>
      </c>
      <c r="AF137" s="1084"/>
      <c r="AG137" s="1084"/>
      <c r="AH137" s="1084"/>
      <c r="AI137" s="1084"/>
      <c r="AJ137" s="1084"/>
      <c r="AK137" s="1084"/>
      <c r="AL137" s="1084">
        <v>0</v>
      </c>
      <c r="AM137" s="1085">
        <f t="shared" si="94"/>
        <v>0</v>
      </c>
      <c r="AN137" s="1085">
        <f t="shared" si="95"/>
        <v>0</v>
      </c>
      <c r="AO137" s="1085"/>
      <c r="AP137" s="1085"/>
      <c r="AQ137" s="1085"/>
      <c r="AR137" s="1085"/>
      <c r="AS137" s="1085"/>
      <c r="AT137" s="1085"/>
      <c r="AU137" s="1085"/>
      <c r="AV137" s="1085"/>
      <c r="AW137" s="1085"/>
      <c r="AX137" s="1176"/>
      <c r="AY137" s="1085">
        <v>0</v>
      </c>
      <c r="AZ137" s="1085">
        <f t="shared" si="96"/>
        <v>0</v>
      </c>
      <c r="BA137" s="1085">
        <f t="shared" si="97"/>
        <v>0</v>
      </c>
      <c r="BB137" s="1085"/>
      <c r="BC137" s="1085"/>
      <c r="BD137" s="1085"/>
      <c r="BE137" s="1085"/>
      <c r="BF137" s="1085"/>
      <c r="BG137" s="1084">
        <f t="shared" si="98"/>
        <v>0</v>
      </c>
      <c r="BH137" s="1084">
        <f t="shared" si="99"/>
        <v>0</v>
      </c>
      <c r="BI137" s="1084"/>
      <c r="BJ137" s="1084"/>
      <c r="BK137" s="1084"/>
      <c r="BL137" s="1084"/>
      <c r="BM137" s="1084"/>
      <c r="BN137" s="1084"/>
      <c r="BO137" s="1086"/>
      <c r="BP137" s="1084"/>
      <c r="BQ137" s="1087"/>
      <c r="BR137" s="1084"/>
      <c r="BS137" s="1088"/>
      <c r="BT137" s="1089" t="s">
        <v>1550</v>
      </c>
      <c r="BU137" s="1090"/>
    </row>
    <row r="138" spans="1:73" s="1177" customFormat="1" ht="12.75" x14ac:dyDescent="0.25">
      <c r="A138" s="1175"/>
      <c r="B138" s="1082"/>
      <c r="C138" s="1096"/>
      <c r="D138" s="1097"/>
      <c r="E138" s="1082" t="s">
        <v>1551</v>
      </c>
      <c r="F138" s="1083">
        <f t="shared" si="88"/>
        <v>50000</v>
      </c>
      <c r="G138" s="1083">
        <f t="shared" si="89"/>
        <v>50000</v>
      </c>
      <c r="H138" s="1084">
        <v>50000</v>
      </c>
      <c r="I138" s="1084">
        <f t="shared" si="90"/>
        <v>50000</v>
      </c>
      <c r="J138" s="1084">
        <f t="shared" si="91"/>
        <v>0</v>
      </c>
      <c r="K138" s="1084"/>
      <c r="L138" s="1084"/>
      <c r="M138" s="1084"/>
      <c r="N138" s="1084"/>
      <c r="O138" s="1084"/>
      <c r="P138" s="1084"/>
      <c r="Q138" s="1084"/>
      <c r="R138" s="1084"/>
      <c r="S138" s="1084"/>
      <c r="T138" s="1084"/>
      <c r="U138" s="1084"/>
      <c r="V138" s="1084"/>
      <c r="W138" s="1084"/>
      <c r="X138" s="1084"/>
      <c r="Y138" s="1084"/>
      <c r="Z138" s="1084"/>
      <c r="AA138" s="1084"/>
      <c r="AB138" s="1084"/>
      <c r="AC138" s="1084">
        <v>0</v>
      </c>
      <c r="AD138" s="1084">
        <f t="shared" si="92"/>
        <v>0</v>
      </c>
      <c r="AE138" s="1084">
        <f t="shared" si="93"/>
        <v>0</v>
      </c>
      <c r="AF138" s="1084"/>
      <c r="AG138" s="1084"/>
      <c r="AH138" s="1084"/>
      <c r="AI138" s="1084"/>
      <c r="AJ138" s="1084"/>
      <c r="AK138" s="1084"/>
      <c r="AL138" s="1084">
        <v>0</v>
      </c>
      <c r="AM138" s="1085">
        <f t="shared" si="94"/>
        <v>0</v>
      </c>
      <c r="AN138" s="1085">
        <f t="shared" si="95"/>
        <v>0</v>
      </c>
      <c r="AO138" s="1085"/>
      <c r="AP138" s="1085"/>
      <c r="AQ138" s="1085"/>
      <c r="AR138" s="1085"/>
      <c r="AS138" s="1085"/>
      <c r="AT138" s="1085"/>
      <c r="AU138" s="1085"/>
      <c r="AV138" s="1085"/>
      <c r="AW138" s="1085"/>
      <c r="AX138" s="1176"/>
      <c r="AY138" s="1085">
        <v>0</v>
      </c>
      <c r="AZ138" s="1085">
        <f t="shared" si="96"/>
        <v>0</v>
      </c>
      <c r="BA138" s="1085">
        <f t="shared" si="97"/>
        <v>0</v>
      </c>
      <c r="BB138" s="1085"/>
      <c r="BC138" s="1085"/>
      <c r="BD138" s="1085"/>
      <c r="BE138" s="1085"/>
      <c r="BF138" s="1085"/>
      <c r="BG138" s="1084">
        <f t="shared" si="98"/>
        <v>0</v>
      </c>
      <c r="BH138" s="1084">
        <f t="shared" si="99"/>
        <v>0</v>
      </c>
      <c r="BI138" s="1084"/>
      <c r="BJ138" s="1084"/>
      <c r="BK138" s="1084"/>
      <c r="BL138" s="1084"/>
      <c r="BM138" s="1084"/>
      <c r="BN138" s="1084"/>
      <c r="BO138" s="1086"/>
      <c r="BP138" s="1084"/>
      <c r="BQ138" s="1087"/>
      <c r="BR138" s="1084"/>
      <c r="BS138" s="1088"/>
      <c r="BT138" s="1089" t="s">
        <v>1552</v>
      </c>
      <c r="BU138" s="1090"/>
    </row>
    <row r="139" spans="1:73" s="1177" customFormat="1" ht="24" x14ac:dyDescent="0.25">
      <c r="A139" s="1175"/>
      <c r="B139" s="1082"/>
      <c r="C139" s="1096"/>
      <c r="D139" s="1097"/>
      <c r="E139" s="1082" t="s">
        <v>1256</v>
      </c>
      <c r="F139" s="1083">
        <f t="shared" si="88"/>
        <v>8569</v>
      </c>
      <c r="G139" s="1083">
        <f t="shared" si="89"/>
        <v>8314</v>
      </c>
      <c r="H139" s="1084">
        <v>8569</v>
      </c>
      <c r="I139" s="1084">
        <f t="shared" si="90"/>
        <v>8314</v>
      </c>
      <c r="J139" s="1084">
        <f t="shared" si="91"/>
        <v>-255</v>
      </c>
      <c r="K139" s="1084">
        <v>-256</v>
      </c>
      <c r="L139" s="1084"/>
      <c r="M139" s="1084"/>
      <c r="N139" s="1084"/>
      <c r="O139" s="1084"/>
      <c r="P139" s="1084"/>
      <c r="Q139" s="1084"/>
      <c r="R139" s="1084"/>
      <c r="S139" s="1084"/>
      <c r="T139" s="1084"/>
      <c r="U139" s="1084"/>
      <c r="V139" s="1084"/>
      <c r="W139" s="1084"/>
      <c r="X139" s="1084"/>
      <c r="Y139" s="1084"/>
      <c r="Z139" s="1084"/>
      <c r="AA139" s="1084">
        <v>1</v>
      </c>
      <c r="AB139" s="1084"/>
      <c r="AC139" s="1084">
        <v>0</v>
      </c>
      <c r="AD139" s="1084">
        <f t="shared" si="92"/>
        <v>0</v>
      </c>
      <c r="AE139" s="1084">
        <f t="shared" si="93"/>
        <v>0</v>
      </c>
      <c r="AF139" s="1084"/>
      <c r="AG139" s="1084"/>
      <c r="AH139" s="1084"/>
      <c r="AI139" s="1084"/>
      <c r="AJ139" s="1084"/>
      <c r="AK139" s="1084"/>
      <c r="AL139" s="1084">
        <v>0</v>
      </c>
      <c r="AM139" s="1085">
        <f t="shared" si="94"/>
        <v>0</v>
      </c>
      <c r="AN139" s="1085">
        <f t="shared" si="95"/>
        <v>0</v>
      </c>
      <c r="AO139" s="1085"/>
      <c r="AP139" s="1085"/>
      <c r="AQ139" s="1085"/>
      <c r="AR139" s="1085"/>
      <c r="AS139" s="1085"/>
      <c r="AT139" s="1085"/>
      <c r="AU139" s="1085"/>
      <c r="AV139" s="1085"/>
      <c r="AW139" s="1085"/>
      <c r="AX139" s="1176"/>
      <c r="AY139" s="1085">
        <v>0</v>
      </c>
      <c r="AZ139" s="1085">
        <f t="shared" si="96"/>
        <v>0</v>
      </c>
      <c r="BA139" s="1085">
        <f t="shared" si="97"/>
        <v>0</v>
      </c>
      <c r="BB139" s="1085"/>
      <c r="BC139" s="1085"/>
      <c r="BD139" s="1085"/>
      <c r="BE139" s="1085"/>
      <c r="BF139" s="1085"/>
      <c r="BG139" s="1084">
        <f t="shared" si="98"/>
        <v>0</v>
      </c>
      <c r="BH139" s="1084">
        <f t="shared" si="99"/>
        <v>0</v>
      </c>
      <c r="BI139" s="1084"/>
      <c r="BJ139" s="1084"/>
      <c r="BK139" s="1084"/>
      <c r="BL139" s="1084"/>
      <c r="BM139" s="1084"/>
      <c r="BN139" s="1084"/>
      <c r="BO139" s="1086"/>
      <c r="BP139" s="1084"/>
      <c r="BQ139" s="1087"/>
      <c r="BR139" s="1084"/>
      <c r="BS139" s="1088"/>
      <c r="BT139" s="1089" t="s">
        <v>1553</v>
      </c>
      <c r="BU139" s="1090"/>
    </row>
    <row r="140" spans="1:73" ht="60" x14ac:dyDescent="0.25">
      <c r="A140" s="1094"/>
      <c r="B140" s="1095"/>
      <c r="C140" s="1514" t="s">
        <v>1047</v>
      </c>
      <c r="D140" s="1515"/>
      <c r="E140" s="1118" t="s">
        <v>1554</v>
      </c>
      <c r="F140" s="1083">
        <f t="shared" si="88"/>
        <v>224960</v>
      </c>
      <c r="G140" s="1083">
        <f t="shared" si="89"/>
        <v>224960</v>
      </c>
      <c r="H140" s="1084"/>
      <c r="I140" s="1084">
        <f t="shared" si="90"/>
        <v>0</v>
      </c>
      <c r="J140" s="1084">
        <f t="shared" si="91"/>
        <v>0</v>
      </c>
      <c r="K140" s="1084"/>
      <c r="L140" s="1084"/>
      <c r="M140" s="1084"/>
      <c r="N140" s="1084"/>
      <c r="O140" s="1084"/>
      <c r="P140" s="1084"/>
      <c r="Q140" s="1084"/>
      <c r="R140" s="1084"/>
      <c r="S140" s="1084"/>
      <c r="T140" s="1084"/>
      <c r="U140" s="1084"/>
      <c r="V140" s="1084"/>
      <c r="W140" s="1084"/>
      <c r="X140" s="1084"/>
      <c r="Y140" s="1084"/>
      <c r="Z140" s="1084"/>
      <c r="AA140" s="1084"/>
      <c r="AB140" s="1084"/>
      <c r="AC140" s="1084"/>
      <c r="AD140" s="1084"/>
      <c r="AE140" s="1084"/>
      <c r="AF140" s="1084"/>
      <c r="AG140" s="1084"/>
      <c r="AH140" s="1084"/>
      <c r="AI140" s="1084"/>
      <c r="AJ140" s="1084"/>
      <c r="AK140" s="1084"/>
      <c r="AL140" s="1084"/>
      <c r="AM140" s="1084"/>
      <c r="AN140" s="1084"/>
      <c r="AO140" s="1084"/>
      <c r="AP140" s="1084"/>
      <c r="AQ140" s="1084"/>
      <c r="AR140" s="1084"/>
      <c r="AS140" s="1084"/>
      <c r="AT140" s="1084"/>
      <c r="AU140" s="1084"/>
      <c r="AV140" s="1084"/>
      <c r="AW140" s="1084"/>
      <c r="AX140" s="1084">
        <v>224960</v>
      </c>
      <c r="AY140" s="1085"/>
      <c r="AZ140" s="1085"/>
      <c r="BA140" s="1085"/>
      <c r="BB140" s="1085"/>
      <c r="BC140" s="1085"/>
      <c r="BD140" s="1085"/>
      <c r="BE140" s="1085"/>
      <c r="BF140" s="1085"/>
      <c r="BG140" s="1084">
        <f t="shared" si="98"/>
        <v>0</v>
      </c>
      <c r="BH140" s="1084">
        <f t="shared" si="99"/>
        <v>0</v>
      </c>
      <c r="BI140" s="1084"/>
      <c r="BJ140" s="1084"/>
      <c r="BK140" s="1084"/>
      <c r="BL140" s="1084"/>
      <c r="BM140" s="1084"/>
      <c r="BN140" s="1084"/>
      <c r="BO140" s="1086"/>
      <c r="BP140" s="1084"/>
      <c r="BQ140" s="1087"/>
      <c r="BR140" s="1084"/>
      <c r="BS140" s="1088"/>
      <c r="BT140" s="1089"/>
      <c r="BU140" s="1090"/>
    </row>
    <row r="141" spans="1:73" ht="24" x14ac:dyDescent="0.25">
      <c r="A141" s="1094"/>
      <c r="B141" s="1095"/>
      <c r="C141" s="1131"/>
      <c r="D141" s="1132"/>
      <c r="E141" s="1118" t="s">
        <v>1555</v>
      </c>
      <c r="F141" s="1083">
        <f t="shared" si="88"/>
        <v>302372</v>
      </c>
      <c r="G141" s="1083">
        <f t="shared" si="89"/>
        <v>302372</v>
      </c>
      <c r="H141" s="1084"/>
      <c r="I141" s="1084">
        <f t="shared" si="90"/>
        <v>0</v>
      </c>
      <c r="J141" s="1084">
        <f t="shared" si="91"/>
        <v>0</v>
      </c>
      <c r="K141" s="1084"/>
      <c r="L141" s="1084"/>
      <c r="M141" s="1084"/>
      <c r="N141" s="1084"/>
      <c r="O141" s="1084"/>
      <c r="P141" s="1084"/>
      <c r="Q141" s="1084"/>
      <c r="R141" s="1084"/>
      <c r="S141" s="1084"/>
      <c r="T141" s="1084"/>
      <c r="U141" s="1084"/>
      <c r="V141" s="1084"/>
      <c r="W141" s="1084"/>
      <c r="X141" s="1084"/>
      <c r="Y141" s="1084"/>
      <c r="Z141" s="1084"/>
      <c r="AA141" s="1084"/>
      <c r="AB141" s="1084"/>
      <c r="AC141" s="1084"/>
      <c r="AD141" s="1084"/>
      <c r="AE141" s="1084"/>
      <c r="AF141" s="1084"/>
      <c r="AG141" s="1084"/>
      <c r="AH141" s="1084"/>
      <c r="AI141" s="1084"/>
      <c r="AJ141" s="1084"/>
      <c r="AK141" s="1084"/>
      <c r="AL141" s="1084"/>
      <c r="AM141" s="1084"/>
      <c r="AN141" s="1084"/>
      <c r="AO141" s="1084"/>
      <c r="AP141" s="1084"/>
      <c r="AQ141" s="1084"/>
      <c r="AR141" s="1084"/>
      <c r="AS141" s="1084"/>
      <c r="AT141" s="1084"/>
      <c r="AU141" s="1084"/>
      <c r="AV141" s="1084"/>
      <c r="AW141" s="1084"/>
      <c r="AX141" s="1084">
        <v>302372</v>
      </c>
      <c r="AY141" s="1085"/>
      <c r="AZ141" s="1085"/>
      <c r="BA141" s="1085"/>
      <c r="BB141" s="1085"/>
      <c r="BC141" s="1085"/>
      <c r="BD141" s="1085"/>
      <c r="BE141" s="1085"/>
      <c r="BF141" s="1085"/>
      <c r="BG141" s="1084">
        <f t="shared" si="98"/>
        <v>0</v>
      </c>
      <c r="BH141" s="1084">
        <f t="shared" si="99"/>
        <v>0</v>
      </c>
      <c r="BI141" s="1084"/>
      <c r="BJ141" s="1084"/>
      <c r="BK141" s="1084"/>
      <c r="BL141" s="1084"/>
      <c r="BM141" s="1084"/>
      <c r="BN141" s="1084"/>
      <c r="BO141" s="1086"/>
      <c r="BP141" s="1084"/>
      <c r="BQ141" s="1087"/>
      <c r="BR141" s="1084"/>
      <c r="BS141" s="1088"/>
      <c r="BT141" s="1089"/>
      <c r="BU141" s="1090"/>
    </row>
    <row r="142" spans="1:73" ht="24" x14ac:dyDescent="0.25">
      <c r="A142" s="1094"/>
      <c r="B142" s="1095"/>
      <c r="C142" s="1131"/>
      <c r="D142" s="1132"/>
      <c r="E142" s="1118" t="s">
        <v>1556</v>
      </c>
      <c r="F142" s="1083">
        <f t="shared" si="88"/>
        <v>502274</v>
      </c>
      <c r="G142" s="1083">
        <f t="shared" si="89"/>
        <v>502274</v>
      </c>
      <c r="H142" s="1084"/>
      <c r="I142" s="1084">
        <f t="shared" si="90"/>
        <v>0</v>
      </c>
      <c r="J142" s="1084">
        <f t="shared" si="91"/>
        <v>0</v>
      </c>
      <c r="K142" s="1084"/>
      <c r="L142" s="1084"/>
      <c r="M142" s="1084"/>
      <c r="N142" s="1084"/>
      <c r="O142" s="1084"/>
      <c r="P142" s="1084"/>
      <c r="Q142" s="1084"/>
      <c r="R142" s="1084"/>
      <c r="S142" s="1084"/>
      <c r="T142" s="1084"/>
      <c r="U142" s="1084"/>
      <c r="V142" s="1084"/>
      <c r="W142" s="1084"/>
      <c r="X142" s="1084"/>
      <c r="Y142" s="1084"/>
      <c r="Z142" s="1084"/>
      <c r="AA142" s="1084"/>
      <c r="AB142" s="1084"/>
      <c r="AC142" s="1084"/>
      <c r="AD142" s="1084"/>
      <c r="AE142" s="1084"/>
      <c r="AF142" s="1084"/>
      <c r="AG142" s="1084"/>
      <c r="AH142" s="1084"/>
      <c r="AI142" s="1084"/>
      <c r="AJ142" s="1084"/>
      <c r="AK142" s="1084"/>
      <c r="AL142" s="1084"/>
      <c r="AM142" s="1084"/>
      <c r="AN142" s="1084"/>
      <c r="AO142" s="1084"/>
      <c r="AP142" s="1084"/>
      <c r="AQ142" s="1084"/>
      <c r="AR142" s="1084"/>
      <c r="AS142" s="1084"/>
      <c r="AT142" s="1084"/>
      <c r="AU142" s="1084"/>
      <c r="AV142" s="1084"/>
      <c r="AW142" s="1084"/>
      <c r="AX142" s="1084">
        <v>502274</v>
      </c>
      <c r="AY142" s="1085"/>
      <c r="AZ142" s="1085"/>
      <c r="BA142" s="1085"/>
      <c r="BB142" s="1085"/>
      <c r="BC142" s="1085"/>
      <c r="BD142" s="1085"/>
      <c r="BE142" s="1085"/>
      <c r="BF142" s="1085"/>
      <c r="BG142" s="1084">
        <f t="shared" si="98"/>
        <v>0</v>
      </c>
      <c r="BH142" s="1084">
        <f t="shared" si="99"/>
        <v>0</v>
      </c>
      <c r="BI142" s="1084"/>
      <c r="BJ142" s="1084"/>
      <c r="BK142" s="1084"/>
      <c r="BL142" s="1084"/>
      <c r="BM142" s="1084"/>
      <c r="BN142" s="1084"/>
      <c r="BO142" s="1086"/>
      <c r="BP142" s="1084"/>
      <c r="BQ142" s="1087"/>
      <c r="BR142" s="1084"/>
      <c r="BS142" s="1088"/>
      <c r="BT142" s="1089"/>
      <c r="BU142" s="1090"/>
    </row>
    <row r="143" spans="1:73" ht="48" x14ac:dyDescent="0.25">
      <c r="A143" s="1094"/>
      <c r="B143" s="1154"/>
      <c r="C143" s="1131"/>
      <c r="D143" s="1132"/>
      <c r="E143" s="1178" t="s">
        <v>1557</v>
      </c>
      <c r="F143" s="1083">
        <f t="shared" si="88"/>
        <v>679388</v>
      </c>
      <c r="G143" s="1083">
        <f t="shared" si="89"/>
        <v>679388</v>
      </c>
      <c r="H143" s="1084"/>
      <c r="I143" s="1084">
        <f t="shared" si="90"/>
        <v>0</v>
      </c>
      <c r="J143" s="1084">
        <f t="shared" si="91"/>
        <v>0</v>
      </c>
      <c r="K143" s="1084"/>
      <c r="L143" s="1084"/>
      <c r="M143" s="1084"/>
      <c r="N143" s="1084"/>
      <c r="O143" s="1084"/>
      <c r="P143" s="1084"/>
      <c r="Q143" s="1084"/>
      <c r="R143" s="1084"/>
      <c r="S143" s="1084"/>
      <c r="T143" s="1084"/>
      <c r="U143" s="1084"/>
      <c r="V143" s="1084"/>
      <c r="W143" s="1084"/>
      <c r="X143" s="1084"/>
      <c r="Y143" s="1084"/>
      <c r="Z143" s="1084"/>
      <c r="AA143" s="1084"/>
      <c r="AB143" s="1084"/>
      <c r="AC143" s="1084"/>
      <c r="AD143" s="1084"/>
      <c r="AE143" s="1084"/>
      <c r="AF143" s="1084"/>
      <c r="AG143" s="1084"/>
      <c r="AH143" s="1084"/>
      <c r="AI143" s="1084"/>
      <c r="AJ143" s="1084"/>
      <c r="AK143" s="1084"/>
      <c r="AL143" s="1084"/>
      <c r="AM143" s="1085"/>
      <c r="AN143" s="1085"/>
      <c r="AO143" s="1085"/>
      <c r="AP143" s="1085"/>
      <c r="AQ143" s="1085"/>
      <c r="AR143" s="1085"/>
      <c r="AS143" s="1085"/>
      <c r="AT143" s="1085"/>
      <c r="AU143" s="1085"/>
      <c r="AV143" s="1085"/>
      <c r="AW143" s="1085"/>
      <c r="AX143" s="1085">
        <v>679388</v>
      </c>
      <c r="AY143" s="1085"/>
      <c r="AZ143" s="1085"/>
      <c r="BA143" s="1085"/>
      <c r="BB143" s="1085"/>
      <c r="BC143" s="1085"/>
      <c r="BD143" s="1085"/>
      <c r="BE143" s="1085"/>
      <c r="BF143" s="1085"/>
      <c r="BG143" s="1084">
        <f t="shared" si="98"/>
        <v>0</v>
      </c>
      <c r="BH143" s="1084">
        <f t="shared" si="99"/>
        <v>0</v>
      </c>
      <c r="BI143" s="1084"/>
      <c r="BJ143" s="1084"/>
      <c r="BK143" s="1084"/>
      <c r="BL143" s="1084"/>
      <c r="BM143" s="1084"/>
      <c r="BN143" s="1084"/>
      <c r="BO143" s="1086"/>
      <c r="BP143" s="1084"/>
      <c r="BQ143" s="1087"/>
      <c r="BR143" s="1084"/>
      <c r="BS143" s="1088"/>
      <c r="BT143" s="1089"/>
      <c r="BU143" s="1090"/>
    </row>
    <row r="144" spans="1:73" ht="12.75" thickBot="1" x14ac:dyDescent="0.3">
      <c r="A144" s="1094"/>
      <c r="B144" s="1109"/>
      <c r="C144" s="1537"/>
      <c r="D144" s="1538"/>
      <c r="E144" s="1119"/>
      <c r="F144" s="1101"/>
      <c r="G144" s="1101"/>
      <c r="H144" s="1102"/>
      <c r="I144" s="1102"/>
      <c r="J144" s="1102"/>
      <c r="K144" s="1102"/>
      <c r="L144" s="1102"/>
      <c r="M144" s="1102"/>
      <c r="N144" s="1102"/>
      <c r="O144" s="1102"/>
      <c r="P144" s="1102"/>
      <c r="Q144" s="1102"/>
      <c r="R144" s="1102"/>
      <c r="S144" s="1102"/>
      <c r="T144" s="1102"/>
      <c r="U144" s="1102"/>
      <c r="V144" s="1102"/>
      <c r="W144" s="1102"/>
      <c r="X144" s="1102"/>
      <c r="Y144" s="1102"/>
      <c r="Z144" s="1102"/>
      <c r="AA144" s="1102"/>
      <c r="AB144" s="1102"/>
      <c r="AC144" s="1102"/>
      <c r="AD144" s="1102"/>
      <c r="AE144" s="1102"/>
      <c r="AF144" s="1102"/>
      <c r="AG144" s="1102"/>
      <c r="AH144" s="1102"/>
      <c r="AI144" s="1102"/>
      <c r="AJ144" s="1102"/>
      <c r="AK144" s="1102"/>
      <c r="AL144" s="1102"/>
      <c r="AM144" s="1103"/>
      <c r="AN144" s="1103"/>
      <c r="AO144" s="1103"/>
      <c r="AP144" s="1103"/>
      <c r="AQ144" s="1103"/>
      <c r="AR144" s="1103"/>
      <c r="AS144" s="1103"/>
      <c r="AT144" s="1103"/>
      <c r="AU144" s="1103"/>
      <c r="AV144" s="1103"/>
      <c r="AW144" s="1103"/>
      <c r="AX144" s="1103"/>
      <c r="AY144" s="1103"/>
      <c r="AZ144" s="1103"/>
      <c r="BA144" s="1103"/>
      <c r="BB144" s="1103"/>
      <c r="BC144" s="1103"/>
      <c r="BD144" s="1103"/>
      <c r="BE144" s="1103"/>
      <c r="BF144" s="1103"/>
      <c r="BG144" s="1102"/>
      <c r="BH144" s="1102"/>
      <c r="BI144" s="1102"/>
      <c r="BJ144" s="1102"/>
      <c r="BK144" s="1102"/>
      <c r="BL144" s="1102"/>
      <c r="BM144" s="1102"/>
      <c r="BN144" s="1102"/>
      <c r="BO144" s="1104"/>
      <c r="BP144" s="1102"/>
      <c r="BQ144" s="1105"/>
      <c r="BR144" s="1102"/>
      <c r="BS144" s="1106"/>
      <c r="BT144" s="1120"/>
      <c r="BU144" s="1099"/>
    </row>
    <row r="145" spans="1:73" ht="12.75" thickBot="1" x14ac:dyDescent="0.3">
      <c r="A145" s="1111"/>
      <c r="B145" s="1518" t="s">
        <v>1558</v>
      </c>
      <c r="C145" s="1518"/>
      <c r="D145" s="1073" t="s">
        <v>1559</v>
      </c>
      <c r="E145" s="1112"/>
      <c r="F145" s="1075">
        <f t="shared" ref="F145:BQ145" si="101">SUM(F146:F236)</f>
        <v>27475168</v>
      </c>
      <c r="G145" s="1075">
        <f t="shared" si="101"/>
        <v>27181865</v>
      </c>
      <c r="H145" s="1075">
        <f t="shared" si="101"/>
        <v>17982378</v>
      </c>
      <c r="I145" s="1075">
        <f t="shared" si="101"/>
        <v>17066210</v>
      </c>
      <c r="J145" s="1075">
        <f t="shared" si="101"/>
        <v>-916168</v>
      </c>
      <c r="K145" s="1075">
        <f t="shared" si="101"/>
        <v>-320272</v>
      </c>
      <c r="L145" s="1075">
        <f t="shared" si="101"/>
        <v>1</v>
      </c>
      <c r="M145" s="1075">
        <f t="shared" si="101"/>
        <v>7237</v>
      </c>
      <c r="N145" s="1075">
        <f>SUM(N146:N236)</f>
        <v>3890</v>
      </c>
      <c r="O145" s="1075">
        <f t="shared" si="101"/>
        <v>21507</v>
      </c>
      <c r="P145" s="1075">
        <f t="shared" si="101"/>
        <v>29667</v>
      </c>
      <c r="Q145" s="1075">
        <f t="shared" si="101"/>
        <v>30181</v>
      </c>
      <c r="R145" s="1075">
        <f t="shared" si="101"/>
        <v>0</v>
      </c>
      <c r="S145" s="1075">
        <f t="shared" si="101"/>
        <v>1544</v>
      </c>
      <c r="T145" s="1075">
        <f t="shared" si="101"/>
        <v>300527</v>
      </c>
      <c r="U145" s="1075">
        <f t="shared" si="101"/>
        <v>0</v>
      </c>
      <c r="V145" s="1075">
        <f t="shared" si="101"/>
        <v>-17479</v>
      </c>
      <c r="W145" s="1075">
        <f t="shared" si="101"/>
        <v>15155</v>
      </c>
      <c r="X145" s="1075">
        <f t="shared" si="101"/>
        <v>6740</v>
      </c>
      <c r="Y145" s="1075">
        <f t="shared" si="101"/>
        <v>19300</v>
      </c>
      <c r="Z145" s="1075">
        <f t="shared" si="101"/>
        <v>-1016988</v>
      </c>
      <c r="AA145" s="1075">
        <f t="shared" si="101"/>
        <v>2822</v>
      </c>
      <c r="AB145" s="1075">
        <f t="shared" si="101"/>
        <v>0</v>
      </c>
      <c r="AC145" s="1075">
        <f t="shared" si="101"/>
        <v>7578591</v>
      </c>
      <c r="AD145" s="1075">
        <f t="shared" si="101"/>
        <v>8092983</v>
      </c>
      <c r="AE145" s="1075">
        <f t="shared" si="101"/>
        <v>514392</v>
      </c>
      <c r="AF145" s="1075">
        <f t="shared" si="101"/>
        <v>0</v>
      </c>
      <c r="AG145" s="1075">
        <f t="shared" si="101"/>
        <v>157731</v>
      </c>
      <c r="AH145" s="1075">
        <f t="shared" si="101"/>
        <v>0</v>
      </c>
      <c r="AI145" s="1075">
        <f t="shared" si="101"/>
        <v>356661</v>
      </c>
      <c r="AJ145" s="1075">
        <f t="shared" si="101"/>
        <v>0</v>
      </c>
      <c r="AK145" s="1075">
        <f t="shared" si="101"/>
        <v>0</v>
      </c>
      <c r="AL145" s="1075">
        <f t="shared" si="101"/>
        <v>464008</v>
      </c>
      <c r="AM145" s="1075">
        <f t="shared" si="101"/>
        <v>571084</v>
      </c>
      <c r="AN145" s="1075">
        <f t="shared" si="101"/>
        <v>107076</v>
      </c>
      <c r="AO145" s="1075">
        <f t="shared" si="101"/>
        <v>94866</v>
      </c>
      <c r="AP145" s="1075">
        <f t="shared" si="101"/>
        <v>20</v>
      </c>
      <c r="AQ145" s="1075">
        <f t="shared" si="101"/>
        <v>5607</v>
      </c>
      <c r="AR145" s="1075">
        <f t="shared" si="101"/>
        <v>2650</v>
      </c>
      <c r="AS145" s="1075">
        <f t="shared" si="101"/>
        <v>625</v>
      </c>
      <c r="AT145" s="1075">
        <f t="shared" si="101"/>
        <v>500</v>
      </c>
      <c r="AU145" s="1075">
        <f t="shared" si="101"/>
        <v>383</v>
      </c>
      <c r="AV145" s="1075">
        <f t="shared" si="101"/>
        <v>2425</v>
      </c>
      <c r="AW145" s="1075">
        <f t="shared" si="101"/>
        <v>0</v>
      </c>
      <c r="AX145" s="1075">
        <f t="shared" si="101"/>
        <v>1443053</v>
      </c>
      <c r="AY145" s="1076">
        <f t="shared" si="101"/>
        <v>7749</v>
      </c>
      <c r="AZ145" s="1076">
        <f t="shared" si="101"/>
        <v>10000</v>
      </c>
      <c r="BA145" s="1076">
        <f t="shared" si="101"/>
        <v>2251</v>
      </c>
      <c r="BB145" s="1076">
        <f t="shared" si="101"/>
        <v>2251</v>
      </c>
      <c r="BC145" s="1076">
        <f t="shared" si="101"/>
        <v>0</v>
      </c>
      <c r="BD145" s="1076">
        <f t="shared" si="101"/>
        <v>0</v>
      </c>
      <c r="BE145" s="1076">
        <f t="shared" si="101"/>
        <v>0</v>
      </c>
      <c r="BF145" s="1076">
        <f t="shared" si="101"/>
        <v>-611</v>
      </c>
      <c r="BG145" s="1076">
        <f t="shared" si="101"/>
        <v>-1465</v>
      </c>
      <c r="BH145" s="1076">
        <f t="shared" si="101"/>
        <v>-854</v>
      </c>
      <c r="BI145" s="1076">
        <f t="shared" si="101"/>
        <v>-129</v>
      </c>
      <c r="BJ145" s="1076">
        <f t="shared" si="101"/>
        <v>0</v>
      </c>
      <c r="BK145" s="1076">
        <f t="shared" si="101"/>
        <v>-11</v>
      </c>
      <c r="BL145" s="1076">
        <f t="shared" si="101"/>
        <v>0</v>
      </c>
      <c r="BM145" s="1076">
        <f t="shared" si="101"/>
        <v>0</v>
      </c>
      <c r="BN145" s="1076">
        <f t="shared" si="101"/>
        <v>-625</v>
      </c>
      <c r="BO145" s="1076">
        <f t="shared" si="101"/>
        <v>0</v>
      </c>
      <c r="BP145" s="1075">
        <f t="shared" si="101"/>
        <v>0</v>
      </c>
      <c r="BQ145" s="1077">
        <f t="shared" si="101"/>
        <v>-89</v>
      </c>
      <c r="BR145" s="1075">
        <f t="shared" ref="BR145:BS145" si="102">SUM(BR146:BR236)</f>
        <v>0</v>
      </c>
      <c r="BS145" s="1078">
        <f t="shared" si="102"/>
        <v>0</v>
      </c>
      <c r="BT145" s="1113"/>
      <c r="BU145" s="1114"/>
    </row>
    <row r="146" spans="1:73" ht="13.5" thickTop="1" x14ac:dyDescent="0.25">
      <c r="A146" s="1094">
        <v>90000056357</v>
      </c>
      <c r="B146" s="1116"/>
      <c r="C146" s="1519" t="s">
        <v>501</v>
      </c>
      <c r="D146" s="1520"/>
      <c r="E146" s="1155" t="s">
        <v>525</v>
      </c>
      <c r="F146" s="1146">
        <f t="shared" ref="F146:F218" si="103">H146+AC146+AL146+AX146+AY146+BF146</f>
        <v>371617</v>
      </c>
      <c r="G146" s="1146">
        <f t="shared" ref="G146:G218" si="104">I146+AD146+AM146+AX146+AZ146+BG146</f>
        <v>371617</v>
      </c>
      <c r="H146" s="1147">
        <v>371617</v>
      </c>
      <c r="I146" s="1147">
        <f t="shared" ref="I146:I218" si="105">H146+J146</f>
        <v>371617</v>
      </c>
      <c r="J146" s="1147">
        <f t="shared" ref="J146:J218" si="106">SUM(K146:AB146)</f>
        <v>0</v>
      </c>
      <c r="K146" s="1147"/>
      <c r="L146" s="1147"/>
      <c r="M146" s="1147"/>
      <c r="N146" s="1147"/>
      <c r="O146" s="1147"/>
      <c r="P146" s="1147"/>
      <c r="Q146" s="1147"/>
      <c r="R146" s="1147"/>
      <c r="S146" s="1147"/>
      <c r="T146" s="1147"/>
      <c r="U146" s="1147"/>
      <c r="V146" s="1147"/>
      <c r="W146" s="1147"/>
      <c r="X146" s="1147"/>
      <c r="Y146" s="1147"/>
      <c r="Z146" s="1147"/>
      <c r="AA146" s="1147"/>
      <c r="AB146" s="1147"/>
      <c r="AC146" s="1147">
        <v>0</v>
      </c>
      <c r="AD146" s="1147">
        <f t="shared" ref="AD146:AD218" si="107">AC146+AE146</f>
        <v>0</v>
      </c>
      <c r="AE146" s="1147">
        <f t="shared" ref="AE146:AE218" si="108">SUM(AF146:AK146)</f>
        <v>0</v>
      </c>
      <c r="AF146" s="1147"/>
      <c r="AG146" s="1147"/>
      <c r="AH146" s="1147"/>
      <c r="AI146" s="1147"/>
      <c r="AJ146" s="1147"/>
      <c r="AK146" s="1147"/>
      <c r="AL146" s="1147">
        <v>0</v>
      </c>
      <c r="AM146" s="1148">
        <f t="shared" ref="AM146:AM218" si="109">AN146+AL146</f>
        <v>0</v>
      </c>
      <c r="AN146" s="1148">
        <f t="shared" ref="AN146:AN218" si="110">SUM(AO146:AW146)</f>
        <v>0</v>
      </c>
      <c r="AO146" s="1148"/>
      <c r="AP146" s="1148"/>
      <c r="AQ146" s="1148"/>
      <c r="AR146" s="1148"/>
      <c r="AS146" s="1148"/>
      <c r="AT146" s="1148"/>
      <c r="AU146" s="1148"/>
      <c r="AV146" s="1148"/>
      <c r="AW146" s="1148"/>
      <c r="AX146" s="1148"/>
      <c r="AY146" s="1148">
        <v>0</v>
      </c>
      <c r="AZ146" s="1148">
        <f t="shared" ref="AZ146:AZ218" si="111">BA146+AY146</f>
        <v>0</v>
      </c>
      <c r="BA146" s="1148">
        <f t="shared" ref="BA146:BA218" si="112">SUM(BB146:BE146)</f>
        <v>0</v>
      </c>
      <c r="BB146" s="1148"/>
      <c r="BC146" s="1148"/>
      <c r="BD146" s="1148"/>
      <c r="BE146" s="1148"/>
      <c r="BF146" s="1148"/>
      <c r="BG146" s="1147">
        <f t="shared" ref="BG146:BG218" si="113">BH146+BF146</f>
        <v>0</v>
      </c>
      <c r="BH146" s="1147">
        <f t="shared" ref="BH146:BH186" si="114">SUM(BI146:BS146)</f>
        <v>0</v>
      </c>
      <c r="BI146" s="1147"/>
      <c r="BJ146" s="1147"/>
      <c r="BK146" s="1147"/>
      <c r="BL146" s="1147"/>
      <c r="BM146" s="1147"/>
      <c r="BN146" s="1147"/>
      <c r="BO146" s="1149"/>
      <c r="BP146" s="1147"/>
      <c r="BQ146" s="1150"/>
      <c r="BR146" s="1147"/>
      <c r="BS146" s="1151"/>
      <c r="BT146" s="1152" t="s">
        <v>1560</v>
      </c>
      <c r="BU146" s="1153"/>
    </row>
    <row r="147" spans="1:73" ht="24" x14ac:dyDescent="0.25">
      <c r="A147" s="1094"/>
      <c r="B147" s="1121"/>
      <c r="C147" s="1122"/>
      <c r="D147" s="1123"/>
      <c r="E147" s="1082" t="s">
        <v>1561</v>
      </c>
      <c r="F147" s="1083">
        <f t="shared" si="103"/>
        <v>102075</v>
      </c>
      <c r="G147" s="1083">
        <f t="shared" si="104"/>
        <v>102075</v>
      </c>
      <c r="H147" s="1084">
        <v>102075</v>
      </c>
      <c r="I147" s="1125">
        <f t="shared" si="105"/>
        <v>102075</v>
      </c>
      <c r="J147" s="1125">
        <f t="shared" si="106"/>
        <v>0</v>
      </c>
      <c r="K147" s="1125"/>
      <c r="L147" s="1125"/>
      <c r="M147" s="1125"/>
      <c r="N147" s="1125"/>
      <c r="O147" s="1125"/>
      <c r="P147" s="1125"/>
      <c r="Q147" s="1125"/>
      <c r="R147" s="1125"/>
      <c r="S147" s="1125"/>
      <c r="T147" s="1125"/>
      <c r="U147" s="1125"/>
      <c r="V147" s="1125"/>
      <c r="W147" s="1125"/>
      <c r="X147" s="1125"/>
      <c r="Y147" s="1125"/>
      <c r="Z147" s="1125"/>
      <c r="AA147" s="1125"/>
      <c r="AB147" s="1125"/>
      <c r="AC147" s="1125">
        <v>0</v>
      </c>
      <c r="AD147" s="1125">
        <f t="shared" si="107"/>
        <v>0</v>
      </c>
      <c r="AE147" s="1125">
        <f t="shared" si="108"/>
        <v>0</v>
      </c>
      <c r="AF147" s="1125"/>
      <c r="AG147" s="1125"/>
      <c r="AH147" s="1125"/>
      <c r="AI147" s="1125"/>
      <c r="AJ147" s="1125"/>
      <c r="AK147" s="1125"/>
      <c r="AL147" s="1125">
        <v>0</v>
      </c>
      <c r="AM147" s="1124">
        <f t="shared" si="109"/>
        <v>0</v>
      </c>
      <c r="AN147" s="1124">
        <f t="shared" si="110"/>
        <v>0</v>
      </c>
      <c r="AO147" s="1124"/>
      <c r="AP147" s="1124"/>
      <c r="AQ147" s="1124"/>
      <c r="AR147" s="1124"/>
      <c r="AS147" s="1124"/>
      <c r="AT147" s="1124"/>
      <c r="AU147" s="1124"/>
      <c r="AV147" s="1124"/>
      <c r="AW147" s="1124"/>
      <c r="AX147" s="1124"/>
      <c r="AY147" s="1124">
        <v>0</v>
      </c>
      <c r="AZ147" s="1124">
        <f t="shared" si="111"/>
        <v>0</v>
      </c>
      <c r="BA147" s="1124">
        <f t="shared" si="112"/>
        <v>0</v>
      </c>
      <c r="BB147" s="1124"/>
      <c r="BC147" s="1124"/>
      <c r="BD147" s="1124"/>
      <c r="BE147" s="1124"/>
      <c r="BF147" s="1124"/>
      <c r="BG147" s="1125">
        <f t="shared" si="113"/>
        <v>0</v>
      </c>
      <c r="BH147" s="1125">
        <f t="shared" si="114"/>
        <v>0</v>
      </c>
      <c r="BI147" s="1125"/>
      <c r="BJ147" s="1125"/>
      <c r="BK147" s="1125"/>
      <c r="BL147" s="1125"/>
      <c r="BM147" s="1125"/>
      <c r="BN147" s="1125"/>
      <c r="BO147" s="1126"/>
      <c r="BP147" s="1125"/>
      <c r="BQ147" s="1127"/>
      <c r="BR147" s="1125"/>
      <c r="BS147" s="1128"/>
      <c r="BT147" s="1129" t="s">
        <v>1562</v>
      </c>
      <c r="BU147" s="1090" t="s">
        <v>1563</v>
      </c>
    </row>
    <row r="148" spans="1:73" ht="24" x14ac:dyDescent="0.25">
      <c r="A148" s="1094"/>
      <c r="B148" s="1121"/>
      <c r="C148" s="1122"/>
      <c r="D148" s="1123"/>
      <c r="E148" s="1174" t="s">
        <v>1564</v>
      </c>
      <c r="F148" s="1083">
        <f t="shared" si="103"/>
        <v>50000</v>
      </c>
      <c r="G148" s="1083">
        <f t="shared" si="104"/>
        <v>50000</v>
      </c>
      <c r="H148" s="1084">
        <v>50000</v>
      </c>
      <c r="I148" s="1125">
        <f t="shared" si="105"/>
        <v>50000</v>
      </c>
      <c r="J148" s="1125">
        <f t="shared" si="106"/>
        <v>0</v>
      </c>
      <c r="K148" s="1125"/>
      <c r="L148" s="1125"/>
      <c r="M148" s="1125"/>
      <c r="N148" s="1125"/>
      <c r="O148" s="1125"/>
      <c r="P148" s="1125"/>
      <c r="Q148" s="1125"/>
      <c r="R148" s="1125"/>
      <c r="S148" s="1125"/>
      <c r="T148" s="1125"/>
      <c r="U148" s="1125"/>
      <c r="V148" s="1125"/>
      <c r="W148" s="1125"/>
      <c r="X148" s="1125"/>
      <c r="Y148" s="1125"/>
      <c r="Z148" s="1125"/>
      <c r="AA148" s="1125"/>
      <c r="AB148" s="1125"/>
      <c r="AC148" s="1125">
        <v>0</v>
      </c>
      <c r="AD148" s="1125">
        <f t="shared" si="107"/>
        <v>0</v>
      </c>
      <c r="AE148" s="1125">
        <f t="shared" si="108"/>
        <v>0</v>
      </c>
      <c r="AF148" s="1125"/>
      <c r="AG148" s="1125"/>
      <c r="AH148" s="1125"/>
      <c r="AI148" s="1125"/>
      <c r="AJ148" s="1125"/>
      <c r="AK148" s="1125"/>
      <c r="AL148" s="1125">
        <v>0</v>
      </c>
      <c r="AM148" s="1124">
        <f t="shared" si="109"/>
        <v>0</v>
      </c>
      <c r="AN148" s="1124">
        <f t="shared" si="110"/>
        <v>0</v>
      </c>
      <c r="AO148" s="1124"/>
      <c r="AP148" s="1124"/>
      <c r="AQ148" s="1124"/>
      <c r="AR148" s="1124"/>
      <c r="AS148" s="1124"/>
      <c r="AT148" s="1124"/>
      <c r="AU148" s="1124"/>
      <c r="AV148" s="1124"/>
      <c r="AW148" s="1124"/>
      <c r="AX148" s="1124"/>
      <c r="AY148" s="1124">
        <v>0</v>
      </c>
      <c r="AZ148" s="1124">
        <f t="shared" si="111"/>
        <v>0</v>
      </c>
      <c r="BA148" s="1124">
        <f t="shared" si="112"/>
        <v>0</v>
      </c>
      <c r="BB148" s="1124"/>
      <c r="BC148" s="1124"/>
      <c r="BD148" s="1124"/>
      <c r="BE148" s="1124"/>
      <c r="BF148" s="1124"/>
      <c r="BG148" s="1125">
        <f t="shared" si="113"/>
        <v>0</v>
      </c>
      <c r="BH148" s="1125">
        <f t="shared" si="114"/>
        <v>0</v>
      </c>
      <c r="BI148" s="1125"/>
      <c r="BJ148" s="1125"/>
      <c r="BK148" s="1125"/>
      <c r="BL148" s="1125"/>
      <c r="BM148" s="1125"/>
      <c r="BN148" s="1125"/>
      <c r="BO148" s="1126"/>
      <c r="BP148" s="1125"/>
      <c r="BQ148" s="1127"/>
      <c r="BR148" s="1125"/>
      <c r="BS148" s="1128"/>
      <c r="BT148" s="1129" t="s">
        <v>1565</v>
      </c>
      <c r="BU148" s="1157" t="s">
        <v>1430</v>
      </c>
    </row>
    <row r="149" spans="1:73" ht="36" x14ac:dyDescent="0.25">
      <c r="A149" s="1094"/>
      <c r="B149" s="1095"/>
      <c r="C149" s="1096"/>
      <c r="D149" s="1097"/>
      <c r="E149" s="1177" t="s">
        <v>1566</v>
      </c>
      <c r="F149" s="1101">
        <f t="shared" si="103"/>
        <v>553000</v>
      </c>
      <c r="G149" s="1101">
        <f t="shared" si="104"/>
        <v>556443</v>
      </c>
      <c r="H149" s="1102">
        <v>553000</v>
      </c>
      <c r="I149" s="1102">
        <f t="shared" si="105"/>
        <v>556443</v>
      </c>
      <c r="J149" s="1102">
        <f t="shared" si="106"/>
        <v>3443</v>
      </c>
      <c r="K149" s="1102"/>
      <c r="L149" s="1102"/>
      <c r="M149" s="1102">
        <v>-6436</v>
      </c>
      <c r="N149" s="1102"/>
      <c r="O149" s="1102"/>
      <c r="P149" s="1102"/>
      <c r="Q149" s="1102"/>
      <c r="R149" s="1102"/>
      <c r="S149" s="1102"/>
      <c r="T149" s="1102"/>
      <c r="U149" s="1102"/>
      <c r="V149" s="1102">
        <v>-8107</v>
      </c>
      <c r="W149" s="1102"/>
      <c r="X149" s="1102"/>
      <c r="Y149" s="1102">
        <v>8000</v>
      </c>
      <c r="Z149" s="1102">
        <v>9986</v>
      </c>
      <c r="AA149" s="1102"/>
      <c r="AB149" s="1102"/>
      <c r="AC149" s="1125">
        <v>0</v>
      </c>
      <c r="AD149" s="1125">
        <f t="shared" si="107"/>
        <v>0</v>
      </c>
      <c r="AE149" s="1125">
        <f t="shared" si="108"/>
        <v>0</v>
      </c>
      <c r="AF149" s="1125"/>
      <c r="AG149" s="1125"/>
      <c r="AH149" s="1125"/>
      <c r="AI149" s="1125"/>
      <c r="AJ149" s="1125"/>
      <c r="AK149" s="1125"/>
      <c r="AL149" s="1125">
        <v>0</v>
      </c>
      <c r="AM149" s="1124">
        <f t="shared" si="109"/>
        <v>0</v>
      </c>
      <c r="AN149" s="1124">
        <f t="shared" si="110"/>
        <v>0</v>
      </c>
      <c r="AO149" s="1124"/>
      <c r="AP149" s="1124"/>
      <c r="AQ149" s="1124"/>
      <c r="AR149" s="1124"/>
      <c r="AS149" s="1124"/>
      <c r="AT149" s="1124"/>
      <c r="AU149" s="1124"/>
      <c r="AV149" s="1124"/>
      <c r="AW149" s="1124"/>
      <c r="AX149" s="1124"/>
      <c r="AY149" s="1124">
        <v>0</v>
      </c>
      <c r="AZ149" s="1124">
        <f t="shared" si="111"/>
        <v>0</v>
      </c>
      <c r="BA149" s="1124">
        <f t="shared" si="112"/>
        <v>0</v>
      </c>
      <c r="BB149" s="1124"/>
      <c r="BC149" s="1124"/>
      <c r="BD149" s="1124"/>
      <c r="BE149" s="1124"/>
      <c r="BF149" s="1124"/>
      <c r="BG149" s="1125">
        <f t="shared" si="113"/>
        <v>0</v>
      </c>
      <c r="BH149" s="1125">
        <f t="shared" si="114"/>
        <v>0</v>
      </c>
      <c r="BI149" s="1125"/>
      <c r="BJ149" s="1125"/>
      <c r="BK149" s="1125"/>
      <c r="BL149" s="1125"/>
      <c r="BM149" s="1125"/>
      <c r="BN149" s="1125"/>
      <c r="BO149" s="1126"/>
      <c r="BP149" s="1125"/>
      <c r="BQ149" s="1127"/>
      <c r="BR149" s="1125"/>
      <c r="BS149" s="1128"/>
      <c r="BT149" s="1129" t="s">
        <v>1567</v>
      </c>
      <c r="BU149" s="1157" t="s">
        <v>1320</v>
      </c>
    </row>
    <row r="150" spans="1:73" ht="24" x14ac:dyDescent="0.25">
      <c r="A150" s="1094"/>
      <c r="B150" s="1121"/>
      <c r="C150" s="1122"/>
      <c r="D150" s="1123"/>
      <c r="E150" s="1082" t="s">
        <v>1568</v>
      </c>
      <c r="F150" s="1083">
        <f t="shared" si="103"/>
        <v>2800</v>
      </c>
      <c r="G150" s="1083">
        <f t="shared" si="104"/>
        <v>4505</v>
      </c>
      <c r="H150" s="1084">
        <v>2800</v>
      </c>
      <c r="I150" s="1084">
        <f t="shared" si="105"/>
        <v>4505</v>
      </c>
      <c r="J150" s="1084">
        <f t="shared" si="106"/>
        <v>1705</v>
      </c>
      <c r="K150" s="1084"/>
      <c r="L150" s="1084"/>
      <c r="M150" s="1084"/>
      <c r="N150" s="1084"/>
      <c r="O150" s="1084"/>
      <c r="P150" s="1084"/>
      <c r="Q150" s="1084">
        <v>1705</v>
      </c>
      <c r="R150" s="1084"/>
      <c r="S150" s="1084"/>
      <c r="T150" s="1084"/>
      <c r="U150" s="1084"/>
      <c r="V150" s="1084"/>
      <c r="W150" s="1084"/>
      <c r="X150" s="1084"/>
      <c r="Y150" s="1084"/>
      <c r="Z150" s="1084"/>
      <c r="AA150" s="1084"/>
      <c r="AB150" s="1084"/>
      <c r="AC150" s="1084">
        <v>0</v>
      </c>
      <c r="AD150" s="1084">
        <f t="shared" si="107"/>
        <v>0</v>
      </c>
      <c r="AE150" s="1084">
        <f t="shared" si="108"/>
        <v>0</v>
      </c>
      <c r="AF150" s="1084"/>
      <c r="AG150" s="1084"/>
      <c r="AH150" s="1084"/>
      <c r="AI150" s="1084"/>
      <c r="AJ150" s="1084"/>
      <c r="AK150" s="1084"/>
      <c r="AL150" s="1084">
        <v>0</v>
      </c>
      <c r="AM150" s="1085">
        <f t="shared" si="109"/>
        <v>0</v>
      </c>
      <c r="AN150" s="1085">
        <f t="shared" si="110"/>
        <v>0</v>
      </c>
      <c r="AO150" s="1085"/>
      <c r="AP150" s="1085"/>
      <c r="AQ150" s="1085"/>
      <c r="AR150" s="1085"/>
      <c r="AS150" s="1085"/>
      <c r="AT150" s="1085"/>
      <c r="AU150" s="1085"/>
      <c r="AV150" s="1085"/>
      <c r="AW150" s="1085"/>
      <c r="AX150" s="1085"/>
      <c r="AY150" s="1085">
        <v>0</v>
      </c>
      <c r="AZ150" s="1124">
        <f t="shared" si="111"/>
        <v>0</v>
      </c>
      <c r="BA150" s="1124">
        <f t="shared" si="112"/>
        <v>0</v>
      </c>
      <c r="BB150" s="1124"/>
      <c r="BC150" s="1124"/>
      <c r="BD150" s="1124"/>
      <c r="BE150" s="1124"/>
      <c r="BF150" s="1124"/>
      <c r="BG150" s="1125">
        <f t="shared" si="113"/>
        <v>0</v>
      </c>
      <c r="BH150" s="1125">
        <f t="shared" si="114"/>
        <v>0</v>
      </c>
      <c r="BI150" s="1125"/>
      <c r="BJ150" s="1125"/>
      <c r="BK150" s="1125"/>
      <c r="BL150" s="1125"/>
      <c r="BM150" s="1125"/>
      <c r="BN150" s="1125"/>
      <c r="BO150" s="1126"/>
      <c r="BP150" s="1125"/>
      <c r="BQ150" s="1127"/>
      <c r="BR150" s="1125"/>
      <c r="BS150" s="1128"/>
      <c r="BT150" s="1129" t="s">
        <v>1569</v>
      </c>
      <c r="BU150" s="1090" t="s">
        <v>1563</v>
      </c>
    </row>
    <row r="151" spans="1:73" ht="36" x14ac:dyDescent="0.25">
      <c r="A151" s="1094"/>
      <c r="B151" s="1121"/>
      <c r="C151" s="1122"/>
      <c r="D151" s="1123"/>
      <c r="E151" s="1098" t="s">
        <v>1570</v>
      </c>
      <c r="F151" s="1083">
        <f t="shared" si="103"/>
        <v>3897885</v>
      </c>
      <c r="G151" s="1083">
        <f t="shared" si="104"/>
        <v>2891245</v>
      </c>
      <c r="H151" s="1084">
        <v>3897885</v>
      </c>
      <c r="I151" s="1125">
        <f t="shared" si="105"/>
        <v>2891245</v>
      </c>
      <c r="J151" s="1125">
        <f t="shared" si="106"/>
        <v>-1006640</v>
      </c>
      <c r="K151" s="1125"/>
      <c r="L151" s="1125"/>
      <c r="M151" s="1125">
        <v>6436</v>
      </c>
      <c r="N151" s="1125"/>
      <c r="O151" s="1125"/>
      <c r="P151" s="1125">
        <v>29169</v>
      </c>
      <c r="Q151" s="1125">
        <v>-5506</v>
      </c>
      <c r="R151" s="1125"/>
      <c r="S151" s="1125">
        <v>630</v>
      </c>
      <c r="T151" s="1125"/>
      <c r="U151" s="1125"/>
      <c r="V151" s="1125">
        <v>-7941</v>
      </c>
      <c r="W151" s="1125"/>
      <c r="X151" s="1125"/>
      <c r="Y151" s="1125">
        <v>8000</v>
      </c>
      <c r="Z151" s="1125">
        <f>-8798-1000000-28630</f>
        <v>-1037428</v>
      </c>
      <c r="AA151" s="1125"/>
      <c r="AB151" s="1125"/>
      <c r="AC151" s="1125">
        <v>0</v>
      </c>
      <c r="AD151" s="1125">
        <f t="shared" si="107"/>
        <v>0</v>
      </c>
      <c r="AE151" s="1125">
        <f t="shared" si="108"/>
        <v>0</v>
      </c>
      <c r="AF151" s="1125"/>
      <c r="AG151" s="1125"/>
      <c r="AH151" s="1125"/>
      <c r="AI151" s="1125"/>
      <c r="AJ151" s="1125"/>
      <c r="AK151" s="1125"/>
      <c r="AL151" s="1125">
        <v>0</v>
      </c>
      <c r="AM151" s="1124">
        <f t="shared" si="109"/>
        <v>0</v>
      </c>
      <c r="AN151" s="1124">
        <f t="shared" si="110"/>
        <v>0</v>
      </c>
      <c r="AO151" s="1124"/>
      <c r="AP151" s="1124"/>
      <c r="AQ151" s="1124"/>
      <c r="AR151" s="1124"/>
      <c r="AS151" s="1124"/>
      <c r="AT151" s="1124"/>
      <c r="AU151" s="1124"/>
      <c r="AV151" s="1124"/>
      <c r="AW151" s="1124"/>
      <c r="AX151" s="1124"/>
      <c r="AY151" s="1124">
        <v>0</v>
      </c>
      <c r="AZ151" s="1124">
        <f t="shared" si="111"/>
        <v>0</v>
      </c>
      <c r="BA151" s="1124">
        <f t="shared" si="112"/>
        <v>0</v>
      </c>
      <c r="BB151" s="1124"/>
      <c r="BC151" s="1124"/>
      <c r="BD151" s="1124"/>
      <c r="BE151" s="1124"/>
      <c r="BF151" s="1124"/>
      <c r="BG151" s="1125">
        <f t="shared" si="113"/>
        <v>0</v>
      </c>
      <c r="BH151" s="1125">
        <f t="shared" si="114"/>
        <v>0</v>
      </c>
      <c r="BI151" s="1125"/>
      <c r="BJ151" s="1125"/>
      <c r="BK151" s="1125"/>
      <c r="BL151" s="1125"/>
      <c r="BM151" s="1125"/>
      <c r="BN151" s="1125"/>
      <c r="BO151" s="1126"/>
      <c r="BP151" s="1125"/>
      <c r="BQ151" s="1127"/>
      <c r="BR151" s="1125"/>
      <c r="BS151" s="1128"/>
      <c r="BT151" s="1129" t="s">
        <v>1571</v>
      </c>
      <c r="BU151" s="1157" t="s">
        <v>1320</v>
      </c>
    </row>
    <row r="152" spans="1:73" ht="36" x14ac:dyDescent="0.25">
      <c r="A152" s="1094"/>
      <c r="B152" s="1095"/>
      <c r="C152" s="1096"/>
      <c r="D152" s="1097"/>
      <c r="E152" s="1174" t="s">
        <v>1572</v>
      </c>
      <c r="F152" s="1130">
        <f t="shared" si="103"/>
        <v>126074</v>
      </c>
      <c r="G152" s="1130">
        <f t="shared" si="104"/>
        <v>146885</v>
      </c>
      <c r="H152" s="1125">
        <v>126074</v>
      </c>
      <c r="I152" s="1125">
        <f t="shared" si="105"/>
        <v>146885</v>
      </c>
      <c r="J152" s="1125">
        <f t="shared" si="106"/>
        <v>20811</v>
      </c>
      <c r="K152" s="1125"/>
      <c r="L152" s="1125">
        <v>1</v>
      </c>
      <c r="M152" s="1125">
        <v>767</v>
      </c>
      <c r="N152" s="1125"/>
      <c r="O152" s="1125"/>
      <c r="P152" s="1125"/>
      <c r="Q152" s="1125">
        <v>20869</v>
      </c>
      <c r="R152" s="1125"/>
      <c r="S152" s="1125"/>
      <c r="T152" s="1125"/>
      <c r="U152" s="1125"/>
      <c r="V152" s="1125">
        <v>-1431</v>
      </c>
      <c r="W152" s="1125"/>
      <c r="X152" s="1125"/>
      <c r="Y152" s="1125"/>
      <c r="Z152" s="1125">
        <v>605</v>
      </c>
      <c r="AA152" s="1125"/>
      <c r="AB152" s="1125"/>
      <c r="AC152" s="1084">
        <v>0</v>
      </c>
      <c r="AD152" s="1084">
        <f t="shared" si="107"/>
        <v>0</v>
      </c>
      <c r="AE152" s="1084">
        <f t="shared" si="108"/>
        <v>0</v>
      </c>
      <c r="AF152" s="1084"/>
      <c r="AG152" s="1084"/>
      <c r="AH152" s="1084"/>
      <c r="AI152" s="1084"/>
      <c r="AJ152" s="1084"/>
      <c r="AK152" s="1084"/>
      <c r="AL152" s="1084">
        <v>0</v>
      </c>
      <c r="AM152" s="1085">
        <f t="shared" si="109"/>
        <v>0</v>
      </c>
      <c r="AN152" s="1085">
        <f t="shared" si="110"/>
        <v>0</v>
      </c>
      <c r="AO152" s="1085"/>
      <c r="AP152" s="1085"/>
      <c r="AQ152" s="1085"/>
      <c r="AR152" s="1085"/>
      <c r="AS152" s="1085"/>
      <c r="AT152" s="1085"/>
      <c r="AU152" s="1085"/>
      <c r="AV152" s="1085"/>
      <c r="AW152" s="1085"/>
      <c r="AX152" s="1085"/>
      <c r="AY152" s="1085">
        <v>0</v>
      </c>
      <c r="AZ152" s="1085">
        <f t="shared" si="111"/>
        <v>0</v>
      </c>
      <c r="BA152" s="1085">
        <f t="shared" si="112"/>
        <v>0</v>
      </c>
      <c r="BB152" s="1085"/>
      <c r="BC152" s="1085"/>
      <c r="BD152" s="1085"/>
      <c r="BE152" s="1085"/>
      <c r="BF152" s="1085"/>
      <c r="BG152" s="1084">
        <f t="shared" si="113"/>
        <v>0</v>
      </c>
      <c r="BH152" s="1084">
        <f t="shared" si="114"/>
        <v>0</v>
      </c>
      <c r="BI152" s="1084"/>
      <c r="BJ152" s="1084"/>
      <c r="BK152" s="1084"/>
      <c r="BL152" s="1084"/>
      <c r="BM152" s="1084"/>
      <c r="BN152" s="1084"/>
      <c r="BO152" s="1086"/>
      <c r="BP152" s="1084"/>
      <c r="BQ152" s="1087"/>
      <c r="BR152" s="1084"/>
      <c r="BS152" s="1088"/>
      <c r="BT152" s="1089" t="s">
        <v>1573</v>
      </c>
      <c r="BU152" s="1157" t="s">
        <v>1320</v>
      </c>
    </row>
    <row r="153" spans="1:73" ht="48" x14ac:dyDescent="0.25">
      <c r="A153" s="1094"/>
      <c r="B153" s="1095"/>
      <c r="C153" s="1096"/>
      <c r="D153" s="1097"/>
      <c r="E153" s="1100" t="s">
        <v>1574</v>
      </c>
      <c r="F153" s="1083">
        <f t="shared" si="103"/>
        <v>157132</v>
      </c>
      <c r="G153" s="1083">
        <f t="shared" si="104"/>
        <v>147542</v>
      </c>
      <c r="H153" s="1084">
        <v>157132</v>
      </c>
      <c r="I153" s="1084">
        <f t="shared" si="105"/>
        <v>147542</v>
      </c>
      <c r="J153" s="1084">
        <f t="shared" si="106"/>
        <v>-9590</v>
      </c>
      <c r="K153" s="1084"/>
      <c r="L153" s="1084"/>
      <c r="M153" s="1084">
        <v>-9590</v>
      </c>
      <c r="N153" s="1084"/>
      <c r="O153" s="1084"/>
      <c r="P153" s="1084"/>
      <c r="Q153" s="1084"/>
      <c r="R153" s="1084"/>
      <c r="S153" s="1084"/>
      <c r="T153" s="1084"/>
      <c r="U153" s="1084"/>
      <c r="V153" s="1084"/>
      <c r="W153" s="1084"/>
      <c r="X153" s="1084"/>
      <c r="Y153" s="1084"/>
      <c r="Z153" s="1084"/>
      <c r="AA153" s="1084"/>
      <c r="AB153" s="1084"/>
      <c r="AC153" s="1084">
        <v>0</v>
      </c>
      <c r="AD153" s="1084">
        <f t="shared" si="107"/>
        <v>0</v>
      </c>
      <c r="AE153" s="1084">
        <f t="shared" si="108"/>
        <v>0</v>
      </c>
      <c r="AF153" s="1084"/>
      <c r="AG153" s="1084"/>
      <c r="AH153" s="1084"/>
      <c r="AI153" s="1084"/>
      <c r="AJ153" s="1084"/>
      <c r="AK153" s="1084"/>
      <c r="AL153" s="1084">
        <v>0</v>
      </c>
      <c r="AM153" s="1085">
        <f t="shared" si="109"/>
        <v>0</v>
      </c>
      <c r="AN153" s="1085">
        <f t="shared" si="110"/>
        <v>0</v>
      </c>
      <c r="AO153" s="1085"/>
      <c r="AP153" s="1085"/>
      <c r="AQ153" s="1085"/>
      <c r="AR153" s="1085"/>
      <c r="AS153" s="1085"/>
      <c r="AT153" s="1085"/>
      <c r="AU153" s="1085"/>
      <c r="AV153" s="1085"/>
      <c r="AW153" s="1085"/>
      <c r="AX153" s="1085"/>
      <c r="AY153" s="1085">
        <v>0</v>
      </c>
      <c r="AZ153" s="1085">
        <f t="shared" si="111"/>
        <v>0</v>
      </c>
      <c r="BA153" s="1085">
        <f t="shared" si="112"/>
        <v>0</v>
      </c>
      <c r="BB153" s="1085"/>
      <c r="BC153" s="1085"/>
      <c r="BD153" s="1085"/>
      <c r="BE153" s="1085"/>
      <c r="BF153" s="1085"/>
      <c r="BG153" s="1084">
        <f t="shared" si="113"/>
        <v>0</v>
      </c>
      <c r="BH153" s="1084">
        <f t="shared" si="114"/>
        <v>0</v>
      </c>
      <c r="BI153" s="1084"/>
      <c r="BJ153" s="1084"/>
      <c r="BK153" s="1084"/>
      <c r="BL153" s="1084"/>
      <c r="BM153" s="1084"/>
      <c r="BN153" s="1084"/>
      <c r="BO153" s="1086"/>
      <c r="BP153" s="1084"/>
      <c r="BQ153" s="1087"/>
      <c r="BR153" s="1084"/>
      <c r="BS153" s="1088"/>
      <c r="BT153" s="1089" t="s">
        <v>1575</v>
      </c>
      <c r="BU153" s="1090" t="s">
        <v>1563</v>
      </c>
    </row>
    <row r="154" spans="1:73" ht="36" x14ac:dyDescent="0.25">
      <c r="A154" s="1094"/>
      <c r="B154" s="1095"/>
      <c r="C154" s="1096"/>
      <c r="D154" s="1097"/>
      <c r="E154" s="1082" t="s">
        <v>1576</v>
      </c>
      <c r="F154" s="1083">
        <f>H154+AC154+AL154+AX154+AY154+BF154</f>
        <v>1659</v>
      </c>
      <c r="G154" s="1083">
        <f t="shared" si="104"/>
        <v>1661</v>
      </c>
      <c r="H154" s="1084">
        <v>1659</v>
      </c>
      <c r="I154" s="1084">
        <f t="shared" si="105"/>
        <v>1661</v>
      </c>
      <c r="J154" s="1084">
        <f t="shared" si="106"/>
        <v>2</v>
      </c>
      <c r="K154" s="1084">
        <v>2</v>
      </c>
      <c r="L154" s="1084"/>
      <c r="M154" s="1084"/>
      <c r="N154" s="1084"/>
      <c r="O154" s="1084"/>
      <c r="P154" s="1084"/>
      <c r="Q154" s="1084"/>
      <c r="R154" s="1084"/>
      <c r="S154" s="1084"/>
      <c r="T154" s="1084"/>
      <c r="U154" s="1084"/>
      <c r="V154" s="1084"/>
      <c r="W154" s="1084"/>
      <c r="X154" s="1084"/>
      <c r="Y154" s="1084"/>
      <c r="Z154" s="1084"/>
      <c r="AA154" s="1084"/>
      <c r="AB154" s="1084"/>
      <c r="AC154" s="1084">
        <v>0</v>
      </c>
      <c r="AD154" s="1084">
        <f t="shared" si="107"/>
        <v>0</v>
      </c>
      <c r="AE154" s="1084">
        <f t="shared" si="108"/>
        <v>0</v>
      </c>
      <c r="AF154" s="1084"/>
      <c r="AG154" s="1084"/>
      <c r="AH154" s="1084"/>
      <c r="AI154" s="1084"/>
      <c r="AJ154" s="1084"/>
      <c r="AK154" s="1084"/>
      <c r="AL154" s="1084">
        <v>0</v>
      </c>
      <c r="AM154" s="1085">
        <f t="shared" si="109"/>
        <v>0</v>
      </c>
      <c r="AN154" s="1085">
        <f t="shared" si="110"/>
        <v>0</v>
      </c>
      <c r="AO154" s="1085"/>
      <c r="AP154" s="1085"/>
      <c r="AQ154" s="1085"/>
      <c r="AR154" s="1085"/>
      <c r="AS154" s="1085"/>
      <c r="AT154" s="1085"/>
      <c r="AU154" s="1085"/>
      <c r="AV154" s="1085"/>
      <c r="AW154" s="1085"/>
      <c r="AX154" s="1085"/>
      <c r="AY154" s="1085">
        <v>0</v>
      </c>
      <c r="AZ154" s="1085">
        <f t="shared" si="111"/>
        <v>0</v>
      </c>
      <c r="BA154" s="1085">
        <f t="shared" si="112"/>
        <v>0</v>
      </c>
      <c r="BB154" s="1085"/>
      <c r="BC154" s="1085"/>
      <c r="BD154" s="1085"/>
      <c r="BE154" s="1085"/>
      <c r="BF154" s="1085"/>
      <c r="BG154" s="1084">
        <f t="shared" si="113"/>
        <v>0</v>
      </c>
      <c r="BH154" s="1084">
        <f t="shared" si="114"/>
        <v>0</v>
      </c>
      <c r="BI154" s="1084"/>
      <c r="BJ154" s="1084"/>
      <c r="BK154" s="1084"/>
      <c r="BL154" s="1084"/>
      <c r="BM154" s="1084"/>
      <c r="BN154" s="1084"/>
      <c r="BO154" s="1086"/>
      <c r="BP154" s="1084"/>
      <c r="BQ154" s="1087"/>
      <c r="BR154" s="1084"/>
      <c r="BS154" s="1088"/>
      <c r="BT154" s="1089" t="s">
        <v>1577</v>
      </c>
      <c r="BU154" s="1090"/>
    </row>
    <row r="155" spans="1:73" ht="12.75" x14ac:dyDescent="0.25">
      <c r="A155" s="1094"/>
      <c r="B155" s="1095"/>
      <c r="C155" s="1096"/>
      <c r="D155" s="1097"/>
      <c r="E155" s="1082" t="s">
        <v>1578</v>
      </c>
      <c r="F155" s="1083">
        <f>H155+AC155+AL155+AX155+AY155+BF155</f>
        <v>0</v>
      </c>
      <c r="G155" s="1083">
        <f t="shared" si="104"/>
        <v>3500</v>
      </c>
      <c r="H155" s="1084"/>
      <c r="I155" s="1084">
        <f>H155+J155</f>
        <v>3500</v>
      </c>
      <c r="J155" s="1084">
        <f t="shared" si="106"/>
        <v>3500</v>
      </c>
      <c r="K155" s="1084"/>
      <c r="L155" s="1084"/>
      <c r="M155" s="1084"/>
      <c r="N155" s="1084">
        <v>3500</v>
      </c>
      <c r="O155" s="1084"/>
      <c r="P155" s="1084"/>
      <c r="Q155" s="1084"/>
      <c r="R155" s="1084"/>
      <c r="S155" s="1084"/>
      <c r="T155" s="1084"/>
      <c r="U155" s="1084"/>
      <c r="V155" s="1084"/>
      <c r="W155" s="1084"/>
      <c r="X155" s="1084"/>
      <c r="Y155" s="1084"/>
      <c r="Z155" s="1084"/>
      <c r="AA155" s="1084"/>
      <c r="AB155" s="1084"/>
      <c r="AC155" s="1084"/>
      <c r="AD155" s="1084">
        <f t="shared" si="107"/>
        <v>0</v>
      </c>
      <c r="AE155" s="1084">
        <f t="shared" ref="AE155" si="115">SUM(AF155:AK155)</f>
        <v>0</v>
      </c>
      <c r="AF155" s="1084"/>
      <c r="AG155" s="1084"/>
      <c r="AH155" s="1084"/>
      <c r="AI155" s="1084"/>
      <c r="AJ155" s="1084"/>
      <c r="AK155" s="1084"/>
      <c r="AL155" s="1084"/>
      <c r="AM155" s="1085">
        <f t="shared" si="109"/>
        <v>0</v>
      </c>
      <c r="AN155" s="1085">
        <f t="shared" si="110"/>
        <v>0</v>
      </c>
      <c r="AO155" s="1085"/>
      <c r="AP155" s="1085"/>
      <c r="AQ155" s="1085"/>
      <c r="AR155" s="1085"/>
      <c r="AS155" s="1085"/>
      <c r="AT155" s="1085"/>
      <c r="AU155" s="1085"/>
      <c r="AV155" s="1085"/>
      <c r="AW155" s="1085"/>
      <c r="AX155" s="1085"/>
      <c r="AY155" s="1085"/>
      <c r="AZ155" s="1085">
        <f t="shared" si="111"/>
        <v>0</v>
      </c>
      <c r="BA155" s="1085">
        <f t="shared" si="112"/>
        <v>0</v>
      </c>
      <c r="BB155" s="1085"/>
      <c r="BC155" s="1085"/>
      <c r="BD155" s="1085"/>
      <c r="BE155" s="1085"/>
      <c r="BF155" s="1085"/>
      <c r="BG155" s="1084">
        <f t="shared" si="113"/>
        <v>0</v>
      </c>
      <c r="BH155" s="1084">
        <f t="shared" si="114"/>
        <v>0</v>
      </c>
      <c r="BI155" s="1084"/>
      <c r="BJ155" s="1084"/>
      <c r="BK155" s="1084"/>
      <c r="BL155" s="1084"/>
      <c r="BM155" s="1084"/>
      <c r="BN155" s="1084"/>
      <c r="BO155" s="1086"/>
      <c r="BP155" s="1084"/>
      <c r="BQ155" s="1087"/>
      <c r="BR155" s="1084"/>
      <c r="BS155" s="1088"/>
      <c r="BT155" s="1089" t="s">
        <v>1579</v>
      </c>
      <c r="BU155" s="1090"/>
    </row>
    <row r="156" spans="1:73" ht="24" x14ac:dyDescent="0.25">
      <c r="A156" s="1094">
        <v>90000051665</v>
      </c>
      <c r="B156" s="1095"/>
      <c r="C156" s="1514" t="s">
        <v>1072</v>
      </c>
      <c r="D156" s="1515"/>
      <c r="E156" s="1082" t="s">
        <v>334</v>
      </c>
      <c r="F156" s="1083">
        <f t="shared" si="103"/>
        <v>656267</v>
      </c>
      <c r="G156" s="1083">
        <f t="shared" si="104"/>
        <v>680960</v>
      </c>
      <c r="H156" s="1084">
        <v>436077</v>
      </c>
      <c r="I156" s="1084">
        <f t="shared" si="105"/>
        <v>446705</v>
      </c>
      <c r="J156" s="1084">
        <f t="shared" si="106"/>
        <v>10628</v>
      </c>
      <c r="K156" s="1084">
        <v>-3326</v>
      </c>
      <c r="L156" s="1084"/>
      <c r="M156" s="1084"/>
      <c r="N156" s="1084"/>
      <c r="O156" s="1084"/>
      <c r="P156" s="1084"/>
      <c r="Q156" s="1084"/>
      <c r="R156" s="1084"/>
      <c r="S156" s="1084"/>
      <c r="T156" s="1084">
        <v>9247</v>
      </c>
      <c r="U156" s="1084"/>
      <c r="V156" s="1084"/>
      <c r="W156" s="1084"/>
      <c r="X156" s="1084"/>
      <c r="Y156" s="1084"/>
      <c r="Z156" s="1084">
        <v>4707</v>
      </c>
      <c r="AA156" s="1084"/>
      <c r="AB156" s="1084"/>
      <c r="AC156" s="1084">
        <v>193277</v>
      </c>
      <c r="AD156" s="1084">
        <f t="shared" si="107"/>
        <v>204544</v>
      </c>
      <c r="AE156" s="1084">
        <f t="shared" si="108"/>
        <v>11267</v>
      </c>
      <c r="AF156" s="1084"/>
      <c r="AG156" s="1084">
        <v>3709</v>
      </c>
      <c r="AH156" s="1084"/>
      <c r="AI156" s="1084">
        <v>7558</v>
      </c>
      <c r="AJ156" s="1084"/>
      <c r="AK156" s="1084"/>
      <c r="AL156" s="1084">
        <v>26913</v>
      </c>
      <c r="AM156" s="1085">
        <f t="shared" si="109"/>
        <v>29711</v>
      </c>
      <c r="AN156" s="1085">
        <f t="shared" si="110"/>
        <v>2798</v>
      </c>
      <c r="AO156" s="1085">
        <v>2798</v>
      </c>
      <c r="AP156" s="1085"/>
      <c r="AQ156" s="1085"/>
      <c r="AR156" s="1085"/>
      <c r="AS156" s="1085"/>
      <c r="AT156" s="1085"/>
      <c r="AU156" s="1085"/>
      <c r="AV156" s="1085"/>
      <c r="AW156" s="1085"/>
      <c r="AX156" s="1085"/>
      <c r="AY156" s="1085">
        <v>0</v>
      </c>
      <c r="AZ156" s="1085">
        <f t="shared" si="111"/>
        <v>0</v>
      </c>
      <c r="BA156" s="1085">
        <f t="shared" si="112"/>
        <v>0</v>
      </c>
      <c r="BB156" s="1085"/>
      <c r="BC156" s="1085"/>
      <c r="BD156" s="1085"/>
      <c r="BE156" s="1085"/>
      <c r="BF156" s="1085"/>
      <c r="BG156" s="1084">
        <f t="shared" si="113"/>
        <v>0</v>
      </c>
      <c r="BH156" s="1084">
        <f t="shared" si="114"/>
        <v>0</v>
      </c>
      <c r="BI156" s="1084"/>
      <c r="BJ156" s="1084"/>
      <c r="BK156" s="1084"/>
      <c r="BL156" s="1084"/>
      <c r="BM156" s="1084"/>
      <c r="BN156" s="1084"/>
      <c r="BO156" s="1086"/>
      <c r="BP156" s="1084"/>
      <c r="BQ156" s="1087"/>
      <c r="BR156" s="1084"/>
      <c r="BS156" s="1088"/>
      <c r="BT156" s="1089" t="s">
        <v>1580</v>
      </c>
      <c r="BU156" s="1090"/>
    </row>
    <row r="157" spans="1:73" ht="12.75" x14ac:dyDescent="0.25">
      <c r="A157" s="1094"/>
      <c r="B157" s="1095"/>
      <c r="C157" s="1096"/>
      <c r="D157" s="1097"/>
      <c r="E157" s="1082" t="s">
        <v>1581</v>
      </c>
      <c r="F157" s="1083">
        <f t="shared" si="103"/>
        <v>61211</v>
      </c>
      <c r="G157" s="1083">
        <f t="shared" si="104"/>
        <v>61026</v>
      </c>
      <c r="H157" s="1084">
        <v>41700</v>
      </c>
      <c r="I157" s="1084">
        <f t="shared" si="105"/>
        <v>41700</v>
      </c>
      <c r="J157" s="1084">
        <f t="shared" si="106"/>
        <v>0</v>
      </c>
      <c r="K157" s="1084"/>
      <c r="L157" s="1084"/>
      <c r="M157" s="1084"/>
      <c r="N157" s="1084"/>
      <c r="O157" s="1084"/>
      <c r="P157" s="1084"/>
      <c r="Q157" s="1084"/>
      <c r="R157" s="1084"/>
      <c r="S157" s="1084"/>
      <c r="T157" s="1084"/>
      <c r="U157" s="1084"/>
      <c r="V157" s="1084"/>
      <c r="W157" s="1084"/>
      <c r="X157" s="1084"/>
      <c r="Y157" s="1084"/>
      <c r="Z157" s="1084"/>
      <c r="AA157" s="1084"/>
      <c r="AB157" s="1084"/>
      <c r="AC157" s="1084">
        <v>19511</v>
      </c>
      <c r="AD157" s="1084">
        <f t="shared" si="107"/>
        <v>19326</v>
      </c>
      <c r="AE157" s="1084">
        <f t="shared" si="108"/>
        <v>-185</v>
      </c>
      <c r="AF157" s="1084"/>
      <c r="AG157" s="1084"/>
      <c r="AH157" s="1084"/>
      <c r="AI157" s="1084">
        <v>-185</v>
      </c>
      <c r="AJ157" s="1084"/>
      <c r="AK157" s="1084"/>
      <c r="AL157" s="1084">
        <v>0</v>
      </c>
      <c r="AM157" s="1085">
        <f t="shared" si="109"/>
        <v>0</v>
      </c>
      <c r="AN157" s="1085">
        <f t="shared" si="110"/>
        <v>0</v>
      </c>
      <c r="AO157" s="1085"/>
      <c r="AP157" s="1085"/>
      <c r="AQ157" s="1085"/>
      <c r="AR157" s="1085"/>
      <c r="AS157" s="1085"/>
      <c r="AT157" s="1085"/>
      <c r="AU157" s="1085"/>
      <c r="AV157" s="1085"/>
      <c r="AW157" s="1085"/>
      <c r="AX157" s="1085"/>
      <c r="AY157" s="1085">
        <v>0</v>
      </c>
      <c r="AZ157" s="1085">
        <f t="shared" si="111"/>
        <v>0</v>
      </c>
      <c r="BA157" s="1085">
        <f t="shared" si="112"/>
        <v>0</v>
      </c>
      <c r="BB157" s="1085"/>
      <c r="BC157" s="1085"/>
      <c r="BD157" s="1085"/>
      <c r="BE157" s="1085"/>
      <c r="BF157" s="1085"/>
      <c r="BG157" s="1084">
        <f t="shared" si="113"/>
        <v>0</v>
      </c>
      <c r="BH157" s="1084">
        <f t="shared" si="114"/>
        <v>0</v>
      </c>
      <c r="BI157" s="1084"/>
      <c r="BJ157" s="1084"/>
      <c r="BK157" s="1084"/>
      <c r="BL157" s="1084"/>
      <c r="BM157" s="1084"/>
      <c r="BN157" s="1084"/>
      <c r="BO157" s="1086"/>
      <c r="BP157" s="1084"/>
      <c r="BQ157" s="1087"/>
      <c r="BR157" s="1084"/>
      <c r="BS157" s="1088"/>
      <c r="BT157" s="1089" t="s">
        <v>1582</v>
      </c>
      <c r="BU157" s="1090"/>
    </row>
    <row r="158" spans="1:73" ht="24" x14ac:dyDescent="0.25">
      <c r="A158" s="1094"/>
      <c r="B158" s="1095"/>
      <c r="C158" s="1096"/>
      <c r="D158" s="1097"/>
      <c r="E158" s="1082" t="s">
        <v>1583</v>
      </c>
      <c r="F158" s="1083">
        <f t="shared" si="103"/>
        <v>0</v>
      </c>
      <c r="G158" s="1083">
        <f t="shared" si="104"/>
        <v>3543</v>
      </c>
      <c r="H158" s="1084"/>
      <c r="I158" s="1084">
        <f t="shared" si="105"/>
        <v>3543</v>
      </c>
      <c r="J158" s="1084">
        <f t="shared" si="106"/>
        <v>3543</v>
      </c>
      <c r="K158" s="1084"/>
      <c r="L158" s="1084"/>
      <c r="M158" s="1084"/>
      <c r="N158" s="1084"/>
      <c r="O158" s="1084"/>
      <c r="P158" s="1084"/>
      <c r="Q158" s="1084"/>
      <c r="R158" s="1084"/>
      <c r="S158" s="1084"/>
      <c r="T158" s="1084">
        <v>3543</v>
      </c>
      <c r="U158" s="1084"/>
      <c r="V158" s="1084"/>
      <c r="W158" s="1084"/>
      <c r="X158" s="1084"/>
      <c r="Y158" s="1084"/>
      <c r="Z158" s="1084"/>
      <c r="AA158" s="1084"/>
      <c r="AB158" s="1084"/>
      <c r="AC158" s="1084"/>
      <c r="AD158" s="1084">
        <f t="shared" si="107"/>
        <v>0</v>
      </c>
      <c r="AE158" s="1084">
        <f t="shared" si="108"/>
        <v>0</v>
      </c>
      <c r="AF158" s="1084"/>
      <c r="AG158" s="1084"/>
      <c r="AH158" s="1084"/>
      <c r="AI158" s="1084"/>
      <c r="AJ158" s="1084"/>
      <c r="AK158" s="1084"/>
      <c r="AL158" s="1084"/>
      <c r="AM158" s="1085">
        <f t="shared" si="109"/>
        <v>0</v>
      </c>
      <c r="AN158" s="1085">
        <f t="shared" si="110"/>
        <v>0</v>
      </c>
      <c r="AO158" s="1085"/>
      <c r="AP158" s="1085"/>
      <c r="AQ158" s="1085"/>
      <c r="AR158" s="1085"/>
      <c r="AS158" s="1085"/>
      <c r="AT158" s="1085"/>
      <c r="AU158" s="1085"/>
      <c r="AV158" s="1085"/>
      <c r="AW158" s="1085"/>
      <c r="AX158" s="1085"/>
      <c r="AY158" s="1085"/>
      <c r="AZ158" s="1085">
        <f t="shared" si="111"/>
        <v>0</v>
      </c>
      <c r="BA158" s="1085">
        <f t="shared" si="112"/>
        <v>0</v>
      </c>
      <c r="BB158" s="1085"/>
      <c r="BC158" s="1085"/>
      <c r="BD158" s="1085"/>
      <c r="BE158" s="1085"/>
      <c r="BF158" s="1085"/>
      <c r="BG158" s="1084">
        <f t="shared" si="113"/>
        <v>0</v>
      </c>
      <c r="BH158" s="1084">
        <f t="shared" si="114"/>
        <v>0</v>
      </c>
      <c r="BI158" s="1084"/>
      <c r="BJ158" s="1084"/>
      <c r="BK158" s="1084"/>
      <c r="BL158" s="1084"/>
      <c r="BM158" s="1084"/>
      <c r="BN158" s="1084"/>
      <c r="BO158" s="1086"/>
      <c r="BP158" s="1084"/>
      <c r="BQ158" s="1087"/>
      <c r="BR158" s="1084"/>
      <c r="BS158" s="1088"/>
      <c r="BT158" s="1089" t="s">
        <v>1584</v>
      </c>
      <c r="BU158" s="1090"/>
    </row>
    <row r="159" spans="1:73" ht="24" x14ac:dyDescent="0.25">
      <c r="A159" s="1094">
        <v>90000051561</v>
      </c>
      <c r="B159" s="1095"/>
      <c r="C159" s="1514" t="s">
        <v>463</v>
      </c>
      <c r="D159" s="1515"/>
      <c r="E159" s="1082" t="s">
        <v>334</v>
      </c>
      <c r="F159" s="1083">
        <f t="shared" si="103"/>
        <v>569069</v>
      </c>
      <c r="G159" s="1083">
        <f t="shared" si="104"/>
        <v>640619</v>
      </c>
      <c r="H159" s="1084">
        <v>288829</v>
      </c>
      <c r="I159" s="1084">
        <f t="shared" si="105"/>
        <v>291614</v>
      </c>
      <c r="J159" s="1084">
        <f t="shared" si="106"/>
        <v>2785</v>
      </c>
      <c r="K159" s="1084">
        <v>-4116</v>
      </c>
      <c r="L159" s="1084"/>
      <c r="M159" s="1084"/>
      <c r="N159" s="1084"/>
      <c r="O159" s="1084"/>
      <c r="P159" s="1084"/>
      <c r="Q159" s="1084"/>
      <c r="R159" s="1084"/>
      <c r="S159" s="1084"/>
      <c r="T159" s="1084">
        <v>5127</v>
      </c>
      <c r="U159" s="1084"/>
      <c r="V159" s="1084"/>
      <c r="W159" s="1084"/>
      <c r="X159" s="1084"/>
      <c r="Y159" s="1084"/>
      <c r="Z159" s="1084">
        <v>1774</v>
      </c>
      <c r="AA159" s="1084"/>
      <c r="AB159" s="1084"/>
      <c r="AC159" s="1084">
        <v>254305</v>
      </c>
      <c r="AD159" s="1084">
        <f t="shared" si="107"/>
        <v>320161</v>
      </c>
      <c r="AE159" s="1084">
        <f t="shared" si="108"/>
        <v>65856</v>
      </c>
      <c r="AF159" s="1084"/>
      <c r="AG159" s="1084">
        <v>5564</v>
      </c>
      <c r="AH159" s="1084"/>
      <c r="AI159" s="1084">
        <f>60292</f>
        <v>60292</v>
      </c>
      <c r="AJ159" s="1084"/>
      <c r="AK159" s="1084"/>
      <c r="AL159" s="1084">
        <v>24635</v>
      </c>
      <c r="AM159" s="1085">
        <f t="shared" si="109"/>
        <v>27539</v>
      </c>
      <c r="AN159" s="1085">
        <f t="shared" si="110"/>
        <v>2904</v>
      </c>
      <c r="AO159" s="1085">
        <v>2904</v>
      </c>
      <c r="AP159" s="1085"/>
      <c r="AQ159" s="1085"/>
      <c r="AR159" s="1085"/>
      <c r="AS159" s="1085"/>
      <c r="AT159" s="1085"/>
      <c r="AU159" s="1085"/>
      <c r="AV159" s="1085"/>
      <c r="AW159" s="1085"/>
      <c r="AX159" s="1085"/>
      <c r="AY159" s="1085">
        <v>1300</v>
      </c>
      <c r="AZ159" s="1085">
        <f t="shared" si="111"/>
        <v>1305</v>
      </c>
      <c r="BA159" s="1085">
        <f t="shared" si="112"/>
        <v>5</v>
      </c>
      <c r="BB159" s="1085">
        <v>5</v>
      </c>
      <c r="BC159" s="1085"/>
      <c r="BD159" s="1085"/>
      <c r="BE159" s="1085"/>
      <c r="BF159" s="1085"/>
      <c r="BG159" s="1084">
        <f t="shared" si="113"/>
        <v>0</v>
      </c>
      <c r="BH159" s="1084">
        <f t="shared" si="114"/>
        <v>0</v>
      </c>
      <c r="BI159" s="1084"/>
      <c r="BJ159" s="1084"/>
      <c r="BK159" s="1084"/>
      <c r="BL159" s="1084"/>
      <c r="BM159" s="1084"/>
      <c r="BN159" s="1084"/>
      <c r="BO159" s="1086"/>
      <c r="BP159" s="1084"/>
      <c r="BQ159" s="1087"/>
      <c r="BR159" s="1084"/>
      <c r="BS159" s="1088"/>
      <c r="BT159" s="1089" t="s">
        <v>1585</v>
      </c>
      <c r="BU159" s="1090"/>
    </row>
    <row r="160" spans="1:73" ht="12.75" x14ac:dyDescent="0.25">
      <c r="A160" s="1094"/>
      <c r="B160" s="1095"/>
      <c r="C160" s="1096"/>
      <c r="D160" s="1097"/>
      <c r="E160" s="1082" t="s">
        <v>1581</v>
      </c>
      <c r="F160" s="1083">
        <f t="shared" si="103"/>
        <v>78530</v>
      </c>
      <c r="G160" s="1083">
        <f t="shared" si="104"/>
        <v>85017</v>
      </c>
      <c r="H160" s="1084">
        <v>52688</v>
      </c>
      <c r="I160" s="1084">
        <f t="shared" si="105"/>
        <v>52688</v>
      </c>
      <c r="J160" s="1084">
        <f t="shared" si="106"/>
        <v>0</v>
      </c>
      <c r="K160" s="1084"/>
      <c r="L160" s="1084"/>
      <c r="M160" s="1084"/>
      <c r="N160" s="1084"/>
      <c r="O160" s="1084"/>
      <c r="P160" s="1084"/>
      <c r="Q160" s="1084"/>
      <c r="R160" s="1084"/>
      <c r="S160" s="1084"/>
      <c r="T160" s="1084"/>
      <c r="U160" s="1084"/>
      <c r="V160" s="1084"/>
      <c r="W160" s="1084"/>
      <c r="X160" s="1084"/>
      <c r="Y160" s="1084"/>
      <c r="Z160" s="1084"/>
      <c r="AA160" s="1084"/>
      <c r="AB160" s="1084"/>
      <c r="AC160" s="1084">
        <v>25842</v>
      </c>
      <c r="AD160" s="1084">
        <f t="shared" si="107"/>
        <v>32329</v>
      </c>
      <c r="AE160" s="1084">
        <f t="shared" si="108"/>
        <v>6487</v>
      </c>
      <c r="AF160" s="1084"/>
      <c r="AG160" s="1084">
        <v>5481</v>
      </c>
      <c r="AH160" s="1084"/>
      <c r="AI160" s="1084">
        <v>1006</v>
      </c>
      <c r="AJ160" s="1084"/>
      <c r="AK160" s="1084"/>
      <c r="AL160" s="1084">
        <v>0</v>
      </c>
      <c r="AM160" s="1085">
        <f t="shared" si="109"/>
        <v>0</v>
      </c>
      <c r="AN160" s="1085">
        <f t="shared" si="110"/>
        <v>0</v>
      </c>
      <c r="AO160" s="1085"/>
      <c r="AP160" s="1085"/>
      <c r="AQ160" s="1085"/>
      <c r="AR160" s="1085"/>
      <c r="AS160" s="1085"/>
      <c r="AT160" s="1085"/>
      <c r="AU160" s="1085"/>
      <c r="AV160" s="1085"/>
      <c r="AW160" s="1085"/>
      <c r="AX160" s="1085"/>
      <c r="AY160" s="1085">
        <v>0</v>
      </c>
      <c r="AZ160" s="1085">
        <f t="shared" si="111"/>
        <v>0</v>
      </c>
      <c r="BA160" s="1085">
        <f t="shared" si="112"/>
        <v>0</v>
      </c>
      <c r="BB160" s="1085"/>
      <c r="BC160" s="1085"/>
      <c r="BD160" s="1085"/>
      <c r="BE160" s="1085"/>
      <c r="BF160" s="1085"/>
      <c r="BG160" s="1084">
        <f t="shared" si="113"/>
        <v>0</v>
      </c>
      <c r="BH160" s="1084">
        <f t="shared" si="114"/>
        <v>0</v>
      </c>
      <c r="BI160" s="1084"/>
      <c r="BJ160" s="1084"/>
      <c r="BK160" s="1084"/>
      <c r="BL160" s="1084"/>
      <c r="BM160" s="1084"/>
      <c r="BN160" s="1084"/>
      <c r="BO160" s="1086"/>
      <c r="BP160" s="1084"/>
      <c r="BQ160" s="1087"/>
      <c r="BR160" s="1084"/>
      <c r="BS160" s="1088"/>
      <c r="BT160" s="1089" t="s">
        <v>1586</v>
      </c>
      <c r="BU160" s="1090"/>
    </row>
    <row r="161" spans="1:73" ht="12.75" x14ac:dyDescent="0.25">
      <c r="A161" s="1094"/>
      <c r="B161" s="1095"/>
      <c r="C161" s="1096"/>
      <c r="D161" s="1097"/>
      <c r="E161" s="1082" t="s">
        <v>1587</v>
      </c>
      <c r="F161" s="1083">
        <f t="shared" si="103"/>
        <v>9700</v>
      </c>
      <c r="G161" s="1083">
        <f t="shared" si="104"/>
        <v>9700</v>
      </c>
      <c r="H161" s="1084">
        <v>9700</v>
      </c>
      <c r="I161" s="1084">
        <f t="shared" si="105"/>
        <v>9700</v>
      </c>
      <c r="J161" s="1084">
        <f t="shared" si="106"/>
        <v>0</v>
      </c>
      <c r="K161" s="1084"/>
      <c r="L161" s="1084"/>
      <c r="M161" s="1084"/>
      <c r="N161" s="1084"/>
      <c r="O161" s="1084"/>
      <c r="P161" s="1084"/>
      <c r="Q161" s="1084"/>
      <c r="R161" s="1084"/>
      <c r="S161" s="1084"/>
      <c r="T161" s="1084"/>
      <c r="U161" s="1084"/>
      <c r="V161" s="1084"/>
      <c r="W161" s="1084"/>
      <c r="X161" s="1084"/>
      <c r="Y161" s="1084"/>
      <c r="Z161" s="1084"/>
      <c r="AA161" s="1084"/>
      <c r="AB161" s="1084"/>
      <c r="AC161" s="1084">
        <v>0</v>
      </c>
      <c r="AD161" s="1084">
        <f t="shared" si="107"/>
        <v>0</v>
      </c>
      <c r="AE161" s="1084">
        <f t="shared" si="108"/>
        <v>0</v>
      </c>
      <c r="AF161" s="1084"/>
      <c r="AG161" s="1084"/>
      <c r="AH161" s="1084"/>
      <c r="AI161" s="1084"/>
      <c r="AJ161" s="1084"/>
      <c r="AK161" s="1084"/>
      <c r="AL161" s="1084">
        <v>0</v>
      </c>
      <c r="AM161" s="1085">
        <f t="shared" si="109"/>
        <v>0</v>
      </c>
      <c r="AN161" s="1085">
        <f t="shared" si="110"/>
        <v>0</v>
      </c>
      <c r="AO161" s="1085"/>
      <c r="AP161" s="1085"/>
      <c r="AQ161" s="1085"/>
      <c r="AR161" s="1085"/>
      <c r="AS161" s="1085"/>
      <c r="AT161" s="1085"/>
      <c r="AU161" s="1085"/>
      <c r="AV161" s="1085"/>
      <c r="AW161" s="1085"/>
      <c r="AX161" s="1085"/>
      <c r="AY161" s="1085">
        <v>0</v>
      </c>
      <c r="AZ161" s="1085">
        <f t="shared" si="111"/>
        <v>0</v>
      </c>
      <c r="BA161" s="1085">
        <f t="shared" si="112"/>
        <v>0</v>
      </c>
      <c r="BB161" s="1085"/>
      <c r="BC161" s="1085"/>
      <c r="BD161" s="1085"/>
      <c r="BE161" s="1085"/>
      <c r="BF161" s="1085"/>
      <c r="BG161" s="1084">
        <f t="shared" si="113"/>
        <v>0</v>
      </c>
      <c r="BH161" s="1084">
        <f t="shared" si="114"/>
        <v>0</v>
      </c>
      <c r="BI161" s="1084"/>
      <c r="BJ161" s="1084"/>
      <c r="BK161" s="1084"/>
      <c r="BL161" s="1084"/>
      <c r="BM161" s="1084"/>
      <c r="BN161" s="1084"/>
      <c r="BO161" s="1086"/>
      <c r="BP161" s="1084"/>
      <c r="BQ161" s="1087"/>
      <c r="BR161" s="1084"/>
      <c r="BS161" s="1088"/>
      <c r="BT161" s="1089" t="s">
        <v>1588</v>
      </c>
      <c r="BU161" s="1090"/>
    </row>
    <row r="162" spans="1:73" ht="36" x14ac:dyDescent="0.25">
      <c r="A162" s="1094">
        <v>90009226256</v>
      </c>
      <c r="B162" s="1095"/>
      <c r="C162" s="1514" t="s">
        <v>1589</v>
      </c>
      <c r="D162" s="1515"/>
      <c r="E162" s="1082" t="s">
        <v>1590</v>
      </c>
      <c r="F162" s="1083">
        <f t="shared" si="103"/>
        <v>295259</v>
      </c>
      <c r="G162" s="1083">
        <f t="shared" si="104"/>
        <v>302161</v>
      </c>
      <c r="H162" s="1084">
        <v>228980</v>
      </c>
      <c r="I162" s="1084">
        <f t="shared" si="105"/>
        <v>225262</v>
      </c>
      <c r="J162" s="1084">
        <f t="shared" si="106"/>
        <v>-3718</v>
      </c>
      <c r="K162" s="1084">
        <v>-7738</v>
      </c>
      <c r="L162" s="1084"/>
      <c r="M162" s="1084"/>
      <c r="N162" s="1084"/>
      <c r="O162" s="1084"/>
      <c r="P162" s="1084">
        <v>498</v>
      </c>
      <c r="Q162" s="1084"/>
      <c r="R162" s="1084"/>
      <c r="S162" s="1084"/>
      <c r="T162" s="1084">
        <v>2546</v>
      </c>
      <c r="U162" s="1084"/>
      <c r="V162" s="1084"/>
      <c r="W162" s="1084"/>
      <c r="X162" s="1084"/>
      <c r="Y162" s="1084"/>
      <c r="Z162" s="1084">
        <v>976</v>
      </c>
      <c r="AA162" s="1084"/>
      <c r="AB162" s="1084"/>
      <c r="AC162" s="1084">
        <v>54311</v>
      </c>
      <c r="AD162" s="1084">
        <f t="shared" si="107"/>
        <v>62276</v>
      </c>
      <c r="AE162" s="1084">
        <f t="shared" si="108"/>
        <v>7965</v>
      </c>
      <c r="AF162" s="1084"/>
      <c r="AG162" s="1084"/>
      <c r="AH162" s="1084"/>
      <c r="AI162" s="1084">
        <f>2279+5686</f>
        <v>7965</v>
      </c>
      <c r="AJ162" s="1084"/>
      <c r="AK162" s="1084"/>
      <c r="AL162" s="1084">
        <v>11968</v>
      </c>
      <c r="AM162" s="1085">
        <f t="shared" si="109"/>
        <v>14623</v>
      </c>
      <c r="AN162" s="1085">
        <f t="shared" si="110"/>
        <v>2655</v>
      </c>
      <c r="AO162" s="1085">
        <v>185</v>
      </c>
      <c r="AP162" s="1085">
        <v>20</v>
      </c>
      <c r="AQ162" s="1085"/>
      <c r="AR162" s="1085">
        <v>2450</v>
      </c>
      <c r="AS162" s="1085"/>
      <c r="AT162" s="1085"/>
      <c r="AU162" s="1085"/>
      <c r="AV162" s="1085"/>
      <c r="AW162" s="1085"/>
      <c r="AX162" s="1085"/>
      <c r="AY162" s="1085">
        <v>0</v>
      </c>
      <c r="AZ162" s="1085">
        <f t="shared" si="111"/>
        <v>0</v>
      </c>
      <c r="BA162" s="1085">
        <f t="shared" si="112"/>
        <v>0</v>
      </c>
      <c r="BB162" s="1085"/>
      <c r="BC162" s="1085"/>
      <c r="BD162" s="1085"/>
      <c r="BE162" s="1085"/>
      <c r="BF162" s="1085"/>
      <c r="BG162" s="1084">
        <f t="shared" si="113"/>
        <v>0</v>
      </c>
      <c r="BH162" s="1084">
        <f t="shared" si="114"/>
        <v>0</v>
      </c>
      <c r="BI162" s="1084"/>
      <c r="BJ162" s="1084"/>
      <c r="BK162" s="1084"/>
      <c r="BL162" s="1084"/>
      <c r="BM162" s="1084"/>
      <c r="BN162" s="1084"/>
      <c r="BO162" s="1086"/>
      <c r="BP162" s="1084"/>
      <c r="BQ162" s="1087"/>
      <c r="BR162" s="1084"/>
      <c r="BS162" s="1088"/>
      <c r="BT162" s="1089" t="s">
        <v>1591</v>
      </c>
      <c r="BU162" s="1090"/>
    </row>
    <row r="163" spans="1:73" ht="12.75" x14ac:dyDescent="0.25">
      <c r="A163" s="1179"/>
      <c r="B163" s="1095"/>
      <c r="C163" s="1180"/>
      <c r="D163" s="1181"/>
      <c r="E163" s="1082" t="s">
        <v>1592</v>
      </c>
      <c r="F163" s="1083">
        <f t="shared" si="103"/>
        <v>0</v>
      </c>
      <c r="G163" s="1083">
        <f t="shared" si="104"/>
        <v>0</v>
      </c>
      <c r="H163" s="1084">
        <v>307</v>
      </c>
      <c r="I163" s="1084">
        <f t="shared" si="105"/>
        <v>307</v>
      </c>
      <c r="J163" s="1084">
        <f t="shared" si="106"/>
        <v>0</v>
      </c>
      <c r="K163" s="1084"/>
      <c r="L163" s="1084"/>
      <c r="M163" s="1084"/>
      <c r="N163" s="1084"/>
      <c r="O163" s="1084"/>
      <c r="P163" s="1084"/>
      <c r="Q163" s="1084"/>
      <c r="R163" s="1084"/>
      <c r="S163" s="1084"/>
      <c r="T163" s="1084"/>
      <c r="U163" s="1084"/>
      <c r="V163" s="1084"/>
      <c r="W163" s="1084"/>
      <c r="X163" s="1084"/>
      <c r="Y163" s="1084"/>
      <c r="Z163" s="1084"/>
      <c r="AA163" s="1084"/>
      <c r="AB163" s="1084"/>
      <c r="AC163" s="1084">
        <v>0</v>
      </c>
      <c r="AD163" s="1084">
        <f t="shared" si="107"/>
        <v>0</v>
      </c>
      <c r="AE163" s="1084">
        <f t="shared" si="108"/>
        <v>0</v>
      </c>
      <c r="AF163" s="1084"/>
      <c r="AG163" s="1084"/>
      <c r="AH163" s="1084"/>
      <c r="AI163" s="1084"/>
      <c r="AJ163" s="1084"/>
      <c r="AK163" s="1084"/>
      <c r="AL163" s="1084">
        <v>0</v>
      </c>
      <c r="AM163" s="1085">
        <f t="shared" si="109"/>
        <v>0</v>
      </c>
      <c r="AN163" s="1085">
        <f t="shared" si="110"/>
        <v>0</v>
      </c>
      <c r="AO163" s="1085"/>
      <c r="AP163" s="1085"/>
      <c r="AQ163" s="1085"/>
      <c r="AR163" s="1085"/>
      <c r="AS163" s="1085"/>
      <c r="AT163" s="1085"/>
      <c r="AU163" s="1085"/>
      <c r="AV163" s="1085"/>
      <c r="AW163" s="1085"/>
      <c r="AX163" s="1085"/>
      <c r="AY163" s="1085">
        <v>0</v>
      </c>
      <c r="AZ163" s="1085">
        <f t="shared" si="111"/>
        <v>0</v>
      </c>
      <c r="BA163" s="1085">
        <f t="shared" si="112"/>
        <v>0</v>
      </c>
      <c r="BB163" s="1085"/>
      <c r="BC163" s="1085"/>
      <c r="BD163" s="1085"/>
      <c r="BE163" s="1085"/>
      <c r="BF163" s="1085">
        <v>-307</v>
      </c>
      <c r="BG163" s="1084">
        <f t="shared" si="113"/>
        <v>-307</v>
      </c>
      <c r="BH163" s="1084">
        <f t="shared" si="114"/>
        <v>0</v>
      </c>
      <c r="BI163" s="1084"/>
      <c r="BJ163" s="1084"/>
      <c r="BK163" s="1084"/>
      <c r="BL163" s="1084"/>
      <c r="BM163" s="1084"/>
      <c r="BN163" s="1084"/>
      <c r="BO163" s="1086"/>
      <c r="BP163" s="1084"/>
      <c r="BQ163" s="1087"/>
      <c r="BR163" s="1084"/>
      <c r="BS163" s="1088"/>
      <c r="BT163" s="1089" t="s">
        <v>1593</v>
      </c>
      <c r="BU163" s="1090"/>
    </row>
    <row r="164" spans="1:73" ht="12.75" x14ac:dyDescent="0.25">
      <c r="A164" s="1179"/>
      <c r="B164" s="1095"/>
      <c r="C164" s="1180"/>
      <c r="D164" s="1181"/>
      <c r="E164" s="1082" t="s">
        <v>1594</v>
      </c>
      <c r="F164" s="1083">
        <f t="shared" si="103"/>
        <v>57270</v>
      </c>
      <c r="G164" s="1083">
        <f t="shared" si="104"/>
        <v>57270</v>
      </c>
      <c r="H164" s="1084">
        <v>57270</v>
      </c>
      <c r="I164" s="1084">
        <f t="shared" si="105"/>
        <v>57270</v>
      </c>
      <c r="J164" s="1084">
        <f t="shared" si="106"/>
        <v>0</v>
      </c>
      <c r="K164" s="1084"/>
      <c r="L164" s="1084"/>
      <c r="M164" s="1084"/>
      <c r="N164" s="1084"/>
      <c r="O164" s="1084"/>
      <c r="P164" s="1084"/>
      <c r="Q164" s="1084"/>
      <c r="R164" s="1084"/>
      <c r="S164" s="1084"/>
      <c r="T164" s="1084"/>
      <c r="U164" s="1084"/>
      <c r="V164" s="1084"/>
      <c r="W164" s="1084"/>
      <c r="X164" s="1084"/>
      <c r="Y164" s="1084"/>
      <c r="Z164" s="1084"/>
      <c r="AA164" s="1084"/>
      <c r="AB164" s="1084"/>
      <c r="AC164" s="1084">
        <v>0</v>
      </c>
      <c r="AD164" s="1084">
        <f t="shared" si="107"/>
        <v>0</v>
      </c>
      <c r="AE164" s="1084">
        <f t="shared" si="108"/>
        <v>0</v>
      </c>
      <c r="AF164" s="1084"/>
      <c r="AG164" s="1084"/>
      <c r="AH164" s="1084"/>
      <c r="AI164" s="1084"/>
      <c r="AJ164" s="1084"/>
      <c r="AK164" s="1084"/>
      <c r="AL164" s="1084">
        <v>0</v>
      </c>
      <c r="AM164" s="1085">
        <f t="shared" si="109"/>
        <v>0</v>
      </c>
      <c r="AN164" s="1085">
        <f t="shared" si="110"/>
        <v>0</v>
      </c>
      <c r="AO164" s="1085"/>
      <c r="AP164" s="1085"/>
      <c r="AQ164" s="1085"/>
      <c r="AR164" s="1085"/>
      <c r="AS164" s="1085"/>
      <c r="AT164" s="1085"/>
      <c r="AU164" s="1085"/>
      <c r="AV164" s="1085"/>
      <c r="AW164" s="1085"/>
      <c r="AX164" s="1085"/>
      <c r="AY164" s="1085">
        <v>0</v>
      </c>
      <c r="AZ164" s="1085">
        <f t="shared" si="111"/>
        <v>0</v>
      </c>
      <c r="BA164" s="1085">
        <f t="shared" si="112"/>
        <v>0</v>
      </c>
      <c r="BB164" s="1085"/>
      <c r="BC164" s="1085"/>
      <c r="BD164" s="1085"/>
      <c r="BE164" s="1085"/>
      <c r="BF164" s="1085"/>
      <c r="BG164" s="1084">
        <f t="shared" si="113"/>
        <v>0</v>
      </c>
      <c r="BH164" s="1084">
        <f t="shared" si="114"/>
        <v>0</v>
      </c>
      <c r="BI164" s="1084"/>
      <c r="BJ164" s="1084"/>
      <c r="BK164" s="1084"/>
      <c r="BL164" s="1084"/>
      <c r="BM164" s="1084"/>
      <c r="BN164" s="1084"/>
      <c r="BO164" s="1086"/>
      <c r="BP164" s="1084"/>
      <c r="BQ164" s="1087"/>
      <c r="BR164" s="1084"/>
      <c r="BS164" s="1088"/>
      <c r="BT164" s="1089" t="s">
        <v>1595</v>
      </c>
      <c r="BU164" s="1090"/>
    </row>
    <row r="165" spans="1:73" ht="24" x14ac:dyDescent="0.25">
      <c r="A165" s="1179"/>
      <c r="B165" s="1095"/>
      <c r="C165" s="1180"/>
      <c r="D165" s="1181"/>
      <c r="E165" s="1082" t="s">
        <v>1596</v>
      </c>
      <c r="F165" s="1083">
        <f t="shared" si="103"/>
        <v>0</v>
      </c>
      <c r="G165" s="1083">
        <f t="shared" si="104"/>
        <v>0</v>
      </c>
      <c r="H165" s="1084"/>
      <c r="I165" s="1084">
        <f t="shared" si="105"/>
        <v>0</v>
      </c>
      <c r="J165" s="1084">
        <f t="shared" si="106"/>
        <v>0</v>
      </c>
      <c r="K165" s="1084"/>
      <c r="L165" s="1084"/>
      <c r="M165" s="1084"/>
      <c r="N165" s="1084"/>
      <c r="O165" s="1084"/>
      <c r="P165" s="1084"/>
      <c r="Q165" s="1084"/>
      <c r="R165" s="1084"/>
      <c r="S165" s="1084"/>
      <c r="T165" s="1084"/>
      <c r="U165" s="1084"/>
      <c r="V165" s="1084"/>
      <c r="W165" s="1084"/>
      <c r="X165" s="1084"/>
      <c r="Y165" s="1084"/>
      <c r="Z165" s="1084"/>
      <c r="AA165" s="1084"/>
      <c r="AB165" s="1084"/>
      <c r="AC165" s="1084"/>
      <c r="AD165" s="1084">
        <f t="shared" si="107"/>
        <v>0</v>
      </c>
      <c r="AE165" s="1084">
        <f t="shared" si="108"/>
        <v>0</v>
      </c>
      <c r="AF165" s="1084"/>
      <c r="AG165" s="1084"/>
      <c r="AH165" s="1084"/>
      <c r="AI165" s="1084"/>
      <c r="AJ165" s="1084"/>
      <c r="AK165" s="1084"/>
      <c r="AL165" s="1084"/>
      <c r="AM165" s="1085">
        <f t="shared" si="109"/>
        <v>0</v>
      </c>
      <c r="AN165" s="1085">
        <f t="shared" si="110"/>
        <v>0</v>
      </c>
      <c r="AO165" s="1085"/>
      <c r="AP165" s="1085"/>
      <c r="AQ165" s="1085"/>
      <c r="AR165" s="1085"/>
      <c r="AS165" s="1085"/>
      <c r="AT165" s="1085"/>
      <c r="AU165" s="1085"/>
      <c r="AV165" s="1085"/>
      <c r="AW165" s="1085"/>
      <c r="AX165" s="1085"/>
      <c r="AY165" s="1085"/>
      <c r="AZ165" s="1085">
        <f t="shared" si="111"/>
        <v>0</v>
      </c>
      <c r="BA165" s="1085">
        <f t="shared" si="112"/>
        <v>0</v>
      </c>
      <c r="BB165" s="1085"/>
      <c r="BC165" s="1085"/>
      <c r="BD165" s="1085"/>
      <c r="BE165" s="1085"/>
      <c r="BF165" s="1085"/>
      <c r="BG165" s="1084">
        <f t="shared" si="113"/>
        <v>0</v>
      </c>
      <c r="BH165" s="1084">
        <f t="shared" si="114"/>
        <v>0</v>
      </c>
      <c r="BI165" s="1084"/>
      <c r="BJ165" s="1084"/>
      <c r="BK165" s="1084"/>
      <c r="BL165" s="1084"/>
      <c r="BM165" s="1084"/>
      <c r="BN165" s="1084"/>
      <c r="BO165" s="1086"/>
      <c r="BP165" s="1084"/>
      <c r="BQ165" s="1087"/>
      <c r="BR165" s="1084"/>
      <c r="BS165" s="1088"/>
      <c r="BT165" s="1089" t="s">
        <v>1597</v>
      </c>
      <c r="BU165" s="1090"/>
    </row>
    <row r="166" spans="1:73" ht="36" x14ac:dyDescent="0.25">
      <c r="A166" s="1179"/>
      <c r="B166" s="1095"/>
      <c r="C166" s="1180"/>
      <c r="D166" s="1181"/>
      <c r="E166" s="1082" t="s">
        <v>1598</v>
      </c>
      <c r="F166" s="1083">
        <f t="shared" si="103"/>
        <v>0</v>
      </c>
      <c r="G166" s="1083">
        <f t="shared" si="104"/>
        <v>1000</v>
      </c>
      <c r="H166" s="1084"/>
      <c r="I166" s="1084">
        <f t="shared" si="105"/>
        <v>1000</v>
      </c>
      <c r="J166" s="1084">
        <f t="shared" si="106"/>
        <v>1000</v>
      </c>
      <c r="K166" s="1084"/>
      <c r="L166" s="1084"/>
      <c r="M166" s="1084">
        <v>1000</v>
      </c>
      <c r="N166" s="1084"/>
      <c r="O166" s="1084"/>
      <c r="P166" s="1084"/>
      <c r="Q166" s="1084"/>
      <c r="R166" s="1084"/>
      <c r="S166" s="1084"/>
      <c r="T166" s="1084"/>
      <c r="U166" s="1084"/>
      <c r="V166" s="1084"/>
      <c r="W166" s="1084"/>
      <c r="X166" s="1084"/>
      <c r="Y166" s="1084"/>
      <c r="Z166" s="1084"/>
      <c r="AA166" s="1084"/>
      <c r="AB166" s="1084"/>
      <c r="AC166" s="1084"/>
      <c r="AD166" s="1084">
        <f t="shared" si="107"/>
        <v>0</v>
      </c>
      <c r="AE166" s="1084">
        <f t="shared" si="108"/>
        <v>0</v>
      </c>
      <c r="AF166" s="1084"/>
      <c r="AG166" s="1084"/>
      <c r="AH166" s="1084"/>
      <c r="AI166" s="1084"/>
      <c r="AJ166" s="1084"/>
      <c r="AK166" s="1084"/>
      <c r="AL166" s="1084"/>
      <c r="AM166" s="1085">
        <f t="shared" si="109"/>
        <v>0</v>
      </c>
      <c r="AN166" s="1085">
        <f t="shared" si="110"/>
        <v>0</v>
      </c>
      <c r="AO166" s="1085"/>
      <c r="AP166" s="1085"/>
      <c r="AQ166" s="1085"/>
      <c r="AR166" s="1085"/>
      <c r="AS166" s="1085"/>
      <c r="AT166" s="1085"/>
      <c r="AU166" s="1085"/>
      <c r="AV166" s="1085"/>
      <c r="AW166" s="1085"/>
      <c r="AX166" s="1085"/>
      <c r="AY166" s="1085"/>
      <c r="AZ166" s="1085">
        <f t="shared" si="111"/>
        <v>0</v>
      </c>
      <c r="BA166" s="1085">
        <f t="shared" si="112"/>
        <v>0</v>
      </c>
      <c r="BB166" s="1085"/>
      <c r="BC166" s="1085"/>
      <c r="BD166" s="1085"/>
      <c r="BE166" s="1085"/>
      <c r="BF166" s="1085"/>
      <c r="BG166" s="1084">
        <f t="shared" si="113"/>
        <v>0</v>
      </c>
      <c r="BH166" s="1084">
        <f t="shared" si="114"/>
        <v>0</v>
      </c>
      <c r="BI166" s="1084"/>
      <c r="BJ166" s="1084"/>
      <c r="BK166" s="1084"/>
      <c r="BL166" s="1084"/>
      <c r="BM166" s="1084"/>
      <c r="BN166" s="1084"/>
      <c r="BO166" s="1086"/>
      <c r="BP166" s="1084"/>
      <c r="BQ166" s="1087"/>
      <c r="BR166" s="1084"/>
      <c r="BS166" s="1088"/>
      <c r="BT166" s="1089" t="s">
        <v>1599</v>
      </c>
      <c r="BU166" s="1090"/>
    </row>
    <row r="167" spans="1:73" ht="24" x14ac:dyDescent="0.25">
      <c r="A167" s="1094">
        <v>90000051487</v>
      </c>
      <c r="B167" s="1095"/>
      <c r="C167" s="1514" t="s">
        <v>475</v>
      </c>
      <c r="D167" s="1515"/>
      <c r="E167" s="1082" t="s">
        <v>334</v>
      </c>
      <c r="F167" s="1083">
        <f t="shared" si="103"/>
        <v>796865</v>
      </c>
      <c r="G167" s="1083">
        <f t="shared" si="104"/>
        <v>831497</v>
      </c>
      <c r="H167" s="1084">
        <v>356651</v>
      </c>
      <c r="I167" s="1084">
        <f t="shared" si="105"/>
        <v>357431</v>
      </c>
      <c r="J167" s="1084">
        <f t="shared" si="106"/>
        <v>780</v>
      </c>
      <c r="K167" s="1084">
        <f>-6863-1894</f>
        <v>-8757</v>
      </c>
      <c r="L167" s="1084"/>
      <c r="M167" s="1084"/>
      <c r="N167" s="1084"/>
      <c r="O167" s="1084"/>
      <c r="P167" s="1084"/>
      <c r="Q167" s="1084"/>
      <c r="R167" s="1084"/>
      <c r="S167" s="1084"/>
      <c r="T167" s="1084">
        <v>4724</v>
      </c>
      <c r="U167" s="1084"/>
      <c r="V167" s="1084"/>
      <c r="W167" s="1084">
        <v>3225</v>
      </c>
      <c r="X167" s="1084"/>
      <c r="Y167" s="1084"/>
      <c r="Z167" s="1084">
        <f>579+1009</f>
        <v>1588</v>
      </c>
      <c r="AA167" s="1084"/>
      <c r="AB167" s="1084"/>
      <c r="AC167" s="1084">
        <v>424756</v>
      </c>
      <c r="AD167" s="1084">
        <f t="shared" si="107"/>
        <v>451706</v>
      </c>
      <c r="AE167" s="1084">
        <f t="shared" si="108"/>
        <v>26950</v>
      </c>
      <c r="AF167" s="1084"/>
      <c r="AG167" s="1084">
        <v>5696</v>
      </c>
      <c r="AH167" s="1084"/>
      <c r="AI167" s="1084">
        <v>21254</v>
      </c>
      <c r="AJ167" s="1084"/>
      <c r="AK167" s="1084"/>
      <c r="AL167" s="1084">
        <v>15458</v>
      </c>
      <c r="AM167" s="1085">
        <f t="shared" si="109"/>
        <v>22360</v>
      </c>
      <c r="AN167" s="1085">
        <f t="shared" si="110"/>
        <v>6902</v>
      </c>
      <c r="AO167" s="1085">
        <v>1902</v>
      </c>
      <c r="AP167" s="1085"/>
      <c r="AQ167" s="1085">
        <v>4500</v>
      </c>
      <c r="AR167" s="1085"/>
      <c r="AS167" s="1085"/>
      <c r="AT167" s="1085">
        <v>500</v>
      </c>
      <c r="AU167" s="1085"/>
      <c r="AV167" s="1085"/>
      <c r="AW167" s="1085"/>
      <c r="AX167" s="1085"/>
      <c r="AY167" s="1085">
        <v>0</v>
      </c>
      <c r="AZ167" s="1085">
        <f t="shared" si="111"/>
        <v>0</v>
      </c>
      <c r="BA167" s="1085">
        <f t="shared" si="112"/>
        <v>0</v>
      </c>
      <c r="BB167" s="1085"/>
      <c r="BC167" s="1085"/>
      <c r="BD167" s="1085"/>
      <c r="BE167" s="1085"/>
      <c r="BF167" s="1085"/>
      <c r="BG167" s="1084">
        <f t="shared" si="113"/>
        <v>0</v>
      </c>
      <c r="BH167" s="1084">
        <f t="shared" si="114"/>
        <v>0</v>
      </c>
      <c r="BI167" s="1084"/>
      <c r="BJ167" s="1084"/>
      <c r="BK167" s="1084"/>
      <c r="BL167" s="1084"/>
      <c r="BM167" s="1084"/>
      <c r="BN167" s="1084"/>
      <c r="BO167" s="1086"/>
      <c r="BP167" s="1084"/>
      <c r="BQ167" s="1087"/>
      <c r="BR167" s="1084"/>
      <c r="BS167" s="1088"/>
      <c r="BT167" s="1089" t="s">
        <v>1600</v>
      </c>
      <c r="BU167" s="1090"/>
    </row>
    <row r="168" spans="1:73" ht="12.75" x14ac:dyDescent="0.25">
      <c r="A168" s="1094"/>
      <c r="B168" s="1095"/>
      <c r="C168" s="1096"/>
      <c r="D168" s="1097"/>
      <c r="E168" s="1082" t="s">
        <v>1581</v>
      </c>
      <c r="F168" s="1083">
        <f t="shared" si="103"/>
        <v>81652</v>
      </c>
      <c r="G168" s="1083">
        <f t="shared" si="104"/>
        <v>81652</v>
      </c>
      <c r="H168" s="1084">
        <v>81652</v>
      </c>
      <c r="I168" s="1084">
        <f t="shared" si="105"/>
        <v>81652</v>
      </c>
      <c r="J168" s="1084">
        <f t="shared" si="106"/>
        <v>0</v>
      </c>
      <c r="K168" s="1084"/>
      <c r="L168" s="1084"/>
      <c r="M168" s="1084"/>
      <c r="N168" s="1084"/>
      <c r="O168" s="1084"/>
      <c r="P168" s="1084"/>
      <c r="Q168" s="1084"/>
      <c r="R168" s="1084"/>
      <c r="S168" s="1084"/>
      <c r="T168" s="1084"/>
      <c r="U168" s="1084"/>
      <c r="V168" s="1084"/>
      <c r="W168" s="1084"/>
      <c r="X168" s="1084"/>
      <c r="Y168" s="1084"/>
      <c r="Z168" s="1084"/>
      <c r="AA168" s="1084"/>
      <c r="AB168" s="1084"/>
      <c r="AC168" s="1084">
        <v>0</v>
      </c>
      <c r="AD168" s="1084">
        <f t="shared" si="107"/>
        <v>0</v>
      </c>
      <c r="AE168" s="1084">
        <f t="shared" si="108"/>
        <v>0</v>
      </c>
      <c r="AF168" s="1084"/>
      <c r="AG168" s="1084"/>
      <c r="AH168" s="1084"/>
      <c r="AI168" s="1084"/>
      <c r="AJ168" s="1084"/>
      <c r="AK168" s="1084"/>
      <c r="AL168" s="1084">
        <v>0</v>
      </c>
      <c r="AM168" s="1085">
        <f t="shared" si="109"/>
        <v>0</v>
      </c>
      <c r="AN168" s="1085">
        <f t="shared" si="110"/>
        <v>0</v>
      </c>
      <c r="AO168" s="1085"/>
      <c r="AP168" s="1085"/>
      <c r="AQ168" s="1085"/>
      <c r="AR168" s="1085"/>
      <c r="AS168" s="1085"/>
      <c r="AT168" s="1085"/>
      <c r="AU168" s="1085"/>
      <c r="AV168" s="1085"/>
      <c r="AW168" s="1085"/>
      <c r="AX168" s="1085"/>
      <c r="AY168" s="1085">
        <v>0</v>
      </c>
      <c r="AZ168" s="1085">
        <f t="shared" si="111"/>
        <v>0</v>
      </c>
      <c r="BA168" s="1085">
        <f t="shared" si="112"/>
        <v>0</v>
      </c>
      <c r="BB168" s="1085"/>
      <c r="BC168" s="1085"/>
      <c r="BD168" s="1085"/>
      <c r="BE168" s="1085"/>
      <c r="BF168" s="1085"/>
      <c r="BG168" s="1084">
        <f t="shared" si="113"/>
        <v>0</v>
      </c>
      <c r="BH168" s="1084">
        <f t="shared" si="114"/>
        <v>0</v>
      </c>
      <c r="BI168" s="1084"/>
      <c r="BJ168" s="1084"/>
      <c r="BK168" s="1084"/>
      <c r="BL168" s="1084"/>
      <c r="BM168" s="1084"/>
      <c r="BN168" s="1084"/>
      <c r="BO168" s="1086"/>
      <c r="BP168" s="1084"/>
      <c r="BQ168" s="1087"/>
      <c r="BR168" s="1084"/>
      <c r="BS168" s="1088"/>
      <c r="BT168" s="1089" t="s">
        <v>1601</v>
      </c>
      <c r="BU168" s="1090"/>
    </row>
    <row r="169" spans="1:73" ht="36" x14ac:dyDescent="0.25">
      <c r="A169" s="1094"/>
      <c r="B169" s="1095"/>
      <c r="C169" s="1096"/>
      <c r="D169" s="1097"/>
      <c r="E169" s="1082" t="s">
        <v>1602</v>
      </c>
      <c r="F169" s="1083">
        <f t="shared" si="103"/>
        <v>1423</v>
      </c>
      <c r="G169" s="1083">
        <f t="shared" si="104"/>
        <v>5350</v>
      </c>
      <c r="H169" s="1084">
        <v>0</v>
      </c>
      <c r="I169" s="1084">
        <f t="shared" si="105"/>
        <v>3927</v>
      </c>
      <c r="J169" s="1084">
        <f t="shared" si="106"/>
        <v>3927</v>
      </c>
      <c r="K169" s="1084"/>
      <c r="L169" s="1084"/>
      <c r="M169" s="1084"/>
      <c r="N169" s="1084"/>
      <c r="O169" s="1084"/>
      <c r="P169" s="1084"/>
      <c r="Q169" s="1084">
        <v>3927</v>
      </c>
      <c r="R169" s="1084"/>
      <c r="S169" s="1084"/>
      <c r="T169" s="1084"/>
      <c r="U169" s="1084"/>
      <c r="V169" s="1084"/>
      <c r="W169" s="1084"/>
      <c r="X169" s="1084"/>
      <c r="Y169" s="1084"/>
      <c r="Z169" s="1084"/>
      <c r="AA169" s="1084"/>
      <c r="AB169" s="1084"/>
      <c r="AC169" s="1084">
        <v>1423</v>
      </c>
      <c r="AD169" s="1084">
        <f t="shared" si="107"/>
        <v>1423</v>
      </c>
      <c r="AE169" s="1084">
        <f t="shared" si="108"/>
        <v>0</v>
      </c>
      <c r="AF169" s="1084"/>
      <c r="AG169" s="1084"/>
      <c r="AH169" s="1084"/>
      <c r="AI169" s="1084"/>
      <c r="AJ169" s="1084"/>
      <c r="AK169" s="1084"/>
      <c r="AL169" s="1084">
        <v>0</v>
      </c>
      <c r="AM169" s="1085">
        <f t="shared" si="109"/>
        <v>0</v>
      </c>
      <c r="AN169" s="1085">
        <f t="shared" si="110"/>
        <v>0</v>
      </c>
      <c r="AO169" s="1085"/>
      <c r="AP169" s="1085"/>
      <c r="AQ169" s="1085"/>
      <c r="AR169" s="1085"/>
      <c r="AS169" s="1085"/>
      <c r="AT169" s="1085"/>
      <c r="AU169" s="1085"/>
      <c r="AV169" s="1085"/>
      <c r="AW169" s="1085"/>
      <c r="AX169" s="1085"/>
      <c r="AY169" s="1085">
        <v>0</v>
      </c>
      <c r="AZ169" s="1085">
        <f t="shared" si="111"/>
        <v>0</v>
      </c>
      <c r="BA169" s="1085">
        <f t="shared" si="112"/>
        <v>0</v>
      </c>
      <c r="BB169" s="1085"/>
      <c r="BC169" s="1085"/>
      <c r="BD169" s="1085"/>
      <c r="BE169" s="1085"/>
      <c r="BF169" s="1085"/>
      <c r="BG169" s="1084">
        <f t="shared" si="113"/>
        <v>0</v>
      </c>
      <c r="BH169" s="1084">
        <f t="shared" si="114"/>
        <v>0</v>
      </c>
      <c r="BI169" s="1084"/>
      <c r="BJ169" s="1084"/>
      <c r="BK169" s="1084"/>
      <c r="BL169" s="1084"/>
      <c r="BM169" s="1084"/>
      <c r="BN169" s="1084"/>
      <c r="BO169" s="1086"/>
      <c r="BP169" s="1084"/>
      <c r="BQ169" s="1087"/>
      <c r="BR169" s="1084"/>
      <c r="BS169" s="1088"/>
      <c r="BT169" s="1089" t="s">
        <v>1603</v>
      </c>
      <c r="BU169" s="1090"/>
    </row>
    <row r="170" spans="1:73" ht="36" x14ac:dyDescent="0.25">
      <c r="A170" s="1094"/>
      <c r="B170" s="1095"/>
      <c r="C170" s="1096"/>
      <c r="D170" s="1097"/>
      <c r="E170" s="1082" t="s">
        <v>1604</v>
      </c>
      <c r="F170" s="1083">
        <f t="shared" si="103"/>
        <v>40296</v>
      </c>
      <c r="G170" s="1083">
        <f t="shared" si="104"/>
        <v>41091</v>
      </c>
      <c r="H170" s="1084">
        <v>40296</v>
      </c>
      <c r="I170" s="1084">
        <f t="shared" si="105"/>
        <v>41091</v>
      </c>
      <c r="J170" s="1084">
        <f t="shared" si="106"/>
        <v>795</v>
      </c>
      <c r="K170" s="1084">
        <v>795</v>
      </c>
      <c r="L170" s="1084"/>
      <c r="M170" s="1084"/>
      <c r="N170" s="1084"/>
      <c r="O170" s="1084"/>
      <c r="P170" s="1084"/>
      <c r="Q170" s="1084"/>
      <c r="R170" s="1084"/>
      <c r="S170" s="1084"/>
      <c r="T170" s="1084"/>
      <c r="U170" s="1084"/>
      <c r="V170" s="1084"/>
      <c r="W170" s="1084"/>
      <c r="X170" s="1084"/>
      <c r="Y170" s="1084"/>
      <c r="Z170" s="1084"/>
      <c r="AA170" s="1084"/>
      <c r="AB170" s="1084"/>
      <c r="AC170" s="1084">
        <v>0</v>
      </c>
      <c r="AD170" s="1084">
        <f t="shared" si="107"/>
        <v>0</v>
      </c>
      <c r="AE170" s="1084">
        <f t="shared" si="108"/>
        <v>0</v>
      </c>
      <c r="AF170" s="1084"/>
      <c r="AG170" s="1084"/>
      <c r="AH170" s="1084"/>
      <c r="AI170" s="1084"/>
      <c r="AJ170" s="1084"/>
      <c r="AK170" s="1084"/>
      <c r="AL170" s="1084">
        <v>0</v>
      </c>
      <c r="AM170" s="1085">
        <f t="shared" si="109"/>
        <v>0</v>
      </c>
      <c r="AN170" s="1085">
        <f t="shared" si="110"/>
        <v>0</v>
      </c>
      <c r="AO170" s="1085"/>
      <c r="AP170" s="1085"/>
      <c r="AQ170" s="1085"/>
      <c r="AR170" s="1085"/>
      <c r="AS170" s="1085"/>
      <c r="AT170" s="1085"/>
      <c r="AU170" s="1085"/>
      <c r="AV170" s="1085"/>
      <c r="AW170" s="1085"/>
      <c r="AX170" s="1085"/>
      <c r="AY170" s="1085">
        <v>0</v>
      </c>
      <c r="AZ170" s="1085">
        <f t="shared" si="111"/>
        <v>0</v>
      </c>
      <c r="BA170" s="1085">
        <f t="shared" si="112"/>
        <v>0</v>
      </c>
      <c r="BB170" s="1085"/>
      <c r="BC170" s="1085"/>
      <c r="BD170" s="1085"/>
      <c r="BE170" s="1085"/>
      <c r="BF170" s="1085"/>
      <c r="BG170" s="1084">
        <f t="shared" si="113"/>
        <v>0</v>
      </c>
      <c r="BH170" s="1084">
        <f t="shared" si="114"/>
        <v>0</v>
      </c>
      <c r="BI170" s="1084"/>
      <c r="BJ170" s="1084"/>
      <c r="BK170" s="1084"/>
      <c r="BL170" s="1084"/>
      <c r="BM170" s="1084"/>
      <c r="BN170" s="1084"/>
      <c r="BO170" s="1086"/>
      <c r="BP170" s="1084"/>
      <c r="BQ170" s="1087"/>
      <c r="BR170" s="1084"/>
      <c r="BS170" s="1088"/>
      <c r="BT170" s="1089" t="s">
        <v>1605</v>
      </c>
      <c r="BU170" s="1090"/>
    </row>
    <row r="171" spans="1:73" ht="24" x14ac:dyDescent="0.25">
      <c r="A171" s="1094">
        <v>90000051519</v>
      </c>
      <c r="B171" s="1095"/>
      <c r="C171" s="1514" t="s">
        <v>1606</v>
      </c>
      <c r="D171" s="1515"/>
      <c r="E171" s="1082" t="s">
        <v>334</v>
      </c>
      <c r="F171" s="1083">
        <f t="shared" si="103"/>
        <v>1305747</v>
      </c>
      <c r="G171" s="1083">
        <f t="shared" si="104"/>
        <v>1375381</v>
      </c>
      <c r="H171" s="1084">
        <v>605379</v>
      </c>
      <c r="I171" s="1084">
        <f t="shared" si="105"/>
        <v>595067</v>
      </c>
      <c r="J171" s="1084">
        <f t="shared" si="106"/>
        <v>-10312</v>
      </c>
      <c r="K171" s="1084">
        <v>-6795</v>
      </c>
      <c r="L171" s="1084"/>
      <c r="M171" s="1084"/>
      <c r="N171" s="1084"/>
      <c r="O171" s="1084"/>
      <c r="P171" s="1084"/>
      <c r="Q171" s="1084"/>
      <c r="R171" s="1084"/>
      <c r="S171" s="1084"/>
      <c r="T171" s="1084">
        <v>10844</v>
      </c>
      <c r="U171" s="1084"/>
      <c r="V171" s="1084"/>
      <c r="W171" s="1084"/>
      <c r="X171" s="1084"/>
      <c r="Y171" s="1084"/>
      <c r="Z171" s="1084">
        <v>-14361</v>
      </c>
      <c r="AA171" s="1084"/>
      <c r="AB171" s="1084"/>
      <c r="AC171" s="1084">
        <v>678203</v>
      </c>
      <c r="AD171" s="1084">
        <f t="shared" si="107"/>
        <v>757368</v>
      </c>
      <c r="AE171" s="1084">
        <f t="shared" si="108"/>
        <v>79165</v>
      </c>
      <c r="AF171" s="1084"/>
      <c r="AG171" s="1084">
        <v>13359</v>
      </c>
      <c r="AH171" s="1084"/>
      <c r="AI171" s="1084">
        <v>65806</v>
      </c>
      <c r="AJ171" s="1084"/>
      <c r="AK171" s="1084"/>
      <c r="AL171" s="1084">
        <v>22165</v>
      </c>
      <c r="AM171" s="1085">
        <f t="shared" si="109"/>
        <v>22946</v>
      </c>
      <c r="AN171" s="1085">
        <f t="shared" si="110"/>
        <v>781</v>
      </c>
      <c r="AO171" s="1085">
        <v>781</v>
      </c>
      <c r="AP171" s="1085"/>
      <c r="AQ171" s="1085"/>
      <c r="AR171" s="1085"/>
      <c r="AS171" s="1085"/>
      <c r="AT171" s="1085"/>
      <c r="AU171" s="1085"/>
      <c r="AV171" s="1085"/>
      <c r="AW171" s="1085"/>
      <c r="AX171" s="1085"/>
      <c r="AY171" s="1085">
        <v>0</v>
      </c>
      <c r="AZ171" s="1085">
        <f t="shared" si="111"/>
        <v>0</v>
      </c>
      <c r="BA171" s="1085">
        <f t="shared" si="112"/>
        <v>0</v>
      </c>
      <c r="BB171" s="1085"/>
      <c r="BC171" s="1085"/>
      <c r="BD171" s="1085"/>
      <c r="BE171" s="1085"/>
      <c r="BF171" s="1085"/>
      <c r="BG171" s="1084">
        <f t="shared" si="113"/>
        <v>0</v>
      </c>
      <c r="BH171" s="1084">
        <f t="shared" si="114"/>
        <v>0</v>
      </c>
      <c r="BI171" s="1084"/>
      <c r="BJ171" s="1084"/>
      <c r="BK171" s="1084"/>
      <c r="BL171" s="1084"/>
      <c r="BM171" s="1084"/>
      <c r="BN171" s="1084"/>
      <c r="BO171" s="1086"/>
      <c r="BP171" s="1084"/>
      <c r="BQ171" s="1087"/>
      <c r="BR171" s="1084"/>
      <c r="BS171" s="1088"/>
      <c r="BT171" s="1089" t="s">
        <v>1607</v>
      </c>
      <c r="BU171" s="1090"/>
    </row>
    <row r="172" spans="1:73" ht="12.75" x14ac:dyDescent="0.25">
      <c r="A172" s="1094"/>
      <c r="B172" s="1095"/>
      <c r="C172" s="1096"/>
      <c r="D172" s="1097"/>
      <c r="E172" s="1082" t="s">
        <v>1581</v>
      </c>
      <c r="F172" s="1083">
        <f t="shared" si="103"/>
        <v>193557</v>
      </c>
      <c r="G172" s="1083">
        <f t="shared" si="104"/>
        <v>202575</v>
      </c>
      <c r="H172" s="1084">
        <v>118967</v>
      </c>
      <c r="I172" s="1084">
        <f t="shared" si="105"/>
        <v>118967</v>
      </c>
      <c r="J172" s="1084">
        <f t="shared" si="106"/>
        <v>0</v>
      </c>
      <c r="K172" s="1084"/>
      <c r="L172" s="1084"/>
      <c r="M172" s="1084"/>
      <c r="N172" s="1084"/>
      <c r="O172" s="1084"/>
      <c r="P172" s="1084"/>
      <c r="Q172" s="1084"/>
      <c r="R172" s="1084"/>
      <c r="S172" s="1084"/>
      <c r="T172" s="1084"/>
      <c r="U172" s="1084"/>
      <c r="V172" s="1084"/>
      <c r="W172" s="1084"/>
      <c r="X172" s="1084"/>
      <c r="Y172" s="1084"/>
      <c r="Z172" s="1084"/>
      <c r="AA172" s="1084"/>
      <c r="AB172" s="1084"/>
      <c r="AC172" s="1084">
        <v>74590</v>
      </c>
      <c r="AD172" s="1084">
        <f t="shared" si="107"/>
        <v>83608</v>
      </c>
      <c r="AE172" s="1084">
        <f t="shared" si="108"/>
        <v>9018</v>
      </c>
      <c r="AF172" s="1084"/>
      <c r="AG172" s="1084">
        <v>9838</v>
      </c>
      <c r="AH172" s="1084"/>
      <c r="AI172" s="1084">
        <v>-820</v>
      </c>
      <c r="AJ172" s="1084"/>
      <c r="AK172" s="1084"/>
      <c r="AL172" s="1084">
        <v>0</v>
      </c>
      <c r="AM172" s="1085">
        <f t="shared" si="109"/>
        <v>0</v>
      </c>
      <c r="AN172" s="1085">
        <f t="shared" si="110"/>
        <v>0</v>
      </c>
      <c r="AO172" s="1085"/>
      <c r="AP172" s="1085"/>
      <c r="AQ172" s="1085"/>
      <c r="AR172" s="1085"/>
      <c r="AS172" s="1085"/>
      <c r="AT172" s="1085"/>
      <c r="AU172" s="1085"/>
      <c r="AV172" s="1085"/>
      <c r="AW172" s="1085"/>
      <c r="AX172" s="1085"/>
      <c r="AY172" s="1085">
        <v>0</v>
      </c>
      <c r="AZ172" s="1085">
        <f t="shared" si="111"/>
        <v>0</v>
      </c>
      <c r="BA172" s="1085">
        <f t="shared" si="112"/>
        <v>0</v>
      </c>
      <c r="BB172" s="1085"/>
      <c r="BC172" s="1085"/>
      <c r="BD172" s="1085"/>
      <c r="BE172" s="1085"/>
      <c r="BF172" s="1085"/>
      <c r="BG172" s="1084">
        <f t="shared" si="113"/>
        <v>0</v>
      </c>
      <c r="BH172" s="1084">
        <f t="shared" si="114"/>
        <v>0</v>
      </c>
      <c r="BI172" s="1084"/>
      <c r="BJ172" s="1084"/>
      <c r="BK172" s="1084"/>
      <c r="BL172" s="1084"/>
      <c r="BM172" s="1084"/>
      <c r="BN172" s="1084"/>
      <c r="BO172" s="1086"/>
      <c r="BP172" s="1084"/>
      <c r="BQ172" s="1087"/>
      <c r="BR172" s="1084"/>
      <c r="BS172" s="1088"/>
      <c r="BT172" s="1089" t="s">
        <v>1608</v>
      </c>
      <c r="BU172" s="1090"/>
    </row>
    <row r="173" spans="1:73" ht="36" x14ac:dyDescent="0.25">
      <c r="A173" s="1094"/>
      <c r="B173" s="1095"/>
      <c r="C173" s="1096"/>
      <c r="D173" s="1097"/>
      <c r="E173" s="1082" t="s">
        <v>1609</v>
      </c>
      <c r="F173" s="1083">
        <f t="shared" si="103"/>
        <v>0</v>
      </c>
      <c r="G173" s="1083">
        <f t="shared" si="104"/>
        <v>13576</v>
      </c>
      <c r="H173" s="1084"/>
      <c r="I173" s="1084">
        <f t="shared" si="105"/>
        <v>13576</v>
      </c>
      <c r="J173" s="1084">
        <f t="shared" si="106"/>
        <v>13576</v>
      </c>
      <c r="K173" s="1084"/>
      <c r="L173" s="1084"/>
      <c r="M173" s="1084"/>
      <c r="N173" s="1084"/>
      <c r="O173" s="1084">
        <v>13576</v>
      </c>
      <c r="P173" s="1084"/>
      <c r="Q173" s="1084"/>
      <c r="R173" s="1084"/>
      <c r="S173" s="1084"/>
      <c r="T173" s="1084"/>
      <c r="U173" s="1084"/>
      <c r="V173" s="1084"/>
      <c r="W173" s="1084"/>
      <c r="X173" s="1084"/>
      <c r="Y173" s="1084"/>
      <c r="Z173" s="1084"/>
      <c r="AA173" s="1084"/>
      <c r="AB173" s="1084"/>
      <c r="AC173" s="1084"/>
      <c r="AD173" s="1084">
        <f t="shared" si="107"/>
        <v>0</v>
      </c>
      <c r="AE173" s="1084">
        <f t="shared" si="108"/>
        <v>0</v>
      </c>
      <c r="AF173" s="1084"/>
      <c r="AG173" s="1084"/>
      <c r="AH173" s="1084"/>
      <c r="AI173" s="1084"/>
      <c r="AJ173" s="1084"/>
      <c r="AK173" s="1084"/>
      <c r="AL173" s="1084"/>
      <c r="AM173" s="1085">
        <f t="shared" si="109"/>
        <v>0</v>
      </c>
      <c r="AN173" s="1085">
        <f t="shared" si="110"/>
        <v>0</v>
      </c>
      <c r="AO173" s="1085"/>
      <c r="AP173" s="1085"/>
      <c r="AQ173" s="1085"/>
      <c r="AR173" s="1085"/>
      <c r="AS173" s="1085"/>
      <c r="AT173" s="1085"/>
      <c r="AU173" s="1085"/>
      <c r="AV173" s="1085"/>
      <c r="AW173" s="1085"/>
      <c r="AX173" s="1085"/>
      <c r="AY173" s="1085"/>
      <c r="AZ173" s="1085">
        <f t="shared" si="111"/>
        <v>0</v>
      </c>
      <c r="BA173" s="1085">
        <f t="shared" si="112"/>
        <v>0</v>
      </c>
      <c r="BB173" s="1085"/>
      <c r="BC173" s="1085"/>
      <c r="BD173" s="1085"/>
      <c r="BE173" s="1085"/>
      <c r="BF173" s="1085"/>
      <c r="BG173" s="1084">
        <f t="shared" si="113"/>
        <v>0</v>
      </c>
      <c r="BH173" s="1084">
        <f t="shared" si="114"/>
        <v>0</v>
      </c>
      <c r="BI173" s="1084"/>
      <c r="BJ173" s="1084"/>
      <c r="BK173" s="1084"/>
      <c r="BL173" s="1084"/>
      <c r="BM173" s="1084"/>
      <c r="BN173" s="1084"/>
      <c r="BO173" s="1086"/>
      <c r="BP173" s="1084"/>
      <c r="BQ173" s="1087"/>
      <c r="BR173" s="1084"/>
      <c r="BS173" s="1088"/>
      <c r="BT173" s="1089" t="s">
        <v>1610</v>
      </c>
      <c r="BU173" s="1090"/>
    </row>
    <row r="174" spans="1:73" ht="24" x14ac:dyDescent="0.25">
      <c r="A174" s="1094"/>
      <c r="B174" s="1095"/>
      <c r="C174" s="1096"/>
      <c r="D174" s="1097"/>
      <c r="E174" s="1082" t="s">
        <v>1611</v>
      </c>
      <c r="F174" s="1083">
        <f t="shared" si="103"/>
        <v>0</v>
      </c>
      <c r="G174" s="1083">
        <f t="shared" si="104"/>
        <v>11930</v>
      </c>
      <c r="H174" s="1084"/>
      <c r="I174" s="1084">
        <f t="shared" si="105"/>
        <v>11930</v>
      </c>
      <c r="J174" s="1084">
        <f t="shared" si="106"/>
        <v>11930</v>
      </c>
      <c r="K174" s="1084"/>
      <c r="L174" s="1084"/>
      <c r="M174" s="1084"/>
      <c r="N174" s="1084"/>
      <c r="O174" s="1084"/>
      <c r="P174" s="1084"/>
      <c r="Q174" s="1084"/>
      <c r="R174" s="1084"/>
      <c r="S174" s="1084"/>
      <c r="T174" s="1084"/>
      <c r="U174" s="1084"/>
      <c r="V174" s="1084"/>
      <c r="W174" s="1084">
        <v>11930</v>
      </c>
      <c r="X174" s="1084"/>
      <c r="Y174" s="1084"/>
      <c r="Z174" s="1084"/>
      <c r="AA174" s="1084"/>
      <c r="AB174" s="1084"/>
      <c r="AC174" s="1084"/>
      <c r="AD174" s="1084">
        <f t="shared" si="107"/>
        <v>0</v>
      </c>
      <c r="AE174" s="1084">
        <f t="shared" si="108"/>
        <v>0</v>
      </c>
      <c r="AF174" s="1084"/>
      <c r="AG174" s="1084"/>
      <c r="AH174" s="1084"/>
      <c r="AI174" s="1084"/>
      <c r="AJ174" s="1084"/>
      <c r="AK174" s="1084"/>
      <c r="AL174" s="1084"/>
      <c r="AM174" s="1085">
        <f t="shared" si="109"/>
        <v>0</v>
      </c>
      <c r="AN174" s="1085">
        <f t="shared" si="110"/>
        <v>0</v>
      </c>
      <c r="AO174" s="1085"/>
      <c r="AP174" s="1085"/>
      <c r="AQ174" s="1085"/>
      <c r="AR174" s="1085"/>
      <c r="AS174" s="1085"/>
      <c r="AT174" s="1085"/>
      <c r="AU174" s="1085"/>
      <c r="AV174" s="1085"/>
      <c r="AW174" s="1085"/>
      <c r="AX174" s="1085"/>
      <c r="AY174" s="1085"/>
      <c r="AZ174" s="1085">
        <f t="shared" si="111"/>
        <v>0</v>
      </c>
      <c r="BA174" s="1085">
        <f t="shared" si="112"/>
        <v>0</v>
      </c>
      <c r="BB174" s="1085"/>
      <c r="BC174" s="1085"/>
      <c r="BD174" s="1085"/>
      <c r="BE174" s="1085"/>
      <c r="BF174" s="1085"/>
      <c r="BG174" s="1084">
        <f t="shared" si="113"/>
        <v>0</v>
      </c>
      <c r="BH174" s="1084">
        <f t="shared" si="114"/>
        <v>0</v>
      </c>
      <c r="BI174" s="1084"/>
      <c r="BJ174" s="1084"/>
      <c r="BK174" s="1084"/>
      <c r="BL174" s="1084"/>
      <c r="BM174" s="1084"/>
      <c r="BN174" s="1084"/>
      <c r="BO174" s="1086"/>
      <c r="BP174" s="1084"/>
      <c r="BQ174" s="1087"/>
      <c r="BR174" s="1084"/>
      <c r="BS174" s="1088"/>
      <c r="BT174" s="1089" t="s">
        <v>1612</v>
      </c>
      <c r="BU174" s="1090"/>
    </row>
    <row r="175" spans="1:73" ht="24" x14ac:dyDescent="0.25">
      <c r="A175" s="1094">
        <v>90009251338</v>
      </c>
      <c r="B175" s="1095"/>
      <c r="C175" s="1514" t="s">
        <v>1613</v>
      </c>
      <c r="D175" s="1515"/>
      <c r="E175" s="1082" t="s">
        <v>334</v>
      </c>
      <c r="F175" s="1083">
        <f t="shared" si="103"/>
        <v>354226</v>
      </c>
      <c r="G175" s="1083">
        <f t="shared" si="104"/>
        <v>373865</v>
      </c>
      <c r="H175" s="1084">
        <v>238010</v>
      </c>
      <c r="I175" s="1084">
        <f t="shared" si="105"/>
        <v>245209</v>
      </c>
      <c r="J175" s="1084">
        <f t="shared" si="106"/>
        <v>7199</v>
      </c>
      <c r="K175" s="1084">
        <v>-3854</v>
      </c>
      <c r="L175" s="1084"/>
      <c r="M175" s="1084">
        <v>2575</v>
      </c>
      <c r="N175" s="1084"/>
      <c r="O175" s="1084"/>
      <c r="P175" s="1084"/>
      <c r="Q175" s="1084"/>
      <c r="R175" s="1084"/>
      <c r="S175" s="1084"/>
      <c r="T175" s="1084">
        <v>3755</v>
      </c>
      <c r="U175" s="1084"/>
      <c r="V175" s="1084"/>
      <c r="W175" s="1084"/>
      <c r="X175" s="1084"/>
      <c r="Y175" s="1084"/>
      <c r="Z175" s="1084">
        <v>4723</v>
      </c>
      <c r="AA175" s="1084"/>
      <c r="AB175" s="1084"/>
      <c r="AC175" s="1084">
        <v>112983</v>
      </c>
      <c r="AD175" s="1084">
        <f t="shared" si="107"/>
        <v>125264</v>
      </c>
      <c r="AE175" s="1084">
        <f t="shared" si="108"/>
        <v>12281</v>
      </c>
      <c r="AF175" s="1084"/>
      <c r="AG175" s="1084">
        <v>2157</v>
      </c>
      <c r="AH175" s="1084"/>
      <c r="AI175" s="1084">
        <f>9674+450</f>
        <v>10124</v>
      </c>
      <c r="AJ175" s="1084"/>
      <c r="AK175" s="1084"/>
      <c r="AL175" s="1084">
        <v>3233</v>
      </c>
      <c r="AM175" s="1085">
        <f t="shared" si="109"/>
        <v>3392</v>
      </c>
      <c r="AN175" s="1085">
        <f t="shared" si="110"/>
        <v>159</v>
      </c>
      <c r="AO175" s="1085">
        <v>159</v>
      </c>
      <c r="AP175" s="1085"/>
      <c r="AQ175" s="1085"/>
      <c r="AR175" s="1085"/>
      <c r="AS175" s="1085"/>
      <c r="AT175" s="1085"/>
      <c r="AU175" s="1085"/>
      <c r="AV175" s="1085"/>
      <c r="AW175" s="1085"/>
      <c r="AX175" s="1085"/>
      <c r="AY175" s="1085">
        <v>0</v>
      </c>
      <c r="AZ175" s="1085">
        <f t="shared" si="111"/>
        <v>0</v>
      </c>
      <c r="BA175" s="1085">
        <f t="shared" si="112"/>
        <v>0</v>
      </c>
      <c r="BB175" s="1085"/>
      <c r="BC175" s="1085"/>
      <c r="BD175" s="1085"/>
      <c r="BE175" s="1085"/>
      <c r="BF175" s="1085"/>
      <c r="BG175" s="1084">
        <f t="shared" si="113"/>
        <v>0</v>
      </c>
      <c r="BH175" s="1084">
        <f t="shared" si="114"/>
        <v>0</v>
      </c>
      <c r="BI175" s="1084"/>
      <c r="BJ175" s="1084"/>
      <c r="BK175" s="1084"/>
      <c r="BL175" s="1084"/>
      <c r="BM175" s="1084"/>
      <c r="BN175" s="1084"/>
      <c r="BO175" s="1086"/>
      <c r="BP175" s="1084"/>
      <c r="BQ175" s="1087"/>
      <c r="BR175" s="1084"/>
      <c r="BS175" s="1088"/>
      <c r="BT175" s="1089" t="s">
        <v>1614</v>
      </c>
      <c r="BU175" s="1090"/>
    </row>
    <row r="176" spans="1:73" ht="12.75" x14ac:dyDescent="0.25">
      <c r="A176" s="1094"/>
      <c r="B176" s="1095"/>
      <c r="C176" s="1096"/>
      <c r="D176" s="1097"/>
      <c r="E176" s="1082" t="s">
        <v>1581</v>
      </c>
      <c r="F176" s="1083">
        <f t="shared" si="103"/>
        <v>30409</v>
      </c>
      <c r="G176" s="1083">
        <f t="shared" si="104"/>
        <v>30273</v>
      </c>
      <c r="H176" s="1084">
        <v>15067</v>
      </c>
      <c r="I176" s="1084">
        <f t="shared" si="105"/>
        <v>12492</v>
      </c>
      <c r="J176" s="1084">
        <f t="shared" si="106"/>
        <v>-2575</v>
      </c>
      <c r="K176" s="1084"/>
      <c r="L176" s="1084"/>
      <c r="M176" s="1084">
        <v>-2575</v>
      </c>
      <c r="N176" s="1084"/>
      <c r="O176" s="1084"/>
      <c r="P176" s="1084"/>
      <c r="Q176" s="1084"/>
      <c r="R176" s="1084"/>
      <c r="S176" s="1084"/>
      <c r="T176" s="1084"/>
      <c r="U176" s="1084"/>
      <c r="V176" s="1084"/>
      <c r="W176" s="1084"/>
      <c r="X176" s="1084"/>
      <c r="Y176" s="1084"/>
      <c r="Z176" s="1084"/>
      <c r="AA176" s="1084"/>
      <c r="AB176" s="1084"/>
      <c r="AC176" s="1084">
        <v>15342</v>
      </c>
      <c r="AD176" s="1084">
        <f t="shared" si="107"/>
        <v>17781</v>
      </c>
      <c r="AE176" s="1084">
        <f t="shared" si="108"/>
        <v>2439</v>
      </c>
      <c r="AF176" s="1084"/>
      <c r="AG176" s="1084">
        <v>2738</v>
      </c>
      <c r="AH176" s="1084"/>
      <c r="AI176" s="1084">
        <v>-299</v>
      </c>
      <c r="AJ176" s="1084"/>
      <c r="AK176" s="1084"/>
      <c r="AL176" s="1084">
        <v>0</v>
      </c>
      <c r="AM176" s="1085">
        <f t="shared" si="109"/>
        <v>0</v>
      </c>
      <c r="AN176" s="1085">
        <f t="shared" si="110"/>
        <v>0</v>
      </c>
      <c r="AO176" s="1085"/>
      <c r="AP176" s="1085"/>
      <c r="AQ176" s="1085"/>
      <c r="AR176" s="1085"/>
      <c r="AS176" s="1085"/>
      <c r="AT176" s="1085"/>
      <c r="AU176" s="1085"/>
      <c r="AV176" s="1085"/>
      <c r="AW176" s="1085"/>
      <c r="AX176" s="1085"/>
      <c r="AY176" s="1085">
        <v>0</v>
      </c>
      <c r="AZ176" s="1085">
        <f t="shared" si="111"/>
        <v>0</v>
      </c>
      <c r="BA176" s="1085">
        <f t="shared" si="112"/>
        <v>0</v>
      </c>
      <c r="BB176" s="1085"/>
      <c r="BC176" s="1085"/>
      <c r="BD176" s="1085"/>
      <c r="BE176" s="1085"/>
      <c r="BF176" s="1085"/>
      <c r="BG176" s="1084">
        <f t="shared" si="113"/>
        <v>0</v>
      </c>
      <c r="BH176" s="1084">
        <f t="shared" si="114"/>
        <v>0</v>
      </c>
      <c r="BI176" s="1084"/>
      <c r="BJ176" s="1084"/>
      <c r="BK176" s="1084"/>
      <c r="BL176" s="1084"/>
      <c r="BM176" s="1084"/>
      <c r="BN176" s="1084"/>
      <c r="BO176" s="1086"/>
      <c r="BP176" s="1084"/>
      <c r="BQ176" s="1087"/>
      <c r="BR176" s="1084"/>
      <c r="BS176" s="1088"/>
      <c r="BT176" s="1089" t="s">
        <v>1615</v>
      </c>
      <c r="BU176" s="1090"/>
    </row>
    <row r="177" spans="1:73" ht="24" x14ac:dyDescent="0.25">
      <c r="A177" s="1094">
        <v>90000051576</v>
      </c>
      <c r="B177" s="1095"/>
      <c r="C177" s="1514" t="s">
        <v>1616</v>
      </c>
      <c r="D177" s="1515"/>
      <c r="E177" s="1082" t="s">
        <v>334</v>
      </c>
      <c r="F177" s="1083">
        <f t="shared" si="103"/>
        <v>628532</v>
      </c>
      <c r="G177" s="1083">
        <f t="shared" si="104"/>
        <v>633256</v>
      </c>
      <c r="H177" s="1084">
        <v>388798</v>
      </c>
      <c r="I177" s="1084">
        <f t="shared" si="105"/>
        <v>388787</v>
      </c>
      <c r="J177" s="1084">
        <f t="shared" si="106"/>
        <v>-11</v>
      </c>
      <c r="K177" s="1084">
        <f>-6935-5271</f>
        <v>-12206</v>
      </c>
      <c r="L177" s="1084"/>
      <c r="M177" s="1084"/>
      <c r="N177" s="1084"/>
      <c r="O177" s="1084"/>
      <c r="P177" s="1084"/>
      <c r="Q177" s="1084"/>
      <c r="R177" s="1084"/>
      <c r="S177" s="1084"/>
      <c r="T177" s="1084">
        <v>6970</v>
      </c>
      <c r="U177" s="1084"/>
      <c r="V177" s="1084"/>
      <c r="W177" s="1084"/>
      <c r="X177" s="1084"/>
      <c r="Y177" s="1084"/>
      <c r="Z177" s="1084">
        <f>-579+5804</f>
        <v>5225</v>
      </c>
      <c r="AA177" s="1084"/>
      <c r="AB177" s="1084"/>
      <c r="AC177" s="1084">
        <v>223414</v>
      </c>
      <c r="AD177" s="1084">
        <f t="shared" si="107"/>
        <v>217176</v>
      </c>
      <c r="AE177" s="1084">
        <f t="shared" si="108"/>
        <v>-6238</v>
      </c>
      <c r="AF177" s="1084"/>
      <c r="AG177" s="1084">
        <v>4523</v>
      </c>
      <c r="AH177" s="1084"/>
      <c r="AI177" s="1084">
        <v>-10761</v>
      </c>
      <c r="AJ177" s="1084"/>
      <c r="AK177" s="1084"/>
      <c r="AL177" s="1084">
        <v>16320</v>
      </c>
      <c r="AM177" s="1085">
        <f t="shared" si="109"/>
        <v>27293</v>
      </c>
      <c r="AN177" s="1085">
        <f t="shared" si="110"/>
        <v>10973</v>
      </c>
      <c r="AO177" s="1085">
        <v>10921</v>
      </c>
      <c r="AP177" s="1085"/>
      <c r="AQ177" s="1085"/>
      <c r="AR177" s="1085"/>
      <c r="AS177" s="1085"/>
      <c r="AT177" s="1085"/>
      <c r="AU177" s="1085"/>
      <c r="AV177" s="1085">
        <v>52</v>
      </c>
      <c r="AW177" s="1085"/>
      <c r="AX177" s="1085"/>
      <c r="AY177" s="1085">
        <v>0</v>
      </c>
      <c r="AZ177" s="1085">
        <f t="shared" si="111"/>
        <v>0</v>
      </c>
      <c r="BA177" s="1085">
        <f t="shared" si="112"/>
        <v>0</v>
      </c>
      <c r="BB177" s="1085"/>
      <c r="BC177" s="1085"/>
      <c r="BD177" s="1085"/>
      <c r="BE177" s="1085"/>
      <c r="BF177" s="1085"/>
      <c r="BG177" s="1084">
        <f t="shared" si="113"/>
        <v>0</v>
      </c>
      <c r="BH177" s="1084">
        <f t="shared" si="114"/>
        <v>0</v>
      </c>
      <c r="BI177" s="1084"/>
      <c r="BJ177" s="1084"/>
      <c r="BK177" s="1084"/>
      <c r="BL177" s="1084"/>
      <c r="BM177" s="1084"/>
      <c r="BN177" s="1084"/>
      <c r="BO177" s="1086"/>
      <c r="BP177" s="1084"/>
      <c r="BQ177" s="1087"/>
      <c r="BR177" s="1084"/>
      <c r="BS177" s="1088"/>
      <c r="BT177" s="1089" t="s">
        <v>1617</v>
      </c>
      <c r="BU177" s="1090"/>
    </row>
    <row r="178" spans="1:73" ht="12.75" x14ac:dyDescent="0.25">
      <c r="A178" s="1094"/>
      <c r="B178" s="1095"/>
      <c r="C178" s="1096"/>
      <c r="D178" s="1097"/>
      <c r="E178" s="1082" t="s">
        <v>1581</v>
      </c>
      <c r="F178" s="1083">
        <f t="shared" si="103"/>
        <v>66994</v>
      </c>
      <c r="G178" s="1083">
        <f t="shared" si="104"/>
        <v>67106</v>
      </c>
      <c r="H178" s="1084">
        <v>49715</v>
      </c>
      <c r="I178" s="1084">
        <f t="shared" si="105"/>
        <v>49715</v>
      </c>
      <c r="J178" s="1084">
        <f t="shared" si="106"/>
        <v>0</v>
      </c>
      <c r="K178" s="1084"/>
      <c r="L178" s="1084"/>
      <c r="M178" s="1084"/>
      <c r="N178" s="1084"/>
      <c r="O178" s="1084"/>
      <c r="P178" s="1084"/>
      <c r="Q178" s="1084"/>
      <c r="R178" s="1084"/>
      <c r="S178" s="1084"/>
      <c r="T178" s="1084"/>
      <c r="U178" s="1084"/>
      <c r="V178" s="1084"/>
      <c r="W178" s="1084"/>
      <c r="X178" s="1084"/>
      <c r="Y178" s="1084"/>
      <c r="Z178" s="1084"/>
      <c r="AA178" s="1084"/>
      <c r="AB178" s="1084"/>
      <c r="AC178" s="1084">
        <v>17279</v>
      </c>
      <c r="AD178" s="1084">
        <f t="shared" si="107"/>
        <v>17391</v>
      </c>
      <c r="AE178" s="1084">
        <f t="shared" si="108"/>
        <v>112</v>
      </c>
      <c r="AF178" s="1084"/>
      <c r="AG178" s="1084">
        <v>2</v>
      </c>
      <c r="AH178" s="1084"/>
      <c r="AI178" s="1084">
        <v>110</v>
      </c>
      <c r="AJ178" s="1084"/>
      <c r="AK178" s="1084"/>
      <c r="AL178" s="1084">
        <v>0</v>
      </c>
      <c r="AM178" s="1085">
        <f t="shared" si="109"/>
        <v>0</v>
      </c>
      <c r="AN178" s="1085">
        <f t="shared" si="110"/>
        <v>0</v>
      </c>
      <c r="AO178" s="1085"/>
      <c r="AP178" s="1085"/>
      <c r="AQ178" s="1085"/>
      <c r="AR178" s="1085"/>
      <c r="AS178" s="1085"/>
      <c r="AT178" s="1085"/>
      <c r="AU178" s="1085"/>
      <c r="AV178" s="1085"/>
      <c r="AW178" s="1085"/>
      <c r="AX178" s="1085"/>
      <c r="AY178" s="1085">
        <v>0</v>
      </c>
      <c r="AZ178" s="1085">
        <f t="shared" si="111"/>
        <v>0</v>
      </c>
      <c r="BA178" s="1085">
        <f t="shared" si="112"/>
        <v>0</v>
      </c>
      <c r="BB178" s="1085"/>
      <c r="BC178" s="1085"/>
      <c r="BD178" s="1085"/>
      <c r="BE178" s="1085"/>
      <c r="BF178" s="1085"/>
      <c r="BG178" s="1084">
        <f t="shared" si="113"/>
        <v>0</v>
      </c>
      <c r="BH178" s="1084">
        <f t="shared" si="114"/>
        <v>0</v>
      </c>
      <c r="BI178" s="1084"/>
      <c r="BJ178" s="1084"/>
      <c r="BK178" s="1084"/>
      <c r="BL178" s="1084"/>
      <c r="BM178" s="1084"/>
      <c r="BN178" s="1084"/>
      <c r="BO178" s="1086"/>
      <c r="BP178" s="1084"/>
      <c r="BQ178" s="1087"/>
      <c r="BR178" s="1084"/>
      <c r="BS178" s="1088"/>
      <c r="BT178" s="1089" t="s">
        <v>1618</v>
      </c>
      <c r="BU178" s="1090"/>
    </row>
    <row r="179" spans="1:73" ht="24" x14ac:dyDescent="0.25">
      <c r="A179" s="1094">
        <v>90000051627</v>
      </c>
      <c r="B179" s="1095"/>
      <c r="C179" s="1514" t="s">
        <v>330</v>
      </c>
      <c r="D179" s="1515"/>
      <c r="E179" s="1082" t="s">
        <v>334</v>
      </c>
      <c r="F179" s="1083">
        <f t="shared" si="103"/>
        <v>901050</v>
      </c>
      <c r="G179" s="1083">
        <f t="shared" si="104"/>
        <v>925048</v>
      </c>
      <c r="H179" s="1084">
        <v>432548</v>
      </c>
      <c r="I179" s="1084">
        <f t="shared" si="105"/>
        <v>422784</v>
      </c>
      <c r="J179" s="1084">
        <f t="shared" si="106"/>
        <v>-9764</v>
      </c>
      <c r="K179" s="1084">
        <f>-7570-2705</f>
        <v>-10275</v>
      </c>
      <c r="L179" s="1084"/>
      <c r="M179" s="1084"/>
      <c r="N179" s="1084"/>
      <c r="O179" s="1084"/>
      <c r="P179" s="1084"/>
      <c r="Q179" s="1084"/>
      <c r="R179" s="1084"/>
      <c r="S179" s="1084"/>
      <c r="T179" s="1084">
        <v>8453</v>
      </c>
      <c r="U179" s="1084"/>
      <c r="V179" s="1084"/>
      <c r="W179" s="1084"/>
      <c r="X179" s="1084"/>
      <c r="Y179" s="1084"/>
      <c r="Z179" s="1084">
        <v>-7942</v>
      </c>
      <c r="AA179" s="1084"/>
      <c r="AB179" s="1084"/>
      <c r="AC179" s="1084">
        <v>457807</v>
      </c>
      <c r="AD179" s="1084">
        <f t="shared" si="107"/>
        <v>488481</v>
      </c>
      <c r="AE179" s="1084">
        <f t="shared" si="108"/>
        <v>30674</v>
      </c>
      <c r="AF179" s="1084"/>
      <c r="AG179" s="1084">
        <v>8762</v>
      </c>
      <c r="AH179" s="1084"/>
      <c r="AI179" s="1084">
        <v>21912</v>
      </c>
      <c r="AJ179" s="1084"/>
      <c r="AK179" s="1084"/>
      <c r="AL179" s="1084">
        <v>10695</v>
      </c>
      <c r="AM179" s="1085">
        <f t="shared" si="109"/>
        <v>13783</v>
      </c>
      <c r="AN179" s="1085">
        <f t="shared" si="110"/>
        <v>3088</v>
      </c>
      <c r="AO179" s="1085">
        <v>2705</v>
      </c>
      <c r="AP179" s="1085"/>
      <c r="AQ179" s="1085"/>
      <c r="AR179" s="1085"/>
      <c r="AS179" s="1085"/>
      <c r="AT179" s="1085"/>
      <c r="AU179" s="1085">
        <v>383</v>
      </c>
      <c r="AV179" s="1085"/>
      <c r="AW179" s="1085"/>
      <c r="AX179" s="1085"/>
      <c r="AY179" s="1085">
        <v>0</v>
      </c>
      <c r="AZ179" s="1085">
        <f t="shared" si="111"/>
        <v>0</v>
      </c>
      <c r="BA179" s="1085">
        <f t="shared" si="112"/>
        <v>0</v>
      </c>
      <c r="BB179" s="1085"/>
      <c r="BC179" s="1085"/>
      <c r="BD179" s="1085"/>
      <c r="BE179" s="1085"/>
      <c r="BF179" s="1085"/>
      <c r="BG179" s="1084">
        <f t="shared" si="113"/>
        <v>0</v>
      </c>
      <c r="BH179" s="1084">
        <f t="shared" si="114"/>
        <v>0</v>
      </c>
      <c r="BI179" s="1084"/>
      <c r="BJ179" s="1084"/>
      <c r="BK179" s="1084"/>
      <c r="BL179" s="1084"/>
      <c r="BM179" s="1084"/>
      <c r="BN179" s="1084"/>
      <c r="BO179" s="1086"/>
      <c r="BP179" s="1084"/>
      <c r="BQ179" s="1087"/>
      <c r="BR179" s="1084"/>
      <c r="BS179" s="1088"/>
      <c r="BT179" s="1089" t="s">
        <v>1619</v>
      </c>
      <c r="BU179" s="1090"/>
    </row>
    <row r="180" spans="1:73" ht="12.75" x14ac:dyDescent="0.25">
      <c r="A180" s="1094"/>
      <c r="B180" s="1095"/>
      <c r="C180" s="1096"/>
      <c r="D180" s="1097"/>
      <c r="E180" s="1082" t="s">
        <v>1581</v>
      </c>
      <c r="F180" s="1083">
        <f t="shared" si="103"/>
        <v>125557</v>
      </c>
      <c r="G180" s="1083">
        <f t="shared" si="104"/>
        <v>125027</v>
      </c>
      <c r="H180" s="1084">
        <v>80247</v>
      </c>
      <c r="I180" s="1084">
        <f t="shared" si="105"/>
        <v>80247</v>
      </c>
      <c r="J180" s="1084">
        <f t="shared" si="106"/>
        <v>0</v>
      </c>
      <c r="K180" s="1084"/>
      <c r="L180" s="1084"/>
      <c r="M180" s="1084"/>
      <c r="N180" s="1084"/>
      <c r="O180" s="1084"/>
      <c r="P180" s="1084"/>
      <c r="Q180" s="1084"/>
      <c r="R180" s="1084"/>
      <c r="S180" s="1084"/>
      <c r="T180" s="1084"/>
      <c r="U180" s="1084"/>
      <c r="V180" s="1084"/>
      <c r="W180" s="1084"/>
      <c r="X180" s="1084"/>
      <c r="Y180" s="1084"/>
      <c r="Z180" s="1084"/>
      <c r="AA180" s="1084"/>
      <c r="AB180" s="1084"/>
      <c r="AC180" s="1084">
        <v>45310</v>
      </c>
      <c r="AD180" s="1084">
        <f t="shared" si="107"/>
        <v>44780</v>
      </c>
      <c r="AE180" s="1084">
        <f t="shared" si="108"/>
        <v>-530</v>
      </c>
      <c r="AF180" s="1084"/>
      <c r="AG180" s="1084"/>
      <c r="AH180" s="1084"/>
      <c r="AI180" s="1084">
        <v>-530</v>
      </c>
      <c r="AJ180" s="1084"/>
      <c r="AK180" s="1084"/>
      <c r="AL180" s="1084">
        <v>0</v>
      </c>
      <c r="AM180" s="1085">
        <f t="shared" si="109"/>
        <v>0</v>
      </c>
      <c r="AN180" s="1085">
        <f t="shared" si="110"/>
        <v>0</v>
      </c>
      <c r="AO180" s="1085"/>
      <c r="AP180" s="1085"/>
      <c r="AQ180" s="1085"/>
      <c r="AR180" s="1085"/>
      <c r="AS180" s="1085"/>
      <c r="AT180" s="1085"/>
      <c r="AU180" s="1085"/>
      <c r="AV180" s="1085"/>
      <c r="AW180" s="1085"/>
      <c r="AX180" s="1085"/>
      <c r="AY180" s="1085">
        <v>0</v>
      </c>
      <c r="AZ180" s="1085">
        <f t="shared" si="111"/>
        <v>0</v>
      </c>
      <c r="BA180" s="1085">
        <f t="shared" si="112"/>
        <v>0</v>
      </c>
      <c r="BB180" s="1085"/>
      <c r="BC180" s="1085"/>
      <c r="BD180" s="1085"/>
      <c r="BE180" s="1085"/>
      <c r="BF180" s="1085"/>
      <c r="BG180" s="1084">
        <f t="shared" si="113"/>
        <v>0</v>
      </c>
      <c r="BH180" s="1084">
        <f t="shared" si="114"/>
        <v>0</v>
      </c>
      <c r="BI180" s="1084"/>
      <c r="BJ180" s="1084"/>
      <c r="BK180" s="1084"/>
      <c r="BL180" s="1084"/>
      <c r="BM180" s="1084"/>
      <c r="BN180" s="1084"/>
      <c r="BO180" s="1086"/>
      <c r="BP180" s="1084"/>
      <c r="BQ180" s="1087"/>
      <c r="BR180" s="1084"/>
      <c r="BS180" s="1088"/>
      <c r="BT180" s="1089" t="s">
        <v>1620</v>
      </c>
      <c r="BU180" s="1090"/>
    </row>
    <row r="181" spans="1:73" ht="36" x14ac:dyDescent="0.25">
      <c r="A181" s="1094">
        <v>90000053670</v>
      </c>
      <c r="B181" s="1095"/>
      <c r="C181" s="1514" t="s">
        <v>1621</v>
      </c>
      <c r="D181" s="1515"/>
      <c r="E181" s="1082" t="s">
        <v>1622</v>
      </c>
      <c r="F181" s="1083">
        <f t="shared" si="103"/>
        <v>435986</v>
      </c>
      <c r="G181" s="1083">
        <f t="shared" si="104"/>
        <v>459899</v>
      </c>
      <c r="H181" s="1084">
        <v>256802</v>
      </c>
      <c r="I181" s="1084">
        <f t="shared" si="105"/>
        <v>255807</v>
      </c>
      <c r="J181" s="1084">
        <f t="shared" si="106"/>
        <v>-995</v>
      </c>
      <c r="K181" s="1084">
        <f>-6582-4000</f>
        <v>-10582</v>
      </c>
      <c r="L181" s="1084"/>
      <c r="M181" s="1084"/>
      <c r="N181" s="1084"/>
      <c r="O181" s="1084"/>
      <c r="P181" s="1084"/>
      <c r="Q181" s="1084"/>
      <c r="R181" s="1084"/>
      <c r="S181" s="1084"/>
      <c r="T181" s="1084">
        <v>7293</v>
      </c>
      <c r="U181" s="1084"/>
      <c r="V181" s="1084"/>
      <c r="W181" s="1084"/>
      <c r="X181" s="1084"/>
      <c r="Y181" s="1084"/>
      <c r="Z181" s="1084">
        <v>2294</v>
      </c>
      <c r="AA181" s="1084"/>
      <c r="AB181" s="1084"/>
      <c r="AC181" s="1084">
        <v>121590</v>
      </c>
      <c r="AD181" s="1084">
        <f t="shared" si="107"/>
        <v>133027</v>
      </c>
      <c r="AE181" s="1084">
        <f t="shared" si="108"/>
        <v>11437</v>
      </c>
      <c r="AF181" s="1084"/>
      <c r="AG181" s="1084">
        <f>795+1486</f>
        <v>2281</v>
      </c>
      <c r="AH181" s="1084"/>
      <c r="AI181" s="1084">
        <f>510+3830+4816</f>
        <v>9156</v>
      </c>
      <c r="AJ181" s="1084"/>
      <c r="AK181" s="1084"/>
      <c r="AL181" s="1084">
        <v>56594</v>
      </c>
      <c r="AM181" s="1085">
        <f t="shared" si="109"/>
        <v>69536</v>
      </c>
      <c r="AN181" s="1085">
        <f t="shared" si="110"/>
        <v>12942</v>
      </c>
      <c r="AO181" s="1085">
        <v>12942</v>
      </c>
      <c r="AP181" s="1085"/>
      <c r="AQ181" s="1085"/>
      <c r="AR181" s="1085"/>
      <c r="AS181" s="1085"/>
      <c r="AT181" s="1085"/>
      <c r="AU181" s="1085"/>
      <c r="AV181" s="1085"/>
      <c r="AW181" s="1085"/>
      <c r="AX181" s="1085"/>
      <c r="AY181" s="1085">
        <v>1000</v>
      </c>
      <c r="AZ181" s="1085">
        <f t="shared" si="111"/>
        <v>1529</v>
      </c>
      <c r="BA181" s="1085">
        <f t="shared" si="112"/>
        <v>529</v>
      </c>
      <c r="BB181" s="1085">
        <f>479+50</f>
        <v>529</v>
      </c>
      <c r="BC181" s="1085"/>
      <c r="BD181" s="1085"/>
      <c r="BE181" s="1085"/>
      <c r="BF181" s="1085"/>
      <c r="BG181" s="1084">
        <f t="shared" si="113"/>
        <v>0</v>
      </c>
      <c r="BH181" s="1084">
        <f t="shared" si="114"/>
        <v>0</v>
      </c>
      <c r="BI181" s="1084"/>
      <c r="BJ181" s="1084"/>
      <c r="BK181" s="1084"/>
      <c r="BL181" s="1084"/>
      <c r="BM181" s="1084"/>
      <c r="BN181" s="1084"/>
      <c r="BO181" s="1086"/>
      <c r="BP181" s="1084"/>
      <c r="BQ181" s="1087"/>
      <c r="BR181" s="1084"/>
      <c r="BS181" s="1088"/>
      <c r="BT181" s="1089" t="s">
        <v>1623</v>
      </c>
      <c r="BU181" s="1090"/>
    </row>
    <row r="182" spans="1:73" ht="12.75" x14ac:dyDescent="0.25">
      <c r="A182" s="1094"/>
      <c r="B182" s="1095"/>
      <c r="C182" s="1096"/>
      <c r="D182" s="1097"/>
      <c r="E182" s="1082" t="s">
        <v>1581</v>
      </c>
      <c r="F182" s="1083">
        <f t="shared" si="103"/>
        <v>12184</v>
      </c>
      <c r="G182" s="1083">
        <f t="shared" si="104"/>
        <v>12184</v>
      </c>
      <c r="H182" s="1084">
        <v>12184</v>
      </c>
      <c r="I182" s="1084">
        <f t="shared" si="105"/>
        <v>12184</v>
      </c>
      <c r="J182" s="1084">
        <f t="shared" si="106"/>
        <v>0</v>
      </c>
      <c r="K182" s="1084"/>
      <c r="L182" s="1084"/>
      <c r="M182" s="1084"/>
      <c r="N182" s="1084"/>
      <c r="O182" s="1084"/>
      <c r="P182" s="1084"/>
      <c r="Q182" s="1084"/>
      <c r="R182" s="1084"/>
      <c r="S182" s="1084"/>
      <c r="T182" s="1084"/>
      <c r="U182" s="1084"/>
      <c r="V182" s="1084"/>
      <c r="W182" s="1084"/>
      <c r="X182" s="1084"/>
      <c r="Y182" s="1084"/>
      <c r="Z182" s="1084"/>
      <c r="AA182" s="1084"/>
      <c r="AB182" s="1084"/>
      <c r="AC182" s="1084">
        <v>0</v>
      </c>
      <c r="AD182" s="1084">
        <f t="shared" si="107"/>
        <v>0</v>
      </c>
      <c r="AE182" s="1084">
        <f t="shared" si="108"/>
        <v>0</v>
      </c>
      <c r="AF182" s="1084"/>
      <c r="AG182" s="1084"/>
      <c r="AH182" s="1084"/>
      <c r="AI182" s="1084"/>
      <c r="AJ182" s="1084"/>
      <c r="AK182" s="1084"/>
      <c r="AL182" s="1084">
        <v>0</v>
      </c>
      <c r="AM182" s="1085">
        <f t="shared" si="109"/>
        <v>0</v>
      </c>
      <c r="AN182" s="1085">
        <f t="shared" si="110"/>
        <v>0</v>
      </c>
      <c r="AO182" s="1085"/>
      <c r="AP182" s="1085"/>
      <c r="AQ182" s="1085"/>
      <c r="AR182" s="1085"/>
      <c r="AS182" s="1085"/>
      <c r="AT182" s="1085"/>
      <c r="AU182" s="1085"/>
      <c r="AV182" s="1085"/>
      <c r="AW182" s="1085"/>
      <c r="AX182" s="1085"/>
      <c r="AY182" s="1085">
        <v>0</v>
      </c>
      <c r="AZ182" s="1085">
        <f t="shared" si="111"/>
        <v>0</v>
      </c>
      <c r="BA182" s="1085">
        <f t="shared" si="112"/>
        <v>0</v>
      </c>
      <c r="BB182" s="1085"/>
      <c r="BC182" s="1085"/>
      <c r="BD182" s="1085"/>
      <c r="BE182" s="1085"/>
      <c r="BF182" s="1085"/>
      <c r="BG182" s="1084">
        <f t="shared" si="113"/>
        <v>0</v>
      </c>
      <c r="BH182" s="1084">
        <f t="shared" si="114"/>
        <v>0</v>
      </c>
      <c r="BI182" s="1084"/>
      <c r="BJ182" s="1084"/>
      <c r="BK182" s="1084"/>
      <c r="BL182" s="1084"/>
      <c r="BM182" s="1084"/>
      <c r="BN182" s="1084"/>
      <c r="BO182" s="1086"/>
      <c r="BP182" s="1084"/>
      <c r="BQ182" s="1087"/>
      <c r="BR182" s="1084"/>
      <c r="BS182" s="1088"/>
      <c r="BT182" s="1089" t="s">
        <v>1624</v>
      </c>
      <c r="BU182" s="1090"/>
    </row>
    <row r="183" spans="1:73" ht="24" x14ac:dyDescent="0.25">
      <c r="A183" s="1094">
        <v>90000051595</v>
      </c>
      <c r="B183" s="1095"/>
      <c r="C183" s="1514" t="s">
        <v>467</v>
      </c>
      <c r="D183" s="1515"/>
      <c r="E183" s="1082" t="s">
        <v>334</v>
      </c>
      <c r="F183" s="1083">
        <f t="shared" si="103"/>
        <v>957925</v>
      </c>
      <c r="G183" s="1083">
        <f t="shared" si="104"/>
        <v>980754</v>
      </c>
      <c r="H183" s="1084">
        <v>481704</v>
      </c>
      <c r="I183" s="1084">
        <f t="shared" si="105"/>
        <v>477905</v>
      </c>
      <c r="J183" s="1084">
        <f t="shared" si="106"/>
        <v>-3799</v>
      </c>
      <c r="K183" s="1084">
        <f>-8551-3000</f>
        <v>-11551</v>
      </c>
      <c r="L183" s="1084"/>
      <c r="M183" s="1084"/>
      <c r="N183" s="1084"/>
      <c r="O183" s="1084"/>
      <c r="P183" s="1084"/>
      <c r="Q183" s="1084"/>
      <c r="R183" s="1084"/>
      <c r="S183" s="1084"/>
      <c r="T183" s="1084">
        <v>8201</v>
      </c>
      <c r="U183" s="1084"/>
      <c r="V183" s="1084"/>
      <c r="W183" s="1084"/>
      <c r="X183" s="1084"/>
      <c r="Y183" s="1084"/>
      <c r="Z183" s="1084">
        <v>-449</v>
      </c>
      <c r="AA183" s="1084"/>
      <c r="AB183" s="1084"/>
      <c r="AC183" s="1084">
        <v>467329</v>
      </c>
      <c r="AD183" s="1084">
        <f t="shared" si="107"/>
        <v>489214</v>
      </c>
      <c r="AE183" s="1084">
        <f t="shared" si="108"/>
        <v>21885</v>
      </c>
      <c r="AF183" s="1084"/>
      <c r="AG183" s="1084">
        <v>8724</v>
      </c>
      <c r="AH183" s="1084"/>
      <c r="AI183" s="1084">
        <v>13161</v>
      </c>
      <c r="AJ183" s="1084"/>
      <c r="AK183" s="1084"/>
      <c r="AL183" s="1084">
        <v>8892</v>
      </c>
      <c r="AM183" s="1085">
        <f t="shared" si="109"/>
        <v>13635</v>
      </c>
      <c r="AN183" s="1085">
        <f t="shared" si="110"/>
        <v>4743</v>
      </c>
      <c r="AO183" s="1085">
        <v>4743</v>
      </c>
      <c r="AP183" s="1085"/>
      <c r="AQ183" s="1085"/>
      <c r="AR183" s="1085"/>
      <c r="AS183" s="1085"/>
      <c r="AT183" s="1085"/>
      <c r="AU183" s="1085"/>
      <c r="AV183" s="1085"/>
      <c r="AW183" s="1085"/>
      <c r="AX183" s="1085"/>
      <c r="AY183" s="1085">
        <v>0</v>
      </c>
      <c r="AZ183" s="1085">
        <f t="shared" si="111"/>
        <v>0</v>
      </c>
      <c r="BA183" s="1085">
        <f t="shared" si="112"/>
        <v>0</v>
      </c>
      <c r="BB183" s="1085"/>
      <c r="BC183" s="1085"/>
      <c r="BD183" s="1085"/>
      <c r="BE183" s="1085"/>
      <c r="BF183" s="1085"/>
      <c r="BG183" s="1084">
        <f t="shared" si="113"/>
        <v>0</v>
      </c>
      <c r="BH183" s="1084">
        <f t="shared" si="114"/>
        <v>0</v>
      </c>
      <c r="BI183" s="1084"/>
      <c r="BJ183" s="1084"/>
      <c r="BK183" s="1084"/>
      <c r="BL183" s="1084"/>
      <c r="BM183" s="1084"/>
      <c r="BN183" s="1084"/>
      <c r="BO183" s="1086"/>
      <c r="BP183" s="1084"/>
      <c r="BQ183" s="1087"/>
      <c r="BR183" s="1084"/>
      <c r="BS183" s="1088"/>
      <c r="BT183" s="1089" t="s">
        <v>1625</v>
      </c>
      <c r="BU183" s="1090"/>
    </row>
    <row r="184" spans="1:73" ht="12.75" x14ac:dyDescent="0.25">
      <c r="A184" s="1094"/>
      <c r="B184" s="1095"/>
      <c r="C184" s="1096"/>
      <c r="D184" s="1097"/>
      <c r="E184" s="1082" t="s">
        <v>1581</v>
      </c>
      <c r="F184" s="1083">
        <f t="shared" si="103"/>
        <v>127650</v>
      </c>
      <c r="G184" s="1083">
        <f t="shared" si="104"/>
        <v>127934</v>
      </c>
      <c r="H184" s="1084">
        <v>85947</v>
      </c>
      <c r="I184" s="1084">
        <f t="shared" si="105"/>
        <v>85947</v>
      </c>
      <c r="J184" s="1084">
        <f t="shared" si="106"/>
        <v>0</v>
      </c>
      <c r="K184" s="1084"/>
      <c r="L184" s="1084"/>
      <c r="M184" s="1084"/>
      <c r="N184" s="1084"/>
      <c r="O184" s="1084"/>
      <c r="P184" s="1084"/>
      <c r="Q184" s="1084"/>
      <c r="R184" s="1084"/>
      <c r="S184" s="1084"/>
      <c r="T184" s="1084"/>
      <c r="U184" s="1084"/>
      <c r="V184" s="1084"/>
      <c r="W184" s="1084"/>
      <c r="X184" s="1084"/>
      <c r="Y184" s="1084"/>
      <c r="Z184" s="1084"/>
      <c r="AA184" s="1084"/>
      <c r="AB184" s="1084"/>
      <c r="AC184" s="1084">
        <v>41703</v>
      </c>
      <c r="AD184" s="1084">
        <f t="shared" si="107"/>
        <v>41987</v>
      </c>
      <c r="AE184" s="1084">
        <f t="shared" si="108"/>
        <v>284</v>
      </c>
      <c r="AF184" s="1084"/>
      <c r="AG184" s="1084"/>
      <c r="AH184" s="1084"/>
      <c r="AI184" s="1084">
        <v>284</v>
      </c>
      <c r="AJ184" s="1084"/>
      <c r="AK184" s="1084"/>
      <c r="AL184" s="1084">
        <v>0</v>
      </c>
      <c r="AM184" s="1085">
        <f t="shared" si="109"/>
        <v>0</v>
      </c>
      <c r="AN184" s="1085">
        <f t="shared" si="110"/>
        <v>0</v>
      </c>
      <c r="AO184" s="1085"/>
      <c r="AP184" s="1085"/>
      <c r="AQ184" s="1085"/>
      <c r="AR184" s="1085"/>
      <c r="AS184" s="1085"/>
      <c r="AT184" s="1085"/>
      <c r="AU184" s="1085"/>
      <c r="AV184" s="1085"/>
      <c r="AW184" s="1085"/>
      <c r="AX184" s="1085"/>
      <c r="AY184" s="1085">
        <v>0</v>
      </c>
      <c r="AZ184" s="1085">
        <f t="shared" si="111"/>
        <v>0</v>
      </c>
      <c r="BA184" s="1085">
        <f t="shared" si="112"/>
        <v>0</v>
      </c>
      <c r="BB184" s="1085"/>
      <c r="BC184" s="1085"/>
      <c r="BD184" s="1085"/>
      <c r="BE184" s="1085"/>
      <c r="BF184" s="1085"/>
      <c r="BG184" s="1084">
        <f t="shared" si="113"/>
        <v>0</v>
      </c>
      <c r="BH184" s="1084">
        <f t="shared" si="114"/>
        <v>0</v>
      </c>
      <c r="BI184" s="1084"/>
      <c r="BJ184" s="1084"/>
      <c r="BK184" s="1084"/>
      <c r="BL184" s="1084"/>
      <c r="BM184" s="1084"/>
      <c r="BN184" s="1084"/>
      <c r="BO184" s="1086"/>
      <c r="BP184" s="1084"/>
      <c r="BQ184" s="1087"/>
      <c r="BR184" s="1084"/>
      <c r="BS184" s="1088"/>
      <c r="BT184" s="1089" t="s">
        <v>1626</v>
      </c>
      <c r="BU184" s="1090"/>
    </row>
    <row r="185" spans="1:73" ht="24" x14ac:dyDescent="0.25">
      <c r="A185" s="1094">
        <v>90000056465</v>
      </c>
      <c r="B185" s="1095"/>
      <c r="C185" s="1514" t="s">
        <v>1627</v>
      </c>
      <c r="D185" s="1515"/>
      <c r="E185" s="1082" t="s">
        <v>1628</v>
      </c>
      <c r="F185" s="1083">
        <f t="shared" si="103"/>
        <v>820095</v>
      </c>
      <c r="G185" s="1083">
        <f t="shared" si="104"/>
        <v>804550</v>
      </c>
      <c r="H185" s="1084">
        <v>407217</v>
      </c>
      <c r="I185" s="1084">
        <f t="shared" si="105"/>
        <v>391141</v>
      </c>
      <c r="J185" s="1084">
        <f t="shared" si="106"/>
        <v>-16076</v>
      </c>
      <c r="K185" s="1084">
        <v>-16592</v>
      </c>
      <c r="L185" s="1084"/>
      <c r="M185" s="1084"/>
      <c r="N185" s="1084"/>
      <c r="O185" s="1084"/>
      <c r="P185" s="1084"/>
      <c r="Q185" s="1084"/>
      <c r="R185" s="1084"/>
      <c r="S185" s="1084"/>
      <c r="T185" s="1084"/>
      <c r="U185" s="1084"/>
      <c r="V185" s="1084"/>
      <c r="W185" s="1084"/>
      <c r="X185" s="1084"/>
      <c r="Y185" s="1084"/>
      <c r="Z185" s="1084">
        <v>516</v>
      </c>
      <c r="AA185" s="1084"/>
      <c r="AB185" s="1084"/>
      <c r="AC185" s="1084">
        <v>317283</v>
      </c>
      <c r="AD185" s="1084">
        <f t="shared" si="107"/>
        <v>320945</v>
      </c>
      <c r="AE185" s="1084">
        <f t="shared" si="108"/>
        <v>3662</v>
      </c>
      <c r="AF185" s="1084"/>
      <c r="AG185" s="1084">
        <v>-582</v>
      </c>
      <c r="AH185" s="1084"/>
      <c r="AI185" s="1084">
        <f>717+3527</f>
        <v>4244</v>
      </c>
      <c r="AJ185" s="1084"/>
      <c r="AK185" s="1084"/>
      <c r="AL185" s="1084">
        <v>95595</v>
      </c>
      <c r="AM185" s="1085">
        <f t="shared" si="109"/>
        <v>92238</v>
      </c>
      <c r="AN185" s="1085">
        <f t="shared" si="110"/>
        <v>-3357</v>
      </c>
      <c r="AO185" s="1085">
        <v>-3368</v>
      </c>
      <c r="AP185" s="1085"/>
      <c r="AQ185" s="1085">
        <v>11</v>
      </c>
      <c r="AR185" s="1085"/>
      <c r="AS185" s="1085"/>
      <c r="AT185" s="1085"/>
      <c r="AU185" s="1085"/>
      <c r="AV185" s="1085"/>
      <c r="AW185" s="1085"/>
      <c r="AX185" s="1085"/>
      <c r="AY185" s="1085">
        <v>0</v>
      </c>
      <c r="AZ185" s="1085">
        <f t="shared" si="111"/>
        <v>237</v>
      </c>
      <c r="BA185" s="1085">
        <f t="shared" si="112"/>
        <v>237</v>
      </c>
      <c r="BB185" s="1085">
        <v>237</v>
      </c>
      <c r="BC185" s="1085"/>
      <c r="BD185" s="1085"/>
      <c r="BE185" s="1085"/>
      <c r="BF185" s="1085"/>
      <c r="BG185" s="1084">
        <f t="shared" si="113"/>
        <v>-11</v>
      </c>
      <c r="BH185" s="1084">
        <f t="shared" si="114"/>
        <v>-11</v>
      </c>
      <c r="BI185" s="1084"/>
      <c r="BJ185" s="1084"/>
      <c r="BK185" s="1084">
        <v>-11</v>
      </c>
      <c r="BL185" s="1084"/>
      <c r="BM185" s="1084"/>
      <c r="BN185" s="1084"/>
      <c r="BO185" s="1086"/>
      <c r="BP185" s="1084"/>
      <c r="BQ185" s="1087"/>
      <c r="BR185" s="1084"/>
      <c r="BS185" s="1088"/>
      <c r="BT185" s="1089" t="s">
        <v>1629</v>
      </c>
      <c r="BU185" s="1090"/>
    </row>
    <row r="186" spans="1:73" ht="48" x14ac:dyDescent="0.25">
      <c r="A186" s="1094"/>
      <c r="B186" s="1095"/>
      <c r="C186" s="1096"/>
      <c r="D186" s="1097"/>
      <c r="E186" s="1082" t="s">
        <v>1630</v>
      </c>
      <c r="F186" s="1083">
        <f t="shared" si="103"/>
        <v>0</v>
      </c>
      <c r="G186" s="1083">
        <f t="shared" si="104"/>
        <v>15450</v>
      </c>
      <c r="H186" s="1084"/>
      <c r="I186" s="1084">
        <f t="shared" si="105"/>
        <v>15450</v>
      </c>
      <c r="J186" s="1084">
        <f t="shared" si="106"/>
        <v>15450</v>
      </c>
      <c r="K186" s="1084"/>
      <c r="L186" s="1084"/>
      <c r="M186" s="1084">
        <v>15060</v>
      </c>
      <c r="N186" s="1084">
        <v>390</v>
      </c>
      <c r="O186" s="1084"/>
      <c r="P186" s="1084"/>
      <c r="Q186" s="1084"/>
      <c r="R186" s="1084"/>
      <c r="S186" s="1084"/>
      <c r="T186" s="1084"/>
      <c r="U186" s="1084"/>
      <c r="V186" s="1084"/>
      <c r="W186" s="1084"/>
      <c r="X186" s="1084"/>
      <c r="Y186" s="1084"/>
      <c r="Z186" s="1084"/>
      <c r="AA186" s="1084"/>
      <c r="AB186" s="1084"/>
      <c r="AC186" s="1084"/>
      <c r="AD186" s="1084">
        <f t="shared" si="107"/>
        <v>0</v>
      </c>
      <c r="AE186" s="1084">
        <f t="shared" si="108"/>
        <v>0</v>
      </c>
      <c r="AF186" s="1084"/>
      <c r="AG186" s="1084"/>
      <c r="AH186" s="1084"/>
      <c r="AI186" s="1084"/>
      <c r="AJ186" s="1084"/>
      <c r="AK186" s="1084"/>
      <c r="AL186" s="1084"/>
      <c r="AM186" s="1085">
        <f t="shared" si="109"/>
        <v>0</v>
      </c>
      <c r="AN186" s="1085">
        <f t="shared" si="110"/>
        <v>0</v>
      </c>
      <c r="AO186" s="1085"/>
      <c r="AP186" s="1085"/>
      <c r="AQ186" s="1085"/>
      <c r="AR186" s="1085"/>
      <c r="AS186" s="1085"/>
      <c r="AT186" s="1085"/>
      <c r="AU186" s="1085"/>
      <c r="AV186" s="1085"/>
      <c r="AW186" s="1085"/>
      <c r="AX186" s="1085"/>
      <c r="AY186" s="1085"/>
      <c r="AZ186" s="1085">
        <f t="shared" si="111"/>
        <v>0</v>
      </c>
      <c r="BA186" s="1085">
        <f t="shared" si="112"/>
        <v>0</v>
      </c>
      <c r="BB186" s="1085"/>
      <c r="BC186" s="1085"/>
      <c r="BD186" s="1085"/>
      <c r="BE186" s="1085"/>
      <c r="BF186" s="1085"/>
      <c r="BG186" s="1084">
        <f t="shared" si="113"/>
        <v>0</v>
      </c>
      <c r="BH186" s="1084">
        <f t="shared" si="114"/>
        <v>0</v>
      </c>
      <c r="BI186" s="1084"/>
      <c r="BJ186" s="1084"/>
      <c r="BK186" s="1084"/>
      <c r="BL186" s="1084"/>
      <c r="BM186" s="1084"/>
      <c r="BN186" s="1084"/>
      <c r="BO186" s="1086"/>
      <c r="BP186" s="1084"/>
      <c r="BQ186" s="1087"/>
      <c r="BR186" s="1084"/>
      <c r="BS186" s="1088"/>
      <c r="BT186" s="1089" t="s">
        <v>1631</v>
      </c>
      <c r="BU186" s="1090"/>
    </row>
    <row r="187" spans="1:73" ht="36" x14ac:dyDescent="0.25">
      <c r="A187" s="1094"/>
      <c r="B187" s="1095"/>
      <c r="C187" s="1096"/>
      <c r="D187" s="1097"/>
      <c r="E187" s="1082" t="s">
        <v>1632</v>
      </c>
      <c r="F187" s="1083">
        <f t="shared" si="103"/>
        <v>0</v>
      </c>
      <c r="G187" s="1083">
        <f t="shared" si="104"/>
        <v>7531</v>
      </c>
      <c r="H187" s="1084"/>
      <c r="I187" s="1084">
        <f t="shared" si="105"/>
        <v>7531</v>
      </c>
      <c r="J187" s="1084">
        <f t="shared" si="106"/>
        <v>7531</v>
      </c>
      <c r="K187" s="1084"/>
      <c r="L187" s="1084"/>
      <c r="M187" s="1084"/>
      <c r="N187" s="1084"/>
      <c r="O187" s="1084">
        <v>7531</v>
      </c>
      <c r="P187" s="1084"/>
      <c r="Q187" s="1084"/>
      <c r="R187" s="1084"/>
      <c r="S187" s="1084"/>
      <c r="T187" s="1084"/>
      <c r="U187" s="1084"/>
      <c r="V187" s="1084"/>
      <c r="W187" s="1084"/>
      <c r="X187" s="1084"/>
      <c r="Y187" s="1084"/>
      <c r="Z187" s="1084"/>
      <c r="AA187" s="1084"/>
      <c r="AB187" s="1084"/>
      <c r="AC187" s="1084"/>
      <c r="AD187" s="1084"/>
      <c r="AE187" s="1084"/>
      <c r="AF187" s="1084"/>
      <c r="AG187" s="1084"/>
      <c r="AH187" s="1084"/>
      <c r="AI187" s="1084"/>
      <c r="AJ187" s="1084"/>
      <c r="AK187" s="1084"/>
      <c r="AL187" s="1084"/>
      <c r="AM187" s="1085"/>
      <c r="AN187" s="1085"/>
      <c r="AO187" s="1085"/>
      <c r="AP187" s="1085"/>
      <c r="AQ187" s="1085"/>
      <c r="AR187" s="1085"/>
      <c r="AS187" s="1085"/>
      <c r="AT187" s="1085"/>
      <c r="AU187" s="1085"/>
      <c r="AV187" s="1085"/>
      <c r="AW187" s="1085"/>
      <c r="AX187" s="1085"/>
      <c r="AY187" s="1085"/>
      <c r="AZ187" s="1085"/>
      <c r="BA187" s="1085"/>
      <c r="BB187" s="1085"/>
      <c r="BC187" s="1085"/>
      <c r="BD187" s="1085"/>
      <c r="BE187" s="1085"/>
      <c r="BF187" s="1085"/>
      <c r="BG187" s="1084"/>
      <c r="BH187" s="1084"/>
      <c r="BI187" s="1084"/>
      <c r="BJ187" s="1084"/>
      <c r="BK187" s="1084"/>
      <c r="BL187" s="1084"/>
      <c r="BM187" s="1084"/>
      <c r="BN187" s="1084"/>
      <c r="BO187" s="1086"/>
      <c r="BP187" s="1084"/>
      <c r="BQ187" s="1087"/>
      <c r="BR187" s="1084"/>
      <c r="BS187" s="1088"/>
      <c r="BT187" s="1089" t="s">
        <v>1633</v>
      </c>
      <c r="BU187" s="1090"/>
    </row>
    <row r="188" spans="1:73" ht="36" x14ac:dyDescent="0.25">
      <c r="A188" s="1094">
        <v>90009249140</v>
      </c>
      <c r="B188" s="1095"/>
      <c r="C188" s="1514" t="s">
        <v>1110</v>
      </c>
      <c r="D188" s="1515"/>
      <c r="E188" s="1082" t="s">
        <v>11</v>
      </c>
      <c r="F188" s="1083">
        <f t="shared" si="103"/>
        <v>307707</v>
      </c>
      <c r="G188" s="1083">
        <f t="shared" si="104"/>
        <v>308202</v>
      </c>
      <c r="H188" s="1084">
        <v>289156</v>
      </c>
      <c r="I188" s="1084">
        <f t="shared" si="105"/>
        <v>291258</v>
      </c>
      <c r="J188" s="1084">
        <f t="shared" si="106"/>
        <v>2102</v>
      </c>
      <c r="K188" s="1084">
        <v>-7680</v>
      </c>
      <c r="L188" s="1084"/>
      <c r="M188" s="1084"/>
      <c r="N188" s="1084"/>
      <c r="O188" s="1084"/>
      <c r="P188" s="1084"/>
      <c r="Q188" s="1084"/>
      <c r="R188" s="1084"/>
      <c r="S188" s="1084"/>
      <c r="T188" s="1084">
        <v>8355</v>
      </c>
      <c r="U188" s="1084"/>
      <c r="V188" s="1084"/>
      <c r="W188" s="1084"/>
      <c r="X188" s="1084"/>
      <c r="Y188" s="1084"/>
      <c r="Z188" s="1084">
        <v>1427</v>
      </c>
      <c r="AA188" s="1084"/>
      <c r="AB188" s="1084"/>
      <c r="AC188" s="1084">
        <v>17149</v>
      </c>
      <c r="AD188" s="1084">
        <f t="shared" si="107"/>
        <v>15543</v>
      </c>
      <c r="AE188" s="1084">
        <f t="shared" si="108"/>
        <v>-1606</v>
      </c>
      <c r="AF188" s="1084"/>
      <c r="AG188" s="1084">
        <v>416</v>
      </c>
      <c r="AH188" s="1084"/>
      <c r="AI188" s="1084">
        <v>-2022</v>
      </c>
      <c r="AJ188" s="1084"/>
      <c r="AK188" s="1084"/>
      <c r="AL188" s="1084">
        <v>1402</v>
      </c>
      <c r="AM188" s="1085">
        <f t="shared" si="109"/>
        <v>1439</v>
      </c>
      <c r="AN188" s="1085">
        <f t="shared" si="110"/>
        <v>37</v>
      </c>
      <c r="AO188" s="1085">
        <v>37</v>
      </c>
      <c r="AP188" s="1085"/>
      <c r="AQ188" s="1085"/>
      <c r="AR188" s="1085"/>
      <c r="AS188" s="1085"/>
      <c r="AT188" s="1085"/>
      <c r="AU188" s="1085"/>
      <c r="AV188" s="1085"/>
      <c r="AW188" s="1085"/>
      <c r="AX188" s="1085"/>
      <c r="AY188" s="1085">
        <v>0</v>
      </c>
      <c r="AZ188" s="1085">
        <f t="shared" si="111"/>
        <v>0</v>
      </c>
      <c r="BA188" s="1085">
        <f t="shared" si="112"/>
        <v>0</v>
      </c>
      <c r="BB188" s="1085"/>
      <c r="BC188" s="1085"/>
      <c r="BD188" s="1085"/>
      <c r="BE188" s="1085"/>
      <c r="BF188" s="1085"/>
      <c r="BG188" s="1084">
        <f t="shared" si="113"/>
        <v>-38</v>
      </c>
      <c r="BH188" s="1084">
        <f t="shared" ref="BH188:BH235" si="116">SUM(BI188:BS188)</f>
        <v>-38</v>
      </c>
      <c r="BI188" s="1084">
        <v>-38</v>
      </c>
      <c r="BJ188" s="1084"/>
      <c r="BK188" s="1084"/>
      <c r="BL188" s="1084"/>
      <c r="BM188" s="1084"/>
      <c r="BN188" s="1084"/>
      <c r="BO188" s="1086"/>
      <c r="BP188" s="1084"/>
      <c r="BQ188" s="1087"/>
      <c r="BR188" s="1084"/>
      <c r="BS188" s="1088"/>
      <c r="BT188" s="1089" t="s">
        <v>1634</v>
      </c>
      <c r="BU188" s="1090"/>
    </row>
    <row r="189" spans="1:73" ht="12.75" x14ac:dyDescent="0.25">
      <c r="A189" s="1094"/>
      <c r="B189" s="1095"/>
      <c r="C189" s="1096"/>
      <c r="D189" s="1097"/>
      <c r="E189" s="1082" t="s">
        <v>1581</v>
      </c>
      <c r="F189" s="1083">
        <f t="shared" si="103"/>
        <v>27225</v>
      </c>
      <c r="G189" s="1083">
        <f t="shared" si="104"/>
        <v>27225</v>
      </c>
      <c r="H189" s="1084">
        <v>27225</v>
      </c>
      <c r="I189" s="1084">
        <f t="shared" si="105"/>
        <v>27225</v>
      </c>
      <c r="J189" s="1084">
        <f t="shared" si="106"/>
        <v>0</v>
      </c>
      <c r="K189" s="1084"/>
      <c r="L189" s="1084"/>
      <c r="M189" s="1084"/>
      <c r="N189" s="1084"/>
      <c r="O189" s="1084"/>
      <c r="P189" s="1084"/>
      <c r="Q189" s="1084"/>
      <c r="R189" s="1084"/>
      <c r="S189" s="1084"/>
      <c r="T189" s="1084"/>
      <c r="U189" s="1084"/>
      <c r="V189" s="1084"/>
      <c r="W189" s="1084"/>
      <c r="X189" s="1084"/>
      <c r="Y189" s="1084"/>
      <c r="Z189" s="1084"/>
      <c r="AA189" s="1084"/>
      <c r="AB189" s="1084"/>
      <c r="AC189" s="1084">
        <v>0</v>
      </c>
      <c r="AD189" s="1084">
        <f t="shared" si="107"/>
        <v>0</v>
      </c>
      <c r="AE189" s="1084">
        <f t="shared" si="108"/>
        <v>0</v>
      </c>
      <c r="AF189" s="1084"/>
      <c r="AG189" s="1084"/>
      <c r="AH189" s="1084"/>
      <c r="AI189" s="1084"/>
      <c r="AJ189" s="1084"/>
      <c r="AK189" s="1084"/>
      <c r="AL189" s="1084">
        <v>0</v>
      </c>
      <c r="AM189" s="1085">
        <f t="shared" si="109"/>
        <v>0</v>
      </c>
      <c r="AN189" s="1085">
        <f t="shared" si="110"/>
        <v>0</v>
      </c>
      <c r="AO189" s="1085"/>
      <c r="AP189" s="1085"/>
      <c r="AQ189" s="1085"/>
      <c r="AR189" s="1085"/>
      <c r="AS189" s="1085"/>
      <c r="AT189" s="1085"/>
      <c r="AU189" s="1085"/>
      <c r="AV189" s="1085"/>
      <c r="AW189" s="1085"/>
      <c r="AX189" s="1085"/>
      <c r="AY189" s="1085">
        <v>0</v>
      </c>
      <c r="AZ189" s="1085">
        <f t="shared" si="111"/>
        <v>0</v>
      </c>
      <c r="BA189" s="1085">
        <f t="shared" si="112"/>
        <v>0</v>
      </c>
      <c r="BB189" s="1085"/>
      <c r="BC189" s="1085"/>
      <c r="BD189" s="1085"/>
      <c r="BE189" s="1085"/>
      <c r="BF189" s="1085"/>
      <c r="BG189" s="1084">
        <f t="shared" si="113"/>
        <v>0</v>
      </c>
      <c r="BH189" s="1084">
        <f t="shared" si="116"/>
        <v>0</v>
      </c>
      <c r="BI189" s="1084"/>
      <c r="BJ189" s="1084"/>
      <c r="BK189" s="1084"/>
      <c r="BL189" s="1084"/>
      <c r="BM189" s="1084"/>
      <c r="BN189" s="1084"/>
      <c r="BO189" s="1086"/>
      <c r="BP189" s="1084"/>
      <c r="BQ189" s="1087"/>
      <c r="BR189" s="1084"/>
      <c r="BS189" s="1088"/>
      <c r="BT189" s="1089" t="s">
        <v>1635</v>
      </c>
      <c r="BU189" s="1090"/>
    </row>
    <row r="190" spans="1:73" ht="36" x14ac:dyDescent="0.25">
      <c r="A190" s="1094">
        <v>90009249210</v>
      </c>
      <c r="B190" s="1095"/>
      <c r="C190" s="1514" t="s">
        <v>1118</v>
      </c>
      <c r="D190" s="1515"/>
      <c r="E190" s="1082" t="s">
        <v>11</v>
      </c>
      <c r="F190" s="1083">
        <f t="shared" si="103"/>
        <v>560119</v>
      </c>
      <c r="G190" s="1083">
        <f t="shared" si="104"/>
        <v>568656</v>
      </c>
      <c r="H190" s="1084">
        <v>522278</v>
      </c>
      <c r="I190" s="1084">
        <f t="shared" si="105"/>
        <v>531003</v>
      </c>
      <c r="J190" s="1084">
        <f t="shared" si="106"/>
        <v>8725</v>
      </c>
      <c r="K190" s="1084">
        <v>-16732</v>
      </c>
      <c r="L190" s="1084"/>
      <c r="M190" s="1084"/>
      <c r="N190" s="1084"/>
      <c r="O190" s="1084"/>
      <c r="P190" s="1084"/>
      <c r="Q190" s="1084"/>
      <c r="R190" s="1084"/>
      <c r="S190" s="1084"/>
      <c r="T190" s="1084">
        <v>21474</v>
      </c>
      <c r="U190" s="1084"/>
      <c r="V190" s="1084"/>
      <c r="W190" s="1084"/>
      <c r="X190" s="1084"/>
      <c r="Y190" s="1084"/>
      <c r="Z190" s="1084">
        <v>3983</v>
      </c>
      <c r="AA190" s="1084"/>
      <c r="AB190" s="1084"/>
      <c r="AC190" s="1084">
        <v>35124</v>
      </c>
      <c r="AD190" s="1084">
        <f t="shared" si="107"/>
        <v>33768</v>
      </c>
      <c r="AE190" s="1084">
        <f t="shared" si="108"/>
        <v>-1356</v>
      </c>
      <c r="AF190" s="1084"/>
      <c r="AG190" s="1084">
        <f>1041+5</f>
        <v>1046</v>
      </c>
      <c r="AH190" s="1084"/>
      <c r="AI190" s="1084">
        <v>-2402</v>
      </c>
      <c r="AJ190" s="1084"/>
      <c r="AK190" s="1084"/>
      <c r="AL190" s="1084">
        <v>2717</v>
      </c>
      <c r="AM190" s="1085">
        <f t="shared" si="109"/>
        <v>3888</v>
      </c>
      <c r="AN190" s="1085">
        <f t="shared" si="110"/>
        <v>1171</v>
      </c>
      <c r="AO190" s="1085">
        <v>-30</v>
      </c>
      <c r="AP190" s="1085"/>
      <c r="AQ190" s="1085">
        <v>462</v>
      </c>
      <c r="AR190" s="1085"/>
      <c r="AS190" s="1085"/>
      <c r="AT190" s="1085"/>
      <c r="AU190" s="1085"/>
      <c r="AV190" s="1085">
        <v>739</v>
      </c>
      <c r="AW190" s="1085"/>
      <c r="AX190" s="1085"/>
      <c r="AY190" s="1085">
        <v>0</v>
      </c>
      <c r="AZ190" s="1085">
        <f t="shared" si="111"/>
        <v>0</v>
      </c>
      <c r="BA190" s="1085">
        <f t="shared" si="112"/>
        <v>0</v>
      </c>
      <c r="BB190" s="1085"/>
      <c r="BC190" s="1085"/>
      <c r="BD190" s="1085"/>
      <c r="BE190" s="1085"/>
      <c r="BF190" s="1085"/>
      <c r="BG190" s="1084">
        <f t="shared" si="113"/>
        <v>-3</v>
      </c>
      <c r="BH190" s="1084">
        <f t="shared" si="116"/>
        <v>-3</v>
      </c>
      <c r="BI190" s="1084">
        <v>-3</v>
      </c>
      <c r="BJ190" s="1084"/>
      <c r="BK190" s="1084"/>
      <c r="BL190" s="1084"/>
      <c r="BM190" s="1084"/>
      <c r="BN190" s="1084"/>
      <c r="BO190" s="1086"/>
      <c r="BP190" s="1084"/>
      <c r="BQ190" s="1087"/>
      <c r="BR190" s="1084"/>
      <c r="BS190" s="1088"/>
      <c r="BT190" s="1089" t="s">
        <v>1636</v>
      </c>
      <c r="BU190" s="1090"/>
    </row>
    <row r="191" spans="1:73" ht="12.75" x14ac:dyDescent="0.25">
      <c r="A191" s="1094"/>
      <c r="B191" s="1095"/>
      <c r="C191" s="1096"/>
      <c r="D191" s="1097"/>
      <c r="E191" s="1082" t="s">
        <v>1581</v>
      </c>
      <c r="F191" s="1083">
        <f t="shared" si="103"/>
        <v>67910</v>
      </c>
      <c r="G191" s="1083">
        <f t="shared" si="104"/>
        <v>67910</v>
      </c>
      <c r="H191" s="1084">
        <v>67910</v>
      </c>
      <c r="I191" s="1084">
        <f t="shared" si="105"/>
        <v>67910</v>
      </c>
      <c r="J191" s="1084">
        <f t="shared" si="106"/>
        <v>0</v>
      </c>
      <c r="K191" s="1084"/>
      <c r="L191" s="1084"/>
      <c r="M191" s="1084"/>
      <c r="N191" s="1084"/>
      <c r="O191" s="1084"/>
      <c r="P191" s="1084"/>
      <c r="Q191" s="1084"/>
      <c r="R191" s="1084"/>
      <c r="S191" s="1084"/>
      <c r="T191" s="1084"/>
      <c r="U191" s="1084"/>
      <c r="V191" s="1084"/>
      <c r="W191" s="1084"/>
      <c r="X191" s="1084"/>
      <c r="Y191" s="1084"/>
      <c r="Z191" s="1084"/>
      <c r="AA191" s="1084"/>
      <c r="AB191" s="1084"/>
      <c r="AC191" s="1084">
        <v>0</v>
      </c>
      <c r="AD191" s="1084">
        <f t="shared" si="107"/>
        <v>0</v>
      </c>
      <c r="AE191" s="1084">
        <f t="shared" si="108"/>
        <v>0</v>
      </c>
      <c r="AF191" s="1084"/>
      <c r="AG191" s="1084"/>
      <c r="AH191" s="1084"/>
      <c r="AI191" s="1084"/>
      <c r="AJ191" s="1084"/>
      <c r="AK191" s="1084"/>
      <c r="AL191" s="1084">
        <v>0</v>
      </c>
      <c r="AM191" s="1085">
        <f t="shared" si="109"/>
        <v>0</v>
      </c>
      <c r="AN191" s="1085">
        <f t="shared" si="110"/>
        <v>0</v>
      </c>
      <c r="AO191" s="1085"/>
      <c r="AP191" s="1085"/>
      <c r="AQ191" s="1085"/>
      <c r="AR191" s="1085"/>
      <c r="AS191" s="1085"/>
      <c r="AT191" s="1085"/>
      <c r="AU191" s="1085"/>
      <c r="AV191" s="1085"/>
      <c r="AW191" s="1085"/>
      <c r="AX191" s="1085"/>
      <c r="AY191" s="1085">
        <v>0</v>
      </c>
      <c r="AZ191" s="1085">
        <f t="shared" si="111"/>
        <v>0</v>
      </c>
      <c r="BA191" s="1085">
        <f t="shared" si="112"/>
        <v>0</v>
      </c>
      <c r="BB191" s="1085"/>
      <c r="BC191" s="1085"/>
      <c r="BD191" s="1085"/>
      <c r="BE191" s="1085"/>
      <c r="BF191" s="1085"/>
      <c r="BG191" s="1084">
        <f t="shared" si="113"/>
        <v>0</v>
      </c>
      <c r="BH191" s="1084">
        <f t="shared" si="116"/>
        <v>0</v>
      </c>
      <c r="BI191" s="1084"/>
      <c r="BJ191" s="1084"/>
      <c r="BK191" s="1084"/>
      <c r="BL191" s="1084"/>
      <c r="BM191" s="1084"/>
      <c r="BN191" s="1084"/>
      <c r="BO191" s="1086"/>
      <c r="BP191" s="1084"/>
      <c r="BQ191" s="1087"/>
      <c r="BR191" s="1084"/>
      <c r="BS191" s="1088"/>
      <c r="BT191" s="1089" t="s">
        <v>1637</v>
      </c>
      <c r="BU191" s="1090"/>
    </row>
    <row r="192" spans="1:73" ht="36" x14ac:dyDescent="0.25">
      <c r="A192" s="1094">
        <v>90009249155</v>
      </c>
      <c r="B192" s="1095"/>
      <c r="C192" s="1514" t="s">
        <v>1126</v>
      </c>
      <c r="D192" s="1515"/>
      <c r="E192" s="1082" t="s">
        <v>11</v>
      </c>
      <c r="F192" s="1083">
        <f t="shared" si="103"/>
        <v>318397</v>
      </c>
      <c r="G192" s="1083">
        <f t="shared" si="104"/>
        <v>321411</v>
      </c>
      <c r="H192" s="1084">
        <v>297050</v>
      </c>
      <c r="I192" s="1084">
        <f t="shared" si="105"/>
        <v>300455</v>
      </c>
      <c r="J192" s="1084">
        <f t="shared" si="106"/>
        <v>3405</v>
      </c>
      <c r="K192" s="1084">
        <v>-8316</v>
      </c>
      <c r="L192" s="1084"/>
      <c r="M192" s="1084"/>
      <c r="N192" s="1084"/>
      <c r="O192" s="1084"/>
      <c r="P192" s="1084"/>
      <c r="Q192" s="1084"/>
      <c r="R192" s="1084"/>
      <c r="S192" s="1084">
        <v>914</v>
      </c>
      <c r="T192" s="1084">
        <v>9492</v>
      </c>
      <c r="U192" s="1084"/>
      <c r="V192" s="1084"/>
      <c r="W192" s="1084"/>
      <c r="X192" s="1084"/>
      <c r="Y192" s="1084"/>
      <c r="Z192" s="1084">
        <v>1315</v>
      </c>
      <c r="AA192" s="1084"/>
      <c r="AB192" s="1084"/>
      <c r="AC192" s="1084">
        <v>20907</v>
      </c>
      <c r="AD192" s="1084">
        <f t="shared" si="107"/>
        <v>20521</v>
      </c>
      <c r="AE192" s="1084">
        <f t="shared" si="108"/>
        <v>-386</v>
      </c>
      <c r="AF192" s="1084"/>
      <c r="AG192" s="1084">
        <v>587</v>
      </c>
      <c r="AH192" s="1084"/>
      <c r="AI192" s="1084">
        <v>-973</v>
      </c>
      <c r="AJ192" s="1084"/>
      <c r="AK192" s="1084"/>
      <c r="AL192" s="1084">
        <v>440</v>
      </c>
      <c r="AM192" s="1085">
        <f t="shared" si="109"/>
        <v>472</v>
      </c>
      <c r="AN192" s="1085">
        <f t="shared" si="110"/>
        <v>32</v>
      </c>
      <c r="AO192" s="1085">
        <v>-29</v>
      </c>
      <c r="AP192" s="1085"/>
      <c r="AQ192" s="1085"/>
      <c r="AR192" s="1085"/>
      <c r="AS192" s="1085"/>
      <c r="AT192" s="1085"/>
      <c r="AU192" s="1085"/>
      <c r="AV192" s="1085">
        <v>61</v>
      </c>
      <c r="AW192" s="1085"/>
      <c r="AX192" s="1085"/>
      <c r="AY192" s="1085">
        <v>0</v>
      </c>
      <c r="AZ192" s="1085">
        <f t="shared" si="111"/>
        <v>0</v>
      </c>
      <c r="BA192" s="1085">
        <f t="shared" si="112"/>
        <v>0</v>
      </c>
      <c r="BB192" s="1085"/>
      <c r="BC192" s="1085"/>
      <c r="BD192" s="1085"/>
      <c r="BE192" s="1085"/>
      <c r="BF192" s="1085"/>
      <c r="BG192" s="1084">
        <f t="shared" si="113"/>
        <v>-37</v>
      </c>
      <c r="BH192" s="1084">
        <f t="shared" si="116"/>
        <v>-37</v>
      </c>
      <c r="BI192" s="1084">
        <v>-37</v>
      </c>
      <c r="BJ192" s="1084"/>
      <c r="BK192" s="1084"/>
      <c r="BL192" s="1084"/>
      <c r="BM192" s="1084"/>
      <c r="BN192" s="1084"/>
      <c r="BO192" s="1086"/>
      <c r="BP192" s="1084"/>
      <c r="BQ192" s="1087"/>
      <c r="BR192" s="1084"/>
      <c r="BS192" s="1088"/>
      <c r="BT192" s="1089" t="s">
        <v>1638</v>
      </c>
      <c r="BU192" s="1090"/>
    </row>
    <row r="193" spans="1:73" ht="12.75" x14ac:dyDescent="0.25">
      <c r="A193" s="1094"/>
      <c r="B193" s="1095"/>
      <c r="C193" s="1096"/>
      <c r="D193" s="1097"/>
      <c r="E193" s="1082" t="s">
        <v>1581</v>
      </c>
      <c r="F193" s="1083">
        <f t="shared" si="103"/>
        <v>24166</v>
      </c>
      <c r="G193" s="1083">
        <f t="shared" si="104"/>
        <v>24166</v>
      </c>
      <c r="H193" s="1084">
        <v>24166</v>
      </c>
      <c r="I193" s="1084">
        <f t="shared" si="105"/>
        <v>24166</v>
      </c>
      <c r="J193" s="1084">
        <f t="shared" si="106"/>
        <v>0</v>
      </c>
      <c r="K193" s="1084"/>
      <c r="L193" s="1084"/>
      <c r="M193" s="1084"/>
      <c r="N193" s="1084"/>
      <c r="O193" s="1084"/>
      <c r="P193" s="1084"/>
      <c r="Q193" s="1084"/>
      <c r="R193" s="1084"/>
      <c r="S193" s="1084"/>
      <c r="T193" s="1084"/>
      <c r="U193" s="1084"/>
      <c r="V193" s="1084"/>
      <c r="W193" s="1084"/>
      <c r="X193" s="1084"/>
      <c r="Y193" s="1084"/>
      <c r="Z193" s="1084"/>
      <c r="AA193" s="1084"/>
      <c r="AB193" s="1084"/>
      <c r="AC193" s="1084">
        <v>0</v>
      </c>
      <c r="AD193" s="1084">
        <f t="shared" si="107"/>
        <v>0</v>
      </c>
      <c r="AE193" s="1084">
        <f t="shared" si="108"/>
        <v>0</v>
      </c>
      <c r="AF193" s="1084"/>
      <c r="AG193" s="1084"/>
      <c r="AH193" s="1084"/>
      <c r="AI193" s="1084"/>
      <c r="AJ193" s="1084"/>
      <c r="AK193" s="1084"/>
      <c r="AL193" s="1084">
        <v>0</v>
      </c>
      <c r="AM193" s="1085">
        <f t="shared" si="109"/>
        <v>0</v>
      </c>
      <c r="AN193" s="1085">
        <f t="shared" si="110"/>
        <v>0</v>
      </c>
      <c r="AO193" s="1085"/>
      <c r="AP193" s="1085"/>
      <c r="AQ193" s="1085"/>
      <c r="AR193" s="1085"/>
      <c r="AS193" s="1085"/>
      <c r="AT193" s="1085"/>
      <c r="AU193" s="1085"/>
      <c r="AV193" s="1085"/>
      <c r="AW193" s="1085"/>
      <c r="AX193" s="1085"/>
      <c r="AY193" s="1085">
        <v>0</v>
      </c>
      <c r="AZ193" s="1085">
        <f t="shared" si="111"/>
        <v>0</v>
      </c>
      <c r="BA193" s="1085">
        <f t="shared" si="112"/>
        <v>0</v>
      </c>
      <c r="BB193" s="1085"/>
      <c r="BC193" s="1085"/>
      <c r="BD193" s="1085"/>
      <c r="BE193" s="1085"/>
      <c r="BF193" s="1085"/>
      <c r="BG193" s="1084">
        <f t="shared" si="113"/>
        <v>0</v>
      </c>
      <c r="BH193" s="1084">
        <f t="shared" si="116"/>
        <v>0</v>
      </c>
      <c r="BI193" s="1084"/>
      <c r="BJ193" s="1084"/>
      <c r="BK193" s="1084"/>
      <c r="BL193" s="1084"/>
      <c r="BM193" s="1084"/>
      <c r="BN193" s="1084"/>
      <c r="BO193" s="1086"/>
      <c r="BP193" s="1084"/>
      <c r="BQ193" s="1087"/>
      <c r="BR193" s="1084"/>
      <c r="BS193" s="1088"/>
      <c r="BT193" s="1089" t="s">
        <v>1639</v>
      </c>
      <c r="BU193" s="1090"/>
    </row>
    <row r="194" spans="1:73" ht="36" x14ac:dyDescent="0.25">
      <c r="A194" s="1094">
        <v>90009249259</v>
      </c>
      <c r="B194" s="1095"/>
      <c r="C194" s="1514" t="s">
        <v>892</v>
      </c>
      <c r="D194" s="1515"/>
      <c r="E194" s="1082" t="s">
        <v>11</v>
      </c>
      <c r="F194" s="1083">
        <f t="shared" si="103"/>
        <v>537841</v>
      </c>
      <c r="G194" s="1083">
        <f t="shared" si="104"/>
        <v>558162</v>
      </c>
      <c r="H194" s="1084">
        <v>491249</v>
      </c>
      <c r="I194" s="1084">
        <f t="shared" si="105"/>
        <v>510798</v>
      </c>
      <c r="J194" s="1084">
        <f t="shared" si="106"/>
        <v>19549</v>
      </c>
      <c r="K194" s="1084">
        <f>-15601-113</f>
        <v>-15714</v>
      </c>
      <c r="L194" s="1084"/>
      <c r="M194" s="1084"/>
      <c r="N194" s="1084"/>
      <c r="O194" s="1084"/>
      <c r="P194" s="1084"/>
      <c r="Q194" s="1084"/>
      <c r="R194" s="1084"/>
      <c r="S194" s="1084"/>
      <c r="T194" s="1084">
        <v>30056</v>
      </c>
      <c r="U194" s="1084"/>
      <c r="V194" s="1084"/>
      <c r="W194" s="1084"/>
      <c r="X194" s="1084"/>
      <c r="Y194" s="1084"/>
      <c r="Z194" s="1084">
        <v>5207</v>
      </c>
      <c r="AA194" s="1084"/>
      <c r="AB194" s="1084"/>
      <c r="AC194" s="1084">
        <v>41596</v>
      </c>
      <c r="AD194" s="1084">
        <f t="shared" si="107"/>
        <v>42256</v>
      </c>
      <c r="AE194" s="1084">
        <f t="shared" si="108"/>
        <v>660</v>
      </c>
      <c r="AF194" s="1084"/>
      <c r="AG194" s="1084">
        <v>1325</v>
      </c>
      <c r="AH194" s="1084"/>
      <c r="AI194" s="1084">
        <v>-665</v>
      </c>
      <c r="AJ194" s="1084"/>
      <c r="AK194" s="1084"/>
      <c r="AL194" s="1084">
        <v>5032</v>
      </c>
      <c r="AM194" s="1085">
        <f t="shared" si="109"/>
        <v>5263</v>
      </c>
      <c r="AN194" s="1085">
        <f t="shared" si="110"/>
        <v>231</v>
      </c>
      <c r="AO194" s="1085">
        <v>142</v>
      </c>
      <c r="AP194" s="1085"/>
      <c r="AQ194" s="1085"/>
      <c r="AR194" s="1085"/>
      <c r="AS194" s="1085"/>
      <c r="AT194" s="1085"/>
      <c r="AU194" s="1085"/>
      <c r="AV194" s="1085">
        <v>89</v>
      </c>
      <c r="AW194" s="1085"/>
      <c r="AX194" s="1085"/>
      <c r="AY194" s="1085">
        <v>0</v>
      </c>
      <c r="AZ194" s="1085">
        <f t="shared" si="111"/>
        <v>0</v>
      </c>
      <c r="BA194" s="1085">
        <f t="shared" si="112"/>
        <v>0</v>
      </c>
      <c r="BB194" s="1085"/>
      <c r="BC194" s="1085"/>
      <c r="BD194" s="1085"/>
      <c r="BE194" s="1085"/>
      <c r="BF194" s="1085">
        <v>-36</v>
      </c>
      <c r="BG194" s="1084">
        <f t="shared" si="113"/>
        <v>-155</v>
      </c>
      <c r="BH194" s="1084">
        <f t="shared" si="116"/>
        <v>-119</v>
      </c>
      <c r="BI194" s="1084">
        <v>-30</v>
      </c>
      <c r="BJ194" s="1084"/>
      <c r="BK194" s="1084"/>
      <c r="BL194" s="1084"/>
      <c r="BM194" s="1084"/>
      <c r="BN194" s="1084"/>
      <c r="BO194" s="1086"/>
      <c r="BP194" s="1084"/>
      <c r="BQ194" s="1087">
        <v>-89</v>
      </c>
      <c r="BR194" s="1084"/>
      <c r="BS194" s="1088"/>
      <c r="BT194" s="1089" t="s">
        <v>1640</v>
      </c>
      <c r="BU194" s="1090"/>
    </row>
    <row r="195" spans="1:73" ht="12.75" x14ac:dyDescent="0.25">
      <c r="A195" s="1094"/>
      <c r="B195" s="1095"/>
      <c r="C195" s="1096"/>
      <c r="D195" s="1097"/>
      <c r="E195" s="1082" t="s">
        <v>1581</v>
      </c>
      <c r="F195" s="1083">
        <f t="shared" si="103"/>
        <v>62550</v>
      </c>
      <c r="G195" s="1083">
        <f t="shared" si="104"/>
        <v>62550</v>
      </c>
      <c r="H195" s="1084">
        <v>62550</v>
      </c>
      <c r="I195" s="1084">
        <f t="shared" si="105"/>
        <v>62550</v>
      </c>
      <c r="J195" s="1084">
        <f t="shared" si="106"/>
        <v>0</v>
      </c>
      <c r="K195" s="1084"/>
      <c r="L195" s="1084"/>
      <c r="M195" s="1084"/>
      <c r="N195" s="1084"/>
      <c r="O195" s="1084"/>
      <c r="P195" s="1084"/>
      <c r="Q195" s="1084"/>
      <c r="R195" s="1084"/>
      <c r="S195" s="1084"/>
      <c r="T195" s="1084"/>
      <c r="U195" s="1084"/>
      <c r="V195" s="1084"/>
      <c r="W195" s="1084"/>
      <c r="X195" s="1084"/>
      <c r="Y195" s="1084"/>
      <c r="Z195" s="1084"/>
      <c r="AA195" s="1084"/>
      <c r="AB195" s="1084"/>
      <c r="AC195" s="1084">
        <v>0</v>
      </c>
      <c r="AD195" s="1084">
        <f t="shared" si="107"/>
        <v>0</v>
      </c>
      <c r="AE195" s="1084">
        <f t="shared" si="108"/>
        <v>0</v>
      </c>
      <c r="AF195" s="1084"/>
      <c r="AG195" s="1084"/>
      <c r="AH195" s="1084"/>
      <c r="AI195" s="1084"/>
      <c r="AJ195" s="1084"/>
      <c r="AK195" s="1084"/>
      <c r="AL195" s="1084">
        <v>0</v>
      </c>
      <c r="AM195" s="1085">
        <f t="shared" si="109"/>
        <v>0</v>
      </c>
      <c r="AN195" s="1085">
        <f t="shared" si="110"/>
        <v>0</v>
      </c>
      <c r="AO195" s="1085"/>
      <c r="AP195" s="1085"/>
      <c r="AQ195" s="1085"/>
      <c r="AR195" s="1085"/>
      <c r="AS195" s="1085"/>
      <c r="AT195" s="1085"/>
      <c r="AU195" s="1085"/>
      <c r="AV195" s="1085"/>
      <c r="AW195" s="1085"/>
      <c r="AX195" s="1085"/>
      <c r="AY195" s="1085">
        <v>0</v>
      </c>
      <c r="AZ195" s="1085">
        <f t="shared" si="111"/>
        <v>0</v>
      </c>
      <c r="BA195" s="1085">
        <f t="shared" si="112"/>
        <v>0</v>
      </c>
      <c r="BB195" s="1085"/>
      <c r="BC195" s="1085"/>
      <c r="BD195" s="1085"/>
      <c r="BE195" s="1085"/>
      <c r="BF195" s="1085"/>
      <c r="BG195" s="1084">
        <f t="shared" si="113"/>
        <v>0</v>
      </c>
      <c r="BH195" s="1084">
        <f t="shared" si="116"/>
        <v>0</v>
      </c>
      <c r="BI195" s="1084"/>
      <c r="BJ195" s="1084"/>
      <c r="BK195" s="1084"/>
      <c r="BL195" s="1084"/>
      <c r="BM195" s="1084"/>
      <c r="BN195" s="1084"/>
      <c r="BO195" s="1086"/>
      <c r="BP195" s="1084"/>
      <c r="BQ195" s="1087"/>
      <c r="BR195" s="1084"/>
      <c r="BS195" s="1088"/>
      <c r="BT195" s="1089" t="s">
        <v>1641</v>
      </c>
      <c r="BU195" s="1090"/>
    </row>
    <row r="196" spans="1:73" ht="36" x14ac:dyDescent="0.25">
      <c r="A196" s="1094">
        <v>90009249314</v>
      </c>
      <c r="B196" s="1095"/>
      <c r="C196" s="1514" t="s">
        <v>3</v>
      </c>
      <c r="D196" s="1515"/>
      <c r="E196" s="1082" t="s">
        <v>11</v>
      </c>
      <c r="F196" s="1083">
        <f t="shared" si="103"/>
        <v>550328</v>
      </c>
      <c r="G196" s="1083">
        <f t="shared" si="104"/>
        <v>575357</v>
      </c>
      <c r="H196" s="1084">
        <v>493228</v>
      </c>
      <c r="I196" s="1084">
        <f t="shared" si="105"/>
        <v>512044</v>
      </c>
      <c r="J196" s="1084">
        <f t="shared" si="106"/>
        <v>18816</v>
      </c>
      <c r="K196" s="1084">
        <v>-14836</v>
      </c>
      <c r="L196" s="1084"/>
      <c r="M196" s="1084"/>
      <c r="N196" s="1084"/>
      <c r="O196" s="1084"/>
      <c r="P196" s="1084"/>
      <c r="Q196" s="1084"/>
      <c r="R196" s="1084"/>
      <c r="S196" s="1084"/>
      <c r="T196" s="1084">
        <v>28915</v>
      </c>
      <c r="U196" s="1084"/>
      <c r="V196" s="1084"/>
      <c r="W196" s="1084"/>
      <c r="X196" s="1084"/>
      <c r="Y196" s="1084"/>
      <c r="Z196" s="1084">
        <v>4737</v>
      </c>
      <c r="AA196" s="1084"/>
      <c r="AB196" s="1084"/>
      <c r="AC196" s="1084">
        <v>52012</v>
      </c>
      <c r="AD196" s="1084">
        <f t="shared" si="107"/>
        <v>57986</v>
      </c>
      <c r="AE196" s="1084">
        <f t="shared" si="108"/>
        <v>5974</v>
      </c>
      <c r="AF196" s="1084"/>
      <c r="AG196" s="1084">
        <v>1400</v>
      </c>
      <c r="AH196" s="1084"/>
      <c r="AI196" s="1084">
        <v>4574</v>
      </c>
      <c r="AJ196" s="1084"/>
      <c r="AK196" s="1084"/>
      <c r="AL196" s="1084">
        <v>5142</v>
      </c>
      <c r="AM196" s="1085">
        <f t="shared" si="109"/>
        <v>5364</v>
      </c>
      <c r="AN196" s="1085">
        <f t="shared" si="110"/>
        <v>222</v>
      </c>
      <c r="AO196" s="1085">
        <v>222</v>
      </c>
      <c r="AP196" s="1085"/>
      <c r="AQ196" s="1085"/>
      <c r="AR196" s="1085"/>
      <c r="AS196" s="1085"/>
      <c r="AT196" s="1085"/>
      <c r="AU196" s="1085"/>
      <c r="AV196" s="1085"/>
      <c r="AW196" s="1085"/>
      <c r="AX196" s="1085"/>
      <c r="AY196" s="1085">
        <v>0</v>
      </c>
      <c r="AZ196" s="1085">
        <f t="shared" si="111"/>
        <v>0</v>
      </c>
      <c r="BA196" s="1085">
        <f t="shared" si="112"/>
        <v>0</v>
      </c>
      <c r="BB196" s="1085"/>
      <c r="BC196" s="1085"/>
      <c r="BD196" s="1085"/>
      <c r="BE196" s="1085"/>
      <c r="BF196" s="1085">
        <v>-54</v>
      </c>
      <c r="BG196" s="1084">
        <f t="shared" si="113"/>
        <v>-37</v>
      </c>
      <c r="BH196" s="1084">
        <f t="shared" si="116"/>
        <v>17</v>
      </c>
      <c r="BI196" s="1084">
        <v>17</v>
      </c>
      <c r="BJ196" s="1084"/>
      <c r="BK196" s="1084"/>
      <c r="BL196" s="1084"/>
      <c r="BM196" s="1084"/>
      <c r="BN196" s="1084"/>
      <c r="BO196" s="1086"/>
      <c r="BP196" s="1084"/>
      <c r="BQ196" s="1087"/>
      <c r="BR196" s="1084"/>
      <c r="BS196" s="1088"/>
      <c r="BT196" s="1089" t="s">
        <v>1642</v>
      </c>
      <c r="BU196" s="1090"/>
    </row>
    <row r="197" spans="1:73" ht="12.75" x14ac:dyDescent="0.25">
      <c r="A197" s="1094"/>
      <c r="B197" s="1095"/>
      <c r="C197" s="1096"/>
      <c r="D197" s="1097"/>
      <c r="E197" s="1082" t="s">
        <v>1581</v>
      </c>
      <c r="F197" s="1083">
        <f t="shared" si="103"/>
        <v>59071</v>
      </c>
      <c r="G197" s="1083">
        <f t="shared" si="104"/>
        <v>59071</v>
      </c>
      <c r="H197" s="1084">
        <v>59071</v>
      </c>
      <c r="I197" s="1084">
        <f t="shared" si="105"/>
        <v>59071</v>
      </c>
      <c r="J197" s="1084">
        <f t="shared" si="106"/>
        <v>0</v>
      </c>
      <c r="K197" s="1084"/>
      <c r="L197" s="1084"/>
      <c r="M197" s="1084"/>
      <c r="N197" s="1084"/>
      <c r="O197" s="1084"/>
      <c r="P197" s="1084"/>
      <c r="Q197" s="1084"/>
      <c r="R197" s="1084"/>
      <c r="S197" s="1084"/>
      <c r="T197" s="1084"/>
      <c r="U197" s="1084"/>
      <c r="V197" s="1084"/>
      <c r="W197" s="1084"/>
      <c r="X197" s="1084"/>
      <c r="Y197" s="1084"/>
      <c r="Z197" s="1084"/>
      <c r="AA197" s="1084"/>
      <c r="AB197" s="1084"/>
      <c r="AC197" s="1084">
        <v>0</v>
      </c>
      <c r="AD197" s="1084">
        <f t="shared" si="107"/>
        <v>0</v>
      </c>
      <c r="AE197" s="1084">
        <f t="shared" si="108"/>
        <v>0</v>
      </c>
      <c r="AF197" s="1084"/>
      <c r="AG197" s="1084"/>
      <c r="AH197" s="1084"/>
      <c r="AI197" s="1084"/>
      <c r="AJ197" s="1084"/>
      <c r="AK197" s="1084"/>
      <c r="AL197" s="1084">
        <v>0</v>
      </c>
      <c r="AM197" s="1085">
        <f t="shared" si="109"/>
        <v>0</v>
      </c>
      <c r="AN197" s="1085">
        <f t="shared" si="110"/>
        <v>0</v>
      </c>
      <c r="AO197" s="1085"/>
      <c r="AP197" s="1085"/>
      <c r="AQ197" s="1085"/>
      <c r="AR197" s="1085"/>
      <c r="AS197" s="1085"/>
      <c r="AT197" s="1085"/>
      <c r="AU197" s="1085"/>
      <c r="AV197" s="1085"/>
      <c r="AW197" s="1085"/>
      <c r="AX197" s="1085"/>
      <c r="AY197" s="1085">
        <v>0</v>
      </c>
      <c r="AZ197" s="1085">
        <f t="shared" si="111"/>
        <v>0</v>
      </c>
      <c r="BA197" s="1085">
        <f t="shared" si="112"/>
        <v>0</v>
      </c>
      <c r="BB197" s="1085"/>
      <c r="BC197" s="1085"/>
      <c r="BD197" s="1085"/>
      <c r="BE197" s="1085"/>
      <c r="BF197" s="1085"/>
      <c r="BG197" s="1084">
        <f t="shared" si="113"/>
        <v>0</v>
      </c>
      <c r="BH197" s="1084">
        <f t="shared" si="116"/>
        <v>0</v>
      </c>
      <c r="BI197" s="1084"/>
      <c r="BJ197" s="1084"/>
      <c r="BK197" s="1084"/>
      <c r="BL197" s="1084"/>
      <c r="BM197" s="1084"/>
      <c r="BN197" s="1084"/>
      <c r="BO197" s="1086"/>
      <c r="BP197" s="1084"/>
      <c r="BQ197" s="1087"/>
      <c r="BR197" s="1084"/>
      <c r="BS197" s="1088"/>
      <c r="BT197" s="1089" t="s">
        <v>1643</v>
      </c>
      <c r="BU197" s="1090"/>
    </row>
    <row r="198" spans="1:73" ht="36" x14ac:dyDescent="0.25">
      <c r="A198" s="1094">
        <v>90009249189</v>
      </c>
      <c r="B198" s="1095"/>
      <c r="C198" s="1514" t="s">
        <v>1136</v>
      </c>
      <c r="D198" s="1515"/>
      <c r="E198" s="1082" t="s">
        <v>11</v>
      </c>
      <c r="F198" s="1083">
        <f t="shared" si="103"/>
        <v>545121</v>
      </c>
      <c r="G198" s="1083">
        <f t="shared" si="104"/>
        <v>560334</v>
      </c>
      <c r="H198" s="1084">
        <v>478727</v>
      </c>
      <c r="I198" s="1084">
        <f t="shared" si="105"/>
        <v>484708</v>
      </c>
      <c r="J198" s="1084">
        <f t="shared" si="106"/>
        <v>5981</v>
      </c>
      <c r="K198" s="1084">
        <f>-14741-27</f>
        <v>-14768</v>
      </c>
      <c r="L198" s="1084"/>
      <c r="M198" s="1084"/>
      <c r="N198" s="1084"/>
      <c r="O198" s="1084"/>
      <c r="P198" s="1084"/>
      <c r="Q198" s="1084"/>
      <c r="R198" s="1084"/>
      <c r="S198" s="1084"/>
      <c r="T198" s="1084">
        <v>17571</v>
      </c>
      <c r="U198" s="1084"/>
      <c r="V198" s="1084"/>
      <c r="W198" s="1084"/>
      <c r="X198" s="1084"/>
      <c r="Y198" s="1084"/>
      <c r="Z198" s="1084">
        <v>3178</v>
      </c>
      <c r="AA198" s="1084"/>
      <c r="AB198" s="1084"/>
      <c r="AC198" s="1084">
        <v>62862</v>
      </c>
      <c r="AD198" s="1084">
        <f t="shared" si="107"/>
        <v>71551</v>
      </c>
      <c r="AE198" s="1084">
        <f t="shared" si="108"/>
        <v>8689</v>
      </c>
      <c r="AF198" s="1084"/>
      <c r="AG198" s="1084">
        <v>1779</v>
      </c>
      <c r="AH198" s="1084"/>
      <c r="AI198" s="1084">
        <v>6910</v>
      </c>
      <c r="AJ198" s="1084"/>
      <c r="AK198" s="1084"/>
      <c r="AL198" s="1084">
        <v>3532</v>
      </c>
      <c r="AM198" s="1085">
        <f t="shared" si="109"/>
        <v>4075</v>
      </c>
      <c r="AN198" s="1085">
        <f t="shared" si="110"/>
        <v>543</v>
      </c>
      <c r="AO198" s="1085">
        <v>-66</v>
      </c>
      <c r="AP198" s="1085"/>
      <c r="AQ198" s="1085">
        <v>609</v>
      </c>
      <c r="AR198" s="1085"/>
      <c r="AS198" s="1085"/>
      <c r="AT198" s="1085"/>
      <c r="AU198" s="1085"/>
      <c r="AV198" s="1085"/>
      <c r="AW198" s="1085"/>
      <c r="AX198" s="1085"/>
      <c r="AY198" s="1085">
        <v>0</v>
      </c>
      <c r="AZ198" s="1085">
        <f t="shared" si="111"/>
        <v>0</v>
      </c>
      <c r="BA198" s="1085">
        <f t="shared" si="112"/>
        <v>0</v>
      </c>
      <c r="BB198" s="1085"/>
      <c r="BC198" s="1085"/>
      <c r="BD198" s="1085"/>
      <c r="BE198" s="1085"/>
      <c r="BF198" s="1085"/>
      <c r="BG198" s="1084">
        <f t="shared" si="113"/>
        <v>0</v>
      </c>
      <c r="BH198" s="1084">
        <f t="shared" si="116"/>
        <v>0</v>
      </c>
      <c r="BI198" s="1084"/>
      <c r="BJ198" s="1084"/>
      <c r="BK198" s="1084"/>
      <c r="BL198" s="1084"/>
      <c r="BM198" s="1084"/>
      <c r="BN198" s="1084"/>
      <c r="BO198" s="1086"/>
      <c r="BP198" s="1084"/>
      <c r="BQ198" s="1087"/>
      <c r="BR198" s="1084"/>
      <c r="BS198" s="1088"/>
      <c r="BT198" s="1089" t="s">
        <v>1644</v>
      </c>
      <c r="BU198" s="1090"/>
    </row>
    <row r="199" spans="1:73" ht="12.75" x14ac:dyDescent="0.25">
      <c r="A199" s="1094"/>
      <c r="B199" s="1095"/>
      <c r="C199" s="1096"/>
      <c r="D199" s="1097"/>
      <c r="E199" s="1082" t="s">
        <v>1581</v>
      </c>
      <c r="F199" s="1083">
        <f t="shared" si="103"/>
        <v>57815</v>
      </c>
      <c r="G199" s="1083">
        <f t="shared" si="104"/>
        <v>57815</v>
      </c>
      <c r="H199" s="1084">
        <v>57815</v>
      </c>
      <c r="I199" s="1084">
        <f t="shared" si="105"/>
        <v>57815</v>
      </c>
      <c r="J199" s="1084">
        <f t="shared" si="106"/>
        <v>0</v>
      </c>
      <c r="K199" s="1084"/>
      <c r="L199" s="1084"/>
      <c r="M199" s="1084"/>
      <c r="N199" s="1084"/>
      <c r="O199" s="1084"/>
      <c r="P199" s="1084"/>
      <c r="Q199" s="1084"/>
      <c r="R199" s="1084"/>
      <c r="S199" s="1084"/>
      <c r="T199" s="1084"/>
      <c r="U199" s="1084"/>
      <c r="V199" s="1084"/>
      <c r="W199" s="1084"/>
      <c r="X199" s="1084"/>
      <c r="Y199" s="1084"/>
      <c r="Z199" s="1084"/>
      <c r="AA199" s="1084"/>
      <c r="AB199" s="1084"/>
      <c r="AC199" s="1084">
        <v>0</v>
      </c>
      <c r="AD199" s="1084">
        <f t="shared" si="107"/>
        <v>0</v>
      </c>
      <c r="AE199" s="1084">
        <f t="shared" si="108"/>
        <v>0</v>
      </c>
      <c r="AF199" s="1084"/>
      <c r="AG199" s="1084"/>
      <c r="AH199" s="1084"/>
      <c r="AI199" s="1084"/>
      <c r="AJ199" s="1084"/>
      <c r="AK199" s="1084"/>
      <c r="AL199" s="1084">
        <v>0</v>
      </c>
      <c r="AM199" s="1085">
        <f t="shared" si="109"/>
        <v>0</v>
      </c>
      <c r="AN199" s="1085">
        <f t="shared" si="110"/>
        <v>0</v>
      </c>
      <c r="AO199" s="1085"/>
      <c r="AP199" s="1085"/>
      <c r="AQ199" s="1085"/>
      <c r="AR199" s="1085"/>
      <c r="AS199" s="1085"/>
      <c r="AT199" s="1085"/>
      <c r="AU199" s="1085"/>
      <c r="AV199" s="1085"/>
      <c r="AW199" s="1085"/>
      <c r="AX199" s="1085"/>
      <c r="AY199" s="1085">
        <v>0</v>
      </c>
      <c r="AZ199" s="1085">
        <f t="shared" si="111"/>
        <v>0</v>
      </c>
      <c r="BA199" s="1085">
        <f t="shared" si="112"/>
        <v>0</v>
      </c>
      <c r="BB199" s="1085"/>
      <c r="BC199" s="1085"/>
      <c r="BD199" s="1085"/>
      <c r="BE199" s="1085"/>
      <c r="BF199" s="1085"/>
      <c r="BG199" s="1084">
        <f t="shared" si="113"/>
        <v>0</v>
      </c>
      <c r="BH199" s="1084">
        <f t="shared" si="116"/>
        <v>0</v>
      </c>
      <c r="BI199" s="1084"/>
      <c r="BJ199" s="1084"/>
      <c r="BK199" s="1084"/>
      <c r="BL199" s="1084"/>
      <c r="BM199" s="1084"/>
      <c r="BN199" s="1084"/>
      <c r="BO199" s="1086"/>
      <c r="BP199" s="1084"/>
      <c r="BQ199" s="1087"/>
      <c r="BR199" s="1084"/>
      <c r="BS199" s="1088"/>
      <c r="BT199" s="1089" t="s">
        <v>1645</v>
      </c>
      <c r="BU199" s="1090"/>
    </row>
    <row r="200" spans="1:73" ht="36" x14ac:dyDescent="0.25">
      <c r="A200" s="1094">
        <v>90009249136</v>
      </c>
      <c r="B200" s="1095"/>
      <c r="C200" s="1514" t="s">
        <v>1143</v>
      </c>
      <c r="D200" s="1515"/>
      <c r="E200" s="1082" t="s">
        <v>11</v>
      </c>
      <c r="F200" s="1083">
        <f t="shared" si="103"/>
        <v>285604</v>
      </c>
      <c r="G200" s="1083">
        <f t="shared" si="104"/>
        <v>292239</v>
      </c>
      <c r="H200" s="1084">
        <v>274014</v>
      </c>
      <c r="I200" s="1084">
        <f t="shared" si="105"/>
        <v>276351</v>
      </c>
      <c r="J200" s="1084">
        <f t="shared" si="106"/>
        <v>2337</v>
      </c>
      <c r="K200" s="1084">
        <v>-8132</v>
      </c>
      <c r="L200" s="1084"/>
      <c r="M200" s="1084"/>
      <c r="N200" s="1084"/>
      <c r="O200" s="1084"/>
      <c r="P200" s="1084"/>
      <c r="Q200" s="1084"/>
      <c r="R200" s="1084"/>
      <c r="S200" s="1084"/>
      <c r="T200" s="1084">
        <v>9032</v>
      </c>
      <c r="U200" s="1084"/>
      <c r="V200" s="1084"/>
      <c r="W200" s="1084"/>
      <c r="X200" s="1084"/>
      <c r="Y200" s="1084"/>
      <c r="Z200" s="1084">
        <v>1437</v>
      </c>
      <c r="AA200" s="1084"/>
      <c r="AB200" s="1084"/>
      <c r="AC200" s="1084">
        <v>11064</v>
      </c>
      <c r="AD200" s="1084">
        <f t="shared" si="107"/>
        <v>15366</v>
      </c>
      <c r="AE200" s="1084">
        <f t="shared" si="108"/>
        <v>4302</v>
      </c>
      <c r="AF200" s="1084"/>
      <c r="AG200" s="1084">
        <v>492</v>
      </c>
      <c r="AH200" s="1084"/>
      <c r="AI200" s="1084">
        <v>3810</v>
      </c>
      <c r="AJ200" s="1084"/>
      <c r="AK200" s="1084"/>
      <c r="AL200" s="1084">
        <v>526</v>
      </c>
      <c r="AM200" s="1085">
        <f t="shared" si="109"/>
        <v>522</v>
      </c>
      <c r="AN200" s="1085">
        <f t="shared" si="110"/>
        <v>-4</v>
      </c>
      <c r="AO200" s="1085">
        <v>-4</v>
      </c>
      <c r="AP200" s="1085"/>
      <c r="AQ200" s="1085"/>
      <c r="AR200" s="1085"/>
      <c r="AS200" s="1085"/>
      <c r="AT200" s="1085"/>
      <c r="AU200" s="1085"/>
      <c r="AV200" s="1085"/>
      <c r="AW200" s="1085"/>
      <c r="AX200" s="1085"/>
      <c r="AY200" s="1085">
        <v>0</v>
      </c>
      <c r="AZ200" s="1085">
        <f t="shared" si="111"/>
        <v>0</v>
      </c>
      <c r="BA200" s="1085">
        <f t="shared" si="112"/>
        <v>0</v>
      </c>
      <c r="BB200" s="1085"/>
      <c r="BC200" s="1085"/>
      <c r="BD200" s="1085"/>
      <c r="BE200" s="1085"/>
      <c r="BF200" s="1085"/>
      <c r="BG200" s="1084">
        <f t="shared" si="113"/>
        <v>0</v>
      </c>
      <c r="BH200" s="1084">
        <f t="shared" si="116"/>
        <v>0</v>
      </c>
      <c r="BI200" s="1084"/>
      <c r="BJ200" s="1084"/>
      <c r="BK200" s="1084"/>
      <c r="BL200" s="1084"/>
      <c r="BM200" s="1084"/>
      <c r="BN200" s="1084"/>
      <c r="BO200" s="1086"/>
      <c r="BP200" s="1084"/>
      <c r="BQ200" s="1087"/>
      <c r="BR200" s="1084"/>
      <c r="BS200" s="1088"/>
      <c r="BT200" s="1089" t="s">
        <v>1646</v>
      </c>
      <c r="BU200" s="1090"/>
    </row>
    <row r="201" spans="1:73" ht="12.75" x14ac:dyDescent="0.25">
      <c r="A201" s="1094"/>
      <c r="B201" s="1095"/>
      <c r="C201" s="1096"/>
      <c r="D201" s="1097"/>
      <c r="E201" s="1082" t="s">
        <v>1581</v>
      </c>
      <c r="F201" s="1083">
        <f t="shared" si="103"/>
        <v>25084</v>
      </c>
      <c r="G201" s="1083">
        <f t="shared" si="104"/>
        <v>25084</v>
      </c>
      <c r="H201" s="1084">
        <v>25084</v>
      </c>
      <c r="I201" s="1084">
        <f t="shared" si="105"/>
        <v>25084</v>
      </c>
      <c r="J201" s="1084">
        <f t="shared" si="106"/>
        <v>0</v>
      </c>
      <c r="K201" s="1084"/>
      <c r="L201" s="1084"/>
      <c r="M201" s="1084"/>
      <c r="N201" s="1084"/>
      <c r="O201" s="1084"/>
      <c r="P201" s="1084"/>
      <c r="Q201" s="1084"/>
      <c r="R201" s="1084"/>
      <c r="S201" s="1084"/>
      <c r="T201" s="1084"/>
      <c r="U201" s="1084"/>
      <c r="V201" s="1084"/>
      <c r="W201" s="1084"/>
      <c r="X201" s="1084"/>
      <c r="Y201" s="1084"/>
      <c r="Z201" s="1084"/>
      <c r="AA201" s="1084"/>
      <c r="AB201" s="1084"/>
      <c r="AC201" s="1084">
        <v>0</v>
      </c>
      <c r="AD201" s="1084">
        <f t="shared" si="107"/>
        <v>0</v>
      </c>
      <c r="AE201" s="1084">
        <f t="shared" si="108"/>
        <v>0</v>
      </c>
      <c r="AF201" s="1084"/>
      <c r="AG201" s="1084"/>
      <c r="AH201" s="1084"/>
      <c r="AI201" s="1084"/>
      <c r="AJ201" s="1084"/>
      <c r="AK201" s="1084"/>
      <c r="AL201" s="1084">
        <v>0</v>
      </c>
      <c r="AM201" s="1085">
        <f t="shared" si="109"/>
        <v>0</v>
      </c>
      <c r="AN201" s="1085">
        <f t="shared" si="110"/>
        <v>0</v>
      </c>
      <c r="AO201" s="1085"/>
      <c r="AP201" s="1085"/>
      <c r="AQ201" s="1085"/>
      <c r="AR201" s="1085"/>
      <c r="AS201" s="1085"/>
      <c r="AT201" s="1085"/>
      <c r="AU201" s="1085"/>
      <c r="AV201" s="1085"/>
      <c r="AW201" s="1085"/>
      <c r="AX201" s="1085"/>
      <c r="AY201" s="1085">
        <v>0</v>
      </c>
      <c r="AZ201" s="1085">
        <f t="shared" si="111"/>
        <v>0</v>
      </c>
      <c r="BA201" s="1085">
        <f t="shared" si="112"/>
        <v>0</v>
      </c>
      <c r="BB201" s="1085"/>
      <c r="BC201" s="1085"/>
      <c r="BD201" s="1085"/>
      <c r="BE201" s="1085"/>
      <c r="BF201" s="1085"/>
      <c r="BG201" s="1084">
        <f t="shared" si="113"/>
        <v>0</v>
      </c>
      <c r="BH201" s="1084">
        <f t="shared" si="116"/>
        <v>0</v>
      </c>
      <c r="BI201" s="1084"/>
      <c r="BJ201" s="1084"/>
      <c r="BK201" s="1084"/>
      <c r="BL201" s="1084"/>
      <c r="BM201" s="1084"/>
      <c r="BN201" s="1084"/>
      <c r="BO201" s="1086"/>
      <c r="BP201" s="1084"/>
      <c r="BQ201" s="1087"/>
      <c r="BR201" s="1084"/>
      <c r="BS201" s="1088"/>
      <c r="BT201" s="1089" t="s">
        <v>1647</v>
      </c>
      <c r="BU201" s="1090"/>
    </row>
    <row r="202" spans="1:73" ht="36" x14ac:dyDescent="0.25">
      <c r="A202" s="1094">
        <v>90009563202</v>
      </c>
      <c r="B202" s="1095"/>
      <c r="C202" s="1514" t="s">
        <v>1054</v>
      </c>
      <c r="D202" s="1515"/>
      <c r="E202" s="1082" t="s">
        <v>11</v>
      </c>
      <c r="F202" s="1083">
        <f t="shared" si="103"/>
        <v>298318</v>
      </c>
      <c r="G202" s="1083">
        <f t="shared" si="104"/>
        <v>316731</v>
      </c>
      <c r="H202" s="1084">
        <v>19728</v>
      </c>
      <c r="I202" s="1084">
        <f t="shared" si="105"/>
        <v>19076</v>
      </c>
      <c r="J202" s="1084">
        <f t="shared" si="106"/>
        <v>-652</v>
      </c>
      <c r="K202" s="1084"/>
      <c r="L202" s="1084"/>
      <c r="M202" s="1084"/>
      <c r="N202" s="1084"/>
      <c r="O202" s="1084"/>
      <c r="P202" s="1084"/>
      <c r="Q202" s="1084"/>
      <c r="R202" s="1084"/>
      <c r="S202" s="1084"/>
      <c r="T202" s="1084"/>
      <c r="U202" s="1084"/>
      <c r="V202" s="1084"/>
      <c r="W202" s="1084"/>
      <c r="X202" s="1084"/>
      <c r="Y202" s="1084"/>
      <c r="Z202" s="1084">
        <v>-3474</v>
      </c>
      <c r="AA202" s="1084">
        <v>2822</v>
      </c>
      <c r="AB202" s="1084"/>
      <c r="AC202" s="1084">
        <v>277347</v>
      </c>
      <c r="AD202" s="1084">
        <f t="shared" si="107"/>
        <v>296413</v>
      </c>
      <c r="AE202" s="1084">
        <f t="shared" si="108"/>
        <v>19066</v>
      </c>
      <c r="AF202" s="1084"/>
      <c r="AG202" s="1084">
        <v>13085</v>
      </c>
      <c r="AH202" s="1084"/>
      <c r="AI202" s="1084">
        <v>5981</v>
      </c>
      <c r="AJ202" s="1084"/>
      <c r="AK202" s="1084"/>
      <c r="AL202" s="1084">
        <v>1243</v>
      </c>
      <c r="AM202" s="1085">
        <f t="shared" si="109"/>
        <v>1242</v>
      </c>
      <c r="AN202" s="1085">
        <f t="shared" si="110"/>
        <v>-1</v>
      </c>
      <c r="AO202" s="1085">
        <v>-1</v>
      </c>
      <c r="AP202" s="1085"/>
      <c r="AQ202" s="1085"/>
      <c r="AR202" s="1085"/>
      <c r="AS202" s="1085"/>
      <c r="AT202" s="1085"/>
      <c r="AU202" s="1085"/>
      <c r="AV202" s="1085"/>
      <c r="AW202" s="1085"/>
      <c r="AX202" s="1085"/>
      <c r="AY202" s="1085">
        <v>0</v>
      </c>
      <c r="AZ202" s="1085">
        <f t="shared" si="111"/>
        <v>0</v>
      </c>
      <c r="BA202" s="1085">
        <f t="shared" si="112"/>
        <v>0</v>
      </c>
      <c r="BB202" s="1085"/>
      <c r="BC202" s="1085"/>
      <c r="BD202" s="1085"/>
      <c r="BE202" s="1085"/>
      <c r="BF202" s="1085"/>
      <c r="BG202" s="1084">
        <f t="shared" si="113"/>
        <v>0</v>
      </c>
      <c r="BH202" s="1084">
        <f t="shared" si="116"/>
        <v>0</v>
      </c>
      <c r="BI202" s="1084"/>
      <c r="BJ202" s="1084"/>
      <c r="BK202" s="1084"/>
      <c r="BL202" s="1084"/>
      <c r="BM202" s="1084"/>
      <c r="BN202" s="1084"/>
      <c r="BO202" s="1086"/>
      <c r="BP202" s="1084"/>
      <c r="BQ202" s="1087"/>
      <c r="BR202" s="1084"/>
      <c r="BS202" s="1088"/>
      <c r="BT202" s="1089" t="s">
        <v>1648</v>
      </c>
      <c r="BU202" s="1090"/>
    </row>
    <row r="203" spans="1:73" ht="36" x14ac:dyDescent="0.25">
      <c r="A203" s="1094">
        <v>90009249206</v>
      </c>
      <c r="B203" s="1095"/>
      <c r="C203" s="1514" t="s">
        <v>1158</v>
      </c>
      <c r="D203" s="1515"/>
      <c r="E203" s="1082" t="s">
        <v>11</v>
      </c>
      <c r="F203" s="1083">
        <f t="shared" si="103"/>
        <v>567431</v>
      </c>
      <c r="G203" s="1083">
        <f t="shared" si="104"/>
        <v>573869</v>
      </c>
      <c r="H203" s="1084">
        <v>514416</v>
      </c>
      <c r="I203" s="1084">
        <f t="shared" si="105"/>
        <v>522112</v>
      </c>
      <c r="J203" s="1084">
        <f t="shared" si="106"/>
        <v>7696</v>
      </c>
      <c r="K203" s="1084">
        <v>-15291</v>
      </c>
      <c r="L203" s="1084"/>
      <c r="M203" s="1084"/>
      <c r="N203" s="1084"/>
      <c r="O203" s="1084"/>
      <c r="P203" s="1084"/>
      <c r="Q203" s="1084"/>
      <c r="R203" s="1084"/>
      <c r="S203" s="1084"/>
      <c r="T203" s="1084">
        <v>19434</v>
      </c>
      <c r="U203" s="1084"/>
      <c r="V203" s="1084"/>
      <c r="W203" s="1084"/>
      <c r="X203" s="1084"/>
      <c r="Y203" s="1084"/>
      <c r="Z203" s="1084">
        <v>3553</v>
      </c>
      <c r="AA203" s="1084"/>
      <c r="AB203" s="1084"/>
      <c r="AC203" s="1084">
        <v>47805</v>
      </c>
      <c r="AD203" s="1084">
        <f t="shared" si="107"/>
        <v>46140</v>
      </c>
      <c r="AE203" s="1084">
        <f t="shared" si="108"/>
        <v>-1665</v>
      </c>
      <c r="AF203" s="1084"/>
      <c r="AG203" s="1084">
        <v>1495</v>
      </c>
      <c r="AH203" s="1084"/>
      <c r="AI203" s="1084">
        <v>-3160</v>
      </c>
      <c r="AJ203" s="1084"/>
      <c r="AK203" s="1084"/>
      <c r="AL203" s="1084">
        <v>5370</v>
      </c>
      <c r="AM203" s="1085">
        <f t="shared" si="109"/>
        <v>5777</v>
      </c>
      <c r="AN203" s="1085">
        <f t="shared" si="110"/>
        <v>407</v>
      </c>
      <c r="AO203" s="1085">
        <v>402</v>
      </c>
      <c r="AP203" s="1085"/>
      <c r="AQ203" s="1085"/>
      <c r="AR203" s="1085"/>
      <c r="AS203" s="1085"/>
      <c r="AT203" s="1085"/>
      <c r="AU203" s="1085"/>
      <c r="AV203" s="1085">
        <v>5</v>
      </c>
      <c r="AW203" s="1085"/>
      <c r="AX203" s="1085"/>
      <c r="AY203" s="1085">
        <v>0</v>
      </c>
      <c r="AZ203" s="1085">
        <f t="shared" si="111"/>
        <v>0</v>
      </c>
      <c r="BA203" s="1085">
        <f t="shared" si="112"/>
        <v>0</v>
      </c>
      <c r="BB203" s="1085"/>
      <c r="BC203" s="1085"/>
      <c r="BD203" s="1085"/>
      <c r="BE203" s="1085"/>
      <c r="BF203" s="1085">
        <v>-160</v>
      </c>
      <c r="BG203" s="1084">
        <f t="shared" si="113"/>
        <v>-160</v>
      </c>
      <c r="BH203" s="1084">
        <f t="shared" si="116"/>
        <v>0</v>
      </c>
      <c r="BI203" s="1084"/>
      <c r="BJ203" s="1084"/>
      <c r="BK203" s="1084"/>
      <c r="BL203" s="1084"/>
      <c r="BM203" s="1084"/>
      <c r="BN203" s="1084"/>
      <c r="BO203" s="1086"/>
      <c r="BP203" s="1084"/>
      <c r="BQ203" s="1087"/>
      <c r="BR203" s="1084"/>
      <c r="BS203" s="1088"/>
      <c r="BT203" s="1089" t="s">
        <v>1649</v>
      </c>
      <c r="BU203" s="1090"/>
    </row>
    <row r="204" spans="1:73" ht="12.75" x14ac:dyDescent="0.25">
      <c r="A204" s="1094"/>
      <c r="B204" s="1095"/>
      <c r="C204" s="1096"/>
      <c r="D204" s="1097"/>
      <c r="E204" s="1082" t="s">
        <v>1581</v>
      </c>
      <c r="F204" s="1083">
        <f t="shared" si="103"/>
        <v>68522</v>
      </c>
      <c r="G204" s="1083">
        <f t="shared" si="104"/>
        <v>68522</v>
      </c>
      <c r="H204" s="1084">
        <v>68522</v>
      </c>
      <c r="I204" s="1084">
        <f t="shared" si="105"/>
        <v>68522</v>
      </c>
      <c r="J204" s="1084">
        <f t="shared" si="106"/>
        <v>0</v>
      </c>
      <c r="K204" s="1084"/>
      <c r="L204" s="1084"/>
      <c r="M204" s="1084"/>
      <c r="N204" s="1084"/>
      <c r="O204" s="1084"/>
      <c r="P204" s="1084"/>
      <c r="Q204" s="1084"/>
      <c r="R204" s="1084"/>
      <c r="S204" s="1084"/>
      <c r="T204" s="1084"/>
      <c r="U204" s="1084"/>
      <c r="V204" s="1084"/>
      <c r="W204" s="1084"/>
      <c r="X204" s="1084"/>
      <c r="Y204" s="1084"/>
      <c r="Z204" s="1084"/>
      <c r="AA204" s="1084"/>
      <c r="AB204" s="1084"/>
      <c r="AC204" s="1084">
        <v>0</v>
      </c>
      <c r="AD204" s="1084">
        <f t="shared" si="107"/>
        <v>0</v>
      </c>
      <c r="AE204" s="1084">
        <f t="shared" si="108"/>
        <v>0</v>
      </c>
      <c r="AF204" s="1084"/>
      <c r="AG204" s="1084"/>
      <c r="AH204" s="1084"/>
      <c r="AI204" s="1084"/>
      <c r="AJ204" s="1084"/>
      <c r="AK204" s="1084"/>
      <c r="AL204" s="1084">
        <v>0</v>
      </c>
      <c r="AM204" s="1085">
        <f t="shared" si="109"/>
        <v>0</v>
      </c>
      <c r="AN204" s="1085">
        <f t="shared" si="110"/>
        <v>0</v>
      </c>
      <c r="AO204" s="1085"/>
      <c r="AP204" s="1085"/>
      <c r="AQ204" s="1085"/>
      <c r="AR204" s="1085"/>
      <c r="AS204" s="1085"/>
      <c r="AT204" s="1085"/>
      <c r="AU204" s="1085"/>
      <c r="AV204" s="1085"/>
      <c r="AW204" s="1085"/>
      <c r="AX204" s="1085"/>
      <c r="AY204" s="1085">
        <v>0</v>
      </c>
      <c r="AZ204" s="1085">
        <f t="shared" si="111"/>
        <v>0</v>
      </c>
      <c r="BA204" s="1085">
        <f t="shared" si="112"/>
        <v>0</v>
      </c>
      <c r="BB204" s="1085"/>
      <c r="BC204" s="1085"/>
      <c r="BD204" s="1085"/>
      <c r="BE204" s="1085"/>
      <c r="BF204" s="1085"/>
      <c r="BG204" s="1084">
        <f t="shared" si="113"/>
        <v>0</v>
      </c>
      <c r="BH204" s="1084">
        <f t="shared" si="116"/>
        <v>0</v>
      </c>
      <c r="BI204" s="1084"/>
      <c r="BJ204" s="1084"/>
      <c r="BK204" s="1084"/>
      <c r="BL204" s="1084"/>
      <c r="BM204" s="1084"/>
      <c r="BN204" s="1084"/>
      <c r="BO204" s="1086"/>
      <c r="BP204" s="1084"/>
      <c r="BQ204" s="1087"/>
      <c r="BR204" s="1084"/>
      <c r="BS204" s="1088"/>
      <c r="BT204" s="1089" t="s">
        <v>1650</v>
      </c>
      <c r="BU204" s="1090"/>
    </row>
    <row r="205" spans="1:73" ht="36" x14ac:dyDescent="0.25">
      <c r="A205" s="1094">
        <v>90009251357</v>
      </c>
      <c r="B205" s="1095"/>
      <c r="C205" s="1514" t="s">
        <v>1165</v>
      </c>
      <c r="D205" s="1515"/>
      <c r="E205" s="1082" t="s">
        <v>11</v>
      </c>
      <c r="F205" s="1083">
        <f t="shared" si="103"/>
        <v>350739</v>
      </c>
      <c r="G205" s="1083">
        <f t="shared" si="104"/>
        <v>352579</v>
      </c>
      <c r="H205" s="1084">
        <v>318233</v>
      </c>
      <c r="I205" s="1084">
        <f t="shared" si="105"/>
        <v>320885</v>
      </c>
      <c r="J205" s="1084">
        <f t="shared" si="106"/>
        <v>2652</v>
      </c>
      <c r="K205" s="1084">
        <v>-10018</v>
      </c>
      <c r="L205" s="1084"/>
      <c r="M205" s="1084"/>
      <c r="N205" s="1084"/>
      <c r="O205" s="1084"/>
      <c r="P205" s="1084"/>
      <c r="Q205" s="1084"/>
      <c r="R205" s="1084"/>
      <c r="S205" s="1084"/>
      <c r="T205" s="1084">
        <v>10506</v>
      </c>
      <c r="U205" s="1084"/>
      <c r="V205" s="1084"/>
      <c r="W205" s="1084"/>
      <c r="X205" s="1084"/>
      <c r="Y205" s="1084"/>
      <c r="Z205" s="1084">
        <v>2164</v>
      </c>
      <c r="AA205" s="1084"/>
      <c r="AB205" s="1084"/>
      <c r="AC205" s="1084">
        <v>31461</v>
      </c>
      <c r="AD205" s="1084">
        <f t="shared" si="107"/>
        <v>30345</v>
      </c>
      <c r="AE205" s="1084">
        <f t="shared" si="108"/>
        <v>-1116</v>
      </c>
      <c r="AF205" s="1084"/>
      <c r="AG205" s="1084">
        <v>984</v>
      </c>
      <c r="AH205" s="1084"/>
      <c r="AI205" s="1084">
        <v>-2100</v>
      </c>
      <c r="AJ205" s="1084"/>
      <c r="AK205" s="1084"/>
      <c r="AL205" s="1084">
        <v>1049</v>
      </c>
      <c r="AM205" s="1085">
        <f t="shared" si="109"/>
        <v>1285</v>
      </c>
      <c r="AN205" s="1085">
        <f t="shared" si="110"/>
        <v>236</v>
      </c>
      <c r="AO205" s="1085">
        <v>-209</v>
      </c>
      <c r="AP205" s="1085"/>
      <c r="AQ205" s="1085"/>
      <c r="AR205" s="1085"/>
      <c r="AS205" s="1085"/>
      <c r="AT205" s="1085"/>
      <c r="AU205" s="1085"/>
      <c r="AV205" s="1085">
        <v>445</v>
      </c>
      <c r="AW205" s="1085"/>
      <c r="AX205" s="1085"/>
      <c r="AY205" s="1085">
        <v>50</v>
      </c>
      <c r="AZ205" s="1085">
        <f t="shared" si="111"/>
        <v>156</v>
      </c>
      <c r="BA205" s="1085">
        <f t="shared" si="112"/>
        <v>106</v>
      </c>
      <c r="BB205" s="1085">
        <v>106</v>
      </c>
      <c r="BC205" s="1085"/>
      <c r="BD205" s="1085"/>
      <c r="BE205" s="1085"/>
      <c r="BF205" s="1085">
        <v>-54</v>
      </c>
      <c r="BG205" s="1084">
        <f t="shared" si="113"/>
        <v>-92</v>
      </c>
      <c r="BH205" s="1084">
        <f t="shared" si="116"/>
        <v>-38</v>
      </c>
      <c r="BI205" s="1084">
        <v>-38</v>
      </c>
      <c r="BJ205" s="1084"/>
      <c r="BK205" s="1084"/>
      <c r="BL205" s="1084"/>
      <c r="BM205" s="1084"/>
      <c r="BN205" s="1084"/>
      <c r="BO205" s="1086"/>
      <c r="BP205" s="1084"/>
      <c r="BQ205" s="1087"/>
      <c r="BR205" s="1084"/>
      <c r="BS205" s="1088"/>
      <c r="BT205" s="1089" t="s">
        <v>1651</v>
      </c>
      <c r="BU205" s="1090"/>
    </row>
    <row r="206" spans="1:73" ht="12.75" x14ac:dyDescent="0.25">
      <c r="A206" s="1094"/>
      <c r="B206" s="1095"/>
      <c r="C206" s="1096"/>
      <c r="D206" s="1097"/>
      <c r="E206" s="1082" t="s">
        <v>1581</v>
      </c>
      <c r="F206" s="1083">
        <f t="shared" si="103"/>
        <v>31814</v>
      </c>
      <c r="G206" s="1083">
        <f t="shared" si="104"/>
        <v>31814</v>
      </c>
      <c r="H206" s="1084">
        <v>31814</v>
      </c>
      <c r="I206" s="1084">
        <f t="shared" si="105"/>
        <v>31814</v>
      </c>
      <c r="J206" s="1084">
        <f t="shared" si="106"/>
        <v>0</v>
      </c>
      <c r="K206" s="1084"/>
      <c r="L206" s="1084"/>
      <c r="M206" s="1084"/>
      <c r="N206" s="1084"/>
      <c r="O206" s="1084"/>
      <c r="P206" s="1084"/>
      <c r="Q206" s="1084"/>
      <c r="R206" s="1084"/>
      <c r="S206" s="1084"/>
      <c r="T206" s="1084"/>
      <c r="U206" s="1084"/>
      <c r="V206" s="1084"/>
      <c r="W206" s="1084"/>
      <c r="X206" s="1084"/>
      <c r="Y206" s="1084"/>
      <c r="Z206" s="1084"/>
      <c r="AA206" s="1084"/>
      <c r="AB206" s="1084"/>
      <c r="AC206" s="1084">
        <v>0</v>
      </c>
      <c r="AD206" s="1084">
        <f t="shared" si="107"/>
        <v>0</v>
      </c>
      <c r="AE206" s="1084">
        <f t="shared" si="108"/>
        <v>0</v>
      </c>
      <c r="AF206" s="1084"/>
      <c r="AG206" s="1084"/>
      <c r="AH206" s="1084"/>
      <c r="AI206" s="1084"/>
      <c r="AJ206" s="1084"/>
      <c r="AK206" s="1084"/>
      <c r="AL206" s="1084">
        <v>0</v>
      </c>
      <c r="AM206" s="1085">
        <f t="shared" si="109"/>
        <v>0</v>
      </c>
      <c r="AN206" s="1085">
        <f t="shared" si="110"/>
        <v>0</v>
      </c>
      <c r="AO206" s="1085"/>
      <c r="AP206" s="1085"/>
      <c r="AQ206" s="1085"/>
      <c r="AR206" s="1085"/>
      <c r="AS206" s="1085"/>
      <c r="AT206" s="1085"/>
      <c r="AU206" s="1085"/>
      <c r="AV206" s="1085"/>
      <c r="AW206" s="1085"/>
      <c r="AX206" s="1085"/>
      <c r="AY206" s="1085">
        <v>0</v>
      </c>
      <c r="AZ206" s="1085">
        <f t="shared" si="111"/>
        <v>0</v>
      </c>
      <c r="BA206" s="1085">
        <f t="shared" si="112"/>
        <v>0</v>
      </c>
      <c r="BB206" s="1085"/>
      <c r="BC206" s="1085"/>
      <c r="BD206" s="1085"/>
      <c r="BE206" s="1085"/>
      <c r="BF206" s="1085"/>
      <c r="BG206" s="1084">
        <f t="shared" si="113"/>
        <v>0</v>
      </c>
      <c r="BH206" s="1084">
        <f t="shared" si="116"/>
        <v>0</v>
      </c>
      <c r="BI206" s="1084"/>
      <c r="BJ206" s="1084"/>
      <c r="BK206" s="1084"/>
      <c r="BL206" s="1084"/>
      <c r="BM206" s="1084"/>
      <c r="BN206" s="1084"/>
      <c r="BO206" s="1086"/>
      <c r="BP206" s="1084"/>
      <c r="BQ206" s="1087"/>
      <c r="BR206" s="1084"/>
      <c r="BS206" s="1088"/>
      <c r="BT206" s="1089" t="s">
        <v>1652</v>
      </c>
      <c r="BU206" s="1090"/>
    </row>
    <row r="207" spans="1:73" ht="24" x14ac:dyDescent="0.25">
      <c r="A207" s="1094">
        <v>90000051542</v>
      </c>
      <c r="B207" s="1095"/>
      <c r="C207" s="1514" t="s">
        <v>469</v>
      </c>
      <c r="D207" s="1515"/>
      <c r="E207" s="1082" t="s">
        <v>334</v>
      </c>
      <c r="F207" s="1083">
        <f t="shared" si="103"/>
        <v>1052394</v>
      </c>
      <c r="G207" s="1083">
        <f t="shared" si="104"/>
        <v>1145417</v>
      </c>
      <c r="H207" s="1084">
        <v>433641</v>
      </c>
      <c r="I207" s="1084">
        <f t="shared" si="105"/>
        <v>430458</v>
      </c>
      <c r="J207" s="1084">
        <f t="shared" si="106"/>
        <v>-3183</v>
      </c>
      <c r="K207" s="1084">
        <v>-7603</v>
      </c>
      <c r="L207" s="1084"/>
      <c r="M207" s="1084"/>
      <c r="N207" s="1084"/>
      <c r="O207" s="1084"/>
      <c r="P207" s="1084"/>
      <c r="Q207" s="1084"/>
      <c r="R207" s="1084"/>
      <c r="S207" s="1084"/>
      <c r="T207" s="1084">
        <v>10854</v>
      </c>
      <c r="U207" s="1084"/>
      <c r="V207" s="1084"/>
      <c r="W207" s="1084"/>
      <c r="X207" s="1084"/>
      <c r="Y207" s="1084"/>
      <c r="Z207" s="1084">
        <v>-6434</v>
      </c>
      <c r="AA207" s="1084"/>
      <c r="AB207" s="1084"/>
      <c r="AC207" s="1084">
        <v>601402</v>
      </c>
      <c r="AD207" s="1084">
        <f t="shared" si="107"/>
        <v>689637</v>
      </c>
      <c r="AE207" s="1084">
        <f t="shared" si="108"/>
        <v>88235</v>
      </c>
      <c r="AF207" s="1084"/>
      <c r="AG207" s="1084">
        <v>10028</v>
      </c>
      <c r="AH207" s="1084"/>
      <c r="AI207" s="1084">
        <f>77786+421</f>
        <v>78207</v>
      </c>
      <c r="AJ207" s="1084"/>
      <c r="AK207" s="1084"/>
      <c r="AL207" s="1084">
        <v>17351</v>
      </c>
      <c r="AM207" s="1085">
        <f t="shared" si="109"/>
        <v>25322</v>
      </c>
      <c r="AN207" s="1085">
        <f t="shared" si="110"/>
        <v>7971</v>
      </c>
      <c r="AO207" s="1085">
        <v>4441</v>
      </c>
      <c r="AP207" s="1085"/>
      <c r="AQ207" s="1085"/>
      <c r="AR207" s="1085"/>
      <c r="AS207" s="1085"/>
      <c r="AT207" s="1085"/>
      <c r="AU207" s="1085"/>
      <c r="AV207" s="1085">
        <v>3530</v>
      </c>
      <c r="AW207" s="1085"/>
      <c r="AX207" s="1085"/>
      <c r="AY207" s="1085">
        <v>0</v>
      </c>
      <c r="AZ207" s="1085">
        <f t="shared" si="111"/>
        <v>0</v>
      </c>
      <c r="BA207" s="1085">
        <f t="shared" si="112"/>
        <v>0</v>
      </c>
      <c r="BB207" s="1085"/>
      <c r="BC207" s="1085"/>
      <c r="BD207" s="1085"/>
      <c r="BE207" s="1085"/>
      <c r="BF207" s="1085"/>
      <c r="BG207" s="1084">
        <f t="shared" si="113"/>
        <v>0</v>
      </c>
      <c r="BH207" s="1084">
        <f t="shared" si="116"/>
        <v>0</v>
      </c>
      <c r="BI207" s="1084"/>
      <c r="BJ207" s="1084"/>
      <c r="BK207" s="1084"/>
      <c r="BL207" s="1084"/>
      <c r="BM207" s="1084"/>
      <c r="BN207" s="1084"/>
      <c r="BO207" s="1086"/>
      <c r="BP207" s="1084"/>
      <c r="BQ207" s="1087"/>
      <c r="BR207" s="1084"/>
      <c r="BS207" s="1088"/>
      <c r="BT207" s="1089" t="s">
        <v>1653</v>
      </c>
      <c r="BU207" s="1090"/>
    </row>
    <row r="208" spans="1:73" ht="12.75" x14ac:dyDescent="0.25">
      <c r="A208" s="1094"/>
      <c r="B208" s="1095"/>
      <c r="C208" s="1096"/>
      <c r="D208" s="1097"/>
      <c r="E208" s="1082" t="s">
        <v>1581</v>
      </c>
      <c r="F208" s="1083">
        <f t="shared" si="103"/>
        <v>145772</v>
      </c>
      <c r="G208" s="1083">
        <f t="shared" si="104"/>
        <v>146794</v>
      </c>
      <c r="H208" s="1084">
        <v>104589</v>
      </c>
      <c r="I208" s="1084">
        <f t="shared" si="105"/>
        <v>104589</v>
      </c>
      <c r="J208" s="1084">
        <f t="shared" si="106"/>
        <v>0</v>
      </c>
      <c r="K208" s="1084"/>
      <c r="L208" s="1084"/>
      <c r="M208" s="1084"/>
      <c r="N208" s="1084"/>
      <c r="O208" s="1084"/>
      <c r="P208" s="1084"/>
      <c r="Q208" s="1084"/>
      <c r="R208" s="1084"/>
      <c r="S208" s="1084"/>
      <c r="T208" s="1084"/>
      <c r="U208" s="1084"/>
      <c r="V208" s="1084"/>
      <c r="W208" s="1084"/>
      <c r="X208" s="1084"/>
      <c r="Y208" s="1084"/>
      <c r="Z208" s="1084"/>
      <c r="AA208" s="1084"/>
      <c r="AB208" s="1084"/>
      <c r="AC208" s="1084">
        <v>41183</v>
      </c>
      <c r="AD208" s="1084">
        <f t="shared" si="107"/>
        <v>42205</v>
      </c>
      <c r="AE208" s="1084">
        <f t="shared" si="108"/>
        <v>1022</v>
      </c>
      <c r="AF208" s="1084"/>
      <c r="AG208" s="1084"/>
      <c r="AH208" s="1084"/>
      <c r="AI208" s="1084">
        <v>1022</v>
      </c>
      <c r="AJ208" s="1084"/>
      <c r="AK208" s="1084"/>
      <c r="AL208" s="1084">
        <v>0</v>
      </c>
      <c r="AM208" s="1085">
        <f t="shared" si="109"/>
        <v>0</v>
      </c>
      <c r="AN208" s="1085">
        <f t="shared" si="110"/>
        <v>0</v>
      </c>
      <c r="AO208" s="1085"/>
      <c r="AP208" s="1085"/>
      <c r="AQ208" s="1085"/>
      <c r="AR208" s="1085"/>
      <c r="AS208" s="1085"/>
      <c r="AT208" s="1085"/>
      <c r="AU208" s="1085"/>
      <c r="AV208" s="1085"/>
      <c r="AW208" s="1085"/>
      <c r="AX208" s="1085"/>
      <c r="AY208" s="1085">
        <v>0</v>
      </c>
      <c r="AZ208" s="1085">
        <f t="shared" si="111"/>
        <v>0</v>
      </c>
      <c r="BA208" s="1085">
        <f t="shared" si="112"/>
        <v>0</v>
      </c>
      <c r="BB208" s="1085"/>
      <c r="BC208" s="1085"/>
      <c r="BD208" s="1085"/>
      <c r="BE208" s="1085"/>
      <c r="BF208" s="1085"/>
      <c r="BG208" s="1084">
        <f t="shared" si="113"/>
        <v>0</v>
      </c>
      <c r="BH208" s="1084">
        <f t="shared" si="116"/>
        <v>0</v>
      </c>
      <c r="BI208" s="1084"/>
      <c r="BJ208" s="1084"/>
      <c r="BK208" s="1084"/>
      <c r="BL208" s="1084"/>
      <c r="BM208" s="1084"/>
      <c r="BN208" s="1084"/>
      <c r="BO208" s="1086"/>
      <c r="BP208" s="1084"/>
      <c r="BQ208" s="1087"/>
      <c r="BR208" s="1084"/>
      <c r="BS208" s="1088"/>
      <c r="BT208" s="1089" t="s">
        <v>1654</v>
      </c>
      <c r="BU208" s="1090"/>
    </row>
    <row r="209" spans="1:73" ht="24" x14ac:dyDescent="0.25">
      <c r="A209" s="1094"/>
      <c r="B209" s="1095"/>
      <c r="C209" s="1096"/>
      <c r="D209" s="1097"/>
      <c r="E209" s="1082" t="s">
        <v>1655</v>
      </c>
      <c r="F209" s="1083">
        <f>H209+AC209+AL209+AX209+AY209+BF209</f>
        <v>23797</v>
      </c>
      <c r="G209" s="1083">
        <f t="shared" si="104"/>
        <v>23797</v>
      </c>
      <c r="H209" s="1084">
        <v>23797</v>
      </c>
      <c r="I209" s="1084">
        <f t="shared" si="105"/>
        <v>23797</v>
      </c>
      <c r="J209" s="1084">
        <f t="shared" si="106"/>
        <v>0</v>
      </c>
      <c r="K209" s="1084"/>
      <c r="L209" s="1084"/>
      <c r="M209" s="1084"/>
      <c r="N209" s="1084"/>
      <c r="O209" s="1084"/>
      <c r="P209" s="1084"/>
      <c r="Q209" s="1084"/>
      <c r="R209" s="1084"/>
      <c r="S209" s="1084"/>
      <c r="T209" s="1084"/>
      <c r="U209" s="1084"/>
      <c r="V209" s="1084"/>
      <c r="W209" s="1084"/>
      <c r="X209" s="1084"/>
      <c r="Y209" s="1084"/>
      <c r="Z209" s="1084"/>
      <c r="AA209" s="1084"/>
      <c r="AB209" s="1084"/>
      <c r="AC209" s="1084">
        <v>0</v>
      </c>
      <c r="AD209" s="1084">
        <f t="shared" si="107"/>
        <v>0</v>
      </c>
      <c r="AE209" s="1084">
        <f t="shared" si="108"/>
        <v>0</v>
      </c>
      <c r="AF209" s="1084"/>
      <c r="AG209" s="1084"/>
      <c r="AH209" s="1084"/>
      <c r="AI209" s="1084"/>
      <c r="AJ209" s="1084"/>
      <c r="AK209" s="1084"/>
      <c r="AL209" s="1084">
        <v>0</v>
      </c>
      <c r="AM209" s="1085">
        <f t="shared" si="109"/>
        <v>0</v>
      </c>
      <c r="AN209" s="1085">
        <f t="shared" si="110"/>
        <v>0</v>
      </c>
      <c r="AO209" s="1085"/>
      <c r="AP209" s="1085"/>
      <c r="AQ209" s="1085"/>
      <c r="AR209" s="1085"/>
      <c r="AS209" s="1085"/>
      <c r="AT209" s="1085"/>
      <c r="AU209" s="1085"/>
      <c r="AV209" s="1085"/>
      <c r="AW209" s="1085"/>
      <c r="AX209" s="1085"/>
      <c r="AY209" s="1085">
        <v>0</v>
      </c>
      <c r="AZ209" s="1085">
        <f t="shared" si="111"/>
        <v>0</v>
      </c>
      <c r="BA209" s="1085">
        <f t="shared" si="112"/>
        <v>0</v>
      </c>
      <c r="BB209" s="1085"/>
      <c r="BC209" s="1085"/>
      <c r="BD209" s="1085"/>
      <c r="BE209" s="1085"/>
      <c r="BF209" s="1085"/>
      <c r="BG209" s="1084">
        <f t="shared" si="113"/>
        <v>0</v>
      </c>
      <c r="BH209" s="1084">
        <f t="shared" si="116"/>
        <v>0</v>
      </c>
      <c r="BI209" s="1084"/>
      <c r="BJ209" s="1084"/>
      <c r="BK209" s="1084"/>
      <c r="BL209" s="1084"/>
      <c r="BM209" s="1084"/>
      <c r="BN209" s="1084"/>
      <c r="BO209" s="1086"/>
      <c r="BP209" s="1084"/>
      <c r="BQ209" s="1087"/>
      <c r="BR209" s="1084"/>
      <c r="BS209" s="1088"/>
      <c r="BT209" s="1089" t="s">
        <v>1656</v>
      </c>
      <c r="BU209" s="1090"/>
    </row>
    <row r="210" spans="1:73" ht="24" x14ac:dyDescent="0.25">
      <c r="A210" s="1094"/>
      <c r="B210" s="1095"/>
      <c r="C210" s="1096"/>
      <c r="D210" s="1097"/>
      <c r="E210" s="1082" t="s">
        <v>1657</v>
      </c>
      <c r="F210" s="1083">
        <f>H210+AC210+AL210+AX210+AY210+BF210</f>
        <v>0</v>
      </c>
      <c r="G210" s="1083">
        <f t="shared" si="104"/>
        <v>6740</v>
      </c>
      <c r="H210" s="1084"/>
      <c r="I210" s="1084">
        <f t="shared" si="105"/>
        <v>6740</v>
      </c>
      <c r="J210" s="1084">
        <f t="shared" si="106"/>
        <v>6740</v>
      </c>
      <c r="K210" s="1084"/>
      <c r="L210" s="1084"/>
      <c r="M210" s="1084"/>
      <c r="N210" s="1084"/>
      <c r="O210" s="1084"/>
      <c r="P210" s="1084"/>
      <c r="Q210" s="1084"/>
      <c r="R210" s="1084"/>
      <c r="S210" s="1084"/>
      <c r="T210" s="1084"/>
      <c r="U210" s="1084"/>
      <c r="V210" s="1084"/>
      <c r="W210" s="1084"/>
      <c r="X210" s="1084">
        <v>6740</v>
      </c>
      <c r="Y210" s="1084"/>
      <c r="Z210" s="1084"/>
      <c r="AA210" s="1084"/>
      <c r="AB210" s="1084"/>
      <c r="AC210" s="1084"/>
      <c r="AD210" s="1084">
        <f t="shared" si="107"/>
        <v>0</v>
      </c>
      <c r="AE210" s="1084">
        <f t="shared" si="108"/>
        <v>0</v>
      </c>
      <c r="AF210" s="1084"/>
      <c r="AG210" s="1084"/>
      <c r="AH210" s="1084"/>
      <c r="AI210" s="1084"/>
      <c r="AJ210" s="1084"/>
      <c r="AK210" s="1084"/>
      <c r="AL210" s="1084"/>
      <c r="AM210" s="1085">
        <f t="shared" si="109"/>
        <v>0</v>
      </c>
      <c r="AN210" s="1085">
        <f t="shared" si="110"/>
        <v>0</v>
      </c>
      <c r="AO210" s="1085"/>
      <c r="AP210" s="1085"/>
      <c r="AQ210" s="1085"/>
      <c r="AR210" s="1085"/>
      <c r="AS210" s="1085"/>
      <c r="AT210" s="1085"/>
      <c r="AU210" s="1085"/>
      <c r="AV210" s="1085"/>
      <c r="AW210" s="1085"/>
      <c r="AX210" s="1085"/>
      <c r="AY210" s="1085"/>
      <c r="AZ210" s="1085">
        <f t="shared" si="111"/>
        <v>0</v>
      </c>
      <c r="BA210" s="1085">
        <f t="shared" si="112"/>
        <v>0</v>
      </c>
      <c r="BB210" s="1085"/>
      <c r="BC210" s="1085"/>
      <c r="BD210" s="1085"/>
      <c r="BE210" s="1085"/>
      <c r="BF210" s="1085"/>
      <c r="BG210" s="1084">
        <f t="shared" si="113"/>
        <v>0</v>
      </c>
      <c r="BH210" s="1084">
        <f t="shared" si="116"/>
        <v>0</v>
      </c>
      <c r="BI210" s="1084"/>
      <c r="BJ210" s="1084"/>
      <c r="BK210" s="1084"/>
      <c r="BL210" s="1084"/>
      <c r="BM210" s="1084"/>
      <c r="BN210" s="1084"/>
      <c r="BO210" s="1086"/>
      <c r="BP210" s="1084"/>
      <c r="BQ210" s="1087"/>
      <c r="BR210" s="1084"/>
      <c r="BS210" s="1088"/>
      <c r="BT210" s="1089" t="s">
        <v>1658</v>
      </c>
      <c r="BU210" s="1090"/>
    </row>
    <row r="211" spans="1:73" ht="24" x14ac:dyDescent="0.25">
      <c r="A211" s="1094">
        <v>90001175873</v>
      </c>
      <c r="B211" s="1095"/>
      <c r="C211" s="1514" t="s">
        <v>1659</v>
      </c>
      <c r="D211" s="1515"/>
      <c r="E211" s="1082" t="s">
        <v>334</v>
      </c>
      <c r="F211" s="1083">
        <f t="shared" si="103"/>
        <v>642410</v>
      </c>
      <c r="G211" s="1083">
        <f t="shared" si="104"/>
        <v>692246</v>
      </c>
      <c r="H211" s="1084">
        <v>249941</v>
      </c>
      <c r="I211" s="1084">
        <f t="shared" si="105"/>
        <v>253143</v>
      </c>
      <c r="J211" s="1084">
        <f t="shared" si="106"/>
        <v>3202</v>
      </c>
      <c r="K211" s="1084">
        <f>-4997-3000</f>
        <v>-7997</v>
      </c>
      <c r="L211" s="1084"/>
      <c r="M211" s="1084"/>
      <c r="N211" s="1084"/>
      <c r="O211" s="1084"/>
      <c r="P211" s="1084"/>
      <c r="Q211" s="1084">
        <v>9186</v>
      </c>
      <c r="R211" s="1084"/>
      <c r="S211" s="1084"/>
      <c r="T211" s="1084">
        <v>6757</v>
      </c>
      <c r="U211" s="1084"/>
      <c r="V211" s="1084"/>
      <c r="W211" s="1084"/>
      <c r="X211" s="1084"/>
      <c r="Y211" s="1084"/>
      <c r="Z211" s="1084">
        <v>-4744</v>
      </c>
      <c r="AA211" s="1084"/>
      <c r="AB211" s="1084"/>
      <c r="AC211" s="1084">
        <v>382605</v>
      </c>
      <c r="AD211" s="1084">
        <f t="shared" si="107"/>
        <v>421929</v>
      </c>
      <c r="AE211" s="1084">
        <f t="shared" si="108"/>
        <v>39324</v>
      </c>
      <c r="AF211" s="1084"/>
      <c r="AG211" s="1084">
        <v>6831</v>
      </c>
      <c r="AH211" s="1084"/>
      <c r="AI211" s="1084">
        <v>32493</v>
      </c>
      <c r="AJ211" s="1084"/>
      <c r="AK211" s="1084"/>
      <c r="AL211" s="1084">
        <v>9764</v>
      </c>
      <c r="AM211" s="1085">
        <f t="shared" si="109"/>
        <v>16445</v>
      </c>
      <c r="AN211" s="1085">
        <f t="shared" si="110"/>
        <v>6681</v>
      </c>
      <c r="AO211" s="1085">
        <v>6656</v>
      </c>
      <c r="AP211" s="1085"/>
      <c r="AQ211" s="1085">
        <v>25</v>
      </c>
      <c r="AR211" s="1085"/>
      <c r="AS211" s="1085"/>
      <c r="AT211" s="1085"/>
      <c r="AU211" s="1085"/>
      <c r="AV211" s="1085"/>
      <c r="AW211" s="1085"/>
      <c r="AX211" s="1085"/>
      <c r="AY211" s="1085">
        <v>100</v>
      </c>
      <c r="AZ211" s="1085">
        <f t="shared" si="111"/>
        <v>729</v>
      </c>
      <c r="BA211" s="1085">
        <f t="shared" si="112"/>
        <v>629</v>
      </c>
      <c r="BB211" s="1085">
        <v>629</v>
      </c>
      <c r="BC211" s="1085"/>
      <c r="BD211" s="1085"/>
      <c r="BE211" s="1085"/>
      <c r="BF211" s="1085"/>
      <c r="BG211" s="1084">
        <f t="shared" si="113"/>
        <v>0</v>
      </c>
      <c r="BH211" s="1084">
        <f t="shared" si="116"/>
        <v>0</v>
      </c>
      <c r="BI211" s="1084"/>
      <c r="BJ211" s="1084"/>
      <c r="BK211" s="1084"/>
      <c r="BL211" s="1084"/>
      <c r="BM211" s="1084"/>
      <c r="BN211" s="1084"/>
      <c r="BO211" s="1086"/>
      <c r="BP211" s="1084"/>
      <c r="BQ211" s="1087"/>
      <c r="BR211" s="1084"/>
      <c r="BS211" s="1088"/>
      <c r="BT211" s="1089" t="s">
        <v>1660</v>
      </c>
      <c r="BU211" s="1090"/>
    </row>
    <row r="212" spans="1:73" ht="12.75" x14ac:dyDescent="0.25">
      <c r="A212" s="1094"/>
      <c r="B212" s="1095"/>
      <c r="C212" s="1096"/>
      <c r="D212" s="1097"/>
      <c r="E212" s="1082" t="s">
        <v>1581</v>
      </c>
      <c r="F212" s="1083">
        <f t="shared" si="103"/>
        <v>95116</v>
      </c>
      <c r="G212" s="1083">
        <f t="shared" si="104"/>
        <v>93364</v>
      </c>
      <c r="H212" s="1084">
        <v>33881</v>
      </c>
      <c r="I212" s="1084">
        <f t="shared" si="105"/>
        <v>33881</v>
      </c>
      <c r="J212" s="1084">
        <f t="shared" si="106"/>
        <v>0</v>
      </c>
      <c r="K212" s="1084"/>
      <c r="L212" s="1084"/>
      <c r="M212" s="1084"/>
      <c r="N212" s="1084"/>
      <c r="O212" s="1084"/>
      <c r="P212" s="1084"/>
      <c r="Q212" s="1084"/>
      <c r="R212" s="1084"/>
      <c r="S212" s="1084"/>
      <c r="T212" s="1084"/>
      <c r="U212" s="1084"/>
      <c r="V212" s="1084"/>
      <c r="W212" s="1084"/>
      <c r="X212" s="1084"/>
      <c r="Y212" s="1084"/>
      <c r="Z212" s="1084"/>
      <c r="AA212" s="1084"/>
      <c r="AB212" s="1084"/>
      <c r="AC212" s="1084">
        <v>61235</v>
      </c>
      <c r="AD212" s="1084">
        <f t="shared" si="107"/>
        <v>59483</v>
      </c>
      <c r="AE212" s="1084">
        <f t="shared" si="108"/>
        <v>-1752</v>
      </c>
      <c r="AF212" s="1084"/>
      <c r="AG212" s="1084">
        <v>2</v>
      </c>
      <c r="AH212" s="1084"/>
      <c r="AI212" s="1084">
        <v>-1754</v>
      </c>
      <c r="AJ212" s="1084"/>
      <c r="AK212" s="1084"/>
      <c r="AL212" s="1084">
        <v>0</v>
      </c>
      <c r="AM212" s="1085">
        <f t="shared" si="109"/>
        <v>0</v>
      </c>
      <c r="AN212" s="1085">
        <f t="shared" si="110"/>
        <v>0</v>
      </c>
      <c r="AO212" s="1085"/>
      <c r="AP212" s="1085"/>
      <c r="AQ212" s="1085"/>
      <c r="AR212" s="1085"/>
      <c r="AS212" s="1085"/>
      <c r="AT212" s="1085"/>
      <c r="AU212" s="1085"/>
      <c r="AV212" s="1085"/>
      <c r="AW212" s="1085"/>
      <c r="AX212" s="1085"/>
      <c r="AY212" s="1085">
        <v>0</v>
      </c>
      <c r="AZ212" s="1085">
        <f t="shared" si="111"/>
        <v>0</v>
      </c>
      <c r="BA212" s="1085">
        <f t="shared" si="112"/>
        <v>0</v>
      </c>
      <c r="BB212" s="1085"/>
      <c r="BC212" s="1085"/>
      <c r="BD212" s="1085"/>
      <c r="BE212" s="1085"/>
      <c r="BF212" s="1085"/>
      <c r="BG212" s="1084">
        <f t="shared" si="113"/>
        <v>0</v>
      </c>
      <c r="BH212" s="1084">
        <f t="shared" si="116"/>
        <v>0</v>
      </c>
      <c r="BI212" s="1084"/>
      <c r="BJ212" s="1084"/>
      <c r="BK212" s="1084"/>
      <c r="BL212" s="1084"/>
      <c r="BM212" s="1084"/>
      <c r="BN212" s="1084"/>
      <c r="BO212" s="1086"/>
      <c r="BP212" s="1084"/>
      <c r="BQ212" s="1087"/>
      <c r="BR212" s="1084"/>
      <c r="BS212" s="1088"/>
      <c r="BT212" s="1089" t="s">
        <v>1661</v>
      </c>
      <c r="BU212" s="1090"/>
    </row>
    <row r="213" spans="1:73" ht="24" x14ac:dyDescent="0.25">
      <c r="A213" s="1094">
        <v>90009251361</v>
      </c>
      <c r="B213" s="1095"/>
      <c r="C213" s="1514" t="s">
        <v>1173</v>
      </c>
      <c r="D213" s="1515"/>
      <c r="E213" s="1082" t="s">
        <v>334</v>
      </c>
      <c r="F213" s="1083">
        <f t="shared" si="103"/>
        <v>620337</v>
      </c>
      <c r="G213" s="1083">
        <f t="shared" si="104"/>
        <v>651820</v>
      </c>
      <c r="H213" s="1084">
        <v>440657</v>
      </c>
      <c r="I213" s="1084">
        <f t="shared" si="105"/>
        <v>457279</v>
      </c>
      <c r="J213" s="1084">
        <f t="shared" si="106"/>
        <v>16622</v>
      </c>
      <c r="K213" s="1084">
        <v>-8812</v>
      </c>
      <c r="L213" s="1084"/>
      <c r="M213" s="1084"/>
      <c r="N213" s="1084"/>
      <c r="O213" s="1084"/>
      <c r="P213" s="1084"/>
      <c r="Q213" s="1084"/>
      <c r="R213" s="1084"/>
      <c r="S213" s="1084"/>
      <c r="T213" s="1084">
        <v>17273</v>
      </c>
      <c r="U213" s="1084"/>
      <c r="V213" s="1084"/>
      <c r="W213" s="1084"/>
      <c r="X213" s="1084"/>
      <c r="Y213" s="1084"/>
      <c r="Z213" s="1084">
        <v>8161</v>
      </c>
      <c r="AA213" s="1084"/>
      <c r="AB213" s="1084"/>
      <c r="AC213" s="1084">
        <v>160184</v>
      </c>
      <c r="AD213" s="1084">
        <f t="shared" si="107"/>
        <v>172980</v>
      </c>
      <c r="AE213" s="1084">
        <f t="shared" si="108"/>
        <v>12796</v>
      </c>
      <c r="AF213" s="1084"/>
      <c r="AG213" s="1084">
        <v>3331</v>
      </c>
      <c r="AH213" s="1084"/>
      <c r="AI213" s="1084">
        <v>9465</v>
      </c>
      <c r="AJ213" s="1084"/>
      <c r="AK213" s="1084"/>
      <c r="AL213" s="1084">
        <v>19496</v>
      </c>
      <c r="AM213" s="1085">
        <f t="shared" si="109"/>
        <v>21561</v>
      </c>
      <c r="AN213" s="1085">
        <f t="shared" si="110"/>
        <v>2065</v>
      </c>
      <c r="AO213" s="1085">
        <v>2000</v>
      </c>
      <c r="AP213" s="1085"/>
      <c r="AQ213" s="1085"/>
      <c r="AR213" s="1085"/>
      <c r="AS213" s="1085"/>
      <c r="AT213" s="1085"/>
      <c r="AU213" s="1085"/>
      <c r="AV213" s="1085">
        <v>65</v>
      </c>
      <c r="AW213" s="1085"/>
      <c r="AX213" s="1085"/>
      <c r="AY213" s="1085">
        <v>0</v>
      </c>
      <c r="AZ213" s="1085">
        <f t="shared" si="111"/>
        <v>0</v>
      </c>
      <c r="BA213" s="1085">
        <f t="shared" si="112"/>
        <v>0</v>
      </c>
      <c r="BB213" s="1085"/>
      <c r="BC213" s="1085"/>
      <c r="BD213" s="1085"/>
      <c r="BE213" s="1085"/>
      <c r="BF213" s="1085"/>
      <c r="BG213" s="1084">
        <f t="shared" si="113"/>
        <v>0</v>
      </c>
      <c r="BH213" s="1084">
        <f t="shared" si="116"/>
        <v>0</v>
      </c>
      <c r="BI213" s="1084"/>
      <c r="BJ213" s="1084"/>
      <c r="BK213" s="1084"/>
      <c r="BL213" s="1084"/>
      <c r="BM213" s="1084"/>
      <c r="BN213" s="1084"/>
      <c r="BO213" s="1086"/>
      <c r="BP213" s="1084"/>
      <c r="BQ213" s="1087"/>
      <c r="BR213" s="1084"/>
      <c r="BS213" s="1088"/>
      <c r="BT213" s="1089" t="s">
        <v>1662</v>
      </c>
      <c r="BU213" s="1090"/>
    </row>
    <row r="214" spans="1:73" ht="12.75" x14ac:dyDescent="0.25">
      <c r="A214" s="1094"/>
      <c r="B214" s="1095"/>
      <c r="C214" s="1096"/>
      <c r="D214" s="1097"/>
      <c r="E214" s="1082" t="s">
        <v>1581</v>
      </c>
      <c r="F214" s="1083">
        <f t="shared" si="103"/>
        <v>65847</v>
      </c>
      <c r="G214" s="1083">
        <f t="shared" si="104"/>
        <v>72722</v>
      </c>
      <c r="H214" s="1084">
        <v>39767</v>
      </c>
      <c r="I214" s="1084">
        <f t="shared" si="105"/>
        <v>39767</v>
      </c>
      <c r="J214" s="1084">
        <f t="shared" si="106"/>
        <v>0</v>
      </c>
      <c r="K214" s="1084"/>
      <c r="L214" s="1084"/>
      <c r="M214" s="1084"/>
      <c r="N214" s="1084"/>
      <c r="O214" s="1084"/>
      <c r="P214" s="1084"/>
      <c r="Q214" s="1084"/>
      <c r="R214" s="1084"/>
      <c r="S214" s="1084"/>
      <c r="T214" s="1084"/>
      <c r="U214" s="1084"/>
      <c r="V214" s="1084"/>
      <c r="W214" s="1084"/>
      <c r="X214" s="1084"/>
      <c r="Y214" s="1084"/>
      <c r="Z214" s="1084"/>
      <c r="AA214" s="1084"/>
      <c r="AB214" s="1084"/>
      <c r="AC214" s="1084">
        <v>26080</v>
      </c>
      <c r="AD214" s="1084">
        <f t="shared" si="107"/>
        <v>32955</v>
      </c>
      <c r="AE214" s="1084">
        <f t="shared" si="108"/>
        <v>6875</v>
      </c>
      <c r="AF214" s="1084"/>
      <c r="AG214" s="1084">
        <v>6606</v>
      </c>
      <c r="AH214" s="1084"/>
      <c r="AI214" s="1084">
        <v>269</v>
      </c>
      <c r="AJ214" s="1084"/>
      <c r="AK214" s="1084"/>
      <c r="AL214" s="1084">
        <v>0</v>
      </c>
      <c r="AM214" s="1085">
        <f t="shared" si="109"/>
        <v>0</v>
      </c>
      <c r="AN214" s="1085">
        <f t="shared" si="110"/>
        <v>0</v>
      </c>
      <c r="AO214" s="1085"/>
      <c r="AP214" s="1085"/>
      <c r="AQ214" s="1085"/>
      <c r="AR214" s="1085"/>
      <c r="AS214" s="1085"/>
      <c r="AT214" s="1085"/>
      <c r="AU214" s="1085"/>
      <c r="AV214" s="1085"/>
      <c r="AW214" s="1085"/>
      <c r="AX214" s="1085"/>
      <c r="AY214" s="1085">
        <v>0</v>
      </c>
      <c r="AZ214" s="1085">
        <f t="shared" si="111"/>
        <v>0</v>
      </c>
      <c r="BA214" s="1085">
        <f t="shared" si="112"/>
        <v>0</v>
      </c>
      <c r="BB214" s="1085"/>
      <c r="BC214" s="1085"/>
      <c r="BD214" s="1085"/>
      <c r="BE214" s="1085"/>
      <c r="BF214" s="1085"/>
      <c r="BG214" s="1084">
        <f t="shared" si="113"/>
        <v>0</v>
      </c>
      <c r="BH214" s="1084">
        <f t="shared" si="116"/>
        <v>0</v>
      </c>
      <c r="BI214" s="1084"/>
      <c r="BJ214" s="1084"/>
      <c r="BK214" s="1084"/>
      <c r="BL214" s="1084"/>
      <c r="BM214" s="1084"/>
      <c r="BN214" s="1084"/>
      <c r="BO214" s="1086"/>
      <c r="BP214" s="1084"/>
      <c r="BQ214" s="1087"/>
      <c r="BR214" s="1084"/>
      <c r="BS214" s="1088"/>
      <c r="BT214" s="1089" t="s">
        <v>1663</v>
      </c>
      <c r="BU214" s="1090"/>
    </row>
    <row r="215" spans="1:73" ht="36" x14ac:dyDescent="0.25">
      <c r="A215" s="1094"/>
      <c r="B215" s="1095"/>
      <c r="C215" s="1096"/>
      <c r="D215" s="1097"/>
      <c r="E215" s="1082" t="s">
        <v>1664</v>
      </c>
      <c r="F215" s="1083">
        <f t="shared" si="103"/>
        <v>465</v>
      </c>
      <c r="G215" s="1083">
        <f t="shared" si="104"/>
        <v>465</v>
      </c>
      <c r="H215" s="1084">
        <v>465</v>
      </c>
      <c r="I215" s="1084">
        <f t="shared" si="105"/>
        <v>465</v>
      </c>
      <c r="J215" s="1084">
        <f t="shared" si="106"/>
        <v>0</v>
      </c>
      <c r="K215" s="1084"/>
      <c r="L215" s="1084"/>
      <c r="M215" s="1084"/>
      <c r="N215" s="1084"/>
      <c r="O215" s="1084"/>
      <c r="P215" s="1084"/>
      <c r="Q215" s="1084"/>
      <c r="R215" s="1084"/>
      <c r="S215" s="1084"/>
      <c r="T215" s="1084"/>
      <c r="U215" s="1084"/>
      <c r="V215" s="1084"/>
      <c r="W215" s="1084"/>
      <c r="X215" s="1084"/>
      <c r="Y215" s="1084"/>
      <c r="Z215" s="1084"/>
      <c r="AA215" s="1084"/>
      <c r="AB215" s="1084"/>
      <c r="AC215" s="1084">
        <v>0</v>
      </c>
      <c r="AD215" s="1084">
        <f t="shared" si="107"/>
        <v>0</v>
      </c>
      <c r="AE215" s="1084">
        <f t="shared" si="108"/>
        <v>0</v>
      </c>
      <c r="AF215" s="1084"/>
      <c r="AG215" s="1084"/>
      <c r="AH215" s="1084"/>
      <c r="AI215" s="1084"/>
      <c r="AJ215" s="1084"/>
      <c r="AK215" s="1084"/>
      <c r="AL215" s="1084">
        <v>0</v>
      </c>
      <c r="AM215" s="1085">
        <f t="shared" si="109"/>
        <v>0</v>
      </c>
      <c r="AN215" s="1085">
        <f t="shared" si="110"/>
        <v>0</v>
      </c>
      <c r="AO215" s="1085"/>
      <c r="AP215" s="1085"/>
      <c r="AQ215" s="1085"/>
      <c r="AR215" s="1085"/>
      <c r="AS215" s="1085"/>
      <c r="AT215" s="1085"/>
      <c r="AU215" s="1085"/>
      <c r="AV215" s="1085"/>
      <c r="AW215" s="1085"/>
      <c r="AX215" s="1085"/>
      <c r="AY215" s="1085">
        <v>0</v>
      </c>
      <c r="AZ215" s="1085">
        <f t="shared" si="111"/>
        <v>0</v>
      </c>
      <c r="BA215" s="1085">
        <f t="shared" si="112"/>
        <v>0</v>
      </c>
      <c r="BB215" s="1085"/>
      <c r="BC215" s="1085"/>
      <c r="BD215" s="1085"/>
      <c r="BE215" s="1085"/>
      <c r="BF215" s="1085"/>
      <c r="BG215" s="1084">
        <f t="shared" si="113"/>
        <v>0</v>
      </c>
      <c r="BH215" s="1084">
        <f t="shared" si="116"/>
        <v>0</v>
      </c>
      <c r="BI215" s="1084"/>
      <c r="BJ215" s="1084"/>
      <c r="BK215" s="1084"/>
      <c r="BL215" s="1084"/>
      <c r="BM215" s="1084"/>
      <c r="BN215" s="1084"/>
      <c r="BO215" s="1086"/>
      <c r="BP215" s="1084"/>
      <c r="BQ215" s="1087"/>
      <c r="BR215" s="1084"/>
      <c r="BS215" s="1088"/>
      <c r="BT215" s="1089" t="s">
        <v>1665</v>
      </c>
      <c r="BU215" s="1090"/>
    </row>
    <row r="216" spans="1:73" ht="24" x14ac:dyDescent="0.25">
      <c r="A216" s="1094">
        <v>90000051699</v>
      </c>
      <c r="B216" s="1095"/>
      <c r="C216" s="1514" t="s">
        <v>1666</v>
      </c>
      <c r="D216" s="1515"/>
      <c r="E216" s="1082" t="s">
        <v>334</v>
      </c>
      <c r="F216" s="1083">
        <f t="shared" si="103"/>
        <v>643858</v>
      </c>
      <c r="G216" s="1083">
        <f t="shared" si="104"/>
        <v>660591</v>
      </c>
      <c r="H216" s="1084">
        <v>416657</v>
      </c>
      <c r="I216" s="1084">
        <f t="shared" si="105"/>
        <v>426714</v>
      </c>
      <c r="J216" s="1084">
        <f t="shared" si="106"/>
        <v>10057</v>
      </c>
      <c r="K216" s="1084">
        <f>-11559-3000</f>
        <v>-14559</v>
      </c>
      <c r="L216" s="1084"/>
      <c r="M216" s="1084"/>
      <c r="N216" s="1084"/>
      <c r="O216" s="1084"/>
      <c r="P216" s="1084"/>
      <c r="Q216" s="1084"/>
      <c r="R216" s="1084"/>
      <c r="S216" s="1084"/>
      <c r="T216" s="1084">
        <v>14886</v>
      </c>
      <c r="U216" s="1084"/>
      <c r="V216" s="1084"/>
      <c r="W216" s="1084"/>
      <c r="X216" s="1084"/>
      <c r="Y216" s="1084">
        <v>3300</v>
      </c>
      <c r="Z216" s="1084">
        <v>6430</v>
      </c>
      <c r="AA216" s="1084"/>
      <c r="AB216" s="1084"/>
      <c r="AC216" s="1084">
        <v>179138</v>
      </c>
      <c r="AD216" s="1084">
        <f t="shared" si="107"/>
        <v>179035</v>
      </c>
      <c r="AE216" s="1084">
        <f t="shared" si="108"/>
        <v>-103</v>
      </c>
      <c r="AF216" s="1084"/>
      <c r="AG216" s="1084">
        <v>3463</v>
      </c>
      <c r="AH216" s="1084"/>
      <c r="AI216" s="1084">
        <f>-3676+110</f>
        <v>-3566</v>
      </c>
      <c r="AJ216" s="1084"/>
      <c r="AK216" s="1084"/>
      <c r="AL216" s="1084">
        <v>48063</v>
      </c>
      <c r="AM216" s="1085">
        <f t="shared" si="109"/>
        <v>54842</v>
      </c>
      <c r="AN216" s="1085">
        <f t="shared" si="110"/>
        <v>6779</v>
      </c>
      <c r="AO216" s="1085">
        <v>6779</v>
      </c>
      <c r="AP216" s="1085"/>
      <c r="AQ216" s="1085"/>
      <c r="AR216" s="1085"/>
      <c r="AS216" s="1085"/>
      <c r="AT216" s="1085"/>
      <c r="AU216" s="1085"/>
      <c r="AV216" s="1085"/>
      <c r="AW216" s="1085"/>
      <c r="AX216" s="1085"/>
      <c r="AY216" s="1085">
        <v>0</v>
      </c>
      <c r="AZ216" s="1085">
        <f t="shared" si="111"/>
        <v>0</v>
      </c>
      <c r="BA216" s="1085">
        <f t="shared" si="112"/>
        <v>0</v>
      </c>
      <c r="BB216" s="1085"/>
      <c r="BC216" s="1085"/>
      <c r="BD216" s="1085"/>
      <c r="BE216" s="1085"/>
      <c r="BF216" s="1085"/>
      <c r="BG216" s="1084">
        <f t="shared" si="113"/>
        <v>0</v>
      </c>
      <c r="BH216" s="1084">
        <f t="shared" si="116"/>
        <v>0</v>
      </c>
      <c r="BI216" s="1084"/>
      <c r="BJ216" s="1084"/>
      <c r="BK216" s="1084"/>
      <c r="BL216" s="1084"/>
      <c r="BM216" s="1084"/>
      <c r="BN216" s="1084"/>
      <c r="BO216" s="1086"/>
      <c r="BP216" s="1084"/>
      <c r="BQ216" s="1087"/>
      <c r="BR216" s="1084"/>
      <c r="BS216" s="1088"/>
      <c r="BT216" s="1089" t="s">
        <v>1667</v>
      </c>
      <c r="BU216" s="1090"/>
    </row>
    <row r="217" spans="1:73" ht="12.75" x14ac:dyDescent="0.25">
      <c r="A217" s="1094"/>
      <c r="B217" s="1095"/>
      <c r="C217" s="1096"/>
      <c r="D217" s="1097"/>
      <c r="E217" s="1082" t="s">
        <v>1581</v>
      </c>
      <c r="F217" s="1083">
        <f t="shared" si="103"/>
        <v>65135</v>
      </c>
      <c r="G217" s="1083">
        <f t="shared" si="104"/>
        <v>65847</v>
      </c>
      <c r="H217" s="1084">
        <v>42711</v>
      </c>
      <c r="I217" s="1084">
        <f t="shared" si="105"/>
        <v>42711</v>
      </c>
      <c r="J217" s="1084">
        <f t="shared" si="106"/>
        <v>0</v>
      </c>
      <c r="K217" s="1084"/>
      <c r="L217" s="1084"/>
      <c r="M217" s="1084"/>
      <c r="N217" s="1084"/>
      <c r="O217" s="1084"/>
      <c r="P217" s="1084"/>
      <c r="Q217" s="1084"/>
      <c r="R217" s="1084"/>
      <c r="S217" s="1084"/>
      <c r="T217" s="1084"/>
      <c r="U217" s="1084"/>
      <c r="V217" s="1084"/>
      <c r="W217" s="1084"/>
      <c r="X217" s="1084"/>
      <c r="Y217" s="1084"/>
      <c r="Z217" s="1084"/>
      <c r="AA217" s="1084"/>
      <c r="AB217" s="1084"/>
      <c r="AC217" s="1084">
        <v>22424</v>
      </c>
      <c r="AD217" s="1084">
        <f t="shared" si="107"/>
        <v>23136</v>
      </c>
      <c r="AE217" s="1084">
        <f t="shared" si="108"/>
        <v>712</v>
      </c>
      <c r="AF217" s="1084"/>
      <c r="AG217" s="1084">
        <v>1</v>
      </c>
      <c r="AH217" s="1084"/>
      <c r="AI217" s="1084">
        <v>711</v>
      </c>
      <c r="AJ217" s="1084"/>
      <c r="AK217" s="1084"/>
      <c r="AL217" s="1084">
        <v>0</v>
      </c>
      <c r="AM217" s="1085">
        <f t="shared" si="109"/>
        <v>0</v>
      </c>
      <c r="AN217" s="1085">
        <f t="shared" si="110"/>
        <v>0</v>
      </c>
      <c r="AO217" s="1085"/>
      <c r="AP217" s="1085"/>
      <c r="AQ217" s="1085"/>
      <c r="AR217" s="1085"/>
      <c r="AS217" s="1085"/>
      <c r="AT217" s="1085"/>
      <c r="AU217" s="1085"/>
      <c r="AV217" s="1085"/>
      <c r="AW217" s="1085"/>
      <c r="AX217" s="1085"/>
      <c r="AY217" s="1085">
        <v>0</v>
      </c>
      <c r="AZ217" s="1085">
        <f t="shared" si="111"/>
        <v>0</v>
      </c>
      <c r="BA217" s="1085">
        <f t="shared" si="112"/>
        <v>0</v>
      </c>
      <c r="BB217" s="1085"/>
      <c r="BC217" s="1085"/>
      <c r="BD217" s="1085"/>
      <c r="BE217" s="1085"/>
      <c r="BF217" s="1085"/>
      <c r="BG217" s="1084">
        <f t="shared" si="113"/>
        <v>0</v>
      </c>
      <c r="BH217" s="1084">
        <f t="shared" si="116"/>
        <v>0</v>
      </c>
      <c r="BI217" s="1084"/>
      <c r="BJ217" s="1084"/>
      <c r="BK217" s="1084"/>
      <c r="BL217" s="1084"/>
      <c r="BM217" s="1084"/>
      <c r="BN217" s="1084"/>
      <c r="BO217" s="1086"/>
      <c r="BP217" s="1084"/>
      <c r="BQ217" s="1087"/>
      <c r="BR217" s="1084"/>
      <c r="BS217" s="1088"/>
      <c r="BT217" s="1089" t="s">
        <v>1668</v>
      </c>
      <c r="BU217" s="1090"/>
    </row>
    <row r="218" spans="1:73" ht="24" x14ac:dyDescent="0.25">
      <c r="A218" s="1094">
        <v>90000051612</v>
      </c>
      <c r="B218" s="1095"/>
      <c r="C218" s="1514" t="s">
        <v>1669</v>
      </c>
      <c r="D218" s="1515"/>
      <c r="E218" s="1082" t="s">
        <v>334</v>
      </c>
      <c r="F218" s="1083">
        <f t="shared" si="103"/>
        <v>616586</v>
      </c>
      <c r="G218" s="1083">
        <f t="shared" si="104"/>
        <v>632743</v>
      </c>
      <c r="H218" s="1084">
        <v>306161</v>
      </c>
      <c r="I218" s="1084">
        <f t="shared" si="105"/>
        <v>297014</v>
      </c>
      <c r="J218" s="1084">
        <f t="shared" si="106"/>
        <v>-9147</v>
      </c>
      <c r="K218" s="1084">
        <f>-7097-1704</f>
        <v>-8801</v>
      </c>
      <c r="L218" s="1084"/>
      <c r="M218" s="1084"/>
      <c r="N218" s="1084"/>
      <c r="O218" s="1084"/>
      <c r="P218" s="1084"/>
      <c r="Q218" s="1084"/>
      <c r="R218" s="1084"/>
      <c r="S218" s="1084"/>
      <c r="T218" s="1084">
        <v>3842</v>
      </c>
      <c r="U218" s="1084"/>
      <c r="V218" s="1084"/>
      <c r="W218" s="1084"/>
      <c r="X218" s="1084"/>
      <c r="Y218" s="1084"/>
      <c r="Z218" s="1084">
        <v>-4188</v>
      </c>
      <c r="AA218" s="1084"/>
      <c r="AB218" s="1084"/>
      <c r="AC218" s="1084">
        <v>303033</v>
      </c>
      <c r="AD218" s="1084">
        <f t="shared" si="107"/>
        <v>326633</v>
      </c>
      <c r="AE218" s="1084">
        <f t="shared" si="108"/>
        <v>23600</v>
      </c>
      <c r="AF218" s="1084"/>
      <c r="AG218" s="1084">
        <v>6037</v>
      </c>
      <c r="AH218" s="1084"/>
      <c r="AI218" s="1084">
        <v>17563</v>
      </c>
      <c r="AJ218" s="1084"/>
      <c r="AK218" s="1084"/>
      <c r="AL218" s="1084">
        <v>7392</v>
      </c>
      <c r="AM218" s="1085">
        <f t="shared" si="109"/>
        <v>9096</v>
      </c>
      <c r="AN218" s="1085">
        <f t="shared" si="110"/>
        <v>1704</v>
      </c>
      <c r="AO218" s="1085">
        <v>1704</v>
      </c>
      <c r="AP218" s="1085"/>
      <c r="AQ218" s="1085"/>
      <c r="AR218" s="1085"/>
      <c r="AS218" s="1085"/>
      <c r="AT218" s="1085"/>
      <c r="AU218" s="1085"/>
      <c r="AV218" s="1085"/>
      <c r="AW218" s="1085"/>
      <c r="AX218" s="1085"/>
      <c r="AY218" s="1085">
        <v>0</v>
      </c>
      <c r="AZ218" s="1085">
        <f t="shared" si="111"/>
        <v>0</v>
      </c>
      <c r="BA218" s="1085">
        <f t="shared" si="112"/>
        <v>0</v>
      </c>
      <c r="BB218" s="1085"/>
      <c r="BC218" s="1085"/>
      <c r="BD218" s="1085"/>
      <c r="BE218" s="1085"/>
      <c r="BF218" s="1085"/>
      <c r="BG218" s="1084">
        <f t="shared" si="113"/>
        <v>0</v>
      </c>
      <c r="BH218" s="1084">
        <f t="shared" si="116"/>
        <v>0</v>
      </c>
      <c r="BI218" s="1084"/>
      <c r="BJ218" s="1084"/>
      <c r="BK218" s="1084"/>
      <c r="BL218" s="1084"/>
      <c r="BM218" s="1084"/>
      <c r="BN218" s="1084"/>
      <c r="BO218" s="1086"/>
      <c r="BP218" s="1084"/>
      <c r="BQ218" s="1087"/>
      <c r="BR218" s="1084"/>
      <c r="BS218" s="1088"/>
      <c r="BT218" s="1089" t="s">
        <v>1670</v>
      </c>
      <c r="BU218" s="1090"/>
    </row>
    <row r="219" spans="1:73" ht="12.75" x14ac:dyDescent="0.25">
      <c r="A219" s="1094"/>
      <c r="B219" s="1095"/>
      <c r="C219" s="1096"/>
      <c r="D219" s="1097"/>
      <c r="E219" s="1082" t="s">
        <v>1581</v>
      </c>
      <c r="F219" s="1083">
        <f t="shared" ref="F219:F235" si="117">H219+AC219+AL219+AX219+AY219+BF219</f>
        <v>85474</v>
      </c>
      <c r="G219" s="1083">
        <f t="shared" ref="G219:G235" si="118">I219+AD219+AM219+AX219+AZ219+BG219</f>
        <v>92118</v>
      </c>
      <c r="H219" s="1084">
        <v>51098</v>
      </c>
      <c r="I219" s="1084">
        <f t="shared" ref="I219:I235" si="119">H219+J219</f>
        <v>51098</v>
      </c>
      <c r="J219" s="1084">
        <f t="shared" ref="J219:J235" si="120">SUM(K219:AB219)</f>
        <v>0</v>
      </c>
      <c r="K219" s="1084"/>
      <c r="L219" s="1084"/>
      <c r="M219" s="1084"/>
      <c r="N219" s="1084"/>
      <c r="O219" s="1084"/>
      <c r="P219" s="1084"/>
      <c r="Q219" s="1084"/>
      <c r="R219" s="1084"/>
      <c r="S219" s="1084"/>
      <c r="T219" s="1084"/>
      <c r="U219" s="1084"/>
      <c r="V219" s="1084"/>
      <c r="W219" s="1084"/>
      <c r="X219" s="1084"/>
      <c r="Y219" s="1084"/>
      <c r="Z219" s="1084"/>
      <c r="AA219" s="1084"/>
      <c r="AB219" s="1084"/>
      <c r="AC219" s="1084">
        <v>34376</v>
      </c>
      <c r="AD219" s="1084">
        <f t="shared" ref="AD219:AD230" si="121">AC219+AE219</f>
        <v>41020</v>
      </c>
      <c r="AE219" s="1084">
        <f t="shared" ref="AE219:AE230" si="122">SUM(AF219:AK219)</f>
        <v>6644</v>
      </c>
      <c r="AF219" s="1084"/>
      <c r="AG219" s="1084">
        <v>6424</v>
      </c>
      <c r="AH219" s="1084"/>
      <c r="AI219" s="1084">
        <v>220</v>
      </c>
      <c r="AJ219" s="1084"/>
      <c r="AK219" s="1084"/>
      <c r="AL219" s="1084">
        <v>0</v>
      </c>
      <c r="AM219" s="1085">
        <f t="shared" ref="AM219:AM230" si="123">AN219+AL219</f>
        <v>0</v>
      </c>
      <c r="AN219" s="1085">
        <f t="shared" ref="AN219:AN230" si="124">SUM(AO219:AW219)</f>
        <v>0</v>
      </c>
      <c r="AO219" s="1085"/>
      <c r="AP219" s="1085"/>
      <c r="AQ219" s="1085"/>
      <c r="AR219" s="1085"/>
      <c r="AS219" s="1085"/>
      <c r="AT219" s="1085"/>
      <c r="AU219" s="1085"/>
      <c r="AV219" s="1085"/>
      <c r="AW219" s="1085"/>
      <c r="AX219" s="1085"/>
      <c r="AY219" s="1085">
        <v>0</v>
      </c>
      <c r="AZ219" s="1085">
        <f t="shared" ref="AZ219:AZ230" si="125">BA219+AY219</f>
        <v>0</v>
      </c>
      <c r="BA219" s="1085">
        <f t="shared" ref="BA219:BA230" si="126">SUM(BB219:BE219)</f>
        <v>0</v>
      </c>
      <c r="BB219" s="1085"/>
      <c r="BC219" s="1085"/>
      <c r="BD219" s="1085"/>
      <c r="BE219" s="1085"/>
      <c r="BF219" s="1085"/>
      <c r="BG219" s="1084">
        <f t="shared" ref="BG219:BG235" si="127">BH219+BF219</f>
        <v>0</v>
      </c>
      <c r="BH219" s="1084">
        <f t="shared" si="116"/>
        <v>0</v>
      </c>
      <c r="BI219" s="1084"/>
      <c r="BJ219" s="1084"/>
      <c r="BK219" s="1084"/>
      <c r="BL219" s="1084"/>
      <c r="BM219" s="1084"/>
      <c r="BN219" s="1084"/>
      <c r="BO219" s="1086"/>
      <c r="BP219" s="1084"/>
      <c r="BQ219" s="1087"/>
      <c r="BR219" s="1084"/>
      <c r="BS219" s="1088"/>
      <c r="BT219" s="1089" t="s">
        <v>1671</v>
      </c>
      <c r="BU219" s="1090"/>
    </row>
    <row r="220" spans="1:73" ht="24" x14ac:dyDescent="0.25">
      <c r="A220" s="1094">
        <v>90009251342</v>
      </c>
      <c r="B220" s="1095"/>
      <c r="C220" s="1514" t="s">
        <v>1235</v>
      </c>
      <c r="D220" s="1515"/>
      <c r="E220" s="1082" t="s">
        <v>334</v>
      </c>
      <c r="F220" s="1083">
        <f t="shared" si="117"/>
        <v>765677</v>
      </c>
      <c r="G220" s="1083">
        <f t="shared" si="118"/>
        <v>794200</v>
      </c>
      <c r="H220" s="1084">
        <v>46092</v>
      </c>
      <c r="I220" s="1084">
        <f t="shared" si="119"/>
        <v>46092</v>
      </c>
      <c r="J220" s="1084">
        <f t="shared" si="120"/>
        <v>0</v>
      </c>
      <c r="K220" s="1084"/>
      <c r="L220" s="1084"/>
      <c r="M220" s="1084"/>
      <c r="N220" s="1084"/>
      <c r="O220" s="1084"/>
      <c r="P220" s="1084"/>
      <c r="Q220" s="1084"/>
      <c r="R220" s="1084"/>
      <c r="S220" s="1084"/>
      <c r="T220" s="1084"/>
      <c r="U220" s="1084"/>
      <c r="V220" s="1084"/>
      <c r="W220" s="1084"/>
      <c r="X220" s="1084"/>
      <c r="Y220" s="1084"/>
      <c r="Z220" s="1084"/>
      <c r="AA220" s="1084"/>
      <c r="AB220" s="1084"/>
      <c r="AC220" s="1084">
        <v>708355</v>
      </c>
      <c r="AD220" s="1084">
        <f t="shared" si="121"/>
        <v>735543</v>
      </c>
      <c r="AE220" s="1084">
        <f t="shared" si="122"/>
        <v>27188</v>
      </c>
      <c r="AF220" s="1084"/>
      <c r="AG220" s="1084">
        <v>3279</v>
      </c>
      <c r="AH220" s="1084"/>
      <c r="AI220" s="1084">
        <f>23459+450</f>
        <v>23909</v>
      </c>
      <c r="AJ220" s="1084"/>
      <c r="AK220" s="1084"/>
      <c r="AL220" s="1084">
        <v>11230</v>
      </c>
      <c r="AM220" s="1085">
        <f t="shared" si="123"/>
        <v>12565</v>
      </c>
      <c r="AN220" s="1085">
        <f t="shared" si="124"/>
        <v>1335</v>
      </c>
      <c r="AO220" s="1085">
        <v>1145</v>
      </c>
      <c r="AP220" s="1085"/>
      <c r="AQ220" s="1085"/>
      <c r="AR220" s="1085"/>
      <c r="AS220" s="1085"/>
      <c r="AT220" s="1085"/>
      <c r="AU220" s="1085"/>
      <c r="AV220" s="1085">
        <v>190</v>
      </c>
      <c r="AW220" s="1085"/>
      <c r="AX220" s="1085"/>
      <c r="AY220" s="1085">
        <v>0</v>
      </c>
      <c r="AZ220" s="1085">
        <f t="shared" si="125"/>
        <v>0</v>
      </c>
      <c r="BA220" s="1085">
        <f t="shared" si="126"/>
        <v>0</v>
      </c>
      <c r="BB220" s="1085"/>
      <c r="BC220" s="1085"/>
      <c r="BD220" s="1085"/>
      <c r="BE220" s="1085"/>
      <c r="BF220" s="1085"/>
      <c r="BG220" s="1084">
        <f t="shared" si="127"/>
        <v>0</v>
      </c>
      <c r="BH220" s="1084">
        <f t="shared" si="116"/>
        <v>0</v>
      </c>
      <c r="BI220" s="1084"/>
      <c r="BJ220" s="1084"/>
      <c r="BK220" s="1084"/>
      <c r="BL220" s="1084"/>
      <c r="BM220" s="1084"/>
      <c r="BN220" s="1084"/>
      <c r="BO220" s="1086"/>
      <c r="BP220" s="1084"/>
      <c r="BQ220" s="1087"/>
      <c r="BR220" s="1084"/>
      <c r="BS220" s="1088"/>
      <c r="BT220" s="1089" t="s">
        <v>1672</v>
      </c>
      <c r="BU220" s="1090"/>
    </row>
    <row r="221" spans="1:73" ht="24" x14ac:dyDescent="0.25">
      <c r="A221" s="1094"/>
      <c r="B221" s="1095"/>
      <c r="C221" s="1096"/>
      <c r="D221" s="1097"/>
      <c r="E221" s="1082" t="s">
        <v>1673</v>
      </c>
      <c r="F221" s="1083">
        <f>H221+AC221+AL221+AX221+AY221+BF221</f>
        <v>0</v>
      </c>
      <c r="G221" s="1083">
        <f>I221+AD221+AM221+AX221+AZ221+BG221</f>
        <v>400</v>
      </c>
      <c r="H221" s="1084"/>
      <c r="I221" s="1084">
        <f>H221+J221</f>
        <v>400</v>
      </c>
      <c r="J221" s="1084">
        <f>SUM(K221:AB221)</f>
        <v>400</v>
      </c>
      <c r="K221" s="1084"/>
      <c r="L221" s="1084"/>
      <c r="M221" s="1084"/>
      <c r="N221" s="1084"/>
      <c r="O221" s="1084">
        <v>400</v>
      </c>
      <c r="P221" s="1084"/>
      <c r="Q221" s="1084"/>
      <c r="R221" s="1084"/>
      <c r="S221" s="1084"/>
      <c r="T221" s="1084"/>
      <c r="U221" s="1084"/>
      <c r="V221" s="1084"/>
      <c r="W221" s="1084"/>
      <c r="X221" s="1084"/>
      <c r="Y221" s="1084"/>
      <c r="Z221" s="1084"/>
      <c r="AA221" s="1084"/>
      <c r="AB221" s="1084"/>
      <c r="AC221" s="1084"/>
      <c r="AD221" s="1084">
        <f>AC221+AE221</f>
        <v>0</v>
      </c>
      <c r="AE221" s="1084">
        <f t="shared" si="122"/>
        <v>0</v>
      </c>
      <c r="AF221" s="1084"/>
      <c r="AG221" s="1084"/>
      <c r="AH221" s="1084"/>
      <c r="AI221" s="1084"/>
      <c r="AJ221" s="1084"/>
      <c r="AK221" s="1084"/>
      <c r="AL221" s="1084"/>
      <c r="AM221" s="1085">
        <f t="shared" si="123"/>
        <v>0</v>
      </c>
      <c r="AN221" s="1085">
        <f t="shared" si="124"/>
        <v>0</v>
      </c>
      <c r="AO221" s="1085"/>
      <c r="AP221" s="1085"/>
      <c r="AQ221" s="1085"/>
      <c r="AR221" s="1085"/>
      <c r="AS221" s="1085"/>
      <c r="AT221" s="1085"/>
      <c r="AU221" s="1085"/>
      <c r="AV221" s="1085"/>
      <c r="AW221" s="1085"/>
      <c r="AX221" s="1085"/>
      <c r="AY221" s="1085"/>
      <c r="AZ221" s="1085">
        <f t="shared" si="125"/>
        <v>0</v>
      </c>
      <c r="BA221" s="1085">
        <f t="shared" si="126"/>
        <v>0</v>
      </c>
      <c r="BB221" s="1085"/>
      <c r="BC221" s="1085"/>
      <c r="BD221" s="1085"/>
      <c r="BE221" s="1085"/>
      <c r="BF221" s="1085"/>
      <c r="BG221" s="1084">
        <f t="shared" si="127"/>
        <v>0</v>
      </c>
      <c r="BH221" s="1084">
        <f t="shared" si="116"/>
        <v>0</v>
      </c>
      <c r="BI221" s="1084"/>
      <c r="BJ221" s="1084"/>
      <c r="BK221" s="1084"/>
      <c r="BL221" s="1084"/>
      <c r="BM221" s="1084"/>
      <c r="BN221" s="1084"/>
      <c r="BO221" s="1086"/>
      <c r="BP221" s="1084"/>
      <c r="BQ221" s="1087"/>
      <c r="BR221" s="1084"/>
      <c r="BS221" s="1088"/>
      <c r="BT221" s="1089" t="s">
        <v>1674</v>
      </c>
      <c r="BU221" s="1090"/>
    </row>
    <row r="222" spans="1:73" ht="36" x14ac:dyDescent="0.25">
      <c r="A222" s="1094">
        <v>90009249367</v>
      </c>
      <c r="B222" s="1095"/>
      <c r="C222" s="1514" t="s">
        <v>1675</v>
      </c>
      <c r="D222" s="1515"/>
      <c r="E222" s="1082" t="s">
        <v>1676</v>
      </c>
      <c r="F222" s="1083">
        <f t="shared" si="117"/>
        <v>1219591</v>
      </c>
      <c r="G222" s="1083">
        <f t="shared" si="118"/>
        <v>1197584</v>
      </c>
      <c r="H222" s="1084">
        <v>860563</v>
      </c>
      <c r="I222" s="1084">
        <f t="shared" si="119"/>
        <v>813862</v>
      </c>
      <c r="J222" s="1084">
        <f t="shared" si="120"/>
        <v>-46701</v>
      </c>
      <c r="K222" s="1084">
        <f>-31567-8952</f>
        <v>-40519</v>
      </c>
      <c r="L222" s="1084"/>
      <c r="M222" s="1084"/>
      <c r="N222" s="1084"/>
      <c r="O222" s="1084"/>
      <c r="P222" s="1084"/>
      <c r="Q222" s="1084"/>
      <c r="R222" s="1084"/>
      <c r="S222" s="1084"/>
      <c r="T222" s="1084">
        <f>4525+6655</f>
        <v>11180</v>
      </c>
      <c r="U222" s="1084"/>
      <c r="V222" s="1084"/>
      <c r="W222" s="1084"/>
      <c r="X222" s="1084"/>
      <c r="Y222" s="1084"/>
      <c r="Z222" s="1084">
        <v>-17362</v>
      </c>
      <c r="AA222" s="1084"/>
      <c r="AB222" s="1084"/>
      <c r="AC222" s="1084">
        <v>328460</v>
      </c>
      <c r="AD222" s="1084">
        <f t="shared" si="121"/>
        <v>343636</v>
      </c>
      <c r="AE222" s="1084">
        <f t="shared" si="122"/>
        <v>15176</v>
      </c>
      <c r="AF222" s="1084"/>
      <c r="AG222" s="1084">
        <v>1536</v>
      </c>
      <c r="AH222" s="1084"/>
      <c r="AI222" s="1084">
        <f>9409-12380+16611</f>
        <v>13640</v>
      </c>
      <c r="AJ222" s="1084"/>
      <c r="AK222" s="1084"/>
      <c r="AL222" s="1084">
        <v>25289</v>
      </c>
      <c r="AM222" s="1085">
        <f>AN222+AL222</f>
        <v>34866</v>
      </c>
      <c r="AN222" s="1085">
        <f>SUM(AO222:AW222)</f>
        <v>9577</v>
      </c>
      <c r="AO222" s="1085">
        <f>8743+209</f>
        <v>8952</v>
      </c>
      <c r="AP222" s="1085"/>
      <c r="AQ222" s="1085"/>
      <c r="AR222" s="1085"/>
      <c r="AS222" s="1085">
        <v>625</v>
      </c>
      <c r="AT222" s="1085"/>
      <c r="AU222" s="1085"/>
      <c r="AV222" s="1085"/>
      <c r="AW222" s="1085"/>
      <c r="AX222" s="1085"/>
      <c r="AY222" s="1085">
        <v>5279</v>
      </c>
      <c r="AZ222" s="1085">
        <f t="shared" si="125"/>
        <v>5845</v>
      </c>
      <c r="BA222" s="1085">
        <f t="shared" si="126"/>
        <v>566</v>
      </c>
      <c r="BB222" s="1085">
        <v>566</v>
      </c>
      <c r="BC222" s="1085"/>
      <c r="BD222" s="1085"/>
      <c r="BE222" s="1085"/>
      <c r="BF222" s="1085"/>
      <c r="BG222" s="1084">
        <f t="shared" si="127"/>
        <v>-625</v>
      </c>
      <c r="BH222" s="1084">
        <f t="shared" si="116"/>
        <v>-625</v>
      </c>
      <c r="BI222" s="1084"/>
      <c r="BJ222" s="1084"/>
      <c r="BK222" s="1084"/>
      <c r="BL222" s="1084"/>
      <c r="BM222" s="1084"/>
      <c r="BN222" s="1084">
        <v>-625</v>
      </c>
      <c r="BO222" s="1086"/>
      <c r="BP222" s="1084"/>
      <c r="BQ222" s="1087"/>
      <c r="BR222" s="1084"/>
      <c r="BS222" s="1088"/>
      <c r="BT222" s="1089" t="s">
        <v>1677</v>
      </c>
      <c r="BU222" s="1090"/>
    </row>
    <row r="223" spans="1:73" ht="12.75" x14ac:dyDescent="0.25">
      <c r="A223" s="1094"/>
      <c r="B223" s="1095"/>
      <c r="C223" s="1096"/>
      <c r="D223" s="1097"/>
      <c r="E223" s="1082" t="s">
        <v>1678</v>
      </c>
      <c r="F223" s="1083">
        <f t="shared" si="117"/>
        <v>189420</v>
      </c>
      <c r="G223" s="1083">
        <f t="shared" si="118"/>
        <v>201571</v>
      </c>
      <c r="H223" s="1084">
        <v>189420</v>
      </c>
      <c r="I223" s="1084">
        <f t="shared" si="119"/>
        <v>176438</v>
      </c>
      <c r="J223" s="1084">
        <f t="shared" si="120"/>
        <v>-12982</v>
      </c>
      <c r="K223" s="1084">
        <v>-12982</v>
      </c>
      <c r="L223" s="1084"/>
      <c r="M223" s="1084"/>
      <c r="N223" s="1084"/>
      <c r="O223" s="1084"/>
      <c r="P223" s="1084"/>
      <c r="Q223" s="1084"/>
      <c r="R223" s="1084"/>
      <c r="S223" s="1084"/>
      <c r="T223" s="1084"/>
      <c r="U223" s="1084"/>
      <c r="V223" s="1084"/>
      <c r="W223" s="1084"/>
      <c r="X223" s="1084"/>
      <c r="Y223" s="1084"/>
      <c r="Z223" s="1084"/>
      <c r="AA223" s="1084"/>
      <c r="AB223" s="1084"/>
      <c r="AC223" s="1084">
        <v>0</v>
      </c>
      <c r="AD223" s="1084">
        <f t="shared" si="121"/>
        <v>0</v>
      </c>
      <c r="AE223" s="1084">
        <f t="shared" si="122"/>
        <v>0</v>
      </c>
      <c r="AF223" s="1084"/>
      <c r="AG223" s="1084"/>
      <c r="AH223" s="1084"/>
      <c r="AI223" s="1084"/>
      <c r="AJ223" s="1084"/>
      <c r="AK223" s="1084"/>
      <c r="AL223" s="1084">
        <v>0</v>
      </c>
      <c r="AM223" s="1085">
        <f t="shared" si="123"/>
        <v>24954</v>
      </c>
      <c r="AN223" s="1085">
        <f t="shared" si="124"/>
        <v>24954</v>
      </c>
      <c r="AO223" s="1085">
        <v>24954</v>
      </c>
      <c r="AP223" s="1085"/>
      <c r="AQ223" s="1085"/>
      <c r="AR223" s="1085"/>
      <c r="AS223" s="1085"/>
      <c r="AT223" s="1085"/>
      <c r="AU223" s="1085"/>
      <c r="AV223" s="1085"/>
      <c r="AW223" s="1085"/>
      <c r="AX223" s="1085"/>
      <c r="AY223" s="1085">
        <v>0</v>
      </c>
      <c r="AZ223" s="1085">
        <f t="shared" si="125"/>
        <v>179</v>
      </c>
      <c r="BA223" s="1085">
        <f t="shared" si="126"/>
        <v>179</v>
      </c>
      <c r="BB223" s="1085">
        <v>179</v>
      </c>
      <c r="BC223" s="1085"/>
      <c r="BD223" s="1085"/>
      <c r="BE223" s="1085"/>
      <c r="BF223" s="1085"/>
      <c r="BG223" s="1084">
        <f t="shared" si="127"/>
        <v>0</v>
      </c>
      <c r="BH223" s="1084">
        <f t="shared" si="116"/>
        <v>0</v>
      </c>
      <c r="BI223" s="1084"/>
      <c r="BJ223" s="1084"/>
      <c r="BK223" s="1084"/>
      <c r="BL223" s="1084"/>
      <c r="BM223" s="1084"/>
      <c r="BN223" s="1084"/>
      <c r="BO223" s="1086"/>
      <c r="BP223" s="1084"/>
      <c r="BQ223" s="1087"/>
      <c r="BR223" s="1084"/>
      <c r="BS223" s="1088"/>
      <c r="BT223" s="1089" t="s">
        <v>1679</v>
      </c>
      <c r="BU223" s="1090" t="s">
        <v>1680</v>
      </c>
    </row>
    <row r="224" spans="1:73" ht="12.75" x14ac:dyDescent="0.25">
      <c r="A224" s="1094">
        <v>90010478153</v>
      </c>
      <c r="B224" s="1095"/>
      <c r="C224" s="1514" t="s">
        <v>521</v>
      </c>
      <c r="D224" s="1515"/>
      <c r="E224" s="1082" t="s">
        <v>1681</v>
      </c>
      <c r="F224" s="1083">
        <f t="shared" si="117"/>
        <v>107950</v>
      </c>
      <c r="G224" s="1083">
        <f t="shared" si="118"/>
        <v>107950</v>
      </c>
      <c r="H224" s="1084">
        <v>107950</v>
      </c>
      <c r="I224" s="1084">
        <f t="shared" si="119"/>
        <v>107950</v>
      </c>
      <c r="J224" s="1084">
        <f t="shared" si="120"/>
        <v>0</v>
      </c>
      <c r="K224" s="1084"/>
      <c r="L224" s="1084"/>
      <c r="M224" s="1084"/>
      <c r="N224" s="1084"/>
      <c r="O224" s="1084"/>
      <c r="P224" s="1084"/>
      <c r="Q224" s="1084"/>
      <c r="R224" s="1084"/>
      <c r="S224" s="1084"/>
      <c r="T224" s="1084"/>
      <c r="U224" s="1084"/>
      <c r="V224" s="1084"/>
      <c r="W224" s="1084"/>
      <c r="X224" s="1084"/>
      <c r="Y224" s="1084"/>
      <c r="Z224" s="1084"/>
      <c r="AA224" s="1084"/>
      <c r="AB224" s="1084"/>
      <c r="AC224" s="1084">
        <v>0</v>
      </c>
      <c r="AD224" s="1084">
        <f t="shared" si="121"/>
        <v>0</v>
      </c>
      <c r="AE224" s="1084">
        <f t="shared" si="122"/>
        <v>0</v>
      </c>
      <c r="AF224" s="1084"/>
      <c r="AG224" s="1084"/>
      <c r="AH224" s="1084"/>
      <c r="AI224" s="1084"/>
      <c r="AJ224" s="1084"/>
      <c r="AK224" s="1084"/>
      <c r="AL224" s="1084">
        <v>0</v>
      </c>
      <c r="AM224" s="1085">
        <f t="shared" si="123"/>
        <v>0</v>
      </c>
      <c r="AN224" s="1085">
        <f t="shared" si="124"/>
        <v>0</v>
      </c>
      <c r="AO224" s="1085"/>
      <c r="AP224" s="1085"/>
      <c r="AQ224" s="1085"/>
      <c r="AR224" s="1085"/>
      <c r="AS224" s="1085"/>
      <c r="AT224" s="1085"/>
      <c r="AU224" s="1085"/>
      <c r="AV224" s="1085"/>
      <c r="AW224" s="1085"/>
      <c r="AX224" s="1085"/>
      <c r="AY224" s="1085">
        <v>0</v>
      </c>
      <c r="AZ224" s="1085">
        <f t="shared" si="125"/>
        <v>0</v>
      </c>
      <c r="BA224" s="1085">
        <f t="shared" si="126"/>
        <v>0</v>
      </c>
      <c r="BB224" s="1085"/>
      <c r="BC224" s="1085"/>
      <c r="BD224" s="1085"/>
      <c r="BE224" s="1085"/>
      <c r="BF224" s="1085"/>
      <c r="BG224" s="1084">
        <f t="shared" si="127"/>
        <v>0</v>
      </c>
      <c r="BH224" s="1084">
        <f t="shared" si="116"/>
        <v>0</v>
      </c>
      <c r="BI224" s="1084"/>
      <c r="BJ224" s="1084"/>
      <c r="BK224" s="1084"/>
      <c r="BL224" s="1084"/>
      <c r="BM224" s="1084"/>
      <c r="BN224" s="1084"/>
      <c r="BO224" s="1086"/>
      <c r="BP224" s="1084"/>
      <c r="BQ224" s="1087"/>
      <c r="BR224" s="1084"/>
      <c r="BS224" s="1088"/>
      <c r="BT224" s="1089" t="s">
        <v>1682</v>
      </c>
      <c r="BU224" s="1090"/>
    </row>
    <row r="225" spans="1:73" ht="24" x14ac:dyDescent="0.25">
      <c r="A225" s="1094">
        <v>90000783949</v>
      </c>
      <c r="B225" s="1095"/>
      <c r="C225" s="1514" t="s">
        <v>474</v>
      </c>
      <c r="D225" s="1515"/>
      <c r="E225" s="1082" t="s">
        <v>334</v>
      </c>
      <c r="F225" s="1083">
        <f t="shared" si="117"/>
        <v>544934</v>
      </c>
      <c r="G225" s="1083">
        <f t="shared" si="118"/>
        <v>583000</v>
      </c>
      <c r="H225" s="1084">
        <v>277282</v>
      </c>
      <c r="I225" s="1084">
        <f t="shared" si="119"/>
        <v>278474</v>
      </c>
      <c r="J225" s="1084">
        <f t="shared" si="120"/>
        <v>1192</v>
      </c>
      <c r="K225" s="1084">
        <f>-9105-1026</f>
        <v>-10131</v>
      </c>
      <c r="L225" s="1084"/>
      <c r="M225" s="1084"/>
      <c r="N225" s="1084"/>
      <c r="O225" s="1084"/>
      <c r="P225" s="1084"/>
      <c r="Q225" s="1084"/>
      <c r="R225" s="1084"/>
      <c r="S225" s="1084"/>
      <c r="T225" s="1084">
        <v>9498</v>
      </c>
      <c r="U225" s="1084"/>
      <c r="V225" s="1084"/>
      <c r="W225" s="1084"/>
      <c r="X225" s="1084"/>
      <c r="Y225" s="1084"/>
      <c r="Z225" s="1084">
        <v>1825</v>
      </c>
      <c r="AA225" s="1084"/>
      <c r="AB225" s="1084"/>
      <c r="AC225" s="1084">
        <v>261130</v>
      </c>
      <c r="AD225" s="1084">
        <f t="shared" si="121"/>
        <v>299456</v>
      </c>
      <c r="AE225" s="1084">
        <f t="shared" si="122"/>
        <v>38326</v>
      </c>
      <c r="AF225" s="1084"/>
      <c r="AG225" s="1084">
        <v>3028</v>
      </c>
      <c r="AH225" s="1084"/>
      <c r="AI225" s="1084">
        <f>35748-450</f>
        <v>35298</v>
      </c>
      <c r="AJ225" s="1084"/>
      <c r="AK225" s="1084"/>
      <c r="AL225" s="1084">
        <v>6502</v>
      </c>
      <c r="AM225" s="1085">
        <f t="shared" si="123"/>
        <v>5050</v>
      </c>
      <c r="AN225" s="1085">
        <f t="shared" si="124"/>
        <v>-1452</v>
      </c>
      <c r="AO225" s="1085">
        <v>1099</v>
      </c>
      <c r="AP225" s="1085"/>
      <c r="AQ225" s="1085"/>
      <c r="AR225" s="1085">
        <v>200</v>
      </c>
      <c r="AS225" s="1085"/>
      <c r="AT225" s="1085"/>
      <c r="AU225" s="1085"/>
      <c r="AV225" s="1085">
        <v>-2751</v>
      </c>
      <c r="AW225" s="1085"/>
      <c r="AX225" s="1085"/>
      <c r="AY225" s="1085">
        <v>20</v>
      </c>
      <c r="AZ225" s="1085">
        <f t="shared" si="125"/>
        <v>20</v>
      </c>
      <c r="BA225" s="1085">
        <f t="shared" si="126"/>
        <v>0</v>
      </c>
      <c r="BB225" s="1085"/>
      <c r="BC225" s="1085"/>
      <c r="BD225" s="1085"/>
      <c r="BE225" s="1085"/>
      <c r="BF225" s="1085"/>
      <c r="BG225" s="1084">
        <f t="shared" si="127"/>
        <v>0</v>
      </c>
      <c r="BH225" s="1084">
        <f t="shared" si="116"/>
        <v>0</v>
      </c>
      <c r="BI225" s="1084"/>
      <c r="BJ225" s="1084"/>
      <c r="BK225" s="1084"/>
      <c r="BL225" s="1084"/>
      <c r="BM225" s="1084"/>
      <c r="BN225" s="1084"/>
      <c r="BO225" s="1086"/>
      <c r="BP225" s="1084"/>
      <c r="BQ225" s="1087"/>
      <c r="BR225" s="1084"/>
      <c r="BS225" s="1088"/>
      <c r="BT225" s="1089" t="s">
        <v>1683</v>
      </c>
      <c r="BU225" s="1090"/>
    </row>
    <row r="226" spans="1:73" ht="12.75" x14ac:dyDescent="0.25">
      <c r="A226" s="1094"/>
      <c r="B226" s="1095"/>
      <c r="C226" s="1096"/>
      <c r="D226" s="1097"/>
      <c r="E226" s="1082" t="s">
        <v>1581</v>
      </c>
      <c r="F226" s="1083">
        <f t="shared" si="117"/>
        <v>48611</v>
      </c>
      <c r="G226" s="1083">
        <f t="shared" si="118"/>
        <v>50607</v>
      </c>
      <c r="H226" s="1084">
        <v>32482</v>
      </c>
      <c r="I226" s="1084">
        <f t="shared" si="119"/>
        <v>32482</v>
      </c>
      <c r="J226" s="1084">
        <f t="shared" si="120"/>
        <v>0</v>
      </c>
      <c r="K226" s="1084"/>
      <c r="L226" s="1084"/>
      <c r="M226" s="1084"/>
      <c r="N226" s="1084"/>
      <c r="O226" s="1084"/>
      <c r="P226" s="1084"/>
      <c r="Q226" s="1084"/>
      <c r="R226" s="1084"/>
      <c r="S226" s="1084"/>
      <c r="T226" s="1084"/>
      <c r="U226" s="1084"/>
      <c r="V226" s="1084"/>
      <c r="W226" s="1084"/>
      <c r="X226" s="1084"/>
      <c r="Y226" s="1084"/>
      <c r="Z226" s="1084"/>
      <c r="AA226" s="1084"/>
      <c r="AB226" s="1084"/>
      <c r="AC226" s="1084">
        <v>16129</v>
      </c>
      <c r="AD226" s="1084">
        <f t="shared" si="121"/>
        <v>18125</v>
      </c>
      <c r="AE226" s="1084">
        <f t="shared" si="122"/>
        <v>1996</v>
      </c>
      <c r="AF226" s="1084"/>
      <c r="AG226" s="1084">
        <v>1669</v>
      </c>
      <c r="AH226" s="1084"/>
      <c r="AI226" s="1084">
        <v>327</v>
      </c>
      <c r="AJ226" s="1084"/>
      <c r="AK226" s="1084"/>
      <c r="AL226" s="1084">
        <v>0</v>
      </c>
      <c r="AM226" s="1085">
        <f t="shared" si="123"/>
        <v>0</v>
      </c>
      <c r="AN226" s="1085">
        <f t="shared" si="124"/>
        <v>0</v>
      </c>
      <c r="AO226" s="1085"/>
      <c r="AP226" s="1085"/>
      <c r="AQ226" s="1085"/>
      <c r="AR226" s="1085"/>
      <c r="AS226" s="1085"/>
      <c r="AT226" s="1085"/>
      <c r="AU226" s="1085"/>
      <c r="AV226" s="1085"/>
      <c r="AW226" s="1085"/>
      <c r="AX226" s="1085"/>
      <c r="AY226" s="1085">
        <v>0</v>
      </c>
      <c r="AZ226" s="1085">
        <f t="shared" si="125"/>
        <v>0</v>
      </c>
      <c r="BA226" s="1085">
        <f t="shared" si="126"/>
        <v>0</v>
      </c>
      <c r="BB226" s="1085"/>
      <c r="BC226" s="1085"/>
      <c r="BD226" s="1085"/>
      <c r="BE226" s="1085"/>
      <c r="BF226" s="1085"/>
      <c r="BG226" s="1084">
        <f t="shared" si="127"/>
        <v>0</v>
      </c>
      <c r="BH226" s="1084">
        <f t="shared" si="116"/>
        <v>0</v>
      </c>
      <c r="BI226" s="1084"/>
      <c r="BJ226" s="1084"/>
      <c r="BK226" s="1084"/>
      <c r="BL226" s="1084"/>
      <c r="BM226" s="1084"/>
      <c r="BN226" s="1084"/>
      <c r="BO226" s="1086"/>
      <c r="BP226" s="1084"/>
      <c r="BQ226" s="1087"/>
      <c r="BR226" s="1084"/>
      <c r="BS226" s="1088"/>
      <c r="BT226" s="1089" t="s">
        <v>1684</v>
      </c>
      <c r="BU226" s="1090"/>
    </row>
    <row r="227" spans="1:73" ht="60" x14ac:dyDescent="0.25">
      <c r="A227" s="1094"/>
      <c r="B227" s="1095"/>
      <c r="C227" s="1096"/>
      <c r="D227" s="1097"/>
      <c r="E227" s="1082" t="s">
        <v>1685</v>
      </c>
      <c r="F227" s="1083">
        <f t="shared" si="117"/>
        <v>4794</v>
      </c>
      <c r="G227" s="1083">
        <f t="shared" si="118"/>
        <v>4672</v>
      </c>
      <c r="H227" s="1084">
        <v>4794</v>
      </c>
      <c r="I227" s="1084">
        <f t="shared" si="119"/>
        <v>4672</v>
      </c>
      <c r="J227" s="1084">
        <f t="shared" si="120"/>
        <v>-122</v>
      </c>
      <c r="K227" s="1084">
        <v>-122</v>
      </c>
      <c r="L227" s="1084"/>
      <c r="M227" s="1084"/>
      <c r="N227" s="1084"/>
      <c r="O227" s="1084"/>
      <c r="P227" s="1084"/>
      <c r="Q227" s="1084"/>
      <c r="R227" s="1084"/>
      <c r="S227" s="1084"/>
      <c r="T227" s="1084"/>
      <c r="U227" s="1084"/>
      <c r="V227" s="1084"/>
      <c r="W227" s="1084"/>
      <c r="X227" s="1084"/>
      <c r="Y227" s="1084"/>
      <c r="Z227" s="1084"/>
      <c r="AA227" s="1084"/>
      <c r="AB227" s="1084"/>
      <c r="AC227" s="1084">
        <v>0</v>
      </c>
      <c r="AD227" s="1084">
        <f t="shared" si="121"/>
        <v>0</v>
      </c>
      <c r="AE227" s="1084">
        <f t="shared" si="122"/>
        <v>0</v>
      </c>
      <c r="AF227" s="1084"/>
      <c r="AG227" s="1084"/>
      <c r="AH227" s="1084"/>
      <c r="AI227" s="1084"/>
      <c r="AJ227" s="1084"/>
      <c r="AK227" s="1084"/>
      <c r="AL227" s="1084">
        <v>0</v>
      </c>
      <c r="AM227" s="1085">
        <f t="shared" si="123"/>
        <v>0</v>
      </c>
      <c r="AN227" s="1085">
        <f t="shared" si="124"/>
        <v>0</v>
      </c>
      <c r="AO227" s="1085"/>
      <c r="AP227" s="1085"/>
      <c r="AQ227" s="1085"/>
      <c r="AR227" s="1085"/>
      <c r="AS227" s="1085"/>
      <c r="AT227" s="1085"/>
      <c r="AU227" s="1085"/>
      <c r="AV227" s="1085"/>
      <c r="AW227" s="1085"/>
      <c r="AX227" s="1085"/>
      <c r="AY227" s="1085">
        <v>0</v>
      </c>
      <c r="AZ227" s="1085">
        <f t="shared" si="125"/>
        <v>0</v>
      </c>
      <c r="BA227" s="1085">
        <f t="shared" si="126"/>
        <v>0</v>
      </c>
      <c r="BB227" s="1085"/>
      <c r="BC227" s="1085"/>
      <c r="BD227" s="1085"/>
      <c r="BE227" s="1085"/>
      <c r="BF227" s="1085"/>
      <c r="BG227" s="1084">
        <f t="shared" si="127"/>
        <v>0</v>
      </c>
      <c r="BH227" s="1084">
        <f t="shared" si="116"/>
        <v>0</v>
      </c>
      <c r="BI227" s="1084"/>
      <c r="BJ227" s="1084"/>
      <c r="BK227" s="1084"/>
      <c r="BL227" s="1084"/>
      <c r="BM227" s="1084"/>
      <c r="BN227" s="1084"/>
      <c r="BO227" s="1086"/>
      <c r="BP227" s="1084"/>
      <c r="BQ227" s="1087"/>
      <c r="BR227" s="1084"/>
      <c r="BS227" s="1088"/>
      <c r="BT227" s="1089" t="s">
        <v>1686</v>
      </c>
      <c r="BU227" s="1090"/>
    </row>
    <row r="228" spans="1:73" ht="24" x14ac:dyDescent="0.25">
      <c r="A228" s="1094">
        <v>90000051646</v>
      </c>
      <c r="B228" s="1095"/>
      <c r="C228" s="1514" t="s">
        <v>1687</v>
      </c>
      <c r="D228" s="1515"/>
      <c r="E228" s="1082" t="s">
        <v>334</v>
      </c>
      <c r="F228" s="1083">
        <f t="shared" si="117"/>
        <v>380279</v>
      </c>
      <c r="G228" s="1083">
        <f t="shared" si="118"/>
        <v>316432</v>
      </c>
      <c r="H228" s="1084">
        <v>96904</v>
      </c>
      <c r="I228" s="1084">
        <f t="shared" si="119"/>
        <v>98922</v>
      </c>
      <c r="J228" s="1084">
        <f t="shared" si="120"/>
        <v>2018</v>
      </c>
      <c r="K228" s="1084">
        <v>-2264</v>
      </c>
      <c r="L228" s="1084"/>
      <c r="M228" s="1084"/>
      <c r="N228" s="1084"/>
      <c r="O228" s="1084"/>
      <c r="P228" s="1084"/>
      <c r="Q228" s="1084"/>
      <c r="R228" s="1084"/>
      <c r="S228" s="1084"/>
      <c r="T228" s="1084">
        <v>699</v>
      </c>
      <c r="U228" s="1084"/>
      <c r="V228" s="1084"/>
      <c r="W228" s="1084"/>
      <c r="X228" s="1084"/>
      <c r="Y228" s="1084"/>
      <c r="Z228" s="1084">
        <v>3583</v>
      </c>
      <c r="AA228" s="1084"/>
      <c r="AB228" s="1084"/>
      <c r="AC228" s="1084">
        <v>283375</v>
      </c>
      <c r="AD228" s="1084">
        <f t="shared" si="121"/>
        <v>217510</v>
      </c>
      <c r="AE228" s="1084">
        <f t="shared" si="122"/>
        <v>-65865</v>
      </c>
      <c r="AF228" s="1084"/>
      <c r="AG228" s="1084">
        <v>5147</v>
      </c>
      <c r="AH228" s="1084"/>
      <c r="AI228" s="1084">
        <v>-71012</v>
      </c>
      <c r="AJ228" s="1084"/>
      <c r="AK228" s="1084"/>
      <c r="AL228" s="1084">
        <v>0</v>
      </c>
      <c r="AM228" s="1085">
        <f t="shared" si="123"/>
        <v>0</v>
      </c>
      <c r="AN228" s="1085">
        <f t="shared" si="124"/>
        <v>0</v>
      </c>
      <c r="AO228" s="1085"/>
      <c r="AP228" s="1085"/>
      <c r="AQ228" s="1085"/>
      <c r="AR228" s="1085"/>
      <c r="AS228" s="1085"/>
      <c r="AT228" s="1085"/>
      <c r="AU228" s="1085"/>
      <c r="AV228" s="1085"/>
      <c r="AW228" s="1085"/>
      <c r="AX228" s="1085"/>
      <c r="AY228" s="1085">
        <v>0</v>
      </c>
      <c r="AZ228" s="1085">
        <f t="shared" si="125"/>
        <v>0</v>
      </c>
      <c r="BA228" s="1085">
        <f t="shared" si="126"/>
        <v>0</v>
      </c>
      <c r="BB228" s="1085"/>
      <c r="BC228" s="1085"/>
      <c r="BD228" s="1085"/>
      <c r="BE228" s="1085"/>
      <c r="BF228" s="1085"/>
      <c r="BG228" s="1084">
        <f t="shared" si="127"/>
        <v>0</v>
      </c>
      <c r="BH228" s="1084">
        <f t="shared" si="116"/>
        <v>0</v>
      </c>
      <c r="BI228" s="1084"/>
      <c r="BJ228" s="1084"/>
      <c r="BK228" s="1084"/>
      <c r="BL228" s="1084"/>
      <c r="BM228" s="1084"/>
      <c r="BN228" s="1084"/>
      <c r="BO228" s="1086"/>
      <c r="BP228" s="1084"/>
      <c r="BQ228" s="1087"/>
      <c r="BR228" s="1084"/>
      <c r="BS228" s="1088"/>
      <c r="BT228" s="1089" t="s">
        <v>1688</v>
      </c>
      <c r="BU228" s="1090"/>
    </row>
    <row r="229" spans="1:73" ht="12.75" x14ac:dyDescent="0.25">
      <c r="A229" s="1094"/>
      <c r="B229" s="1095"/>
      <c r="C229" s="1096"/>
      <c r="D229" s="1097"/>
      <c r="E229" s="1082" t="s">
        <v>1581</v>
      </c>
      <c r="F229" s="1083">
        <f t="shared" si="117"/>
        <v>72313</v>
      </c>
      <c r="G229" s="1083">
        <f t="shared" si="118"/>
        <v>72313</v>
      </c>
      <c r="H229" s="1084">
        <v>72313</v>
      </c>
      <c r="I229" s="1084">
        <f t="shared" si="119"/>
        <v>72313</v>
      </c>
      <c r="J229" s="1084">
        <f t="shared" si="120"/>
        <v>0</v>
      </c>
      <c r="K229" s="1084"/>
      <c r="L229" s="1084"/>
      <c r="M229" s="1084"/>
      <c r="N229" s="1084"/>
      <c r="O229" s="1084"/>
      <c r="P229" s="1084"/>
      <c r="Q229" s="1084"/>
      <c r="R229" s="1084"/>
      <c r="S229" s="1084"/>
      <c r="T229" s="1084"/>
      <c r="U229" s="1084"/>
      <c r="V229" s="1084"/>
      <c r="W229" s="1084"/>
      <c r="X229" s="1084"/>
      <c r="Y229" s="1084"/>
      <c r="Z229" s="1084"/>
      <c r="AA229" s="1084"/>
      <c r="AB229" s="1084"/>
      <c r="AC229" s="1084">
        <v>0</v>
      </c>
      <c r="AD229" s="1084">
        <f t="shared" si="121"/>
        <v>0</v>
      </c>
      <c r="AE229" s="1084">
        <f t="shared" si="122"/>
        <v>0</v>
      </c>
      <c r="AF229" s="1084"/>
      <c r="AG229" s="1084"/>
      <c r="AH229" s="1084"/>
      <c r="AI229" s="1084"/>
      <c r="AJ229" s="1084"/>
      <c r="AK229" s="1084"/>
      <c r="AL229" s="1084">
        <v>0</v>
      </c>
      <c r="AM229" s="1085">
        <f t="shared" si="123"/>
        <v>0</v>
      </c>
      <c r="AN229" s="1085">
        <f t="shared" si="124"/>
        <v>0</v>
      </c>
      <c r="AO229" s="1085"/>
      <c r="AP229" s="1085"/>
      <c r="AQ229" s="1085"/>
      <c r="AR229" s="1085"/>
      <c r="AS229" s="1085"/>
      <c r="AT229" s="1085"/>
      <c r="AU229" s="1085"/>
      <c r="AV229" s="1085"/>
      <c r="AW229" s="1085"/>
      <c r="AX229" s="1085"/>
      <c r="AY229" s="1085">
        <v>0</v>
      </c>
      <c r="AZ229" s="1085">
        <f t="shared" si="125"/>
        <v>0</v>
      </c>
      <c r="BA229" s="1085">
        <f t="shared" si="126"/>
        <v>0</v>
      </c>
      <c r="BB229" s="1085"/>
      <c r="BC229" s="1085"/>
      <c r="BD229" s="1085"/>
      <c r="BE229" s="1085"/>
      <c r="BF229" s="1085"/>
      <c r="BG229" s="1084">
        <f t="shared" si="127"/>
        <v>0</v>
      </c>
      <c r="BH229" s="1084">
        <f t="shared" si="116"/>
        <v>0</v>
      </c>
      <c r="BI229" s="1084"/>
      <c r="BJ229" s="1084"/>
      <c r="BK229" s="1084"/>
      <c r="BL229" s="1084"/>
      <c r="BM229" s="1084"/>
      <c r="BN229" s="1084"/>
      <c r="BO229" s="1086"/>
      <c r="BP229" s="1084"/>
      <c r="BQ229" s="1087"/>
      <c r="BR229" s="1084"/>
      <c r="BS229" s="1088"/>
      <c r="BT229" s="1089" t="s">
        <v>1689</v>
      </c>
      <c r="BU229" s="1090"/>
    </row>
    <row r="230" spans="1:73" ht="38.25" customHeight="1" x14ac:dyDescent="0.25">
      <c r="A230" s="1094">
        <v>40008006745</v>
      </c>
      <c r="B230" s="1095"/>
      <c r="C230" s="1514" t="s">
        <v>1690</v>
      </c>
      <c r="D230" s="1515"/>
      <c r="E230" s="1082" t="s">
        <v>1581</v>
      </c>
      <c r="F230" s="1083">
        <f t="shared" si="117"/>
        <v>25897</v>
      </c>
      <c r="G230" s="1083">
        <f t="shared" si="118"/>
        <v>31024</v>
      </c>
      <c r="H230" s="1084">
        <v>0</v>
      </c>
      <c r="I230" s="1084">
        <f t="shared" si="119"/>
        <v>0</v>
      </c>
      <c r="J230" s="1084">
        <f t="shared" si="120"/>
        <v>0</v>
      </c>
      <c r="K230" s="1084"/>
      <c r="L230" s="1084"/>
      <c r="M230" s="1084"/>
      <c r="N230" s="1084"/>
      <c r="O230" s="1084"/>
      <c r="P230" s="1084"/>
      <c r="Q230" s="1084"/>
      <c r="R230" s="1084"/>
      <c r="S230" s="1084"/>
      <c r="T230" s="1084"/>
      <c r="U230" s="1084"/>
      <c r="V230" s="1084"/>
      <c r="W230" s="1084"/>
      <c r="X230" s="1084"/>
      <c r="Y230" s="1084"/>
      <c r="Z230" s="1084"/>
      <c r="AA230" s="1084"/>
      <c r="AB230" s="1084"/>
      <c r="AC230" s="1084">
        <v>25897</v>
      </c>
      <c r="AD230" s="1084">
        <f t="shared" si="121"/>
        <v>31024</v>
      </c>
      <c r="AE230" s="1084">
        <f t="shared" si="122"/>
        <v>5127</v>
      </c>
      <c r="AF230" s="1084"/>
      <c r="AG230" s="1084">
        <v>5488</v>
      </c>
      <c r="AH230" s="1084"/>
      <c r="AI230" s="1084">
        <v>-361</v>
      </c>
      <c r="AJ230" s="1084"/>
      <c r="AK230" s="1084"/>
      <c r="AL230" s="1084">
        <v>0</v>
      </c>
      <c r="AM230" s="1085">
        <f t="shared" si="123"/>
        <v>0</v>
      </c>
      <c r="AN230" s="1085">
        <f t="shared" si="124"/>
        <v>0</v>
      </c>
      <c r="AO230" s="1085"/>
      <c r="AP230" s="1085"/>
      <c r="AQ230" s="1085"/>
      <c r="AR230" s="1085"/>
      <c r="AS230" s="1085"/>
      <c r="AT230" s="1085"/>
      <c r="AU230" s="1085"/>
      <c r="AV230" s="1085"/>
      <c r="AW230" s="1085"/>
      <c r="AX230" s="1085"/>
      <c r="AY230" s="1085">
        <v>0</v>
      </c>
      <c r="AZ230" s="1085">
        <f t="shared" si="125"/>
        <v>0</v>
      </c>
      <c r="BA230" s="1085">
        <f t="shared" si="126"/>
        <v>0</v>
      </c>
      <c r="BB230" s="1085"/>
      <c r="BC230" s="1085"/>
      <c r="BD230" s="1085"/>
      <c r="BE230" s="1085"/>
      <c r="BF230" s="1085"/>
      <c r="BG230" s="1084">
        <f t="shared" si="127"/>
        <v>0</v>
      </c>
      <c r="BH230" s="1084">
        <f t="shared" si="116"/>
        <v>0</v>
      </c>
      <c r="BI230" s="1084"/>
      <c r="BJ230" s="1084"/>
      <c r="BK230" s="1084"/>
      <c r="BL230" s="1084"/>
      <c r="BM230" s="1084"/>
      <c r="BN230" s="1084"/>
      <c r="BO230" s="1086"/>
      <c r="BP230" s="1084"/>
      <c r="BQ230" s="1087"/>
      <c r="BR230" s="1084"/>
      <c r="BS230" s="1088"/>
      <c r="BT230" s="1089" t="s">
        <v>1691</v>
      </c>
      <c r="BU230" s="1090"/>
    </row>
    <row r="231" spans="1:73" ht="60" x14ac:dyDescent="0.25">
      <c r="A231" s="1094"/>
      <c r="B231" s="1095"/>
      <c r="C231" s="1514" t="s">
        <v>1047</v>
      </c>
      <c r="D231" s="1515"/>
      <c r="E231" s="1118" t="s">
        <v>1692</v>
      </c>
      <c r="F231" s="1083">
        <f t="shared" si="117"/>
        <v>400000</v>
      </c>
      <c r="G231" s="1083">
        <f t="shared" si="118"/>
        <v>400000</v>
      </c>
      <c r="H231" s="1182"/>
      <c r="I231" s="1182">
        <f t="shared" si="119"/>
        <v>0</v>
      </c>
      <c r="J231" s="1182">
        <f t="shared" si="120"/>
        <v>0</v>
      </c>
      <c r="K231" s="1182"/>
      <c r="L231" s="1182"/>
      <c r="M231" s="1182"/>
      <c r="N231" s="1182"/>
      <c r="O231" s="1182"/>
      <c r="P231" s="1182"/>
      <c r="Q231" s="1182"/>
      <c r="R231" s="1182"/>
      <c r="S231" s="1182"/>
      <c r="T231" s="1182"/>
      <c r="U231" s="1182"/>
      <c r="V231" s="1182"/>
      <c r="W231" s="1182"/>
      <c r="X231" s="1182"/>
      <c r="Y231" s="1182"/>
      <c r="Z231" s="1182"/>
      <c r="AA231" s="1182"/>
      <c r="AB231" s="1182"/>
      <c r="AC231" s="1084"/>
      <c r="AD231" s="1084"/>
      <c r="AE231" s="1084"/>
      <c r="AF231" s="1084"/>
      <c r="AG231" s="1084"/>
      <c r="AH231" s="1084"/>
      <c r="AI231" s="1084"/>
      <c r="AJ231" s="1084"/>
      <c r="AK231" s="1084"/>
      <c r="AL231" s="1084"/>
      <c r="AM231" s="1084"/>
      <c r="AN231" s="1084"/>
      <c r="AO231" s="1084"/>
      <c r="AP231" s="1084"/>
      <c r="AQ231" s="1084"/>
      <c r="AR231" s="1084"/>
      <c r="AS231" s="1084"/>
      <c r="AT231" s="1084"/>
      <c r="AU231" s="1084"/>
      <c r="AV231" s="1084"/>
      <c r="AW231" s="1084"/>
      <c r="AX231" s="1084">
        <v>400000</v>
      </c>
      <c r="AY231" s="1085"/>
      <c r="AZ231" s="1085"/>
      <c r="BA231" s="1085"/>
      <c r="BB231" s="1085"/>
      <c r="BC231" s="1085"/>
      <c r="BD231" s="1085"/>
      <c r="BE231" s="1085"/>
      <c r="BF231" s="1085"/>
      <c r="BG231" s="1084">
        <f t="shared" si="127"/>
        <v>0</v>
      </c>
      <c r="BH231" s="1084">
        <f t="shared" si="116"/>
        <v>0</v>
      </c>
      <c r="BI231" s="1084"/>
      <c r="BJ231" s="1084"/>
      <c r="BK231" s="1084"/>
      <c r="BL231" s="1084"/>
      <c r="BM231" s="1084"/>
      <c r="BN231" s="1084"/>
      <c r="BO231" s="1086"/>
      <c r="BP231" s="1084"/>
      <c r="BQ231" s="1087"/>
      <c r="BR231" s="1084"/>
      <c r="BS231" s="1088"/>
      <c r="BT231" s="1089"/>
      <c r="BU231" s="1090"/>
    </row>
    <row r="232" spans="1:73" ht="24" x14ac:dyDescent="0.25">
      <c r="A232" s="1094"/>
      <c r="B232" s="1095"/>
      <c r="C232" s="1096"/>
      <c r="D232" s="1132"/>
      <c r="E232" s="1118" t="s">
        <v>1693</v>
      </c>
      <c r="F232" s="1083">
        <f t="shared" si="117"/>
        <v>540691</v>
      </c>
      <c r="G232" s="1083">
        <f t="shared" si="118"/>
        <v>540691</v>
      </c>
      <c r="H232" s="1084"/>
      <c r="I232" s="1084">
        <f t="shared" si="119"/>
        <v>0</v>
      </c>
      <c r="J232" s="1084">
        <f t="shared" si="120"/>
        <v>0</v>
      </c>
      <c r="K232" s="1084"/>
      <c r="L232" s="1084"/>
      <c r="M232" s="1084"/>
      <c r="N232" s="1084"/>
      <c r="O232" s="1084"/>
      <c r="P232" s="1084"/>
      <c r="Q232" s="1084"/>
      <c r="R232" s="1084"/>
      <c r="S232" s="1084"/>
      <c r="T232" s="1084"/>
      <c r="U232" s="1084"/>
      <c r="V232" s="1084"/>
      <c r="W232" s="1084"/>
      <c r="X232" s="1084"/>
      <c r="Y232" s="1084"/>
      <c r="Z232" s="1084"/>
      <c r="AA232" s="1084"/>
      <c r="AB232" s="1084"/>
      <c r="AC232" s="1084"/>
      <c r="AD232" s="1084"/>
      <c r="AE232" s="1084"/>
      <c r="AF232" s="1084"/>
      <c r="AG232" s="1084"/>
      <c r="AH232" s="1084"/>
      <c r="AI232" s="1084"/>
      <c r="AJ232" s="1084"/>
      <c r="AK232" s="1084"/>
      <c r="AL232" s="1084"/>
      <c r="AM232" s="1084"/>
      <c r="AN232" s="1084"/>
      <c r="AO232" s="1084"/>
      <c r="AP232" s="1084"/>
      <c r="AQ232" s="1084"/>
      <c r="AR232" s="1084"/>
      <c r="AS232" s="1084"/>
      <c r="AT232" s="1084"/>
      <c r="AU232" s="1084"/>
      <c r="AV232" s="1084"/>
      <c r="AW232" s="1084"/>
      <c r="AX232" s="1084">
        <v>540691</v>
      </c>
      <c r="AY232" s="1085"/>
      <c r="AZ232" s="1085"/>
      <c r="BA232" s="1085"/>
      <c r="BB232" s="1085"/>
      <c r="BC232" s="1085"/>
      <c r="BD232" s="1085"/>
      <c r="BE232" s="1085"/>
      <c r="BF232" s="1085"/>
      <c r="BG232" s="1084">
        <f t="shared" si="127"/>
        <v>0</v>
      </c>
      <c r="BH232" s="1084">
        <f t="shared" si="116"/>
        <v>0</v>
      </c>
      <c r="BI232" s="1084"/>
      <c r="BJ232" s="1084"/>
      <c r="BK232" s="1084"/>
      <c r="BL232" s="1084"/>
      <c r="BM232" s="1084"/>
      <c r="BN232" s="1084"/>
      <c r="BO232" s="1086"/>
      <c r="BP232" s="1084"/>
      <c r="BQ232" s="1087"/>
      <c r="BR232" s="1084"/>
      <c r="BS232" s="1088"/>
      <c r="BT232" s="1089"/>
      <c r="BU232" s="1090"/>
    </row>
    <row r="233" spans="1:73" ht="24" x14ac:dyDescent="0.25">
      <c r="A233" s="1094"/>
      <c r="B233" s="1095"/>
      <c r="C233" s="1096"/>
      <c r="D233" s="1132"/>
      <c r="E233" s="1118" t="s">
        <v>1694</v>
      </c>
      <c r="F233" s="1083">
        <f t="shared" si="117"/>
        <v>284577</v>
      </c>
      <c r="G233" s="1083">
        <f t="shared" si="118"/>
        <v>284577</v>
      </c>
      <c r="H233" s="1084"/>
      <c r="I233" s="1084">
        <f t="shared" si="119"/>
        <v>0</v>
      </c>
      <c r="J233" s="1084">
        <f t="shared" si="120"/>
        <v>0</v>
      </c>
      <c r="K233" s="1084"/>
      <c r="L233" s="1084"/>
      <c r="M233" s="1084"/>
      <c r="N233" s="1084"/>
      <c r="O233" s="1084"/>
      <c r="P233" s="1084"/>
      <c r="Q233" s="1084"/>
      <c r="R233" s="1084"/>
      <c r="S233" s="1084"/>
      <c r="T233" s="1084"/>
      <c r="U233" s="1084"/>
      <c r="V233" s="1084"/>
      <c r="W233" s="1084"/>
      <c r="X233" s="1084"/>
      <c r="Y233" s="1084"/>
      <c r="Z233" s="1084"/>
      <c r="AA233" s="1084"/>
      <c r="AB233" s="1084"/>
      <c r="AC233" s="1084"/>
      <c r="AD233" s="1084"/>
      <c r="AE233" s="1084"/>
      <c r="AF233" s="1084"/>
      <c r="AG233" s="1084"/>
      <c r="AH233" s="1084"/>
      <c r="AI233" s="1084"/>
      <c r="AJ233" s="1084"/>
      <c r="AK233" s="1084"/>
      <c r="AL233" s="1084"/>
      <c r="AM233" s="1084"/>
      <c r="AN233" s="1084"/>
      <c r="AO233" s="1084"/>
      <c r="AP233" s="1084"/>
      <c r="AQ233" s="1084"/>
      <c r="AR233" s="1084"/>
      <c r="AS233" s="1084"/>
      <c r="AT233" s="1084"/>
      <c r="AU233" s="1084"/>
      <c r="AV233" s="1084"/>
      <c r="AW233" s="1084"/>
      <c r="AX233" s="1084">
        <v>284577</v>
      </c>
      <c r="AY233" s="1085"/>
      <c r="AZ233" s="1085"/>
      <c r="BA233" s="1085"/>
      <c r="BB233" s="1085"/>
      <c r="BC233" s="1085"/>
      <c r="BD233" s="1085"/>
      <c r="BE233" s="1085"/>
      <c r="BF233" s="1085"/>
      <c r="BG233" s="1084">
        <f t="shared" si="127"/>
        <v>0</v>
      </c>
      <c r="BH233" s="1084">
        <f t="shared" si="116"/>
        <v>0</v>
      </c>
      <c r="BI233" s="1084"/>
      <c r="BJ233" s="1084"/>
      <c r="BK233" s="1084"/>
      <c r="BL233" s="1084"/>
      <c r="BM233" s="1084"/>
      <c r="BN233" s="1084"/>
      <c r="BO233" s="1086"/>
      <c r="BP233" s="1084"/>
      <c r="BQ233" s="1087"/>
      <c r="BR233" s="1084"/>
      <c r="BS233" s="1088"/>
      <c r="BT233" s="1089"/>
      <c r="BU233" s="1090"/>
    </row>
    <row r="234" spans="1:73" ht="24" x14ac:dyDescent="0.25">
      <c r="A234" s="1094"/>
      <c r="B234" s="1095"/>
      <c r="C234" s="1096"/>
      <c r="D234" s="1132"/>
      <c r="E234" s="1118" t="s">
        <v>1695</v>
      </c>
      <c r="F234" s="1083">
        <f t="shared" si="117"/>
        <v>95785</v>
      </c>
      <c r="G234" s="1083">
        <f t="shared" si="118"/>
        <v>95785</v>
      </c>
      <c r="H234" s="1084"/>
      <c r="I234" s="1084">
        <f t="shared" si="119"/>
        <v>0</v>
      </c>
      <c r="J234" s="1084">
        <f t="shared" si="120"/>
        <v>0</v>
      </c>
      <c r="K234" s="1084"/>
      <c r="L234" s="1084"/>
      <c r="M234" s="1084"/>
      <c r="N234" s="1084"/>
      <c r="O234" s="1084"/>
      <c r="P234" s="1084"/>
      <c r="Q234" s="1084"/>
      <c r="R234" s="1084"/>
      <c r="S234" s="1084"/>
      <c r="T234" s="1084"/>
      <c r="U234" s="1084"/>
      <c r="V234" s="1084"/>
      <c r="W234" s="1084"/>
      <c r="X234" s="1084"/>
      <c r="Y234" s="1084"/>
      <c r="Z234" s="1084"/>
      <c r="AA234" s="1084"/>
      <c r="AB234" s="1084"/>
      <c r="AC234" s="1084"/>
      <c r="AD234" s="1084"/>
      <c r="AE234" s="1084"/>
      <c r="AF234" s="1084"/>
      <c r="AG234" s="1084"/>
      <c r="AH234" s="1084"/>
      <c r="AI234" s="1084"/>
      <c r="AJ234" s="1084"/>
      <c r="AK234" s="1084"/>
      <c r="AL234" s="1084"/>
      <c r="AM234" s="1084"/>
      <c r="AN234" s="1084"/>
      <c r="AO234" s="1084"/>
      <c r="AP234" s="1084"/>
      <c r="AQ234" s="1084"/>
      <c r="AR234" s="1084"/>
      <c r="AS234" s="1084"/>
      <c r="AT234" s="1084"/>
      <c r="AU234" s="1084"/>
      <c r="AV234" s="1084"/>
      <c r="AW234" s="1084"/>
      <c r="AX234" s="1084">
        <v>95785</v>
      </c>
      <c r="AY234" s="1085"/>
      <c r="AZ234" s="1085"/>
      <c r="BA234" s="1085"/>
      <c r="BB234" s="1085"/>
      <c r="BC234" s="1085"/>
      <c r="BD234" s="1085"/>
      <c r="BE234" s="1085"/>
      <c r="BF234" s="1085"/>
      <c r="BG234" s="1084">
        <f t="shared" si="127"/>
        <v>0</v>
      </c>
      <c r="BH234" s="1084">
        <f t="shared" si="116"/>
        <v>0</v>
      </c>
      <c r="BI234" s="1084"/>
      <c r="BJ234" s="1084"/>
      <c r="BK234" s="1084"/>
      <c r="BL234" s="1084"/>
      <c r="BM234" s="1084"/>
      <c r="BN234" s="1084"/>
      <c r="BO234" s="1086"/>
      <c r="BP234" s="1084"/>
      <c r="BQ234" s="1087"/>
      <c r="BR234" s="1084"/>
      <c r="BS234" s="1088"/>
      <c r="BT234" s="1089"/>
      <c r="BU234" s="1090"/>
    </row>
    <row r="235" spans="1:73" ht="48" x14ac:dyDescent="0.25">
      <c r="A235" s="1094"/>
      <c r="B235" s="1154"/>
      <c r="C235" s="1096"/>
      <c r="D235" s="1132"/>
      <c r="E235" s="1118" t="s">
        <v>1696</v>
      </c>
      <c r="F235" s="1083">
        <f t="shared" si="117"/>
        <v>122000</v>
      </c>
      <c r="G235" s="1083">
        <f t="shared" si="118"/>
        <v>122000</v>
      </c>
      <c r="H235" s="1084"/>
      <c r="I235" s="1084">
        <f t="shared" si="119"/>
        <v>0</v>
      </c>
      <c r="J235" s="1084">
        <f t="shared" si="120"/>
        <v>0</v>
      </c>
      <c r="K235" s="1084"/>
      <c r="L235" s="1084"/>
      <c r="M235" s="1084"/>
      <c r="N235" s="1084"/>
      <c r="O235" s="1084"/>
      <c r="P235" s="1084"/>
      <c r="Q235" s="1084"/>
      <c r="R235" s="1084"/>
      <c r="S235" s="1084"/>
      <c r="T235" s="1084"/>
      <c r="U235" s="1084"/>
      <c r="V235" s="1084"/>
      <c r="W235" s="1084"/>
      <c r="X235" s="1084"/>
      <c r="Y235" s="1084"/>
      <c r="Z235" s="1084"/>
      <c r="AA235" s="1084"/>
      <c r="AB235" s="1084"/>
      <c r="AC235" s="1084"/>
      <c r="AD235" s="1084"/>
      <c r="AE235" s="1084"/>
      <c r="AF235" s="1084"/>
      <c r="AG235" s="1084"/>
      <c r="AH235" s="1084"/>
      <c r="AI235" s="1084"/>
      <c r="AJ235" s="1084"/>
      <c r="AK235" s="1084"/>
      <c r="AL235" s="1084"/>
      <c r="AM235" s="1085"/>
      <c r="AN235" s="1085"/>
      <c r="AO235" s="1085"/>
      <c r="AP235" s="1085"/>
      <c r="AQ235" s="1085"/>
      <c r="AR235" s="1085"/>
      <c r="AS235" s="1085"/>
      <c r="AT235" s="1085"/>
      <c r="AU235" s="1085"/>
      <c r="AV235" s="1085"/>
      <c r="AW235" s="1085"/>
      <c r="AX235" s="1085">
        <v>122000</v>
      </c>
      <c r="AY235" s="1085"/>
      <c r="AZ235" s="1085"/>
      <c r="BA235" s="1085"/>
      <c r="BB235" s="1085"/>
      <c r="BC235" s="1085"/>
      <c r="BD235" s="1085"/>
      <c r="BE235" s="1085"/>
      <c r="BF235" s="1085"/>
      <c r="BG235" s="1084">
        <f t="shared" si="127"/>
        <v>0</v>
      </c>
      <c r="BH235" s="1084">
        <f t="shared" si="116"/>
        <v>0</v>
      </c>
      <c r="BI235" s="1084"/>
      <c r="BJ235" s="1084"/>
      <c r="BK235" s="1084"/>
      <c r="BL235" s="1084"/>
      <c r="BM235" s="1084"/>
      <c r="BN235" s="1084"/>
      <c r="BO235" s="1086"/>
      <c r="BP235" s="1084"/>
      <c r="BQ235" s="1087"/>
      <c r="BR235" s="1084"/>
      <c r="BS235" s="1088"/>
      <c r="BT235" s="1089"/>
      <c r="BU235" s="1090"/>
    </row>
    <row r="236" spans="1:73" ht="13.5" thickBot="1" x14ac:dyDescent="0.3">
      <c r="A236" s="1094"/>
      <c r="B236" s="1109"/>
      <c r="C236" s="1545"/>
      <c r="D236" s="1546"/>
      <c r="E236" s="1119"/>
      <c r="F236" s="1101"/>
      <c r="G236" s="1101"/>
      <c r="H236" s="1102"/>
      <c r="I236" s="1102"/>
      <c r="J236" s="1102"/>
      <c r="K236" s="1102"/>
      <c r="L236" s="1102"/>
      <c r="M236" s="1102"/>
      <c r="N236" s="1102"/>
      <c r="O236" s="1102"/>
      <c r="P236" s="1102"/>
      <c r="Q236" s="1102"/>
      <c r="R236" s="1102"/>
      <c r="S236" s="1102"/>
      <c r="T236" s="1102"/>
      <c r="U236" s="1102"/>
      <c r="V236" s="1102"/>
      <c r="W236" s="1102"/>
      <c r="X236" s="1102"/>
      <c r="Y236" s="1102"/>
      <c r="Z236" s="1102"/>
      <c r="AA236" s="1102"/>
      <c r="AB236" s="1102"/>
      <c r="AC236" s="1102"/>
      <c r="AD236" s="1102"/>
      <c r="AE236" s="1102"/>
      <c r="AF236" s="1102"/>
      <c r="AG236" s="1102"/>
      <c r="AH236" s="1102"/>
      <c r="AI236" s="1102"/>
      <c r="AJ236" s="1102"/>
      <c r="AK236" s="1102"/>
      <c r="AL236" s="1102"/>
      <c r="AM236" s="1103"/>
      <c r="AN236" s="1103"/>
      <c r="AO236" s="1103"/>
      <c r="AP236" s="1103"/>
      <c r="AQ236" s="1103"/>
      <c r="AR236" s="1103"/>
      <c r="AS236" s="1103"/>
      <c r="AT236" s="1103"/>
      <c r="AU236" s="1103"/>
      <c r="AV236" s="1103"/>
      <c r="AW236" s="1103"/>
      <c r="AX236" s="1103"/>
      <c r="AY236" s="1103"/>
      <c r="AZ236" s="1103"/>
      <c r="BA236" s="1103"/>
      <c r="BB236" s="1103"/>
      <c r="BC236" s="1103"/>
      <c r="BD236" s="1103"/>
      <c r="BE236" s="1103"/>
      <c r="BF236" s="1103"/>
      <c r="BG236" s="1102"/>
      <c r="BH236" s="1102"/>
      <c r="BI236" s="1102"/>
      <c r="BJ236" s="1102"/>
      <c r="BK236" s="1102"/>
      <c r="BL236" s="1102"/>
      <c r="BM236" s="1102"/>
      <c r="BN236" s="1102"/>
      <c r="BO236" s="1104"/>
      <c r="BP236" s="1102"/>
      <c r="BQ236" s="1105"/>
      <c r="BR236" s="1102"/>
      <c r="BS236" s="1106"/>
      <c r="BT236" s="1120"/>
      <c r="BU236" s="1099"/>
    </row>
    <row r="237" spans="1:73" ht="12.75" thickBot="1" x14ac:dyDescent="0.3">
      <c r="A237" s="1111"/>
      <c r="B237" s="1518" t="s">
        <v>1697</v>
      </c>
      <c r="C237" s="1518"/>
      <c r="D237" s="1073" t="s">
        <v>1698</v>
      </c>
      <c r="E237" s="1112"/>
      <c r="F237" s="1075">
        <f t="shared" ref="F237:AX237" si="128">SUM(F238:F275)</f>
        <v>6101684</v>
      </c>
      <c r="G237" s="1075">
        <f t="shared" si="128"/>
        <v>5981964</v>
      </c>
      <c r="H237" s="1075">
        <f t="shared" si="128"/>
        <v>4782826</v>
      </c>
      <c r="I237" s="1075">
        <f t="shared" si="128"/>
        <v>4663235</v>
      </c>
      <c r="J237" s="1075">
        <f t="shared" si="128"/>
        <v>-119591</v>
      </c>
      <c r="K237" s="1075">
        <f>SUM(K238:K275)</f>
        <v>-86714</v>
      </c>
      <c r="L237" s="1075">
        <f t="shared" si="128"/>
        <v>-1</v>
      </c>
      <c r="M237" s="1075">
        <f t="shared" si="128"/>
        <v>-5559</v>
      </c>
      <c r="N237" s="1075">
        <f t="shared" si="128"/>
        <v>24275</v>
      </c>
      <c r="O237" s="1075">
        <f t="shared" si="128"/>
        <v>0</v>
      </c>
      <c r="P237" s="1075">
        <f t="shared" si="128"/>
        <v>3344</v>
      </c>
      <c r="Q237" s="1075">
        <f t="shared" si="128"/>
        <v>0</v>
      </c>
      <c r="R237" s="1075">
        <f t="shared" si="128"/>
        <v>0</v>
      </c>
      <c r="S237" s="1075">
        <f t="shared" si="128"/>
        <v>-21079</v>
      </c>
      <c r="T237" s="1075">
        <f t="shared" si="128"/>
        <v>0</v>
      </c>
      <c r="U237" s="1075">
        <f t="shared" si="128"/>
        <v>614</v>
      </c>
      <c r="V237" s="1075">
        <f t="shared" si="128"/>
        <v>-42782</v>
      </c>
      <c r="W237" s="1075">
        <f t="shared" si="128"/>
        <v>806</v>
      </c>
      <c r="X237" s="1075">
        <f t="shared" si="128"/>
        <v>0</v>
      </c>
      <c r="Y237" s="1075">
        <f t="shared" si="128"/>
        <v>0</v>
      </c>
      <c r="Z237" s="1075">
        <f t="shared" si="128"/>
        <v>7505</v>
      </c>
      <c r="AA237" s="1075">
        <f t="shared" si="128"/>
        <v>0</v>
      </c>
      <c r="AB237" s="1075">
        <f t="shared" si="128"/>
        <v>0</v>
      </c>
      <c r="AC237" s="1075">
        <f t="shared" si="128"/>
        <v>313070</v>
      </c>
      <c r="AD237" s="1075">
        <f t="shared" si="128"/>
        <v>313071</v>
      </c>
      <c r="AE237" s="1075">
        <f t="shared" si="128"/>
        <v>1</v>
      </c>
      <c r="AF237" s="1075">
        <f t="shared" si="128"/>
        <v>0</v>
      </c>
      <c r="AG237" s="1075">
        <f t="shared" si="128"/>
        <v>1</v>
      </c>
      <c r="AH237" s="1075">
        <f t="shared" si="128"/>
        <v>0</v>
      </c>
      <c r="AI237" s="1075">
        <f t="shared" si="128"/>
        <v>0</v>
      </c>
      <c r="AJ237" s="1075">
        <f t="shared" si="128"/>
        <v>0</v>
      </c>
      <c r="AK237" s="1075">
        <f t="shared" si="128"/>
        <v>0</v>
      </c>
      <c r="AL237" s="1075">
        <f t="shared" si="128"/>
        <v>652452</v>
      </c>
      <c r="AM237" s="1075">
        <f t="shared" si="128"/>
        <v>653136</v>
      </c>
      <c r="AN237" s="1075">
        <f t="shared" si="128"/>
        <v>684</v>
      </c>
      <c r="AO237" s="1075">
        <f t="shared" si="128"/>
        <v>1768</v>
      </c>
      <c r="AP237" s="1075">
        <f t="shared" si="128"/>
        <v>0</v>
      </c>
      <c r="AQ237" s="1075">
        <f t="shared" si="128"/>
        <v>0</v>
      </c>
      <c r="AR237" s="1075">
        <f t="shared" si="128"/>
        <v>952</v>
      </c>
      <c r="AS237" s="1075">
        <f t="shared" si="128"/>
        <v>80</v>
      </c>
      <c r="AT237" s="1075">
        <f t="shared" si="128"/>
        <v>0</v>
      </c>
      <c r="AU237" s="1075">
        <f t="shared" si="128"/>
        <v>60</v>
      </c>
      <c r="AV237" s="1075">
        <f t="shared" si="128"/>
        <v>-2176</v>
      </c>
      <c r="AW237" s="1075">
        <f t="shared" si="128"/>
        <v>0</v>
      </c>
      <c r="AX237" s="1075">
        <f t="shared" si="128"/>
        <v>348605</v>
      </c>
      <c r="AY237" s="1076">
        <f>SUM(AY238:AY275)</f>
        <v>4731</v>
      </c>
      <c r="AZ237" s="1076">
        <f t="shared" ref="AZ237:BE237" si="129">SUM(AZ238:AZ275)</f>
        <v>5793</v>
      </c>
      <c r="BA237" s="1076">
        <f t="shared" si="129"/>
        <v>1062</v>
      </c>
      <c r="BB237" s="1076">
        <f t="shared" si="129"/>
        <v>218</v>
      </c>
      <c r="BC237" s="1076">
        <f t="shared" si="129"/>
        <v>844</v>
      </c>
      <c r="BD237" s="1076">
        <f t="shared" si="129"/>
        <v>0</v>
      </c>
      <c r="BE237" s="1076">
        <f t="shared" si="129"/>
        <v>0</v>
      </c>
      <c r="BF237" s="1076">
        <f>SUM(BF238:BF275)</f>
        <v>0</v>
      </c>
      <c r="BG237" s="1076">
        <f t="shared" ref="BG237:BS237" si="130">SUM(BG238:BG275)</f>
        <v>-1876</v>
      </c>
      <c r="BH237" s="1076">
        <f t="shared" si="130"/>
        <v>-1876</v>
      </c>
      <c r="BI237" s="1076">
        <f t="shared" si="130"/>
        <v>0</v>
      </c>
      <c r="BJ237" s="1076">
        <f t="shared" si="130"/>
        <v>0</v>
      </c>
      <c r="BK237" s="1076">
        <f t="shared" si="130"/>
        <v>0</v>
      </c>
      <c r="BL237" s="1076">
        <f t="shared" si="130"/>
        <v>0</v>
      </c>
      <c r="BM237" s="1076">
        <f t="shared" si="130"/>
        <v>-952</v>
      </c>
      <c r="BN237" s="1076">
        <f t="shared" si="130"/>
        <v>-80</v>
      </c>
      <c r="BO237" s="1076">
        <f t="shared" si="130"/>
        <v>0</v>
      </c>
      <c r="BP237" s="1075">
        <f t="shared" si="130"/>
        <v>-844</v>
      </c>
      <c r="BQ237" s="1077">
        <f t="shared" si="130"/>
        <v>0</v>
      </c>
      <c r="BR237" s="1075">
        <f t="shared" si="130"/>
        <v>0</v>
      </c>
      <c r="BS237" s="1078">
        <f t="shared" si="130"/>
        <v>0</v>
      </c>
      <c r="BT237" s="1113"/>
      <c r="BU237" s="1114"/>
    </row>
    <row r="238" spans="1:73" ht="48.75" thickTop="1" x14ac:dyDescent="0.25">
      <c r="A238" s="1094">
        <v>90000056357</v>
      </c>
      <c r="B238" s="1116"/>
      <c r="C238" s="1519" t="s">
        <v>501</v>
      </c>
      <c r="D238" s="1520"/>
      <c r="E238" s="1155" t="s">
        <v>485</v>
      </c>
      <c r="F238" s="1143">
        <f t="shared" ref="F238:F274" si="131">H238+AC238+AL238+AX238+AY238+BF238</f>
        <v>47500</v>
      </c>
      <c r="G238" s="1143">
        <f t="shared" ref="G238:G274" si="132">I238+AD238+AM238+AX238+AZ238+BG238</f>
        <v>4492</v>
      </c>
      <c r="H238" s="1134">
        <v>47500</v>
      </c>
      <c r="I238" s="1134">
        <f t="shared" ref="I238:I274" si="133">H238+J238</f>
        <v>4492</v>
      </c>
      <c r="J238" s="1134">
        <f t="shared" ref="J238:J274" si="134">SUM(K238:AB238)</f>
        <v>-43008</v>
      </c>
      <c r="K238" s="1134"/>
      <c r="L238" s="1134"/>
      <c r="M238" s="1134"/>
      <c r="N238" s="1134"/>
      <c r="O238" s="1134"/>
      <c r="P238" s="1134">
        <v>3344</v>
      </c>
      <c r="Q238" s="1134"/>
      <c r="R238" s="1134">
        <v>-3570</v>
      </c>
      <c r="S238" s="1134"/>
      <c r="T238" s="1134"/>
      <c r="U238" s="1134"/>
      <c r="V238" s="1134">
        <v>-42782</v>
      </c>
      <c r="W238" s="1134"/>
      <c r="X238" s="1134"/>
      <c r="Y238" s="1134"/>
      <c r="Z238" s="1134"/>
      <c r="AA238" s="1134"/>
      <c r="AB238" s="1134"/>
      <c r="AC238" s="1134">
        <v>0</v>
      </c>
      <c r="AD238" s="1134">
        <f t="shared" ref="AD238:AD274" si="135">AC238+AE238</f>
        <v>0</v>
      </c>
      <c r="AE238" s="1134">
        <f t="shared" ref="AE238:AE262" si="136">SUM(AF238:AK238)</f>
        <v>0</v>
      </c>
      <c r="AF238" s="1134"/>
      <c r="AG238" s="1134"/>
      <c r="AH238" s="1134"/>
      <c r="AI238" s="1134"/>
      <c r="AJ238" s="1134"/>
      <c r="AK238" s="1134"/>
      <c r="AL238" s="1134">
        <v>0</v>
      </c>
      <c r="AM238" s="1135">
        <f t="shared" ref="AM238:AM274" si="137">AN238+AL238</f>
        <v>0</v>
      </c>
      <c r="AN238" s="1135">
        <f t="shared" ref="AN238:AN262" si="138">SUM(AO238:AW238)</f>
        <v>0</v>
      </c>
      <c r="AO238" s="1135"/>
      <c r="AP238" s="1135"/>
      <c r="AQ238" s="1135"/>
      <c r="AR238" s="1135"/>
      <c r="AS238" s="1135"/>
      <c r="AT238" s="1135"/>
      <c r="AU238" s="1135"/>
      <c r="AV238" s="1135"/>
      <c r="AW238" s="1135"/>
      <c r="AX238" s="1135"/>
      <c r="AY238" s="1135">
        <v>0</v>
      </c>
      <c r="AZ238" s="1135">
        <f t="shared" ref="AZ238:AZ274" si="139">BA238+AY238</f>
        <v>0</v>
      </c>
      <c r="BA238" s="1135">
        <f t="shared" ref="BA238:BA262" si="140">SUM(BB238:BE238)</f>
        <v>0</v>
      </c>
      <c r="BB238" s="1135"/>
      <c r="BC238" s="1135"/>
      <c r="BD238" s="1135"/>
      <c r="BE238" s="1135"/>
      <c r="BF238" s="1135"/>
      <c r="BG238" s="1134">
        <f t="shared" ref="BG238:BG274" si="141">BH238+BF238</f>
        <v>0</v>
      </c>
      <c r="BH238" s="1134">
        <f t="shared" ref="BH238:BH274" si="142">SUM(BI238:BS238)</f>
        <v>0</v>
      </c>
      <c r="BI238" s="1134"/>
      <c r="BJ238" s="1134"/>
      <c r="BK238" s="1134"/>
      <c r="BL238" s="1134"/>
      <c r="BM238" s="1134"/>
      <c r="BN238" s="1134"/>
      <c r="BO238" s="1136"/>
      <c r="BP238" s="1134"/>
      <c r="BQ238" s="1137"/>
      <c r="BR238" s="1134"/>
      <c r="BS238" s="1138"/>
      <c r="BT238" s="1144" t="s">
        <v>1699</v>
      </c>
      <c r="BU238" s="1099" t="s">
        <v>1320</v>
      </c>
    </row>
    <row r="239" spans="1:73" ht="24" x14ac:dyDescent="0.25">
      <c r="A239" s="1094"/>
      <c r="B239" s="1121"/>
      <c r="C239" s="1122"/>
      <c r="D239" s="1123"/>
      <c r="E239" s="1100" t="s">
        <v>492</v>
      </c>
      <c r="F239" s="1083">
        <f t="shared" si="131"/>
        <v>40366</v>
      </c>
      <c r="G239" s="1083">
        <f t="shared" si="132"/>
        <v>21679</v>
      </c>
      <c r="H239" s="1084">
        <v>40366</v>
      </c>
      <c r="I239" s="1084">
        <f t="shared" si="133"/>
        <v>21679</v>
      </c>
      <c r="J239" s="1084">
        <f t="shared" si="134"/>
        <v>-18687</v>
      </c>
      <c r="K239" s="1084"/>
      <c r="L239" s="1084">
        <v>-1</v>
      </c>
      <c r="M239" s="1084">
        <v>-5559</v>
      </c>
      <c r="N239" s="1084"/>
      <c r="O239" s="1084"/>
      <c r="P239" s="1084">
        <v>-16697</v>
      </c>
      <c r="Q239" s="1084"/>
      <c r="R239" s="1084">
        <v>3570</v>
      </c>
      <c r="S239" s="1084"/>
      <c r="T239" s="1084"/>
      <c r="U239" s="1084"/>
      <c r="V239" s="1084"/>
      <c r="W239" s="1084"/>
      <c r="X239" s="1084"/>
      <c r="Y239" s="1084"/>
      <c r="Z239" s="1084"/>
      <c r="AA239" s="1084"/>
      <c r="AB239" s="1084"/>
      <c r="AC239" s="1084">
        <v>0</v>
      </c>
      <c r="AD239" s="1084">
        <f t="shared" si="135"/>
        <v>0</v>
      </c>
      <c r="AE239" s="1084">
        <f t="shared" si="136"/>
        <v>0</v>
      </c>
      <c r="AF239" s="1084"/>
      <c r="AG239" s="1084"/>
      <c r="AH239" s="1084"/>
      <c r="AI239" s="1084"/>
      <c r="AJ239" s="1084"/>
      <c r="AK239" s="1084"/>
      <c r="AL239" s="1084">
        <v>0</v>
      </c>
      <c r="AM239" s="1085">
        <f t="shared" si="137"/>
        <v>0</v>
      </c>
      <c r="AN239" s="1085">
        <f t="shared" si="138"/>
        <v>0</v>
      </c>
      <c r="AO239" s="1085"/>
      <c r="AP239" s="1085"/>
      <c r="AQ239" s="1085"/>
      <c r="AR239" s="1085"/>
      <c r="AS239" s="1085"/>
      <c r="AT239" s="1085"/>
      <c r="AU239" s="1085"/>
      <c r="AV239" s="1085"/>
      <c r="AW239" s="1085"/>
      <c r="AX239" s="1085"/>
      <c r="AY239" s="1085">
        <v>0</v>
      </c>
      <c r="AZ239" s="1085">
        <f t="shared" si="139"/>
        <v>0</v>
      </c>
      <c r="BA239" s="1085">
        <f t="shared" si="140"/>
        <v>0</v>
      </c>
      <c r="BB239" s="1085"/>
      <c r="BC239" s="1085"/>
      <c r="BD239" s="1085"/>
      <c r="BE239" s="1085"/>
      <c r="BF239" s="1085"/>
      <c r="BG239" s="1084">
        <f t="shared" si="141"/>
        <v>0</v>
      </c>
      <c r="BH239" s="1084">
        <f t="shared" si="142"/>
        <v>0</v>
      </c>
      <c r="BI239" s="1084"/>
      <c r="BJ239" s="1084"/>
      <c r="BK239" s="1084"/>
      <c r="BL239" s="1084"/>
      <c r="BM239" s="1084"/>
      <c r="BN239" s="1084"/>
      <c r="BO239" s="1086"/>
      <c r="BP239" s="1084"/>
      <c r="BQ239" s="1087"/>
      <c r="BR239" s="1084"/>
      <c r="BS239" s="1088"/>
      <c r="BT239" s="1089" t="s">
        <v>1700</v>
      </c>
      <c r="BU239" s="1090" t="s">
        <v>1320</v>
      </c>
    </row>
    <row r="240" spans="1:73" ht="48" x14ac:dyDescent="0.25">
      <c r="A240" s="1094"/>
      <c r="B240" s="1121"/>
      <c r="C240" s="1122"/>
      <c r="D240" s="1123"/>
      <c r="E240" s="1100" t="s">
        <v>489</v>
      </c>
      <c r="F240" s="1083">
        <f t="shared" si="131"/>
        <v>0</v>
      </c>
      <c r="G240" s="1083">
        <f t="shared" si="132"/>
        <v>16697</v>
      </c>
      <c r="H240" s="1084"/>
      <c r="I240" s="1084">
        <f t="shared" si="133"/>
        <v>16697</v>
      </c>
      <c r="J240" s="1084">
        <f t="shared" si="134"/>
        <v>16697</v>
      </c>
      <c r="K240" s="1084"/>
      <c r="L240" s="1084"/>
      <c r="M240" s="1084"/>
      <c r="N240" s="1084"/>
      <c r="O240" s="1084"/>
      <c r="P240" s="1084">
        <v>16697</v>
      </c>
      <c r="Q240" s="1084"/>
      <c r="R240" s="1084"/>
      <c r="S240" s="1084"/>
      <c r="T240" s="1084"/>
      <c r="U240" s="1084"/>
      <c r="V240" s="1084"/>
      <c r="W240" s="1084"/>
      <c r="X240" s="1084"/>
      <c r="Y240" s="1084"/>
      <c r="Z240" s="1084"/>
      <c r="AA240" s="1084"/>
      <c r="AB240" s="1084"/>
      <c r="AC240" s="1084"/>
      <c r="AD240" s="1084">
        <f t="shared" si="135"/>
        <v>0</v>
      </c>
      <c r="AE240" s="1084">
        <f t="shared" si="136"/>
        <v>0</v>
      </c>
      <c r="AF240" s="1084"/>
      <c r="AG240" s="1084"/>
      <c r="AH240" s="1084"/>
      <c r="AI240" s="1084"/>
      <c r="AJ240" s="1084"/>
      <c r="AK240" s="1084"/>
      <c r="AL240" s="1084"/>
      <c r="AM240" s="1085">
        <f t="shared" si="137"/>
        <v>0</v>
      </c>
      <c r="AN240" s="1085">
        <f t="shared" si="138"/>
        <v>0</v>
      </c>
      <c r="AO240" s="1085"/>
      <c r="AP240" s="1085"/>
      <c r="AQ240" s="1085"/>
      <c r="AR240" s="1085"/>
      <c r="AS240" s="1085"/>
      <c r="AT240" s="1085"/>
      <c r="AU240" s="1085"/>
      <c r="AV240" s="1085"/>
      <c r="AW240" s="1085"/>
      <c r="AX240" s="1085"/>
      <c r="AY240" s="1085"/>
      <c r="AZ240" s="1085">
        <f t="shared" si="139"/>
        <v>0</v>
      </c>
      <c r="BA240" s="1085">
        <f t="shared" si="140"/>
        <v>0</v>
      </c>
      <c r="BB240" s="1085"/>
      <c r="BC240" s="1085"/>
      <c r="BD240" s="1085"/>
      <c r="BE240" s="1085"/>
      <c r="BF240" s="1085"/>
      <c r="BG240" s="1084">
        <f t="shared" si="141"/>
        <v>0</v>
      </c>
      <c r="BH240" s="1084">
        <f t="shared" si="142"/>
        <v>0</v>
      </c>
      <c r="BI240" s="1084"/>
      <c r="BJ240" s="1084"/>
      <c r="BK240" s="1084"/>
      <c r="BL240" s="1084"/>
      <c r="BM240" s="1084"/>
      <c r="BN240" s="1084"/>
      <c r="BO240" s="1086"/>
      <c r="BP240" s="1084"/>
      <c r="BQ240" s="1087"/>
      <c r="BR240" s="1084"/>
      <c r="BS240" s="1088"/>
      <c r="BT240" s="1089" t="s">
        <v>1701</v>
      </c>
      <c r="BU240" s="1090" t="s">
        <v>1320</v>
      </c>
    </row>
    <row r="241" spans="1:73" ht="12.75" x14ac:dyDescent="0.25">
      <c r="A241" s="1094">
        <v>90000594245</v>
      </c>
      <c r="B241" s="1095"/>
      <c r="C241" s="1514" t="s">
        <v>1346</v>
      </c>
      <c r="D241" s="1515"/>
      <c r="E241" s="1082" t="s">
        <v>525</v>
      </c>
      <c r="F241" s="1083">
        <f t="shared" si="131"/>
        <v>793230</v>
      </c>
      <c r="G241" s="1083">
        <f t="shared" si="132"/>
        <v>791227</v>
      </c>
      <c r="H241" s="1084">
        <v>793230</v>
      </c>
      <c r="I241" s="1084">
        <f t="shared" si="133"/>
        <v>791167</v>
      </c>
      <c r="J241" s="1084">
        <f t="shared" si="134"/>
        <v>-2063</v>
      </c>
      <c r="K241" s="1084"/>
      <c r="L241" s="1084"/>
      <c r="M241" s="1084"/>
      <c r="N241" s="1084">
        <v>870</v>
      </c>
      <c r="O241" s="1084"/>
      <c r="P241" s="1084"/>
      <c r="Q241" s="1084"/>
      <c r="R241" s="1084"/>
      <c r="S241" s="1084">
        <v>-3547</v>
      </c>
      <c r="T241" s="1084"/>
      <c r="U241" s="1084">
        <v>614</v>
      </c>
      <c r="V241" s="1084"/>
      <c r="W241" s="1084"/>
      <c r="X241" s="1084"/>
      <c r="Y241" s="1084"/>
      <c r="Z241" s="1084"/>
      <c r="AA241" s="1084"/>
      <c r="AB241" s="1084"/>
      <c r="AC241" s="1084">
        <v>0</v>
      </c>
      <c r="AD241" s="1084">
        <f t="shared" si="135"/>
        <v>0</v>
      </c>
      <c r="AE241" s="1084">
        <f t="shared" si="136"/>
        <v>0</v>
      </c>
      <c r="AF241" s="1084"/>
      <c r="AG241" s="1084"/>
      <c r="AH241" s="1084"/>
      <c r="AI241" s="1084"/>
      <c r="AJ241" s="1084"/>
      <c r="AK241" s="1084"/>
      <c r="AL241" s="1084">
        <v>0</v>
      </c>
      <c r="AM241" s="1085">
        <f t="shared" si="137"/>
        <v>1012</v>
      </c>
      <c r="AN241" s="1085">
        <f t="shared" si="138"/>
        <v>1012</v>
      </c>
      <c r="AO241" s="1085"/>
      <c r="AP241" s="1085"/>
      <c r="AQ241" s="1085"/>
      <c r="AR241" s="1085">
        <v>952</v>
      </c>
      <c r="AS241" s="1085"/>
      <c r="AT241" s="1085"/>
      <c r="AU241" s="1085">
        <v>60</v>
      </c>
      <c r="AV241" s="1085"/>
      <c r="AW241" s="1085"/>
      <c r="AX241" s="1085"/>
      <c r="AY241" s="1085">
        <v>0</v>
      </c>
      <c r="AZ241" s="1085">
        <f t="shared" si="139"/>
        <v>0</v>
      </c>
      <c r="BA241" s="1085">
        <f t="shared" si="140"/>
        <v>0</v>
      </c>
      <c r="BB241" s="1085"/>
      <c r="BC241" s="1085"/>
      <c r="BD241" s="1085"/>
      <c r="BE241" s="1085"/>
      <c r="BF241" s="1085"/>
      <c r="BG241" s="1084">
        <f t="shared" si="141"/>
        <v>-952</v>
      </c>
      <c r="BH241" s="1084">
        <f t="shared" si="142"/>
        <v>-952</v>
      </c>
      <c r="BI241" s="1084"/>
      <c r="BJ241" s="1084"/>
      <c r="BK241" s="1084"/>
      <c r="BL241" s="1084"/>
      <c r="BM241" s="1084">
        <v>-952</v>
      </c>
      <c r="BN241" s="1084"/>
      <c r="BO241" s="1086"/>
      <c r="BP241" s="1084"/>
      <c r="BQ241" s="1087"/>
      <c r="BR241" s="1084"/>
      <c r="BS241" s="1088"/>
      <c r="BT241" s="1089" t="s">
        <v>1702</v>
      </c>
      <c r="BU241" s="1090"/>
    </row>
    <row r="242" spans="1:73" ht="24" x14ac:dyDescent="0.25">
      <c r="A242" s="1094"/>
      <c r="B242" s="1095"/>
      <c r="C242" s="1096"/>
      <c r="D242" s="1097"/>
      <c r="E242" s="1082" t="s">
        <v>1703</v>
      </c>
      <c r="F242" s="1083">
        <f t="shared" si="131"/>
        <v>303784</v>
      </c>
      <c r="G242" s="1083">
        <f t="shared" si="132"/>
        <v>303784</v>
      </c>
      <c r="H242" s="1084">
        <v>20604</v>
      </c>
      <c r="I242" s="1084">
        <f t="shared" si="133"/>
        <v>20604</v>
      </c>
      <c r="J242" s="1084">
        <f t="shared" si="134"/>
        <v>0</v>
      </c>
      <c r="K242" s="1084"/>
      <c r="L242" s="1084"/>
      <c r="M242" s="1084"/>
      <c r="N242" s="1084"/>
      <c r="O242" s="1084"/>
      <c r="P242" s="1084"/>
      <c r="Q242" s="1084"/>
      <c r="R242" s="1084"/>
      <c r="S242" s="1084"/>
      <c r="T242" s="1084"/>
      <c r="U242" s="1084"/>
      <c r="V242" s="1084"/>
      <c r="W242" s="1084"/>
      <c r="X242" s="1084"/>
      <c r="Y242" s="1084"/>
      <c r="Z242" s="1084"/>
      <c r="AA242" s="1084"/>
      <c r="AB242" s="1084"/>
      <c r="AC242" s="1084">
        <v>283180</v>
      </c>
      <c r="AD242" s="1084">
        <f t="shared" si="135"/>
        <v>283180</v>
      </c>
      <c r="AE242" s="1084">
        <f t="shared" si="136"/>
        <v>0</v>
      </c>
      <c r="AF242" s="1084"/>
      <c r="AG242" s="1084"/>
      <c r="AH242" s="1084"/>
      <c r="AI242" s="1084"/>
      <c r="AJ242" s="1084"/>
      <c r="AK242" s="1084"/>
      <c r="AL242" s="1084">
        <v>0</v>
      </c>
      <c r="AM242" s="1085">
        <f t="shared" si="137"/>
        <v>0</v>
      </c>
      <c r="AN242" s="1085">
        <f t="shared" si="138"/>
        <v>0</v>
      </c>
      <c r="AO242" s="1085"/>
      <c r="AP242" s="1085"/>
      <c r="AQ242" s="1085"/>
      <c r="AR242" s="1085"/>
      <c r="AS242" s="1085"/>
      <c r="AT242" s="1085"/>
      <c r="AU242" s="1085"/>
      <c r="AV242" s="1085"/>
      <c r="AW242" s="1085"/>
      <c r="AX242" s="1085"/>
      <c r="AY242" s="1085">
        <v>0</v>
      </c>
      <c r="AZ242" s="1085">
        <f t="shared" si="139"/>
        <v>0</v>
      </c>
      <c r="BA242" s="1085">
        <f t="shared" si="140"/>
        <v>0</v>
      </c>
      <c r="BB242" s="1085"/>
      <c r="BC242" s="1085"/>
      <c r="BD242" s="1085"/>
      <c r="BE242" s="1085"/>
      <c r="BF242" s="1085"/>
      <c r="BG242" s="1084">
        <f t="shared" si="141"/>
        <v>0</v>
      </c>
      <c r="BH242" s="1084">
        <f t="shared" si="142"/>
        <v>0</v>
      </c>
      <c r="BI242" s="1084"/>
      <c r="BJ242" s="1084"/>
      <c r="BK242" s="1084"/>
      <c r="BL242" s="1084"/>
      <c r="BM242" s="1084"/>
      <c r="BN242" s="1084"/>
      <c r="BO242" s="1086"/>
      <c r="BP242" s="1084"/>
      <c r="BQ242" s="1087"/>
      <c r="BR242" s="1084"/>
      <c r="BS242" s="1088"/>
      <c r="BT242" s="1089" t="s">
        <v>1704</v>
      </c>
      <c r="BU242" s="1090" t="s">
        <v>1705</v>
      </c>
    </row>
    <row r="243" spans="1:73" ht="24" x14ac:dyDescent="0.25">
      <c r="A243" s="1094"/>
      <c r="B243" s="1095"/>
      <c r="C243" s="1096"/>
      <c r="D243" s="1097"/>
      <c r="E243" s="1082" t="s">
        <v>1706</v>
      </c>
      <c r="F243" s="1083">
        <f t="shared" si="131"/>
        <v>192514</v>
      </c>
      <c r="G243" s="1083">
        <f t="shared" si="132"/>
        <v>194714</v>
      </c>
      <c r="H243" s="1084">
        <v>188244</v>
      </c>
      <c r="I243" s="1084">
        <f t="shared" si="133"/>
        <v>190444</v>
      </c>
      <c r="J243" s="1084">
        <f t="shared" si="134"/>
        <v>2200</v>
      </c>
      <c r="K243" s="1084"/>
      <c r="L243" s="1084"/>
      <c r="M243" s="1084"/>
      <c r="N243" s="1084"/>
      <c r="O243" s="1084"/>
      <c r="P243" s="1084"/>
      <c r="Q243" s="1084"/>
      <c r="R243" s="1084"/>
      <c r="S243" s="1084"/>
      <c r="T243" s="1084"/>
      <c r="U243" s="1084"/>
      <c r="V243" s="1084"/>
      <c r="W243" s="1084"/>
      <c r="X243" s="1084">
        <v>2200</v>
      </c>
      <c r="Y243" s="1084"/>
      <c r="Z243" s="1084"/>
      <c r="AA243" s="1084"/>
      <c r="AB243" s="1084"/>
      <c r="AC243" s="1084">
        <v>4270</v>
      </c>
      <c r="AD243" s="1084">
        <f t="shared" si="135"/>
        <v>4270</v>
      </c>
      <c r="AE243" s="1084">
        <f t="shared" si="136"/>
        <v>0</v>
      </c>
      <c r="AF243" s="1084"/>
      <c r="AG243" s="1084"/>
      <c r="AH243" s="1084"/>
      <c r="AI243" s="1084"/>
      <c r="AJ243" s="1084"/>
      <c r="AK243" s="1084"/>
      <c r="AL243" s="1084">
        <v>0</v>
      </c>
      <c r="AM243" s="1085">
        <f t="shared" si="137"/>
        <v>0</v>
      </c>
      <c r="AN243" s="1085">
        <f t="shared" si="138"/>
        <v>0</v>
      </c>
      <c r="AO243" s="1085"/>
      <c r="AP243" s="1085"/>
      <c r="AQ243" s="1085"/>
      <c r="AR243" s="1085"/>
      <c r="AS243" s="1085"/>
      <c r="AT243" s="1085"/>
      <c r="AU243" s="1085"/>
      <c r="AV243" s="1085"/>
      <c r="AW243" s="1085"/>
      <c r="AX243" s="1085"/>
      <c r="AY243" s="1085">
        <v>0</v>
      </c>
      <c r="AZ243" s="1085">
        <f t="shared" si="139"/>
        <v>0</v>
      </c>
      <c r="BA243" s="1085">
        <f t="shared" si="140"/>
        <v>0</v>
      </c>
      <c r="BB243" s="1085"/>
      <c r="BC243" s="1085"/>
      <c r="BD243" s="1085"/>
      <c r="BE243" s="1085"/>
      <c r="BF243" s="1085"/>
      <c r="BG243" s="1084">
        <f t="shared" si="141"/>
        <v>0</v>
      </c>
      <c r="BH243" s="1084">
        <f t="shared" si="142"/>
        <v>0</v>
      </c>
      <c r="BI243" s="1084"/>
      <c r="BJ243" s="1084"/>
      <c r="BK243" s="1084"/>
      <c r="BL243" s="1084"/>
      <c r="BM243" s="1084"/>
      <c r="BN243" s="1084"/>
      <c r="BO243" s="1086"/>
      <c r="BP243" s="1084"/>
      <c r="BQ243" s="1087"/>
      <c r="BR243" s="1084"/>
      <c r="BS243" s="1088"/>
      <c r="BT243" s="1089" t="s">
        <v>1707</v>
      </c>
      <c r="BU243" s="1090" t="s">
        <v>1705</v>
      </c>
    </row>
    <row r="244" spans="1:73" ht="24" x14ac:dyDescent="0.25">
      <c r="A244" s="1094"/>
      <c r="B244" s="1095"/>
      <c r="C244" s="1096"/>
      <c r="D244" s="1097"/>
      <c r="E244" s="1082" t="s">
        <v>1708</v>
      </c>
      <c r="F244" s="1083">
        <f t="shared" si="131"/>
        <v>336284</v>
      </c>
      <c r="G244" s="1083">
        <f t="shared" si="132"/>
        <v>324226</v>
      </c>
      <c r="H244" s="1084">
        <v>334148</v>
      </c>
      <c r="I244" s="1084">
        <f t="shared" si="133"/>
        <v>321948</v>
      </c>
      <c r="J244" s="1084">
        <f t="shared" si="134"/>
        <v>-12200</v>
      </c>
      <c r="K244" s="1084"/>
      <c r="L244" s="1084"/>
      <c r="M244" s="1084"/>
      <c r="N244" s="1084"/>
      <c r="O244" s="1084">
        <v>-3000</v>
      </c>
      <c r="P244" s="1084"/>
      <c r="Q244" s="1084"/>
      <c r="R244" s="1084"/>
      <c r="S244" s="1084"/>
      <c r="T244" s="1084"/>
      <c r="U244" s="1084"/>
      <c r="V244" s="1084"/>
      <c r="W244" s="1084"/>
      <c r="X244" s="1084">
        <v>-9200</v>
      </c>
      <c r="Y244" s="1084"/>
      <c r="Z244" s="1084"/>
      <c r="AA244" s="1084"/>
      <c r="AB244" s="1084"/>
      <c r="AC244" s="1084">
        <v>0</v>
      </c>
      <c r="AD244" s="1084">
        <f t="shared" si="135"/>
        <v>0</v>
      </c>
      <c r="AE244" s="1084">
        <f t="shared" si="136"/>
        <v>0</v>
      </c>
      <c r="AF244" s="1084"/>
      <c r="AG244" s="1084"/>
      <c r="AH244" s="1084"/>
      <c r="AI244" s="1084"/>
      <c r="AJ244" s="1084"/>
      <c r="AK244" s="1084"/>
      <c r="AL244" s="1084">
        <v>2136</v>
      </c>
      <c r="AM244" s="1085">
        <f t="shared" si="137"/>
        <v>2278</v>
      </c>
      <c r="AN244" s="1085">
        <f t="shared" si="138"/>
        <v>142</v>
      </c>
      <c r="AO244" s="1085">
        <v>142</v>
      </c>
      <c r="AP244" s="1085"/>
      <c r="AQ244" s="1085"/>
      <c r="AR244" s="1085"/>
      <c r="AS244" s="1085"/>
      <c r="AT244" s="1085"/>
      <c r="AU244" s="1085"/>
      <c r="AV244" s="1085"/>
      <c r="AW244" s="1085"/>
      <c r="AX244" s="1085"/>
      <c r="AY244" s="1085">
        <v>0</v>
      </c>
      <c r="AZ244" s="1085">
        <f t="shared" si="139"/>
        <v>0</v>
      </c>
      <c r="BA244" s="1085">
        <f t="shared" si="140"/>
        <v>0</v>
      </c>
      <c r="BB244" s="1085"/>
      <c r="BC244" s="1085"/>
      <c r="BD244" s="1085"/>
      <c r="BE244" s="1085"/>
      <c r="BF244" s="1085"/>
      <c r="BG244" s="1084">
        <f t="shared" si="141"/>
        <v>0</v>
      </c>
      <c r="BH244" s="1084">
        <f t="shared" si="142"/>
        <v>0</v>
      </c>
      <c r="BI244" s="1084"/>
      <c r="BJ244" s="1084"/>
      <c r="BK244" s="1084"/>
      <c r="BL244" s="1084"/>
      <c r="BM244" s="1084"/>
      <c r="BN244" s="1084"/>
      <c r="BO244" s="1086"/>
      <c r="BP244" s="1084"/>
      <c r="BQ244" s="1087"/>
      <c r="BR244" s="1084"/>
      <c r="BS244" s="1088"/>
      <c r="BT244" s="1089" t="s">
        <v>1709</v>
      </c>
      <c r="BU244" s="1090" t="s">
        <v>1710</v>
      </c>
    </row>
    <row r="245" spans="1:73" ht="24" x14ac:dyDescent="0.25">
      <c r="A245" s="1094"/>
      <c r="B245" s="1095"/>
      <c r="C245" s="1096"/>
      <c r="D245" s="1097"/>
      <c r="E245" s="1082" t="s">
        <v>1711</v>
      </c>
      <c r="F245" s="1083">
        <f t="shared" si="131"/>
        <v>261300</v>
      </c>
      <c r="G245" s="1083">
        <f t="shared" si="132"/>
        <v>263800</v>
      </c>
      <c r="H245" s="1084">
        <v>261300</v>
      </c>
      <c r="I245" s="1084">
        <f t="shared" si="133"/>
        <v>263800</v>
      </c>
      <c r="J245" s="1084">
        <f t="shared" si="134"/>
        <v>2500</v>
      </c>
      <c r="K245" s="1084"/>
      <c r="L245" s="1084"/>
      <c r="M245" s="1084"/>
      <c r="N245" s="1084"/>
      <c r="O245" s="1084"/>
      <c r="P245" s="1084"/>
      <c r="Q245" s="1084"/>
      <c r="R245" s="1084"/>
      <c r="S245" s="1084"/>
      <c r="T245" s="1084"/>
      <c r="U245" s="1084"/>
      <c r="V245" s="1084"/>
      <c r="W245" s="1084"/>
      <c r="X245" s="1084">
        <v>2500</v>
      </c>
      <c r="Y245" s="1084"/>
      <c r="Z245" s="1084"/>
      <c r="AA245" s="1084"/>
      <c r="AB245" s="1084"/>
      <c r="AC245" s="1084">
        <v>0</v>
      </c>
      <c r="AD245" s="1084">
        <f t="shared" si="135"/>
        <v>0</v>
      </c>
      <c r="AE245" s="1084">
        <f t="shared" si="136"/>
        <v>0</v>
      </c>
      <c r="AF245" s="1084"/>
      <c r="AG245" s="1084"/>
      <c r="AH245" s="1084"/>
      <c r="AI245" s="1084"/>
      <c r="AJ245" s="1084"/>
      <c r="AK245" s="1084"/>
      <c r="AL245" s="1084">
        <v>0</v>
      </c>
      <c r="AM245" s="1085">
        <f t="shared" si="137"/>
        <v>0</v>
      </c>
      <c r="AN245" s="1085">
        <f t="shared" si="138"/>
        <v>0</v>
      </c>
      <c r="AO245" s="1085"/>
      <c r="AP245" s="1085"/>
      <c r="AQ245" s="1085"/>
      <c r="AR245" s="1085"/>
      <c r="AS245" s="1085"/>
      <c r="AT245" s="1085"/>
      <c r="AU245" s="1085"/>
      <c r="AV245" s="1085"/>
      <c r="AW245" s="1085"/>
      <c r="AX245" s="1085"/>
      <c r="AY245" s="1085">
        <v>0</v>
      </c>
      <c r="AZ245" s="1085">
        <f t="shared" si="139"/>
        <v>0</v>
      </c>
      <c r="BA245" s="1085">
        <f t="shared" si="140"/>
        <v>0</v>
      </c>
      <c r="BB245" s="1085"/>
      <c r="BC245" s="1085"/>
      <c r="BD245" s="1085"/>
      <c r="BE245" s="1085"/>
      <c r="BF245" s="1085"/>
      <c r="BG245" s="1084">
        <f t="shared" si="141"/>
        <v>0</v>
      </c>
      <c r="BH245" s="1084">
        <f t="shared" si="142"/>
        <v>0</v>
      </c>
      <c r="BI245" s="1084"/>
      <c r="BJ245" s="1084"/>
      <c r="BK245" s="1084"/>
      <c r="BL245" s="1084"/>
      <c r="BM245" s="1084"/>
      <c r="BN245" s="1084"/>
      <c r="BO245" s="1086"/>
      <c r="BP245" s="1084"/>
      <c r="BQ245" s="1087"/>
      <c r="BR245" s="1084"/>
      <c r="BS245" s="1088"/>
      <c r="BT245" s="1089" t="s">
        <v>1712</v>
      </c>
      <c r="BU245" s="1090" t="s">
        <v>1713</v>
      </c>
    </row>
    <row r="246" spans="1:73" ht="24" x14ac:dyDescent="0.25">
      <c r="A246" s="1094"/>
      <c r="B246" s="1095"/>
      <c r="C246" s="1096"/>
      <c r="D246" s="1097"/>
      <c r="E246" s="1082" t="s">
        <v>1714</v>
      </c>
      <c r="F246" s="1083">
        <f t="shared" si="131"/>
        <v>372216</v>
      </c>
      <c r="G246" s="1083">
        <f t="shared" si="132"/>
        <v>372216</v>
      </c>
      <c r="H246" s="1084">
        <v>372216</v>
      </c>
      <c r="I246" s="1084">
        <f t="shared" si="133"/>
        <v>372216</v>
      </c>
      <c r="J246" s="1084">
        <f t="shared" si="134"/>
        <v>0</v>
      </c>
      <c r="K246" s="1084"/>
      <c r="L246" s="1084"/>
      <c r="M246" s="1084"/>
      <c r="N246" s="1084"/>
      <c r="O246" s="1084"/>
      <c r="P246" s="1084"/>
      <c r="Q246" s="1084"/>
      <c r="R246" s="1084"/>
      <c r="S246" s="1084"/>
      <c r="T246" s="1084"/>
      <c r="U246" s="1084"/>
      <c r="V246" s="1084"/>
      <c r="W246" s="1084"/>
      <c r="X246" s="1084"/>
      <c r="Y246" s="1084"/>
      <c r="Z246" s="1084"/>
      <c r="AA246" s="1084"/>
      <c r="AB246" s="1084"/>
      <c r="AC246" s="1084">
        <v>0</v>
      </c>
      <c r="AD246" s="1084">
        <f t="shared" si="135"/>
        <v>0</v>
      </c>
      <c r="AE246" s="1084">
        <f t="shared" si="136"/>
        <v>0</v>
      </c>
      <c r="AF246" s="1084"/>
      <c r="AG246" s="1084"/>
      <c r="AH246" s="1084"/>
      <c r="AI246" s="1084"/>
      <c r="AJ246" s="1084"/>
      <c r="AK246" s="1084"/>
      <c r="AL246" s="1084">
        <v>0</v>
      </c>
      <c r="AM246" s="1085">
        <f t="shared" si="137"/>
        <v>0</v>
      </c>
      <c r="AN246" s="1085">
        <f t="shared" si="138"/>
        <v>0</v>
      </c>
      <c r="AO246" s="1085"/>
      <c r="AP246" s="1085"/>
      <c r="AQ246" s="1085"/>
      <c r="AR246" s="1085"/>
      <c r="AS246" s="1085"/>
      <c r="AT246" s="1085"/>
      <c r="AU246" s="1085"/>
      <c r="AV246" s="1085"/>
      <c r="AW246" s="1085"/>
      <c r="AX246" s="1085"/>
      <c r="AY246" s="1085">
        <v>0</v>
      </c>
      <c r="AZ246" s="1085">
        <f t="shared" si="139"/>
        <v>0</v>
      </c>
      <c r="BA246" s="1085">
        <f t="shared" si="140"/>
        <v>0</v>
      </c>
      <c r="BB246" s="1085"/>
      <c r="BC246" s="1085"/>
      <c r="BD246" s="1085"/>
      <c r="BE246" s="1085"/>
      <c r="BF246" s="1085"/>
      <c r="BG246" s="1084">
        <f t="shared" si="141"/>
        <v>0</v>
      </c>
      <c r="BH246" s="1084">
        <f t="shared" si="142"/>
        <v>0</v>
      </c>
      <c r="BI246" s="1084"/>
      <c r="BJ246" s="1084"/>
      <c r="BK246" s="1084"/>
      <c r="BL246" s="1084"/>
      <c r="BM246" s="1084"/>
      <c r="BN246" s="1084"/>
      <c r="BO246" s="1086"/>
      <c r="BP246" s="1084"/>
      <c r="BQ246" s="1087"/>
      <c r="BR246" s="1084"/>
      <c r="BS246" s="1088"/>
      <c r="BT246" s="1089" t="s">
        <v>1715</v>
      </c>
      <c r="BU246" s="1090" t="s">
        <v>1716</v>
      </c>
    </row>
    <row r="247" spans="1:73" ht="24" x14ac:dyDescent="0.25">
      <c r="A247" s="1094"/>
      <c r="B247" s="1095"/>
      <c r="C247" s="1096"/>
      <c r="D247" s="1097"/>
      <c r="E247" s="1082" t="s">
        <v>1717</v>
      </c>
      <c r="F247" s="1083">
        <f t="shared" si="131"/>
        <v>445830</v>
      </c>
      <c r="G247" s="1083">
        <f t="shared" si="132"/>
        <v>453330</v>
      </c>
      <c r="H247" s="1084">
        <v>445830</v>
      </c>
      <c r="I247" s="1084">
        <f t="shared" si="133"/>
        <v>453330</v>
      </c>
      <c r="J247" s="1084">
        <f t="shared" si="134"/>
        <v>7500</v>
      </c>
      <c r="K247" s="1084"/>
      <c r="L247" s="1084"/>
      <c r="M247" s="1084"/>
      <c r="N247" s="1084"/>
      <c r="O247" s="1084">
        <v>3000</v>
      </c>
      <c r="P247" s="1084"/>
      <c r="Q247" s="1084"/>
      <c r="R247" s="1084"/>
      <c r="S247" s="1084"/>
      <c r="T247" s="1084"/>
      <c r="U247" s="1084"/>
      <c r="V247" s="1084"/>
      <c r="W247" s="1084"/>
      <c r="X247" s="1084">
        <v>4500</v>
      </c>
      <c r="Y247" s="1084"/>
      <c r="Z247" s="1084"/>
      <c r="AA247" s="1084"/>
      <c r="AB247" s="1084"/>
      <c r="AC247" s="1084">
        <v>0</v>
      </c>
      <c r="AD247" s="1084">
        <f t="shared" si="135"/>
        <v>0</v>
      </c>
      <c r="AE247" s="1084">
        <f t="shared" si="136"/>
        <v>0</v>
      </c>
      <c r="AF247" s="1084"/>
      <c r="AG247" s="1084"/>
      <c r="AH247" s="1084"/>
      <c r="AI247" s="1084"/>
      <c r="AJ247" s="1084"/>
      <c r="AK247" s="1084"/>
      <c r="AL247" s="1084">
        <v>0</v>
      </c>
      <c r="AM247" s="1085">
        <f t="shared" si="137"/>
        <v>0</v>
      </c>
      <c r="AN247" s="1085">
        <f t="shared" si="138"/>
        <v>0</v>
      </c>
      <c r="AO247" s="1085"/>
      <c r="AP247" s="1085"/>
      <c r="AQ247" s="1085"/>
      <c r="AR247" s="1085"/>
      <c r="AS247" s="1085"/>
      <c r="AT247" s="1085"/>
      <c r="AU247" s="1085"/>
      <c r="AV247" s="1085"/>
      <c r="AW247" s="1085"/>
      <c r="AX247" s="1085"/>
      <c r="AY247" s="1085">
        <v>0</v>
      </c>
      <c r="AZ247" s="1085">
        <f t="shared" si="139"/>
        <v>0</v>
      </c>
      <c r="BA247" s="1085">
        <f t="shared" si="140"/>
        <v>0</v>
      </c>
      <c r="BB247" s="1085"/>
      <c r="BC247" s="1085"/>
      <c r="BD247" s="1085"/>
      <c r="BE247" s="1085"/>
      <c r="BF247" s="1085"/>
      <c r="BG247" s="1084">
        <f t="shared" si="141"/>
        <v>0</v>
      </c>
      <c r="BH247" s="1084">
        <f t="shared" si="142"/>
        <v>0</v>
      </c>
      <c r="BI247" s="1084"/>
      <c r="BJ247" s="1084"/>
      <c r="BK247" s="1084"/>
      <c r="BL247" s="1084"/>
      <c r="BM247" s="1084"/>
      <c r="BN247" s="1084"/>
      <c r="BO247" s="1086"/>
      <c r="BP247" s="1084"/>
      <c r="BQ247" s="1087"/>
      <c r="BR247" s="1084"/>
      <c r="BS247" s="1088"/>
      <c r="BT247" s="1089" t="s">
        <v>1718</v>
      </c>
      <c r="BU247" s="1090" t="s">
        <v>1713</v>
      </c>
    </row>
    <row r="248" spans="1:73" ht="24" x14ac:dyDescent="0.25">
      <c r="A248" s="1094"/>
      <c r="B248" s="1095"/>
      <c r="C248" s="1096"/>
      <c r="D248" s="1097"/>
      <c r="E248" s="1082" t="s">
        <v>1719</v>
      </c>
      <c r="F248" s="1083">
        <f t="shared" si="131"/>
        <v>59177</v>
      </c>
      <c r="G248" s="1083">
        <f t="shared" si="132"/>
        <v>62724</v>
      </c>
      <c r="H248" s="1084">
        <v>59177</v>
      </c>
      <c r="I248" s="1084">
        <f t="shared" si="133"/>
        <v>62724</v>
      </c>
      <c r="J248" s="1084">
        <f t="shared" si="134"/>
        <v>3547</v>
      </c>
      <c r="K248" s="1084"/>
      <c r="L248" s="1084"/>
      <c r="M248" s="1084"/>
      <c r="N248" s="1084"/>
      <c r="O248" s="1084"/>
      <c r="P248" s="1084"/>
      <c r="Q248" s="1084"/>
      <c r="R248" s="1084"/>
      <c r="S248" s="1084">
        <v>3547</v>
      </c>
      <c r="T248" s="1084"/>
      <c r="U248" s="1084"/>
      <c r="V248" s="1084"/>
      <c r="W248" s="1084"/>
      <c r="X248" s="1084"/>
      <c r="Y248" s="1084"/>
      <c r="Z248" s="1084"/>
      <c r="AA248" s="1084"/>
      <c r="AB248" s="1084"/>
      <c r="AC248" s="1084">
        <v>0</v>
      </c>
      <c r="AD248" s="1084">
        <f t="shared" si="135"/>
        <v>0</v>
      </c>
      <c r="AE248" s="1084">
        <f t="shared" si="136"/>
        <v>0</v>
      </c>
      <c r="AF248" s="1084"/>
      <c r="AG248" s="1084"/>
      <c r="AH248" s="1084"/>
      <c r="AI248" s="1084"/>
      <c r="AJ248" s="1084"/>
      <c r="AK248" s="1084"/>
      <c r="AL248" s="1084">
        <v>0</v>
      </c>
      <c r="AM248" s="1085">
        <f t="shared" si="137"/>
        <v>0</v>
      </c>
      <c r="AN248" s="1085">
        <f t="shared" si="138"/>
        <v>0</v>
      </c>
      <c r="AO248" s="1085"/>
      <c r="AP248" s="1085"/>
      <c r="AQ248" s="1085"/>
      <c r="AR248" s="1085"/>
      <c r="AS248" s="1085"/>
      <c r="AT248" s="1085"/>
      <c r="AU248" s="1085"/>
      <c r="AV248" s="1085"/>
      <c r="AW248" s="1085"/>
      <c r="AX248" s="1085"/>
      <c r="AY248" s="1085">
        <v>0</v>
      </c>
      <c r="AZ248" s="1085">
        <f t="shared" si="139"/>
        <v>0</v>
      </c>
      <c r="BA248" s="1085">
        <f t="shared" si="140"/>
        <v>0</v>
      </c>
      <c r="BB248" s="1085"/>
      <c r="BC248" s="1085"/>
      <c r="BD248" s="1085"/>
      <c r="BE248" s="1085"/>
      <c r="BF248" s="1085"/>
      <c r="BG248" s="1084">
        <f t="shared" si="141"/>
        <v>0</v>
      </c>
      <c r="BH248" s="1084">
        <f t="shared" si="142"/>
        <v>0</v>
      </c>
      <c r="BI248" s="1084"/>
      <c r="BJ248" s="1084"/>
      <c r="BK248" s="1084"/>
      <c r="BL248" s="1084"/>
      <c r="BM248" s="1084"/>
      <c r="BN248" s="1084"/>
      <c r="BO248" s="1086"/>
      <c r="BP248" s="1084"/>
      <c r="BQ248" s="1087"/>
      <c r="BR248" s="1084"/>
      <c r="BS248" s="1088"/>
      <c r="BT248" s="1089" t="s">
        <v>1720</v>
      </c>
      <c r="BU248" s="1090"/>
    </row>
    <row r="249" spans="1:73" ht="24" x14ac:dyDescent="0.25">
      <c r="A249" s="1094"/>
      <c r="B249" s="1095"/>
      <c r="C249" s="1096"/>
      <c r="D249" s="1097"/>
      <c r="E249" s="1082" t="s">
        <v>1721</v>
      </c>
      <c r="F249" s="1083">
        <f t="shared" si="131"/>
        <v>0</v>
      </c>
      <c r="G249" s="1083">
        <f t="shared" si="132"/>
        <v>23405</v>
      </c>
      <c r="H249" s="1084"/>
      <c r="I249" s="1084">
        <f t="shared" si="133"/>
        <v>23405</v>
      </c>
      <c r="J249" s="1084">
        <f t="shared" si="134"/>
        <v>23405</v>
      </c>
      <c r="K249" s="1084"/>
      <c r="L249" s="1084"/>
      <c r="M249" s="1084"/>
      <c r="N249" s="1084">
        <v>23405</v>
      </c>
      <c r="O249" s="1084"/>
      <c r="P249" s="1084"/>
      <c r="Q249" s="1084"/>
      <c r="R249" s="1084"/>
      <c r="S249" s="1084"/>
      <c r="T249" s="1084"/>
      <c r="U249" s="1084"/>
      <c r="V249" s="1084"/>
      <c r="W249" s="1084"/>
      <c r="X249" s="1084"/>
      <c r="Y249" s="1084"/>
      <c r="Z249" s="1084"/>
      <c r="AA249" s="1084"/>
      <c r="AB249" s="1084"/>
      <c r="AC249" s="1084"/>
      <c r="AD249" s="1084">
        <f t="shared" si="135"/>
        <v>0</v>
      </c>
      <c r="AE249" s="1084">
        <f t="shared" si="136"/>
        <v>0</v>
      </c>
      <c r="AF249" s="1084"/>
      <c r="AG249" s="1084"/>
      <c r="AH249" s="1084"/>
      <c r="AI249" s="1084"/>
      <c r="AJ249" s="1084"/>
      <c r="AK249" s="1084"/>
      <c r="AL249" s="1084"/>
      <c r="AM249" s="1085">
        <f t="shared" si="137"/>
        <v>0</v>
      </c>
      <c r="AN249" s="1085">
        <f t="shared" si="138"/>
        <v>0</v>
      </c>
      <c r="AO249" s="1085"/>
      <c r="AP249" s="1085"/>
      <c r="AQ249" s="1085"/>
      <c r="AR249" s="1085"/>
      <c r="AS249" s="1085"/>
      <c r="AT249" s="1085"/>
      <c r="AU249" s="1085"/>
      <c r="AV249" s="1085"/>
      <c r="AW249" s="1085"/>
      <c r="AX249" s="1085"/>
      <c r="AY249" s="1085"/>
      <c r="AZ249" s="1085">
        <f t="shared" si="139"/>
        <v>0</v>
      </c>
      <c r="BA249" s="1085">
        <f t="shared" si="140"/>
        <v>0</v>
      </c>
      <c r="BB249" s="1085"/>
      <c r="BC249" s="1085"/>
      <c r="BD249" s="1085"/>
      <c r="BE249" s="1085"/>
      <c r="BF249" s="1085"/>
      <c r="BG249" s="1084">
        <f t="shared" si="141"/>
        <v>0</v>
      </c>
      <c r="BH249" s="1084">
        <f t="shared" si="142"/>
        <v>0</v>
      </c>
      <c r="BI249" s="1084"/>
      <c r="BJ249" s="1084"/>
      <c r="BK249" s="1084"/>
      <c r="BL249" s="1084"/>
      <c r="BM249" s="1084"/>
      <c r="BN249" s="1084"/>
      <c r="BO249" s="1086"/>
      <c r="BP249" s="1084"/>
      <c r="BQ249" s="1087"/>
      <c r="BR249" s="1084"/>
      <c r="BS249" s="1088"/>
      <c r="BT249" s="1089" t="s">
        <v>1722</v>
      </c>
      <c r="BU249" s="1090"/>
    </row>
    <row r="250" spans="1:73" ht="24" x14ac:dyDescent="0.25">
      <c r="A250" s="1094">
        <v>90001876536</v>
      </c>
      <c r="B250" s="1095"/>
      <c r="C250" s="1514" t="s">
        <v>1473</v>
      </c>
      <c r="D250" s="1515"/>
      <c r="E250" s="1082" t="s">
        <v>1723</v>
      </c>
      <c r="F250" s="1083">
        <f t="shared" si="131"/>
        <v>1254043</v>
      </c>
      <c r="G250" s="1083">
        <f t="shared" si="132"/>
        <v>823574</v>
      </c>
      <c r="H250" s="1084">
        <v>584856</v>
      </c>
      <c r="I250" s="1084">
        <f t="shared" si="133"/>
        <v>395076</v>
      </c>
      <c r="J250" s="1084">
        <f t="shared" si="134"/>
        <v>-189780</v>
      </c>
      <c r="K250" s="1084">
        <v>-28273</v>
      </c>
      <c r="L250" s="1084"/>
      <c r="M250" s="1084"/>
      <c r="N250" s="1084"/>
      <c r="O250" s="1084"/>
      <c r="P250" s="1084"/>
      <c r="Q250" s="1084"/>
      <c r="R250" s="1084"/>
      <c r="S250" s="1084">
        <v>51</v>
      </c>
      <c r="T250" s="1084"/>
      <c r="U250" s="1084"/>
      <c r="V250" s="1084"/>
      <c r="W250" s="1084"/>
      <c r="X250" s="1084">
        <v>-161558</v>
      </c>
      <c r="Y250" s="1084"/>
      <c r="Z250" s="1084"/>
      <c r="AA250" s="1084"/>
      <c r="AB250" s="1084"/>
      <c r="AC250" s="1084">
        <v>25620</v>
      </c>
      <c r="AD250" s="1084">
        <f t="shared" si="135"/>
        <v>12811</v>
      </c>
      <c r="AE250" s="1084">
        <f t="shared" si="136"/>
        <v>-12809</v>
      </c>
      <c r="AF250" s="1084"/>
      <c r="AG250" s="1084">
        <v>1</v>
      </c>
      <c r="AH250" s="1084">
        <v>-12810</v>
      </c>
      <c r="AI250" s="1084"/>
      <c r="AJ250" s="1084"/>
      <c r="AK250" s="1084"/>
      <c r="AL250" s="1084">
        <v>642663</v>
      </c>
      <c r="AM250" s="1085">
        <f t="shared" si="137"/>
        <v>415767</v>
      </c>
      <c r="AN250" s="1085">
        <f t="shared" si="138"/>
        <v>-226896</v>
      </c>
      <c r="AO250" s="1085">
        <v>1626</v>
      </c>
      <c r="AP250" s="1085"/>
      <c r="AQ250" s="1085"/>
      <c r="AR250" s="1085"/>
      <c r="AS250" s="1085">
        <v>80</v>
      </c>
      <c r="AT250" s="1085"/>
      <c r="AU250" s="1085">
        <v>-228602</v>
      </c>
      <c r="AV250" s="1085"/>
      <c r="AW250" s="1085"/>
      <c r="AX250" s="1085"/>
      <c r="AY250" s="1085">
        <v>904</v>
      </c>
      <c r="AZ250" s="1085">
        <f t="shared" si="139"/>
        <v>844</v>
      </c>
      <c r="BA250" s="1085">
        <f t="shared" si="140"/>
        <v>-60</v>
      </c>
      <c r="BB250" s="1085"/>
      <c r="BC250" s="1085">
        <v>-60</v>
      </c>
      <c r="BD250" s="1085"/>
      <c r="BE250" s="1085"/>
      <c r="BF250" s="1085"/>
      <c r="BG250" s="1084">
        <f t="shared" si="141"/>
        <v>-924</v>
      </c>
      <c r="BH250" s="1084">
        <f t="shared" si="142"/>
        <v>-924</v>
      </c>
      <c r="BI250" s="1084"/>
      <c r="BJ250" s="1084"/>
      <c r="BK250" s="1084"/>
      <c r="BL250" s="1084"/>
      <c r="BM250" s="1084"/>
      <c r="BN250" s="1084">
        <v>-80</v>
      </c>
      <c r="BO250" s="1086"/>
      <c r="BP250" s="1084">
        <v>-844</v>
      </c>
      <c r="BQ250" s="1087"/>
      <c r="BR250" s="1084"/>
      <c r="BS250" s="1088"/>
      <c r="BT250" s="1089" t="s">
        <v>1724</v>
      </c>
      <c r="BU250" s="1090"/>
    </row>
    <row r="251" spans="1:73" ht="36" x14ac:dyDescent="0.25">
      <c r="A251" s="1094"/>
      <c r="B251" s="1095"/>
      <c r="C251" s="1096"/>
      <c r="D251" s="1097"/>
      <c r="E251" s="1082" t="s">
        <v>1725</v>
      </c>
      <c r="F251" s="1083">
        <f t="shared" si="131"/>
        <v>29412</v>
      </c>
      <c r="G251" s="1083">
        <f t="shared" si="132"/>
        <v>21827</v>
      </c>
      <c r="H251" s="1084">
        <v>26059</v>
      </c>
      <c r="I251" s="1084">
        <f t="shared" si="133"/>
        <v>19056</v>
      </c>
      <c r="J251" s="1084">
        <f t="shared" si="134"/>
        <v>-7003</v>
      </c>
      <c r="K251" s="1084">
        <v>-1528</v>
      </c>
      <c r="L251" s="1084"/>
      <c r="M251" s="1084"/>
      <c r="N251" s="1084"/>
      <c r="O251" s="1084"/>
      <c r="P251" s="1084"/>
      <c r="Q251" s="1084"/>
      <c r="R251" s="1084"/>
      <c r="S251" s="1084"/>
      <c r="T251" s="1084"/>
      <c r="U251" s="1084"/>
      <c r="V251" s="1084"/>
      <c r="W251" s="1084"/>
      <c r="X251" s="1084">
        <v>-5475</v>
      </c>
      <c r="Y251" s="1084"/>
      <c r="Z251" s="1084"/>
      <c r="AA251" s="1084"/>
      <c r="AB251" s="1084"/>
      <c r="AC251" s="1084">
        <v>0</v>
      </c>
      <c r="AD251" s="1084">
        <f t="shared" si="135"/>
        <v>0</v>
      </c>
      <c r="AE251" s="1084">
        <f t="shared" si="136"/>
        <v>0</v>
      </c>
      <c r="AF251" s="1084"/>
      <c r="AG251" s="1084"/>
      <c r="AH251" s="1084"/>
      <c r="AI251" s="1084"/>
      <c r="AJ251" s="1084"/>
      <c r="AK251" s="1084"/>
      <c r="AL251" s="1084">
        <v>3353</v>
      </c>
      <c r="AM251" s="1085">
        <f t="shared" si="137"/>
        <v>2771</v>
      </c>
      <c r="AN251" s="1085">
        <f t="shared" si="138"/>
        <v>-582</v>
      </c>
      <c r="AO251" s="1085"/>
      <c r="AP251" s="1085"/>
      <c r="AQ251" s="1085"/>
      <c r="AR251" s="1085"/>
      <c r="AS251" s="1085"/>
      <c r="AT251" s="1085"/>
      <c r="AU251" s="1085">
        <v>-582</v>
      </c>
      <c r="AV251" s="1085"/>
      <c r="AW251" s="1085"/>
      <c r="AX251" s="1085"/>
      <c r="AY251" s="1085">
        <v>0</v>
      </c>
      <c r="AZ251" s="1085">
        <f t="shared" si="139"/>
        <v>0</v>
      </c>
      <c r="BA251" s="1085">
        <f t="shared" si="140"/>
        <v>0</v>
      </c>
      <c r="BB251" s="1085"/>
      <c r="BC251" s="1085"/>
      <c r="BD251" s="1085"/>
      <c r="BE251" s="1085"/>
      <c r="BF251" s="1085"/>
      <c r="BG251" s="1084">
        <f t="shared" si="141"/>
        <v>0</v>
      </c>
      <c r="BH251" s="1084">
        <f t="shared" si="142"/>
        <v>0</v>
      </c>
      <c r="BI251" s="1084"/>
      <c r="BJ251" s="1084"/>
      <c r="BK251" s="1084"/>
      <c r="BL251" s="1084"/>
      <c r="BM251" s="1084"/>
      <c r="BN251" s="1084"/>
      <c r="BO251" s="1086"/>
      <c r="BP251" s="1084"/>
      <c r="BQ251" s="1087"/>
      <c r="BR251" s="1084"/>
      <c r="BS251" s="1088"/>
      <c r="BT251" s="1089" t="s">
        <v>1726</v>
      </c>
      <c r="BU251" s="1090"/>
    </row>
    <row r="252" spans="1:73" ht="12.75" x14ac:dyDescent="0.25">
      <c r="A252" s="1094"/>
      <c r="B252" s="1095"/>
      <c r="C252" s="1096"/>
      <c r="D252" s="1097"/>
      <c r="E252" s="1082" t="s">
        <v>1727</v>
      </c>
      <c r="F252" s="1083">
        <f t="shared" si="131"/>
        <v>34485</v>
      </c>
      <c r="G252" s="1083">
        <f t="shared" si="132"/>
        <v>25146</v>
      </c>
      <c r="H252" s="1084">
        <v>34485</v>
      </c>
      <c r="I252" s="1084">
        <f t="shared" si="133"/>
        <v>25146</v>
      </c>
      <c r="J252" s="1084">
        <f t="shared" si="134"/>
        <v>-9339</v>
      </c>
      <c r="K252" s="1084">
        <v>-1757</v>
      </c>
      <c r="L252" s="1084"/>
      <c r="M252" s="1084"/>
      <c r="N252" s="1084"/>
      <c r="O252" s="1084"/>
      <c r="P252" s="1084"/>
      <c r="Q252" s="1084"/>
      <c r="R252" s="1084"/>
      <c r="S252" s="1084"/>
      <c r="T252" s="1084"/>
      <c r="U252" s="1084"/>
      <c r="V252" s="1084"/>
      <c r="W252" s="1084"/>
      <c r="X252" s="1084">
        <v>-7582</v>
      </c>
      <c r="Y252" s="1084"/>
      <c r="Z252" s="1084"/>
      <c r="AA252" s="1084"/>
      <c r="AB252" s="1084"/>
      <c r="AC252" s="1084">
        <v>0</v>
      </c>
      <c r="AD252" s="1084">
        <f t="shared" si="135"/>
        <v>0</v>
      </c>
      <c r="AE252" s="1084">
        <f t="shared" si="136"/>
        <v>0</v>
      </c>
      <c r="AF252" s="1084"/>
      <c r="AG252" s="1084"/>
      <c r="AH252" s="1084"/>
      <c r="AI252" s="1084"/>
      <c r="AJ252" s="1084"/>
      <c r="AK252" s="1084"/>
      <c r="AL252" s="1084">
        <v>0</v>
      </c>
      <c r="AM252" s="1085">
        <f t="shared" si="137"/>
        <v>0</v>
      </c>
      <c r="AN252" s="1085">
        <f t="shared" si="138"/>
        <v>0</v>
      </c>
      <c r="AO252" s="1085"/>
      <c r="AP252" s="1085"/>
      <c r="AQ252" s="1085"/>
      <c r="AR252" s="1085"/>
      <c r="AS252" s="1085"/>
      <c r="AT252" s="1085"/>
      <c r="AU252" s="1085"/>
      <c r="AV252" s="1085"/>
      <c r="AW252" s="1085"/>
      <c r="AX252" s="1085"/>
      <c r="AY252" s="1085">
        <v>0</v>
      </c>
      <c r="AZ252" s="1085">
        <f t="shared" si="139"/>
        <v>0</v>
      </c>
      <c r="BA252" s="1085">
        <f t="shared" si="140"/>
        <v>0</v>
      </c>
      <c r="BB252" s="1085"/>
      <c r="BC252" s="1085"/>
      <c r="BD252" s="1085"/>
      <c r="BE252" s="1085"/>
      <c r="BF252" s="1085"/>
      <c r="BG252" s="1084">
        <f t="shared" si="141"/>
        <v>0</v>
      </c>
      <c r="BH252" s="1084">
        <f t="shared" si="142"/>
        <v>0</v>
      </c>
      <c r="BI252" s="1084"/>
      <c r="BJ252" s="1084"/>
      <c r="BK252" s="1084"/>
      <c r="BL252" s="1084"/>
      <c r="BM252" s="1084"/>
      <c r="BN252" s="1084"/>
      <c r="BO252" s="1086"/>
      <c r="BP252" s="1084"/>
      <c r="BQ252" s="1087"/>
      <c r="BR252" s="1084"/>
      <c r="BS252" s="1088"/>
      <c r="BT252" s="1089" t="s">
        <v>1728</v>
      </c>
      <c r="BU252" s="1090"/>
    </row>
    <row r="253" spans="1:73" ht="24" x14ac:dyDescent="0.25">
      <c r="A253" s="1094"/>
      <c r="B253" s="1095"/>
      <c r="C253" s="1096"/>
      <c r="D253" s="1097"/>
      <c r="E253" s="1082" t="s">
        <v>1729</v>
      </c>
      <c r="F253" s="1083">
        <f t="shared" si="131"/>
        <v>10550</v>
      </c>
      <c r="G253" s="1083">
        <f t="shared" si="132"/>
        <v>6712</v>
      </c>
      <c r="H253" s="1084">
        <v>10550</v>
      </c>
      <c r="I253" s="1084">
        <f t="shared" si="133"/>
        <v>6712</v>
      </c>
      <c r="J253" s="1084">
        <f t="shared" si="134"/>
        <v>-3838</v>
      </c>
      <c r="K253" s="1084"/>
      <c r="L253" s="1084"/>
      <c r="M253" s="1084"/>
      <c r="N253" s="1084"/>
      <c r="O253" s="1084"/>
      <c r="P253" s="1084"/>
      <c r="Q253" s="1084"/>
      <c r="R253" s="1084"/>
      <c r="S253" s="1084"/>
      <c r="T253" s="1084"/>
      <c r="U253" s="1084"/>
      <c r="V253" s="1084"/>
      <c r="W253" s="1084"/>
      <c r="X253" s="1084">
        <v>-3838</v>
      </c>
      <c r="Y253" s="1084"/>
      <c r="Z253" s="1084"/>
      <c r="AA253" s="1084"/>
      <c r="AB253" s="1084"/>
      <c r="AC253" s="1084">
        <v>0</v>
      </c>
      <c r="AD253" s="1084">
        <f t="shared" si="135"/>
        <v>0</v>
      </c>
      <c r="AE253" s="1084">
        <f t="shared" si="136"/>
        <v>0</v>
      </c>
      <c r="AF253" s="1084"/>
      <c r="AG253" s="1084"/>
      <c r="AH253" s="1084"/>
      <c r="AI253" s="1084"/>
      <c r="AJ253" s="1084"/>
      <c r="AK253" s="1084"/>
      <c r="AL253" s="1084">
        <v>0</v>
      </c>
      <c r="AM253" s="1085">
        <f t="shared" si="137"/>
        <v>0</v>
      </c>
      <c r="AN253" s="1085">
        <f t="shared" si="138"/>
        <v>0</v>
      </c>
      <c r="AO253" s="1085"/>
      <c r="AP253" s="1085"/>
      <c r="AQ253" s="1085"/>
      <c r="AR253" s="1085"/>
      <c r="AS253" s="1085"/>
      <c r="AT253" s="1085"/>
      <c r="AU253" s="1085"/>
      <c r="AV253" s="1085"/>
      <c r="AW253" s="1085"/>
      <c r="AX253" s="1085"/>
      <c r="AY253" s="1085">
        <v>0</v>
      </c>
      <c r="AZ253" s="1085">
        <f t="shared" si="139"/>
        <v>0</v>
      </c>
      <c r="BA253" s="1085">
        <f t="shared" si="140"/>
        <v>0</v>
      </c>
      <c r="BB253" s="1085"/>
      <c r="BC253" s="1085"/>
      <c r="BD253" s="1085"/>
      <c r="BE253" s="1085"/>
      <c r="BF253" s="1085"/>
      <c r="BG253" s="1084">
        <f t="shared" si="141"/>
        <v>0</v>
      </c>
      <c r="BH253" s="1084">
        <f t="shared" si="142"/>
        <v>0</v>
      </c>
      <c r="BI253" s="1084"/>
      <c r="BJ253" s="1084"/>
      <c r="BK253" s="1084"/>
      <c r="BL253" s="1084"/>
      <c r="BM253" s="1084"/>
      <c r="BN253" s="1084"/>
      <c r="BO253" s="1086"/>
      <c r="BP253" s="1084"/>
      <c r="BQ253" s="1087"/>
      <c r="BR253" s="1084"/>
      <c r="BS253" s="1088"/>
      <c r="BT253" s="1089" t="s">
        <v>1730</v>
      </c>
      <c r="BU253" s="1090"/>
    </row>
    <row r="254" spans="1:73" ht="12.75" x14ac:dyDescent="0.25">
      <c r="A254" s="1094"/>
      <c r="B254" s="1095"/>
      <c r="C254" s="1096"/>
      <c r="D254" s="1097"/>
      <c r="E254" s="1082" t="s">
        <v>1731</v>
      </c>
      <c r="F254" s="1083">
        <f t="shared" si="131"/>
        <v>91508</v>
      </c>
      <c r="G254" s="1083">
        <f t="shared" si="132"/>
        <v>64580</v>
      </c>
      <c r="H254" s="1084">
        <v>91508</v>
      </c>
      <c r="I254" s="1084">
        <f t="shared" si="133"/>
        <v>64580</v>
      </c>
      <c r="J254" s="1084">
        <f t="shared" si="134"/>
        <v>-26928</v>
      </c>
      <c r="K254" s="1084">
        <v>-3737</v>
      </c>
      <c r="L254" s="1084"/>
      <c r="M254" s="1084"/>
      <c r="N254" s="1084"/>
      <c r="O254" s="1084"/>
      <c r="P254" s="1084"/>
      <c r="Q254" s="1084"/>
      <c r="R254" s="1084"/>
      <c r="S254" s="1084"/>
      <c r="T254" s="1084"/>
      <c r="U254" s="1084"/>
      <c r="V254" s="1084"/>
      <c r="W254" s="1084"/>
      <c r="X254" s="1084">
        <v>-23191</v>
      </c>
      <c r="Y254" s="1084"/>
      <c r="Z254" s="1084"/>
      <c r="AA254" s="1084"/>
      <c r="AB254" s="1084"/>
      <c r="AC254" s="1084">
        <v>0</v>
      </c>
      <c r="AD254" s="1084">
        <f t="shared" si="135"/>
        <v>0</v>
      </c>
      <c r="AE254" s="1084">
        <f t="shared" si="136"/>
        <v>0</v>
      </c>
      <c r="AF254" s="1084"/>
      <c r="AG254" s="1084"/>
      <c r="AH254" s="1084"/>
      <c r="AI254" s="1084"/>
      <c r="AJ254" s="1084"/>
      <c r="AK254" s="1084"/>
      <c r="AL254" s="1084">
        <v>0</v>
      </c>
      <c r="AM254" s="1085">
        <f t="shared" si="137"/>
        <v>0</v>
      </c>
      <c r="AN254" s="1085">
        <f t="shared" si="138"/>
        <v>0</v>
      </c>
      <c r="AO254" s="1085"/>
      <c r="AP254" s="1085"/>
      <c r="AQ254" s="1085"/>
      <c r="AR254" s="1085"/>
      <c r="AS254" s="1085"/>
      <c r="AT254" s="1085"/>
      <c r="AU254" s="1085"/>
      <c r="AV254" s="1085"/>
      <c r="AW254" s="1085"/>
      <c r="AX254" s="1085"/>
      <c r="AY254" s="1085">
        <v>0</v>
      </c>
      <c r="AZ254" s="1085">
        <f t="shared" si="139"/>
        <v>0</v>
      </c>
      <c r="BA254" s="1085">
        <f t="shared" si="140"/>
        <v>0</v>
      </c>
      <c r="BB254" s="1085"/>
      <c r="BC254" s="1085"/>
      <c r="BD254" s="1085"/>
      <c r="BE254" s="1085"/>
      <c r="BF254" s="1085"/>
      <c r="BG254" s="1084">
        <f t="shared" si="141"/>
        <v>0</v>
      </c>
      <c r="BH254" s="1084">
        <f t="shared" si="142"/>
        <v>0</v>
      </c>
      <c r="BI254" s="1084"/>
      <c r="BJ254" s="1084"/>
      <c r="BK254" s="1084"/>
      <c r="BL254" s="1084"/>
      <c r="BM254" s="1084"/>
      <c r="BN254" s="1084"/>
      <c r="BO254" s="1086"/>
      <c r="BP254" s="1084"/>
      <c r="BQ254" s="1087"/>
      <c r="BR254" s="1084"/>
      <c r="BS254" s="1088"/>
      <c r="BT254" s="1089" t="s">
        <v>1732</v>
      </c>
      <c r="BU254" s="1090"/>
    </row>
    <row r="255" spans="1:73" ht="24" x14ac:dyDescent="0.25">
      <c r="A255" s="1094"/>
      <c r="B255" s="1095"/>
      <c r="C255" s="1096"/>
      <c r="D255" s="1097"/>
      <c r="E255" s="1082" t="s">
        <v>1733</v>
      </c>
      <c r="F255" s="1083">
        <f t="shared" si="131"/>
        <v>400606</v>
      </c>
      <c r="G255" s="1083">
        <f t="shared" si="132"/>
        <v>263668</v>
      </c>
      <c r="H255" s="1084">
        <v>400606</v>
      </c>
      <c r="I255" s="1084">
        <f t="shared" si="133"/>
        <v>263668</v>
      </c>
      <c r="J255" s="1084">
        <f t="shared" si="134"/>
        <v>-136938</v>
      </c>
      <c r="K255" s="1084">
        <v>-22830</v>
      </c>
      <c r="L255" s="1084"/>
      <c r="M255" s="1084"/>
      <c r="N255" s="1084"/>
      <c r="O255" s="1084"/>
      <c r="P255" s="1084"/>
      <c r="Q255" s="1084"/>
      <c r="R255" s="1084"/>
      <c r="S255" s="1084">
        <v>-21430</v>
      </c>
      <c r="T255" s="1084"/>
      <c r="U255" s="1084"/>
      <c r="V255" s="1084"/>
      <c r="W255" s="1084">
        <v>-630</v>
      </c>
      <c r="X255" s="1084">
        <v>-92048</v>
      </c>
      <c r="Y255" s="1084"/>
      <c r="Z255" s="1084"/>
      <c r="AA255" s="1084"/>
      <c r="AB255" s="1084"/>
      <c r="AC255" s="1084">
        <v>0</v>
      </c>
      <c r="AD255" s="1084">
        <f t="shared" si="135"/>
        <v>0</v>
      </c>
      <c r="AE255" s="1084">
        <f t="shared" si="136"/>
        <v>0</v>
      </c>
      <c r="AF255" s="1084"/>
      <c r="AG255" s="1084"/>
      <c r="AH255" s="1084"/>
      <c r="AI255" s="1084"/>
      <c r="AJ255" s="1084"/>
      <c r="AK255" s="1084"/>
      <c r="AL255" s="1084">
        <v>0</v>
      </c>
      <c r="AM255" s="1085">
        <f t="shared" si="137"/>
        <v>0</v>
      </c>
      <c r="AN255" s="1085">
        <f t="shared" si="138"/>
        <v>0</v>
      </c>
      <c r="AO255" s="1085"/>
      <c r="AP255" s="1085"/>
      <c r="AQ255" s="1085"/>
      <c r="AR255" s="1085"/>
      <c r="AS255" s="1085"/>
      <c r="AT255" s="1085"/>
      <c r="AU255" s="1085"/>
      <c r="AV255" s="1085"/>
      <c r="AW255" s="1085"/>
      <c r="AX255" s="1085"/>
      <c r="AY255" s="1085">
        <v>0</v>
      </c>
      <c r="AZ255" s="1085">
        <f t="shared" si="139"/>
        <v>0</v>
      </c>
      <c r="BA255" s="1085">
        <f t="shared" si="140"/>
        <v>0</v>
      </c>
      <c r="BB255" s="1085"/>
      <c r="BC255" s="1085"/>
      <c r="BD255" s="1085"/>
      <c r="BE255" s="1085"/>
      <c r="BF255" s="1085"/>
      <c r="BG255" s="1084">
        <f t="shared" si="141"/>
        <v>0</v>
      </c>
      <c r="BH255" s="1084">
        <f t="shared" si="142"/>
        <v>0</v>
      </c>
      <c r="BI255" s="1084"/>
      <c r="BJ255" s="1084"/>
      <c r="BK255" s="1084"/>
      <c r="BL255" s="1084"/>
      <c r="BM255" s="1084"/>
      <c r="BN255" s="1084"/>
      <c r="BO255" s="1086"/>
      <c r="BP255" s="1084"/>
      <c r="BQ255" s="1087"/>
      <c r="BR255" s="1084"/>
      <c r="BS255" s="1088"/>
      <c r="BT255" s="1089" t="s">
        <v>1734</v>
      </c>
      <c r="BU255" s="1090"/>
    </row>
    <row r="256" spans="1:73" ht="24" x14ac:dyDescent="0.25">
      <c r="A256" s="1094"/>
      <c r="B256" s="1095"/>
      <c r="C256" s="1096"/>
      <c r="D256" s="1097"/>
      <c r="E256" s="1082" t="s">
        <v>1735</v>
      </c>
      <c r="F256" s="1083">
        <f t="shared" si="131"/>
        <v>44078</v>
      </c>
      <c r="G256" s="1083">
        <f t="shared" si="132"/>
        <v>28271</v>
      </c>
      <c r="H256" s="1084">
        <v>44078</v>
      </c>
      <c r="I256" s="1084">
        <f t="shared" si="133"/>
        <v>28271</v>
      </c>
      <c r="J256" s="1084">
        <f t="shared" si="134"/>
        <v>-15807</v>
      </c>
      <c r="K256" s="1084">
        <v>-2192</v>
      </c>
      <c r="L256" s="1084"/>
      <c r="M256" s="1084"/>
      <c r="N256" s="1084"/>
      <c r="O256" s="1084"/>
      <c r="P256" s="1084"/>
      <c r="Q256" s="1084"/>
      <c r="R256" s="1084"/>
      <c r="S256" s="1084"/>
      <c r="T256" s="1084"/>
      <c r="U256" s="1084"/>
      <c r="V256" s="1084"/>
      <c r="W256" s="1084"/>
      <c r="X256" s="1084">
        <v>-13615</v>
      </c>
      <c r="Y256" s="1084"/>
      <c r="Z256" s="1084"/>
      <c r="AA256" s="1084"/>
      <c r="AB256" s="1084"/>
      <c r="AC256" s="1084">
        <v>0</v>
      </c>
      <c r="AD256" s="1084">
        <f t="shared" si="135"/>
        <v>0</v>
      </c>
      <c r="AE256" s="1084">
        <f t="shared" si="136"/>
        <v>0</v>
      </c>
      <c r="AF256" s="1084"/>
      <c r="AG256" s="1084"/>
      <c r="AH256" s="1084"/>
      <c r="AI256" s="1084"/>
      <c r="AJ256" s="1084"/>
      <c r="AK256" s="1084"/>
      <c r="AL256" s="1084">
        <v>0</v>
      </c>
      <c r="AM256" s="1085">
        <f t="shared" si="137"/>
        <v>0</v>
      </c>
      <c r="AN256" s="1085">
        <f t="shared" si="138"/>
        <v>0</v>
      </c>
      <c r="AO256" s="1085"/>
      <c r="AP256" s="1085"/>
      <c r="AQ256" s="1085"/>
      <c r="AR256" s="1085"/>
      <c r="AS256" s="1085"/>
      <c r="AT256" s="1085"/>
      <c r="AU256" s="1085"/>
      <c r="AV256" s="1085"/>
      <c r="AW256" s="1085"/>
      <c r="AX256" s="1085"/>
      <c r="AY256" s="1085">
        <v>0</v>
      </c>
      <c r="AZ256" s="1085">
        <f t="shared" si="139"/>
        <v>0</v>
      </c>
      <c r="BA256" s="1085">
        <f t="shared" si="140"/>
        <v>0</v>
      </c>
      <c r="BB256" s="1085"/>
      <c r="BC256" s="1085"/>
      <c r="BD256" s="1085"/>
      <c r="BE256" s="1085"/>
      <c r="BF256" s="1085"/>
      <c r="BG256" s="1084">
        <f t="shared" si="141"/>
        <v>0</v>
      </c>
      <c r="BH256" s="1084">
        <f t="shared" si="142"/>
        <v>0</v>
      </c>
      <c r="BI256" s="1084"/>
      <c r="BJ256" s="1084"/>
      <c r="BK256" s="1084"/>
      <c r="BL256" s="1084"/>
      <c r="BM256" s="1084"/>
      <c r="BN256" s="1084"/>
      <c r="BO256" s="1086"/>
      <c r="BP256" s="1084"/>
      <c r="BQ256" s="1087"/>
      <c r="BR256" s="1084"/>
      <c r="BS256" s="1088"/>
      <c r="BT256" s="1089" t="s">
        <v>1736</v>
      </c>
      <c r="BU256" s="1090"/>
    </row>
    <row r="257" spans="1:73" ht="24" x14ac:dyDescent="0.25">
      <c r="A257" s="1094"/>
      <c r="B257" s="1095"/>
      <c r="C257" s="1096"/>
      <c r="D257" s="1097"/>
      <c r="E257" s="1082" t="s">
        <v>1737</v>
      </c>
      <c r="F257" s="1083">
        <f t="shared" si="131"/>
        <v>32634</v>
      </c>
      <c r="G257" s="1083">
        <f t="shared" si="132"/>
        <v>22694</v>
      </c>
      <c r="H257" s="1084">
        <v>32634</v>
      </c>
      <c r="I257" s="1084">
        <f t="shared" si="133"/>
        <v>22694</v>
      </c>
      <c r="J257" s="1084">
        <f t="shared" si="134"/>
        <v>-9940</v>
      </c>
      <c r="K257" s="1084">
        <v>-1787</v>
      </c>
      <c r="L257" s="1084"/>
      <c r="M257" s="1084"/>
      <c r="N257" s="1084"/>
      <c r="O257" s="1084"/>
      <c r="P257" s="1084"/>
      <c r="Q257" s="1084"/>
      <c r="R257" s="1084"/>
      <c r="S257" s="1084"/>
      <c r="T257" s="1084"/>
      <c r="U257" s="1084"/>
      <c r="V257" s="1084"/>
      <c r="W257" s="1084"/>
      <c r="X257" s="1084">
        <v>-8153</v>
      </c>
      <c r="Y257" s="1084"/>
      <c r="Z257" s="1084"/>
      <c r="AA257" s="1084"/>
      <c r="AB257" s="1084"/>
      <c r="AC257" s="1084">
        <v>0</v>
      </c>
      <c r="AD257" s="1084">
        <f t="shared" si="135"/>
        <v>0</v>
      </c>
      <c r="AE257" s="1084">
        <f t="shared" si="136"/>
        <v>0</v>
      </c>
      <c r="AF257" s="1084"/>
      <c r="AG257" s="1084"/>
      <c r="AH257" s="1084"/>
      <c r="AI257" s="1084"/>
      <c r="AJ257" s="1084"/>
      <c r="AK257" s="1084"/>
      <c r="AL257" s="1084">
        <v>0</v>
      </c>
      <c r="AM257" s="1085">
        <f t="shared" si="137"/>
        <v>0</v>
      </c>
      <c r="AN257" s="1085">
        <f t="shared" si="138"/>
        <v>0</v>
      </c>
      <c r="AO257" s="1085"/>
      <c r="AP257" s="1085"/>
      <c r="AQ257" s="1085"/>
      <c r="AR257" s="1085"/>
      <c r="AS257" s="1085"/>
      <c r="AT257" s="1085"/>
      <c r="AU257" s="1085"/>
      <c r="AV257" s="1085"/>
      <c r="AW257" s="1085"/>
      <c r="AX257" s="1085"/>
      <c r="AY257" s="1085">
        <v>0</v>
      </c>
      <c r="AZ257" s="1085">
        <f t="shared" si="139"/>
        <v>0</v>
      </c>
      <c r="BA257" s="1085">
        <f t="shared" si="140"/>
        <v>0</v>
      </c>
      <c r="BB257" s="1085"/>
      <c r="BC257" s="1085"/>
      <c r="BD257" s="1085"/>
      <c r="BE257" s="1085"/>
      <c r="BF257" s="1085"/>
      <c r="BG257" s="1084">
        <f t="shared" si="141"/>
        <v>0</v>
      </c>
      <c r="BH257" s="1084">
        <f t="shared" si="142"/>
        <v>0</v>
      </c>
      <c r="BI257" s="1084"/>
      <c r="BJ257" s="1084"/>
      <c r="BK257" s="1084"/>
      <c r="BL257" s="1084"/>
      <c r="BM257" s="1084"/>
      <c r="BN257" s="1084"/>
      <c r="BO257" s="1086"/>
      <c r="BP257" s="1084"/>
      <c r="BQ257" s="1087"/>
      <c r="BR257" s="1084"/>
      <c r="BS257" s="1088"/>
      <c r="BT257" s="1089" t="s">
        <v>1738</v>
      </c>
      <c r="BU257" s="1090"/>
    </row>
    <row r="258" spans="1:73" ht="48" x14ac:dyDescent="0.25">
      <c r="A258" s="1094"/>
      <c r="B258" s="1095"/>
      <c r="C258" s="1096"/>
      <c r="D258" s="1097"/>
      <c r="E258" s="1082" t="s">
        <v>1739</v>
      </c>
      <c r="F258" s="1083">
        <f t="shared" si="131"/>
        <v>189232</v>
      </c>
      <c r="G258" s="1083">
        <f t="shared" si="132"/>
        <v>130498</v>
      </c>
      <c r="H258" s="1084">
        <v>189232</v>
      </c>
      <c r="I258" s="1084">
        <f t="shared" si="133"/>
        <v>130498</v>
      </c>
      <c r="J258" s="1084">
        <f t="shared" si="134"/>
        <v>-58734</v>
      </c>
      <c r="K258" s="1084">
        <v>-6309</v>
      </c>
      <c r="L258" s="1084"/>
      <c r="M258" s="1084"/>
      <c r="N258" s="1084"/>
      <c r="O258" s="1084"/>
      <c r="P258" s="1084"/>
      <c r="Q258" s="1084"/>
      <c r="R258" s="1084"/>
      <c r="S258" s="1084">
        <v>300</v>
      </c>
      <c r="T258" s="1084"/>
      <c r="U258" s="1084"/>
      <c r="V258" s="1084"/>
      <c r="W258" s="1084"/>
      <c r="X258" s="1084">
        <v>-52725</v>
      </c>
      <c r="Y258" s="1084"/>
      <c r="Z258" s="1084"/>
      <c r="AA258" s="1084"/>
      <c r="AB258" s="1084"/>
      <c r="AC258" s="1084">
        <v>0</v>
      </c>
      <c r="AD258" s="1084">
        <f t="shared" si="135"/>
        <v>0</v>
      </c>
      <c r="AE258" s="1084">
        <f t="shared" si="136"/>
        <v>0</v>
      </c>
      <c r="AF258" s="1084"/>
      <c r="AG258" s="1084"/>
      <c r="AH258" s="1084"/>
      <c r="AI258" s="1084"/>
      <c r="AJ258" s="1084"/>
      <c r="AK258" s="1084"/>
      <c r="AL258" s="1084">
        <v>0</v>
      </c>
      <c r="AM258" s="1085">
        <f t="shared" si="137"/>
        <v>0</v>
      </c>
      <c r="AN258" s="1085">
        <f t="shared" si="138"/>
        <v>0</v>
      </c>
      <c r="AO258" s="1085"/>
      <c r="AP258" s="1085"/>
      <c r="AQ258" s="1085"/>
      <c r="AR258" s="1085"/>
      <c r="AS258" s="1085"/>
      <c r="AT258" s="1085"/>
      <c r="AU258" s="1085"/>
      <c r="AV258" s="1085"/>
      <c r="AW258" s="1085"/>
      <c r="AX258" s="1085"/>
      <c r="AY258" s="1085">
        <v>0</v>
      </c>
      <c r="AZ258" s="1085">
        <f t="shared" si="139"/>
        <v>0</v>
      </c>
      <c r="BA258" s="1085">
        <f t="shared" si="140"/>
        <v>0</v>
      </c>
      <c r="BB258" s="1085"/>
      <c r="BC258" s="1085"/>
      <c r="BD258" s="1085"/>
      <c r="BE258" s="1085"/>
      <c r="BF258" s="1085"/>
      <c r="BG258" s="1084">
        <f t="shared" si="141"/>
        <v>0</v>
      </c>
      <c r="BH258" s="1084">
        <f t="shared" si="142"/>
        <v>0</v>
      </c>
      <c r="BI258" s="1084"/>
      <c r="BJ258" s="1084"/>
      <c r="BK258" s="1084"/>
      <c r="BL258" s="1084"/>
      <c r="BM258" s="1084"/>
      <c r="BN258" s="1084"/>
      <c r="BO258" s="1086"/>
      <c r="BP258" s="1084"/>
      <c r="BQ258" s="1087"/>
      <c r="BR258" s="1084"/>
      <c r="BS258" s="1088"/>
      <c r="BT258" s="1089" t="s">
        <v>1740</v>
      </c>
      <c r="BU258" s="1090"/>
    </row>
    <row r="259" spans="1:73" ht="24" x14ac:dyDescent="0.25">
      <c r="A259" s="1094"/>
      <c r="B259" s="1095"/>
      <c r="C259" s="1096"/>
      <c r="D259" s="1097"/>
      <c r="E259" s="1082" t="s">
        <v>1741</v>
      </c>
      <c r="F259" s="1083">
        <f t="shared" si="131"/>
        <v>78015</v>
      </c>
      <c r="G259" s="1083">
        <f t="shared" si="132"/>
        <v>57786</v>
      </c>
      <c r="H259" s="1084">
        <v>78015</v>
      </c>
      <c r="I259" s="1084">
        <f t="shared" si="133"/>
        <v>57786</v>
      </c>
      <c r="J259" s="1084">
        <f t="shared" si="134"/>
        <v>-20229</v>
      </c>
      <c r="K259" s="1084">
        <v>-3429</v>
      </c>
      <c r="L259" s="1084"/>
      <c r="M259" s="1084"/>
      <c r="N259" s="1084"/>
      <c r="O259" s="1084"/>
      <c r="P259" s="1084"/>
      <c r="Q259" s="1084"/>
      <c r="R259" s="1084"/>
      <c r="S259" s="1084"/>
      <c r="T259" s="1084"/>
      <c r="U259" s="1084"/>
      <c r="V259" s="1084"/>
      <c r="W259" s="1084">
        <v>630</v>
      </c>
      <c r="X259" s="1084">
        <v>-17430</v>
      </c>
      <c r="Y259" s="1084"/>
      <c r="Z259" s="1084"/>
      <c r="AA259" s="1084"/>
      <c r="AB259" s="1084"/>
      <c r="AC259" s="1084">
        <v>0</v>
      </c>
      <c r="AD259" s="1084">
        <f t="shared" si="135"/>
        <v>0</v>
      </c>
      <c r="AE259" s="1084">
        <f t="shared" si="136"/>
        <v>0</v>
      </c>
      <c r="AF259" s="1084"/>
      <c r="AG259" s="1084"/>
      <c r="AH259" s="1084"/>
      <c r="AI259" s="1084"/>
      <c r="AJ259" s="1084"/>
      <c r="AK259" s="1084"/>
      <c r="AL259" s="1084">
        <v>0</v>
      </c>
      <c r="AM259" s="1085">
        <f t="shared" si="137"/>
        <v>0</v>
      </c>
      <c r="AN259" s="1085">
        <f t="shared" si="138"/>
        <v>0</v>
      </c>
      <c r="AO259" s="1085"/>
      <c r="AP259" s="1085"/>
      <c r="AQ259" s="1085"/>
      <c r="AR259" s="1085"/>
      <c r="AS259" s="1085"/>
      <c r="AT259" s="1085"/>
      <c r="AU259" s="1085"/>
      <c r="AV259" s="1085"/>
      <c r="AW259" s="1085"/>
      <c r="AX259" s="1085"/>
      <c r="AY259" s="1085">
        <v>0</v>
      </c>
      <c r="AZ259" s="1085">
        <f t="shared" si="139"/>
        <v>0</v>
      </c>
      <c r="BA259" s="1085">
        <f t="shared" si="140"/>
        <v>0</v>
      </c>
      <c r="BB259" s="1085"/>
      <c r="BC259" s="1085"/>
      <c r="BD259" s="1085"/>
      <c r="BE259" s="1085"/>
      <c r="BF259" s="1085"/>
      <c r="BG259" s="1084">
        <f t="shared" si="141"/>
        <v>0</v>
      </c>
      <c r="BH259" s="1084">
        <f t="shared" si="142"/>
        <v>0</v>
      </c>
      <c r="BI259" s="1084"/>
      <c r="BJ259" s="1084"/>
      <c r="BK259" s="1084"/>
      <c r="BL259" s="1084"/>
      <c r="BM259" s="1084"/>
      <c r="BN259" s="1084"/>
      <c r="BO259" s="1086"/>
      <c r="BP259" s="1084"/>
      <c r="BQ259" s="1087"/>
      <c r="BR259" s="1084"/>
      <c r="BS259" s="1088"/>
      <c r="BT259" s="1089" t="s">
        <v>1742</v>
      </c>
      <c r="BU259" s="1090"/>
    </row>
    <row r="260" spans="1:73" ht="24" x14ac:dyDescent="0.25">
      <c r="A260" s="1094">
        <v>90001868844</v>
      </c>
      <c r="B260" s="1095"/>
      <c r="C260" s="1514" t="s">
        <v>1743</v>
      </c>
      <c r="D260" s="1515"/>
      <c r="E260" s="1082" t="s">
        <v>1744</v>
      </c>
      <c r="F260" s="1083">
        <f t="shared" si="131"/>
        <v>592428</v>
      </c>
      <c r="G260" s="1083">
        <f t="shared" si="132"/>
        <v>577774</v>
      </c>
      <c r="H260" s="1084">
        <v>584301</v>
      </c>
      <c r="I260" s="1084">
        <f t="shared" si="133"/>
        <v>569429</v>
      </c>
      <c r="J260" s="1084">
        <f t="shared" si="134"/>
        <v>-14872</v>
      </c>
      <c r="K260" s="1084">
        <v>-14872</v>
      </c>
      <c r="L260" s="1084"/>
      <c r="M260" s="1084"/>
      <c r="N260" s="1084"/>
      <c r="O260" s="1084"/>
      <c r="P260" s="1084"/>
      <c r="Q260" s="1084"/>
      <c r="R260" s="1084"/>
      <c r="S260" s="1084"/>
      <c r="T260" s="1084"/>
      <c r="U260" s="1084"/>
      <c r="V260" s="1084"/>
      <c r="W260" s="1084"/>
      <c r="X260" s="1084"/>
      <c r="Y260" s="1084"/>
      <c r="Z260" s="1084"/>
      <c r="AA260" s="1084"/>
      <c r="AB260" s="1084"/>
      <c r="AC260" s="1084">
        <v>0</v>
      </c>
      <c r="AD260" s="1084">
        <f t="shared" si="135"/>
        <v>0</v>
      </c>
      <c r="AE260" s="1084">
        <f t="shared" si="136"/>
        <v>0</v>
      </c>
      <c r="AF260" s="1084"/>
      <c r="AG260" s="1084"/>
      <c r="AH260" s="1084"/>
      <c r="AI260" s="1084"/>
      <c r="AJ260" s="1084"/>
      <c r="AK260" s="1084"/>
      <c r="AL260" s="1084">
        <v>4300</v>
      </c>
      <c r="AM260" s="1085">
        <f t="shared" si="137"/>
        <v>4300</v>
      </c>
      <c r="AN260" s="1085">
        <f t="shared" si="138"/>
        <v>0</v>
      </c>
      <c r="AO260" s="1085"/>
      <c r="AP260" s="1085"/>
      <c r="AQ260" s="1085"/>
      <c r="AR260" s="1085"/>
      <c r="AS260" s="1085"/>
      <c r="AT260" s="1085"/>
      <c r="AU260" s="1085"/>
      <c r="AV260" s="1085"/>
      <c r="AW260" s="1085"/>
      <c r="AX260" s="1085"/>
      <c r="AY260" s="1085">
        <v>3827</v>
      </c>
      <c r="AZ260" s="1085">
        <f t="shared" si="139"/>
        <v>4045</v>
      </c>
      <c r="BA260" s="1085">
        <f t="shared" si="140"/>
        <v>218</v>
      </c>
      <c r="BB260" s="1085">
        <v>218</v>
      </c>
      <c r="BC260" s="1085"/>
      <c r="BD260" s="1085"/>
      <c r="BE260" s="1085"/>
      <c r="BF260" s="1085"/>
      <c r="BG260" s="1084">
        <f t="shared" si="141"/>
        <v>0</v>
      </c>
      <c r="BH260" s="1084">
        <f t="shared" si="142"/>
        <v>0</v>
      </c>
      <c r="BI260" s="1084"/>
      <c r="BJ260" s="1084"/>
      <c r="BK260" s="1084"/>
      <c r="BL260" s="1084"/>
      <c r="BM260" s="1084"/>
      <c r="BN260" s="1084"/>
      <c r="BO260" s="1086"/>
      <c r="BP260" s="1084"/>
      <c r="BQ260" s="1087"/>
      <c r="BR260" s="1084"/>
      <c r="BS260" s="1088"/>
      <c r="BT260" s="1089" t="s">
        <v>1745</v>
      </c>
      <c r="BU260" s="1090"/>
    </row>
    <row r="261" spans="1:73" ht="24" x14ac:dyDescent="0.25">
      <c r="A261" s="1094"/>
      <c r="B261" s="1095"/>
      <c r="C261" s="1096"/>
      <c r="D261" s="1097"/>
      <c r="E261" s="1082" t="s">
        <v>1729</v>
      </c>
      <c r="F261" s="1083">
        <f t="shared" si="131"/>
        <v>890</v>
      </c>
      <c r="G261" s="1083">
        <f t="shared" si="132"/>
        <v>890</v>
      </c>
      <c r="H261" s="1084">
        <v>890</v>
      </c>
      <c r="I261" s="1084">
        <f t="shared" si="133"/>
        <v>890</v>
      </c>
      <c r="J261" s="1084">
        <f t="shared" si="134"/>
        <v>0</v>
      </c>
      <c r="K261" s="1084"/>
      <c r="L261" s="1084"/>
      <c r="M261" s="1084"/>
      <c r="N261" s="1084"/>
      <c r="O261" s="1084"/>
      <c r="P261" s="1084"/>
      <c r="Q261" s="1084"/>
      <c r="R261" s="1084"/>
      <c r="S261" s="1084"/>
      <c r="T261" s="1084"/>
      <c r="U261" s="1084"/>
      <c r="V261" s="1084"/>
      <c r="W261" s="1084"/>
      <c r="X261" s="1084"/>
      <c r="Y261" s="1084"/>
      <c r="Z261" s="1084"/>
      <c r="AA261" s="1084"/>
      <c r="AB261" s="1084"/>
      <c r="AC261" s="1084">
        <v>0</v>
      </c>
      <c r="AD261" s="1084">
        <f t="shared" si="135"/>
        <v>0</v>
      </c>
      <c r="AE261" s="1084">
        <f t="shared" si="136"/>
        <v>0</v>
      </c>
      <c r="AF261" s="1084"/>
      <c r="AG261" s="1084"/>
      <c r="AH261" s="1084"/>
      <c r="AI261" s="1084"/>
      <c r="AJ261" s="1084"/>
      <c r="AK261" s="1084"/>
      <c r="AL261" s="1084">
        <v>0</v>
      </c>
      <c r="AM261" s="1084">
        <f t="shared" si="137"/>
        <v>0</v>
      </c>
      <c r="AN261" s="1084">
        <f t="shared" si="138"/>
        <v>0</v>
      </c>
      <c r="AO261" s="1084"/>
      <c r="AP261" s="1084"/>
      <c r="AQ261" s="1084"/>
      <c r="AR261" s="1084"/>
      <c r="AS261" s="1084"/>
      <c r="AT261" s="1084"/>
      <c r="AU261" s="1084"/>
      <c r="AV261" s="1084"/>
      <c r="AW261" s="1084"/>
      <c r="AX261" s="1084"/>
      <c r="AY261" s="1085">
        <v>0</v>
      </c>
      <c r="AZ261" s="1085">
        <f t="shared" si="139"/>
        <v>0</v>
      </c>
      <c r="BA261" s="1085">
        <f t="shared" si="140"/>
        <v>0</v>
      </c>
      <c r="BB261" s="1085"/>
      <c r="BC261" s="1085"/>
      <c r="BD261" s="1085"/>
      <c r="BE261" s="1085"/>
      <c r="BF261" s="1085"/>
      <c r="BG261" s="1084">
        <f t="shared" si="141"/>
        <v>0</v>
      </c>
      <c r="BH261" s="1084">
        <f t="shared" si="142"/>
        <v>0</v>
      </c>
      <c r="BI261" s="1084"/>
      <c r="BJ261" s="1084"/>
      <c r="BK261" s="1084"/>
      <c r="BL261" s="1084"/>
      <c r="BM261" s="1084"/>
      <c r="BN261" s="1084"/>
      <c r="BO261" s="1086"/>
      <c r="BP261" s="1084"/>
      <c r="BQ261" s="1087"/>
      <c r="BR261" s="1084"/>
      <c r="BS261" s="1088"/>
      <c r="BT261" s="1089" t="s">
        <v>1746</v>
      </c>
      <c r="BU261" s="1090"/>
    </row>
    <row r="262" spans="1:73" ht="24" x14ac:dyDescent="0.25">
      <c r="A262" s="1094">
        <v>90000091456</v>
      </c>
      <c r="B262" s="1095"/>
      <c r="C262" s="1514" t="s">
        <v>1747</v>
      </c>
      <c r="D262" s="1515"/>
      <c r="E262" s="1082" t="s">
        <v>1748</v>
      </c>
      <c r="F262" s="1083">
        <f t="shared" si="131"/>
        <v>142997</v>
      </c>
      <c r="G262" s="1083">
        <f t="shared" si="132"/>
        <v>143807</v>
      </c>
      <c r="H262" s="1084">
        <v>142997</v>
      </c>
      <c r="I262" s="1084">
        <f t="shared" si="133"/>
        <v>143803</v>
      </c>
      <c r="J262" s="1084">
        <f t="shared" si="134"/>
        <v>806</v>
      </c>
      <c r="K262" s="1084"/>
      <c r="L262" s="1084"/>
      <c r="M262" s="1084"/>
      <c r="N262" s="1084"/>
      <c r="O262" s="1084"/>
      <c r="P262" s="1084"/>
      <c r="Q262" s="1084"/>
      <c r="R262" s="1084"/>
      <c r="S262" s="1084"/>
      <c r="T262" s="1084"/>
      <c r="U262" s="1084"/>
      <c r="V262" s="1084"/>
      <c r="W262" s="1084">
        <v>806</v>
      </c>
      <c r="X262" s="1084"/>
      <c r="Y262" s="1084"/>
      <c r="Z262" s="1084"/>
      <c r="AA262" s="1084"/>
      <c r="AB262" s="1084"/>
      <c r="AC262" s="1084">
        <v>0</v>
      </c>
      <c r="AD262" s="1084">
        <f t="shared" si="135"/>
        <v>0</v>
      </c>
      <c r="AE262" s="1084">
        <f t="shared" si="136"/>
        <v>0</v>
      </c>
      <c r="AF262" s="1084"/>
      <c r="AG262" s="1084"/>
      <c r="AH262" s="1084"/>
      <c r="AI262" s="1084"/>
      <c r="AJ262" s="1084"/>
      <c r="AK262" s="1084"/>
      <c r="AL262" s="1084">
        <v>0</v>
      </c>
      <c r="AM262" s="1085">
        <f t="shared" si="137"/>
        <v>4</v>
      </c>
      <c r="AN262" s="1085">
        <f t="shared" si="138"/>
        <v>4</v>
      </c>
      <c r="AO262" s="1085"/>
      <c r="AP262" s="1085"/>
      <c r="AQ262" s="1085"/>
      <c r="AR262" s="1085"/>
      <c r="AS262" s="1085"/>
      <c r="AT262" s="1085"/>
      <c r="AU262" s="1085"/>
      <c r="AV262" s="1085">
        <v>4</v>
      </c>
      <c r="AW262" s="1085"/>
      <c r="AX262" s="1085"/>
      <c r="AY262" s="1085">
        <v>0</v>
      </c>
      <c r="AZ262" s="1085">
        <f t="shared" si="139"/>
        <v>0</v>
      </c>
      <c r="BA262" s="1085">
        <f t="shared" si="140"/>
        <v>0</v>
      </c>
      <c r="BB262" s="1085"/>
      <c r="BC262" s="1085"/>
      <c r="BD262" s="1085"/>
      <c r="BE262" s="1085"/>
      <c r="BF262" s="1085"/>
      <c r="BG262" s="1084">
        <f t="shared" si="141"/>
        <v>0</v>
      </c>
      <c r="BH262" s="1084">
        <f t="shared" si="142"/>
        <v>0</v>
      </c>
      <c r="BI262" s="1084"/>
      <c r="BJ262" s="1084"/>
      <c r="BK262" s="1084"/>
      <c r="BL262" s="1084"/>
      <c r="BM262" s="1084"/>
      <c r="BN262" s="1084"/>
      <c r="BO262" s="1086"/>
      <c r="BP262" s="1084"/>
      <c r="BQ262" s="1087"/>
      <c r="BR262" s="1084"/>
      <c r="BS262" s="1088"/>
      <c r="BT262" s="1089" t="s">
        <v>1749</v>
      </c>
      <c r="BU262" s="1090"/>
    </row>
    <row r="263" spans="1:73" ht="60" x14ac:dyDescent="0.25">
      <c r="A263" s="1094"/>
      <c r="B263" s="1095"/>
      <c r="C263" s="1514" t="s">
        <v>1047</v>
      </c>
      <c r="D263" s="1515"/>
      <c r="E263" s="1118" t="s">
        <v>1750</v>
      </c>
      <c r="F263" s="1083">
        <f>H263+AC263+AL263+AX263+AY263+BF263</f>
        <v>241889</v>
      </c>
      <c r="G263" s="1083">
        <f t="shared" si="132"/>
        <v>241889</v>
      </c>
      <c r="H263" s="1084"/>
      <c r="I263" s="1084">
        <f t="shared" si="133"/>
        <v>0</v>
      </c>
      <c r="J263" s="1084">
        <f t="shared" si="134"/>
        <v>0</v>
      </c>
      <c r="K263" s="1084"/>
      <c r="L263" s="1084"/>
      <c r="M263" s="1084"/>
      <c r="N263" s="1084"/>
      <c r="O263" s="1084"/>
      <c r="P263" s="1084"/>
      <c r="Q263" s="1084"/>
      <c r="R263" s="1084"/>
      <c r="S263" s="1084"/>
      <c r="T263" s="1084"/>
      <c r="U263" s="1084"/>
      <c r="V263" s="1084"/>
      <c r="W263" s="1084"/>
      <c r="X263" s="1084"/>
      <c r="Y263" s="1084"/>
      <c r="Z263" s="1084"/>
      <c r="AA263" s="1084"/>
      <c r="AB263" s="1084"/>
      <c r="AC263" s="1084"/>
      <c r="AD263" s="1084">
        <f t="shared" si="135"/>
        <v>0</v>
      </c>
      <c r="AE263" s="1084">
        <f t="shared" ref="AE263:AE274" si="143">SUM(AF263:AK263)</f>
        <v>0</v>
      </c>
      <c r="AF263" s="1084"/>
      <c r="AG263" s="1084"/>
      <c r="AH263" s="1084"/>
      <c r="AI263" s="1084"/>
      <c r="AJ263" s="1084"/>
      <c r="AK263" s="1084"/>
      <c r="AL263" s="1084"/>
      <c r="AM263" s="1085">
        <f t="shared" si="137"/>
        <v>0</v>
      </c>
      <c r="AN263" s="1085">
        <f t="shared" ref="AN263:AN274" si="144">SUM(AO263:AW263)</f>
        <v>0</v>
      </c>
      <c r="AO263" s="1084"/>
      <c r="AP263" s="1084"/>
      <c r="AQ263" s="1084"/>
      <c r="AR263" s="1084"/>
      <c r="AS263" s="1084"/>
      <c r="AT263" s="1084"/>
      <c r="AU263" s="1084"/>
      <c r="AV263" s="1084"/>
      <c r="AW263" s="1084"/>
      <c r="AX263" s="1084">
        <v>241889</v>
      </c>
      <c r="AY263" s="1085"/>
      <c r="AZ263" s="1085">
        <f t="shared" si="139"/>
        <v>0</v>
      </c>
      <c r="BA263" s="1085">
        <f t="shared" ref="BA263:BA274" si="145">SUM(BB263:BE263)</f>
        <v>0</v>
      </c>
      <c r="BB263" s="1085"/>
      <c r="BC263" s="1085"/>
      <c r="BD263" s="1085"/>
      <c r="BE263" s="1085"/>
      <c r="BF263" s="1085"/>
      <c r="BG263" s="1084">
        <f t="shared" si="141"/>
        <v>0</v>
      </c>
      <c r="BH263" s="1084">
        <f t="shared" si="142"/>
        <v>0</v>
      </c>
      <c r="BI263" s="1084"/>
      <c r="BJ263" s="1084"/>
      <c r="BK263" s="1084"/>
      <c r="BL263" s="1084"/>
      <c r="BM263" s="1084"/>
      <c r="BN263" s="1084"/>
      <c r="BO263" s="1086"/>
      <c r="BP263" s="1084"/>
      <c r="BQ263" s="1087"/>
      <c r="BR263" s="1084"/>
      <c r="BS263" s="1088"/>
      <c r="BT263" s="1089" t="s">
        <v>1751</v>
      </c>
      <c r="BU263" s="1090"/>
    </row>
    <row r="264" spans="1:73" ht="48" x14ac:dyDescent="0.25">
      <c r="A264" s="1094"/>
      <c r="B264" s="1095"/>
      <c r="C264" s="1096"/>
      <c r="D264" s="1097"/>
      <c r="E264" s="1118" t="s">
        <v>1752</v>
      </c>
      <c r="F264" s="1083">
        <f t="shared" si="131"/>
        <v>106716</v>
      </c>
      <c r="G264" s="1083">
        <f t="shared" si="132"/>
        <v>106716</v>
      </c>
      <c r="H264" s="1084"/>
      <c r="I264" s="1084">
        <f t="shared" si="133"/>
        <v>0</v>
      </c>
      <c r="J264" s="1084">
        <f t="shared" si="134"/>
        <v>0</v>
      </c>
      <c r="K264" s="1084"/>
      <c r="L264" s="1084"/>
      <c r="M264" s="1084"/>
      <c r="N264" s="1084"/>
      <c r="O264" s="1084"/>
      <c r="P264" s="1084"/>
      <c r="Q264" s="1084"/>
      <c r="R264" s="1084"/>
      <c r="S264" s="1084"/>
      <c r="T264" s="1084"/>
      <c r="U264" s="1084"/>
      <c r="V264" s="1084"/>
      <c r="W264" s="1084"/>
      <c r="X264" s="1084"/>
      <c r="Y264" s="1084"/>
      <c r="Z264" s="1084"/>
      <c r="AA264" s="1084"/>
      <c r="AB264" s="1084"/>
      <c r="AC264" s="1084"/>
      <c r="AD264" s="1084">
        <f t="shared" si="135"/>
        <v>0</v>
      </c>
      <c r="AE264" s="1084">
        <f t="shared" si="143"/>
        <v>0</v>
      </c>
      <c r="AF264" s="1084"/>
      <c r="AG264" s="1084"/>
      <c r="AH264" s="1084"/>
      <c r="AI264" s="1084"/>
      <c r="AJ264" s="1084"/>
      <c r="AK264" s="1084"/>
      <c r="AL264" s="1084"/>
      <c r="AM264" s="1085">
        <f t="shared" si="137"/>
        <v>0</v>
      </c>
      <c r="AN264" s="1085">
        <f t="shared" si="144"/>
        <v>0</v>
      </c>
      <c r="AO264" s="1084"/>
      <c r="AP264" s="1084"/>
      <c r="AQ264" s="1084"/>
      <c r="AR264" s="1084"/>
      <c r="AS264" s="1084"/>
      <c r="AT264" s="1084"/>
      <c r="AU264" s="1084"/>
      <c r="AV264" s="1084"/>
      <c r="AW264" s="1084"/>
      <c r="AX264" s="1084">
        <v>106716</v>
      </c>
      <c r="AY264" s="1085"/>
      <c r="AZ264" s="1085">
        <f t="shared" si="139"/>
        <v>0</v>
      </c>
      <c r="BA264" s="1085">
        <f t="shared" si="145"/>
        <v>0</v>
      </c>
      <c r="BB264" s="1085"/>
      <c r="BC264" s="1085"/>
      <c r="BD264" s="1085"/>
      <c r="BE264" s="1085"/>
      <c r="BF264" s="1085"/>
      <c r="BG264" s="1084">
        <f t="shared" si="141"/>
        <v>0</v>
      </c>
      <c r="BH264" s="1084">
        <f t="shared" si="142"/>
        <v>0</v>
      </c>
      <c r="BI264" s="1084"/>
      <c r="BJ264" s="1084"/>
      <c r="BK264" s="1084"/>
      <c r="BL264" s="1084"/>
      <c r="BM264" s="1084"/>
      <c r="BN264" s="1084"/>
      <c r="BO264" s="1086"/>
      <c r="BP264" s="1084"/>
      <c r="BQ264" s="1087"/>
      <c r="BR264" s="1084"/>
      <c r="BS264" s="1088"/>
      <c r="BT264" s="1089" t="s">
        <v>1753</v>
      </c>
      <c r="BU264" s="1090"/>
    </row>
    <row r="265" spans="1:73" ht="50.25" customHeight="1" x14ac:dyDescent="0.25">
      <c r="A265" s="1094">
        <v>90010991438</v>
      </c>
      <c r="B265" s="1095"/>
      <c r="C265" s="1514" t="s">
        <v>1480</v>
      </c>
      <c r="D265" s="1515"/>
      <c r="E265" s="1082" t="s">
        <v>1723</v>
      </c>
      <c r="F265" s="1083">
        <f t="shared" si="131"/>
        <v>0</v>
      </c>
      <c r="G265" s="1083">
        <f t="shared" si="132"/>
        <v>404345</v>
      </c>
      <c r="H265" s="1084"/>
      <c r="I265" s="1084">
        <f t="shared" si="133"/>
        <v>164209</v>
      </c>
      <c r="J265" s="1084">
        <f t="shared" si="134"/>
        <v>164209</v>
      </c>
      <c r="K265" s="1084"/>
      <c r="L265" s="1084"/>
      <c r="M265" s="1084"/>
      <c r="N265" s="1084"/>
      <c r="O265" s="1084"/>
      <c r="P265" s="1084"/>
      <c r="Q265" s="1084"/>
      <c r="R265" s="1084"/>
      <c r="S265" s="1084"/>
      <c r="T265" s="1084"/>
      <c r="U265" s="1084"/>
      <c r="V265" s="1084"/>
      <c r="W265" s="1084"/>
      <c r="X265" s="1084">
        <v>161558</v>
      </c>
      <c r="Y265" s="1084"/>
      <c r="Z265" s="1084">
        <v>2651</v>
      </c>
      <c r="AA265" s="1084"/>
      <c r="AB265" s="1084"/>
      <c r="AC265" s="1084"/>
      <c r="AD265" s="1084">
        <f t="shared" si="135"/>
        <v>12810</v>
      </c>
      <c r="AE265" s="1084">
        <f t="shared" si="143"/>
        <v>12810</v>
      </c>
      <c r="AF265" s="1084"/>
      <c r="AG265" s="1084"/>
      <c r="AH265" s="1084">
        <v>12810</v>
      </c>
      <c r="AI265" s="1084"/>
      <c r="AJ265" s="1084"/>
      <c r="AK265" s="1084"/>
      <c r="AL265" s="1084"/>
      <c r="AM265" s="1085">
        <f t="shared" si="137"/>
        <v>226422</v>
      </c>
      <c r="AN265" s="1085">
        <f t="shared" si="144"/>
        <v>226422</v>
      </c>
      <c r="AO265" s="1085"/>
      <c r="AP265" s="1085"/>
      <c r="AQ265" s="1085"/>
      <c r="AR265" s="1085"/>
      <c r="AS265" s="1085"/>
      <c r="AT265" s="1085"/>
      <c r="AU265" s="1085">
        <v>228602</v>
      </c>
      <c r="AV265" s="1085">
        <v>-2180</v>
      </c>
      <c r="AW265" s="1085"/>
      <c r="AX265" s="1085"/>
      <c r="AY265" s="1085"/>
      <c r="AZ265" s="1085">
        <f t="shared" si="139"/>
        <v>904</v>
      </c>
      <c r="BA265" s="1085">
        <f t="shared" si="145"/>
        <v>904</v>
      </c>
      <c r="BB265" s="1085"/>
      <c r="BC265" s="1085">
        <v>904</v>
      </c>
      <c r="BD265" s="1085"/>
      <c r="BE265" s="1085"/>
      <c r="BF265" s="1085"/>
      <c r="BG265" s="1084">
        <f t="shared" si="141"/>
        <v>0</v>
      </c>
      <c r="BH265" s="1084">
        <f t="shared" si="142"/>
        <v>0</v>
      </c>
      <c r="BI265" s="1084"/>
      <c r="BJ265" s="1084"/>
      <c r="BK265" s="1084"/>
      <c r="BL265" s="1084"/>
      <c r="BM265" s="1084"/>
      <c r="BN265" s="1084"/>
      <c r="BO265" s="1086"/>
      <c r="BP265" s="1084"/>
      <c r="BQ265" s="1087"/>
      <c r="BR265" s="1084"/>
      <c r="BS265" s="1088"/>
      <c r="BT265" s="1089" t="s">
        <v>1754</v>
      </c>
      <c r="BU265" s="1090"/>
    </row>
    <row r="266" spans="1:73" ht="36" x14ac:dyDescent="0.25">
      <c r="A266" s="1094"/>
      <c r="B266" s="1095"/>
      <c r="C266" s="1096"/>
      <c r="D266" s="1097"/>
      <c r="E266" s="1082" t="s">
        <v>1725</v>
      </c>
      <c r="F266" s="1083">
        <f t="shared" si="131"/>
        <v>0</v>
      </c>
      <c r="G266" s="1083">
        <f t="shared" si="132"/>
        <v>6057</v>
      </c>
      <c r="H266" s="1084"/>
      <c r="I266" s="1084">
        <f t="shared" si="133"/>
        <v>5475</v>
      </c>
      <c r="J266" s="1084">
        <f t="shared" si="134"/>
        <v>5475</v>
      </c>
      <c r="K266" s="1084"/>
      <c r="L266" s="1084"/>
      <c r="M266" s="1084"/>
      <c r="N266" s="1084"/>
      <c r="O266" s="1084"/>
      <c r="P266" s="1084"/>
      <c r="Q266" s="1084"/>
      <c r="R266" s="1084"/>
      <c r="S266" s="1084"/>
      <c r="T266" s="1084"/>
      <c r="U266" s="1084"/>
      <c r="V266" s="1084"/>
      <c r="W266" s="1084"/>
      <c r="X266" s="1084">
        <v>5475</v>
      </c>
      <c r="Y266" s="1084"/>
      <c r="Z266" s="1084"/>
      <c r="AA266" s="1084"/>
      <c r="AB266" s="1084"/>
      <c r="AC266" s="1084"/>
      <c r="AD266" s="1084">
        <f t="shared" si="135"/>
        <v>0</v>
      </c>
      <c r="AE266" s="1084">
        <f t="shared" si="143"/>
        <v>0</v>
      </c>
      <c r="AF266" s="1084"/>
      <c r="AG266" s="1084"/>
      <c r="AH266" s="1084"/>
      <c r="AI266" s="1084"/>
      <c r="AJ266" s="1084"/>
      <c r="AK266" s="1084"/>
      <c r="AL266" s="1084"/>
      <c r="AM266" s="1085">
        <f t="shared" si="137"/>
        <v>582</v>
      </c>
      <c r="AN266" s="1085">
        <f t="shared" si="144"/>
        <v>582</v>
      </c>
      <c r="AO266" s="1085"/>
      <c r="AP266" s="1085"/>
      <c r="AQ266" s="1085"/>
      <c r="AR266" s="1085"/>
      <c r="AS266" s="1085"/>
      <c r="AT266" s="1085"/>
      <c r="AU266" s="1085">
        <v>582</v>
      </c>
      <c r="AV266" s="1085"/>
      <c r="AW266" s="1085"/>
      <c r="AX266" s="1085"/>
      <c r="AY266" s="1085"/>
      <c r="AZ266" s="1085">
        <f t="shared" si="139"/>
        <v>0</v>
      </c>
      <c r="BA266" s="1085">
        <f t="shared" si="145"/>
        <v>0</v>
      </c>
      <c r="BB266" s="1085"/>
      <c r="BC266" s="1085"/>
      <c r="BD266" s="1085"/>
      <c r="BE266" s="1085"/>
      <c r="BF266" s="1085"/>
      <c r="BG266" s="1084">
        <f t="shared" si="141"/>
        <v>0</v>
      </c>
      <c r="BH266" s="1084">
        <f t="shared" si="142"/>
        <v>0</v>
      </c>
      <c r="BI266" s="1084"/>
      <c r="BJ266" s="1084"/>
      <c r="BK266" s="1084"/>
      <c r="BL266" s="1084"/>
      <c r="BM266" s="1084"/>
      <c r="BN266" s="1084"/>
      <c r="BO266" s="1086"/>
      <c r="BP266" s="1084"/>
      <c r="BQ266" s="1087"/>
      <c r="BR266" s="1084"/>
      <c r="BS266" s="1088"/>
      <c r="BT266" s="1089" t="s">
        <v>1755</v>
      </c>
      <c r="BU266" s="1090"/>
    </row>
    <row r="267" spans="1:73" ht="12.75" x14ac:dyDescent="0.25">
      <c r="A267" s="1094"/>
      <c r="B267" s="1095"/>
      <c r="C267" s="1096"/>
      <c r="D267" s="1097"/>
      <c r="E267" s="1082" t="s">
        <v>1727</v>
      </c>
      <c r="F267" s="1083">
        <f t="shared" si="131"/>
        <v>0</v>
      </c>
      <c r="G267" s="1083">
        <f t="shared" si="132"/>
        <v>8330</v>
      </c>
      <c r="H267" s="1084"/>
      <c r="I267" s="1084">
        <f t="shared" si="133"/>
        <v>8330</v>
      </c>
      <c r="J267" s="1084">
        <f t="shared" si="134"/>
        <v>8330</v>
      </c>
      <c r="K267" s="1084"/>
      <c r="L267" s="1084"/>
      <c r="M267" s="1084"/>
      <c r="N267" s="1084"/>
      <c r="O267" s="1084"/>
      <c r="P267" s="1084"/>
      <c r="Q267" s="1084"/>
      <c r="R267" s="1084"/>
      <c r="S267" s="1084"/>
      <c r="T267" s="1084"/>
      <c r="U267" s="1084"/>
      <c r="V267" s="1084"/>
      <c r="W267" s="1084"/>
      <c r="X267" s="1084">
        <v>7582</v>
      </c>
      <c r="Y267" s="1084"/>
      <c r="Z267" s="1084">
        <v>748</v>
      </c>
      <c r="AA267" s="1084"/>
      <c r="AB267" s="1084"/>
      <c r="AC267" s="1084"/>
      <c r="AD267" s="1084">
        <f t="shared" si="135"/>
        <v>0</v>
      </c>
      <c r="AE267" s="1084">
        <f t="shared" si="143"/>
        <v>0</v>
      </c>
      <c r="AF267" s="1084"/>
      <c r="AG267" s="1084"/>
      <c r="AH267" s="1084"/>
      <c r="AI267" s="1084"/>
      <c r="AJ267" s="1084"/>
      <c r="AK267" s="1084"/>
      <c r="AL267" s="1084"/>
      <c r="AM267" s="1085">
        <f t="shared" si="137"/>
        <v>0</v>
      </c>
      <c r="AN267" s="1085">
        <f t="shared" si="144"/>
        <v>0</v>
      </c>
      <c r="AO267" s="1085"/>
      <c r="AP267" s="1085"/>
      <c r="AQ267" s="1085"/>
      <c r="AR267" s="1085"/>
      <c r="AS267" s="1085"/>
      <c r="AT267" s="1085"/>
      <c r="AU267" s="1085"/>
      <c r="AV267" s="1085"/>
      <c r="AW267" s="1085"/>
      <c r="AX267" s="1085"/>
      <c r="AY267" s="1085"/>
      <c r="AZ267" s="1085">
        <f t="shared" si="139"/>
        <v>0</v>
      </c>
      <c r="BA267" s="1085">
        <f t="shared" si="145"/>
        <v>0</v>
      </c>
      <c r="BB267" s="1085"/>
      <c r="BC267" s="1085"/>
      <c r="BD267" s="1085"/>
      <c r="BE267" s="1085"/>
      <c r="BF267" s="1085"/>
      <c r="BG267" s="1084">
        <f t="shared" si="141"/>
        <v>0</v>
      </c>
      <c r="BH267" s="1084">
        <f t="shared" si="142"/>
        <v>0</v>
      </c>
      <c r="BI267" s="1084"/>
      <c r="BJ267" s="1084"/>
      <c r="BK267" s="1084"/>
      <c r="BL267" s="1084"/>
      <c r="BM267" s="1084"/>
      <c r="BN267" s="1084"/>
      <c r="BO267" s="1086"/>
      <c r="BP267" s="1084"/>
      <c r="BQ267" s="1087"/>
      <c r="BR267" s="1084"/>
      <c r="BS267" s="1088"/>
      <c r="BT267" s="1089" t="s">
        <v>1756</v>
      </c>
      <c r="BU267" s="1090"/>
    </row>
    <row r="268" spans="1:73" ht="24" x14ac:dyDescent="0.25">
      <c r="A268" s="1094"/>
      <c r="B268" s="1095"/>
      <c r="C268" s="1096"/>
      <c r="D268" s="1097"/>
      <c r="E268" s="1082" t="s">
        <v>1729</v>
      </c>
      <c r="F268" s="1083">
        <f t="shared" si="131"/>
        <v>0</v>
      </c>
      <c r="G268" s="1083">
        <f t="shared" si="132"/>
        <v>3838</v>
      </c>
      <c r="H268" s="1084"/>
      <c r="I268" s="1084">
        <f t="shared" si="133"/>
        <v>3838</v>
      </c>
      <c r="J268" s="1084">
        <f t="shared" si="134"/>
        <v>3838</v>
      </c>
      <c r="K268" s="1084"/>
      <c r="L268" s="1084"/>
      <c r="M268" s="1084"/>
      <c r="N268" s="1084"/>
      <c r="O268" s="1084"/>
      <c r="P268" s="1084"/>
      <c r="Q268" s="1084"/>
      <c r="R268" s="1084"/>
      <c r="S268" s="1084"/>
      <c r="T268" s="1084"/>
      <c r="U268" s="1084"/>
      <c r="V268" s="1084"/>
      <c r="W268" s="1084"/>
      <c r="X268" s="1084">
        <v>3838</v>
      </c>
      <c r="Y268" s="1084"/>
      <c r="Z268" s="1084"/>
      <c r="AA268" s="1084"/>
      <c r="AB268" s="1084"/>
      <c r="AC268" s="1084"/>
      <c r="AD268" s="1084">
        <f t="shared" si="135"/>
        <v>0</v>
      </c>
      <c r="AE268" s="1084">
        <f t="shared" si="143"/>
        <v>0</v>
      </c>
      <c r="AF268" s="1084"/>
      <c r="AG268" s="1084"/>
      <c r="AH268" s="1084"/>
      <c r="AI268" s="1084"/>
      <c r="AJ268" s="1084"/>
      <c r="AK268" s="1084"/>
      <c r="AL268" s="1084"/>
      <c r="AM268" s="1085">
        <f t="shared" si="137"/>
        <v>0</v>
      </c>
      <c r="AN268" s="1085">
        <f t="shared" si="144"/>
        <v>0</v>
      </c>
      <c r="AO268" s="1085"/>
      <c r="AP268" s="1085"/>
      <c r="AQ268" s="1085"/>
      <c r="AR268" s="1085"/>
      <c r="AS268" s="1085"/>
      <c r="AT268" s="1085"/>
      <c r="AU268" s="1085"/>
      <c r="AV268" s="1085"/>
      <c r="AW268" s="1085"/>
      <c r="AX268" s="1085"/>
      <c r="AY268" s="1085"/>
      <c r="AZ268" s="1085">
        <f t="shared" si="139"/>
        <v>0</v>
      </c>
      <c r="BA268" s="1085">
        <f t="shared" si="145"/>
        <v>0</v>
      </c>
      <c r="BB268" s="1085"/>
      <c r="BC268" s="1085"/>
      <c r="BD268" s="1085"/>
      <c r="BE268" s="1085"/>
      <c r="BF268" s="1085"/>
      <c r="BG268" s="1084">
        <f t="shared" si="141"/>
        <v>0</v>
      </c>
      <c r="BH268" s="1084">
        <f t="shared" si="142"/>
        <v>0</v>
      </c>
      <c r="BI268" s="1084"/>
      <c r="BJ268" s="1084"/>
      <c r="BK268" s="1084"/>
      <c r="BL268" s="1084"/>
      <c r="BM268" s="1084"/>
      <c r="BN268" s="1084"/>
      <c r="BO268" s="1086"/>
      <c r="BP268" s="1084"/>
      <c r="BQ268" s="1087"/>
      <c r="BR268" s="1084"/>
      <c r="BS268" s="1088"/>
      <c r="BT268" s="1089" t="s">
        <v>1757</v>
      </c>
      <c r="BU268" s="1090"/>
    </row>
    <row r="269" spans="1:73" ht="12.75" x14ac:dyDescent="0.25">
      <c r="A269" s="1094"/>
      <c r="B269" s="1095"/>
      <c r="C269" s="1096"/>
      <c r="D269" s="1097"/>
      <c r="E269" s="1082" t="s">
        <v>1731</v>
      </c>
      <c r="F269" s="1083">
        <f t="shared" si="131"/>
        <v>0</v>
      </c>
      <c r="G269" s="1083">
        <f t="shared" si="132"/>
        <v>25210</v>
      </c>
      <c r="H269" s="1084"/>
      <c r="I269" s="1084">
        <f t="shared" si="133"/>
        <v>25210</v>
      </c>
      <c r="J269" s="1084">
        <f t="shared" si="134"/>
        <v>25210</v>
      </c>
      <c r="K269" s="1084"/>
      <c r="L269" s="1084"/>
      <c r="M269" s="1084"/>
      <c r="N269" s="1084"/>
      <c r="O269" s="1084"/>
      <c r="P269" s="1084"/>
      <c r="Q269" s="1084"/>
      <c r="R269" s="1084"/>
      <c r="S269" s="1084"/>
      <c r="T269" s="1084"/>
      <c r="U269" s="1084"/>
      <c r="V269" s="1084"/>
      <c r="W269" s="1084"/>
      <c r="X269" s="1084">
        <v>23191</v>
      </c>
      <c r="Y269" s="1084"/>
      <c r="Z269" s="1084">
        <v>2019</v>
      </c>
      <c r="AA269" s="1084"/>
      <c r="AB269" s="1084"/>
      <c r="AC269" s="1084"/>
      <c r="AD269" s="1084">
        <f t="shared" si="135"/>
        <v>0</v>
      </c>
      <c r="AE269" s="1084">
        <f t="shared" si="143"/>
        <v>0</v>
      </c>
      <c r="AF269" s="1084"/>
      <c r="AG269" s="1084"/>
      <c r="AH269" s="1084"/>
      <c r="AI269" s="1084"/>
      <c r="AJ269" s="1084"/>
      <c r="AK269" s="1084"/>
      <c r="AL269" s="1084"/>
      <c r="AM269" s="1085">
        <f t="shared" si="137"/>
        <v>0</v>
      </c>
      <c r="AN269" s="1085">
        <f t="shared" si="144"/>
        <v>0</v>
      </c>
      <c r="AO269" s="1085"/>
      <c r="AP269" s="1085"/>
      <c r="AQ269" s="1085"/>
      <c r="AR269" s="1085"/>
      <c r="AS269" s="1085"/>
      <c r="AT269" s="1085"/>
      <c r="AU269" s="1085"/>
      <c r="AV269" s="1085"/>
      <c r="AW269" s="1085"/>
      <c r="AX269" s="1085"/>
      <c r="AY269" s="1085"/>
      <c r="AZ269" s="1085">
        <f t="shared" si="139"/>
        <v>0</v>
      </c>
      <c r="BA269" s="1085">
        <f t="shared" si="145"/>
        <v>0</v>
      </c>
      <c r="BB269" s="1085"/>
      <c r="BC269" s="1085"/>
      <c r="BD269" s="1085"/>
      <c r="BE269" s="1085"/>
      <c r="BF269" s="1085"/>
      <c r="BG269" s="1084">
        <f t="shared" si="141"/>
        <v>0</v>
      </c>
      <c r="BH269" s="1084">
        <f t="shared" si="142"/>
        <v>0</v>
      </c>
      <c r="BI269" s="1084"/>
      <c r="BJ269" s="1084"/>
      <c r="BK269" s="1084"/>
      <c r="BL269" s="1084"/>
      <c r="BM269" s="1084"/>
      <c r="BN269" s="1084"/>
      <c r="BO269" s="1086"/>
      <c r="BP269" s="1084"/>
      <c r="BQ269" s="1087"/>
      <c r="BR269" s="1084"/>
      <c r="BS269" s="1088"/>
      <c r="BT269" s="1089" t="s">
        <v>1758</v>
      </c>
      <c r="BU269" s="1090"/>
    </row>
    <row r="270" spans="1:73" ht="24" x14ac:dyDescent="0.25">
      <c r="A270" s="1094"/>
      <c r="B270" s="1095"/>
      <c r="C270" s="1096"/>
      <c r="D270" s="1097"/>
      <c r="E270" s="1082" t="s">
        <v>1733</v>
      </c>
      <c r="F270" s="1083">
        <f t="shared" si="131"/>
        <v>0</v>
      </c>
      <c r="G270" s="1083">
        <f t="shared" si="132"/>
        <v>92048</v>
      </c>
      <c r="H270" s="1084"/>
      <c r="I270" s="1084">
        <f t="shared" si="133"/>
        <v>92048</v>
      </c>
      <c r="J270" s="1084">
        <f t="shared" si="134"/>
        <v>92048</v>
      </c>
      <c r="K270" s="1084"/>
      <c r="L270" s="1084"/>
      <c r="M270" s="1084"/>
      <c r="N270" s="1084"/>
      <c r="O270" s="1084"/>
      <c r="P270" s="1084"/>
      <c r="Q270" s="1084"/>
      <c r="R270" s="1084"/>
      <c r="S270" s="1084"/>
      <c r="T270" s="1084"/>
      <c r="U270" s="1084"/>
      <c r="V270" s="1084"/>
      <c r="W270" s="1084"/>
      <c r="X270" s="1084">
        <v>92048</v>
      </c>
      <c r="Y270" s="1084"/>
      <c r="Z270" s="1084"/>
      <c r="AA270" s="1084"/>
      <c r="AB270" s="1084"/>
      <c r="AC270" s="1084"/>
      <c r="AD270" s="1084">
        <f t="shared" si="135"/>
        <v>0</v>
      </c>
      <c r="AE270" s="1084">
        <f t="shared" si="143"/>
        <v>0</v>
      </c>
      <c r="AF270" s="1084"/>
      <c r="AG270" s="1084"/>
      <c r="AH270" s="1084"/>
      <c r="AI270" s="1084"/>
      <c r="AJ270" s="1084"/>
      <c r="AK270" s="1084"/>
      <c r="AL270" s="1084"/>
      <c r="AM270" s="1085">
        <f t="shared" si="137"/>
        <v>0</v>
      </c>
      <c r="AN270" s="1085">
        <f t="shared" si="144"/>
        <v>0</v>
      </c>
      <c r="AO270" s="1085"/>
      <c r="AP270" s="1085"/>
      <c r="AQ270" s="1085"/>
      <c r="AR270" s="1085"/>
      <c r="AS270" s="1085"/>
      <c r="AT270" s="1085"/>
      <c r="AU270" s="1085"/>
      <c r="AV270" s="1085"/>
      <c r="AW270" s="1085"/>
      <c r="AX270" s="1085"/>
      <c r="AY270" s="1085"/>
      <c r="AZ270" s="1085">
        <f t="shared" si="139"/>
        <v>0</v>
      </c>
      <c r="BA270" s="1085">
        <f t="shared" si="145"/>
        <v>0</v>
      </c>
      <c r="BB270" s="1085"/>
      <c r="BC270" s="1085"/>
      <c r="BD270" s="1085"/>
      <c r="BE270" s="1085"/>
      <c r="BF270" s="1085"/>
      <c r="BG270" s="1084">
        <f t="shared" si="141"/>
        <v>0</v>
      </c>
      <c r="BH270" s="1084">
        <f t="shared" si="142"/>
        <v>0</v>
      </c>
      <c r="BI270" s="1084"/>
      <c r="BJ270" s="1084"/>
      <c r="BK270" s="1084"/>
      <c r="BL270" s="1084"/>
      <c r="BM270" s="1084"/>
      <c r="BN270" s="1084"/>
      <c r="BO270" s="1086"/>
      <c r="BP270" s="1084"/>
      <c r="BQ270" s="1087"/>
      <c r="BR270" s="1084"/>
      <c r="BS270" s="1088"/>
      <c r="BT270" s="1089" t="s">
        <v>1759</v>
      </c>
      <c r="BU270" s="1090"/>
    </row>
    <row r="271" spans="1:73" ht="24" x14ac:dyDescent="0.25">
      <c r="A271" s="1094"/>
      <c r="B271" s="1095"/>
      <c r="C271" s="1096"/>
      <c r="D271" s="1097"/>
      <c r="E271" s="1082" t="s">
        <v>1735</v>
      </c>
      <c r="F271" s="1083">
        <f t="shared" si="131"/>
        <v>0</v>
      </c>
      <c r="G271" s="1083">
        <f t="shared" si="132"/>
        <v>13934</v>
      </c>
      <c r="H271" s="1084"/>
      <c r="I271" s="1084">
        <f t="shared" si="133"/>
        <v>13934</v>
      </c>
      <c r="J271" s="1084">
        <f t="shared" si="134"/>
        <v>13934</v>
      </c>
      <c r="K271" s="1084"/>
      <c r="L271" s="1084"/>
      <c r="M271" s="1084"/>
      <c r="N271" s="1084"/>
      <c r="O271" s="1084"/>
      <c r="P271" s="1084"/>
      <c r="Q271" s="1084"/>
      <c r="R271" s="1084"/>
      <c r="S271" s="1084"/>
      <c r="T271" s="1084"/>
      <c r="U271" s="1084"/>
      <c r="V271" s="1084"/>
      <c r="W271" s="1084"/>
      <c r="X271" s="1084">
        <v>13615</v>
      </c>
      <c r="Y271" s="1084"/>
      <c r="Z271" s="1084">
        <v>319</v>
      </c>
      <c r="AA271" s="1084"/>
      <c r="AB271" s="1084"/>
      <c r="AC271" s="1084"/>
      <c r="AD271" s="1084">
        <f t="shared" si="135"/>
        <v>0</v>
      </c>
      <c r="AE271" s="1084">
        <f t="shared" si="143"/>
        <v>0</v>
      </c>
      <c r="AF271" s="1084"/>
      <c r="AG271" s="1084"/>
      <c r="AH271" s="1084"/>
      <c r="AI271" s="1084"/>
      <c r="AJ271" s="1084"/>
      <c r="AK271" s="1084"/>
      <c r="AL271" s="1084"/>
      <c r="AM271" s="1085">
        <f t="shared" si="137"/>
        <v>0</v>
      </c>
      <c r="AN271" s="1085">
        <f t="shared" si="144"/>
        <v>0</v>
      </c>
      <c r="AO271" s="1085"/>
      <c r="AP271" s="1085"/>
      <c r="AQ271" s="1085"/>
      <c r="AR271" s="1085"/>
      <c r="AS271" s="1085"/>
      <c r="AT271" s="1085"/>
      <c r="AU271" s="1085"/>
      <c r="AV271" s="1085"/>
      <c r="AW271" s="1085"/>
      <c r="AX271" s="1085"/>
      <c r="AY271" s="1085"/>
      <c r="AZ271" s="1085">
        <f t="shared" si="139"/>
        <v>0</v>
      </c>
      <c r="BA271" s="1085">
        <f t="shared" si="145"/>
        <v>0</v>
      </c>
      <c r="BB271" s="1085"/>
      <c r="BC271" s="1085"/>
      <c r="BD271" s="1085"/>
      <c r="BE271" s="1085"/>
      <c r="BF271" s="1085"/>
      <c r="BG271" s="1084">
        <f t="shared" si="141"/>
        <v>0</v>
      </c>
      <c r="BH271" s="1084">
        <f t="shared" si="142"/>
        <v>0</v>
      </c>
      <c r="BI271" s="1084"/>
      <c r="BJ271" s="1084"/>
      <c r="BK271" s="1084"/>
      <c r="BL271" s="1084"/>
      <c r="BM271" s="1084"/>
      <c r="BN271" s="1084"/>
      <c r="BO271" s="1086"/>
      <c r="BP271" s="1084"/>
      <c r="BQ271" s="1087"/>
      <c r="BR271" s="1084"/>
      <c r="BS271" s="1088"/>
      <c r="BT271" s="1089" t="s">
        <v>1760</v>
      </c>
      <c r="BU271" s="1090"/>
    </row>
    <row r="272" spans="1:73" ht="24" x14ac:dyDescent="0.25">
      <c r="A272" s="1094"/>
      <c r="B272" s="1095"/>
      <c r="C272" s="1096"/>
      <c r="D272" s="1097"/>
      <c r="E272" s="1082" t="s">
        <v>1737</v>
      </c>
      <c r="F272" s="1083">
        <f t="shared" si="131"/>
        <v>0</v>
      </c>
      <c r="G272" s="1083">
        <f t="shared" si="132"/>
        <v>8153</v>
      </c>
      <c r="H272" s="1084"/>
      <c r="I272" s="1084">
        <f t="shared" si="133"/>
        <v>8153</v>
      </c>
      <c r="J272" s="1084">
        <f t="shared" si="134"/>
        <v>8153</v>
      </c>
      <c r="K272" s="1084"/>
      <c r="L272" s="1084"/>
      <c r="M272" s="1084"/>
      <c r="N272" s="1084"/>
      <c r="O272" s="1084"/>
      <c r="P272" s="1084"/>
      <c r="Q272" s="1084"/>
      <c r="R272" s="1084"/>
      <c r="S272" s="1084"/>
      <c r="T272" s="1084"/>
      <c r="U272" s="1084"/>
      <c r="V272" s="1084"/>
      <c r="W272" s="1084"/>
      <c r="X272" s="1084">
        <v>8153</v>
      </c>
      <c r="Y272" s="1084"/>
      <c r="Z272" s="1084"/>
      <c r="AA272" s="1084"/>
      <c r="AB272" s="1084"/>
      <c r="AC272" s="1084"/>
      <c r="AD272" s="1084">
        <f t="shared" si="135"/>
        <v>0</v>
      </c>
      <c r="AE272" s="1084">
        <f t="shared" si="143"/>
        <v>0</v>
      </c>
      <c r="AF272" s="1084"/>
      <c r="AG272" s="1084"/>
      <c r="AH272" s="1084"/>
      <c r="AI272" s="1084"/>
      <c r="AJ272" s="1084"/>
      <c r="AK272" s="1084"/>
      <c r="AL272" s="1084"/>
      <c r="AM272" s="1085">
        <f t="shared" si="137"/>
        <v>0</v>
      </c>
      <c r="AN272" s="1085">
        <f t="shared" si="144"/>
        <v>0</v>
      </c>
      <c r="AO272" s="1085"/>
      <c r="AP272" s="1085"/>
      <c r="AQ272" s="1085"/>
      <c r="AR272" s="1085"/>
      <c r="AS272" s="1085"/>
      <c r="AT272" s="1085"/>
      <c r="AU272" s="1085"/>
      <c r="AV272" s="1085"/>
      <c r="AW272" s="1085"/>
      <c r="AX272" s="1085"/>
      <c r="AY272" s="1085"/>
      <c r="AZ272" s="1085">
        <f t="shared" si="139"/>
        <v>0</v>
      </c>
      <c r="BA272" s="1085">
        <f t="shared" si="145"/>
        <v>0</v>
      </c>
      <c r="BB272" s="1085"/>
      <c r="BC272" s="1085"/>
      <c r="BD272" s="1085"/>
      <c r="BE272" s="1085"/>
      <c r="BF272" s="1085"/>
      <c r="BG272" s="1084">
        <f t="shared" si="141"/>
        <v>0</v>
      </c>
      <c r="BH272" s="1084">
        <f t="shared" si="142"/>
        <v>0</v>
      </c>
      <c r="BI272" s="1084"/>
      <c r="BJ272" s="1084"/>
      <c r="BK272" s="1084"/>
      <c r="BL272" s="1084"/>
      <c r="BM272" s="1084"/>
      <c r="BN272" s="1084"/>
      <c r="BO272" s="1086"/>
      <c r="BP272" s="1084"/>
      <c r="BQ272" s="1087"/>
      <c r="BR272" s="1084"/>
      <c r="BS272" s="1088"/>
      <c r="BT272" s="1089" t="s">
        <v>1761</v>
      </c>
      <c r="BU272" s="1090"/>
    </row>
    <row r="273" spans="1:73" ht="48" x14ac:dyDescent="0.25">
      <c r="A273" s="1094"/>
      <c r="B273" s="1095"/>
      <c r="C273" s="1096"/>
      <c r="D273" s="1097"/>
      <c r="E273" s="1082" t="s">
        <v>1739</v>
      </c>
      <c r="F273" s="1083">
        <f t="shared" si="131"/>
        <v>0</v>
      </c>
      <c r="G273" s="1083">
        <f t="shared" si="132"/>
        <v>52725</v>
      </c>
      <c r="H273" s="1084"/>
      <c r="I273" s="1084">
        <f t="shared" si="133"/>
        <v>52725</v>
      </c>
      <c r="J273" s="1084">
        <f t="shared" si="134"/>
        <v>52725</v>
      </c>
      <c r="K273" s="1084"/>
      <c r="L273" s="1084"/>
      <c r="M273" s="1084"/>
      <c r="N273" s="1084"/>
      <c r="O273" s="1084"/>
      <c r="P273" s="1084"/>
      <c r="Q273" s="1084"/>
      <c r="R273" s="1084"/>
      <c r="S273" s="1084"/>
      <c r="T273" s="1084"/>
      <c r="U273" s="1084"/>
      <c r="V273" s="1084"/>
      <c r="W273" s="1084"/>
      <c r="X273" s="1084">
        <v>52725</v>
      </c>
      <c r="Y273" s="1084"/>
      <c r="Z273" s="1084"/>
      <c r="AA273" s="1084"/>
      <c r="AB273" s="1084"/>
      <c r="AC273" s="1084"/>
      <c r="AD273" s="1084">
        <f t="shared" si="135"/>
        <v>0</v>
      </c>
      <c r="AE273" s="1084">
        <f t="shared" si="143"/>
        <v>0</v>
      </c>
      <c r="AF273" s="1084"/>
      <c r="AG273" s="1084"/>
      <c r="AH273" s="1084"/>
      <c r="AI273" s="1084"/>
      <c r="AJ273" s="1084"/>
      <c r="AK273" s="1084"/>
      <c r="AL273" s="1084"/>
      <c r="AM273" s="1085">
        <f t="shared" si="137"/>
        <v>0</v>
      </c>
      <c r="AN273" s="1085">
        <f t="shared" si="144"/>
        <v>0</v>
      </c>
      <c r="AO273" s="1085"/>
      <c r="AP273" s="1085"/>
      <c r="AQ273" s="1085"/>
      <c r="AR273" s="1085"/>
      <c r="AS273" s="1085"/>
      <c r="AT273" s="1085"/>
      <c r="AU273" s="1085"/>
      <c r="AV273" s="1085"/>
      <c r="AW273" s="1085"/>
      <c r="AX273" s="1085"/>
      <c r="AY273" s="1085"/>
      <c r="AZ273" s="1085">
        <f t="shared" si="139"/>
        <v>0</v>
      </c>
      <c r="BA273" s="1085">
        <f t="shared" si="145"/>
        <v>0</v>
      </c>
      <c r="BB273" s="1085"/>
      <c r="BC273" s="1085"/>
      <c r="BD273" s="1085"/>
      <c r="BE273" s="1085"/>
      <c r="BF273" s="1085"/>
      <c r="BG273" s="1084">
        <f t="shared" si="141"/>
        <v>0</v>
      </c>
      <c r="BH273" s="1084">
        <f t="shared" si="142"/>
        <v>0</v>
      </c>
      <c r="BI273" s="1084"/>
      <c r="BJ273" s="1084"/>
      <c r="BK273" s="1084"/>
      <c r="BL273" s="1084"/>
      <c r="BM273" s="1084"/>
      <c r="BN273" s="1084"/>
      <c r="BO273" s="1086"/>
      <c r="BP273" s="1084"/>
      <c r="BQ273" s="1087"/>
      <c r="BR273" s="1084"/>
      <c r="BS273" s="1088"/>
      <c r="BT273" s="1089" t="s">
        <v>1762</v>
      </c>
      <c r="BU273" s="1090"/>
    </row>
    <row r="274" spans="1:73" ht="24" x14ac:dyDescent="0.25">
      <c r="A274" s="1094"/>
      <c r="B274" s="1095"/>
      <c r="C274" s="1096"/>
      <c r="D274" s="1097"/>
      <c r="E274" s="1082" t="s">
        <v>1741</v>
      </c>
      <c r="F274" s="1083">
        <f t="shared" si="131"/>
        <v>0</v>
      </c>
      <c r="G274" s="1083">
        <f t="shared" si="132"/>
        <v>19198</v>
      </c>
      <c r="H274" s="1084"/>
      <c r="I274" s="1084">
        <f t="shared" si="133"/>
        <v>19198</v>
      </c>
      <c r="J274" s="1084">
        <f t="shared" si="134"/>
        <v>19198</v>
      </c>
      <c r="K274" s="1084"/>
      <c r="L274" s="1084"/>
      <c r="M274" s="1084"/>
      <c r="N274" s="1084"/>
      <c r="O274" s="1084"/>
      <c r="P274" s="1084"/>
      <c r="Q274" s="1084"/>
      <c r="R274" s="1084"/>
      <c r="S274" s="1084"/>
      <c r="T274" s="1084"/>
      <c r="U274" s="1084"/>
      <c r="V274" s="1084"/>
      <c r="W274" s="1084"/>
      <c r="X274" s="1084">
        <v>17430</v>
      </c>
      <c r="Y274" s="1084"/>
      <c r="Z274" s="1084">
        <v>1768</v>
      </c>
      <c r="AA274" s="1084"/>
      <c r="AB274" s="1084"/>
      <c r="AC274" s="1084"/>
      <c r="AD274" s="1084">
        <f t="shared" si="135"/>
        <v>0</v>
      </c>
      <c r="AE274" s="1084">
        <f t="shared" si="143"/>
        <v>0</v>
      </c>
      <c r="AF274" s="1084"/>
      <c r="AG274" s="1084"/>
      <c r="AH274" s="1084"/>
      <c r="AI274" s="1084"/>
      <c r="AJ274" s="1084"/>
      <c r="AK274" s="1084"/>
      <c r="AL274" s="1084"/>
      <c r="AM274" s="1085">
        <f t="shared" si="137"/>
        <v>0</v>
      </c>
      <c r="AN274" s="1085">
        <f t="shared" si="144"/>
        <v>0</v>
      </c>
      <c r="AO274" s="1085"/>
      <c r="AP274" s="1085"/>
      <c r="AQ274" s="1085"/>
      <c r="AR274" s="1085"/>
      <c r="AS274" s="1085"/>
      <c r="AT274" s="1085"/>
      <c r="AU274" s="1085"/>
      <c r="AV274" s="1085"/>
      <c r="AW274" s="1085"/>
      <c r="AX274" s="1085"/>
      <c r="AY274" s="1085"/>
      <c r="AZ274" s="1085">
        <f t="shared" si="139"/>
        <v>0</v>
      </c>
      <c r="BA274" s="1085">
        <f t="shared" si="145"/>
        <v>0</v>
      </c>
      <c r="BB274" s="1085"/>
      <c r="BC274" s="1085"/>
      <c r="BD274" s="1085"/>
      <c r="BE274" s="1085"/>
      <c r="BF274" s="1085"/>
      <c r="BG274" s="1084">
        <f t="shared" si="141"/>
        <v>0</v>
      </c>
      <c r="BH274" s="1084">
        <f t="shared" si="142"/>
        <v>0</v>
      </c>
      <c r="BI274" s="1084"/>
      <c r="BJ274" s="1084"/>
      <c r="BK274" s="1084"/>
      <c r="BL274" s="1084"/>
      <c r="BM274" s="1084"/>
      <c r="BN274" s="1084"/>
      <c r="BO274" s="1086"/>
      <c r="BP274" s="1084"/>
      <c r="BQ274" s="1087"/>
      <c r="BR274" s="1084"/>
      <c r="BS274" s="1088"/>
      <c r="BT274" s="1089" t="s">
        <v>1763</v>
      </c>
      <c r="BU274" s="1090"/>
    </row>
    <row r="275" spans="1:73" ht="12.75" thickBot="1" x14ac:dyDescent="0.3">
      <c r="A275" s="1108"/>
      <c r="C275" s="1547"/>
      <c r="D275" s="1548"/>
      <c r="E275" s="1119"/>
      <c r="F275" s="1101"/>
      <c r="G275" s="1101"/>
      <c r="H275" s="1102"/>
      <c r="I275" s="1102"/>
      <c r="J275" s="1102"/>
      <c r="K275" s="1102"/>
      <c r="L275" s="1102"/>
      <c r="M275" s="1102"/>
      <c r="N275" s="1102"/>
      <c r="O275" s="1102"/>
      <c r="P275" s="1102"/>
      <c r="Q275" s="1102"/>
      <c r="R275" s="1102"/>
      <c r="S275" s="1102"/>
      <c r="T275" s="1102"/>
      <c r="U275" s="1102"/>
      <c r="V275" s="1102"/>
      <c r="W275" s="1102"/>
      <c r="X275" s="1102"/>
      <c r="Y275" s="1102"/>
      <c r="Z275" s="1102"/>
      <c r="AA275" s="1102"/>
      <c r="AB275" s="1102"/>
      <c r="AC275" s="1102"/>
      <c r="AD275" s="1102"/>
      <c r="AE275" s="1102"/>
      <c r="AF275" s="1102"/>
      <c r="AG275" s="1102"/>
      <c r="AH275" s="1102"/>
      <c r="AI275" s="1102"/>
      <c r="AJ275" s="1102"/>
      <c r="AK275" s="1102"/>
      <c r="AL275" s="1102"/>
      <c r="AM275" s="1103"/>
      <c r="AN275" s="1103"/>
      <c r="AO275" s="1103"/>
      <c r="AP275" s="1103"/>
      <c r="AQ275" s="1103"/>
      <c r="AR275" s="1103"/>
      <c r="AS275" s="1103"/>
      <c r="AT275" s="1103"/>
      <c r="AU275" s="1103"/>
      <c r="AV275" s="1103"/>
      <c r="AW275" s="1103"/>
      <c r="AX275" s="1103"/>
      <c r="AY275" s="1103"/>
      <c r="AZ275" s="1103"/>
      <c r="BA275" s="1103"/>
      <c r="BB275" s="1103"/>
      <c r="BC275" s="1103"/>
      <c r="BD275" s="1103"/>
      <c r="BE275" s="1103"/>
      <c r="BF275" s="1103"/>
      <c r="BG275" s="1102"/>
      <c r="BH275" s="1102"/>
      <c r="BI275" s="1102"/>
      <c r="BJ275" s="1102"/>
      <c r="BK275" s="1102"/>
      <c r="BL275" s="1102"/>
      <c r="BM275" s="1102"/>
      <c r="BN275" s="1102"/>
      <c r="BO275" s="1104"/>
      <c r="BP275" s="1102"/>
      <c r="BQ275" s="1105"/>
      <c r="BR275" s="1102"/>
      <c r="BS275" s="1106"/>
      <c r="BT275" s="1120"/>
      <c r="BU275" s="1099"/>
    </row>
    <row r="276" spans="1:73" ht="13.5" thickTop="1" thickBot="1" x14ac:dyDescent="0.3">
      <c r="A276" s="1183"/>
      <c r="B276" s="1549" t="s">
        <v>1764</v>
      </c>
      <c r="C276" s="1549"/>
      <c r="D276" s="1550"/>
      <c r="E276" s="1184"/>
      <c r="F276" s="1185">
        <f t="shared" ref="F276:G276" si="146">SUM(F277)</f>
        <v>331658</v>
      </c>
      <c r="G276" s="1185">
        <f t="shared" si="146"/>
        <v>604491</v>
      </c>
      <c r="H276" s="1185">
        <f>SUM(H277)</f>
        <v>646370</v>
      </c>
      <c r="I276" s="1185">
        <f t="shared" ref="I276:BS276" si="147">SUM(I277)</f>
        <v>658962</v>
      </c>
      <c r="J276" s="1185">
        <f t="shared" si="147"/>
        <v>12592</v>
      </c>
      <c r="K276" s="1185">
        <f t="shared" si="147"/>
        <v>-257566</v>
      </c>
      <c r="L276" s="1185">
        <f t="shared" si="147"/>
        <v>0</v>
      </c>
      <c r="M276" s="1185">
        <f t="shared" si="147"/>
        <v>-141452</v>
      </c>
      <c r="N276" s="1185">
        <f t="shared" si="147"/>
        <v>6938</v>
      </c>
      <c r="O276" s="1185">
        <f t="shared" si="147"/>
        <v>4740</v>
      </c>
      <c r="P276" s="1185">
        <f t="shared" si="147"/>
        <v>-2920</v>
      </c>
      <c r="Q276" s="1185">
        <f t="shared" si="147"/>
        <v>61300</v>
      </c>
      <c r="R276" s="1185">
        <f t="shared" si="147"/>
        <v>0</v>
      </c>
      <c r="S276" s="1185">
        <f t="shared" si="147"/>
        <v>21079</v>
      </c>
      <c r="T276" s="1185">
        <f t="shared" si="147"/>
        <v>0</v>
      </c>
      <c r="U276" s="1185">
        <f t="shared" si="147"/>
        <v>0</v>
      </c>
      <c r="V276" s="1185">
        <f t="shared" si="147"/>
        <v>2</v>
      </c>
      <c r="W276" s="1185">
        <f t="shared" si="147"/>
        <v>0</v>
      </c>
      <c r="X276" s="1185">
        <f t="shared" si="147"/>
        <v>10166</v>
      </c>
      <c r="Y276" s="1185">
        <f t="shared" si="147"/>
        <v>0</v>
      </c>
      <c r="Z276" s="1185">
        <f t="shared" si="147"/>
        <v>310306</v>
      </c>
      <c r="AA276" s="1185">
        <f t="shared" si="147"/>
        <v>-1</v>
      </c>
      <c r="AB276" s="1185">
        <f t="shared" si="147"/>
        <v>0</v>
      </c>
      <c r="AC276" s="1185">
        <f t="shared" si="147"/>
        <v>0</v>
      </c>
      <c r="AD276" s="1185">
        <f t="shared" si="147"/>
        <v>0</v>
      </c>
      <c r="AE276" s="1185">
        <f t="shared" si="147"/>
        <v>0</v>
      </c>
      <c r="AF276" s="1185">
        <f t="shared" si="147"/>
        <v>140039</v>
      </c>
      <c r="AG276" s="1185">
        <f t="shared" si="147"/>
        <v>-74797</v>
      </c>
      <c r="AH276" s="1185">
        <f t="shared" si="147"/>
        <v>0</v>
      </c>
      <c r="AI276" s="1185">
        <f t="shared" si="147"/>
        <v>-65242</v>
      </c>
      <c r="AJ276" s="1185">
        <f t="shared" si="147"/>
        <v>0</v>
      </c>
      <c r="AK276" s="1185">
        <f t="shared" si="147"/>
        <v>0</v>
      </c>
      <c r="AL276" s="1185">
        <f t="shared" si="147"/>
        <v>67330</v>
      </c>
      <c r="AM276" s="1185">
        <f t="shared" si="147"/>
        <v>3879</v>
      </c>
      <c r="AN276" s="1185">
        <f t="shared" si="147"/>
        <v>-63451</v>
      </c>
      <c r="AO276" s="1185">
        <f t="shared" si="147"/>
        <v>-3126</v>
      </c>
      <c r="AP276" s="1185">
        <f t="shared" si="147"/>
        <v>-4171</v>
      </c>
      <c r="AQ276" s="1185">
        <f t="shared" si="147"/>
        <v>-9342</v>
      </c>
      <c r="AR276" s="1185">
        <f t="shared" si="147"/>
        <v>-5269</v>
      </c>
      <c r="AS276" s="1185">
        <f t="shared" si="147"/>
        <v>-20528</v>
      </c>
      <c r="AT276" s="1185">
        <f t="shared" si="147"/>
        <v>0</v>
      </c>
      <c r="AU276" s="1185">
        <f t="shared" si="147"/>
        <v>-18601</v>
      </c>
      <c r="AV276" s="1185">
        <f t="shared" si="147"/>
        <v>-2414</v>
      </c>
      <c r="AW276" s="1185">
        <f t="shared" si="147"/>
        <v>0</v>
      </c>
      <c r="AX276" s="1186">
        <f t="shared" si="147"/>
        <v>0</v>
      </c>
      <c r="AY276" s="1186">
        <f t="shared" si="147"/>
        <v>229</v>
      </c>
      <c r="AZ276" s="1186">
        <f t="shared" si="147"/>
        <v>0</v>
      </c>
      <c r="BA276" s="1186">
        <f t="shared" si="147"/>
        <v>-229</v>
      </c>
      <c r="BB276" s="1186">
        <f t="shared" si="147"/>
        <v>-229</v>
      </c>
      <c r="BC276" s="1186">
        <f t="shared" si="147"/>
        <v>0</v>
      </c>
      <c r="BD276" s="1186">
        <f t="shared" si="147"/>
        <v>0</v>
      </c>
      <c r="BE276" s="1186">
        <f t="shared" si="147"/>
        <v>0</v>
      </c>
      <c r="BF276" s="1186">
        <f t="shared" si="147"/>
        <v>-382271</v>
      </c>
      <c r="BG276" s="1186">
        <f t="shared" si="147"/>
        <v>-58350</v>
      </c>
      <c r="BH276" s="1186">
        <f t="shared" si="147"/>
        <v>323921</v>
      </c>
      <c r="BI276" s="1186">
        <f t="shared" si="147"/>
        <v>356697</v>
      </c>
      <c r="BJ276" s="1186">
        <f t="shared" si="147"/>
        <v>-936</v>
      </c>
      <c r="BK276" s="1186">
        <f t="shared" si="147"/>
        <v>-3416</v>
      </c>
      <c r="BL276" s="1186">
        <f t="shared" si="147"/>
        <v>111</v>
      </c>
      <c r="BM276" s="1186">
        <f t="shared" si="147"/>
        <v>-28047</v>
      </c>
      <c r="BN276" s="1186">
        <f t="shared" si="147"/>
        <v>0</v>
      </c>
      <c r="BO276" s="1186">
        <f t="shared" si="147"/>
        <v>-1</v>
      </c>
      <c r="BP276" s="1185">
        <f t="shared" si="147"/>
        <v>-576</v>
      </c>
      <c r="BQ276" s="1187">
        <f t="shared" si="147"/>
        <v>89</v>
      </c>
      <c r="BR276" s="1185">
        <f t="shared" si="147"/>
        <v>0</v>
      </c>
      <c r="BS276" s="1188">
        <f t="shared" si="147"/>
        <v>0</v>
      </c>
      <c r="BT276" s="1189"/>
      <c r="BU276" s="1190"/>
    </row>
    <row r="277" spans="1:73" ht="14.25" thickTop="1" thickBot="1" x14ac:dyDescent="0.3">
      <c r="A277" s="1191"/>
      <c r="B277" s="1192"/>
      <c r="C277" s="1551" t="s">
        <v>1765</v>
      </c>
      <c r="D277" s="1552"/>
      <c r="E277" s="1193"/>
      <c r="F277" s="1194">
        <f>H277+AC277+AL277+AX277+AY277+BF277</f>
        <v>331658</v>
      </c>
      <c r="G277" s="1194">
        <f>I277+AD277+AM277+AX277+AZ277+BG277</f>
        <v>604491</v>
      </c>
      <c r="H277" s="1195">
        <f>12708+382271+350000-150000-609+102000-50000</f>
        <v>646370</v>
      </c>
      <c r="I277" s="1195">
        <f>H277+J277</f>
        <v>658962</v>
      </c>
      <c r="J277" s="1195">
        <f>SUM(K277:AB277)</f>
        <v>12592</v>
      </c>
      <c r="K277" s="1195">
        <f>800-354901-1796+23+5711+16629+72294+5470-1796</f>
        <v>-257566</v>
      </c>
      <c r="L277" s="1195"/>
      <c r="M277" s="1195">
        <f>1+835+3281+936+2828+2170+101+101-87127-64578</f>
        <v>-141452</v>
      </c>
      <c r="N277" s="1195">
        <f>700+5538+700</f>
        <v>6938</v>
      </c>
      <c r="O277" s="1195">
        <f>2716+2716-692</f>
        <v>4740</v>
      </c>
      <c r="P277" s="1195">
        <f>-1011-3709+900+900</f>
        <v>-2920</v>
      </c>
      <c r="Q277" s="1195">
        <f>14260+14260+5206+13787+13787</f>
        <v>61300</v>
      </c>
      <c r="R277" s="1195"/>
      <c r="S277" s="1195">
        <v>21079</v>
      </c>
      <c r="T277" s="1195"/>
      <c r="U277" s="1195"/>
      <c r="V277" s="1195">
        <f>1+1+12954-12954</f>
        <v>2</v>
      </c>
      <c r="W277" s="1195"/>
      <c r="X277" s="1195">
        <f>9089+539-1+539</f>
        <v>10166</v>
      </c>
      <c r="Y277" s="1195"/>
      <c r="Z277" s="1195">
        <f>-21733+344888-13323+3474-3000</f>
        <v>310306</v>
      </c>
      <c r="AA277" s="1195">
        <v>-1</v>
      </c>
      <c r="AB277" s="1195"/>
      <c r="AC277" s="1195"/>
      <c r="AD277" s="1195">
        <f t="shared" ref="AD277" si="148">AC277+AE277</f>
        <v>0</v>
      </c>
      <c r="AE277" s="1195">
        <f t="shared" ref="AE277" si="149">SUM(AF277:AK277)</f>
        <v>0</v>
      </c>
      <c r="AF277" s="1195">
        <f>65958+15649+5297+13916+38248+5+609+357+5470-5470</f>
        <v>140039</v>
      </c>
      <c r="AG277" s="1195">
        <f>-38249-5-609-1-13916-13148-5233-3279-357</f>
        <v>-74797</v>
      </c>
      <c r="AH277" s="1195"/>
      <c r="AI277" s="1195">
        <v>-65242</v>
      </c>
      <c r="AJ277" s="1195"/>
      <c r="AK277" s="1195"/>
      <c r="AL277" s="1195">
        <v>67330</v>
      </c>
      <c r="AM277" s="1196">
        <f t="shared" ref="AM277" si="150">AN277+AL277</f>
        <v>3879</v>
      </c>
      <c r="AN277" s="1196">
        <f t="shared" ref="AN277" si="151">SUM(AO277:AW277)</f>
        <v>-63451</v>
      </c>
      <c r="AO277" s="1196">
        <f>-3211+110-25</f>
        <v>-3126</v>
      </c>
      <c r="AP277" s="1196">
        <v>-4171</v>
      </c>
      <c r="AQ277" s="1196">
        <v>-9342</v>
      </c>
      <c r="AR277" s="1196">
        <v>-5269</v>
      </c>
      <c r="AS277" s="1196">
        <f>-19114-900-514</f>
        <v>-20528</v>
      </c>
      <c r="AT277" s="1196"/>
      <c r="AU277" s="1196">
        <f>-18638+37</f>
        <v>-18601</v>
      </c>
      <c r="AV277" s="1196">
        <f>-89-2325</f>
        <v>-2414</v>
      </c>
      <c r="AW277" s="1196"/>
      <c r="AX277" s="1196"/>
      <c r="AY277" s="1196">
        <f>179+50</f>
        <v>229</v>
      </c>
      <c r="AZ277" s="1196">
        <f t="shared" ref="AZ277" si="152">BA277+AY277</f>
        <v>0</v>
      </c>
      <c r="BA277" s="1196">
        <f t="shared" ref="BA277" si="153">SUM(BB277:BE277)</f>
        <v>-229</v>
      </c>
      <c r="BB277" s="1196">
        <f>-50-179</f>
        <v>-229</v>
      </c>
      <c r="BC277" s="1196"/>
      <c r="BD277" s="1196"/>
      <c r="BE277" s="1196"/>
      <c r="BF277" s="1196">
        <f>-295-199-372-443-432-380530</f>
        <v>-382271</v>
      </c>
      <c r="BG277" s="1195">
        <f t="shared" ref="BG277" si="154">BH277+BF277</f>
        <v>-58350</v>
      </c>
      <c r="BH277" s="1195">
        <f>SUM(BI277:BS277)</f>
        <v>323921</v>
      </c>
      <c r="BI277" s="1195">
        <f>354901+1796</f>
        <v>356697</v>
      </c>
      <c r="BJ277" s="1195">
        <f>-835-101</f>
        <v>-936</v>
      </c>
      <c r="BK277" s="1195">
        <f>-700-2716</f>
        <v>-3416</v>
      </c>
      <c r="BL277" s="1195">
        <f>1811-800-900</f>
        <v>111</v>
      </c>
      <c r="BM277" s="1195">
        <f>-14260-13787</f>
        <v>-28047</v>
      </c>
      <c r="BN277" s="1195"/>
      <c r="BO277" s="1197">
        <v>-1</v>
      </c>
      <c r="BP277" s="1195">
        <f>-539-37</f>
        <v>-576</v>
      </c>
      <c r="BQ277" s="1198">
        <v>89</v>
      </c>
      <c r="BR277" s="1195"/>
      <c r="BS277" s="1199"/>
      <c r="BT277" s="1200"/>
      <c r="BU277" s="1190"/>
    </row>
    <row r="278" spans="1:73" ht="27" customHeight="1" thickTop="1" thickBot="1" x14ac:dyDescent="0.3">
      <c r="A278" s="1183"/>
      <c r="B278" s="1549" t="s">
        <v>1766</v>
      </c>
      <c r="C278" s="1549"/>
      <c r="D278" s="1550"/>
      <c r="E278" s="1184"/>
      <c r="F278" s="1201">
        <f>H278+AC278+AL278+AX278+AY278+BF278</f>
        <v>94211245.799999997</v>
      </c>
      <c r="G278" s="1201">
        <f>I278+AD278+AM278+AX278+AZ278+BG278</f>
        <v>86613585.799999997</v>
      </c>
      <c r="H278" s="1185">
        <f t="shared" ref="H278:AW278" si="155">H13+H27+H35-SUM(H63:H65)+H68+H81-H91+H95+H105-SUM(H140:H142)+H145-SUM(H231:H234)+H237-SUM(H263:H264)-H79</f>
        <v>83731147.799999997</v>
      </c>
      <c r="I278" s="1185">
        <f t="shared" si="155"/>
        <v>75555507.799999997</v>
      </c>
      <c r="J278" s="1185">
        <f t="shared" si="155"/>
        <v>-8175640</v>
      </c>
      <c r="K278" s="1185">
        <f t="shared" si="155"/>
        <v>-377195</v>
      </c>
      <c r="L278" s="1185">
        <f t="shared" si="155"/>
        <v>0</v>
      </c>
      <c r="M278" s="1185">
        <f t="shared" si="155"/>
        <v>-12756</v>
      </c>
      <c r="N278" s="1185">
        <f t="shared" si="155"/>
        <v>9128</v>
      </c>
      <c r="O278" s="1185">
        <f t="shared" si="155"/>
        <v>16952</v>
      </c>
      <c r="P278" s="1185">
        <f t="shared" si="155"/>
        <v>2426</v>
      </c>
      <c r="Q278" s="1185">
        <f t="shared" si="155"/>
        <v>2374</v>
      </c>
      <c r="R278" s="1185">
        <f t="shared" si="155"/>
        <v>0</v>
      </c>
      <c r="S278" s="1185">
        <f t="shared" si="155"/>
        <v>-21079</v>
      </c>
      <c r="T278" s="1185">
        <f t="shared" si="155"/>
        <v>2834</v>
      </c>
      <c r="U278" s="1185">
        <f t="shared" si="155"/>
        <v>0</v>
      </c>
      <c r="V278" s="1185">
        <f t="shared" ref="V278:AA278" si="156">V13+V27+V35-SUM(V63:V65)+V68+V81-V91+V95+V105-SUM(V140:V142)+V145-SUM(V231:V234)+V237-SUM(V263:V264)-V79</f>
        <v>29301</v>
      </c>
      <c r="W278" s="1185">
        <f t="shared" ref="W278" si="157">W13+W27+W35-SUM(W63:W65)+W68+W81-W91+W95+W105-SUM(W140:W142)+W145-SUM(W231:W234)+W237-SUM(W263:W264)-W79</f>
        <v>9544</v>
      </c>
      <c r="X278" s="1185">
        <f t="shared" si="156"/>
        <v>6202</v>
      </c>
      <c r="Y278" s="1185">
        <f t="shared" ref="Y278:Z278" si="158">Y13+Y27+Y35-SUM(Y63:Y65)+Y68+Y81-Y91+Y95+Y105-SUM(Y140:Y142)+Y145-SUM(Y231:Y234)+Y237-SUM(Y263:Y264)-Y79</f>
        <v>0</v>
      </c>
      <c r="Z278" s="1185">
        <f t="shared" si="158"/>
        <v>-7843372</v>
      </c>
      <c r="AA278" s="1185">
        <f t="shared" si="156"/>
        <v>1</v>
      </c>
      <c r="AB278" s="1185">
        <f t="shared" si="155"/>
        <v>0</v>
      </c>
      <c r="AC278" s="1185">
        <f t="shared" si="155"/>
        <v>10074323</v>
      </c>
      <c r="AD278" s="1185">
        <f t="shared" si="155"/>
        <v>10665672</v>
      </c>
      <c r="AE278" s="1185">
        <f t="shared" si="155"/>
        <v>591349</v>
      </c>
      <c r="AF278" s="1185">
        <f t="shared" si="155"/>
        <v>66245</v>
      </c>
      <c r="AG278" s="1185">
        <f t="shared" si="155"/>
        <v>162443</v>
      </c>
      <c r="AH278" s="1185">
        <f t="shared" si="155"/>
        <v>0</v>
      </c>
      <c r="AI278" s="1185">
        <f t="shared" si="155"/>
        <v>362661</v>
      </c>
      <c r="AJ278" s="1185">
        <f t="shared" si="155"/>
        <v>0</v>
      </c>
      <c r="AK278" s="1185">
        <f t="shared" si="155"/>
        <v>0</v>
      </c>
      <c r="AL278" s="1185">
        <f t="shared" si="155"/>
        <v>1817290</v>
      </c>
      <c r="AM278" s="1185">
        <f>AM13+AM27+AM35-SUM(AM63:AM65)+AM68+AM81-AM91+AM95+AM105-SUM(AM140:AM142)+AM145-SUM(AM231:AM234)+AM237-SUM(AM263:AM264)-AM79</f>
        <v>2030820</v>
      </c>
      <c r="AN278" s="1185">
        <f t="shared" si="155"/>
        <v>213530</v>
      </c>
      <c r="AO278" s="1185">
        <f t="shared" si="155"/>
        <v>81182</v>
      </c>
      <c r="AP278" s="1185">
        <f t="shared" si="155"/>
        <v>21361</v>
      </c>
      <c r="AQ278" s="1185">
        <f t="shared" si="155"/>
        <v>40869</v>
      </c>
      <c r="AR278" s="1185">
        <f t="shared" si="155"/>
        <v>19583</v>
      </c>
      <c r="AS278" s="1185">
        <f t="shared" si="155"/>
        <v>21266</v>
      </c>
      <c r="AT278" s="1185">
        <f t="shared" ref="AT278:AV278" si="159">AT13+AT27+AT35-SUM(AT63:AT65)+AT68+AT81-AT91+AT95+AT105-SUM(AT140:AT142)+AT145-SUM(AT231:AT234)+AT237-SUM(AT263:AT264)-AT79</f>
        <v>500</v>
      </c>
      <c r="AU278" s="1185">
        <f t="shared" si="159"/>
        <v>22206</v>
      </c>
      <c r="AV278" s="1185">
        <f t="shared" si="159"/>
        <v>6563</v>
      </c>
      <c r="AW278" s="1185">
        <f t="shared" si="155"/>
        <v>0</v>
      </c>
      <c r="AX278" s="1185">
        <f>AX13+AX27+AX35-SUM(AX63:AX65)+AX68+AX81-SUM(AX91:AX93)+AX95+AX105-SUM(AX140:AX143)+AX145-SUM(AX231:AX235)+AX237-SUM(AX263:AX264)-AX79</f>
        <v>0</v>
      </c>
      <c r="AY278" s="1186">
        <f t="shared" ref="AY278:BS278" si="160">AY13+AY27+AY35-SUM(AY63:AY65)+AY68+AY81-AY91+AY95+AY105-SUM(AY140:AY142)+AY145-SUM(AY231:AY234)+AY237-SUM(AY263:AY264)-AY79</f>
        <v>12654</v>
      </c>
      <c r="AZ278" s="1186">
        <f t="shared" si="160"/>
        <v>16132</v>
      </c>
      <c r="BA278" s="1186">
        <f t="shared" si="160"/>
        <v>3478</v>
      </c>
      <c r="BB278" s="1186">
        <f t="shared" si="160"/>
        <v>2634</v>
      </c>
      <c r="BC278" s="1186">
        <f t="shared" si="160"/>
        <v>844</v>
      </c>
      <c r="BD278" s="1186">
        <f t="shared" ref="BD278" si="161">BD13+BD27+BD35-SUM(BD63:BD65)+BD68+BD81-BD91+BD95+BD105-SUM(BD140:BD142)+BD145-SUM(BD231:BD234)+BD237-SUM(BD263:BD264)-BD79</f>
        <v>0</v>
      </c>
      <c r="BE278" s="1186">
        <f t="shared" si="160"/>
        <v>0</v>
      </c>
      <c r="BF278" s="1186">
        <f t="shared" si="160"/>
        <v>-1424169</v>
      </c>
      <c r="BG278" s="1186">
        <f t="shared" si="160"/>
        <v>-1654546</v>
      </c>
      <c r="BH278" s="1186">
        <f t="shared" si="160"/>
        <v>-230377</v>
      </c>
      <c r="BI278" s="1186">
        <f t="shared" si="160"/>
        <v>-204975</v>
      </c>
      <c r="BJ278" s="1186">
        <f t="shared" si="160"/>
        <v>0</v>
      </c>
      <c r="BK278" s="1186">
        <f t="shared" si="160"/>
        <v>-24765</v>
      </c>
      <c r="BL278" s="1186">
        <f t="shared" si="160"/>
        <v>2698</v>
      </c>
      <c r="BM278" s="1186">
        <f t="shared" si="160"/>
        <v>-1664</v>
      </c>
      <c r="BN278" s="1186">
        <f t="shared" si="160"/>
        <v>-738</v>
      </c>
      <c r="BO278" s="1186">
        <f t="shared" ref="BO278:BR278" si="162">BO13+BO27+BO35-SUM(BO63:BO65)+BO68+BO81-BO91+BO95+BO105-SUM(BO140:BO142)+BO145-SUM(BO231:BO234)+BO237-SUM(BO263:BO264)-BO79</f>
        <v>0</v>
      </c>
      <c r="BP278" s="1185">
        <f t="shared" si="162"/>
        <v>-844</v>
      </c>
      <c r="BQ278" s="1187">
        <f t="shared" si="162"/>
        <v>-89</v>
      </c>
      <c r="BR278" s="1185">
        <f t="shared" si="162"/>
        <v>0</v>
      </c>
      <c r="BS278" s="1188">
        <f t="shared" si="160"/>
        <v>0</v>
      </c>
      <c r="BT278" s="1189"/>
      <c r="BU278" s="1202"/>
    </row>
    <row r="279" spans="1:73" ht="13.5" thickTop="1" thickBot="1" x14ac:dyDescent="0.3">
      <c r="A279" s="1183"/>
      <c r="B279" s="1549" t="s">
        <v>1767</v>
      </c>
      <c r="C279" s="1549"/>
      <c r="D279" s="1550"/>
      <c r="E279" s="1074"/>
      <c r="F279" s="1203">
        <f>H279+AC279+AL279+AX279+AY279+BF279</f>
        <v>100728562.8</v>
      </c>
      <c r="G279" s="1203">
        <f>I279+AD279+AM279+AX279+AZ279+BG279</f>
        <v>93403735.799999997</v>
      </c>
      <c r="H279" s="1075">
        <f t="shared" ref="H279:BS279" si="163">SUM(H13,H27,H35,H68,H81,H95,H105,H145,H237,H276)</f>
        <v>84377517.799999997</v>
      </c>
      <c r="I279" s="1075">
        <f t="shared" si="163"/>
        <v>76214469.799999997</v>
      </c>
      <c r="J279" s="1075">
        <f t="shared" si="163"/>
        <v>-8163048</v>
      </c>
      <c r="K279" s="1075">
        <f t="shared" si="163"/>
        <v>-634761</v>
      </c>
      <c r="L279" s="1075">
        <f t="shared" si="163"/>
        <v>0</v>
      </c>
      <c r="M279" s="1075">
        <f t="shared" si="163"/>
        <v>-154208</v>
      </c>
      <c r="N279" s="1075">
        <f t="shared" si="163"/>
        <v>16066</v>
      </c>
      <c r="O279" s="1075">
        <f t="shared" si="163"/>
        <v>21692</v>
      </c>
      <c r="P279" s="1075">
        <f t="shared" si="163"/>
        <v>-494</v>
      </c>
      <c r="Q279" s="1075">
        <f t="shared" si="163"/>
        <v>63674</v>
      </c>
      <c r="R279" s="1075">
        <f t="shared" si="163"/>
        <v>0</v>
      </c>
      <c r="S279" s="1075">
        <f t="shared" si="163"/>
        <v>0</v>
      </c>
      <c r="T279" s="1075">
        <f t="shared" si="163"/>
        <v>2834</v>
      </c>
      <c r="U279" s="1075">
        <f t="shared" si="163"/>
        <v>0</v>
      </c>
      <c r="V279" s="1075">
        <f t="shared" si="163"/>
        <v>29303</v>
      </c>
      <c r="W279" s="1075">
        <f t="shared" si="163"/>
        <v>9544</v>
      </c>
      <c r="X279" s="1075">
        <f t="shared" si="163"/>
        <v>16368</v>
      </c>
      <c r="Y279" s="1075">
        <f t="shared" si="163"/>
        <v>0</v>
      </c>
      <c r="Z279" s="1075">
        <f t="shared" si="163"/>
        <v>-7533066</v>
      </c>
      <c r="AA279" s="1075">
        <f t="shared" si="163"/>
        <v>0</v>
      </c>
      <c r="AB279" s="1075">
        <f t="shared" si="163"/>
        <v>0</v>
      </c>
      <c r="AC279" s="1075">
        <f t="shared" si="163"/>
        <v>10074323</v>
      </c>
      <c r="AD279" s="1075">
        <f t="shared" si="163"/>
        <v>10665672</v>
      </c>
      <c r="AE279" s="1075">
        <f t="shared" si="163"/>
        <v>591349</v>
      </c>
      <c r="AF279" s="1075">
        <f t="shared" si="163"/>
        <v>206284</v>
      </c>
      <c r="AG279" s="1075">
        <f t="shared" si="163"/>
        <v>87646</v>
      </c>
      <c r="AH279" s="1075">
        <f t="shared" si="163"/>
        <v>0</v>
      </c>
      <c r="AI279" s="1075">
        <f t="shared" si="163"/>
        <v>297419</v>
      </c>
      <c r="AJ279" s="1075">
        <f t="shared" si="163"/>
        <v>0</v>
      </c>
      <c r="AK279" s="1075">
        <f t="shared" si="163"/>
        <v>0</v>
      </c>
      <c r="AL279" s="1075">
        <f t="shared" si="163"/>
        <v>1884620</v>
      </c>
      <c r="AM279" s="1075">
        <f>SUM(AM13,AM27,AM35,AM68,AM81,AM95,AM105,AM145,AM237,AM276)</f>
        <v>2034699</v>
      </c>
      <c r="AN279" s="1075">
        <f t="shared" si="163"/>
        <v>150079</v>
      </c>
      <c r="AO279" s="1075">
        <f t="shared" si="163"/>
        <v>78056</v>
      </c>
      <c r="AP279" s="1075">
        <f t="shared" si="163"/>
        <v>17190</v>
      </c>
      <c r="AQ279" s="1075">
        <f t="shared" si="163"/>
        <v>31527</v>
      </c>
      <c r="AR279" s="1075">
        <f>SUM(AR13,AR27,AR35,AR68,AR81,AR95,AR105,AR145,AR237,AR276)</f>
        <v>14314</v>
      </c>
      <c r="AS279" s="1075">
        <f t="shared" si="163"/>
        <v>738</v>
      </c>
      <c r="AT279" s="1075">
        <f t="shared" si="163"/>
        <v>500</v>
      </c>
      <c r="AU279" s="1075">
        <f t="shared" si="163"/>
        <v>3605</v>
      </c>
      <c r="AV279" s="1075">
        <f t="shared" si="163"/>
        <v>4149</v>
      </c>
      <c r="AW279" s="1075">
        <f t="shared" si="163"/>
        <v>0</v>
      </c>
      <c r="AX279" s="1076">
        <f t="shared" si="163"/>
        <v>6185659</v>
      </c>
      <c r="AY279" s="1076">
        <f t="shared" si="163"/>
        <v>12883</v>
      </c>
      <c r="AZ279" s="1076">
        <f t="shared" si="163"/>
        <v>16132</v>
      </c>
      <c r="BA279" s="1076">
        <f t="shared" si="163"/>
        <v>3249</v>
      </c>
      <c r="BB279" s="1076">
        <f t="shared" si="163"/>
        <v>2405</v>
      </c>
      <c r="BC279" s="1076">
        <f t="shared" si="163"/>
        <v>844</v>
      </c>
      <c r="BD279" s="1076">
        <f t="shared" si="163"/>
        <v>0</v>
      </c>
      <c r="BE279" s="1076">
        <f t="shared" si="163"/>
        <v>0</v>
      </c>
      <c r="BF279" s="1076">
        <f t="shared" si="163"/>
        <v>-1806440</v>
      </c>
      <c r="BG279" s="1076">
        <f t="shared" si="163"/>
        <v>-1712896</v>
      </c>
      <c r="BH279" s="1076">
        <f t="shared" si="163"/>
        <v>93544</v>
      </c>
      <c r="BI279" s="1076">
        <f t="shared" si="163"/>
        <v>151722</v>
      </c>
      <c r="BJ279" s="1076">
        <f t="shared" si="163"/>
        <v>-936</v>
      </c>
      <c r="BK279" s="1076">
        <f t="shared" si="163"/>
        <v>-28181</v>
      </c>
      <c r="BL279" s="1076">
        <f t="shared" si="163"/>
        <v>2809</v>
      </c>
      <c r="BM279" s="1076">
        <f t="shared" si="163"/>
        <v>-29711</v>
      </c>
      <c r="BN279" s="1076">
        <f t="shared" si="163"/>
        <v>-738</v>
      </c>
      <c r="BO279" s="1076">
        <f t="shared" si="163"/>
        <v>-1</v>
      </c>
      <c r="BP279" s="1075">
        <f t="shared" si="163"/>
        <v>-1420</v>
      </c>
      <c r="BQ279" s="1077">
        <f t="shared" si="163"/>
        <v>0</v>
      </c>
      <c r="BR279" s="1075">
        <f t="shared" si="163"/>
        <v>0</v>
      </c>
      <c r="BS279" s="1078">
        <f t="shared" si="163"/>
        <v>0</v>
      </c>
      <c r="BT279" s="1204"/>
      <c r="BU279" s="1202"/>
    </row>
    <row r="280" spans="1:73" ht="12.75" hidden="1" outlineLevel="1" thickTop="1" x14ac:dyDescent="0.25">
      <c r="C280" s="1119"/>
      <c r="D280" s="1205" t="s">
        <v>1768</v>
      </c>
      <c r="E280" s="1205"/>
      <c r="F280" s="1206">
        <f t="shared" ref="F280:BQ280" si="164">SUM(F14:F26,F28:F34,F36:F65,F69:F78,F79,F82:F90,F96:F104,F106:F144,F146:F230,F238:F275,F276,F91:F94,F231:F236)</f>
        <v>100728562.8</v>
      </c>
      <c r="G280" s="1206">
        <f t="shared" si="164"/>
        <v>93384875.799999997</v>
      </c>
      <c r="H280" s="1206">
        <f t="shared" si="164"/>
        <v>84377517.799999997</v>
      </c>
      <c r="I280" s="1206">
        <f t="shared" si="164"/>
        <v>76195609.799999997</v>
      </c>
      <c r="J280" s="1206">
        <f t="shared" si="164"/>
        <v>-8181908</v>
      </c>
      <c r="K280" s="1206">
        <f t="shared" si="164"/>
        <v>-634761</v>
      </c>
      <c r="L280" s="1206">
        <f t="shared" si="164"/>
        <v>0</v>
      </c>
      <c r="M280" s="1206">
        <f t="shared" si="164"/>
        <v>-154208</v>
      </c>
      <c r="N280" s="1206">
        <f t="shared" si="164"/>
        <v>16066</v>
      </c>
      <c r="O280" s="1206">
        <f t="shared" si="164"/>
        <v>21692</v>
      </c>
      <c r="P280" s="1206">
        <f t="shared" si="164"/>
        <v>-494</v>
      </c>
      <c r="Q280" s="1206">
        <f t="shared" si="164"/>
        <v>44814</v>
      </c>
      <c r="R280" s="1206">
        <f t="shared" si="164"/>
        <v>0</v>
      </c>
      <c r="S280" s="1206">
        <f t="shared" si="164"/>
        <v>0</v>
      </c>
      <c r="T280" s="1206">
        <f t="shared" si="164"/>
        <v>2834</v>
      </c>
      <c r="U280" s="1206">
        <f t="shared" si="164"/>
        <v>0</v>
      </c>
      <c r="V280" s="1206">
        <f t="shared" si="164"/>
        <v>29303</v>
      </c>
      <c r="W280" s="1206">
        <f t="shared" si="164"/>
        <v>9544</v>
      </c>
      <c r="X280" s="1206">
        <f t="shared" si="164"/>
        <v>16368</v>
      </c>
      <c r="Y280" s="1206">
        <f t="shared" si="164"/>
        <v>0</v>
      </c>
      <c r="Z280" s="1206">
        <f t="shared" si="164"/>
        <v>-7533066</v>
      </c>
      <c r="AA280" s="1206">
        <f t="shared" si="164"/>
        <v>0</v>
      </c>
      <c r="AB280" s="1206">
        <f t="shared" si="164"/>
        <v>0</v>
      </c>
      <c r="AC280" s="1206">
        <f t="shared" si="164"/>
        <v>10074323</v>
      </c>
      <c r="AD280" s="1206">
        <f t="shared" si="164"/>
        <v>10665672</v>
      </c>
      <c r="AE280" s="1206">
        <f t="shared" si="164"/>
        <v>591349</v>
      </c>
      <c r="AF280" s="1206">
        <f t="shared" si="164"/>
        <v>206284</v>
      </c>
      <c r="AG280" s="1206">
        <f t="shared" si="164"/>
        <v>87646</v>
      </c>
      <c r="AH280" s="1206">
        <f t="shared" si="164"/>
        <v>0</v>
      </c>
      <c r="AI280" s="1206">
        <f t="shared" si="164"/>
        <v>297419</v>
      </c>
      <c r="AJ280" s="1206">
        <f t="shared" si="164"/>
        <v>0</v>
      </c>
      <c r="AK280" s="1206">
        <f t="shared" si="164"/>
        <v>0</v>
      </c>
      <c r="AL280" s="1206">
        <f t="shared" si="164"/>
        <v>1884620</v>
      </c>
      <c r="AM280" s="1206">
        <f t="shared" si="164"/>
        <v>2034699</v>
      </c>
      <c r="AN280" s="1206">
        <f t="shared" si="164"/>
        <v>150079</v>
      </c>
      <c r="AO280" s="1206">
        <f t="shared" si="164"/>
        <v>78056</v>
      </c>
      <c r="AP280" s="1206">
        <f t="shared" si="164"/>
        <v>17190</v>
      </c>
      <c r="AQ280" s="1206">
        <f t="shared" si="164"/>
        <v>31527</v>
      </c>
      <c r="AR280" s="1206">
        <f t="shared" si="164"/>
        <v>14314</v>
      </c>
      <c r="AS280" s="1206">
        <f t="shared" si="164"/>
        <v>738</v>
      </c>
      <c r="AT280" s="1206">
        <f t="shared" si="164"/>
        <v>500</v>
      </c>
      <c r="AU280" s="1206">
        <f t="shared" si="164"/>
        <v>3605</v>
      </c>
      <c r="AV280" s="1206">
        <f t="shared" si="164"/>
        <v>4149</v>
      </c>
      <c r="AW280" s="1206">
        <f t="shared" si="164"/>
        <v>0</v>
      </c>
      <c r="AX280" s="1206">
        <f t="shared" si="164"/>
        <v>6185659</v>
      </c>
      <c r="AY280" s="1206">
        <f t="shared" si="164"/>
        <v>12883</v>
      </c>
      <c r="AZ280" s="1206">
        <f t="shared" si="164"/>
        <v>16132</v>
      </c>
      <c r="BA280" s="1206">
        <f t="shared" si="164"/>
        <v>3249</v>
      </c>
      <c r="BB280" s="1206">
        <f t="shared" si="164"/>
        <v>2405</v>
      </c>
      <c r="BC280" s="1206">
        <f t="shared" si="164"/>
        <v>844</v>
      </c>
      <c r="BD280" s="1206">
        <f t="shared" si="164"/>
        <v>0</v>
      </c>
      <c r="BE280" s="1206">
        <f t="shared" si="164"/>
        <v>0</v>
      </c>
      <c r="BF280" s="1206">
        <f t="shared" si="164"/>
        <v>-1806440</v>
      </c>
      <c r="BG280" s="1206">
        <f t="shared" si="164"/>
        <v>-1712896</v>
      </c>
      <c r="BH280" s="1206">
        <f t="shared" si="164"/>
        <v>93544</v>
      </c>
      <c r="BI280" s="1206">
        <f t="shared" si="164"/>
        <v>151722</v>
      </c>
      <c r="BJ280" s="1206">
        <f t="shared" si="164"/>
        <v>-936</v>
      </c>
      <c r="BK280" s="1206">
        <f t="shared" si="164"/>
        <v>-28181</v>
      </c>
      <c r="BL280" s="1206">
        <f t="shared" si="164"/>
        <v>2809</v>
      </c>
      <c r="BM280" s="1206">
        <f t="shared" si="164"/>
        <v>-29711</v>
      </c>
      <c r="BN280" s="1206">
        <f t="shared" si="164"/>
        <v>-738</v>
      </c>
      <c r="BO280" s="1206">
        <f t="shared" si="164"/>
        <v>-1</v>
      </c>
      <c r="BP280" s="1206">
        <f t="shared" si="164"/>
        <v>-1420</v>
      </c>
      <c r="BQ280" s="1207">
        <f t="shared" si="164"/>
        <v>0</v>
      </c>
      <c r="BR280" s="1206">
        <f t="shared" ref="BR280:BS280" si="165">SUM(BR14:BR26,BR28:BR34,BR36:BR65,BR69:BR78,BR79,BR82:BR90,BR96:BR104,BR106:BR144,BR146:BR230,BR238:BR275,BR276,BR91:BR94,BR231:BR236)</f>
        <v>0</v>
      </c>
      <c r="BS280" s="1206">
        <f t="shared" si="165"/>
        <v>0</v>
      </c>
      <c r="BT280" s="1208"/>
    </row>
    <row r="281" spans="1:73" ht="12.75" hidden="1" outlineLevel="1" thickTop="1" x14ac:dyDescent="0.25">
      <c r="C281" s="1119"/>
      <c r="D281" s="1205" t="s">
        <v>1769</v>
      </c>
      <c r="E281" s="1205"/>
      <c r="F281" s="1206">
        <f t="shared" ref="F281:BQ281" si="166">SUM(F13,F27,F35,F68,F81,F95,F105,F145,F237,F276)</f>
        <v>100728562.8</v>
      </c>
      <c r="G281" s="1206">
        <f t="shared" si="166"/>
        <v>93403735.799999997</v>
      </c>
      <c r="H281" s="1206">
        <f t="shared" si="166"/>
        <v>84377517.799999997</v>
      </c>
      <c r="I281" s="1206">
        <f t="shared" si="166"/>
        <v>76214469.799999997</v>
      </c>
      <c r="J281" s="1206">
        <f t="shared" si="166"/>
        <v>-8163048</v>
      </c>
      <c r="K281" s="1206">
        <f t="shared" si="166"/>
        <v>-634761</v>
      </c>
      <c r="L281" s="1206">
        <f t="shared" si="166"/>
        <v>0</v>
      </c>
      <c r="M281" s="1206">
        <f t="shared" si="166"/>
        <v>-154208</v>
      </c>
      <c r="N281" s="1206">
        <f t="shared" si="166"/>
        <v>16066</v>
      </c>
      <c r="O281" s="1206">
        <f t="shared" si="166"/>
        <v>21692</v>
      </c>
      <c r="P281" s="1206">
        <f t="shared" si="166"/>
        <v>-494</v>
      </c>
      <c r="Q281" s="1206">
        <f t="shared" si="166"/>
        <v>63674</v>
      </c>
      <c r="R281" s="1206">
        <f t="shared" si="166"/>
        <v>0</v>
      </c>
      <c r="S281" s="1206">
        <f t="shared" si="166"/>
        <v>0</v>
      </c>
      <c r="T281" s="1206">
        <f t="shared" si="166"/>
        <v>2834</v>
      </c>
      <c r="U281" s="1206">
        <f t="shared" si="166"/>
        <v>0</v>
      </c>
      <c r="V281" s="1206">
        <f t="shared" si="166"/>
        <v>29303</v>
      </c>
      <c r="W281" s="1206">
        <f t="shared" si="166"/>
        <v>9544</v>
      </c>
      <c r="X281" s="1206">
        <f t="shared" si="166"/>
        <v>16368</v>
      </c>
      <c r="Y281" s="1206">
        <f t="shared" si="166"/>
        <v>0</v>
      </c>
      <c r="Z281" s="1206">
        <f t="shared" si="166"/>
        <v>-7533066</v>
      </c>
      <c r="AA281" s="1206">
        <f t="shared" si="166"/>
        <v>0</v>
      </c>
      <c r="AB281" s="1206">
        <f t="shared" si="166"/>
        <v>0</v>
      </c>
      <c r="AC281" s="1206">
        <f t="shared" si="166"/>
        <v>10074323</v>
      </c>
      <c r="AD281" s="1206">
        <f t="shared" si="166"/>
        <v>10665672</v>
      </c>
      <c r="AE281" s="1206">
        <f t="shared" si="166"/>
        <v>591349</v>
      </c>
      <c r="AF281" s="1206">
        <f t="shared" si="166"/>
        <v>206284</v>
      </c>
      <c r="AG281" s="1206">
        <f t="shared" si="166"/>
        <v>87646</v>
      </c>
      <c r="AH281" s="1206">
        <f t="shared" si="166"/>
        <v>0</v>
      </c>
      <c r="AI281" s="1206">
        <f t="shared" si="166"/>
        <v>297419</v>
      </c>
      <c r="AJ281" s="1206">
        <f t="shared" si="166"/>
        <v>0</v>
      </c>
      <c r="AK281" s="1206">
        <f t="shared" si="166"/>
        <v>0</v>
      </c>
      <c r="AL281" s="1206">
        <f t="shared" si="166"/>
        <v>1884620</v>
      </c>
      <c r="AM281" s="1206">
        <f t="shared" si="166"/>
        <v>2034699</v>
      </c>
      <c r="AN281" s="1206">
        <f t="shared" si="166"/>
        <v>150079</v>
      </c>
      <c r="AO281" s="1206">
        <f t="shared" si="166"/>
        <v>78056</v>
      </c>
      <c r="AP281" s="1206">
        <f t="shared" si="166"/>
        <v>17190</v>
      </c>
      <c r="AQ281" s="1206">
        <f t="shared" si="166"/>
        <v>31527</v>
      </c>
      <c r="AR281" s="1206">
        <f t="shared" si="166"/>
        <v>14314</v>
      </c>
      <c r="AS281" s="1206">
        <f t="shared" si="166"/>
        <v>738</v>
      </c>
      <c r="AT281" s="1206">
        <f t="shared" si="166"/>
        <v>500</v>
      </c>
      <c r="AU281" s="1206">
        <f t="shared" si="166"/>
        <v>3605</v>
      </c>
      <c r="AV281" s="1206">
        <f t="shared" si="166"/>
        <v>4149</v>
      </c>
      <c r="AW281" s="1206">
        <f t="shared" si="166"/>
        <v>0</v>
      </c>
      <c r="AX281" s="1206">
        <f t="shared" si="166"/>
        <v>6185659</v>
      </c>
      <c r="AY281" s="1206">
        <f t="shared" si="166"/>
        <v>12883</v>
      </c>
      <c r="AZ281" s="1206">
        <f t="shared" si="166"/>
        <v>16132</v>
      </c>
      <c r="BA281" s="1206">
        <f t="shared" si="166"/>
        <v>3249</v>
      </c>
      <c r="BB281" s="1206">
        <f t="shared" si="166"/>
        <v>2405</v>
      </c>
      <c r="BC281" s="1206">
        <f t="shared" si="166"/>
        <v>844</v>
      </c>
      <c r="BD281" s="1206">
        <f t="shared" si="166"/>
        <v>0</v>
      </c>
      <c r="BE281" s="1206">
        <f t="shared" si="166"/>
        <v>0</v>
      </c>
      <c r="BF281" s="1206">
        <f t="shared" si="166"/>
        <v>-1806440</v>
      </c>
      <c r="BG281" s="1206">
        <f t="shared" si="166"/>
        <v>-1712896</v>
      </c>
      <c r="BH281" s="1206">
        <f t="shared" si="166"/>
        <v>93544</v>
      </c>
      <c r="BI281" s="1206">
        <f t="shared" si="166"/>
        <v>151722</v>
      </c>
      <c r="BJ281" s="1206">
        <f t="shared" si="166"/>
        <v>-936</v>
      </c>
      <c r="BK281" s="1206">
        <f t="shared" si="166"/>
        <v>-28181</v>
      </c>
      <c r="BL281" s="1206">
        <f t="shared" si="166"/>
        <v>2809</v>
      </c>
      <c r="BM281" s="1206">
        <f t="shared" si="166"/>
        <v>-29711</v>
      </c>
      <c r="BN281" s="1206">
        <f t="shared" si="166"/>
        <v>-738</v>
      </c>
      <c r="BO281" s="1206">
        <f t="shared" si="166"/>
        <v>-1</v>
      </c>
      <c r="BP281" s="1206">
        <f t="shared" si="166"/>
        <v>-1420</v>
      </c>
      <c r="BQ281" s="1207">
        <f t="shared" si="166"/>
        <v>0</v>
      </c>
      <c r="BR281" s="1206">
        <f t="shared" ref="BR281:BS281" si="167">SUM(BR13,BR27,BR35,BR68,BR81,BR95,BR105,BR145,BR237,BR276)</f>
        <v>0</v>
      </c>
      <c r="BS281" s="1206">
        <f t="shared" si="167"/>
        <v>0</v>
      </c>
      <c r="BT281" s="1208"/>
    </row>
    <row r="282" spans="1:73" ht="12.75" hidden="1" outlineLevel="1" thickTop="1" x14ac:dyDescent="0.25">
      <c r="C282" s="1119"/>
      <c r="D282" s="1205" t="s">
        <v>1770</v>
      </c>
      <c r="E282" s="1205"/>
      <c r="F282" s="1205"/>
      <c r="G282" s="1209" t="str">
        <f t="shared" ref="G282:BT282" si="168">IF(G279=G280=G281,"PROBLEM","")</f>
        <v/>
      </c>
      <c r="H282" s="1209" t="str">
        <f t="shared" si="168"/>
        <v/>
      </c>
      <c r="I282" s="1209"/>
      <c r="J282" s="1209"/>
      <c r="K282" s="1209"/>
      <c r="L282" s="1209"/>
      <c r="M282" s="1209"/>
      <c r="N282" s="1209"/>
      <c r="O282" s="1209"/>
      <c r="P282" s="1209"/>
      <c r="Q282" s="1209"/>
      <c r="R282" s="1209"/>
      <c r="S282" s="1209"/>
      <c r="T282" s="1209"/>
      <c r="U282" s="1209"/>
      <c r="V282" s="1209"/>
      <c r="W282" s="1209"/>
      <c r="X282" s="1209"/>
      <c r="Y282" s="1209"/>
      <c r="Z282" s="1209"/>
      <c r="AA282" s="1209"/>
      <c r="AB282" s="1209"/>
      <c r="AC282" s="1209" t="str">
        <f t="shared" si="168"/>
        <v/>
      </c>
      <c r="AD282" s="1209"/>
      <c r="AE282" s="1209"/>
      <c r="AF282" s="1209"/>
      <c r="AG282" s="1209"/>
      <c r="AH282" s="1209"/>
      <c r="AI282" s="1209"/>
      <c r="AJ282" s="1209"/>
      <c r="AK282" s="1209"/>
      <c r="AL282" s="1209" t="str">
        <f t="shared" si="168"/>
        <v/>
      </c>
      <c r="AM282" s="1209"/>
      <c r="AN282" s="1209"/>
      <c r="AO282" s="1209"/>
      <c r="AP282" s="1209"/>
      <c r="AQ282" s="1209"/>
      <c r="AR282" s="1209"/>
      <c r="AS282" s="1209"/>
      <c r="AT282" s="1209"/>
      <c r="AU282" s="1209"/>
      <c r="AV282" s="1209"/>
      <c r="AW282" s="1209"/>
      <c r="AX282" s="1209" t="str">
        <f t="shared" si="168"/>
        <v/>
      </c>
      <c r="AY282" s="1209" t="str">
        <f t="shared" si="168"/>
        <v/>
      </c>
      <c r="AZ282" s="1209"/>
      <c r="BA282" s="1209"/>
      <c r="BB282" s="1209"/>
      <c r="BC282" s="1209"/>
      <c r="BD282" s="1209"/>
      <c r="BE282" s="1209"/>
      <c r="BF282" s="1209"/>
      <c r="BG282" s="1209"/>
      <c r="BH282" s="1209"/>
      <c r="BI282" s="1209"/>
      <c r="BJ282" s="1209"/>
      <c r="BK282" s="1209"/>
      <c r="BL282" s="1209"/>
      <c r="BM282" s="1209"/>
      <c r="BN282" s="1209"/>
      <c r="BO282" s="1209"/>
      <c r="BP282" s="1209"/>
      <c r="BQ282" s="1210"/>
      <c r="BR282" s="1209"/>
      <c r="BS282" s="1209"/>
      <c r="BT282" s="1211" t="str">
        <f t="shared" si="168"/>
        <v/>
      </c>
    </row>
    <row r="283" spans="1:73" ht="12.75" hidden="1" outlineLevel="1" thickTop="1" x14ac:dyDescent="0.25">
      <c r="C283" s="1119"/>
      <c r="D283" s="1177"/>
      <c r="E283" s="1177"/>
      <c r="F283" s="1177"/>
    </row>
    <row r="284" spans="1:73" s="1212" customFormat="1" ht="12.75" hidden="1" outlineLevel="1" thickTop="1" x14ac:dyDescent="0.25">
      <c r="C284" s="1213"/>
      <c r="D284" s="1214"/>
      <c r="E284" s="1214" t="s">
        <v>1771</v>
      </c>
      <c r="F284" s="1214"/>
      <c r="G284" s="1215"/>
      <c r="H284" s="1215"/>
      <c r="I284" s="1215"/>
      <c r="J284" s="1215"/>
      <c r="K284" s="1215"/>
      <c r="L284" s="1215"/>
      <c r="M284" s="1215"/>
      <c r="N284" s="1215"/>
      <c r="O284" s="1215"/>
      <c r="P284" s="1215"/>
      <c r="Q284" s="1215"/>
      <c r="R284" s="1215"/>
      <c r="S284" s="1215"/>
      <c r="T284" s="1215"/>
      <c r="U284" s="1215"/>
      <c r="V284" s="1215"/>
      <c r="W284" s="1215"/>
      <c r="X284" s="1215"/>
      <c r="Y284" s="1215"/>
      <c r="Z284" s="1215"/>
      <c r="AA284" s="1215"/>
      <c r="AB284" s="1215"/>
      <c r="AC284" s="1215"/>
      <c r="AD284" s="1215"/>
      <c r="AE284" s="1215"/>
      <c r="AF284" s="1215"/>
      <c r="AG284" s="1215"/>
      <c r="AH284" s="1215"/>
      <c r="AI284" s="1215"/>
      <c r="AJ284" s="1215"/>
      <c r="AK284" s="1215"/>
      <c r="AL284" s="1215"/>
      <c r="AM284" s="1215"/>
      <c r="AN284" s="1215"/>
      <c r="AO284" s="1215"/>
      <c r="AP284" s="1215"/>
      <c r="AQ284" s="1215"/>
      <c r="AR284" s="1215"/>
      <c r="AS284" s="1215"/>
      <c r="AT284" s="1215"/>
      <c r="AU284" s="1215"/>
      <c r="AV284" s="1215"/>
      <c r="AW284" s="1215"/>
      <c r="AX284" s="1215"/>
      <c r="AY284" s="1215"/>
      <c r="AZ284" s="1215"/>
      <c r="BA284" s="1215"/>
      <c r="BB284" s="1215"/>
      <c r="BC284" s="1215"/>
      <c r="BD284" s="1215"/>
      <c r="BE284" s="1215"/>
      <c r="BF284" s="1215"/>
      <c r="BG284" s="1215"/>
      <c r="BH284" s="1215"/>
      <c r="BI284" s="1215"/>
      <c r="BJ284" s="1215"/>
      <c r="BK284" s="1215"/>
      <c r="BL284" s="1215"/>
      <c r="BM284" s="1215"/>
      <c r="BN284" s="1215"/>
      <c r="BO284" s="1215"/>
      <c r="BP284" s="1215"/>
      <c r="BQ284" s="1216"/>
      <c r="BR284" s="1215"/>
      <c r="BS284" s="1215"/>
      <c r="BT284" s="1217"/>
    </row>
    <row r="285" spans="1:73" ht="12.75" hidden="1" outlineLevel="1" thickTop="1" x14ac:dyDescent="0.25">
      <c r="C285" s="1119"/>
      <c r="D285" s="1177"/>
      <c r="E285" s="1177"/>
      <c r="F285" s="1177"/>
      <c r="G285" s="1218">
        <f>Ienemumi!AH154-G279</f>
        <v>0.20000000298023224</v>
      </c>
      <c r="AY285" s="1219"/>
      <c r="AZ285" s="1219"/>
      <c r="BA285" s="1219"/>
      <c r="BB285" s="1219"/>
      <c r="BC285" s="1219"/>
      <c r="BD285" s="1219"/>
      <c r="BE285" s="1219"/>
      <c r="BF285" s="1219"/>
      <c r="BG285" s="1219"/>
      <c r="BH285" s="1219"/>
      <c r="BI285" s="1219"/>
      <c r="BJ285" s="1219"/>
      <c r="BK285" s="1219"/>
      <c r="BL285" s="1219"/>
      <c r="BM285" s="1219"/>
      <c r="BN285" s="1219"/>
      <c r="BO285" s="1219"/>
      <c r="BP285" s="1219"/>
      <c r="BQ285" s="1220"/>
      <c r="BR285" s="1219"/>
      <c r="BS285" s="1219"/>
    </row>
    <row r="286" spans="1:73" ht="12.75" collapsed="1" thickTop="1" x14ac:dyDescent="0.25">
      <c r="C286" s="1119"/>
      <c r="D286" s="1177"/>
      <c r="E286" s="1177"/>
      <c r="F286" s="1177"/>
      <c r="G286" s="1221"/>
      <c r="H286" s="1222"/>
      <c r="I286" s="1222"/>
      <c r="J286" s="1222"/>
      <c r="K286" s="1222"/>
      <c r="L286" s="1222"/>
      <c r="M286" s="1222"/>
      <c r="N286" s="1222"/>
      <c r="O286" s="1222"/>
      <c r="P286" s="1222"/>
      <c r="Q286" s="1222"/>
      <c r="R286" s="1222"/>
      <c r="S286" s="1222"/>
      <c r="T286" s="1222"/>
      <c r="U286" s="1222"/>
      <c r="V286" s="1222"/>
      <c r="W286" s="1222"/>
      <c r="X286" s="1222"/>
      <c r="Y286" s="1222"/>
      <c r="Z286" s="1222"/>
      <c r="AA286" s="1222"/>
      <c r="AB286" s="1222"/>
      <c r="AY286" s="1219"/>
      <c r="AZ286" s="1219"/>
      <c r="BA286" s="1219"/>
      <c r="BB286" s="1219"/>
      <c r="BC286" s="1219"/>
      <c r="BD286" s="1219"/>
      <c r="BE286" s="1219"/>
      <c r="BF286" s="1219"/>
      <c r="BG286" s="1219"/>
      <c r="BH286" s="1219"/>
      <c r="BI286" s="1219"/>
      <c r="BJ286" s="1219"/>
      <c r="BK286" s="1219"/>
      <c r="BL286" s="1219"/>
      <c r="BM286" s="1219"/>
      <c r="BN286" s="1219"/>
      <c r="BO286" s="1219"/>
      <c r="BP286" s="1219"/>
      <c r="BQ286" s="1220"/>
      <c r="BR286" s="1219"/>
      <c r="BS286" s="1219"/>
    </row>
    <row r="287" spans="1:73" x14ac:dyDescent="0.25">
      <c r="C287" s="1119"/>
      <c r="D287" s="1177"/>
      <c r="E287" s="1177"/>
      <c r="F287" s="1177"/>
      <c r="G287" s="1221"/>
    </row>
    <row r="288" spans="1:73" x14ac:dyDescent="0.25">
      <c r="C288" s="1119"/>
      <c r="D288" s="1177"/>
      <c r="E288" s="1177"/>
      <c r="F288" s="1177"/>
      <c r="G288" s="1221"/>
    </row>
    <row r="289" spans="3:7" x14ac:dyDescent="0.25">
      <c r="C289" s="1119"/>
      <c r="D289" s="1177"/>
      <c r="E289" s="1177"/>
      <c r="F289" s="1177"/>
    </row>
    <row r="290" spans="3:7" x14ac:dyDescent="0.25">
      <c r="C290" s="1119"/>
      <c r="D290" s="1177"/>
      <c r="E290" s="1177"/>
      <c r="F290" s="1177"/>
      <c r="G290" s="1221"/>
    </row>
    <row r="291" spans="3:7" x14ac:dyDescent="0.25">
      <c r="C291" s="1119"/>
      <c r="D291" s="1177"/>
      <c r="E291" s="1177"/>
      <c r="F291" s="1177"/>
    </row>
    <row r="292" spans="3:7" x14ac:dyDescent="0.25">
      <c r="C292" s="1119"/>
      <c r="D292" s="1177"/>
      <c r="E292" s="1177"/>
      <c r="F292" s="1177"/>
    </row>
    <row r="293" spans="3:7" x14ac:dyDescent="0.25">
      <c r="C293" s="1119"/>
      <c r="D293" s="1177"/>
      <c r="E293" s="1177"/>
      <c r="F293" s="1177"/>
    </row>
    <row r="294" spans="3:7" x14ac:dyDescent="0.25">
      <c r="C294" s="1119"/>
      <c r="D294" s="1177"/>
      <c r="E294" s="1177"/>
      <c r="F294" s="1177"/>
    </row>
    <row r="295" spans="3:7" x14ac:dyDescent="0.25">
      <c r="C295" s="1119"/>
      <c r="D295" s="1177"/>
      <c r="E295" s="1177"/>
      <c r="F295" s="1177"/>
    </row>
    <row r="296" spans="3:7" x14ac:dyDescent="0.25">
      <c r="C296" s="1119"/>
      <c r="D296" s="1177"/>
      <c r="E296" s="1177"/>
      <c r="F296" s="1177"/>
    </row>
    <row r="297" spans="3:7" x14ac:dyDescent="0.25">
      <c r="C297" s="1119"/>
      <c r="D297" s="1177"/>
      <c r="E297" s="1177"/>
      <c r="F297" s="1177"/>
    </row>
    <row r="298" spans="3:7" x14ac:dyDescent="0.25">
      <c r="C298" s="1119"/>
      <c r="D298" s="1177"/>
      <c r="E298" s="1177"/>
      <c r="F298" s="1177"/>
    </row>
    <row r="299" spans="3:7" x14ac:dyDescent="0.25">
      <c r="C299" s="1119"/>
      <c r="D299" s="1177"/>
      <c r="E299" s="1177"/>
      <c r="F299" s="1177"/>
    </row>
    <row r="300" spans="3:7" x14ac:dyDescent="0.25">
      <c r="C300" s="1119"/>
      <c r="D300" s="1177"/>
      <c r="E300" s="1177"/>
      <c r="F300" s="1177"/>
    </row>
    <row r="301" spans="3:7" x14ac:dyDescent="0.25">
      <c r="C301" s="1119"/>
      <c r="D301" s="1177"/>
      <c r="E301" s="1177"/>
      <c r="F301" s="1177"/>
    </row>
    <row r="302" spans="3:7" x14ac:dyDescent="0.25">
      <c r="C302" s="1119"/>
      <c r="D302" s="1177"/>
      <c r="E302" s="1177"/>
      <c r="F302" s="1177"/>
    </row>
    <row r="303" spans="3:7" x14ac:dyDescent="0.25">
      <c r="C303" s="1119"/>
      <c r="D303" s="1177"/>
      <c r="E303" s="1177"/>
      <c r="F303" s="1177"/>
    </row>
    <row r="304" spans="3:7" x14ac:dyDescent="0.25">
      <c r="C304" s="1119"/>
      <c r="D304" s="1177"/>
      <c r="E304" s="1177"/>
      <c r="F304" s="1177"/>
    </row>
    <row r="305" spans="3:6" x14ac:dyDescent="0.25">
      <c r="C305" s="1119"/>
      <c r="D305" s="1177"/>
      <c r="E305" s="1177"/>
      <c r="F305" s="1177"/>
    </row>
    <row r="306" spans="3:6" x14ac:dyDescent="0.25">
      <c r="C306" s="1119"/>
      <c r="D306" s="1177"/>
      <c r="E306" s="1177"/>
      <c r="F306" s="1177"/>
    </row>
    <row r="307" spans="3:6" x14ac:dyDescent="0.25">
      <c r="C307" s="1119"/>
      <c r="D307" s="1177"/>
      <c r="E307" s="1177"/>
      <c r="F307" s="1177"/>
    </row>
    <row r="308" spans="3:6" x14ac:dyDescent="0.25">
      <c r="C308" s="1119"/>
      <c r="D308" s="1177"/>
      <c r="E308" s="1177"/>
      <c r="F308" s="1177"/>
    </row>
    <row r="309" spans="3:6" x14ac:dyDescent="0.25">
      <c r="C309" s="1119"/>
      <c r="D309" s="1177"/>
      <c r="E309" s="1177"/>
      <c r="F309" s="1177"/>
    </row>
    <row r="310" spans="3:6" x14ac:dyDescent="0.25">
      <c r="C310" s="1119"/>
      <c r="D310" s="1177"/>
      <c r="E310" s="1177"/>
      <c r="F310" s="1177"/>
    </row>
    <row r="311" spans="3:6" x14ac:dyDescent="0.25">
      <c r="C311" s="1119"/>
      <c r="D311" s="1177"/>
      <c r="E311" s="1177"/>
      <c r="F311" s="1177"/>
    </row>
    <row r="312" spans="3:6" x14ac:dyDescent="0.25">
      <c r="C312" s="1119"/>
      <c r="D312" s="1177"/>
      <c r="E312" s="1177"/>
      <c r="F312" s="1177"/>
    </row>
    <row r="313" spans="3:6" x14ac:dyDescent="0.25">
      <c r="C313" s="1119"/>
      <c r="D313" s="1177"/>
      <c r="E313" s="1177"/>
      <c r="F313" s="1177"/>
    </row>
    <row r="314" spans="3:6" x14ac:dyDescent="0.25">
      <c r="C314" s="1119"/>
      <c r="D314" s="1177"/>
      <c r="E314" s="1177"/>
      <c r="F314" s="1177"/>
    </row>
    <row r="315" spans="3:6" x14ac:dyDescent="0.25">
      <c r="C315" s="1119"/>
      <c r="D315" s="1177"/>
      <c r="E315" s="1177"/>
      <c r="F315" s="1177"/>
    </row>
    <row r="316" spans="3:6" x14ac:dyDescent="0.25">
      <c r="C316" s="1119"/>
      <c r="D316" s="1177"/>
      <c r="E316" s="1177"/>
      <c r="F316" s="1177"/>
    </row>
    <row r="317" spans="3:6" x14ac:dyDescent="0.25">
      <c r="C317" s="1119"/>
      <c r="D317" s="1177"/>
      <c r="E317" s="1177"/>
      <c r="F317" s="1177"/>
    </row>
    <row r="318" spans="3:6" x14ac:dyDescent="0.25">
      <c r="C318" s="1119"/>
      <c r="D318" s="1177"/>
      <c r="E318" s="1177"/>
      <c r="F318" s="1177"/>
    </row>
    <row r="319" spans="3:6" x14ac:dyDescent="0.25">
      <c r="C319" s="1119"/>
      <c r="D319" s="1177"/>
      <c r="E319" s="1177"/>
      <c r="F319" s="1177"/>
    </row>
    <row r="320" spans="3:6" x14ac:dyDescent="0.25">
      <c r="C320" s="1119"/>
      <c r="D320" s="1177"/>
      <c r="E320" s="1177"/>
      <c r="F320" s="1177"/>
    </row>
    <row r="321" spans="3:6" x14ac:dyDescent="0.25">
      <c r="C321" s="1119"/>
      <c r="D321" s="1177"/>
      <c r="E321" s="1177"/>
      <c r="F321" s="1177"/>
    </row>
    <row r="322" spans="3:6" x14ac:dyDescent="0.25">
      <c r="C322" s="1119"/>
      <c r="D322" s="1177"/>
      <c r="E322" s="1177"/>
      <c r="F322" s="1177"/>
    </row>
    <row r="323" spans="3:6" x14ac:dyDescent="0.25">
      <c r="C323" s="1119"/>
      <c r="D323" s="1177"/>
      <c r="E323" s="1177"/>
      <c r="F323" s="1177"/>
    </row>
    <row r="324" spans="3:6" x14ac:dyDescent="0.25">
      <c r="C324" s="1119"/>
      <c r="D324" s="1177"/>
      <c r="E324" s="1177"/>
      <c r="F324" s="1177"/>
    </row>
    <row r="325" spans="3:6" x14ac:dyDescent="0.25">
      <c r="C325" s="1119"/>
      <c r="D325" s="1177"/>
      <c r="E325" s="1177"/>
      <c r="F325" s="1177"/>
    </row>
    <row r="326" spans="3:6" x14ac:dyDescent="0.25">
      <c r="C326" s="1119"/>
      <c r="D326" s="1177"/>
      <c r="E326" s="1177"/>
      <c r="F326" s="1177"/>
    </row>
    <row r="327" spans="3:6" x14ac:dyDescent="0.25">
      <c r="C327" s="1119"/>
      <c r="D327" s="1177"/>
      <c r="E327" s="1177"/>
      <c r="F327" s="1177"/>
    </row>
    <row r="328" spans="3:6" x14ac:dyDescent="0.25">
      <c r="C328" s="1119"/>
      <c r="D328" s="1177"/>
      <c r="E328" s="1177"/>
      <c r="F328" s="1177"/>
    </row>
    <row r="329" spans="3:6" x14ac:dyDescent="0.25">
      <c r="C329" s="1119"/>
      <c r="D329" s="1177"/>
      <c r="E329" s="1177"/>
      <c r="F329" s="1177"/>
    </row>
    <row r="330" spans="3:6" x14ac:dyDescent="0.25">
      <c r="C330" s="1119"/>
      <c r="D330" s="1177"/>
      <c r="E330" s="1177"/>
      <c r="F330" s="1177"/>
    </row>
    <row r="331" spans="3:6" x14ac:dyDescent="0.25">
      <c r="C331" s="1119"/>
      <c r="D331" s="1177"/>
      <c r="E331" s="1177"/>
      <c r="F331" s="1177"/>
    </row>
    <row r="332" spans="3:6" x14ac:dyDescent="0.25">
      <c r="C332" s="1119"/>
      <c r="D332" s="1177"/>
      <c r="E332" s="1177"/>
      <c r="F332" s="1177"/>
    </row>
    <row r="333" spans="3:6" x14ac:dyDescent="0.25">
      <c r="C333" s="1119"/>
      <c r="D333" s="1177"/>
      <c r="E333" s="1177"/>
      <c r="F333" s="1177"/>
    </row>
    <row r="334" spans="3:6" x14ac:dyDescent="0.25">
      <c r="C334" s="1119"/>
      <c r="D334" s="1177"/>
      <c r="E334" s="1177"/>
      <c r="F334" s="1177"/>
    </row>
    <row r="335" spans="3:6" x14ac:dyDescent="0.25">
      <c r="C335" s="1119"/>
      <c r="D335" s="1177"/>
      <c r="E335" s="1177"/>
      <c r="F335" s="1177"/>
    </row>
    <row r="336" spans="3:6" x14ac:dyDescent="0.25">
      <c r="C336" s="1119"/>
      <c r="D336" s="1177"/>
      <c r="E336" s="1177"/>
      <c r="F336" s="1177"/>
    </row>
    <row r="337" spans="3:6" x14ac:dyDescent="0.25">
      <c r="C337" s="1119"/>
      <c r="D337" s="1177"/>
      <c r="E337" s="1177"/>
      <c r="F337" s="1177"/>
    </row>
    <row r="338" spans="3:6" x14ac:dyDescent="0.25">
      <c r="C338" s="1119"/>
      <c r="D338" s="1177"/>
      <c r="E338" s="1177"/>
      <c r="F338" s="1177"/>
    </row>
    <row r="339" spans="3:6" x14ac:dyDescent="0.25">
      <c r="C339" s="1119"/>
      <c r="D339" s="1177"/>
      <c r="E339" s="1177"/>
      <c r="F339" s="1177"/>
    </row>
    <row r="340" spans="3:6" x14ac:dyDescent="0.25">
      <c r="C340" s="1119"/>
      <c r="D340" s="1177"/>
      <c r="E340" s="1177"/>
      <c r="F340" s="1177"/>
    </row>
    <row r="341" spans="3:6" x14ac:dyDescent="0.25">
      <c r="C341" s="1119"/>
      <c r="D341" s="1177"/>
      <c r="E341" s="1177"/>
      <c r="F341" s="1177"/>
    </row>
    <row r="342" spans="3:6" x14ac:dyDescent="0.25">
      <c r="C342" s="1119"/>
      <c r="D342" s="1177"/>
      <c r="E342" s="1177"/>
      <c r="F342" s="1177"/>
    </row>
    <row r="343" spans="3:6" x14ac:dyDescent="0.25">
      <c r="C343" s="1119"/>
      <c r="D343" s="1177"/>
      <c r="E343" s="1177"/>
      <c r="F343" s="1177"/>
    </row>
    <row r="344" spans="3:6" x14ac:dyDescent="0.25">
      <c r="C344" s="1119"/>
      <c r="D344" s="1177"/>
      <c r="E344" s="1177"/>
      <c r="F344" s="1177"/>
    </row>
    <row r="345" spans="3:6" x14ac:dyDescent="0.25">
      <c r="C345" s="1119"/>
      <c r="D345" s="1177"/>
      <c r="E345" s="1177"/>
      <c r="F345" s="1177"/>
    </row>
    <row r="346" spans="3:6" x14ac:dyDescent="0.25">
      <c r="C346" s="1119"/>
      <c r="D346" s="1177"/>
      <c r="E346" s="1177"/>
      <c r="F346" s="1177"/>
    </row>
    <row r="347" spans="3:6" x14ac:dyDescent="0.25">
      <c r="C347" s="1119"/>
      <c r="D347" s="1177"/>
      <c r="E347" s="1177"/>
      <c r="F347" s="1177"/>
    </row>
    <row r="348" spans="3:6" x14ac:dyDescent="0.25">
      <c r="C348" s="1119"/>
      <c r="D348" s="1177"/>
      <c r="E348" s="1177"/>
      <c r="F348" s="1177"/>
    </row>
    <row r="349" spans="3:6" x14ac:dyDescent="0.25">
      <c r="C349" s="1119"/>
      <c r="D349" s="1177"/>
      <c r="E349" s="1177"/>
      <c r="F349" s="1177"/>
    </row>
    <row r="350" spans="3:6" x14ac:dyDescent="0.25">
      <c r="C350" s="1119"/>
      <c r="D350" s="1177"/>
      <c r="E350" s="1177"/>
      <c r="F350" s="1177"/>
    </row>
    <row r="351" spans="3:6" x14ac:dyDescent="0.25">
      <c r="C351" s="1119"/>
      <c r="D351" s="1177"/>
      <c r="E351" s="1177"/>
      <c r="F351" s="1177"/>
    </row>
    <row r="352" spans="3:6" x14ac:dyDescent="0.25">
      <c r="C352" s="1119"/>
      <c r="D352" s="1177"/>
      <c r="E352" s="1177"/>
      <c r="F352" s="1177"/>
    </row>
    <row r="353" spans="3:6" x14ac:dyDescent="0.25">
      <c r="C353" s="1119"/>
      <c r="D353" s="1177"/>
      <c r="E353" s="1177"/>
      <c r="F353" s="1177"/>
    </row>
    <row r="354" spans="3:6" x14ac:dyDescent="0.25">
      <c r="C354" s="1119"/>
      <c r="D354" s="1177"/>
      <c r="E354" s="1177"/>
      <c r="F354" s="1177"/>
    </row>
    <row r="355" spans="3:6" x14ac:dyDescent="0.25">
      <c r="C355" s="1119"/>
      <c r="D355" s="1177"/>
      <c r="E355" s="1177"/>
      <c r="F355" s="1177"/>
    </row>
    <row r="356" spans="3:6" x14ac:dyDescent="0.25">
      <c r="C356" s="1119"/>
      <c r="D356" s="1177"/>
      <c r="E356" s="1177"/>
      <c r="F356" s="1177"/>
    </row>
    <row r="357" spans="3:6" x14ac:dyDescent="0.25">
      <c r="C357" s="1119"/>
      <c r="D357" s="1177"/>
      <c r="E357" s="1177"/>
      <c r="F357" s="1177"/>
    </row>
    <row r="358" spans="3:6" x14ac:dyDescent="0.25">
      <c r="C358" s="1119"/>
      <c r="D358" s="1177"/>
      <c r="E358" s="1177"/>
      <c r="F358" s="1177"/>
    </row>
    <row r="359" spans="3:6" x14ac:dyDescent="0.25">
      <c r="C359" s="1119"/>
      <c r="D359" s="1177"/>
      <c r="E359" s="1177"/>
      <c r="F359" s="1177"/>
    </row>
    <row r="360" spans="3:6" x14ac:dyDescent="0.25">
      <c r="C360" s="1119"/>
      <c r="D360" s="1177"/>
      <c r="E360" s="1177"/>
      <c r="F360" s="1177"/>
    </row>
    <row r="361" spans="3:6" x14ac:dyDescent="0.25">
      <c r="C361" s="1119"/>
      <c r="D361" s="1177"/>
      <c r="E361" s="1177"/>
      <c r="F361" s="1177"/>
    </row>
    <row r="362" spans="3:6" x14ac:dyDescent="0.25">
      <c r="C362" s="1119"/>
      <c r="D362" s="1177"/>
      <c r="E362" s="1177"/>
      <c r="F362" s="1177"/>
    </row>
    <row r="363" spans="3:6" x14ac:dyDescent="0.25">
      <c r="C363" s="1119"/>
      <c r="D363" s="1177"/>
      <c r="E363" s="1177"/>
      <c r="F363" s="1177"/>
    </row>
    <row r="364" spans="3:6" x14ac:dyDescent="0.25">
      <c r="C364" s="1119"/>
      <c r="D364" s="1177"/>
      <c r="E364" s="1177"/>
      <c r="F364" s="1177"/>
    </row>
    <row r="365" spans="3:6" x14ac:dyDescent="0.25">
      <c r="C365" s="1119"/>
      <c r="D365" s="1177"/>
      <c r="E365" s="1177"/>
      <c r="F365" s="1177"/>
    </row>
    <row r="366" spans="3:6" x14ac:dyDescent="0.25">
      <c r="C366" s="1119"/>
      <c r="D366" s="1177"/>
      <c r="E366" s="1177"/>
      <c r="F366" s="1177"/>
    </row>
    <row r="367" spans="3:6" x14ac:dyDescent="0.25">
      <c r="C367" s="1119"/>
      <c r="D367" s="1177"/>
      <c r="E367" s="1177"/>
      <c r="F367" s="1177"/>
    </row>
    <row r="368" spans="3:6" x14ac:dyDescent="0.25">
      <c r="C368" s="1119"/>
      <c r="D368" s="1177"/>
      <c r="E368" s="1177"/>
      <c r="F368" s="1177"/>
    </row>
    <row r="369" spans="3:6" x14ac:dyDescent="0.25">
      <c r="C369" s="1119"/>
      <c r="D369" s="1177"/>
      <c r="E369" s="1177"/>
      <c r="F369" s="1177"/>
    </row>
    <row r="370" spans="3:6" x14ac:dyDescent="0.25">
      <c r="C370" s="1119"/>
      <c r="D370" s="1177"/>
      <c r="E370" s="1177"/>
      <c r="F370" s="1177"/>
    </row>
    <row r="371" spans="3:6" x14ac:dyDescent="0.25">
      <c r="C371" s="1119"/>
      <c r="D371" s="1177"/>
      <c r="E371" s="1177"/>
      <c r="F371" s="1177"/>
    </row>
    <row r="372" spans="3:6" x14ac:dyDescent="0.25">
      <c r="C372" s="1119"/>
      <c r="D372" s="1177"/>
      <c r="E372" s="1177"/>
      <c r="F372" s="1177"/>
    </row>
    <row r="373" spans="3:6" x14ac:dyDescent="0.25">
      <c r="C373" s="1119"/>
      <c r="D373" s="1177"/>
      <c r="E373" s="1177"/>
      <c r="F373" s="1177"/>
    </row>
    <row r="374" spans="3:6" x14ac:dyDescent="0.25">
      <c r="C374" s="1119"/>
      <c r="D374" s="1177"/>
      <c r="E374" s="1177"/>
      <c r="F374" s="1177"/>
    </row>
    <row r="375" spans="3:6" x14ac:dyDescent="0.25">
      <c r="C375" s="1119"/>
      <c r="D375" s="1177"/>
      <c r="E375" s="1177"/>
      <c r="F375" s="1177"/>
    </row>
    <row r="376" spans="3:6" x14ac:dyDescent="0.25">
      <c r="C376" s="1119"/>
      <c r="D376" s="1177"/>
      <c r="E376" s="1177"/>
      <c r="F376" s="1177"/>
    </row>
    <row r="377" spans="3:6" x14ac:dyDescent="0.25">
      <c r="C377" s="1119"/>
      <c r="D377" s="1177"/>
      <c r="E377" s="1177"/>
      <c r="F377" s="1177"/>
    </row>
    <row r="378" spans="3:6" x14ac:dyDescent="0.25">
      <c r="C378" s="1119"/>
      <c r="D378" s="1177"/>
      <c r="E378" s="1177"/>
      <c r="F378" s="1177"/>
    </row>
    <row r="379" spans="3:6" x14ac:dyDescent="0.25">
      <c r="C379" s="1119"/>
      <c r="D379" s="1177"/>
      <c r="E379" s="1177"/>
      <c r="F379" s="1177"/>
    </row>
    <row r="380" spans="3:6" x14ac:dyDescent="0.25">
      <c r="C380" s="1119"/>
      <c r="D380" s="1177"/>
      <c r="E380" s="1177"/>
      <c r="F380" s="1177"/>
    </row>
    <row r="381" spans="3:6" x14ac:dyDescent="0.25">
      <c r="C381" s="1119"/>
      <c r="D381" s="1177"/>
      <c r="E381" s="1177"/>
      <c r="F381" s="1177"/>
    </row>
    <row r="382" spans="3:6" x14ac:dyDescent="0.25">
      <c r="C382" s="1119"/>
      <c r="D382" s="1177"/>
      <c r="E382" s="1177"/>
      <c r="F382" s="1177"/>
    </row>
    <row r="383" spans="3:6" x14ac:dyDescent="0.25">
      <c r="C383" s="1119"/>
      <c r="D383" s="1177"/>
      <c r="E383" s="1177"/>
      <c r="F383" s="1177"/>
    </row>
    <row r="384" spans="3:6" x14ac:dyDescent="0.25">
      <c r="C384" s="1119"/>
      <c r="D384" s="1177"/>
      <c r="E384" s="1177"/>
      <c r="F384" s="1177"/>
    </row>
    <row r="385" spans="3:6" x14ac:dyDescent="0.25">
      <c r="C385" s="1119"/>
      <c r="D385" s="1177"/>
      <c r="E385" s="1177"/>
      <c r="F385" s="1177"/>
    </row>
    <row r="386" spans="3:6" x14ac:dyDescent="0.25">
      <c r="C386" s="1119"/>
      <c r="D386" s="1177"/>
      <c r="E386" s="1177"/>
      <c r="F386" s="1177"/>
    </row>
    <row r="387" spans="3:6" x14ac:dyDescent="0.25">
      <c r="C387" s="1119"/>
      <c r="D387" s="1177"/>
      <c r="E387" s="1177"/>
      <c r="F387" s="1177"/>
    </row>
    <row r="388" spans="3:6" x14ac:dyDescent="0.25">
      <c r="C388" s="1119"/>
      <c r="D388" s="1177"/>
      <c r="E388" s="1177"/>
      <c r="F388" s="1177"/>
    </row>
    <row r="389" spans="3:6" x14ac:dyDescent="0.25">
      <c r="C389" s="1119"/>
      <c r="D389" s="1177"/>
      <c r="E389" s="1177"/>
      <c r="F389" s="1177"/>
    </row>
    <row r="390" spans="3:6" x14ac:dyDescent="0.25">
      <c r="C390" s="1119"/>
      <c r="D390" s="1177"/>
      <c r="E390" s="1177"/>
      <c r="F390" s="1177"/>
    </row>
    <row r="391" spans="3:6" x14ac:dyDescent="0.25">
      <c r="C391" s="1119"/>
      <c r="D391" s="1177"/>
      <c r="E391" s="1177"/>
      <c r="F391" s="1177"/>
    </row>
    <row r="392" spans="3:6" x14ac:dyDescent="0.25">
      <c r="C392" s="1119"/>
      <c r="D392" s="1177"/>
      <c r="E392" s="1177"/>
      <c r="F392" s="1177"/>
    </row>
    <row r="393" spans="3:6" x14ac:dyDescent="0.25">
      <c r="C393" s="1119"/>
      <c r="D393" s="1177"/>
      <c r="E393" s="1177"/>
      <c r="F393" s="1177"/>
    </row>
    <row r="394" spans="3:6" x14ac:dyDescent="0.25">
      <c r="C394" s="1119"/>
      <c r="D394" s="1177"/>
      <c r="E394" s="1177"/>
      <c r="F394" s="1177"/>
    </row>
    <row r="395" spans="3:6" x14ac:dyDescent="0.25">
      <c r="C395" s="1119"/>
      <c r="D395" s="1177"/>
      <c r="E395" s="1177"/>
      <c r="F395" s="1177"/>
    </row>
    <row r="396" spans="3:6" x14ac:dyDescent="0.25">
      <c r="C396" s="1119"/>
      <c r="D396" s="1177"/>
      <c r="E396" s="1177"/>
      <c r="F396" s="1177"/>
    </row>
    <row r="397" spans="3:6" x14ac:dyDescent="0.25">
      <c r="C397" s="1119"/>
      <c r="D397" s="1177"/>
      <c r="E397" s="1177"/>
      <c r="F397" s="1177"/>
    </row>
    <row r="398" spans="3:6" x14ac:dyDescent="0.25">
      <c r="C398" s="1119"/>
      <c r="D398" s="1177"/>
      <c r="E398" s="1177"/>
      <c r="F398" s="1177"/>
    </row>
    <row r="399" spans="3:6" x14ac:dyDescent="0.25">
      <c r="C399" s="1119"/>
      <c r="D399" s="1177"/>
      <c r="E399" s="1177"/>
      <c r="F399" s="1177"/>
    </row>
    <row r="400" spans="3:6" x14ac:dyDescent="0.25">
      <c r="C400" s="1119"/>
      <c r="D400" s="1177"/>
      <c r="E400" s="1177"/>
      <c r="F400" s="1177"/>
    </row>
    <row r="401" spans="3:6" x14ac:dyDescent="0.25">
      <c r="C401" s="1119"/>
      <c r="D401" s="1177"/>
      <c r="E401" s="1177"/>
      <c r="F401" s="1177"/>
    </row>
    <row r="402" spans="3:6" x14ac:dyDescent="0.25">
      <c r="C402" s="1119"/>
      <c r="D402" s="1177"/>
      <c r="E402" s="1177"/>
      <c r="F402" s="1177"/>
    </row>
    <row r="403" spans="3:6" x14ac:dyDescent="0.25">
      <c r="C403" s="1119"/>
      <c r="D403" s="1177"/>
      <c r="E403" s="1177"/>
      <c r="F403" s="1177"/>
    </row>
    <row r="404" spans="3:6" x14ac:dyDescent="0.25">
      <c r="C404" s="1119"/>
      <c r="D404" s="1177"/>
      <c r="E404" s="1177"/>
      <c r="F404" s="1177"/>
    </row>
    <row r="405" spans="3:6" x14ac:dyDescent="0.25">
      <c r="C405" s="1119"/>
      <c r="D405" s="1177"/>
      <c r="E405" s="1177"/>
      <c r="F405" s="1177"/>
    </row>
    <row r="406" spans="3:6" x14ac:dyDescent="0.25">
      <c r="C406" s="1119"/>
      <c r="D406" s="1177"/>
      <c r="E406" s="1177"/>
      <c r="F406" s="1177"/>
    </row>
    <row r="407" spans="3:6" x14ac:dyDescent="0.25">
      <c r="C407" s="1119"/>
      <c r="D407" s="1177"/>
      <c r="E407" s="1177"/>
      <c r="F407" s="1177"/>
    </row>
    <row r="408" spans="3:6" x14ac:dyDescent="0.25">
      <c r="C408" s="1119"/>
      <c r="D408" s="1177"/>
      <c r="E408" s="1177"/>
      <c r="F408" s="1177"/>
    </row>
    <row r="409" spans="3:6" x14ac:dyDescent="0.25">
      <c r="C409" s="1119"/>
      <c r="D409" s="1177"/>
      <c r="E409" s="1177"/>
      <c r="F409" s="1177"/>
    </row>
    <row r="410" spans="3:6" x14ac:dyDescent="0.25">
      <c r="C410" s="1119"/>
      <c r="D410" s="1177"/>
      <c r="E410" s="1177"/>
      <c r="F410" s="1177"/>
    </row>
    <row r="411" spans="3:6" x14ac:dyDescent="0.25">
      <c r="C411" s="1119"/>
      <c r="D411" s="1177"/>
      <c r="E411" s="1177"/>
      <c r="F411" s="1177"/>
    </row>
    <row r="412" spans="3:6" x14ac:dyDescent="0.25">
      <c r="C412" s="1119"/>
      <c r="D412" s="1177"/>
      <c r="E412" s="1177"/>
      <c r="F412" s="1177"/>
    </row>
    <row r="413" spans="3:6" x14ac:dyDescent="0.25">
      <c r="C413" s="1119"/>
      <c r="D413" s="1177"/>
      <c r="E413" s="1177"/>
      <c r="F413" s="1177"/>
    </row>
    <row r="414" spans="3:6" x14ac:dyDescent="0.25">
      <c r="C414" s="1119"/>
      <c r="D414" s="1177"/>
      <c r="E414" s="1177"/>
      <c r="F414" s="1177"/>
    </row>
    <row r="415" spans="3:6" x14ac:dyDescent="0.25">
      <c r="C415" s="1119"/>
      <c r="D415" s="1177"/>
      <c r="E415" s="1177"/>
      <c r="F415" s="1177"/>
    </row>
    <row r="416" spans="3:6" x14ac:dyDescent="0.25">
      <c r="C416" s="1119"/>
      <c r="D416" s="1177"/>
      <c r="E416" s="1177"/>
      <c r="F416" s="1177"/>
    </row>
    <row r="417" spans="3:6" x14ac:dyDescent="0.25">
      <c r="C417" s="1119"/>
      <c r="D417" s="1177"/>
      <c r="E417" s="1177"/>
      <c r="F417" s="1177"/>
    </row>
    <row r="418" spans="3:6" x14ac:dyDescent="0.25">
      <c r="C418" s="1119"/>
      <c r="D418" s="1177"/>
      <c r="E418" s="1177"/>
      <c r="F418" s="1177"/>
    </row>
    <row r="419" spans="3:6" x14ac:dyDescent="0.25">
      <c r="C419" s="1119"/>
      <c r="D419" s="1177"/>
      <c r="E419" s="1177"/>
      <c r="F419" s="1177"/>
    </row>
    <row r="420" spans="3:6" x14ac:dyDescent="0.25">
      <c r="C420" s="1119"/>
      <c r="D420" s="1177"/>
      <c r="E420" s="1177"/>
      <c r="F420" s="1177"/>
    </row>
    <row r="421" spans="3:6" x14ac:dyDescent="0.25">
      <c r="C421" s="1119"/>
      <c r="D421" s="1177"/>
      <c r="E421" s="1177"/>
      <c r="F421" s="1177"/>
    </row>
    <row r="422" spans="3:6" x14ac:dyDescent="0.25">
      <c r="C422" s="1119"/>
      <c r="D422" s="1177"/>
      <c r="E422" s="1177"/>
      <c r="F422" s="1177"/>
    </row>
    <row r="423" spans="3:6" x14ac:dyDescent="0.25">
      <c r="C423" s="1119"/>
      <c r="D423" s="1177"/>
      <c r="E423" s="1177"/>
      <c r="F423" s="1177"/>
    </row>
    <row r="424" spans="3:6" x14ac:dyDescent="0.25">
      <c r="C424" s="1119"/>
      <c r="D424" s="1177"/>
      <c r="E424" s="1177"/>
      <c r="F424" s="1177"/>
    </row>
    <row r="425" spans="3:6" x14ac:dyDescent="0.25">
      <c r="C425" s="1119"/>
      <c r="D425" s="1177"/>
      <c r="E425" s="1177"/>
      <c r="F425" s="1177"/>
    </row>
    <row r="426" spans="3:6" x14ac:dyDescent="0.25">
      <c r="C426" s="1119"/>
      <c r="D426" s="1177"/>
      <c r="E426" s="1177"/>
      <c r="F426" s="1177"/>
    </row>
    <row r="427" spans="3:6" x14ac:dyDescent="0.25">
      <c r="C427" s="1119"/>
      <c r="D427" s="1177"/>
      <c r="E427" s="1177"/>
      <c r="F427" s="1177"/>
    </row>
    <row r="428" spans="3:6" x14ac:dyDescent="0.25">
      <c r="C428" s="1119"/>
      <c r="D428" s="1177"/>
      <c r="E428" s="1177"/>
      <c r="F428" s="1177"/>
    </row>
    <row r="429" spans="3:6" x14ac:dyDescent="0.25">
      <c r="C429" s="1119"/>
      <c r="D429" s="1177"/>
      <c r="E429" s="1177"/>
      <c r="F429" s="1177"/>
    </row>
    <row r="430" spans="3:6" x14ac:dyDescent="0.25">
      <c r="C430" s="1119"/>
      <c r="D430" s="1177"/>
      <c r="E430" s="1177"/>
      <c r="F430" s="1177"/>
    </row>
    <row r="431" spans="3:6" x14ac:dyDescent="0.25">
      <c r="C431" s="1119"/>
      <c r="D431" s="1177"/>
      <c r="E431" s="1177"/>
      <c r="F431" s="1177"/>
    </row>
    <row r="432" spans="3:6" x14ac:dyDescent="0.25">
      <c r="C432" s="1119"/>
      <c r="D432" s="1177"/>
      <c r="E432" s="1177"/>
      <c r="F432" s="1177"/>
    </row>
    <row r="433" spans="3:6" x14ac:dyDescent="0.25">
      <c r="C433" s="1119"/>
      <c r="D433" s="1177"/>
      <c r="E433" s="1177"/>
      <c r="F433" s="1177"/>
    </row>
    <row r="434" spans="3:6" x14ac:dyDescent="0.25">
      <c r="C434" s="1119"/>
      <c r="D434" s="1177"/>
      <c r="E434" s="1177"/>
      <c r="F434" s="1177"/>
    </row>
    <row r="435" spans="3:6" x14ac:dyDescent="0.25">
      <c r="C435" s="1119"/>
      <c r="D435" s="1177"/>
      <c r="E435" s="1177"/>
      <c r="F435" s="1177"/>
    </row>
    <row r="436" spans="3:6" x14ac:dyDescent="0.25">
      <c r="C436" s="1119"/>
      <c r="D436" s="1177"/>
      <c r="E436" s="1177"/>
      <c r="F436" s="1177"/>
    </row>
    <row r="437" spans="3:6" x14ac:dyDescent="0.25">
      <c r="C437" s="1119"/>
      <c r="D437" s="1177"/>
      <c r="E437" s="1177"/>
      <c r="F437" s="1177"/>
    </row>
    <row r="438" spans="3:6" x14ac:dyDescent="0.25">
      <c r="C438" s="1119"/>
      <c r="D438" s="1177"/>
      <c r="E438" s="1177"/>
      <c r="F438" s="1177"/>
    </row>
    <row r="439" spans="3:6" x14ac:dyDescent="0.25">
      <c r="C439" s="1119"/>
      <c r="D439" s="1177"/>
      <c r="E439" s="1177"/>
      <c r="F439" s="1177"/>
    </row>
    <row r="440" spans="3:6" x14ac:dyDescent="0.25">
      <c r="C440" s="1119"/>
      <c r="D440" s="1177"/>
      <c r="E440" s="1177"/>
      <c r="F440" s="1177"/>
    </row>
    <row r="441" spans="3:6" x14ac:dyDescent="0.25">
      <c r="C441" s="1119"/>
      <c r="D441" s="1177"/>
      <c r="E441" s="1177"/>
      <c r="F441" s="1177"/>
    </row>
    <row r="442" spans="3:6" x14ac:dyDescent="0.25">
      <c r="C442" s="1119"/>
      <c r="D442" s="1177"/>
      <c r="E442" s="1177"/>
      <c r="F442" s="1177"/>
    </row>
    <row r="443" spans="3:6" x14ac:dyDescent="0.25">
      <c r="C443" s="1119"/>
      <c r="D443" s="1177"/>
      <c r="E443" s="1177"/>
      <c r="F443" s="1177"/>
    </row>
    <row r="444" spans="3:6" x14ac:dyDescent="0.25">
      <c r="C444" s="1119"/>
      <c r="D444" s="1177"/>
      <c r="E444" s="1177"/>
      <c r="F444" s="1177"/>
    </row>
    <row r="445" spans="3:6" x14ac:dyDescent="0.25">
      <c r="C445" s="1119"/>
      <c r="D445" s="1177"/>
      <c r="E445" s="1177"/>
      <c r="F445" s="1177"/>
    </row>
    <row r="446" spans="3:6" x14ac:dyDescent="0.25">
      <c r="C446" s="1119"/>
      <c r="D446" s="1177"/>
      <c r="E446" s="1177"/>
      <c r="F446" s="1177"/>
    </row>
    <row r="447" spans="3:6" x14ac:dyDescent="0.25">
      <c r="C447" s="1119"/>
      <c r="D447" s="1177"/>
      <c r="E447" s="1177"/>
      <c r="F447" s="1177"/>
    </row>
    <row r="448" spans="3:6" x14ac:dyDescent="0.25">
      <c r="C448" s="1119"/>
      <c r="D448" s="1177"/>
      <c r="E448" s="1177"/>
      <c r="F448" s="1177"/>
    </row>
    <row r="449" spans="3:6" x14ac:dyDescent="0.25">
      <c r="C449" s="1119"/>
      <c r="D449" s="1177"/>
      <c r="E449" s="1177"/>
      <c r="F449" s="1177"/>
    </row>
    <row r="450" spans="3:6" x14ac:dyDescent="0.25">
      <c r="C450" s="1119"/>
      <c r="D450" s="1177"/>
      <c r="E450" s="1177"/>
      <c r="F450" s="1177"/>
    </row>
    <row r="451" spans="3:6" x14ac:dyDescent="0.25">
      <c r="C451" s="1119"/>
      <c r="D451" s="1177"/>
      <c r="E451" s="1177"/>
      <c r="F451" s="1177"/>
    </row>
    <row r="452" spans="3:6" x14ac:dyDescent="0.25">
      <c r="C452" s="1119"/>
      <c r="D452" s="1177"/>
      <c r="E452" s="1177"/>
      <c r="F452" s="1177"/>
    </row>
    <row r="453" spans="3:6" x14ac:dyDescent="0.25">
      <c r="C453" s="1119"/>
      <c r="D453" s="1177"/>
      <c r="E453" s="1177"/>
      <c r="F453" s="1177"/>
    </row>
    <row r="454" spans="3:6" x14ac:dyDescent="0.25">
      <c r="C454" s="1119"/>
      <c r="D454" s="1177"/>
      <c r="E454" s="1177"/>
      <c r="F454" s="1177"/>
    </row>
    <row r="455" spans="3:6" x14ac:dyDescent="0.25">
      <c r="C455" s="1119"/>
      <c r="D455" s="1177"/>
      <c r="E455" s="1177"/>
      <c r="F455" s="1177"/>
    </row>
    <row r="456" spans="3:6" x14ac:dyDescent="0.25">
      <c r="C456" s="1119"/>
      <c r="D456" s="1177"/>
      <c r="E456" s="1177"/>
      <c r="F456" s="1177"/>
    </row>
    <row r="457" spans="3:6" x14ac:dyDescent="0.25">
      <c r="C457" s="1119"/>
      <c r="D457" s="1177"/>
      <c r="E457" s="1177"/>
      <c r="F457" s="1177"/>
    </row>
    <row r="458" spans="3:6" x14ac:dyDescent="0.25">
      <c r="C458" s="1119"/>
      <c r="D458" s="1177"/>
      <c r="E458" s="1177"/>
      <c r="F458" s="1177"/>
    </row>
    <row r="459" spans="3:6" x14ac:dyDescent="0.25">
      <c r="C459" s="1119"/>
      <c r="D459" s="1177"/>
      <c r="E459" s="1177"/>
      <c r="F459" s="1177"/>
    </row>
    <row r="460" spans="3:6" x14ac:dyDescent="0.25">
      <c r="C460" s="1119"/>
      <c r="D460" s="1177"/>
      <c r="E460" s="1177"/>
      <c r="F460" s="1177"/>
    </row>
    <row r="461" spans="3:6" x14ac:dyDescent="0.25">
      <c r="C461" s="1119"/>
      <c r="D461" s="1177"/>
      <c r="E461" s="1177"/>
      <c r="F461" s="1177"/>
    </row>
    <row r="462" spans="3:6" x14ac:dyDescent="0.25">
      <c r="C462" s="1119"/>
      <c r="D462" s="1177"/>
      <c r="E462" s="1177"/>
      <c r="F462" s="1177"/>
    </row>
    <row r="463" spans="3:6" x14ac:dyDescent="0.25">
      <c r="C463" s="1119"/>
      <c r="D463" s="1177"/>
      <c r="E463" s="1177"/>
      <c r="F463" s="1177"/>
    </row>
    <row r="464" spans="3:6" x14ac:dyDescent="0.25">
      <c r="C464" s="1119"/>
      <c r="D464" s="1177"/>
      <c r="E464" s="1177"/>
      <c r="F464" s="1177"/>
    </row>
    <row r="465" spans="3:6" x14ac:dyDescent="0.25">
      <c r="C465" s="1119"/>
      <c r="D465" s="1177"/>
      <c r="E465" s="1177"/>
      <c r="F465" s="1177"/>
    </row>
    <row r="466" spans="3:6" x14ac:dyDescent="0.25">
      <c r="C466" s="1119"/>
      <c r="D466" s="1177"/>
      <c r="E466" s="1177"/>
      <c r="F466" s="1177"/>
    </row>
    <row r="467" spans="3:6" x14ac:dyDescent="0.25">
      <c r="C467" s="1119"/>
      <c r="D467" s="1177"/>
      <c r="E467" s="1177"/>
      <c r="F467" s="1177"/>
    </row>
    <row r="468" spans="3:6" x14ac:dyDescent="0.25">
      <c r="C468" s="1119"/>
      <c r="D468" s="1177"/>
      <c r="E468" s="1177"/>
      <c r="F468" s="1177"/>
    </row>
    <row r="469" spans="3:6" x14ac:dyDescent="0.25">
      <c r="C469" s="1119"/>
      <c r="D469" s="1177"/>
      <c r="E469" s="1177"/>
      <c r="F469" s="1177"/>
    </row>
    <row r="470" spans="3:6" x14ac:dyDescent="0.25">
      <c r="C470" s="1119"/>
      <c r="D470" s="1177"/>
      <c r="E470" s="1177"/>
      <c r="F470" s="1177"/>
    </row>
    <row r="471" spans="3:6" x14ac:dyDescent="0.25">
      <c r="C471" s="1119"/>
      <c r="D471" s="1177"/>
      <c r="E471" s="1177"/>
      <c r="F471" s="1177"/>
    </row>
    <row r="472" spans="3:6" x14ac:dyDescent="0.25">
      <c r="C472" s="1119"/>
      <c r="D472" s="1177"/>
      <c r="E472" s="1177"/>
      <c r="F472" s="1177"/>
    </row>
    <row r="473" spans="3:6" x14ac:dyDescent="0.25">
      <c r="C473" s="1119"/>
      <c r="D473" s="1177"/>
      <c r="E473" s="1177"/>
      <c r="F473" s="1177"/>
    </row>
    <row r="474" spans="3:6" x14ac:dyDescent="0.25">
      <c r="C474" s="1119"/>
      <c r="D474" s="1177"/>
      <c r="E474" s="1177"/>
      <c r="F474" s="1177"/>
    </row>
    <row r="475" spans="3:6" x14ac:dyDescent="0.25">
      <c r="C475" s="1119"/>
      <c r="D475" s="1177"/>
      <c r="E475" s="1177"/>
      <c r="F475" s="1177"/>
    </row>
    <row r="476" spans="3:6" x14ac:dyDescent="0.25">
      <c r="C476" s="1119"/>
      <c r="D476" s="1177"/>
      <c r="E476" s="1177"/>
      <c r="F476" s="1177"/>
    </row>
    <row r="477" spans="3:6" x14ac:dyDescent="0.25">
      <c r="C477" s="1119"/>
      <c r="D477" s="1177"/>
      <c r="E477" s="1177"/>
      <c r="F477" s="1177"/>
    </row>
    <row r="478" spans="3:6" x14ac:dyDescent="0.25">
      <c r="C478" s="1119"/>
      <c r="D478" s="1177"/>
      <c r="E478" s="1177"/>
      <c r="F478" s="1177"/>
    </row>
    <row r="479" spans="3:6" x14ac:dyDescent="0.25">
      <c r="C479" s="1119"/>
      <c r="D479" s="1177"/>
      <c r="E479" s="1177"/>
      <c r="F479" s="1177"/>
    </row>
    <row r="480" spans="3:6" x14ac:dyDescent="0.25">
      <c r="C480" s="1119"/>
      <c r="D480" s="1177"/>
      <c r="E480" s="1177"/>
      <c r="F480" s="1177"/>
    </row>
    <row r="481" spans="3:6" x14ac:dyDescent="0.25">
      <c r="C481" s="1119"/>
      <c r="D481" s="1177"/>
      <c r="E481" s="1177"/>
      <c r="F481" s="1177"/>
    </row>
    <row r="482" spans="3:6" x14ac:dyDescent="0.25">
      <c r="C482" s="1119"/>
      <c r="D482" s="1177"/>
      <c r="E482" s="1177"/>
      <c r="F482" s="1177"/>
    </row>
    <row r="483" spans="3:6" x14ac:dyDescent="0.25">
      <c r="C483" s="1119"/>
      <c r="D483" s="1177"/>
      <c r="E483" s="1177"/>
      <c r="F483" s="1177"/>
    </row>
    <row r="484" spans="3:6" x14ac:dyDescent="0.25">
      <c r="C484" s="1119"/>
      <c r="D484" s="1177"/>
      <c r="E484" s="1177"/>
      <c r="F484" s="1177"/>
    </row>
    <row r="485" spans="3:6" x14ac:dyDescent="0.25">
      <c r="C485" s="1119"/>
      <c r="D485" s="1177"/>
      <c r="E485" s="1177"/>
      <c r="F485" s="1177"/>
    </row>
    <row r="486" spans="3:6" x14ac:dyDescent="0.25">
      <c r="C486" s="1119"/>
      <c r="D486" s="1177"/>
      <c r="E486" s="1177"/>
      <c r="F486" s="1177"/>
    </row>
    <row r="487" spans="3:6" x14ac:dyDescent="0.25">
      <c r="C487" s="1119"/>
      <c r="D487" s="1177"/>
      <c r="E487" s="1177"/>
      <c r="F487" s="1177"/>
    </row>
    <row r="488" spans="3:6" x14ac:dyDescent="0.25">
      <c r="C488" s="1119"/>
      <c r="D488" s="1177"/>
      <c r="E488" s="1177"/>
      <c r="F488" s="1177"/>
    </row>
    <row r="489" spans="3:6" x14ac:dyDescent="0.25">
      <c r="C489" s="1119"/>
      <c r="D489" s="1177"/>
      <c r="E489" s="1177"/>
      <c r="F489" s="1177"/>
    </row>
    <row r="490" spans="3:6" x14ac:dyDescent="0.25">
      <c r="C490" s="1119"/>
      <c r="D490" s="1177"/>
      <c r="E490" s="1177"/>
      <c r="F490" s="1177"/>
    </row>
    <row r="491" spans="3:6" x14ac:dyDescent="0.25">
      <c r="C491" s="1119"/>
      <c r="D491" s="1177"/>
      <c r="E491" s="1177"/>
      <c r="F491" s="1177"/>
    </row>
    <row r="492" spans="3:6" x14ac:dyDescent="0.25">
      <c r="C492" s="1119"/>
      <c r="D492" s="1177"/>
      <c r="E492" s="1177"/>
      <c r="F492" s="1177"/>
    </row>
    <row r="493" spans="3:6" x14ac:dyDescent="0.25">
      <c r="C493" s="1119"/>
      <c r="D493" s="1177"/>
      <c r="E493" s="1177"/>
      <c r="F493" s="1177"/>
    </row>
    <row r="494" spans="3:6" x14ac:dyDescent="0.25">
      <c r="C494" s="1119"/>
      <c r="D494" s="1177"/>
      <c r="E494" s="1177"/>
      <c r="F494" s="1177"/>
    </row>
    <row r="495" spans="3:6" x14ac:dyDescent="0.25">
      <c r="C495" s="1119"/>
      <c r="D495" s="1177"/>
      <c r="E495" s="1177"/>
      <c r="F495" s="1177"/>
    </row>
    <row r="496" spans="3:6" x14ac:dyDescent="0.25">
      <c r="C496" s="1119"/>
      <c r="D496" s="1177"/>
      <c r="E496" s="1177"/>
      <c r="F496" s="1177"/>
    </row>
    <row r="497" spans="3:6" x14ac:dyDescent="0.25">
      <c r="C497" s="1119"/>
      <c r="D497" s="1177"/>
      <c r="E497" s="1177"/>
      <c r="F497" s="1177"/>
    </row>
    <row r="498" spans="3:6" x14ac:dyDescent="0.25">
      <c r="C498" s="1119"/>
      <c r="D498" s="1177"/>
      <c r="E498" s="1177"/>
      <c r="F498" s="1177"/>
    </row>
    <row r="499" spans="3:6" x14ac:dyDescent="0.25">
      <c r="C499" s="1119"/>
      <c r="D499" s="1177"/>
      <c r="E499" s="1177"/>
      <c r="F499" s="1177"/>
    </row>
    <row r="500" spans="3:6" x14ac:dyDescent="0.25">
      <c r="C500" s="1119"/>
      <c r="D500" s="1177"/>
      <c r="E500" s="1177"/>
      <c r="F500" s="1177"/>
    </row>
    <row r="501" spans="3:6" x14ac:dyDescent="0.25">
      <c r="C501" s="1119"/>
      <c r="D501" s="1177"/>
      <c r="E501" s="1177"/>
      <c r="F501" s="1177"/>
    </row>
    <row r="502" spans="3:6" x14ac:dyDescent="0.25">
      <c r="C502" s="1119"/>
      <c r="D502" s="1177"/>
      <c r="E502" s="1177"/>
      <c r="F502" s="1177"/>
    </row>
    <row r="503" spans="3:6" x14ac:dyDescent="0.25">
      <c r="C503" s="1119"/>
      <c r="D503" s="1177"/>
      <c r="E503" s="1177"/>
      <c r="F503" s="1177"/>
    </row>
    <row r="504" spans="3:6" x14ac:dyDescent="0.25">
      <c r="C504" s="1119"/>
      <c r="D504" s="1177"/>
      <c r="E504" s="1177"/>
      <c r="F504" s="1177"/>
    </row>
    <row r="505" spans="3:6" x14ac:dyDescent="0.25">
      <c r="C505" s="1119"/>
      <c r="D505" s="1177"/>
      <c r="E505" s="1177"/>
      <c r="F505" s="1177"/>
    </row>
    <row r="506" spans="3:6" x14ac:dyDescent="0.25">
      <c r="C506" s="1119"/>
      <c r="D506" s="1177"/>
      <c r="E506" s="1177"/>
      <c r="F506" s="1177"/>
    </row>
    <row r="507" spans="3:6" x14ac:dyDescent="0.25">
      <c r="C507" s="1119"/>
      <c r="D507" s="1177"/>
      <c r="E507" s="1177"/>
      <c r="F507" s="1177"/>
    </row>
    <row r="508" spans="3:6" x14ac:dyDescent="0.25">
      <c r="C508" s="1119"/>
      <c r="D508" s="1177"/>
      <c r="E508" s="1177"/>
      <c r="F508" s="1177"/>
    </row>
    <row r="509" spans="3:6" x14ac:dyDescent="0.25">
      <c r="C509" s="1119"/>
      <c r="D509" s="1177"/>
      <c r="E509" s="1177"/>
      <c r="F509" s="1177"/>
    </row>
    <row r="510" spans="3:6" x14ac:dyDescent="0.25">
      <c r="C510" s="1119"/>
      <c r="D510" s="1177"/>
      <c r="E510" s="1177"/>
      <c r="F510" s="1177"/>
    </row>
    <row r="511" spans="3:6" x14ac:dyDescent="0.25">
      <c r="C511" s="1119"/>
      <c r="D511" s="1177"/>
      <c r="E511" s="1177"/>
      <c r="F511" s="1177"/>
    </row>
    <row r="512" spans="3:6" x14ac:dyDescent="0.25">
      <c r="C512" s="1119"/>
      <c r="D512" s="1177"/>
      <c r="E512" s="1177"/>
      <c r="F512" s="1177"/>
    </row>
    <row r="513" spans="3:6" x14ac:dyDescent="0.25">
      <c r="C513" s="1119"/>
      <c r="D513" s="1177"/>
      <c r="E513" s="1177"/>
      <c r="F513" s="1177"/>
    </row>
    <row r="514" spans="3:6" x14ac:dyDescent="0.25">
      <c r="C514" s="1119"/>
      <c r="D514" s="1177"/>
      <c r="E514" s="1177"/>
      <c r="F514" s="1177"/>
    </row>
    <row r="515" spans="3:6" x14ac:dyDescent="0.25">
      <c r="C515" s="1119"/>
      <c r="D515" s="1177"/>
      <c r="E515" s="1177"/>
      <c r="F515" s="1177"/>
    </row>
    <row r="516" spans="3:6" x14ac:dyDescent="0.25">
      <c r="C516" s="1119"/>
      <c r="D516" s="1177"/>
      <c r="E516" s="1177"/>
      <c r="F516" s="1177"/>
    </row>
    <row r="517" spans="3:6" x14ac:dyDescent="0.25">
      <c r="C517" s="1119"/>
      <c r="D517" s="1177"/>
      <c r="E517" s="1177"/>
      <c r="F517" s="1177"/>
    </row>
    <row r="518" spans="3:6" x14ac:dyDescent="0.25">
      <c r="C518" s="1119"/>
      <c r="D518" s="1177"/>
      <c r="E518" s="1177"/>
      <c r="F518" s="1177"/>
    </row>
    <row r="519" spans="3:6" x14ac:dyDescent="0.25">
      <c r="C519" s="1119"/>
      <c r="D519" s="1177"/>
      <c r="E519" s="1177"/>
      <c r="F519" s="1177"/>
    </row>
    <row r="520" spans="3:6" x14ac:dyDescent="0.25">
      <c r="C520" s="1119"/>
      <c r="D520" s="1177"/>
      <c r="E520" s="1177"/>
      <c r="F520" s="1177"/>
    </row>
    <row r="521" spans="3:6" x14ac:dyDescent="0.25">
      <c r="C521" s="1119"/>
      <c r="D521" s="1177"/>
      <c r="E521" s="1177"/>
      <c r="F521" s="1177"/>
    </row>
    <row r="522" spans="3:6" x14ac:dyDescent="0.25">
      <c r="C522" s="1119"/>
      <c r="D522" s="1177"/>
      <c r="E522" s="1177"/>
      <c r="F522" s="1177"/>
    </row>
    <row r="523" spans="3:6" x14ac:dyDescent="0.25">
      <c r="C523" s="1119"/>
      <c r="D523" s="1177"/>
      <c r="E523" s="1177"/>
      <c r="F523" s="1177"/>
    </row>
    <row r="524" spans="3:6" x14ac:dyDescent="0.25">
      <c r="C524" s="1119"/>
      <c r="D524" s="1177"/>
      <c r="E524" s="1177"/>
      <c r="F524" s="1177"/>
    </row>
    <row r="525" spans="3:6" x14ac:dyDescent="0.25">
      <c r="C525" s="1119"/>
      <c r="D525" s="1177"/>
      <c r="E525" s="1177"/>
      <c r="F525" s="1177"/>
    </row>
    <row r="526" spans="3:6" x14ac:dyDescent="0.25">
      <c r="C526" s="1119"/>
      <c r="D526" s="1177"/>
      <c r="E526" s="1177"/>
      <c r="F526" s="1177"/>
    </row>
    <row r="527" spans="3:6" x14ac:dyDescent="0.25">
      <c r="C527" s="1119"/>
      <c r="D527" s="1177"/>
      <c r="E527" s="1177"/>
      <c r="F527" s="1177"/>
    </row>
    <row r="528" spans="3:6" x14ac:dyDescent="0.25">
      <c r="C528" s="1119"/>
      <c r="D528" s="1177"/>
      <c r="E528" s="1177"/>
      <c r="F528" s="1177"/>
    </row>
    <row r="529" spans="3:6" x14ac:dyDescent="0.25">
      <c r="C529" s="1119"/>
      <c r="D529" s="1177"/>
      <c r="E529" s="1177"/>
      <c r="F529" s="1177"/>
    </row>
    <row r="530" spans="3:6" x14ac:dyDescent="0.25">
      <c r="C530" s="1119"/>
      <c r="D530" s="1177"/>
      <c r="E530" s="1177"/>
      <c r="F530" s="1177"/>
    </row>
    <row r="531" spans="3:6" x14ac:dyDescent="0.25">
      <c r="C531" s="1119"/>
      <c r="D531" s="1177"/>
      <c r="E531" s="1177"/>
      <c r="F531" s="1177"/>
    </row>
    <row r="532" spans="3:6" x14ac:dyDescent="0.25">
      <c r="C532" s="1119"/>
      <c r="D532" s="1177"/>
      <c r="E532" s="1177"/>
      <c r="F532" s="1177"/>
    </row>
    <row r="533" spans="3:6" x14ac:dyDescent="0.25">
      <c r="C533" s="1119"/>
      <c r="D533" s="1177"/>
      <c r="E533" s="1177"/>
      <c r="F533" s="1177"/>
    </row>
    <row r="534" spans="3:6" x14ac:dyDescent="0.25">
      <c r="C534" s="1119"/>
      <c r="D534" s="1177"/>
      <c r="E534" s="1177"/>
      <c r="F534" s="1177"/>
    </row>
    <row r="535" spans="3:6" x14ac:dyDescent="0.25">
      <c r="C535" s="1119"/>
      <c r="D535" s="1177"/>
      <c r="E535" s="1177"/>
      <c r="F535" s="1177"/>
    </row>
    <row r="536" spans="3:6" x14ac:dyDescent="0.25">
      <c r="C536" s="1119"/>
      <c r="D536" s="1177"/>
      <c r="E536" s="1177"/>
      <c r="F536" s="1177"/>
    </row>
    <row r="537" spans="3:6" x14ac:dyDescent="0.25">
      <c r="C537" s="1119"/>
      <c r="D537" s="1177"/>
      <c r="E537" s="1177"/>
      <c r="F537" s="1177"/>
    </row>
    <row r="538" spans="3:6" x14ac:dyDescent="0.25">
      <c r="C538" s="1119"/>
      <c r="D538" s="1177"/>
      <c r="E538" s="1177"/>
      <c r="F538" s="1177"/>
    </row>
    <row r="539" spans="3:6" x14ac:dyDescent="0.25">
      <c r="C539" s="1119"/>
      <c r="D539" s="1177"/>
      <c r="E539" s="1177"/>
      <c r="F539" s="1177"/>
    </row>
    <row r="540" spans="3:6" x14ac:dyDescent="0.25">
      <c r="C540" s="1119"/>
      <c r="D540" s="1177"/>
      <c r="E540" s="1177"/>
      <c r="F540" s="1177"/>
    </row>
    <row r="541" spans="3:6" x14ac:dyDescent="0.25">
      <c r="C541" s="1119"/>
      <c r="D541" s="1177"/>
      <c r="E541" s="1177"/>
      <c r="F541" s="1177"/>
    </row>
    <row r="542" spans="3:6" x14ac:dyDescent="0.25">
      <c r="C542" s="1119"/>
      <c r="D542" s="1177"/>
      <c r="E542" s="1177"/>
      <c r="F542" s="1177"/>
    </row>
    <row r="543" spans="3:6" x14ac:dyDescent="0.25">
      <c r="C543" s="1119"/>
      <c r="D543" s="1177"/>
      <c r="E543" s="1177"/>
      <c r="F543" s="1177"/>
    </row>
    <row r="544" spans="3:6" x14ac:dyDescent="0.25">
      <c r="C544" s="1119"/>
      <c r="D544" s="1177"/>
      <c r="E544" s="1177"/>
      <c r="F544" s="1177"/>
    </row>
    <row r="545" spans="3:6" x14ac:dyDescent="0.25">
      <c r="C545" s="1119"/>
      <c r="D545" s="1177"/>
      <c r="E545" s="1177"/>
      <c r="F545" s="1177"/>
    </row>
    <row r="546" spans="3:6" x14ac:dyDescent="0.25">
      <c r="C546" s="1119"/>
      <c r="D546" s="1177"/>
      <c r="E546" s="1177"/>
      <c r="F546" s="1177"/>
    </row>
    <row r="547" spans="3:6" x14ac:dyDescent="0.25">
      <c r="C547" s="1119"/>
      <c r="D547" s="1177"/>
      <c r="E547" s="1177"/>
      <c r="F547" s="1177"/>
    </row>
    <row r="548" spans="3:6" x14ac:dyDescent="0.25">
      <c r="C548" s="1119"/>
      <c r="D548" s="1177"/>
      <c r="E548" s="1177"/>
      <c r="F548" s="1177"/>
    </row>
    <row r="549" spans="3:6" x14ac:dyDescent="0.25">
      <c r="C549" s="1119"/>
      <c r="D549" s="1177"/>
      <c r="E549" s="1177"/>
      <c r="F549" s="1177"/>
    </row>
    <row r="550" spans="3:6" x14ac:dyDescent="0.25">
      <c r="C550" s="1119"/>
      <c r="D550" s="1177"/>
      <c r="E550" s="1177"/>
      <c r="F550" s="1177"/>
    </row>
    <row r="551" spans="3:6" x14ac:dyDescent="0.25">
      <c r="C551" s="1119"/>
      <c r="D551" s="1177"/>
      <c r="E551" s="1177"/>
      <c r="F551" s="1177"/>
    </row>
    <row r="552" spans="3:6" x14ac:dyDescent="0.25">
      <c r="C552" s="1119"/>
      <c r="D552" s="1177"/>
      <c r="E552" s="1177"/>
      <c r="F552" s="1177"/>
    </row>
    <row r="553" spans="3:6" x14ac:dyDescent="0.25">
      <c r="C553" s="1119"/>
      <c r="D553" s="1177"/>
      <c r="E553" s="1177"/>
      <c r="F553" s="1177"/>
    </row>
    <row r="554" spans="3:6" x14ac:dyDescent="0.25">
      <c r="C554" s="1119"/>
      <c r="D554" s="1177"/>
      <c r="E554" s="1177"/>
      <c r="F554" s="1177"/>
    </row>
    <row r="555" spans="3:6" x14ac:dyDescent="0.25">
      <c r="C555" s="1119"/>
      <c r="D555" s="1177"/>
      <c r="E555" s="1177"/>
      <c r="F555" s="1177"/>
    </row>
    <row r="556" spans="3:6" x14ac:dyDescent="0.25">
      <c r="C556" s="1119"/>
      <c r="D556" s="1177"/>
      <c r="E556" s="1177"/>
      <c r="F556" s="1177"/>
    </row>
    <row r="557" spans="3:6" x14ac:dyDescent="0.25">
      <c r="C557" s="1119"/>
      <c r="D557" s="1177"/>
      <c r="E557" s="1177"/>
      <c r="F557" s="1177"/>
    </row>
    <row r="558" spans="3:6" x14ac:dyDescent="0.25">
      <c r="C558" s="1119"/>
      <c r="D558" s="1177"/>
      <c r="E558" s="1177"/>
      <c r="F558" s="1177"/>
    </row>
    <row r="559" spans="3:6" x14ac:dyDescent="0.25">
      <c r="C559" s="1119"/>
      <c r="D559" s="1177"/>
      <c r="E559" s="1177"/>
      <c r="F559" s="1177"/>
    </row>
    <row r="560" spans="3:6" x14ac:dyDescent="0.25">
      <c r="C560" s="1119"/>
      <c r="D560" s="1177"/>
      <c r="E560" s="1177"/>
      <c r="F560" s="1177"/>
    </row>
    <row r="561" spans="3:6" x14ac:dyDescent="0.25">
      <c r="C561" s="1119"/>
      <c r="D561" s="1177"/>
      <c r="E561" s="1177"/>
      <c r="F561" s="1177"/>
    </row>
    <row r="562" spans="3:6" x14ac:dyDescent="0.25">
      <c r="C562" s="1119"/>
      <c r="D562" s="1177"/>
      <c r="E562" s="1177"/>
      <c r="F562" s="1177"/>
    </row>
    <row r="563" spans="3:6" x14ac:dyDescent="0.25">
      <c r="C563" s="1119"/>
      <c r="D563" s="1177"/>
      <c r="E563" s="1177"/>
      <c r="F563" s="1177"/>
    </row>
    <row r="564" spans="3:6" x14ac:dyDescent="0.25">
      <c r="C564" s="1119"/>
      <c r="D564" s="1177"/>
      <c r="E564" s="1177"/>
      <c r="F564" s="1177"/>
    </row>
    <row r="565" spans="3:6" x14ac:dyDescent="0.25">
      <c r="C565" s="1119"/>
      <c r="D565" s="1177"/>
      <c r="E565" s="1177"/>
      <c r="F565" s="1177"/>
    </row>
    <row r="566" spans="3:6" x14ac:dyDescent="0.25">
      <c r="C566" s="1119"/>
      <c r="D566" s="1177"/>
      <c r="E566" s="1177"/>
      <c r="F566" s="1177"/>
    </row>
    <row r="567" spans="3:6" x14ac:dyDescent="0.25">
      <c r="C567" s="1119"/>
      <c r="D567" s="1177"/>
      <c r="E567" s="1177"/>
      <c r="F567" s="1177"/>
    </row>
    <row r="568" spans="3:6" x14ac:dyDescent="0.25">
      <c r="C568" s="1119"/>
      <c r="D568" s="1177"/>
      <c r="E568" s="1177"/>
      <c r="F568" s="1177"/>
    </row>
    <row r="569" spans="3:6" x14ac:dyDescent="0.25">
      <c r="C569" s="1119"/>
      <c r="D569" s="1177"/>
      <c r="E569" s="1177"/>
      <c r="F569" s="1177"/>
    </row>
    <row r="570" spans="3:6" x14ac:dyDescent="0.25">
      <c r="C570" s="1119"/>
      <c r="D570" s="1177"/>
      <c r="E570" s="1177"/>
      <c r="F570" s="1177"/>
    </row>
    <row r="571" spans="3:6" x14ac:dyDescent="0.25">
      <c r="C571" s="1119"/>
      <c r="D571" s="1177"/>
      <c r="E571" s="1177"/>
      <c r="F571" s="1177"/>
    </row>
    <row r="572" spans="3:6" x14ac:dyDescent="0.25">
      <c r="C572" s="1119"/>
      <c r="D572" s="1177"/>
      <c r="E572" s="1177"/>
      <c r="F572" s="1177"/>
    </row>
    <row r="573" spans="3:6" x14ac:dyDescent="0.25">
      <c r="C573" s="1119"/>
      <c r="D573" s="1177"/>
      <c r="E573" s="1177"/>
      <c r="F573" s="1177"/>
    </row>
    <row r="574" spans="3:6" x14ac:dyDescent="0.25">
      <c r="C574" s="1119"/>
      <c r="D574" s="1177"/>
      <c r="E574" s="1177"/>
      <c r="F574" s="1177"/>
    </row>
    <row r="575" spans="3:6" x14ac:dyDescent="0.25">
      <c r="C575" s="1119"/>
      <c r="D575" s="1177"/>
      <c r="E575" s="1177"/>
      <c r="F575" s="1177"/>
    </row>
    <row r="576" spans="3:6" x14ac:dyDescent="0.25">
      <c r="C576" s="1119"/>
      <c r="D576" s="1177"/>
      <c r="E576" s="1177"/>
      <c r="F576" s="1177"/>
    </row>
    <row r="577" spans="3:6" x14ac:dyDescent="0.25">
      <c r="C577" s="1119"/>
      <c r="D577" s="1177"/>
      <c r="E577" s="1177"/>
      <c r="F577" s="1177"/>
    </row>
    <row r="578" spans="3:6" x14ac:dyDescent="0.25">
      <c r="C578" s="1119"/>
      <c r="D578" s="1177"/>
      <c r="E578" s="1177"/>
      <c r="F578" s="1177"/>
    </row>
    <row r="579" spans="3:6" x14ac:dyDescent="0.25">
      <c r="C579" s="1119"/>
      <c r="D579" s="1177"/>
      <c r="E579" s="1177"/>
      <c r="F579" s="1177"/>
    </row>
    <row r="580" spans="3:6" x14ac:dyDescent="0.25">
      <c r="C580" s="1119"/>
      <c r="D580" s="1177"/>
      <c r="E580" s="1177"/>
      <c r="F580" s="1177"/>
    </row>
    <row r="581" spans="3:6" x14ac:dyDescent="0.25">
      <c r="C581" s="1119"/>
      <c r="D581" s="1177"/>
      <c r="E581" s="1177"/>
      <c r="F581" s="1177"/>
    </row>
    <row r="582" spans="3:6" x14ac:dyDescent="0.25">
      <c r="C582" s="1119"/>
      <c r="D582" s="1177"/>
      <c r="E582" s="1177"/>
      <c r="F582" s="1177"/>
    </row>
    <row r="583" spans="3:6" x14ac:dyDescent="0.25">
      <c r="C583" s="1119"/>
      <c r="D583" s="1177"/>
      <c r="E583" s="1177"/>
      <c r="F583" s="1177"/>
    </row>
    <row r="584" spans="3:6" x14ac:dyDescent="0.25">
      <c r="C584" s="1119"/>
      <c r="D584" s="1177"/>
      <c r="E584" s="1177"/>
      <c r="F584" s="1177"/>
    </row>
    <row r="585" spans="3:6" x14ac:dyDescent="0.25">
      <c r="C585" s="1119"/>
      <c r="D585" s="1177"/>
      <c r="E585" s="1177"/>
      <c r="F585" s="1177"/>
    </row>
    <row r="586" spans="3:6" x14ac:dyDescent="0.25">
      <c r="C586" s="1119"/>
      <c r="D586" s="1177"/>
      <c r="E586" s="1177"/>
      <c r="F586" s="1177"/>
    </row>
    <row r="587" spans="3:6" x14ac:dyDescent="0.25">
      <c r="C587" s="1119"/>
      <c r="D587" s="1177"/>
      <c r="E587" s="1177"/>
      <c r="F587" s="1177"/>
    </row>
    <row r="588" spans="3:6" x14ac:dyDescent="0.25">
      <c r="C588" s="1119"/>
      <c r="D588" s="1177"/>
      <c r="E588" s="1177"/>
      <c r="F588" s="1177"/>
    </row>
    <row r="589" spans="3:6" x14ac:dyDescent="0.25">
      <c r="C589" s="1119"/>
      <c r="D589" s="1177"/>
      <c r="E589" s="1177"/>
      <c r="F589" s="1177"/>
    </row>
    <row r="590" spans="3:6" x14ac:dyDescent="0.25">
      <c r="C590" s="1119"/>
      <c r="D590" s="1177"/>
      <c r="E590" s="1177"/>
      <c r="F590" s="1177"/>
    </row>
    <row r="591" spans="3:6" x14ac:dyDescent="0.25">
      <c r="C591" s="1119"/>
      <c r="D591" s="1177"/>
      <c r="E591" s="1177"/>
      <c r="F591" s="1177"/>
    </row>
    <row r="592" spans="3:6" x14ac:dyDescent="0.25">
      <c r="C592" s="1119"/>
      <c r="D592" s="1177"/>
      <c r="E592" s="1177"/>
      <c r="F592" s="1177"/>
    </row>
    <row r="593" spans="3:6" x14ac:dyDescent="0.25">
      <c r="C593" s="1119"/>
      <c r="D593" s="1177"/>
      <c r="E593" s="1177"/>
      <c r="F593" s="1177"/>
    </row>
    <row r="594" spans="3:6" x14ac:dyDescent="0.25">
      <c r="C594" s="1119"/>
      <c r="D594" s="1177"/>
      <c r="E594" s="1177"/>
      <c r="F594" s="1177"/>
    </row>
    <row r="595" spans="3:6" x14ac:dyDescent="0.25">
      <c r="C595" s="1119"/>
      <c r="D595" s="1177"/>
      <c r="E595" s="1177"/>
      <c r="F595" s="1177"/>
    </row>
    <row r="596" spans="3:6" x14ac:dyDescent="0.25">
      <c r="C596" s="1119"/>
      <c r="D596" s="1177"/>
      <c r="E596" s="1177"/>
      <c r="F596" s="1177"/>
    </row>
    <row r="597" spans="3:6" x14ac:dyDescent="0.25">
      <c r="C597" s="1119"/>
      <c r="D597" s="1177"/>
      <c r="E597" s="1177"/>
      <c r="F597" s="1177"/>
    </row>
    <row r="598" spans="3:6" x14ac:dyDescent="0.25">
      <c r="C598" s="1119"/>
      <c r="D598" s="1177"/>
      <c r="E598" s="1177"/>
      <c r="F598" s="1177"/>
    </row>
    <row r="599" spans="3:6" x14ac:dyDescent="0.25">
      <c r="C599" s="1119"/>
      <c r="D599" s="1177"/>
      <c r="E599" s="1177"/>
      <c r="F599" s="1177"/>
    </row>
    <row r="600" spans="3:6" x14ac:dyDescent="0.25">
      <c r="C600" s="1119"/>
      <c r="D600" s="1177"/>
      <c r="E600" s="1177"/>
      <c r="F600" s="1177"/>
    </row>
    <row r="601" spans="3:6" x14ac:dyDescent="0.25">
      <c r="C601" s="1119"/>
      <c r="D601" s="1177"/>
      <c r="E601" s="1177"/>
      <c r="F601" s="1177"/>
    </row>
    <row r="602" spans="3:6" x14ac:dyDescent="0.25">
      <c r="C602" s="1119"/>
      <c r="D602" s="1177"/>
      <c r="E602" s="1177"/>
      <c r="F602" s="1177"/>
    </row>
    <row r="603" spans="3:6" x14ac:dyDescent="0.25">
      <c r="C603" s="1119"/>
      <c r="D603" s="1177"/>
      <c r="E603" s="1177"/>
      <c r="F603" s="1177"/>
    </row>
    <row r="604" spans="3:6" x14ac:dyDescent="0.25">
      <c r="C604" s="1119"/>
      <c r="D604" s="1177"/>
      <c r="E604" s="1177"/>
      <c r="F604" s="1177"/>
    </row>
    <row r="605" spans="3:6" x14ac:dyDescent="0.25">
      <c r="C605" s="1119"/>
      <c r="D605" s="1177"/>
      <c r="E605" s="1177"/>
      <c r="F605" s="1177"/>
    </row>
    <row r="606" spans="3:6" x14ac:dyDescent="0.25">
      <c r="C606" s="1119"/>
      <c r="D606" s="1177"/>
      <c r="E606" s="1177"/>
      <c r="F606" s="1177"/>
    </row>
    <row r="607" spans="3:6" x14ac:dyDescent="0.25">
      <c r="C607" s="1119"/>
      <c r="D607" s="1177"/>
      <c r="E607" s="1177"/>
      <c r="F607" s="1177"/>
    </row>
    <row r="608" spans="3:6" x14ac:dyDescent="0.25">
      <c r="C608" s="1119"/>
      <c r="D608" s="1177"/>
      <c r="E608" s="1177"/>
      <c r="F608" s="1177"/>
    </row>
    <row r="609" spans="3:6" x14ac:dyDescent="0.25">
      <c r="C609" s="1119"/>
      <c r="D609" s="1177"/>
      <c r="E609" s="1177"/>
      <c r="F609" s="1177"/>
    </row>
    <row r="610" spans="3:6" x14ac:dyDescent="0.25">
      <c r="C610" s="1119"/>
      <c r="D610" s="1177"/>
      <c r="E610" s="1177"/>
      <c r="F610" s="1177"/>
    </row>
    <row r="611" spans="3:6" x14ac:dyDescent="0.25">
      <c r="C611" s="1119"/>
      <c r="D611" s="1177"/>
      <c r="E611" s="1177"/>
      <c r="F611" s="1177"/>
    </row>
    <row r="612" spans="3:6" x14ac:dyDescent="0.25">
      <c r="C612" s="1119"/>
      <c r="D612" s="1177"/>
      <c r="E612" s="1177"/>
      <c r="F612" s="1177"/>
    </row>
    <row r="613" spans="3:6" x14ac:dyDescent="0.25">
      <c r="C613" s="1119"/>
      <c r="D613" s="1177"/>
      <c r="E613" s="1177"/>
      <c r="F613" s="1177"/>
    </row>
    <row r="614" spans="3:6" x14ac:dyDescent="0.25">
      <c r="C614" s="1119"/>
      <c r="D614" s="1177"/>
      <c r="E614" s="1177"/>
      <c r="F614" s="1177"/>
    </row>
    <row r="615" spans="3:6" x14ac:dyDescent="0.25">
      <c r="C615" s="1119"/>
      <c r="D615" s="1177"/>
      <c r="E615" s="1177"/>
      <c r="F615" s="1177"/>
    </row>
    <row r="616" spans="3:6" x14ac:dyDescent="0.25">
      <c r="C616" s="1119"/>
      <c r="D616" s="1177"/>
      <c r="E616" s="1177"/>
      <c r="F616" s="1177"/>
    </row>
    <row r="617" spans="3:6" x14ac:dyDescent="0.25">
      <c r="C617" s="1119"/>
      <c r="D617" s="1177"/>
      <c r="E617" s="1177"/>
      <c r="F617" s="1177"/>
    </row>
    <row r="618" spans="3:6" x14ac:dyDescent="0.25">
      <c r="C618" s="1119"/>
      <c r="D618" s="1177"/>
      <c r="E618" s="1177"/>
      <c r="F618" s="1177"/>
    </row>
    <row r="619" spans="3:6" x14ac:dyDescent="0.25">
      <c r="C619" s="1119"/>
      <c r="D619" s="1177"/>
      <c r="E619" s="1177"/>
      <c r="F619" s="1177"/>
    </row>
    <row r="620" spans="3:6" x14ac:dyDescent="0.25">
      <c r="C620" s="1119"/>
      <c r="D620" s="1177"/>
      <c r="E620" s="1177"/>
      <c r="F620" s="1177"/>
    </row>
    <row r="621" spans="3:6" x14ac:dyDescent="0.25">
      <c r="C621" s="1119"/>
      <c r="D621" s="1177"/>
      <c r="E621" s="1177"/>
      <c r="F621" s="1177"/>
    </row>
    <row r="622" spans="3:6" x14ac:dyDescent="0.25">
      <c r="C622" s="1119"/>
      <c r="D622" s="1177"/>
      <c r="E622" s="1177"/>
      <c r="F622" s="1177"/>
    </row>
    <row r="623" spans="3:6" x14ac:dyDescent="0.25">
      <c r="C623" s="1119"/>
      <c r="D623" s="1177"/>
      <c r="E623" s="1177"/>
      <c r="F623" s="1177"/>
    </row>
    <row r="624" spans="3:6" x14ac:dyDescent="0.25">
      <c r="C624" s="1119"/>
      <c r="D624" s="1177"/>
      <c r="E624" s="1177"/>
      <c r="F624" s="1177"/>
    </row>
    <row r="625" spans="3:6" x14ac:dyDescent="0.25">
      <c r="C625" s="1119"/>
      <c r="D625" s="1177"/>
      <c r="E625" s="1177"/>
      <c r="F625" s="1177"/>
    </row>
    <row r="626" spans="3:6" x14ac:dyDescent="0.25">
      <c r="C626" s="1119"/>
      <c r="D626" s="1177"/>
      <c r="E626" s="1177"/>
      <c r="F626" s="1177"/>
    </row>
    <row r="627" spans="3:6" x14ac:dyDescent="0.25">
      <c r="C627" s="1119"/>
      <c r="D627" s="1177"/>
      <c r="E627" s="1177"/>
      <c r="F627" s="1177"/>
    </row>
    <row r="628" spans="3:6" x14ac:dyDescent="0.25">
      <c r="C628" s="1119"/>
      <c r="D628" s="1177"/>
      <c r="E628" s="1177"/>
      <c r="F628" s="1177"/>
    </row>
    <row r="629" spans="3:6" x14ac:dyDescent="0.25">
      <c r="C629" s="1119"/>
      <c r="D629" s="1177"/>
      <c r="E629" s="1177"/>
      <c r="F629" s="1177"/>
    </row>
    <row r="630" spans="3:6" x14ac:dyDescent="0.25">
      <c r="C630" s="1119"/>
      <c r="D630" s="1177"/>
      <c r="E630" s="1177"/>
      <c r="F630" s="1177"/>
    </row>
    <row r="631" spans="3:6" x14ac:dyDescent="0.25">
      <c r="C631" s="1119"/>
      <c r="D631" s="1177"/>
      <c r="E631" s="1177"/>
      <c r="F631" s="1177"/>
    </row>
    <row r="632" spans="3:6" x14ac:dyDescent="0.25">
      <c r="C632" s="1119"/>
      <c r="D632" s="1177"/>
      <c r="E632" s="1177"/>
      <c r="F632" s="1177"/>
    </row>
    <row r="633" spans="3:6" x14ac:dyDescent="0.25">
      <c r="C633" s="1119"/>
      <c r="D633" s="1177"/>
      <c r="E633" s="1177"/>
      <c r="F633" s="1177"/>
    </row>
    <row r="634" spans="3:6" x14ac:dyDescent="0.25">
      <c r="C634" s="1119"/>
      <c r="D634" s="1177"/>
      <c r="E634" s="1177"/>
      <c r="F634" s="1177"/>
    </row>
    <row r="635" spans="3:6" x14ac:dyDescent="0.25">
      <c r="C635" s="1119"/>
      <c r="D635" s="1177"/>
      <c r="E635" s="1177"/>
      <c r="F635" s="1177"/>
    </row>
    <row r="636" spans="3:6" x14ac:dyDescent="0.25">
      <c r="C636" s="1119"/>
      <c r="D636" s="1177"/>
      <c r="E636" s="1177"/>
      <c r="F636" s="1177"/>
    </row>
    <row r="637" spans="3:6" x14ac:dyDescent="0.25">
      <c r="C637" s="1119"/>
      <c r="D637" s="1177"/>
      <c r="E637" s="1177"/>
      <c r="F637" s="1177"/>
    </row>
    <row r="638" spans="3:6" x14ac:dyDescent="0.25">
      <c r="C638" s="1119"/>
      <c r="D638" s="1177"/>
      <c r="E638" s="1177"/>
      <c r="F638" s="1177"/>
    </row>
    <row r="639" spans="3:6" x14ac:dyDescent="0.25">
      <c r="C639" s="1119"/>
      <c r="D639" s="1177"/>
      <c r="E639" s="1177"/>
      <c r="F639" s="1177"/>
    </row>
    <row r="640" spans="3:6" x14ac:dyDescent="0.25">
      <c r="C640" s="1119"/>
      <c r="D640" s="1177"/>
      <c r="E640" s="1177"/>
      <c r="F640" s="1177"/>
    </row>
    <row r="641" spans="3:6" x14ac:dyDescent="0.25">
      <c r="C641" s="1119"/>
      <c r="D641" s="1177"/>
      <c r="E641" s="1177"/>
      <c r="F641" s="1177"/>
    </row>
    <row r="642" spans="3:6" x14ac:dyDescent="0.25">
      <c r="C642" s="1119"/>
      <c r="D642" s="1177"/>
      <c r="E642" s="1177"/>
      <c r="F642" s="1177"/>
    </row>
    <row r="643" spans="3:6" x14ac:dyDescent="0.25">
      <c r="C643" s="1119"/>
      <c r="D643" s="1177"/>
      <c r="E643" s="1177"/>
      <c r="F643" s="1177"/>
    </row>
    <row r="644" spans="3:6" x14ac:dyDescent="0.25">
      <c r="C644" s="1119"/>
      <c r="D644" s="1177"/>
      <c r="E644" s="1177"/>
      <c r="F644" s="1177"/>
    </row>
    <row r="645" spans="3:6" x14ac:dyDescent="0.25">
      <c r="C645" s="1119"/>
      <c r="D645" s="1177"/>
      <c r="E645" s="1177"/>
      <c r="F645" s="1177"/>
    </row>
    <row r="646" spans="3:6" x14ac:dyDescent="0.25">
      <c r="C646" s="1119"/>
      <c r="D646" s="1177"/>
      <c r="E646" s="1177"/>
      <c r="F646" s="1177"/>
    </row>
    <row r="647" spans="3:6" x14ac:dyDescent="0.25">
      <c r="C647" s="1119"/>
      <c r="D647" s="1177"/>
      <c r="E647" s="1177"/>
      <c r="F647" s="1177"/>
    </row>
    <row r="648" spans="3:6" x14ac:dyDescent="0.25">
      <c r="C648" s="1119"/>
      <c r="D648" s="1177"/>
      <c r="E648" s="1177"/>
      <c r="F648" s="1177"/>
    </row>
    <row r="649" spans="3:6" x14ac:dyDescent="0.25">
      <c r="C649" s="1119"/>
      <c r="D649" s="1177"/>
      <c r="E649" s="1177"/>
      <c r="F649" s="1177"/>
    </row>
    <row r="650" spans="3:6" x14ac:dyDescent="0.25">
      <c r="C650" s="1119"/>
      <c r="D650" s="1177"/>
      <c r="E650" s="1177"/>
      <c r="F650" s="1177"/>
    </row>
    <row r="651" spans="3:6" x14ac:dyDescent="0.25">
      <c r="C651" s="1119"/>
      <c r="D651" s="1177"/>
      <c r="E651" s="1177"/>
      <c r="F651" s="1177"/>
    </row>
    <row r="652" spans="3:6" x14ac:dyDescent="0.25">
      <c r="C652" s="1119"/>
      <c r="D652" s="1177"/>
      <c r="E652" s="1177"/>
      <c r="F652" s="1177"/>
    </row>
    <row r="653" spans="3:6" x14ac:dyDescent="0.25">
      <c r="C653" s="1119"/>
      <c r="D653" s="1177"/>
      <c r="E653" s="1177"/>
      <c r="F653" s="1177"/>
    </row>
    <row r="654" spans="3:6" x14ac:dyDescent="0.25">
      <c r="C654" s="1119"/>
      <c r="D654" s="1177"/>
      <c r="E654" s="1177"/>
      <c r="F654" s="1177"/>
    </row>
    <row r="655" spans="3:6" x14ac:dyDescent="0.25">
      <c r="C655" s="1119"/>
      <c r="D655" s="1177"/>
      <c r="E655" s="1177"/>
      <c r="F655" s="1177"/>
    </row>
    <row r="656" spans="3:6" x14ac:dyDescent="0.25">
      <c r="C656" s="1119"/>
      <c r="D656" s="1177"/>
      <c r="E656" s="1177"/>
      <c r="F656" s="1177"/>
    </row>
    <row r="657" spans="3:6" x14ac:dyDescent="0.25">
      <c r="C657" s="1119"/>
      <c r="D657" s="1177"/>
      <c r="E657" s="1177"/>
      <c r="F657" s="1177"/>
    </row>
    <row r="658" spans="3:6" x14ac:dyDescent="0.25">
      <c r="C658" s="1119"/>
      <c r="D658" s="1177"/>
      <c r="E658" s="1177"/>
      <c r="F658" s="1177"/>
    </row>
    <row r="659" spans="3:6" x14ac:dyDescent="0.25">
      <c r="C659" s="1119"/>
      <c r="D659" s="1177"/>
      <c r="E659" s="1177"/>
      <c r="F659" s="1177"/>
    </row>
    <row r="660" spans="3:6" x14ac:dyDescent="0.25">
      <c r="C660" s="1119"/>
      <c r="D660" s="1177"/>
      <c r="E660" s="1177"/>
      <c r="F660" s="1177"/>
    </row>
    <row r="661" spans="3:6" x14ac:dyDescent="0.25">
      <c r="C661" s="1119"/>
      <c r="D661" s="1177"/>
      <c r="E661" s="1177"/>
      <c r="F661" s="1177"/>
    </row>
    <row r="662" spans="3:6" x14ac:dyDescent="0.25">
      <c r="C662" s="1119"/>
      <c r="D662" s="1177"/>
      <c r="E662" s="1177"/>
      <c r="F662" s="1177"/>
    </row>
    <row r="663" spans="3:6" x14ac:dyDescent="0.25">
      <c r="C663" s="1119"/>
      <c r="D663" s="1177"/>
      <c r="E663" s="1177"/>
      <c r="F663" s="1177"/>
    </row>
    <row r="664" spans="3:6" x14ac:dyDescent="0.25">
      <c r="C664" s="1119"/>
      <c r="D664" s="1177"/>
      <c r="E664" s="1177"/>
      <c r="F664" s="1177"/>
    </row>
    <row r="665" spans="3:6" x14ac:dyDescent="0.25">
      <c r="C665" s="1119"/>
      <c r="D665" s="1177"/>
      <c r="E665" s="1177"/>
      <c r="F665" s="1177"/>
    </row>
    <row r="666" spans="3:6" x14ac:dyDescent="0.25">
      <c r="C666" s="1119"/>
      <c r="D666" s="1177"/>
      <c r="E666" s="1177"/>
      <c r="F666" s="1177"/>
    </row>
    <row r="667" spans="3:6" x14ac:dyDescent="0.25">
      <c r="C667" s="1119"/>
      <c r="D667" s="1177"/>
      <c r="E667" s="1177"/>
      <c r="F667" s="1177"/>
    </row>
    <row r="668" spans="3:6" x14ac:dyDescent="0.25">
      <c r="C668" s="1119"/>
      <c r="D668" s="1177"/>
      <c r="E668" s="1177"/>
      <c r="F668" s="1177"/>
    </row>
    <row r="669" spans="3:6" x14ac:dyDescent="0.25">
      <c r="C669" s="1119"/>
      <c r="D669" s="1177"/>
      <c r="E669" s="1177"/>
      <c r="F669" s="1177"/>
    </row>
    <row r="670" spans="3:6" x14ac:dyDescent="0.25">
      <c r="C670" s="1119"/>
      <c r="D670" s="1177"/>
      <c r="E670" s="1177"/>
      <c r="F670" s="1177"/>
    </row>
    <row r="671" spans="3:6" x14ac:dyDescent="0.25">
      <c r="C671" s="1119"/>
      <c r="D671" s="1177"/>
      <c r="E671" s="1177"/>
      <c r="F671" s="1177"/>
    </row>
    <row r="672" spans="3:6" x14ac:dyDescent="0.25">
      <c r="C672" s="1119"/>
      <c r="D672" s="1177"/>
      <c r="E672" s="1177"/>
      <c r="F672" s="1177"/>
    </row>
    <row r="673" spans="3:6" x14ac:dyDescent="0.25">
      <c r="C673" s="1119"/>
      <c r="D673" s="1177"/>
      <c r="E673" s="1177"/>
      <c r="F673" s="1177"/>
    </row>
    <row r="674" spans="3:6" x14ac:dyDescent="0.25">
      <c r="C674" s="1119"/>
      <c r="D674" s="1177"/>
      <c r="E674" s="1177"/>
      <c r="F674" s="1177"/>
    </row>
    <row r="675" spans="3:6" x14ac:dyDescent="0.25">
      <c r="C675" s="1119"/>
      <c r="D675" s="1177"/>
      <c r="E675" s="1177"/>
      <c r="F675" s="1177"/>
    </row>
    <row r="676" spans="3:6" x14ac:dyDescent="0.25">
      <c r="C676" s="1119"/>
      <c r="D676" s="1177"/>
      <c r="E676" s="1177"/>
      <c r="F676" s="1177"/>
    </row>
    <row r="677" spans="3:6" x14ac:dyDescent="0.25">
      <c r="C677" s="1119"/>
      <c r="D677" s="1177"/>
      <c r="E677" s="1177"/>
      <c r="F677" s="1177"/>
    </row>
    <row r="678" spans="3:6" x14ac:dyDescent="0.25">
      <c r="C678" s="1119"/>
      <c r="D678" s="1177"/>
      <c r="E678" s="1177"/>
      <c r="F678" s="1177"/>
    </row>
    <row r="679" spans="3:6" x14ac:dyDescent="0.25">
      <c r="C679" s="1119"/>
      <c r="D679" s="1177"/>
      <c r="E679" s="1177"/>
      <c r="F679" s="1177"/>
    </row>
    <row r="680" spans="3:6" x14ac:dyDescent="0.25">
      <c r="C680" s="1119"/>
      <c r="D680" s="1177"/>
      <c r="E680" s="1177"/>
      <c r="F680" s="1177"/>
    </row>
    <row r="681" spans="3:6" x14ac:dyDescent="0.25">
      <c r="C681" s="1119"/>
      <c r="D681" s="1177"/>
      <c r="E681" s="1177"/>
      <c r="F681" s="1177"/>
    </row>
    <row r="682" spans="3:6" x14ac:dyDescent="0.25">
      <c r="C682" s="1119"/>
      <c r="D682" s="1177"/>
      <c r="E682" s="1177"/>
      <c r="F682" s="1177"/>
    </row>
    <row r="683" spans="3:6" x14ac:dyDescent="0.25">
      <c r="C683" s="1119"/>
      <c r="D683" s="1177"/>
      <c r="E683" s="1177"/>
      <c r="F683" s="1177"/>
    </row>
    <row r="684" spans="3:6" x14ac:dyDescent="0.25">
      <c r="C684" s="1119"/>
      <c r="D684" s="1177"/>
      <c r="E684" s="1177"/>
      <c r="F684" s="1177"/>
    </row>
    <row r="685" spans="3:6" x14ac:dyDescent="0.25">
      <c r="C685" s="1119"/>
      <c r="D685" s="1177"/>
      <c r="E685" s="1177"/>
      <c r="F685" s="1177"/>
    </row>
    <row r="686" spans="3:6" x14ac:dyDescent="0.25">
      <c r="C686" s="1119"/>
      <c r="D686" s="1177"/>
      <c r="E686" s="1177"/>
      <c r="F686" s="1177"/>
    </row>
    <row r="687" spans="3:6" x14ac:dyDescent="0.25">
      <c r="C687" s="1119"/>
      <c r="D687" s="1177"/>
      <c r="E687" s="1177"/>
      <c r="F687" s="1177"/>
    </row>
    <row r="688" spans="3:6" x14ac:dyDescent="0.25">
      <c r="C688" s="1119"/>
      <c r="D688" s="1177"/>
      <c r="E688" s="1177"/>
      <c r="F688" s="1177"/>
    </row>
    <row r="689" spans="3:6" x14ac:dyDescent="0.25">
      <c r="C689" s="1119"/>
      <c r="D689" s="1177"/>
      <c r="E689" s="1177"/>
      <c r="F689" s="1177"/>
    </row>
    <row r="690" spans="3:6" x14ac:dyDescent="0.25">
      <c r="C690" s="1119"/>
      <c r="D690" s="1177"/>
      <c r="E690" s="1177"/>
      <c r="F690" s="1177"/>
    </row>
    <row r="691" spans="3:6" x14ac:dyDescent="0.25">
      <c r="C691" s="1119"/>
      <c r="D691" s="1177"/>
      <c r="E691" s="1177"/>
      <c r="F691" s="1177"/>
    </row>
    <row r="692" spans="3:6" x14ac:dyDescent="0.25">
      <c r="C692" s="1119"/>
      <c r="D692" s="1177"/>
      <c r="E692" s="1177"/>
      <c r="F692" s="1177"/>
    </row>
    <row r="693" spans="3:6" x14ac:dyDescent="0.25">
      <c r="C693" s="1119"/>
      <c r="D693" s="1177"/>
      <c r="E693" s="1177"/>
      <c r="F693" s="1177"/>
    </row>
    <row r="694" spans="3:6" x14ac:dyDescent="0.25">
      <c r="C694" s="1119"/>
      <c r="D694" s="1177"/>
      <c r="E694" s="1177"/>
      <c r="F694" s="1177"/>
    </row>
    <row r="695" spans="3:6" x14ac:dyDescent="0.25">
      <c r="C695" s="1119"/>
      <c r="D695" s="1177"/>
      <c r="E695" s="1177"/>
      <c r="F695" s="1177"/>
    </row>
    <row r="696" spans="3:6" x14ac:dyDescent="0.25">
      <c r="C696" s="1119"/>
      <c r="D696" s="1177"/>
      <c r="E696" s="1177"/>
      <c r="F696" s="1177"/>
    </row>
    <row r="697" spans="3:6" x14ac:dyDescent="0.25">
      <c r="C697" s="1119"/>
      <c r="D697" s="1177"/>
      <c r="E697" s="1177"/>
      <c r="F697" s="1177"/>
    </row>
    <row r="698" spans="3:6" x14ac:dyDescent="0.25">
      <c r="C698" s="1119"/>
      <c r="D698" s="1177"/>
      <c r="E698" s="1177"/>
      <c r="F698" s="1177"/>
    </row>
    <row r="699" spans="3:6" x14ac:dyDescent="0.25">
      <c r="C699" s="1119"/>
      <c r="D699" s="1177"/>
      <c r="E699" s="1177"/>
      <c r="F699" s="1177"/>
    </row>
    <row r="700" spans="3:6" x14ac:dyDescent="0.25">
      <c r="C700" s="1119"/>
      <c r="D700" s="1177"/>
      <c r="E700" s="1177"/>
      <c r="F700" s="1177"/>
    </row>
    <row r="701" spans="3:6" x14ac:dyDescent="0.25">
      <c r="C701" s="1119"/>
      <c r="D701" s="1177"/>
      <c r="E701" s="1177"/>
      <c r="F701" s="1177"/>
    </row>
    <row r="702" spans="3:6" x14ac:dyDescent="0.25">
      <c r="C702" s="1119"/>
      <c r="D702" s="1177"/>
      <c r="E702" s="1177"/>
      <c r="F702" s="1177"/>
    </row>
    <row r="703" spans="3:6" x14ac:dyDescent="0.25">
      <c r="C703" s="1119"/>
      <c r="D703" s="1177"/>
      <c r="E703" s="1177"/>
      <c r="F703" s="1177"/>
    </row>
    <row r="704" spans="3:6" x14ac:dyDescent="0.25">
      <c r="C704" s="1119"/>
      <c r="D704" s="1177"/>
      <c r="E704" s="1177"/>
      <c r="F704" s="1177"/>
    </row>
    <row r="705" spans="3:6" x14ac:dyDescent="0.25">
      <c r="C705" s="1119"/>
      <c r="D705" s="1177"/>
      <c r="E705" s="1177"/>
      <c r="F705" s="1177"/>
    </row>
    <row r="706" spans="3:6" x14ac:dyDescent="0.25">
      <c r="C706" s="1119"/>
      <c r="D706" s="1177"/>
      <c r="E706" s="1177"/>
      <c r="F706" s="1177"/>
    </row>
    <row r="707" spans="3:6" x14ac:dyDescent="0.25">
      <c r="C707" s="1119"/>
      <c r="D707" s="1177"/>
      <c r="E707" s="1177"/>
      <c r="F707" s="1177"/>
    </row>
    <row r="708" spans="3:6" x14ac:dyDescent="0.25">
      <c r="C708" s="1119"/>
      <c r="D708" s="1177"/>
      <c r="E708" s="1177"/>
      <c r="F708" s="1177"/>
    </row>
    <row r="709" spans="3:6" x14ac:dyDescent="0.25">
      <c r="C709" s="1119"/>
      <c r="D709" s="1177"/>
      <c r="E709" s="1177"/>
      <c r="F709" s="1177"/>
    </row>
    <row r="710" spans="3:6" x14ac:dyDescent="0.25">
      <c r="C710" s="1119"/>
      <c r="D710" s="1177"/>
      <c r="E710" s="1177"/>
      <c r="F710" s="1177"/>
    </row>
    <row r="711" spans="3:6" x14ac:dyDescent="0.25">
      <c r="C711" s="1119"/>
      <c r="D711" s="1177"/>
      <c r="E711" s="1177"/>
      <c r="F711" s="1177"/>
    </row>
    <row r="712" spans="3:6" x14ac:dyDescent="0.25">
      <c r="C712" s="1119"/>
      <c r="D712" s="1177"/>
      <c r="E712" s="1177"/>
      <c r="F712" s="1177"/>
    </row>
    <row r="713" spans="3:6" x14ac:dyDescent="0.25">
      <c r="C713" s="1119"/>
      <c r="D713" s="1177"/>
      <c r="E713" s="1177"/>
      <c r="F713" s="1177"/>
    </row>
    <row r="714" spans="3:6" x14ac:dyDescent="0.25">
      <c r="C714" s="1119"/>
      <c r="D714" s="1177"/>
      <c r="E714" s="1177"/>
      <c r="F714" s="1177"/>
    </row>
    <row r="715" spans="3:6" x14ac:dyDescent="0.25">
      <c r="C715" s="1119"/>
      <c r="D715" s="1177"/>
      <c r="E715" s="1177"/>
      <c r="F715" s="1177"/>
    </row>
    <row r="716" spans="3:6" x14ac:dyDescent="0.25">
      <c r="C716" s="1119"/>
      <c r="D716" s="1177"/>
      <c r="E716" s="1177"/>
      <c r="F716" s="1177"/>
    </row>
    <row r="717" spans="3:6" x14ac:dyDescent="0.25">
      <c r="C717" s="1119"/>
      <c r="D717" s="1177"/>
      <c r="E717" s="1177"/>
      <c r="F717" s="1177"/>
    </row>
    <row r="718" spans="3:6" x14ac:dyDescent="0.25">
      <c r="C718" s="1119"/>
      <c r="D718" s="1177"/>
      <c r="E718" s="1177"/>
      <c r="F718" s="1177"/>
    </row>
    <row r="719" spans="3:6" x14ac:dyDescent="0.25">
      <c r="C719" s="1119"/>
      <c r="D719" s="1177"/>
      <c r="E719" s="1177"/>
      <c r="F719" s="1177"/>
    </row>
    <row r="720" spans="3:6" x14ac:dyDescent="0.25">
      <c r="C720" s="1119"/>
      <c r="D720" s="1177"/>
      <c r="E720" s="1177"/>
      <c r="F720" s="1177"/>
    </row>
    <row r="721" spans="3:6" x14ac:dyDescent="0.25">
      <c r="C721" s="1119"/>
      <c r="D721" s="1177"/>
      <c r="E721" s="1177"/>
      <c r="F721" s="1177"/>
    </row>
    <row r="722" spans="3:6" x14ac:dyDescent="0.25">
      <c r="C722" s="1119"/>
      <c r="D722" s="1177"/>
      <c r="E722" s="1177"/>
      <c r="F722" s="1177"/>
    </row>
    <row r="723" spans="3:6" x14ac:dyDescent="0.25">
      <c r="C723" s="1119"/>
      <c r="D723" s="1177"/>
      <c r="E723" s="1177"/>
      <c r="F723" s="1177"/>
    </row>
    <row r="724" spans="3:6" x14ac:dyDescent="0.25">
      <c r="C724" s="1119"/>
      <c r="D724" s="1177"/>
      <c r="E724" s="1177"/>
      <c r="F724" s="1177"/>
    </row>
    <row r="725" spans="3:6" x14ac:dyDescent="0.25">
      <c r="C725" s="1119"/>
      <c r="D725" s="1177"/>
      <c r="E725" s="1177"/>
      <c r="F725" s="1177"/>
    </row>
    <row r="726" spans="3:6" x14ac:dyDescent="0.25">
      <c r="C726" s="1119"/>
      <c r="D726" s="1177"/>
      <c r="E726" s="1177"/>
      <c r="F726" s="1177"/>
    </row>
    <row r="727" spans="3:6" x14ac:dyDescent="0.25">
      <c r="C727" s="1119"/>
      <c r="D727" s="1177"/>
      <c r="E727" s="1177"/>
      <c r="F727" s="1177"/>
    </row>
    <row r="728" spans="3:6" x14ac:dyDescent="0.25">
      <c r="C728" s="1119"/>
      <c r="D728" s="1177"/>
      <c r="E728" s="1177"/>
      <c r="F728" s="1177"/>
    </row>
    <row r="729" spans="3:6" x14ac:dyDescent="0.25">
      <c r="C729" s="1119"/>
      <c r="D729" s="1177"/>
      <c r="E729" s="1177"/>
      <c r="F729" s="1177"/>
    </row>
    <row r="730" spans="3:6" x14ac:dyDescent="0.25">
      <c r="C730" s="1119"/>
      <c r="D730" s="1177"/>
      <c r="E730" s="1177"/>
      <c r="F730" s="1177"/>
    </row>
    <row r="731" spans="3:6" x14ac:dyDescent="0.25">
      <c r="C731" s="1119"/>
      <c r="D731" s="1177"/>
      <c r="E731" s="1177"/>
      <c r="F731" s="1177"/>
    </row>
    <row r="732" spans="3:6" x14ac:dyDescent="0.25">
      <c r="C732" s="1119"/>
      <c r="D732" s="1177"/>
      <c r="E732" s="1177"/>
      <c r="F732" s="1177"/>
    </row>
    <row r="733" spans="3:6" x14ac:dyDescent="0.25">
      <c r="C733" s="1119"/>
      <c r="D733" s="1177"/>
      <c r="E733" s="1177"/>
      <c r="F733" s="1177"/>
    </row>
    <row r="734" spans="3:6" x14ac:dyDescent="0.25">
      <c r="C734" s="1119"/>
      <c r="D734" s="1177"/>
      <c r="E734" s="1177"/>
      <c r="F734" s="1177"/>
    </row>
    <row r="735" spans="3:6" x14ac:dyDescent="0.25">
      <c r="C735" s="1119"/>
      <c r="D735" s="1177"/>
      <c r="E735" s="1177"/>
      <c r="F735" s="1177"/>
    </row>
    <row r="736" spans="3:6" x14ac:dyDescent="0.25">
      <c r="C736" s="1119"/>
      <c r="D736" s="1177"/>
      <c r="E736" s="1177"/>
      <c r="F736" s="1177"/>
    </row>
    <row r="737" spans="3:6" x14ac:dyDescent="0.25">
      <c r="C737" s="1119"/>
      <c r="D737" s="1177"/>
      <c r="E737" s="1177"/>
      <c r="F737" s="1177"/>
    </row>
    <row r="738" spans="3:6" x14ac:dyDescent="0.25">
      <c r="C738" s="1119"/>
      <c r="D738" s="1177"/>
      <c r="E738" s="1177"/>
      <c r="F738" s="1177"/>
    </row>
    <row r="739" spans="3:6" x14ac:dyDescent="0.25">
      <c r="C739" s="1119"/>
      <c r="D739" s="1177"/>
      <c r="E739" s="1177"/>
      <c r="F739" s="1177"/>
    </row>
    <row r="740" spans="3:6" x14ac:dyDescent="0.25">
      <c r="C740" s="1119"/>
      <c r="D740" s="1177"/>
      <c r="E740" s="1177"/>
      <c r="F740" s="1177"/>
    </row>
    <row r="741" spans="3:6" x14ac:dyDescent="0.25">
      <c r="C741" s="1119"/>
      <c r="D741" s="1177"/>
      <c r="E741" s="1177"/>
      <c r="F741" s="1177"/>
    </row>
    <row r="742" spans="3:6" x14ac:dyDescent="0.25">
      <c r="C742" s="1119"/>
      <c r="D742" s="1177"/>
      <c r="E742" s="1177"/>
      <c r="F742" s="1177"/>
    </row>
    <row r="743" spans="3:6" x14ac:dyDescent="0.25">
      <c r="C743" s="1119"/>
      <c r="D743" s="1177"/>
      <c r="E743" s="1177"/>
      <c r="F743" s="1177"/>
    </row>
    <row r="744" spans="3:6" x14ac:dyDescent="0.25">
      <c r="C744" s="1119"/>
      <c r="D744" s="1177"/>
      <c r="E744" s="1177"/>
      <c r="F744" s="1177"/>
    </row>
    <row r="745" spans="3:6" x14ac:dyDescent="0.25">
      <c r="C745" s="1119"/>
      <c r="D745" s="1177"/>
      <c r="E745" s="1177"/>
      <c r="F745" s="1177"/>
    </row>
    <row r="746" spans="3:6" x14ac:dyDescent="0.25">
      <c r="C746" s="1119"/>
      <c r="D746" s="1177"/>
      <c r="E746" s="1177"/>
      <c r="F746" s="1177"/>
    </row>
    <row r="747" spans="3:6" x14ac:dyDescent="0.25">
      <c r="C747" s="1119"/>
      <c r="D747" s="1177"/>
      <c r="E747" s="1177"/>
      <c r="F747" s="1177"/>
    </row>
    <row r="748" spans="3:6" x14ac:dyDescent="0.25">
      <c r="C748" s="1119"/>
      <c r="D748" s="1177"/>
      <c r="E748" s="1177"/>
      <c r="F748" s="1177"/>
    </row>
    <row r="749" spans="3:6" x14ac:dyDescent="0.25">
      <c r="C749" s="1119"/>
      <c r="D749" s="1177"/>
      <c r="E749" s="1177"/>
      <c r="F749" s="1177"/>
    </row>
    <row r="750" spans="3:6" x14ac:dyDescent="0.25">
      <c r="C750" s="1119"/>
      <c r="D750" s="1177"/>
      <c r="E750" s="1177"/>
      <c r="F750" s="1177"/>
    </row>
    <row r="751" spans="3:6" x14ac:dyDescent="0.25">
      <c r="C751" s="1119"/>
      <c r="D751" s="1177"/>
      <c r="E751" s="1177"/>
      <c r="F751" s="1177"/>
    </row>
    <row r="752" spans="3:6" x14ac:dyDescent="0.25">
      <c r="C752" s="1119"/>
      <c r="D752" s="1177"/>
      <c r="E752" s="1177"/>
      <c r="F752" s="1177"/>
    </row>
    <row r="753" spans="3:6" x14ac:dyDescent="0.25">
      <c r="C753" s="1119"/>
      <c r="D753" s="1177"/>
      <c r="E753" s="1177"/>
      <c r="F753" s="1177"/>
    </row>
    <row r="754" spans="3:6" x14ac:dyDescent="0.25">
      <c r="C754" s="1119"/>
      <c r="D754" s="1177"/>
      <c r="E754" s="1177"/>
      <c r="F754" s="1177"/>
    </row>
    <row r="755" spans="3:6" x14ac:dyDescent="0.25">
      <c r="C755" s="1119"/>
      <c r="D755" s="1177"/>
      <c r="E755" s="1177"/>
      <c r="F755" s="1177"/>
    </row>
    <row r="756" spans="3:6" x14ac:dyDescent="0.25">
      <c r="C756" s="1119"/>
      <c r="D756" s="1177"/>
      <c r="E756" s="1177"/>
      <c r="F756" s="1177"/>
    </row>
    <row r="757" spans="3:6" x14ac:dyDescent="0.25">
      <c r="C757" s="1119"/>
      <c r="D757" s="1177"/>
      <c r="E757" s="1177"/>
      <c r="F757" s="1177"/>
    </row>
    <row r="758" spans="3:6" x14ac:dyDescent="0.25">
      <c r="C758" s="1119"/>
      <c r="D758" s="1177"/>
      <c r="E758" s="1177"/>
      <c r="F758" s="1177"/>
    </row>
    <row r="759" spans="3:6" x14ac:dyDescent="0.25">
      <c r="C759" s="1119"/>
      <c r="D759" s="1177"/>
      <c r="E759" s="1177"/>
      <c r="F759" s="1177"/>
    </row>
    <row r="760" spans="3:6" x14ac:dyDescent="0.25">
      <c r="C760" s="1119"/>
      <c r="D760" s="1177"/>
      <c r="E760" s="1177"/>
      <c r="F760" s="1177"/>
    </row>
    <row r="761" spans="3:6" x14ac:dyDescent="0.25">
      <c r="C761" s="1119"/>
      <c r="D761" s="1177"/>
      <c r="E761" s="1177"/>
      <c r="F761" s="1177"/>
    </row>
    <row r="762" spans="3:6" x14ac:dyDescent="0.25">
      <c r="C762" s="1119"/>
      <c r="D762" s="1177"/>
      <c r="E762" s="1177"/>
      <c r="F762" s="1177"/>
    </row>
    <row r="763" spans="3:6" x14ac:dyDescent="0.25">
      <c r="C763" s="1119"/>
      <c r="D763" s="1177"/>
      <c r="E763" s="1177"/>
      <c r="F763" s="1177"/>
    </row>
    <row r="764" spans="3:6" x14ac:dyDescent="0.25">
      <c r="C764" s="1119"/>
      <c r="D764" s="1177"/>
      <c r="E764" s="1177"/>
      <c r="F764" s="1177"/>
    </row>
    <row r="765" spans="3:6" x14ac:dyDescent="0.25">
      <c r="C765" s="1119"/>
      <c r="D765" s="1177"/>
      <c r="E765" s="1177"/>
      <c r="F765" s="1177"/>
    </row>
    <row r="766" spans="3:6" x14ac:dyDescent="0.25">
      <c r="C766" s="1119"/>
      <c r="D766" s="1177"/>
      <c r="E766" s="1177"/>
      <c r="F766" s="1177"/>
    </row>
    <row r="767" spans="3:6" x14ac:dyDescent="0.25">
      <c r="C767" s="1119"/>
      <c r="D767" s="1177"/>
      <c r="E767" s="1177"/>
      <c r="F767" s="1177"/>
    </row>
    <row r="768" spans="3:6" x14ac:dyDescent="0.25">
      <c r="C768" s="1119"/>
      <c r="D768" s="1177"/>
      <c r="E768" s="1177"/>
      <c r="F768" s="1177"/>
    </row>
    <row r="769" spans="3:6" x14ac:dyDescent="0.25">
      <c r="C769" s="1119"/>
      <c r="D769" s="1177"/>
      <c r="E769" s="1177"/>
      <c r="F769" s="1177"/>
    </row>
    <row r="770" spans="3:6" x14ac:dyDescent="0.25">
      <c r="C770" s="1119"/>
      <c r="D770" s="1177"/>
      <c r="E770" s="1177"/>
      <c r="F770" s="1177"/>
    </row>
    <row r="771" spans="3:6" x14ac:dyDescent="0.25">
      <c r="C771" s="1119"/>
      <c r="D771" s="1177"/>
      <c r="E771" s="1177"/>
      <c r="F771" s="1177"/>
    </row>
    <row r="772" spans="3:6" x14ac:dyDescent="0.25">
      <c r="C772" s="1119"/>
      <c r="D772" s="1177"/>
      <c r="E772" s="1177"/>
      <c r="F772" s="1177"/>
    </row>
    <row r="773" spans="3:6" x14ac:dyDescent="0.25">
      <c r="C773" s="1119"/>
      <c r="D773" s="1177"/>
      <c r="E773" s="1177"/>
      <c r="F773" s="1177"/>
    </row>
    <row r="774" spans="3:6" x14ac:dyDescent="0.25">
      <c r="C774" s="1119"/>
      <c r="D774" s="1177"/>
      <c r="E774" s="1177"/>
      <c r="F774" s="1177"/>
    </row>
    <row r="775" spans="3:6" x14ac:dyDescent="0.25">
      <c r="C775" s="1119"/>
      <c r="D775" s="1177"/>
      <c r="E775" s="1177"/>
      <c r="F775" s="1177"/>
    </row>
    <row r="776" spans="3:6" x14ac:dyDescent="0.25">
      <c r="C776" s="1119"/>
      <c r="D776" s="1177"/>
      <c r="E776" s="1177"/>
      <c r="F776" s="1177"/>
    </row>
    <row r="777" spans="3:6" x14ac:dyDescent="0.25">
      <c r="C777" s="1119"/>
      <c r="D777" s="1177"/>
      <c r="E777" s="1177"/>
      <c r="F777" s="1177"/>
    </row>
    <row r="778" spans="3:6" x14ac:dyDescent="0.25">
      <c r="C778" s="1119"/>
      <c r="D778" s="1177"/>
      <c r="E778" s="1177"/>
      <c r="F778" s="1177"/>
    </row>
    <row r="779" spans="3:6" x14ac:dyDescent="0.25">
      <c r="C779" s="1119"/>
      <c r="D779" s="1177"/>
      <c r="E779" s="1177"/>
      <c r="F779" s="1177"/>
    </row>
    <row r="780" spans="3:6" x14ac:dyDescent="0.25">
      <c r="C780" s="1119"/>
      <c r="D780" s="1177"/>
      <c r="E780" s="1177"/>
      <c r="F780" s="1177"/>
    </row>
    <row r="781" spans="3:6" x14ac:dyDescent="0.25">
      <c r="C781" s="1119"/>
      <c r="D781" s="1177"/>
      <c r="E781" s="1177"/>
      <c r="F781" s="1177"/>
    </row>
    <row r="782" spans="3:6" x14ac:dyDescent="0.25">
      <c r="C782" s="1119"/>
      <c r="D782" s="1177"/>
      <c r="E782" s="1177"/>
      <c r="F782" s="1177"/>
    </row>
    <row r="783" spans="3:6" x14ac:dyDescent="0.25">
      <c r="C783" s="1119"/>
      <c r="D783" s="1177"/>
      <c r="E783" s="1177"/>
      <c r="F783" s="1177"/>
    </row>
    <row r="784" spans="3:6" x14ac:dyDescent="0.25">
      <c r="C784" s="1119"/>
      <c r="D784" s="1177"/>
      <c r="E784" s="1177"/>
      <c r="F784" s="1177"/>
    </row>
    <row r="785" spans="3:6" x14ac:dyDescent="0.25">
      <c r="C785" s="1119"/>
      <c r="D785" s="1177"/>
      <c r="E785" s="1177"/>
      <c r="F785" s="1177"/>
    </row>
    <row r="786" spans="3:6" x14ac:dyDescent="0.25">
      <c r="C786" s="1119"/>
      <c r="D786" s="1177"/>
      <c r="E786" s="1177"/>
      <c r="F786" s="1177"/>
    </row>
    <row r="787" spans="3:6" x14ac:dyDescent="0.25">
      <c r="C787" s="1119"/>
      <c r="D787" s="1177"/>
      <c r="E787" s="1177"/>
      <c r="F787" s="1177"/>
    </row>
    <row r="788" spans="3:6" x14ac:dyDescent="0.25">
      <c r="C788" s="1119"/>
      <c r="D788" s="1177"/>
      <c r="E788" s="1177"/>
      <c r="F788" s="1177"/>
    </row>
    <row r="789" spans="3:6" x14ac:dyDescent="0.25">
      <c r="C789" s="1119"/>
      <c r="D789" s="1177"/>
      <c r="E789" s="1177"/>
      <c r="F789" s="1177"/>
    </row>
    <row r="790" spans="3:6" x14ac:dyDescent="0.25">
      <c r="C790" s="1119"/>
      <c r="D790" s="1177"/>
      <c r="E790" s="1177"/>
      <c r="F790" s="1177"/>
    </row>
    <row r="791" spans="3:6" x14ac:dyDescent="0.25">
      <c r="C791" s="1119"/>
      <c r="D791" s="1177"/>
      <c r="E791" s="1177"/>
      <c r="F791" s="1177"/>
    </row>
    <row r="792" spans="3:6" x14ac:dyDescent="0.25">
      <c r="C792" s="1119"/>
      <c r="D792" s="1177"/>
      <c r="E792" s="1177"/>
      <c r="F792" s="1177"/>
    </row>
    <row r="793" spans="3:6" x14ac:dyDescent="0.25">
      <c r="C793" s="1119"/>
      <c r="D793" s="1177"/>
      <c r="E793" s="1177"/>
      <c r="F793" s="1177"/>
    </row>
    <row r="794" spans="3:6" x14ac:dyDescent="0.25">
      <c r="C794" s="1119"/>
      <c r="D794" s="1177"/>
      <c r="E794" s="1177"/>
      <c r="F794" s="1177"/>
    </row>
    <row r="795" spans="3:6" x14ac:dyDescent="0.25">
      <c r="C795" s="1119"/>
      <c r="D795" s="1177"/>
      <c r="E795" s="1177"/>
      <c r="F795" s="1177"/>
    </row>
    <row r="796" spans="3:6" x14ac:dyDescent="0.25">
      <c r="C796" s="1119"/>
      <c r="D796" s="1177"/>
      <c r="E796" s="1177"/>
      <c r="F796" s="1177"/>
    </row>
    <row r="797" spans="3:6" x14ac:dyDescent="0.25">
      <c r="C797" s="1119"/>
      <c r="D797" s="1177"/>
      <c r="E797" s="1177"/>
      <c r="F797" s="1177"/>
    </row>
    <row r="798" spans="3:6" x14ac:dyDescent="0.25">
      <c r="C798" s="1119"/>
      <c r="D798" s="1177"/>
      <c r="E798" s="1177"/>
      <c r="F798" s="1177"/>
    </row>
    <row r="799" spans="3:6" x14ac:dyDescent="0.25">
      <c r="C799" s="1119"/>
      <c r="D799" s="1177"/>
      <c r="E799" s="1177"/>
      <c r="F799" s="1177"/>
    </row>
    <row r="800" spans="3:6" x14ac:dyDescent="0.25">
      <c r="C800" s="1119"/>
      <c r="D800" s="1177"/>
      <c r="E800" s="1177"/>
      <c r="F800" s="1177"/>
    </row>
    <row r="801" spans="3:6" x14ac:dyDescent="0.25">
      <c r="C801" s="1119"/>
      <c r="D801" s="1177"/>
      <c r="E801" s="1177"/>
      <c r="F801" s="1177"/>
    </row>
    <row r="802" spans="3:6" x14ac:dyDescent="0.25">
      <c r="C802" s="1119"/>
      <c r="D802" s="1177"/>
      <c r="E802" s="1177"/>
      <c r="F802" s="1177"/>
    </row>
    <row r="803" spans="3:6" x14ac:dyDescent="0.25">
      <c r="C803" s="1119"/>
      <c r="D803" s="1177"/>
      <c r="E803" s="1177"/>
      <c r="F803" s="1177"/>
    </row>
    <row r="804" spans="3:6" x14ac:dyDescent="0.25">
      <c r="C804" s="1119"/>
      <c r="D804" s="1177"/>
      <c r="E804" s="1177"/>
      <c r="F804" s="1177"/>
    </row>
    <row r="805" spans="3:6" x14ac:dyDescent="0.25">
      <c r="C805" s="1119"/>
      <c r="D805" s="1177"/>
      <c r="E805" s="1177"/>
      <c r="F805" s="1177"/>
    </row>
    <row r="806" spans="3:6" x14ac:dyDescent="0.25">
      <c r="C806" s="1119"/>
      <c r="D806" s="1177"/>
      <c r="E806" s="1177"/>
      <c r="F806" s="1177"/>
    </row>
    <row r="807" spans="3:6" x14ac:dyDescent="0.25">
      <c r="C807" s="1119"/>
      <c r="D807" s="1177"/>
      <c r="E807" s="1177"/>
      <c r="F807" s="1177"/>
    </row>
    <row r="808" spans="3:6" x14ac:dyDescent="0.25">
      <c r="C808" s="1119"/>
      <c r="D808" s="1177"/>
      <c r="E808" s="1177"/>
      <c r="F808" s="1177"/>
    </row>
    <row r="809" spans="3:6" x14ac:dyDescent="0.25">
      <c r="C809" s="1119"/>
      <c r="D809" s="1177"/>
      <c r="E809" s="1177"/>
      <c r="F809" s="1177"/>
    </row>
    <row r="810" spans="3:6" x14ac:dyDescent="0.25">
      <c r="C810" s="1119"/>
      <c r="D810" s="1177"/>
      <c r="E810" s="1177"/>
      <c r="F810" s="1177"/>
    </row>
    <row r="811" spans="3:6" x14ac:dyDescent="0.25">
      <c r="C811" s="1119"/>
      <c r="D811" s="1177"/>
      <c r="E811" s="1177"/>
      <c r="F811" s="1177"/>
    </row>
    <row r="812" spans="3:6" x14ac:dyDescent="0.25">
      <c r="C812" s="1119"/>
      <c r="D812" s="1177"/>
      <c r="E812" s="1177"/>
      <c r="F812" s="1177"/>
    </row>
    <row r="813" spans="3:6" x14ac:dyDescent="0.25">
      <c r="C813" s="1119"/>
      <c r="D813" s="1177"/>
      <c r="E813" s="1177"/>
      <c r="F813" s="1177"/>
    </row>
    <row r="814" spans="3:6" x14ac:dyDescent="0.25">
      <c r="C814" s="1119"/>
      <c r="D814" s="1177"/>
      <c r="E814" s="1177"/>
      <c r="F814" s="1177"/>
    </row>
    <row r="815" spans="3:6" x14ac:dyDescent="0.25">
      <c r="C815" s="1119"/>
      <c r="D815" s="1177"/>
      <c r="E815" s="1177"/>
      <c r="F815" s="1177"/>
    </row>
    <row r="816" spans="3:6" x14ac:dyDescent="0.25">
      <c r="C816" s="1119"/>
      <c r="D816" s="1177"/>
      <c r="E816" s="1177"/>
      <c r="F816" s="1177"/>
    </row>
    <row r="817" spans="3:6" x14ac:dyDescent="0.25">
      <c r="C817" s="1119"/>
      <c r="D817" s="1177"/>
      <c r="E817" s="1177"/>
      <c r="F817" s="1177"/>
    </row>
    <row r="818" spans="3:6" x14ac:dyDescent="0.25">
      <c r="C818" s="1119"/>
      <c r="D818" s="1177"/>
      <c r="E818" s="1177"/>
      <c r="F818" s="1177"/>
    </row>
    <row r="819" spans="3:6" x14ac:dyDescent="0.25">
      <c r="C819" s="1119"/>
      <c r="D819" s="1177"/>
      <c r="E819" s="1177"/>
      <c r="F819" s="1177"/>
    </row>
    <row r="820" spans="3:6" x14ac:dyDescent="0.25">
      <c r="C820" s="1119"/>
      <c r="D820" s="1177"/>
      <c r="E820" s="1177"/>
      <c r="F820" s="1177"/>
    </row>
    <row r="821" spans="3:6" x14ac:dyDescent="0.25">
      <c r="C821" s="1119"/>
      <c r="D821" s="1177"/>
      <c r="E821" s="1177"/>
      <c r="F821" s="1177"/>
    </row>
    <row r="822" spans="3:6" x14ac:dyDescent="0.25">
      <c r="C822" s="1119"/>
      <c r="D822" s="1177"/>
      <c r="E822" s="1177"/>
      <c r="F822" s="1177"/>
    </row>
    <row r="823" spans="3:6" x14ac:dyDescent="0.25">
      <c r="C823" s="1119"/>
      <c r="D823" s="1177"/>
      <c r="E823" s="1177"/>
      <c r="F823" s="1177"/>
    </row>
    <row r="824" spans="3:6" x14ac:dyDescent="0.25">
      <c r="C824" s="1119"/>
      <c r="D824" s="1177"/>
      <c r="E824" s="1177"/>
      <c r="F824" s="1177"/>
    </row>
    <row r="825" spans="3:6" x14ac:dyDescent="0.25">
      <c r="C825" s="1119"/>
      <c r="D825" s="1177"/>
      <c r="E825" s="1177"/>
      <c r="F825" s="1177"/>
    </row>
    <row r="826" spans="3:6" x14ac:dyDescent="0.25">
      <c r="C826" s="1119"/>
      <c r="D826" s="1177"/>
      <c r="E826" s="1177"/>
      <c r="F826" s="1177"/>
    </row>
    <row r="827" spans="3:6" x14ac:dyDescent="0.25">
      <c r="C827" s="1119"/>
      <c r="D827" s="1177"/>
      <c r="E827" s="1177"/>
      <c r="F827" s="1177"/>
    </row>
    <row r="828" spans="3:6" x14ac:dyDescent="0.25">
      <c r="C828" s="1119"/>
      <c r="D828" s="1177"/>
      <c r="E828" s="1177"/>
      <c r="F828" s="1177"/>
    </row>
    <row r="829" spans="3:6" x14ac:dyDescent="0.25">
      <c r="C829" s="1119"/>
      <c r="D829" s="1177"/>
      <c r="E829" s="1177"/>
      <c r="F829" s="1177"/>
    </row>
    <row r="830" spans="3:6" x14ac:dyDescent="0.25">
      <c r="C830" s="1119"/>
      <c r="D830" s="1177"/>
      <c r="E830" s="1177"/>
      <c r="F830" s="1177"/>
    </row>
    <row r="831" spans="3:6" x14ac:dyDescent="0.25">
      <c r="C831" s="1119"/>
      <c r="D831" s="1177"/>
      <c r="E831" s="1177"/>
      <c r="F831" s="1177"/>
    </row>
    <row r="832" spans="3:6" x14ac:dyDescent="0.25">
      <c r="C832" s="1119"/>
      <c r="D832" s="1177"/>
      <c r="E832" s="1177"/>
      <c r="F832" s="1177"/>
    </row>
    <row r="833" spans="3:6" x14ac:dyDescent="0.25">
      <c r="C833" s="1119"/>
      <c r="D833" s="1177"/>
      <c r="E833" s="1177"/>
      <c r="F833" s="1177"/>
    </row>
    <row r="834" spans="3:6" x14ac:dyDescent="0.25">
      <c r="C834" s="1119"/>
      <c r="D834" s="1177"/>
      <c r="E834" s="1177"/>
      <c r="F834" s="1177"/>
    </row>
    <row r="835" spans="3:6" x14ac:dyDescent="0.25">
      <c r="C835" s="1119"/>
      <c r="D835" s="1177"/>
      <c r="E835" s="1177"/>
      <c r="F835" s="1177"/>
    </row>
    <row r="836" spans="3:6" x14ac:dyDescent="0.25">
      <c r="C836" s="1119"/>
      <c r="D836" s="1177"/>
      <c r="E836" s="1177"/>
      <c r="F836" s="1177"/>
    </row>
    <row r="837" spans="3:6" x14ac:dyDescent="0.25">
      <c r="C837" s="1119"/>
      <c r="D837" s="1177"/>
      <c r="E837" s="1177"/>
      <c r="F837" s="1177"/>
    </row>
    <row r="838" spans="3:6" x14ac:dyDescent="0.25">
      <c r="C838" s="1119"/>
      <c r="D838" s="1177"/>
      <c r="E838" s="1177"/>
      <c r="F838" s="1177"/>
    </row>
    <row r="839" spans="3:6" x14ac:dyDescent="0.25">
      <c r="C839" s="1119"/>
      <c r="D839" s="1177"/>
      <c r="E839" s="1177"/>
      <c r="F839" s="1177"/>
    </row>
    <row r="840" spans="3:6" x14ac:dyDescent="0.25">
      <c r="C840" s="1119"/>
      <c r="D840" s="1177"/>
      <c r="E840" s="1177"/>
      <c r="F840" s="1177"/>
    </row>
    <row r="841" spans="3:6" x14ac:dyDescent="0.25">
      <c r="C841" s="1119"/>
      <c r="D841" s="1177"/>
      <c r="E841" s="1177"/>
      <c r="F841" s="1177"/>
    </row>
    <row r="842" spans="3:6" x14ac:dyDescent="0.25">
      <c r="C842" s="1119"/>
      <c r="D842" s="1177"/>
      <c r="E842" s="1177"/>
      <c r="F842" s="1177"/>
    </row>
    <row r="843" spans="3:6" x14ac:dyDescent="0.25">
      <c r="C843" s="1119"/>
      <c r="D843" s="1177"/>
      <c r="E843" s="1177"/>
      <c r="F843" s="1177"/>
    </row>
    <row r="844" spans="3:6" x14ac:dyDescent="0.25">
      <c r="C844" s="1119"/>
      <c r="D844" s="1177"/>
      <c r="E844" s="1177"/>
      <c r="F844" s="1177"/>
    </row>
    <row r="845" spans="3:6" x14ac:dyDescent="0.25">
      <c r="C845" s="1119"/>
      <c r="D845" s="1177"/>
      <c r="E845" s="1177"/>
      <c r="F845" s="1177"/>
    </row>
    <row r="846" spans="3:6" x14ac:dyDescent="0.25">
      <c r="C846" s="1119"/>
      <c r="D846" s="1177"/>
      <c r="E846" s="1177"/>
      <c r="F846" s="1177"/>
    </row>
    <row r="847" spans="3:6" x14ac:dyDescent="0.25">
      <c r="C847" s="1119"/>
      <c r="D847" s="1177"/>
      <c r="E847" s="1177"/>
      <c r="F847" s="1177"/>
    </row>
    <row r="848" spans="3:6" x14ac:dyDescent="0.25">
      <c r="C848" s="1119"/>
      <c r="D848" s="1177"/>
      <c r="E848" s="1177"/>
      <c r="F848" s="1177"/>
    </row>
    <row r="849" spans="3:6" x14ac:dyDescent="0.25">
      <c r="C849" s="1119"/>
      <c r="D849" s="1177"/>
      <c r="E849" s="1177"/>
      <c r="F849" s="1177"/>
    </row>
    <row r="850" spans="3:6" x14ac:dyDescent="0.25">
      <c r="C850" s="1119"/>
      <c r="D850" s="1177"/>
      <c r="E850" s="1177"/>
      <c r="F850" s="1177"/>
    </row>
    <row r="851" spans="3:6" x14ac:dyDescent="0.25">
      <c r="C851" s="1119"/>
      <c r="D851" s="1177"/>
      <c r="E851" s="1177"/>
      <c r="F851" s="1177"/>
    </row>
    <row r="852" spans="3:6" x14ac:dyDescent="0.25">
      <c r="C852" s="1119"/>
      <c r="D852" s="1177"/>
      <c r="E852" s="1177"/>
      <c r="F852" s="1177"/>
    </row>
    <row r="853" spans="3:6" x14ac:dyDescent="0.25">
      <c r="C853" s="1119"/>
      <c r="D853" s="1177"/>
      <c r="E853" s="1177"/>
      <c r="F853" s="1177"/>
    </row>
    <row r="854" spans="3:6" x14ac:dyDescent="0.25">
      <c r="C854" s="1119"/>
      <c r="D854" s="1177"/>
      <c r="E854" s="1177"/>
      <c r="F854" s="1177"/>
    </row>
    <row r="855" spans="3:6" x14ac:dyDescent="0.25">
      <c r="C855" s="1119"/>
      <c r="D855" s="1177"/>
      <c r="E855" s="1177"/>
      <c r="F855" s="1177"/>
    </row>
    <row r="856" spans="3:6" x14ac:dyDescent="0.25">
      <c r="C856" s="1119"/>
      <c r="D856" s="1177"/>
      <c r="E856" s="1177"/>
      <c r="F856" s="1177"/>
    </row>
    <row r="857" spans="3:6" x14ac:dyDescent="0.25">
      <c r="C857" s="1119"/>
      <c r="D857" s="1177"/>
      <c r="E857" s="1177"/>
      <c r="F857" s="1177"/>
    </row>
    <row r="858" spans="3:6" x14ac:dyDescent="0.25">
      <c r="C858" s="1119"/>
      <c r="D858" s="1177"/>
      <c r="E858" s="1177"/>
      <c r="F858" s="1177"/>
    </row>
    <row r="859" spans="3:6" x14ac:dyDescent="0.25">
      <c r="C859" s="1119"/>
      <c r="D859" s="1177"/>
      <c r="E859" s="1177"/>
      <c r="F859" s="1177"/>
    </row>
    <row r="860" spans="3:6" x14ac:dyDescent="0.25">
      <c r="C860" s="1119"/>
      <c r="D860" s="1177"/>
      <c r="E860" s="1177"/>
      <c r="F860" s="1177"/>
    </row>
    <row r="861" spans="3:6" x14ac:dyDescent="0.25">
      <c r="C861" s="1119"/>
      <c r="D861" s="1177"/>
      <c r="E861" s="1177"/>
      <c r="F861" s="1177"/>
    </row>
    <row r="862" spans="3:6" x14ac:dyDescent="0.25">
      <c r="C862" s="1119"/>
      <c r="D862" s="1177"/>
      <c r="E862" s="1177"/>
      <c r="F862" s="1177"/>
    </row>
    <row r="863" spans="3:6" x14ac:dyDescent="0.25">
      <c r="C863" s="1119"/>
      <c r="D863" s="1177"/>
      <c r="E863" s="1177"/>
      <c r="F863" s="1177"/>
    </row>
    <row r="864" spans="3:6" x14ac:dyDescent="0.25">
      <c r="C864" s="1119"/>
      <c r="D864" s="1177"/>
      <c r="E864" s="1177"/>
      <c r="F864" s="1177"/>
    </row>
    <row r="865" spans="3:6" x14ac:dyDescent="0.25">
      <c r="C865" s="1119"/>
      <c r="D865" s="1177"/>
      <c r="E865" s="1177"/>
      <c r="F865" s="1177"/>
    </row>
    <row r="866" spans="3:6" x14ac:dyDescent="0.25">
      <c r="C866" s="1119"/>
      <c r="D866" s="1177"/>
      <c r="E866" s="1177"/>
      <c r="F866" s="1177"/>
    </row>
    <row r="867" spans="3:6" x14ac:dyDescent="0.25">
      <c r="C867" s="1119"/>
      <c r="D867" s="1177"/>
      <c r="E867" s="1177"/>
      <c r="F867" s="1177"/>
    </row>
    <row r="868" spans="3:6" x14ac:dyDescent="0.25">
      <c r="C868" s="1119"/>
      <c r="D868" s="1177"/>
      <c r="E868" s="1177"/>
      <c r="F868" s="1177"/>
    </row>
    <row r="869" spans="3:6" x14ac:dyDescent="0.25">
      <c r="C869" s="1119"/>
      <c r="D869" s="1177"/>
      <c r="E869" s="1177"/>
      <c r="F869" s="1177"/>
    </row>
    <row r="870" spans="3:6" x14ac:dyDescent="0.25">
      <c r="C870" s="1119"/>
      <c r="D870" s="1177"/>
      <c r="E870" s="1177"/>
      <c r="F870" s="1177"/>
    </row>
    <row r="871" spans="3:6" x14ac:dyDescent="0.25">
      <c r="C871" s="1119"/>
      <c r="D871" s="1177"/>
      <c r="E871" s="1177"/>
      <c r="F871" s="1177"/>
    </row>
    <row r="872" spans="3:6" x14ac:dyDescent="0.25">
      <c r="C872" s="1119"/>
      <c r="D872" s="1177"/>
      <c r="E872" s="1177"/>
      <c r="F872" s="1177"/>
    </row>
    <row r="873" spans="3:6" x14ac:dyDescent="0.25">
      <c r="C873" s="1119"/>
      <c r="D873" s="1177"/>
      <c r="E873" s="1177"/>
      <c r="F873" s="1177"/>
    </row>
    <row r="874" spans="3:6" x14ac:dyDescent="0.25">
      <c r="C874" s="1119"/>
      <c r="D874" s="1177"/>
      <c r="E874" s="1177"/>
      <c r="F874" s="1177"/>
    </row>
    <row r="875" spans="3:6" x14ac:dyDescent="0.25">
      <c r="C875" s="1119"/>
      <c r="D875" s="1177"/>
      <c r="E875" s="1177"/>
      <c r="F875" s="1177"/>
    </row>
    <row r="876" spans="3:6" x14ac:dyDescent="0.25">
      <c r="C876" s="1119"/>
      <c r="D876" s="1177"/>
      <c r="E876" s="1177"/>
      <c r="F876" s="1177"/>
    </row>
    <row r="877" spans="3:6" x14ac:dyDescent="0.25">
      <c r="C877" s="1119"/>
      <c r="D877" s="1177"/>
      <c r="E877" s="1177"/>
      <c r="F877" s="1177"/>
    </row>
    <row r="878" spans="3:6" x14ac:dyDescent="0.25">
      <c r="C878" s="1119"/>
      <c r="D878" s="1177"/>
      <c r="E878" s="1177"/>
      <c r="F878" s="1177"/>
    </row>
    <row r="879" spans="3:6" x14ac:dyDescent="0.25">
      <c r="C879" s="1119"/>
      <c r="D879" s="1177"/>
      <c r="E879" s="1177"/>
      <c r="F879" s="1177"/>
    </row>
    <row r="880" spans="3:6" x14ac:dyDescent="0.25">
      <c r="C880" s="1119"/>
      <c r="D880" s="1177"/>
      <c r="E880" s="1177"/>
      <c r="F880" s="1177"/>
    </row>
    <row r="881" spans="3:6" x14ac:dyDescent="0.25">
      <c r="C881" s="1119"/>
      <c r="D881" s="1177"/>
      <c r="E881" s="1177"/>
      <c r="F881" s="1177"/>
    </row>
    <row r="882" spans="3:6" x14ac:dyDescent="0.25">
      <c r="C882" s="1119"/>
      <c r="D882" s="1177"/>
      <c r="E882" s="1177"/>
      <c r="F882" s="1177"/>
    </row>
    <row r="883" spans="3:6" x14ac:dyDescent="0.25">
      <c r="C883" s="1119"/>
      <c r="D883" s="1177"/>
      <c r="E883" s="1177"/>
      <c r="F883" s="1177"/>
    </row>
    <row r="884" spans="3:6" x14ac:dyDescent="0.25">
      <c r="C884" s="1119"/>
      <c r="D884" s="1177"/>
      <c r="E884" s="1177"/>
      <c r="F884" s="1177"/>
    </row>
    <row r="885" spans="3:6" x14ac:dyDescent="0.25">
      <c r="C885" s="1119"/>
      <c r="D885" s="1177"/>
      <c r="E885" s="1177"/>
      <c r="F885" s="1177"/>
    </row>
    <row r="886" spans="3:6" x14ac:dyDescent="0.25">
      <c r="C886" s="1119"/>
      <c r="D886" s="1177"/>
      <c r="E886" s="1177"/>
      <c r="F886" s="1177"/>
    </row>
    <row r="887" spans="3:6" x14ac:dyDescent="0.25">
      <c r="C887" s="1119"/>
      <c r="D887" s="1177"/>
      <c r="E887" s="1177"/>
      <c r="F887" s="1177"/>
    </row>
    <row r="888" spans="3:6" x14ac:dyDescent="0.25">
      <c r="C888" s="1119"/>
      <c r="D888" s="1177"/>
      <c r="E888" s="1177"/>
      <c r="F888" s="1177"/>
    </row>
    <row r="889" spans="3:6" x14ac:dyDescent="0.25">
      <c r="C889" s="1119"/>
      <c r="D889" s="1177"/>
      <c r="E889" s="1177"/>
      <c r="F889" s="1177"/>
    </row>
    <row r="890" spans="3:6" x14ac:dyDescent="0.25">
      <c r="C890" s="1119"/>
      <c r="D890" s="1177"/>
      <c r="E890" s="1177"/>
      <c r="F890" s="1177"/>
    </row>
    <row r="891" spans="3:6" x14ac:dyDescent="0.25">
      <c r="C891" s="1119"/>
      <c r="D891" s="1177"/>
      <c r="E891" s="1177"/>
      <c r="F891" s="1177"/>
    </row>
    <row r="892" spans="3:6" x14ac:dyDescent="0.25">
      <c r="C892" s="1119"/>
      <c r="D892" s="1177"/>
      <c r="E892" s="1177"/>
      <c r="F892" s="1177"/>
    </row>
    <row r="893" spans="3:6" x14ac:dyDescent="0.25">
      <c r="C893" s="1119"/>
      <c r="D893" s="1177"/>
      <c r="E893" s="1177"/>
      <c r="F893" s="1177"/>
    </row>
    <row r="894" spans="3:6" x14ac:dyDescent="0.25">
      <c r="C894" s="1119"/>
      <c r="D894" s="1177"/>
      <c r="E894" s="1177"/>
      <c r="F894" s="1177"/>
    </row>
    <row r="895" spans="3:6" x14ac:dyDescent="0.25">
      <c r="C895" s="1119"/>
      <c r="D895" s="1177"/>
      <c r="E895" s="1177"/>
      <c r="F895" s="1177"/>
    </row>
    <row r="896" spans="3:6" x14ac:dyDescent="0.25">
      <c r="C896" s="1119"/>
      <c r="D896" s="1177"/>
      <c r="E896" s="1177"/>
      <c r="F896" s="1177"/>
    </row>
    <row r="897" spans="3:6" x14ac:dyDescent="0.25">
      <c r="C897" s="1119"/>
      <c r="D897" s="1177"/>
      <c r="E897" s="1177"/>
      <c r="F897" s="1177"/>
    </row>
    <row r="898" spans="3:6" x14ac:dyDescent="0.25">
      <c r="C898" s="1119"/>
      <c r="D898" s="1177"/>
      <c r="E898" s="1177"/>
      <c r="F898" s="1177"/>
    </row>
    <row r="899" spans="3:6" x14ac:dyDescent="0.25">
      <c r="C899" s="1119"/>
      <c r="D899" s="1177"/>
      <c r="E899" s="1177"/>
      <c r="F899" s="1177"/>
    </row>
    <row r="900" spans="3:6" x14ac:dyDescent="0.25">
      <c r="C900" s="1119"/>
      <c r="D900" s="1177"/>
      <c r="E900" s="1177"/>
      <c r="F900" s="1177"/>
    </row>
    <row r="901" spans="3:6" x14ac:dyDescent="0.25">
      <c r="C901" s="1119"/>
      <c r="D901" s="1177"/>
      <c r="E901" s="1177"/>
      <c r="F901" s="1177"/>
    </row>
    <row r="902" spans="3:6" x14ac:dyDescent="0.25">
      <c r="C902" s="1119"/>
      <c r="D902" s="1177"/>
      <c r="E902" s="1177"/>
      <c r="F902" s="1177"/>
    </row>
    <row r="903" spans="3:6" x14ac:dyDescent="0.25">
      <c r="C903" s="1119"/>
      <c r="D903" s="1177"/>
      <c r="E903" s="1177"/>
      <c r="F903" s="1177"/>
    </row>
    <row r="904" spans="3:6" x14ac:dyDescent="0.25">
      <c r="C904" s="1119"/>
      <c r="D904" s="1177"/>
      <c r="E904" s="1177"/>
      <c r="F904" s="1177"/>
    </row>
    <row r="905" spans="3:6" x14ac:dyDescent="0.25">
      <c r="C905" s="1119"/>
      <c r="D905" s="1177"/>
      <c r="E905" s="1177"/>
      <c r="F905" s="1177"/>
    </row>
    <row r="906" spans="3:6" x14ac:dyDescent="0.25">
      <c r="C906" s="1119"/>
      <c r="D906" s="1177"/>
      <c r="E906" s="1177"/>
      <c r="F906" s="1177"/>
    </row>
    <row r="907" spans="3:6" x14ac:dyDescent="0.25">
      <c r="C907" s="1119"/>
      <c r="D907" s="1177"/>
      <c r="E907" s="1177"/>
      <c r="F907" s="1177"/>
    </row>
    <row r="908" spans="3:6" x14ac:dyDescent="0.25">
      <c r="C908" s="1119"/>
      <c r="D908" s="1177"/>
      <c r="E908" s="1177"/>
      <c r="F908" s="1177"/>
    </row>
    <row r="909" spans="3:6" x14ac:dyDescent="0.25">
      <c r="C909" s="1119"/>
      <c r="D909" s="1177"/>
      <c r="E909" s="1177"/>
      <c r="F909" s="1177"/>
    </row>
    <row r="910" spans="3:6" x14ac:dyDescent="0.25">
      <c r="C910" s="1119"/>
      <c r="D910" s="1177"/>
      <c r="E910" s="1177"/>
      <c r="F910" s="1177"/>
    </row>
    <row r="911" spans="3:6" x14ac:dyDescent="0.25">
      <c r="C911" s="1119"/>
      <c r="D911" s="1177"/>
      <c r="E911" s="1177"/>
      <c r="F911" s="1177"/>
    </row>
    <row r="912" spans="3:6" x14ac:dyDescent="0.25">
      <c r="C912" s="1119"/>
      <c r="D912" s="1177"/>
      <c r="E912" s="1177"/>
      <c r="F912" s="1177"/>
    </row>
    <row r="913" spans="3:6" x14ac:dyDescent="0.25">
      <c r="C913" s="1119"/>
      <c r="D913" s="1177"/>
      <c r="E913" s="1177"/>
      <c r="F913" s="1177"/>
    </row>
    <row r="914" spans="3:6" x14ac:dyDescent="0.25">
      <c r="C914" s="1119"/>
      <c r="D914" s="1177"/>
      <c r="E914" s="1177"/>
      <c r="F914" s="1177"/>
    </row>
    <row r="915" spans="3:6" x14ac:dyDescent="0.25">
      <c r="C915" s="1119"/>
      <c r="D915" s="1177"/>
      <c r="E915" s="1177"/>
      <c r="F915" s="1177"/>
    </row>
    <row r="916" spans="3:6" x14ac:dyDescent="0.25">
      <c r="C916" s="1119"/>
      <c r="D916" s="1177"/>
      <c r="E916" s="1177"/>
      <c r="F916" s="1177"/>
    </row>
    <row r="917" spans="3:6" x14ac:dyDescent="0.25">
      <c r="C917" s="1119"/>
      <c r="D917" s="1177"/>
      <c r="E917" s="1177"/>
      <c r="F917" s="1177"/>
    </row>
    <row r="918" spans="3:6" x14ac:dyDescent="0.25">
      <c r="C918" s="1119"/>
      <c r="D918" s="1177"/>
      <c r="E918" s="1177"/>
      <c r="F918" s="1177"/>
    </row>
    <row r="919" spans="3:6" x14ac:dyDescent="0.25">
      <c r="C919" s="1119"/>
      <c r="D919" s="1177"/>
      <c r="E919" s="1177"/>
      <c r="F919" s="1177"/>
    </row>
    <row r="920" spans="3:6" x14ac:dyDescent="0.25">
      <c r="C920" s="1119"/>
      <c r="D920" s="1177"/>
      <c r="E920" s="1177"/>
      <c r="F920" s="1177"/>
    </row>
    <row r="921" spans="3:6" x14ac:dyDescent="0.25">
      <c r="C921" s="1119"/>
      <c r="D921" s="1177"/>
      <c r="E921" s="1177"/>
      <c r="F921" s="1177"/>
    </row>
    <row r="922" spans="3:6" x14ac:dyDescent="0.25">
      <c r="C922" s="1119"/>
      <c r="D922" s="1177"/>
      <c r="E922" s="1177"/>
      <c r="F922" s="1177"/>
    </row>
    <row r="923" spans="3:6" x14ac:dyDescent="0.25">
      <c r="C923" s="1119"/>
      <c r="D923" s="1177"/>
      <c r="E923" s="1177"/>
      <c r="F923" s="1177"/>
    </row>
    <row r="924" spans="3:6" x14ac:dyDescent="0.25">
      <c r="C924" s="1119"/>
      <c r="D924" s="1177"/>
      <c r="E924" s="1177"/>
      <c r="F924" s="1177"/>
    </row>
    <row r="925" spans="3:6" x14ac:dyDescent="0.25">
      <c r="C925" s="1119"/>
      <c r="D925" s="1177"/>
      <c r="E925" s="1177"/>
      <c r="F925" s="1177"/>
    </row>
    <row r="926" spans="3:6" x14ac:dyDescent="0.25">
      <c r="C926" s="1119"/>
      <c r="D926" s="1177"/>
      <c r="E926" s="1177"/>
      <c r="F926" s="1177"/>
    </row>
    <row r="927" spans="3:6" x14ac:dyDescent="0.25">
      <c r="C927" s="1119"/>
      <c r="D927" s="1177"/>
      <c r="E927" s="1177"/>
      <c r="F927" s="1177"/>
    </row>
    <row r="928" spans="3:6" x14ac:dyDescent="0.25">
      <c r="C928" s="1119"/>
      <c r="D928" s="1177"/>
      <c r="E928" s="1177"/>
      <c r="F928" s="1177"/>
    </row>
    <row r="929" spans="3:6" x14ac:dyDescent="0.25">
      <c r="C929" s="1119"/>
      <c r="D929" s="1177"/>
      <c r="E929" s="1177"/>
      <c r="F929" s="1177"/>
    </row>
    <row r="930" spans="3:6" x14ac:dyDescent="0.25">
      <c r="C930" s="1119"/>
      <c r="D930" s="1177"/>
      <c r="E930" s="1177"/>
      <c r="F930" s="1177"/>
    </row>
    <row r="931" spans="3:6" x14ac:dyDescent="0.25">
      <c r="C931" s="1119"/>
      <c r="D931" s="1177"/>
      <c r="E931" s="1177"/>
      <c r="F931" s="1177"/>
    </row>
    <row r="932" spans="3:6" x14ac:dyDescent="0.25">
      <c r="C932" s="1119"/>
      <c r="D932" s="1177"/>
      <c r="E932" s="1177"/>
      <c r="F932" s="1177"/>
    </row>
    <row r="933" spans="3:6" x14ac:dyDescent="0.25">
      <c r="C933" s="1119"/>
      <c r="D933" s="1177"/>
      <c r="E933" s="1177"/>
      <c r="F933" s="1177"/>
    </row>
    <row r="934" spans="3:6" x14ac:dyDescent="0.25">
      <c r="C934" s="1119"/>
      <c r="D934" s="1177"/>
      <c r="E934" s="1177"/>
      <c r="F934" s="1177"/>
    </row>
    <row r="935" spans="3:6" x14ac:dyDescent="0.25">
      <c r="C935" s="1119"/>
      <c r="D935" s="1177"/>
      <c r="E935" s="1177"/>
      <c r="F935" s="1177"/>
    </row>
    <row r="936" spans="3:6" x14ac:dyDescent="0.25">
      <c r="C936" s="1119"/>
      <c r="D936" s="1177"/>
      <c r="E936" s="1177"/>
      <c r="F936" s="1177"/>
    </row>
    <row r="937" spans="3:6" x14ac:dyDescent="0.25">
      <c r="C937" s="1119"/>
      <c r="D937" s="1177"/>
      <c r="E937" s="1177"/>
      <c r="F937" s="1177"/>
    </row>
    <row r="938" spans="3:6" x14ac:dyDescent="0.25">
      <c r="C938" s="1119"/>
      <c r="D938" s="1177"/>
      <c r="E938" s="1177"/>
      <c r="F938" s="1177"/>
    </row>
    <row r="939" spans="3:6" x14ac:dyDescent="0.25">
      <c r="C939" s="1119"/>
      <c r="D939" s="1177"/>
      <c r="E939" s="1177"/>
      <c r="F939" s="1177"/>
    </row>
    <row r="940" spans="3:6" x14ac:dyDescent="0.25">
      <c r="C940" s="1119"/>
      <c r="D940" s="1177"/>
      <c r="E940" s="1177"/>
      <c r="F940" s="1177"/>
    </row>
    <row r="941" spans="3:6" x14ac:dyDescent="0.25">
      <c r="C941" s="1119"/>
      <c r="D941" s="1177"/>
      <c r="E941" s="1177"/>
      <c r="F941" s="1177"/>
    </row>
    <row r="942" spans="3:6" x14ac:dyDescent="0.25">
      <c r="C942" s="1119"/>
      <c r="D942" s="1177"/>
      <c r="E942" s="1177"/>
      <c r="F942" s="1177"/>
    </row>
    <row r="943" spans="3:6" x14ac:dyDescent="0.25">
      <c r="C943" s="1119"/>
      <c r="D943" s="1177"/>
      <c r="E943" s="1177"/>
      <c r="F943" s="1177"/>
    </row>
    <row r="944" spans="3:6" x14ac:dyDescent="0.25">
      <c r="C944" s="1119"/>
      <c r="D944" s="1177"/>
      <c r="E944" s="1177"/>
      <c r="F944" s="1177"/>
    </row>
    <row r="945" spans="3:6" x14ac:dyDescent="0.25">
      <c r="C945" s="1119"/>
      <c r="D945" s="1177"/>
      <c r="E945" s="1177"/>
      <c r="F945" s="1177"/>
    </row>
    <row r="946" spans="3:6" x14ac:dyDescent="0.25">
      <c r="C946" s="1119"/>
      <c r="D946" s="1177"/>
      <c r="E946" s="1177"/>
      <c r="F946" s="1177"/>
    </row>
    <row r="947" spans="3:6" x14ac:dyDescent="0.25">
      <c r="C947" s="1119"/>
      <c r="D947" s="1177"/>
      <c r="E947" s="1177"/>
      <c r="F947" s="1177"/>
    </row>
    <row r="948" spans="3:6" x14ac:dyDescent="0.25">
      <c r="C948" s="1119"/>
      <c r="D948" s="1177"/>
      <c r="E948" s="1177"/>
      <c r="F948" s="1177"/>
    </row>
    <row r="949" spans="3:6" x14ac:dyDescent="0.25">
      <c r="C949" s="1119"/>
      <c r="D949" s="1177"/>
      <c r="E949" s="1177"/>
      <c r="F949" s="1177"/>
    </row>
    <row r="950" spans="3:6" x14ac:dyDescent="0.25">
      <c r="C950" s="1119"/>
      <c r="D950" s="1177"/>
      <c r="E950" s="1177"/>
      <c r="F950" s="1177"/>
    </row>
    <row r="951" spans="3:6" x14ac:dyDescent="0.25">
      <c r="C951" s="1119"/>
      <c r="D951" s="1177"/>
      <c r="E951" s="1177"/>
      <c r="F951" s="1177"/>
    </row>
    <row r="952" spans="3:6" x14ac:dyDescent="0.25">
      <c r="C952" s="1119"/>
      <c r="D952" s="1177"/>
      <c r="E952" s="1177"/>
      <c r="F952" s="1177"/>
    </row>
    <row r="953" spans="3:6" x14ac:dyDescent="0.25">
      <c r="C953" s="1119"/>
      <c r="D953" s="1177"/>
      <c r="E953" s="1177"/>
      <c r="F953" s="1177"/>
    </row>
    <row r="954" spans="3:6" x14ac:dyDescent="0.25">
      <c r="C954" s="1119"/>
      <c r="D954" s="1177"/>
      <c r="E954" s="1177"/>
      <c r="F954" s="1177"/>
    </row>
    <row r="955" spans="3:6" x14ac:dyDescent="0.25">
      <c r="C955" s="1119"/>
      <c r="D955" s="1177"/>
      <c r="E955" s="1177"/>
      <c r="F955" s="1177"/>
    </row>
    <row r="956" spans="3:6" x14ac:dyDescent="0.25">
      <c r="C956" s="1119"/>
      <c r="D956" s="1177"/>
      <c r="E956" s="1177"/>
      <c r="F956" s="1177"/>
    </row>
    <row r="957" spans="3:6" x14ac:dyDescent="0.25">
      <c r="C957" s="1119"/>
      <c r="D957" s="1177"/>
      <c r="E957" s="1177"/>
      <c r="F957" s="1177"/>
    </row>
    <row r="958" spans="3:6" x14ac:dyDescent="0.25">
      <c r="C958" s="1119"/>
      <c r="D958" s="1177"/>
      <c r="E958" s="1177"/>
      <c r="F958" s="1177"/>
    </row>
    <row r="959" spans="3:6" x14ac:dyDescent="0.25">
      <c r="C959" s="1119"/>
      <c r="D959" s="1177"/>
      <c r="E959" s="1177"/>
      <c r="F959" s="1177"/>
    </row>
    <row r="960" spans="3:6" x14ac:dyDescent="0.25">
      <c r="C960" s="1119"/>
      <c r="D960" s="1177"/>
      <c r="E960" s="1177"/>
      <c r="F960" s="1177"/>
    </row>
    <row r="961" spans="3:6" x14ac:dyDescent="0.25">
      <c r="C961" s="1119"/>
      <c r="D961" s="1177"/>
      <c r="E961" s="1177"/>
      <c r="F961" s="1177"/>
    </row>
    <row r="962" spans="3:6" x14ac:dyDescent="0.25">
      <c r="C962" s="1119"/>
      <c r="D962" s="1177"/>
      <c r="E962" s="1177"/>
      <c r="F962" s="1177"/>
    </row>
    <row r="963" spans="3:6" x14ac:dyDescent="0.25">
      <c r="C963" s="1119"/>
      <c r="D963" s="1177"/>
      <c r="E963" s="1177"/>
      <c r="F963" s="1177"/>
    </row>
    <row r="964" spans="3:6" x14ac:dyDescent="0.25">
      <c r="C964" s="1119"/>
      <c r="D964" s="1177"/>
      <c r="E964" s="1177"/>
      <c r="F964" s="1177"/>
    </row>
    <row r="965" spans="3:6" x14ac:dyDescent="0.25">
      <c r="C965" s="1119"/>
      <c r="D965" s="1177"/>
      <c r="E965" s="1177"/>
      <c r="F965" s="1177"/>
    </row>
    <row r="966" spans="3:6" x14ac:dyDescent="0.25">
      <c r="C966" s="1119"/>
      <c r="D966" s="1177"/>
      <c r="E966" s="1177"/>
      <c r="F966" s="1177"/>
    </row>
    <row r="967" spans="3:6" x14ac:dyDescent="0.25">
      <c r="C967" s="1119"/>
      <c r="D967" s="1177"/>
      <c r="E967" s="1177"/>
      <c r="F967" s="1177"/>
    </row>
    <row r="968" spans="3:6" x14ac:dyDescent="0.25">
      <c r="C968" s="1119"/>
      <c r="D968" s="1177"/>
      <c r="E968" s="1177"/>
      <c r="F968" s="1177"/>
    </row>
    <row r="969" spans="3:6" x14ac:dyDescent="0.25">
      <c r="C969" s="1119"/>
      <c r="D969" s="1177"/>
      <c r="E969" s="1177"/>
      <c r="F969" s="1177"/>
    </row>
    <row r="970" spans="3:6" x14ac:dyDescent="0.25">
      <c r="C970" s="1119"/>
      <c r="D970" s="1177"/>
      <c r="E970" s="1177"/>
      <c r="F970" s="1177"/>
    </row>
    <row r="971" spans="3:6" x14ac:dyDescent="0.25">
      <c r="C971" s="1119"/>
      <c r="D971" s="1177"/>
      <c r="E971" s="1177"/>
      <c r="F971" s="1177"/>
    </row>
    <row r="972" spans="3:6" x14ac:dyDescent="0.25">
      <c r="C972" s="1119"/>
      <c r="D972" s="1177"/>
      <c r="E972" s="1177"/>
      <c r="F972" s="1177"/>
    </row>
    <row r="973" spans="3:6" x14ac:dyDescent="0.25">
      <c r="C973" s="1119"/>
      <c r="D973" s="1177"/>
      <c r="E973" s="1177"/>
      <c r="F973" s="1177"/>
    </row>
    <row r="974" spans="3:6" x14ac:dyDescent="0.25">
      <c r="C974" s="1119"/>
      <c r="D974" s="1177"/>
      <c r="E974" s="1177"/>
      <c r="F974" s="1177"/>
    </row>
    <row r="975" spans="3:6" x14ac:dyDescent="0.25">
      <c r="C975" s="1119"/>
      <c r="D975" s="1177"/>
      <c r="E975" s="1177"/>
      <c r="F975" s="1177"/>
    </row>
    <row r="976" spans="3:6" x14ac:dyDescent="0.25">
      <c r="C976" s="1119"/>
      <c r="D976" s="1177"/>
      <c r="E976" s="1177"/>
      <c r="F976" s="1177"/>
    </row>
    <row r="977" spans="3:6" x14ac:dyDescent="0.25">
      <c r="C977" s="1119"/>
      <c r="D977" s="1177"/>
      <c r="E977" s="1177"/>
      <c r="F977" s="1177"/>
    </row>
    <row r="978" spans="3:6" x14ac:dyDescent="0.25">
      <c r="C978" s="1119"/>
      <c r="D978" s="1177"/>
      <c r="E978" s="1177"/>
      <c r="F978" s="1177"/>
    </row>
    <row r="979" spans="3:6" x14ac:dyDescent="0.25">
      <c r="C979" s="1119"/>
      <c r="D979" s="1177"/>
      <c r="E979" s="1177"/>
      <c r="F979" s="1177"/>
    </row>
    <row r="980" spans="3:6" x14ac:dyDescent="0.25">
      <c r="C980" s="1119"/>
      <c r="D980" s="1177"/>
      <c r="E980" s="1177"/>
      <c r="F980" s="1177"/>
    </row>
    <row r="981" spans="3:6" x14ac:dyDescent="0.25">
      <c r="C981" s="1119"/>
      <c r="D981" s="1177"/>
      <c r="E981" s="1177"/>
      <c r="F981" s="1177"/>
    </row>
    <row r="982" spans="3:6" x14ac:dyDescent="0.25">
      <c r="C982" s="1119"/>
      <c r="D982" s="1177"/>
      <c r="E982" s="1177"/>
      <c r="F982" s="1177"/>
    </row>
    <row r="983" spans="3:6" x14ac:dyDescent="0.25">
      <c r="C983" s="1119"/>
      <c r="D983" s="1177"/>
      <c r="E983" s="1177"/>
      <c r="F983" s="1177"/>
    </row>
    <row r="984" spans="3:6" x14ac:dyDescent="0.25">
      <c r="C984" s="1119"/>
      <c r="D984" s="1177"/>
      <c r="E984" s="1177"/>
      <c r="F984" s="1177"/>
    </row>
    <row r="985" spans="3:6" x14ac:dyDescent="0.25">
      <c r="C985" s="1119"/>
      <c r="D985" s="1177"/>
      <c r="E985" s="1177"/>
      <c r="F985" s="1177"/>
    </row>
    <row r="986" spans="3:6" x14ac:dyDescent="0.25">
      <c r="C986" s="1119"/>
      <c r="D986" s="1177"/>
      <c r="E986" s="1177"/>
      <c r="F986" s="1177"/>
    </row>
    <row r="987" spans="3:6" x14ac:dyDescent="0.25">
      <c r="C987" s="1119"/>
      <c r="D987" s="1177"/>
      <c r="E987" s="1177"/>
      <c r="F987" s="1177"/>
    </row>
    <row r="988" spans="3:6" x14ac:dyDescent="0.25">
      <c r="C988" s="1119"/>
      <c r="D988" s="1177"/>
      <c r="E988" s="1177"/>
      <c r="F988" s="1177"/>
    </row>
    <row r="989" spans="3:6" x14ac:dyDescent="0.25">
      <c r="C989" s="1119"/>
      <c r="D989" s="1177"/>
      <c r="E989" s="1177"/>
      <c r="F989" s="1177"/>
    </row>
    <row r="990" spans="3:6" x14ac:dyDescent="0.25">
      <c r="C990" s="1119"/>
      <c r="D990" s="1177"/>
      <c r="E990" s="1177"/>
      <c r="F990" s="1177"/>
    </row>
    <row r="991" spans="3:6" x14ac:dyDescent="0.25">
      <c r="C991" s="1119"/>
      <c r="D991" s="1177"/>
      <c r="E991" s="1177"/>
      <c r="F991" s="1177"/>
    </row>
    <row r="992" spans="3:6" x14ac:dyDescent="0.25">
      <c r="C992" s="1119"/>
      <c r="D992" s="1177"/>
      <c r="E992" s="1177"/>
      <c r="F992" s="1177"/>
    </row>
    <row r="993" spans="3:6" x14ac:dyDescent="0.25">
      <c r="C993" s="1119"/>
      <c r="D993" s="1177"/>
      <c r="E993" s="1177"/>
      <c r="F993" s="1177"/>
    </row>
    <row r="994" spans="3:6" x14ac:dyDescent="0.25">
      <c r="C994" s="1119"/>
      <c r="D994" s="1177"/>
      <c r="E994" s="1177"/>
      <c r="F994" s="1177"/>
    </row>
    <row r="995" spans="3:6" x14ac:dyDescent="0.25">
      <c r="C995" s="1119"/>
      <c r="D995" s="1177"/>
      <c r="E995" s="1177"/>
      <c r="F995" s="1177"/>
    </row>
    <row r="996" spans="3:6" x14ac:dyDescent="0.25">
      <c r="C996" s="1119"/>
      <c r="D996" s="1177"/>
      <c r="E996" s="1177"/>
      <c r="F996" s="1177"/>
    </row>
    <row r="997" spans="3:6" x14ac:dyDescent="0.25">
      <c r="C997" s="1119"/>
      <c r="D997" s="1177"/>
      <c r="E997" s="1177"/>
      <c r="F997" s="1177"/>
    </row>
    <row r="998" spans="3:6" x14ac:dyDescent="0.25">
      <c r="C998" s="1119"/>
      <c r="D998" s="1177"/>
      <c r="E998" s="1177"/>
      <c r="F998" s="1177"/>
    </row>
    <row r="999" spans="3:6" x14ac:dyDescent="0.25">
      <c r="C999" s="1119"/>
      <c r="D999" s="1177"/>
      <c r="E999" s="1177"/>
      <c r="F999" s="1177"/>
    </row>
    <row r="1000" spans="3:6" x14ac:dyDescent="0.25">
      <c r="C1000" s="1119"/>
      <c r="D1000" s="1177"/>
      <c r="E1000" s="1177"/>
      <c r="F1000" s="1177"/>
    </row>
    <row r="1001" spans="3:6" x14ac:dyDescent="0.25">
      <c r="C1001" s="1119"/>
      <c r="D1001" s="1177"/>
      <c r="E1001" s="1177"/>
      <c r="F1001" s="1177"/>
    </row>
    <row r="1002" spans="3:6" x14ac:dyDescent="0.25">
      <c r="C1002" s="1119"/>
      <c r="D1002" s="1177"/>
      <c r="E1002" s="1177"/>
      <c r="F1002" s="1177"/>
    </row>
    <row r="1003" spans="3:6" x14ac:dyDescent="0.25">
      <c r="C1003" s="1119"/>
      <c r="D1003" s="1177"/>
      <c r="E1003" s="1177"/>
      <c r="F1003" s="1177"/>
    </row>
    <row r="1004" spans="3:6" x14ac:dyDescent="0.25">
      <c r="C1004" s="1119"/>
      <c r="D1004" s="1177"/>
      <c r="E1004" s="1177"/>
      <c r="F1004" s="1177"/>
    </row>
    <row r="1005" spans="3:6" x14ac:dyDescent="0.25">
      <c r="C1005" s="1119"/>
      <c r="D1005" s="1177"/>
      <c r="E1005" s="1177"/>
      <c r="F1005" s="1177"/>
    </row>
    <row r="1006" spans="3:6" x14ac:dyDescent="0.25">
      <c r="C1006" s="1119"/>
      <c r="D1006" s="1177"/>
      <c r="E1006" s="1177"/>
      <c r="F1006" s="1177"/>
    </row>
    <row r="1007" spans="3:6" x14ac:dyDescent="0.25">
      <c r="C1007" s="1119"/>
      <c r="D1007" s="1177"/>
      <c r="E1007" s="1177"/>
      <c r="F1007" s="1177"/>
    </row>
    <row r="1008" spans="3:6" x14ac:dyDescent="0.25">
      <c r="C1008" s="1119"/>
      <c r="D1008" s="1177"/>
      <c r="E1008" s="1177"/>
      <c r="F1008" s="1177"/>
    </row>
    <row r="1009" spans="3:6" x14ac:dyDescent="0.25">
      <c r="C1009" s="1119"/>
      <c r="D1009" s="1177"/>
      <c r="E1009" s="1177"/>
      <c r="F1009" s="1177"/>
    </row>
    <row r="1010" spans="3:6" x14ac:dyDescent="0.25">
      <c r="C1010" s="1119"/>
      <c r="D1010" s="1177"/>
      <c r="E1010" s="1177"/>
      <c r="F1010" s="1177"/>
    </row>
    <row r="1011" spans="3:6" x14ac:dyDescent="0.25">
      <c r="C1011" s="1119"/>
      <c r="D1011" s="1177"/>
      <c r="E1011" s="1177"/>
      <c r="F1011" s="1177"/>
    </row>
    <row r="1012" spans="3:6" x14ac:dyDescent="0.25">
      <c r="C1012" s="1119"/>
      <c r="D1012" s="1177"/>
      <c r="E1012" s="1177"/>
      <c r="F1012" s="1177"/>
    </row>
    <row r="1013" spans="3:6" x14ac:dyDescent="0.25">
      <c r="C1013" s="1119"/>
      <c r="D1013" s="1177"/>
      <c r="E1013" s="1177"/>
      <c r="F1013" s="1177"/>
    </row>
    <row r="1014" spans="3:6" x14ac:dyDescent="0.25">
      <c r="C1014" s="1119"/>
      <c r="D1014" s="1177"/>
      <c r="E1014" s="1177"/>
      <c r="F1014" s="1177"/>
    </row>
    <row r="1015" spans="3:6" x14ac:dyDescent="0.25">
      <c r="C1015" s="1119"/>
      <c r="D1015" s="1177"/>
      <c r="E1015" s="1177"/>
      <c r="F1015" s="1177"/>
    </row>
    <row r="1016" spans="3:6" x14ac:dyDescent="0.25">
      <c r="C1016" s="1119"/>
      <c r="D1016" s="1177"/>
      <c r="E1016" s="1177"/>
      <c r="F1016" s="1177"/>
    </row>
    <row r="1017" spans="3:6" x14ac:dyDescent="0.25">
      <c r="C1017" s="1119"/>
      <c r="D1017" s="1177"/>
      <c r="E1017" s="1177"/>
      <c r="F1017" s="1177"/>
    </row>
    <row r="1018" spans="3:6" x14ac:dyDescent="0.25">
      <c r="C1018" s="1119"/>
      <c r="D1018" s="1177"/>
      <c r="E1018" s="1177"/>
      <c r="F1018" s="1177"/>
    </row>
    <row r="1019" spans="3:6" x14ac:dyDescent="0.25">
      <c r="C1019" s="1119"/>
      <c r="D1019" s="1177"/>
      <c r="E1019" s="1177"/>
      <c r="F1019" s="1177"/>
    </row>
    <row r="1020" spans="3:6" x14ac:dyDescent="0.25">
      <c r="C1020" s="1119"/>
      <c r="D1020" s="1177"/>
      <c r="E1020" s="1177"/>
      <c r="F1020" s="1177"/>
    </row>
    <row r="1021" spans="3:6" x14ac:dyDescent="0.25">
      <c r="C1021" s="1119"/>
      <c r="D1021" s="1177"/>
      <c r="E1021" s="1177"/>
      <c r="F1021" s="1177"/>
    </row>
    <row r="1022" spans="3:6" x14ac:dyDescent="0.25">
      <c r="C1022" s="1119"/>
      <c r="D1022" s="1177"/>
      <c r="E1022" s="1177"/>
      <c r="F1022" s="1177"/>
    </row>
    <row r="1023" spans="3:6" x14ac:dyDescent="0.25">
      <c r="C1023" s="1119"/>
      <c r="D1023" s="1177"/>
      <c r="E1023" s="1177"/>
      <c r="F1023" s="1177"/>
    </row>
    <row r="1024" spans="3:6" x14ac:dyDescent="0.25">
      <c r="C1024" s="1119"/>
      <c r="D1024" s="1177"/>
      <c r="E1024" s="1177"/>
      <c r="F1024" s="1177"/>
    </row>
    <row r="1025" spans="3:6" x14ac:dyDescent="0.25">
      <c r="C1025" s="1119"/>
      <c r="D1025" s="1177"/>
      <c r="E1025" s="1177"/>
      <c r="F1025" s="1177"/>
    </row>
    <row r="1026" spans="3:6" x14ac:dyDescent="0.25">
      <c r="C1026" s="1119"/>
      <c r="D1026" s="1177"/>
      <c r="E1026" s="1177"/>
      <c r="F1026" s="1177"/>
    </row>
    <row r="1027" spans="3:6" x14ac:dyDescent="0.25">
      <c r="C1027" s="1119"/>
      <c r="D1027" s="1177"/>
      <c r="E1027" s="1177"/>
      <c r="F1027" s="1177"/>
    </row>
    <row r="1028" spans="3:6" x14ac:dyDescent="0.25">
      <c r="C1028" s="1119"/>
      <c r="D1028" s="1177"/>
      <c r="E1028" s="1177"/>
      <c r="F1028" s="1177"/>
    </row>
    <row r="1029" spans="3:6" x14ac:dyDescent="0.25">
      <c r="C1029" s="1119"/>
      <c r="D1029" s="1177"/>
      <c r="E1029" s="1177"/>
      <c r="F1029" s="1177"/>
    </row>
    <row r="1030" spans="3:6" x14ac:dyDescent="0.25">
      <c r="C1030" s="1119"/>
      <c r="D1030" s="1177"/>
      <c r="E1030" s="1177"/>
      <c r="F1030" s="1177"/>
    </row>
    <row r="1031" spans="3:6" x14ac:dyDescent="0.25">
      <c r="C1031" s="1119"/>
      <c r="D1031" s="1177"/>
      <c r="E1031" s="1177"/>
      <c r="F1031" s="1177"/>
    </row>
    <row r="1032" spans="3:6" x14ac:dyDescent="0.25">
      <c r="C1032" s="1119"/>
      <c r="D1032" s="1177"/>
      <c r="E1032" s="1177"/>
      <c r="F1032" s="1177"/>
    </row>
    <row r="1033" spans="3:6" x14ac:dyDescent="0.25">
      <c r="C1033" s="1119"/>
      <c r="D1033" s="1177"/>
      <c r="E1033" s="1177"/>
      <c r="F1033" s="1177"/>
    </row>
    <row r="1034" spans="3:6" x14ac:dyDescent="0.25">
      <c r="C1034" s="1119"/>
      <c r="D1034" s="1177"/>
      <c r="E1034" s="1177"/>
      <c r="F1034" s="1177"/>
    </row>
    <row r="1035" spans="3:6" x14ac:dyDescent="0.25">
      <c r="C1035" s="1119"/>
      <c r="D1035" s="1177"/>
      <c r="E1035" s="1177"/>
      <c r="F1035" s="1177"/>
    </row>
    <row r="1036" spans="3:6" x14ac:dyDescent="0.25">
      <c r="C1036" s="1119"/>
      <c r="D1036" s="1177"/>
      <c r="E1036" s="1177"/>
      <c r="F1036" s="1177"/>
    </row>
    <row r="1037" spans="3:6" x14ac:dyDescent="0.25">
      <c r="C1037" s="1119"/>
      <c r="D1037" s="1177"/>
      <c r="E1037" s="1177"/>
      <c r="F1037" s="1177"/>
    </row>
    <row r="1038" spans="3:6" x14ac:dyDescent="0.25">
      <c r="C1038" s="1119"/>
      <c r="D1038" s="1177"/>
      <c r="E1038" s="1177"/>
      <c r="F1038" s="1177"/>
    </row>
    <row r="1039" spans="3:6" x14ac:dyDescent="0.25">
      <c r="C1039" s="1119"/>
      <c r="D1039" s="1177"/>
      <c r="E1039" s="1177"/>
      <c r="F1039" s="1177"/>
    </row>
    <row r="1040" spans="3:6" x14ac:dyDescent="0.25">
      <c r="C1040" s="1119"/>
      <c r="D1040" s="1177"/>
      <c r="E1040" s="1177"/>
      <c r="F1040" s="1177"/>
    </row>
    <row r="1041" spans="3:6" x14ac:dyDescent="0.25">
      <c r="C1041" s="1119"/>
      <c r="D1041" s="1177"/>
      <c r="E1041" s="1177"/>
      <c r="F1041" s="1177"/>
    </row>
    <row r="1042" spans="3:6" x14ac:dyDescent="0.25">
      <c r="C1042" s="1119"/>
      <c r="D1042" s="1177"/>
      <c r="E1042" s="1177"/>
      <c r="F1042" s="1177"/>
    </row>
    <row r="1043" spans="3:6" x14ac:dyDescent="0.25">
      <c r="C1043" s="1119"/>
      <c r="D1043" s="1177"/>
      <c r="E1043" s="1177"/>
      <c r="F1043" s="1177"/>
    </row>
    <row r="1044" spans="3:6" x14ac:dyDescent="0.25">
      <c r="C1044" s="1119"/>
      <c r="D1044" s="1177"/>
      <c r="E1044" s="1177"/>
      <c r="F1044" s="1177"/>
    </row>
    <row r="1045" spans="3:6" x14ac:dyDescent="0.25">
      <c r="C1045" s="1119"/>
      <c r="D1045" s="1177"/>
      <c r="E1045" s="1177"/>
      <c r="F1045" s="1177"/>
    </row>
    <row r="1046" spans="3:6" x14ac:dyDescent="0.25">
      <c r="C1046" s="1119"/>
      <c r="D1046" s="1177"/>
      <c r="E1046" s="1177"/>
      <c r="F1046" s="1177"/>
    </row>
    <row r="1047" spans="3:6" x14ac:dyDescent="0.25">
      <c r="C1047" s="1119"/>
      <c r="D1047" s="1177"/>
      <c r="E1047" s="1177"/>
      <c r="F1047" s="1177"/>
    </row>
    <row r="1048" spans="3:6" x14ac:dyDescent="0.25">
      <c r="C1048" s="1119"/>
      <c r="D1048" s="1177"/>
      <c r="E1048" s="1177"/>
      <c r="F1048" s="1177"/>
    </row>
    <row r="1049" spans="3:6" x14ac:dyDescent="0.25">
      <c r="C1049" s="1119"/>
      <c r="D1049" s="1177"/>
      <c r="E1049" s="1177"/>
      <c r="F1049" s="1177"/>
    </row>
    <row r="1050" spans="3:6" x14ac:dyDescent="0.25">
      <c r="C1050" s="1119"/>
      <c r="D1050" s="1177"/>
      <c r="E1050" s="1177"/>
      <c r="F1050" s="1177"/>
    </row>
    <row r="1051" spans="3:6" x14ac:dyDescent="0.25">
      <c r="C1051" s="1119"/>
      <c r="D1051" s="1177"/>
      <c r="E1051" s="1177"/>
      <c r="F1051" s="1177"/>
    </row>
    <row r="1052" spans="3:6" x14ac:dyDescent="0.25">
      <c r="C1052" s="1119"/>
      <c r="D1052" s="1177"/>
      <c r="E1052" s="1177"/>
      <c r="F1052" s="1177"/>
    </row>
    <row r="1053" spans="3:6" x14ac:dyDescent="0.25">
      <c r="C1053" s="1119"/>
      <c r="D1053" s="1177"/>
      <c r="E1053" s="1177"/>
      <c r="F1053" s="1177"/>
    </row>
    <row r="1054" spans="3:6" x14ac:dyDescent="0.25">
      <c r="C1054" s="1119"/>
      <c r="D1054" s="1177"/>
      <c r="E1054" s="1177"/>
      <c r="F1054" s="1177"/>
    </row>
    <row r="1055" spans="3:6" x14ac:dyDescent="0.25">
      <c r="C1055" s="1119"/>
      <c r="D1055" s="1177"/>
      <c r="E1055" s="1177"/>
      <c r="F1055" s="1177"/>
    </row>
    <row r="1056" spans="3:6" x14ac:dyDescent="0.25">
      <c r="C1056" s="1119"/>
      <c r="D1056" s="1177"/>
      <c r="E1056" s="1177"/>
      <c r="F1056" s="1177"/>
    </row>
    <row r="1057" spans="3:6" x14ac:dyDescent="0.25">
      <c r="C1057" s="1119"/>
      <c r="D1057" s="1177"/>
      <c r="E1057" s="1177"/>
      <c r="F1057" s="1177"/>
    </row>
    <row r="1058" spans="3:6" x14ac:dyDescent="0.25">
      <c r="C1058" s="1119"/>
      <c r="D1058" s="1177"/>
      <c r="E1058" s="1177"/>
      <c r="F1058" s="1177"/>
    </row>
    <row r="1059" spans="3:6" x14ac:dyDescent="0.25">
      <c r="C1059" s="1119"/>
      <c r="D1059" s="1177"/>
      <c r="E1059" s="1177"/>
      <c r="F1059" s="1177"/>
    </row>
    <row r="1060" spans="3:6" x14ac:dyDescent="0.25">
      <c r="C1060" s="1119"/>
      <c r="D1060" s="1177"/>
      <c r="E1060" s="1177"/>
      <c r="F1060" s="1177"/>
    </row>
    <row r="1061" spans="3:6" x14ac:dyDescent="0.25">
      <c r="C1061" s="1119"/>
      <c r="D1061" s="1177"/>
      <c r="E1061" s="1177"/>
      <c r="F1061" s="1177"/>
    </row>
    <row r="1062" spans="3:6" x14ac:dyDescent="0.25">
      <c r="C1062" s="1119"/>
      <c r="D1062" s="1177"/>
      <c r="E1062" s="1177"/>
      <c r="F1062" s="1177"/>
    </row>
    <row r="1063" spans="3:6" x14ac:dyDescent="0.25">
      <c r="C1063" s="1119"/>
      <c r="D1063" s="1177"/>
      <c r="E1063" s="1177"/>
      <c r="F1063" s="1177"/>
    </row>
    <row r="1064" spans="3:6" x14ac:dyDescent="0.25">
      <c r="C1064" s="1119"/>
      <c r="D1064" s="1177"/>
      <c r="E1064" s="1177"/>
      <c r="F1064" s="1177"/>
    </row>
    <row r="1065" spans="3:6" x14ac:dyDescent="0.25">
      <c r="C1065" s="1119"/>
      <c r="D1065" s="1177"/>
      <c r="E1065" s="1177"/>
      <c r="F1065" s="1177"/>
    </row>
    <row r="1066" spans="3:6" x14ac:dyDescent="0.25">
      <c r="C1066" s="1119"/>
      <c r="D1066" s="1177"/>
      <c r="E1066" s="1177"/>
      <c r="F1066" s="1177"/>
    </row>
    <row r="1067" spans="3:6" x14ac:dyDescent="0.25">
      <c r="C1067" s="1119"/>
      <c r="D1067" s="1177"/>
      <c r="E1067" s="1177"/>
      <c r="F1067" s="1177"/>
    </row>
    <row r="1068" spans="3:6" x14ac:dyDescent="0.25">
      <c r="C1068" s="1119"/>
      <c r="D1068" s="1177"/>
      <c r="E1068" s="1177"/>
      <c r="F1068" s="1177"/>
    </row>
    <row r="1069" spans="3:6" x14ac:dyDescent="0.25">
      <c r="C1069" s="1119"/>
      <c r="D1069" s="1177"/>
      <c r="E1069" s="1177"/>
      <c r="F1069" s="1177"/>
    </row>
    <row r="1070" spans="3:6" x14ac:dyDescent="0.25">
      <c r="C1070" s="1119"/>
      <c r="D1070" s="1177"/>
      <c r="E1070" s="1177"/>
      <c r="F1070" s="1177"/>
    </row>
    <row r="1071" spans="3:6" x14ac:dyDescent="0.25">
      <c r="C1071" s="1119"/>
      <c r="D1071" s="1177"/>
      <c r="E1071" s="1177"/>
      <c r="F1071" s="1177"/>
    </row>
    <row r="1072" spans="3:6" x14ac:dyDescent="0.25">
      <c r="C1072" s="1119"/>
      <c r="D1072" s="1177"/>
      <c r="E1072" s="1177"/>
      <c r="F1072" s="1177"/>
    </row>
    <row r="1073" spans="3:6" x14ac:dyDescent="0.25">
      <c r="C1073" s="1119"/>
      <c r="D1073" s="1177"/>
      <c r="E1073" s="1177"/>
      <c r="F1073" s="1177"/>
    </row>
    <row r="1074" spans="3:6" x14ac:dyDescent="0.25">
      <c r="C1074" s="1119"/>
      <c r="D1074" s="1177"/>
      <c r="E1074" s="1177"/>
      <c r="F1074" s="1177"/>
    </row>
    <row r="1075" spans="3:6" x14ac:dyDescent="0.25">
      <c r="C1075" s="1119"/>
      <c r="D1075" s="1177"/>
      <c r="E1075" s="1177"/>
      <c r="F1075" s="1177"/>
    </row>
    <row r="1076" spans="3:6" x14ac:dyDescent="0.25">
      <c r="C1076" s="1119"/>
      <c r="D1076" s="1177"/>
      <c r="E1076" s="1177"/>
      <c r="F1076" s="1177"/>
    </row>
    <row r="1077" spans="3:6" x14ac:dyDescent="0.25">
      <c r="C1077" s="1119"/>
      <c r="D1077" s="1177"/>
      <c r="E1077" s="1177"/>
      <c r="F1077" s="1177"/>
    </row>
    <row r="1078" spans="3:6" x14ac:dyDescent="0.25">
      <c r="C1078" s="1119"/>
      <c r="D1078" s="1177"/>
      <c r="E1078" s="1177"/>
      <c r="F1078" s="1177"/>
    </row>
    <row r="1079" spans="3:6" x14ac:dyDescent="0.25">
      <c r="C1079" s="1119"/>
      <c r="D1079" s="1177"/>
      <c r="E1079" s="1177"/>
      <c r="F1079" s="1177"/>
    </row>
    <row r="1080" spans="3:6" x14ac:dyDescent="0.25">
      <c r="C1080" s="1119"/>
      <c r="D1080" s="1177"/>
      <c r="E1080" s="1177"/>
      <c r="F1080" s="1177"/>
    </row>
    <row r="1081" spans="3:6" x14ac:dyDescent="0.25">
      <c r="C1081" s="1119"/>
      <c r="D1081" s="1177"/>
      <c r="E1081" s="1177"/>
      <c r="F1081" s="1177"/>
    </row>
    <row r="1082" spans="3:6" x14ac:dyDescent="0.25">
      <c r="C1082" s="1119"/>
      <c r="D1082" s="1177"/>
      <c r="E1082" s="1177"/>
      <c r="F1082" s="1177"/>
    </row>
    <row r="1083" spans="3:6" x14ac:dyDescent="0.25">
      <c r="C1083" s="1119"/>
      <c r="D1083" s="1177"/>
      <c r="E1083" s="1177"/>
      <c r="F1083" s="1177"/>
    </row>
    <row r="1084" spans="3:6" x14ac:dyDescent="0.25">
      <c r="C1084" s="1119"/>
      <c r="D1084" s="1177"/>
      <c r="E1084" s="1177"/>
      <c r="F1084" s="1177"/>
    </row>
    <row r="1085" spans="3:6" x14ac:dyDescent="0.25">
      <c r="C1085" s="1119"/>
      <c r="D1085" s="1177"/>
      <c r="E1085" s="1177"/>
      <c r="F1085" s="1177"/>
    </row>
    <row r="1086" spans="3:6" x14ac:dyDescent="0.25">
      <c r="C1086" s="1119"/>
      <c r="D1086" s="1177"/>
      <c r="E1086" s="1177"/>
      <c r="F1086" s="1177"/>
    </row>
    <row r="1087" spans="3:6" x14ac:dyDescent="0.25">
      <c r="C1087" s="1119"/>
      <c r="D1087" s="1177"/>
      <c r="E1087" s="1177"/>
      <c r="F1087" s="1177"/>
    </row>
    <row r="1088" spans="3:6" x14ac:dyDescent="0.25">
      <c r="C1088" s="1119"/>
      <c r="D1088" s="1177"/>
      <c r="E1088" s="1177"/>
      <c r="F1088" s="1177"/>
    </row>
    <row r="1089" spans="3:6" x14ac:dyDescent="0.25">
      <c r="C1089" s="1119"/>
      <c r="D1089" s="1177"/>
      <c r="E1089" s="1177"/>
      <c r="F1089" s="1177"/>
    </row>
    <row r="1090" spans="3:6" x14ac:dyDescent="0.25">
      <c r="C1090" s="1119"/>
      <c r="D1090" s="1177"/>
      <c r="E1090" s="1177"/>
      <c r="F1090" s="1177"/>
    </row>
    <row r="1091" spans="3:6" x14ac:dyDescent="0.25">
      <c r="C1091" s="1119"/>
      <c r="D1091" s="1177"/>
      <c r="E1091" s="1177"/>
      <c r="F1091" s="1177"/>
    </row>
    <row r="1092" spans="3:6" x14ac:dyDescent="0.25">
      <c r="C1092" s="1119"/>
      <c r="D1092" s="1177"/>
      <c r="E1092" s="1177"/>
      <c r="F1092" s="1177"/>
    </row>
    <row r="1093" spans="3:6" x14ac:dyDescent="0.25">
      <c r="C1093" s="1119"/>
      <c r="D1093" s="1177"/>
      <c r="E1093" s="1177"/>
      <c r="F1093" s="1177"/>
    </row>
    <row r="1094" spans="3:6" x14ac:dyDescent="0.25">
      <c r="C1094" s="1119"/>
      <c r="D1094" s="1177"/>
      <c r="E1094" s="1177"/>
      <c r="F1094" s="1177"/>
    </row>
    <row r="1095" spans="3:6" x14ac:dyDescent="0.25">
      <c r="C1095" s="1119"/>
      <c r="D1095" s="1177"/>
      <c r="E1095" s="1177"/>
      <c r="F1095" s="1177"/>
    </row>
    <row r="1096" spans="3:6" x14ac:dyDescent="0.25">
      <c r="C1096" s="1119"/>
      <c r="D1096" s="1177"/>
      <c r="E1096" s="1177"/>
      <c r="F1096" s="1177"/>
    </row>
    <row r="1097" spans="3:6" x14ac:dyDescent="0.25">
      <c r="C1097" s="1119"/>
      <c r="D1097" s="1177"/>
      <c r="E1097" s="1177"/>
      <c r="F1097" s="1177"/>
    </row>
    <row r="1098" spans="3:6" x14ac:dyDescent="0.25">
      <c r="C1098" s="1119"/>
      <c r="D1098" s="1177"/>
      <c r="E1098" s="1177"/>
      <c r="F1098" s="1177"/>
    </row>
    <row r="1099" spans="3:6" x14ac:dyDescent="0.25">
      <c r="C1099" s="1119"/>
      <c r="D1099" s="1177"/>
      <c r="E1099" s="1177"/>
      <c r="F1099" s="1177"/>
    </row>
    <row r="1100" spans="3:6" x14ac:dyDescent="0.25">
      <c r="C1100" s="1119"/>
      <c r="D1100" s="1177"/>
      <c r="E1100" s="1177"/>
      <c r="F1100" s="1177"/>
    </row>
    <row r="1101" spans="3:6" x14ac:dyDescent="0.25">
      <c r="C1101" s="1119"/>
      <c r="D1101" s="1177"/>
      <c r="E1101" s="1177"/>
      <c r="F1101" s="1177"/>
    </row>
    <row r="1102" spans="3:6" x14ac:dyDescent="0.25">
      <c r="C1102" s="1119"/>
      <c r="D1102" s="1177"/>
      <c r="E1102" s="1177"/>
      <c r="F1102" s="1177"/>
    </row>
    <row r="1103" spans="3:6" x14ac:dyDescent="0.25">
      <c r="C1103" s="1119"/>
      <c r="D1103" s="1177"/>
      <c r="E1103" s="1177"/>
      <c r="F1103" s="1177"/>
    </row>
    <row r="1104" spans="3:6" x14ac:dyDescent="0.25">
      <c r="C1104" s="1119"/>
      <c r="D1104" s="1177"/>
      <c r="E1104" s="1177"/>
      <c r="F1104" s="1177"/>
    </row>
    <row r="1105" spans="3:6" x14ac:dyDescent="0.25">
      <c r="C1105" s="1119"/>
      <c r="D1105" s="1177"/>
      <c r="E1105" s="1177"/>
      <c r="F1105" s="1177"/>
    </row>
    <row r="1106" spans="3:6" x14ac:dyDescent="0.25">
      <c r="C1106" s="1119"/>
      <c r="D1106" s="1177"/>
      <c r="E1106" s="1177"/>
      <c r="F1106" s="1177"/>
    </row>
    <row r="1107" spans="3:6" x14ac:dyDescent="0.25">
      <c r="C1107" s="1119"/>
      <c r="D1107" s="1177"/>
      <c r="E1107" s="1177"/>
      <c r="F1107" s="1177"/>
    </row>
    <row r="1108" spans="3:6" x14ac:dyDescent="0.25">
      <c r="C1108" s="1119"/>
      <c r="D1108" s="1177"/>
      <c r="E1108" s="1177"/>
      <c r="F1108" s="1177"/>
    </row>
    <row r="1109" spans="3:6" x14ac:dyDescent="0.25">
      <c r="C1109" s="1119"/>
      <c r="D1109" s="1177"/>
      <c r="E1109" s="1177"/>
      <c r="F1109" s="1177"/>
    </row>
    <row r="1110" spans="3:6" x14ac:dyDescent="0.25">
      <c r="C1110" s="1119"/>
      <c r="D1110" s="1177"/>
      <c r="E1110" s="1177"/>
      <c r="F1110" s="1177"/>
    </row>
    <row r="1111" spans="3:6" x14ac:dyDescent="0.25">
      <c r="C1111" s="1119"/>
      <c r="D1111" s="1177"/>
      <c r="E1111" s="1177"/>
      <c r="F1111" s="1177"/>
    </row>
    <row r="1112" spans="3:6" x14ac:dyDescent="0.25">
      <c r="C1112" s="1119"/>
      <c r="D1112" s="1177"/>
      <c r="E1112" s="1177"/>
      <c r="F1112" s="1177"/>
    </row>
    <row r="1113" spans="3:6" x14ac:dyDescent="0.25">
      <c r="C1113" s="1119"/>
      <c r="D1113" s="1177"/>
      <c r="E1113" s="1177"/>
      <c r="F1113" s="1177"/>
    </row>
    <row r="1114" spans="3:6" x14ac:dyDescent="0.25">
      <c r="C1114" s="1119"/>
      <c r="D1114" s="1177"/>
      <c r="E1114" s="1177"/>
      <c r="F1114" s="1177"/>
    </row>
    <row r="1115" spans="3:6" x14ac:dyDescent="0.25">
      <c r="C1115" s="1119"/>
      <c r="D1115" s="1177"/>
      <c r="E1115" s="1177"/>
      <c r="F1115" s="1177"/>
    </row>
    <row r="1116" spans="3:6" x14ac:dyDescent="0.25">
      <c r="C1116" s="1119"/>
      <c r="D1116" s="1177"/>
      <c r="E1116" s="1177"/>
      <c r="F1116" s="1177"/>
    </row>
    <row r="1117" spans="3:6" x14ac:dyDescent="0.25">
      <c r="C1117" s="1119"/>
      <c r="D1117" s="1177"/>
      <c r="E1117" s="1177"/>
      <c r="F1117" s="1177"/>
    </row>
    <row r="1118" spans="3:6" x14ac:dyDescent="0.25">
      <c r="C1118" s="1119"/>
      <c r="D1118" s="1177"/>
      <c r="E1118" s="1177"/>
      <c r="F1118" s="1177"/>
    </row>
    <row r="1119" spans="3:6" x14ac:dyDescent="0.25">
      <c r="C1119" s="1119"/>
      <c r="D1119" s="1177"/>
      <c r="E1119" s="1177"/>
      <c r="F1119" s="1177"/>
    </row>
    <row r="1120" spans="3:6" x14ac:dyDescent="0.25">
      <c r="C1120" s="1119"/>
      <c r="D1120" s="1177"/>
      <c r="E1120" s="1177"/>
      <c r="F1120" s="1177"/>
    </row>
    <row r="1121" spans="3:6" x14ac:dyDescent="0.25">
      <c r="C1121" s="1119"/>
      <c r="D1121" s="1177"/>
      <c r="E1121" s="1177"/>
      <c r="F1121" s="1177"/>
    </row>
    <row r="1122" spans="3:6" x14ac:dyDescent="0.25">
      <c r="C1122" s="1119"/>
      <c r="D1122" s="1177"/>
      <c r="E1122" s="1177"/>
      <c r="F1122" s="1177"/>
    </row>
    <row r="1123" spans="3:6" x14ac:dyDescent="0.25">
      <c r="C1123" s="1119"/>
      <c r="D1123" s="1177"/>
      <c r="E1123" s="1177"/>
      <c r="F1123" s="1177"/>
    </row>
    <row r="1124" spans="3:6" x14ac:dyDescent="0.25">
      <c r="C1124" s="1119"/>
      <c r="D1124" s="1177"/>
      <c r="E1124" s="1177"/>
      <c r="F1124" s="1177"/>
    </row>
    <row r="1125" spans="3:6" x14ac:dyDescent="0.25">
      <c r="C1125" s="1119"/>
      <c r="D1125" s="1177"/>
      <c r="E1125" s="1177"/>
      <c r="F1125" s="1177"/>
    </row>
    <row r="1126" spans="3:6" x14ac:dyDescent="0.25">
      <c r="C1126" s="1119"/>
      <c r="D1126" s="1177"/>
      <c r="E1126" s="1177"/>
      <c r="F1126" s="1177"/>
    </row>
    <row r="1127" spans="3:6" x14ac:dyDescent="0.25">
      <c r="C1127" s="1119"/>
      <c r="D1127" s="1177"/>
      <c r="E1127" s="1177"/>
      <c r="F1127" s="1177"/>
    </row>
    <row r="1128" spans="3:6" x14ac:dyDescent="0.25">
      <c r="C1128" s="1119"/>
      <c r="D1128" s="1177"/>
      <c r="E1128" s="1177"/>
      <c r="F1128" s="1177"/>
    </row>
    <row r="1129" spans="3:6" x14ac:dyDescent="0.25">
      <c r="C1129" s="1119"/>
      <c r="D1129" s="1177"/>
      <c r="E1129" s="1177"/>
      <c r="F1129" s="1177"/>
    </row>
    <row r="1130" spans="3:6" x14ac:dyDescent="0.25">
      <c r="C1130" s="1119"/>
      <c r="D1130" s="1177"/>
      <c r="E1130" s="1177"/>
      <c r="F1130" s="1177"/>
    </row>
    <row r="1131" spans="3:6" x14ac:dyDescent="0.25">
      <c r="C1131" s="1119"/>
      <c r="D1131" s="1177"/>
      <c r="E1131" s="1177"/>
      <c r="F1131" s="1177"/>
    </row>
    <row r="1132" spans="3:6" x14ac:dyDescent="0.25">
      <c r="C1132" s="1119"/>
      <c r="D1132" s="1177"/>
      <c r="E1132" s="1177"/>
      <c r="F1132" s="1177"/>
    </row>
    <row r="1133" spans="3:6" x14ac:dyDescent="0.25">
      <c r="C1133" s="1119"/>
      <c r="D1133" s="1177"/>
      <c r="E1133" s="1177"/>
      <c r="F1133" s="1177"/>
    </row>
    <row r="1134" spans="3:6" x14ac:dyDescent="0.25">
      <c r="C1134" s="1119"/>
      <c r="D1134" s="1177"/>
      <c r="E1134" s="1177"/>
      <c r="F1134" s="1177"/>
    </row>
    <row r="1135" spans="3:6" x14ac:dyDescent="0.25">
      <c r="C1135" s="1119"/>
      <c r="D1135" s="1177"/>
      <c r="E1135" s="1177"/>
      <c r="F1135" s="1177"/>
    </row>
    <row r="1136" spans="3:6" x14ac:dyDescent="0.25">
      <c r="C1136" s="1119"/>
      <c r="D1136" s="1177"/>
      <c r="E1136" s="1177"/>
      <c r="F1136" s="1177"/>
    </row>
    <row r="1137" spans="3:6" x14ac:dyDescent="0.25">
      <c r="C1137" s="1119"/>
      <c r="D1137" s="1177"/>
      <c r="E1137" s="1177"/>
      <c r="F1137" s="1177"/>
    </row>
    <row r="1138" spans="3:6" x14ac:dyDescent="0.25">
      <c r="C1138" s="1119"/>
      <c r="D1138" s="1177"/>
      <c r="E1138" s="1177"/>
      <c r="F1138" s="1177"/>
    </row>
    <row r="1139" spans="3:6" x14ac:dyDescent="0.25">
      <c r="C1139" s="1119"/>
      <c r="D1139" s="1177"/>
      <c r="E1139" s="1177"/>
      <c r="F1139" s="1177"/>
    </row>
    <row r="1140" spans="3:6" x14ac:dyDescent="0.25">
      <c r="C1140" s="1119"/>
      <c r="D1140" s="1177"/>
      <c r="E1140" s="1177"/>
      <c r="F1140" s="1177"/>
    </row>
    <row r="1141" spans="3:6" x14ac:dyDescent="0.25">
      <c r="C1141" s="1119"/>
      <c r="D1141" s="1177"/>
      <c r="E1141" s="1177"/>
      <c r="F1141" s="1177"/>
    </row>
    <row r="1142" spans="3:6" x14ac:dyDescent="0.25">
      <c r="C1142" s="1119"/>
      <c r="D1142" s="1177"/>
      <c r="E1142" s="1177"/>
      <c r="F1142" s="1177"/>
    </row>
    <row r="1143" spans="3:6" x14ac:dyDescent="0.25">
      <c r="C1143" s="1119"/>
      <c r="D1143" s="1177"/>
      <c r="E1143" s="1177"/>
      <c r="F1143" s="1177"/>
    </row>
    <row r="1144" spans="3:6" x14ac:dyDescent="0.25">
      <c r="C1144" s="1119"/>
      <c r="D1144" s="1177"/>
      <c r="E1144" s="1177"/>
      <c r="F1144" s="1177"/>
    </row>
    <row r="1145" spans="3:6" x14ac:dyDescent="0.25">
      <c r="C1145" s="1119"/>
      <c r="D1145" s="1177"/>
      <c r="E1145" s="1177"/>
      <c r="F1145" s="1177"/>
    </row>
    <row r="1146" spans="3:6" x14ac:dyDescent="0.25">
      <c r="C1146" s="1119"/>
      <c r="D1146" s="1177"/>
      <c r="E1146" s="1177"/>
      <c r="F1146" s="1177"/>
    </row>
    <row r="1147" spans="3:6" x14ac:dyDescent="0.25">
      <c r="C1147" s="1119"/>
      <c r="D1147" s="1177"/>
      <c r="E1147" s="1177"/>
      <c r="F1147" s="1177"/>
    </row>
    <row r="1148" spans="3:6" x14ac:dyDescent="0.25">
      <c r="C1148" s="1119"/>
      <c r="D1148" s="1177"/>
      <c r="E1148" s="1177"/>
      <c r="F1148" s="1177"/>
    </row>
    <row r="1149" spans="3:6" x14ac:dyDescent="0.25">
      <c r="C1149" s="1119"/>
      <c r="D1149" s="1177"/>
      <c r="E1149" s="1177"/>
      <c r="F1149" s="1177"/>
    </row>
    <row r="1150" spans="3:6" x14ac:dyDescent="0.25">
      <c r="C1150" s="1119"/>
      <c r="D1150" s="1177"/>
      <c r="E1150" s="1177"/>
      <c r="F1150" s="1177"/>
    </row>
    <row r="1151" spans="3:6" x14ac:dyDescent="0.25">
      <c r="C1151" s="1119"/>
      <c r="D1151" s="1177"/>
      <c r="E1151" s="1177"/>
      <c r="F1151" s="1177"/>
    </row>
    <row r="1152" spans="3:6" x14ac:dyDescent="0.25">
      <c r="C1152" s="1119"/>
      <c r="D1152" s="1177"/>
      <c r="E1152" s="1177"/>
      <c r="F1152" s="1177"/>
    </row>
    <row r="1153" spans="3:6" x14ac:dyDescent="0.25">
      <c r="C1153" s="1119"/>
      <c r="D1153" s="1177"/>
      <c r="E1153" s="1177"/>
      <c r="F1153" s="1177"/>
    </row>
    <row r="1154" spans="3:6" x14ac:dyDescent="0.25">
      <c r="C1154" s="1119"/>
      <c r="D1154" s="1177"/>
      <c r="E1154" s="1177"/>
      <c r="F1154" s="1177"/>
    </row>
    <row r="1155" spans="3:6" x14ac:dyDescent="0.25">
      <c r="C1155" s="1119"/>
      <c r="D1155" s="1177"/>
      <c r="E1155" s="1177"/>
      <c r="F1155" s="1177"/>
    </row>
    <row r="1156" spans="3:6" x14ac:dyDescent="0.25">
      <c r="C1156" s="1119"/>
      <c r="D1156" s="1177"/>
      <c r="E1156" s="1177"/>
      <c r="F1156" s="1177"/>
    </row>
    <row r="1157" spans="3:6" x14ac:dyDescent="0.25">
      <c r="C1157" s="1119"/>
      <c r="D1157" s="1177"/>
      <c r="E1157" s="1177"/>
      <c r="F1157" s="1177"/>
    </row>
    <row r="1158" spans="3:6" x14ac:dyDescent="0.25">
      <c r="C1158" s="1119"/>
      <c r="D1158" s="1177"/>
      <c r="E1158" s="1177"/>
      <c r="F1158" s="1177"/>
    </row>
    <row r="1159" spans="3:6" x14ac:dyDescent="0.25">
      <c r="C1159" s="1119"/>
      <c r="D1159" s="1177"/>
      <c r="E1159" s="1177"/>
      <c r="F1159" s="1177"/>
    </row>
    <row r="1160" spans="3:6" x14ac:dyDescent="0.25">
      <c r="C1160" s="1119"/>
      <c r="D1160" s="1177"/>
      <c r="E1160" s="1177"/>
      <c r="F1160" s="1177"/>
    </row>
    <row r="1161" spans="3:6" x14ac:dyDescent="0.25">
      <c r="C1161" s="1119"/>
      <c r="D1161" s="1177"/>
      <c r="E1161" s="1177"/>
      <c r="F1161" s="1177"/>
    </row>
    <row r="1162" spans="3:6" x14ac:dyDescent="0.25">
      <c r="C1162" s="1119"/>
      <c r="D1162" s="1177"/>
      <c r="E1162" s="1177"/>
      <c r="F1162" s="1177"/>
    </row>
    <row r="1163" spans="3:6" x14ac:dyDescent="0.25">
      <c r="C1163" s="1119"/>
      <c r="D1163" s="1177"/>
      <c r="E1163" s="1177"/>
      <c r="F1163" s="1177"/>
    </row>
    <row r="1164" spans="3:6" x14ac:dyDescent="0.25">
      <c r="C1164" s="1119"/>
      <c r="D1164" s="1177"/>
      <c r="E1164" s="1177"/>
      <c r="F1164" s="1177"/>
    </row>
    <row r="1165" spans="3:6" x14ac:dyDescent="0.25">
      <c r="C1165" s="1119"/>
      <c r="D1165" s="1177"/>
      <c r="E1165" s="1177"/>
      <c r="F1165" s="1177"/>
    </row>
    <row r="1166" spans="3:6" x14ac:dyDescent="0.25">
      <c r="C1166" s="1119"/>
      <c r="D1166" s="1177"/>
      <c r="E1166" s="1177"/>
      <c r="F1166" s="1177"/>
    </row>
    <row r="1167" spans="3:6" x14ac:dyDescent="0.25">
      <c r="C1167" s="1119"/>
      <c r="D1167" s="1177"/>
      <c r="E1167" s="1177"/>
      <c r="F1167" s="1177"/>
    </row>
    <row r="1168" spans="3:6" x14ac:dyDescent="0.25">
      <c r="C1168" s="1119"/>
      <c r="D1168" s="1177"/>
      <c r="E1168" s="1177"/>
      <c r="F1168" s="1177"/>
    </row>
    <row r="1169" spans="3:6" x14ac:dyDescent="0.25">
      <c r="C1169" s="1119"/>
      <c r="D1169" s="1177"/>
      <c r="E1169" s="1177"/>
      <c r="F1169" s="1177"/>
    </row>
    <row r="1170" spans="3:6" x14ac:dyDescent="0.25">
      <c r="C1170" s="1119"/>
      <c r="D1170" s="1177"/>
      <c r="E1170" s="1177"/>
      <c r="F1170" s="1177"/>
    </row>
    <row r="1171" spans="3:6" x14ac:dyDescent="0.25">
      <c r="C1171" s="1119"/>
      <c r="D1171" s="1177"/>
      <c r="E1171" s="1177"/>
      <c r="F1171" s="1177"/>
    </row>
    <row r="1172" spans="3:6" x14ac:dyDescent="0.25">
      <c r="C1172" s="1119"/>
      <c r="D1172" s="1177"/>
      <c r="E1172" s="1177"/>
      <c r="F1172" s="1177"/>
    </row>
    <row r="1173" spans="3:6" x14ac:dyDescent="0.25">
      <c r="C1173" s="1119"/>
      <c r="D1173" s="1177"/>
      <c r="E1173" s="1177"/>
      <c r="F1173" s="1177"/>
    </row>
    <row r="1174" spans="3:6" x14ac:dyDescent="0.25">
      <c r="C1174" s="1119"/>
      <c r="D1174" s="1177"/>
      <c r="E1174" s="1177"/>
      <c r="F1174" s="1177"/>
    </row>
    <row r="1175" spans="3:6" x14ac:dyDescent="0.25">
      <c r="C1175" s="1119"/>
      <c r="D1175" s="1177"/>
      <c r="E1175" s="1177"/>
      <c r="F1175" s="1177"/>
    </row>
    <row r="1176" spans="3:6" x14ac:dyDescent="0.25">
      <c r="C1176" s="1119"/>
      <c r="D1176" s="1177"/>
      <c r="E1176" s="1177"/>
      <c r="F1176" s="1177"/>
    </row>
    <row r="1177" spans="3:6" x14ac:dyDescent="0.25">
      <c r="C1177" s="1119"/>
      <c r="D1177" s="1177"/>
      <c r="E1177" s="1177"/>
      <c r="F1177" s="1177"/>
    </row>
    <row r="1178" spans="3:6" x14ac:dyDescent="0.25">
      <c r="C1178" s="1119"/>
      <c r="D1178" s="1177"/>
      <c r="E1178" s="1177"/>
      <c r="F1178" s="1177"/>
    </row>
    <row r="1179" spans="3:6" x14ac:dyDescent="0.25">
      <c r="C1179" s="1119"/>
      <c r="D1179" s="1177"/>
      <c r="E1179" s="1177"/>
      <c r="F1179" s="1177"/>
    </row>
    <row r="1180" spans="3:6" x14ac:dyDescent="0.25">
      <c r="C1180" s="1119"/>
      <c r="D1180" s="1177"/>
      <c r="E1180" s="1177"/>
      <c r="F1180" s="1177"/>
    </row>
    <row r="1181" spans="3:6" x14ac:dyDescent="0.25">
      <c r="C1181" s="1119"/>
      <c r="D1181" s="1177"/>
      <c r="E1181" s="1177"/>
      <c r="F1181" s="1177"/>
    </row>
    <row r="1182" spans="3:6" x14ac:dyDescent="0.25">
      <c r="C1182" s="1119"/>
      <c r="D1182" s="1177"/>
      <c r="E1182" s="1177"/>
      <c r="F1182" s="1177"/>
    </row>
    <row r="1183" spans="3:6" x14ac:dyDescent="0.25">
      <c r="C1183" s="1119"/>
      <c r="D1183" s="1177"/>
      <c r="E1183" s="1177"/>
      <c r="F1183" s="1177"/>
    </row>
    <row r="1184" spans="3:6" x14ac:dyDescent="0.25">
      <c r="C1184" s="1119"/>
      <c r="D1184" s="1177"/>
      <c r="E1184" s="1177"/>
      <c r="F1184" s="1177"/>
    </row>
    <row r="1185" spans="3:6" x14ac:dyDescent="0.25">
      <c r="C1185" s="1119"/>
      <c r="D1185" s="1177"/>
      <c r="E1185" s="1177"/>
      <c r="F1185" s="1177"/>
    </row>
    <row r="1186" spans="3:6" x14ac:dyDescent="0.25">
      <c r="C1186" s="1119"/>
      <c r="D1186" s="1177"/>
      <c r="E1186" s="1177"/>
      <c r="F1186" s="1177"/>
    </row>
    <row r="1187" spans="3:6" x14ac:dyDescent="0.25">
      <c r="C1187" s="1119"/>
      <c r="D1187" s="1177"/>
      <c r="E1187" s="1177"/>
      <c r="F1187" s="1177"/>
    </row>
    <row r="1188" spans="3:6" x14ac:dyDescent="0.25">
      <c r="C1188" s="1119"/>
      <c r="D1188" s="1177"/>
      <c r="E1188" s="1177"/>
      <c r="F1188" s="1177"/>
    </row>
    <row r="1189" spans="3:6" x14ac:dyDescent="0.25">
      <c r="C1189" s="1119"/>
      <c r="D1189" s="1177"/>
      <c r="E1189" s="1177"/>
      <c r="F1189" s="1177"/>
    </row>
    <row r="1190" spans="3:6" x14ac:dyDescent="0.25">
      <c r="C1190" s="1119"/>
      <c r="D1190" s="1177"/>
      <c r="E1190" s="1177"/>
      <c r="F1190" s="1177"/>
    </row>
    <row r="1191" spans="3:6" x14ac:dyDescent="0.25">
      <c r="C1191" s="1119"/>
      <c r="D1191" s="1177"/>
      <c r="E1191" s="1177"/>
      <c r="F1191" s="1177"/>
    </row>
    <row r="1192" spans="3:6" x14ac:dyDescent="0.25">
      <c r="C1192" s="1119"/>
      <c r="D1192" s="1177"/>
      <c r="E1192" s="1177"/>
      <c r="F1192" s="1177"/>
    </row>
    <row r="1193" spans="3:6" x14ac:dyDescent="0.25">
      <c r="C1193" s="1119"/>
      <c r="D1193" s="1177"/>
      <c r="E1193" s="1177"/>
      <c r="F1193" s="1177"/>
    </row>
    <row r="1194" spans="3:6" x14ac:dyDescent="0.25">
      <c r="C1194" s="1119"/>
      <c r="D1194" s="1177"/>
      <c r="E1194" s="1177"/>
      <c r="F1194" s="1177"/>
    </row>
    <row r="1195" spans="3:6" x14ac:dyDescent="0.25">
      <c r="C1195" s="1119"/>
      <c r="D1195" s="1177"/>
      <c r="E1195" s="1177"/>
      <c r="F1195" s="1177"/>
    </row>
    <row r="1196" spans="3:6" x14ac:dyDescent="0.25">
      <c r="C1196" s="1119"/>
      <c r="D1196" s="1177"/>
      <c r="E1196" s="1177"/>
      <c r="F1196" s="1177"/>
    </row>
    <row r="1197" spans="3:6" x14ac:dyDescent="0.25">
      <c r="C1197" s="1119"/>
      <c r="D1197" s="1177"/>
      <c r="E1197" s="1177"/>
      <c r="F1197" s="1177"/>
    </row>
    <row r="1198" spans="3:6" x14ac:dyDescent="0.25">
      <c r="C1198" s="1119"/>
      <c r="D1198" s="1177"/>
      <c r="E1198" s="1177"/>
      <c r="F1198" s="1177"/>
    </row>
    <row r="1199" spans="3:6" x14ac:dyDescent="0.25">
      <c r="C1199" s="1119"/>
      <c r="D1199" s="1177"/>
      <c r="E1199" s="1177"/>
      <c r="F1199" s="1177"/>
    </row>
    <row r="1200" spans="3:6" x14ac:dyDescent="0.25">
      <c r="C1200" s="1119"/>
      <c r="D1200" s="1177"/>
      <c r="E1200" s="1177"/>
      <c r="F1200" s="1177"/>
    </row>
    <row r="1201" spans="3:6" x14ac:dyDescent="0.25">
      <c r="C1201" s="1119"/>
      <c r="D1201" s="1177"/>
      <c r="E1201" s="1177"/>
      <c r="F1201" s="1177"/>
    </row>
    <row r="1202" spans="3:6" x14ac:dyDescent="0.25">
      <c r="C1202" s="1119"/>
      <c r="D1202" s="1177"/>
      <c r="E1202" s="1177"/>
      <c r="F1202" s="1177"/>
    </row>
    <row r="1203" spans="3:6" x14ac:dyDescent="0.25">
      <c r="C1203" s="1119"/>
      <c r="D1203" s="1177"/>
      <c r="E1203" s="1177"/>
      <c r="F1203" s="1177"/>
    </row>
    <row r="1204" spans="3:6" x14ac:dyDescent="0.25">
      <c r="C1204" s="1119"/>
      <c r="D1204" s="1177"/>
      <c r="E1204" s="1177"/>
      <c r="F1204" s="1177"/>
    </row>
    <row r="1205" spans="3:6" x14ac:dyDescent="0.25">
      <c r="C1205" s="1119"/>
      <c r="D1205" s="1177"/>
      <c r="E1205" s="1177"/>
      <c r="F1205" s="1177"/>
    </row>
    <row r="1206" spans="3:6" x14ac:dyDescent="0.25">
      <c r="C1206" s="1119"/>
      <c r="D1206" s="1177"/>
      <c r="E1206" s="1177"/>
      <c r="F1206" s="1177"/>
    </row>
    <row r="1207" spans="3:6" x14ac:dyDescent="0.25">
      <c r="C1207" s="1119"/>
      <c r="D1207" s="1177"/>
      <c r="E1207" s="1177"/>
      <c r="F1207" s="1177"/>
    </row>
    <row r="1208" spans="3:6" x14ac:dyDescent="0.25">
      <c r="C1208" s="1119"/>
      <c r="D1208" s="1177"/>
      <c r="E1208" s="1177"/>
      <c r="F1208" s="1177"/>
    </row>
    <row r="1209" spans="3:6" x14ac:dyDescent="0.25">
      <c r="C1209" s="1119"/>
      <c r="D1209" s="1177"/>
      <c r="E1209" s="1177"/>
      <c r="F1209" s="1177"/>
    </row>
    <row r="1210" spans="3:6" x14ac:dyDescent="0.25">
      <c r="C1210" s="1119"/>
      <c r="D1210" s="1177"/>
      <c r="E1210" s="1177"/>
      <c r="F1210" s="1177"/>
    </row>
    <row r="1211" spans="3:6" x14ac:dyDescent="0.25">
      <c r="C1211" s="1119"/>
      <c r="D1211" s="1177"/>
      <c r="E1211" s="1177"/>
      <c r="F1211" s="1177"/>
    </row>
    <row r="1212" spans="3:6" x14ac:dyDescent="0.25">
      <c r="C1212" s="1119"/>
      <c r="D1212" s="1177"/>
      <c r="E1212" s="1177"/>
      <c r="F1212" s="1177"/>
    </row>
    <row r="1213" spans="3:6" x14ac:dyDescent="0.25">
      <c r="C1213" s="1119"/>
      <c r="D1213" s="1177"/>
      <c r="E1213" s="1177"/>
      <c r="F1213" s="1177"/>
    </row>
    <row r="1214" spans="3:6" x14ac:dyDescent="0.25">
      <c r="C1214" s="1119"/>
      <c r="D1214" s="1177"/>
      <c r="E1214" s="1177"/>
      <c r="F1214" s="1177"/>
    </row>
    <row r="1215" spans="3:6" x14ac:dyDescent="0.25">
      <c r="C1215" s="1119"/>
      <c r="D1215" s="1177"/>
      <c r="E1215" s="1177"/>
      <c r="F1215" s="1177"/>
    </row>
    <row r="1216" spans="3:6" x14ac:dyDescent="0.25">
      <c r="C1216" s="1119"/>
      <c r="D1216" s="1177"/>
      <c r="E1216" s="1177"/>
      <c r="F1216" s="1177"/>
    </row>
    <row r="1217" spans="3:6" x14ac:dyDescent="0.25">
      <c r="C1217" s="1119"/>
      <c r="D1217" s="1177"/>
      <c r="E1217" s="1177"/>
      <c r="F1217" s="1177"/>
    </row>
    <row r="1218" spans="3:6" x14ac:dyDescent="0.25">
      <c r="C1218" s="1119"/>
      <c r="D1218" s="1177"/>
      <c r="E1218" s="1177"/>
      <c r="F1218" s="1177"/>
    </row>
    <row r="1219" spans="3:6" x14ac:dyDescent="0.25">
      <c r="C1219" s="1119"/>
      <c r="D1219" s="1177"/>
      <c r="E1219" s="1177"/>
      <c r="F1219" s="1177"/>
    </row>
    <row r="1220" spans="3:6" x14ac:dyDescent="0.25">
      <c r="C1220" s="1119"/>
      <c r="D1220" s="1177"/>
      <c r="E1220" s="1177"/>
      <c r="F1220" s="1177"/>
    </row>
    <row r="1221" spans="3:6" x14ac:dyDescent="0.25">
      <c r="C1221" s="1119"/>
      <c r="D1221" s="1177"/>
      <c r="E1221" s="1177"/>
      <c r="F1221" s="1177"/>
    </row>
    <row r="1222" spans="3:6" x14ac:dyDescent="0.25">
      <c r="C1222" s="1119"/>
      <c r="D1222" s="1177"/>
      <c r="E1222" s="1177"/>
      <c r="F1222" s="1177"/>
    </row>
    <row r="1223" spans="3:6" x14ac:dyDescent="0.25">
      <c r="C1223" s="1119"/>
      <c r="D1223" s="1177"/>
      <c r="E1223" s="1177"/>
      <c r="F1223" s="1177"/>
    </row>
    <row r="1224" spans="3:6" x14ac:dyDescent="0.25">
      <c r="C1224" s="1119"/>
      <c r="D1224" s="1177"/>
      <c r="E1224" s="1177"/>
      <c r="F1224" s="1177"/>
    </row>
    <row r="1225" spans="3:6" x14ac:dyDescent="0.25">
      <c r="C1225" s="1119"/>
      <c r="D1225" s="1177"/>
      <c r="E1225" s="1177"/>
      <c r="F1225" s="1177"/>
    </row>
    <row r="1226" spans="3:6" x14ac:dyDescent="0.25">
      <c r="C1226" s="1119"/>
      <c r="D1226" s="1177"/>
      <c r="E1226" s="1177"/>
      <c r="F1226" s="1177"/>
    </row>
    <row r="1227" spans="3:6" x14ac:dyDescent="0.25">
      <c r="C1227" s="1119"/>
      <c r="D1227" s="1177"/>
      <c r="E1227" s="1177"/>
      <c r="F1227" s="1177"/>
    </row>
    <row r="1228" spans="3:6" x14ac:dyDescent="0.25">
      <c r="C1228" s="1119"/>
      <c r="D1228" s="1177"/>
      <c r="E1228" s="1177"/>
      <c r="F1228" s="1177"/>
    </row>
    <row r="1229" spans="3:6" x14ac:dyDescent="0.25">
      <c r="C1229" s="1119"/>
      <c r="D1229" s="1177"/>
      <c r="E1229" s="1177"/>
      <c r="F1229" s="1177"/>
    </row>
    <row r="1230" spans="3:6" x14ac:dyDescent="0.25">
      <c r="C1230" s="1119"/>
      <c r="D1230" s="1177"/>
      <c r="E1230" s="1177"/>
      <c r="F1230" s="1177"/>
    </row>
    <row r="1231" spans="3:6" x14ac:dyDescent="0.25">
      <c r="C1231" s="1119"/>
      <c r="D1231" s="1177"/>
      <c r="E1231" s="1177"/>
      <c r="F1231" s="1177"/>
    </row>
    <row r="1232" spans="3:6" x14ac:dyDescent="0.25">
      <c r="C1232" s="1119"/>
      <c r="D1232" s="1177"/>
      <c r="E1232" s="1177"/>
      <c r="F1232" s="1177"/>
    </row>
    <row r="1233" spans="3:6" x14ac:dyDescent="0.25">
      <c r="C1233" s="1119"/>
      <c r="D1233" s="1177"/>
      <c r="E1233" s="1177"/>
      <c r="F1233" s="1177"/>
    </row>
    <row r="1234" spans="3:6" x14ac:dyDescent="0.25">
      <c r="C1234" s="1119"/>
      <c r="D1234" s="1177"/>
      <c r="E1234" s="1177"/>
      <c r="F1234" s="1177"/>
    </row>
    <row r="1235" spans="3:6" x14ac:dyDescent="0.25">
      <c r="C1235" s="1119"/>
      <c r="D1235" s="1177"/>
      <c r="E1235" s="1177"/>
      <c r="F1235" s="1177"/>
    </row>
    <row r="1236" spans="3:6" x14ac:dyDescent="0.25">
      <c r="C1236" s="1119"/>
      <c r="D1236" s="1177"/>
      <c r="E1236" s="1177"/>
      <c r="F1236" s="1177"/>
    </row>
    <row r="1237" spans="3:6" x14ac:dyDescent="0.25">
      <c r="C1237" s="1119"/>
      <c r="D1237" s="1177"/>
      <c r="E1237" s="1177"/>
      <c r="F1237" s="1177"/>
    </row>
    <row r="1238" spans="3:6" x14ac:dyDescent="0.25">
      <c r="C1238" s="1119"/>
      <c r="D1238" s="1177"/>
      <c r="E1238" s="1177"/>
      <c r="F1238" s="1177"/>
    </row>
    <row r="1239" spans="3:6" x14ac:dyDescent="0.25">
      <c r="C1239" s="1119"/>
      <c r="D1239" s="1177"/>
      <c r="E1239" s="1177"/>
      <c r="F1239" s="1177"/>
    </row>
    <row r="1240" spans="3:6" x14ac:dyDescent="0.25">
      <c r="C1240" s="1119"/>
      <c r="D1240" s="1177"/>
      <c r="E1240" s="1177"/>
      <c r="F1240" s="1177"/>
    </row>
    <row r="1241" spans="3:6" x14ac:dyDescent="0.25">
      <c r="C1241" s="1119"/>
      <c r="D1241" s="1177"/>
      <c r="E1241" s="1177"/>
      <c r="F1241" s="1177"/>
    </row>
    <row r="1242" spans="3:6" x14ac:dyDescent="0.25">
      <c r="C1242" s="1119"/>
      <c r="D1242" s="1177"/>
      <c r="E1242" s="1177"/>
      <c r="F1242" s="1177"/>
    </row>
    <row r="1243" spans="3:6" x14ac:dyDescent="0.25">
      <c r="C1243" s="1119"/>
      <c r="D1243" s="1177"/>
      <c r="E1243" s="1177"/>
      <c r="F1243" s="1177"/>
    </row>
    <row r="1244" spans="3:6" x14ac:dyDescent="0.25">
      <c r="C1244" s="1119"/>
      <c r="D1244" s="1177"/>
      <c r="E1244" s="1177"/>
      <c r="F1244" s="1177"/>
    </row>
    <row r="1245" spans="3:6" x14ac:dyDescent="0.25">
      <c r="C1245" s="1119"/>
      <c r="D1245" s="1177"/>
      <c r="E1245" s="1177"/>
      <c r="F1245" s="1177"/>
    </row>
    <row r="1246" spans="3:6" x14ac:dyDescent="0.25">
      <c r="C1246" s="1119"/>
      <c r="D1246" s="1177"/>
      <c r="E1246" s="1177"/>
      <c r="F1246" s="1177"/>
    </row>
    <row r="1247" spans="3:6" x14ac:dyDescent="0.25">
      <c r="C1247" s="1119"/>
      <c r="D1247" s="1177"/>
      <c r="E1247" s="1177"/>
      <c r="F1247" s="1177"/>
    </row>
    <row r="1248" spans="3:6" x14ac:dyDescent="0.25">
      <c r="C1248" s="1119"/>
      <c r="D1248" s="1177"/>
      <c r="E1248" s="1177"/>
      <c r="F1248" s="1177"/>
    </row>
    <row r="1249" spans="3:6" x14ac:dyDescent="0.25">
      <c r="C1249" s="1119"/>
      <c r="D1249" s="1177"/>
      <c r="E1249" s="1177"/>
      <c r="F1249" s="1177"/>
    </row>
    <row r="1250" spans="3:6" x14ac:dyDescent="0.25">
      <c r="C1250" s="1119"/>
      <c r="D1250" s="1177"/>
      <c r="E1250" s="1177"/>
      <c r="F1250" s="1177"/>
    </row>
    <row r="1251" spans="3:6" x14ac:dyDescent="0.25">
      <c r="C1251" s="1119"/>
      <c r="D1251" s="1177"/>
      <c r="E1251" s="1177"/>
      <c r="F1251" s="1177"/>
    </row>
    <row r="1252" spans="3:6" x14ac:dyDescent="0.25">
      <c r="C1252" s="1119"/>
      <c r="D1252" s="1177"/>
      <c r="E1252" s="1177"/>
      <c r="F1252" s="1177"/>
    </row>
    <row r="1253" spans="3:6" x14ac:dyDescent="0.25">
      <c r="C1253" s="1119"/>
      <c r="D1253" s="1177"/>
      <c r="E1253" s="1177"/>
      <c r="F1253" s="1177"/>
    </row>
    <row r="1254" spans="3:6" x14ac:dyDescent="0.25">
      <c r="C1254" s="1119"/>
      <c r="D1254" s="1177"/>
      <c r="E1254" s="1177"/>
      <c r="F1254" s="1177"/>
    </row>
    <row r="1255" spans="3:6" x14ac:dyDescent="0.25">
      <c r="C1255" s="1119"/>
      <c r="D1255" s="1177"/>
      <c r="E1255" s="1177"/>
      <c r="F1255" s="1177"/>
    </row>
    <row r="1256" spans="3:6" x14ac:dyDescent="0.25">
      <c r="C1256" s="1119"/>
      <c r="D1256" s="1177"/>
      <c r="E1256" s="1177"/>
      <c r="F1256" s="1177"/>
    </row>
    <row r="1257" spans="3:6" x14ac:dyDescent="0.25">
      <c r="C1257" s="1119"/>
      <c r="D1257" s="1177"/>
      <c r="E1257" s="1177"/>
      <c r="F1257" s="1177"/>
    </row>
    <row r="1258" spans="3:6" x14ac:dyDescent="0.25">
      <c r="C1258" s="1119"/>
      <c r="D1258" s="1177"/>
      <c r="E1258" s="1177"/>
      <c r="F1258" s="1177"/>
    </row>
    <row r="1259" spans="3:6" x14ac:dyDescent="0.25">
      <c r="C1259" s="1119"/>
      <c r="D1259" s="1177"/>
      <c r="E1259" s="1177"/>
      <c r="F1259" s="1177"/>
    </row>
    <row r="1260" spans="3:6" x14ac:dyDescent="0.25">
      <c r="C1260" s="1119"/>
      <c r="D1260" s="1177"/>
      <c r="E1260" s="1177"/>
      <c r="F1260" s="1177"/>
    </row>
    <row r="1261" spans="3:6" x14ac:dyDescent="0.25">
      <c r="C1261" s="1119"/>
      <c r="D1261" s="1177"/>
      <c r="E1261" s="1177"/>
      <c r="F1261" s="1177"/>
    </row>
    <row r="1262" spans="3:6" x14ac:dyDescent="0.25">
      <c r="C1262" s="1119"/>
      <c r="D1262" s="1177"/>
      <c r="E1262" s="1177"/>
      <c r="F1262" s="1177"/>
    </row>
    <row r="1263" spans="3:6" x14ac:dyDescent="0.25">
      <c r="C1263" s="1119"/>
      <c r="D1263" s="1177"/>
      <c r="E1263" s="1177"/>
      <c r="F1263" s="1177"/>
    </row>
    <row r="1264" spans="3:6" x14ac:dyDescent="0.25">
      <c r="C1264" s="1119"/>
      <c r="D1264" s="1177"/>
      <c r="E1264" s="1177"/>
      <c r="F1264" s="1177"/>
    </row>
    <row r="1265" spans="3:6" x14ac:dyDescent="0.25">
      <c r="C1265" s="1119"/>
      <c r="D1265" s="1177"/>
      <c r="E1265" s="1177"/>
      <c r="F1265" s="1177"/>
    </row>
    <row r="1266" spans="3:6" x14ac:dyDescent="0.25">
      <c r="C1266" s="1119"/>
      <c r="D1266" s="1177"/>
      <c r="E1266" s="1177"/>
      <c r="F1266" s="1177"/>
    </row>
    <row r="1267" spans="3:6" x14ac:dyDescent="0.25">
      <c r="C1267" s="1119"/>
      <c r="D1267" s="1177"/>
      <c r="E1267" s="1177"/>
      <c r="F1267" s="1177"/>
    </row>
    <row r="1268" spans="3:6" x14ac:dyDescent="0.25">
      <c r="C1268" s="1119"/>
      <c r="D1268" s="1177"/>
      <c r="E1268" s="1177"/>
      <c r="F1268" s="1177"/>
    </row>
    <row r="1269" spans="3:6" x14ac:dyDescent="0.25">
      <c r="C1269" s="1119"/>
      <c r="D1269" s="1177"/>
      <c r="E1269" s="1177"/>
      <c r="F1269" s="1177"/>
    </row>
    <row r="1270" spans="3:6" x14ac:dyDescent="0.25">
      <c r="C1270" s="1119"/>
      <c r="D1270" s="1177"/>
      <c r="E1270" s="1177"/>
      <c r="F1270" s="1177"/>
    </row>
    <row r="1271" spans="3:6" x14ac:dyDescent="0.25">
      <c r="C1271" s="1119"/>
      <c r="D1271" s="1177"/>
      <c r="E1271" s="1177"/>
      <c r="F1271" s="1177"/>
    </row>
    <row r="1272" spans="3:6" x14ac:dyDescent="0.25">
      <c r="C1272" s="1119"/>
      <c r="D1272" s="1177"/>
      <c r="E1272" s="1177"/>
      <c r="F1272" s="1177"/>
    </row>
    <row r="1273" spans="3:6" x14ac:dyDescent="0.25">
      <c r="C1273" s="1119"/>
      <c r="D1273" s="1177"/>
      <c r="E1273" s="1177"/>
      <c r="F1273" s="1177"/>
    </row>
    <row r="1274" spans="3:6" x14ac:dyDescent="0.25">
      <c r="C1274" s="1119"/>
      <c r="D1274" s="1177"/>
      <c r="E1274" s="1177"/>
      <c r="F1274" s="1177"/>
    </row>
    <row r="1275" spans="3:6" x14ac:dyDescent="0.25">
      <c r="C1275" s="1119"/>
      <c r="D1275" s="1177"/>
      <c r="E1275" s="1177"/>
      <c r="F1275" s="1177"/>
    </row>
    <row r="1276" spans="3:6" x14ac:dyDescent="0.25">
      <c r="C1276" s="1119"/>
      <c r="D1276" s="1177"/>
      <c r="E1276" s="1177"/>
      <c r="F1276" s="1177"/>
    </row>
    <row r="1277" spans="3:6" x14ac:dyDescent="0.25">
      <c r="C1277" s="1119"/>
      <c r="D1277" s="1177"/>
      <c r="E1277" s="1177"/>
      <c r="F1277" s="1177"/>
    </row>
    <row r="1278" spans="3:6" x14ac:dyDescent="0.25">
      <c r="C1278" s="1119"/>
      <c r="D1278" s="1177"/>
      <c r="E1278" s="1177"/>
      <c r="F1278" s="1177"/>
    </row>
    <row r="1279" spans="3:6" x14ac:dyDescent="0.25">
      <c r="C1279" s="1119"/>
      <c r="D1279" s="1177"/>
      <c r="E1279" s="1177"/>
      <c r="F1279" s="1177"/>
    </row>
    <row r="1280" spans="3:6" x14ac:dyDescent="0.25">
      <c r="C1280" s="1119"/>
      <c r="D1280" s="1177"/>
      <c r="E1280" s="1177"/>
      <c r="F1280" s="1177"/>
    </row>
    <row r="1281" spans="3:6" x14ac:dyDescent="0.25">
      <c r="C1281" s="1119"/>
      <c r="D1281" s="1177"/>
      <c r="E1281" s="1177"/>
      <c r="F1281" s="1177"/>
    </row>
    <row r="1282" spans="3:6" x14ac:dyDescent="0.25">
      <c r="C1282" s="1119"/>
      <c r="D1282" s="1177"/>
      <c r="E1282" s="1177"/>
      <c r="F1282" s="1177"/>
    </row>
    <row r="1283" spans="3:6" x14ac:dyDescent="0.25">
      <c r="C1283" s="1119"/>
      <c r="D1283" s="1177"/>
      <c r="E1283" s="1177"/>
      <c r="F1283" s="1177"/>
    </row>
    <row r="1284" spans="3:6" x14ac:dyDescent="0.25">
      <c r="C1284" s="1119"/>
      <c r="D1284" s="1177"/>
      <c r="E1284" s="1177"/>
      <c r="F1284" s="1177"/>
    </row>
    <row r="1285" spans="3:6" x14ac:dyDescent="0.25">
      <c r="C1285" s="1119"/>
      <c r="D1285" s="1177"/>
      <c r="E1285" s="1177"/>
      <c r="F1285" s="1177"/>
    </row>
    <row r="1286" spans="3:6" x14ac:dyDescent="0.25">
      <c r="C1286" s="1119"/>
      <c r="D1286" s="1177"/>
      <c r="E1286" s="1177"/>
      <c r="F1286" s="1177"/>
    </row>
    <row r="1287" spans="3:6" x14ac:dyDescent="0.25">
      <c r="C1287" s="1119"/>
      <c r="D1287" s="1177"/>
      <c r="E1287" s="1177"/>
      <c r="F1287" s="1177"/>
    </row>
    <row r="1288" spans="3:6" x14ac:dyDescent="0.25">
      <c r="C1288" s="1119"/>
      <c r="D1288" s="1177"/>
      <c r="E1288" s="1177"/>
      <c r="F1288" s="1177"/>
    </row>
    <row r="1289" spans="3:6" x14ac:dyDescent="0.25">
      <c r="C1289" s="1119"/>
      <c r="D1289" s="1177"/>
      <c r="E1289" s="1177"/>
      <c r="F1289" s="1177"/>
    </row>
    <row r="1290" spans="3:6" x14ac:dyDescent="0.25">
      <c r="C1290" s="1119"/>
      <c r="D1290" s="1177"/>
      <c r="E1290" s="1177"/>
      <c r="F1290" s="1177"/>
    </row>
    <row r="1291" spans="3:6" x14ac:dyDescent="0.25">
      <c r="C1291" s="1119"/>
      <c r="D1291" s="1177"/>
      <c r="E1291" s="1177"/>
      <c r="F1291" s="1177"/>
    </row>
    <row r="1292" spans="3:6" x14ac:dyDescent="0.25">
      <c r="C1292" s="1119"/>
      <c r="D1292" s="1177"/>
      <c r="E1292" s="1177"/>
      <c r="F1292" s="1177"/>
    </row>
    <row r="1293" spans="3:6" x14ac:dyDescent="0.25">
      <c r="C1293" s="1119"/>
      <c r="D1293" s="1177"/>
      <c r="E1293" s="1177"/>
      <c r="F1293" s="1177"/>
    </row>
    <row r="1294" spans="3:6" x14ac:dyDescent="0.25">
      <c r="C1294" s="1119"/>
      <c r="D1294" s="1177"/>
      <c r="E1294" s="1177"/>
      <c r="F1294" s="1177"/>
    </row>
    <row r="1295" spans="3:6" x14ac:dyDescent="0.25">
      <c r="C1295" s="1119"/>
      <c r="D1295" s="1177"/>
      <c r="E1295" s="1177"/>
      <c r="F1295" s="1177"/>
    </row>
    <row r="1296" spans="3:6" x14ac:dyDescent="0.25">
      <c r="C1296" s="1119"/>
      <c r="D1296" s="1177"/>
      <c r="E1296" s="1177"/>
      <c r="F1296" s="1177"/>
    </row>
    <row r="1297" spans="3:6" x14ac:dyDescent="0.25">
      <c r="C1297" s="1119"/>
      <c r="D1297" s="1177"/>
      <c r="E1297" s="1177"/>
      <c r="F1297" s="1177"/>
    </row>
    <row r="1298" spans="3:6" x14ac:dyDescent="0.25">
      <c r="C1298" s="1119"/>
      <c r="D1298" s="1177"/>
      <c r="E1298" s="1177"/>
      <c r="F1298" s="1177"/>
    </row>
    <row r="1299" spans="3:6" x14ac:dyDescent="0.25">
      <c r="C1299" s="1119"/>
      <c r="D1299" s="1177"/>
      <c r="E1299" s="1177"/>
      <c r="F1299" s="1177"/>
    </row>
    <row r="1300" spans="3:6" x14ac:dyDescent="0.25">
      <c r="C1300" s="1119"/>
      <c r="D1300" s="1177"/>
      <c r="E1300" s="1177"/>
      <c r="F1300" s="1177"/>
    </row>
    <row r="1301" spans="3:6" x14ac:dyDescent="0.25">
      <c r="C1301" s="1119"/>
      <c r="D1301" s="1177"/>
      <c r="E1301" s="1177"/>
      <c r="F1301" s="1177"/>
    </row>
    <row r="1302" spans="3:6" x14ac:dyDescent="0.25">
      <c r="C1302" s="1119"/>
      <c r="D1302" s="1177"/>
      <c r="E1302" s="1177"/>
      <c r="F1302" s="1177"/>
    </row>
    <row r="1303" spans="3:6" x14ac:dyDescent="0.25">
      <c r="C1303" s="1119"/>
      <c r="D1303" s="1177"/>
      <c r="E1303" s="1177"/>
      <c r="F1303" s="1177"/>
    </row>
    <row r="1304" spans="3:6" x14ac:dyDescent="0.25">
      <c r="C1304" s="1119"/>
      <c r="D1304" s="1177"/>
      <c r="E1304" s="1177"/>
      <c r="F1304" s="1177"/>
    </row>
    <row r="1305" spans="3:6" x14ac:dyDescent="0.25">
      <c r="C1305" s="1119"/>
      <c r="D1305" s="1177"/>
      <c r="E1305" s="1177"/>
      <c r="F1305" s="1177"/>
    </row>
    <row r="1306" spans="3:6" x14ac:dyDescent="0.25">
      <c r="C1306" s="1119"/>
      <c r="D1306" s="1177"/>
      <c r="E1306" s="1177"/>
      <c r="F1306" s="1177"/>
    </row>
    <row r="1307" spans="3:6" x14ac:dyDescent="0.25">
      <c r="C1307" s="1119"/>
      <c r="D1307" s="1177"/>
      <c r="E1307" s="1177"/>
      <c r="F1307" s="1177"/>
    </row>
    <row r="1308" spans="3:6" x14ac:dyDescent="0.25">
      <c r="C1308" s="1119"/>
      <c r="D1308" s="1177"/>
      <c r="E1308" s="1177"/>
      <c r="F1308" s="1177"/>
    </row>
    <row r="1309" spans="3:6" x14ac:dyDescent="0.25">
      <c r="C1309" s="1119"/>
      <c r="D1309" s="1177"/>
      <c r="E1309" s="1177"/>
      <c r="F1309" s="1177"/>
    </row>
    <row r="1310" spans="3:6" x14ac:dyDescent="0.25">
      <c r="C1310" s="1119"/>
      <c r="D1310" s="1177"/>
      <c r="E1310" s="1177"/>
      <c r="F1310" s="1177"/>
    </row>
    <row r="1311" spans="3:6" x14ac:dyDescent="0.25">
      <c r="C1311" s="1119"/>
      <c r="D1311" s="1177"/>
      <c r="E1311" s="1177"/>
      <c r="F1311" s="1177"/>
    </row>
    <row r="1312" spans="3:6" x14ac:dyDescent="0.25">
      <c r="C1312" s="1119"/>
      <c r="D1312" s="1177"/>
      <c r="E1312" s="1177"/>
      <c r="F1312" s="1177"/>
    </row>
    <row r="1313" spans="3:6" x14ac:dyDescent="0.25">
      <c r="C1313" s="1119"/>
      <c r="D1313" s="1177"/>
      <c r="E1313" s="1177"/>
      <c r="F1313" s="1177"/>
    </row>
    <row r="1314" spans="3:6" x14ac:dyDescent="0.25">
      <c r="C1314" s="1119"/>
      <c r="D1314" s="1177"/>
      <c r="E1314" s="1177"/>
      <c r="F1314" s="1177"/>
    </row>
    <row r="1315" spans="3:6" x14ac:dyDescent="0.25">
      <c r="C1315" s="1119"/>
      <c r="D1315" s="1177"/>
      <c r="E1315" s="1177"/>
      <c r="F1315" s="1177"/>
    </row>
    <row r="1316" spans="3:6" x14ac:dyDescent="0.25">
      <c r="C1316" s="1119"/>
      <c r="D1316" s="1177"/>
      <c r="E1316" s="1177"/>
      <c r="F1316" s="1177"/>
    </row>
    <row r="1317" spans="3:6" x14ac:dyDescent="0.25">
      <c r="C1317" s="1119"/>
      <c r="D1317" s="1177"/>
      <c r="E1317" s="1177"/>
      <c r="F1317" s="1177"/>
    </row>
    <row r="1318" spans="3:6" x14ac:dyDescent="0.25">
      <c r="C1318" s="1119"/>
      <c r="D1318" s="1177"/>
      <c r="E1318" s="1177"/>
      <c r="F1318" s="1177"/>
    </row>
    <row r="1319" spans="3:6" x14ac:dyDescent="0.25">
      <c r="C1319" s="1119"/>
      <c r="D1319" s="1177"/>
      <c r="E1319" s="1177"/>
      <c r="F1319" s="1177"/>
    </row>
    <row r="1320" spans="3:6" x14ac:dyDescent="0.25">
      <c r="C1320" s="1119"/>
      <c r="D1320" s="1177"/>
      <c r="E1320" s="1177"/>
      <c r="F1320" s="1177"/>
    </row>
    <row r="1321" spans="3:6" x14ac:dyDescent="0.25">
      <c r="C1321" s="1119"/>
      <c r="D1321" s="1177"/>
      <c r="E1321" s="1177"/>
      <c r="F1321" s="1177"/>
    </row>
    <row r="1322" spans="3:6" x14ac:dyDescent="0.25">
      <c r="C1322" s="1119"/>
      <c r="D1322" s="1177"/>
      <c r="E1322" s="1177"/>
      <c r="F1322" s="1177"/>
    </row>
    <row r="1323" spans="3:6" x14ac:dyDescent="0.25">
      <c r="C1323" s="1119"/>
      <c r="D1323" s="1177"/>
      <c r="E1323" s="1177"/>
      <c r="F1323" s="1177"/>
    </row>
    <row r="1324" spans="3:6" x14ac:dyDescent="0.25">
      <c r="C1324" s="1119"/>
      <c r="D1324" s="1177"/>
      <c r="E1324" s="1177"/>
      <c r="F1324" s="1177"/>
    </row>
    <row r="1325" spans="3:6" x14ac:dyDescent="0.25">
      <c r="C1325" s="1119"/>
      <c r="D1325" s="1177"/>
      <c r="E1325" s="1177"/>
      <c r="F1325" s="1177"/>
    </row>
    <row r="1326" spans="3:6" x14ac:dyDescent="0.25">
      <c r="C1326" s="1119"/>
      <c r="D1326" s="1177"/>
      <c r="E1326" s="1177"/>
      <c r="F1326" s="1177"/>
    </row>
    <row r="1327" spans="3:6" x14ac:dyDescent="0.25">
      <c r="C1327" s="1119"/>
      <c r="D1327" s="1177"/>
      <c r="E1327" s="1177"/>
      <c r="F1327" s="1177"/>
    </row>
    <row r="1328" spans="3:6" x14ac:dyDescent="0.25">
      <c r="C1328" s="1119"/>
      <c r="D1328" s="1177"/>
      <c r="E1328" s="1177"/>
      <c r="F1328" s="1177"/>
    </row>
    <row r="1329" spans="3:6" x14ac:dyDescent="0.25">
      <c r="C1329" s="1119"/>
      <c r="D1329" s="1177"/>
      <c r="E1329" s="1177"/>
      <c r="F1329" s="1177"/>
    </row>
    <row r="1330" spans="3:6" x14ac:dyDescent="0.25">
      <c r="C1330" s="1119"/>
      <c r="D1330" s="1177"/>
      <c r="E1330" s="1177"/>
      <c r="F1330" s="1177"/>
    </row>
    <row r="1331" spans="3:6" x14ac:dyDescent="0.25">
      <c r="C1331" s="1119"/>
      <c r="D1331" s="1177"/>
      <c r="E1331" s="1177"/>
      <c r="F1331" s="1177"/>
    </row>
    <row r="1332" spans="3:6" x14ac:dyDescent="0.25">
      <c r="C1332" s="1119"/>
      <c r="D1332" s="1177"/>
      <c r="E1332" s="1177"/>
      <c r="F1332" s="1177"/>
    </row>
    <row r="1333" spans="3:6" x14ac:dyDescent="0.25">
      <c r="C1333" s="1119"/>
      <c r="D1333" s="1177"/>
      <c r="E1333" s="1177"/>
      <c r="F1333" s="1177"/>
    </row>
    <row r="1334" spans="3:6" x14ac:dyDescent="0.25">
      <c r="C1334" s="1119"/>
      <c r="D1334" s="1177"/>
      <c r="E1334" s="1177"/>
      <c r="F1334" s="1177"/>
    </row>
    <row r="1335" spans="3:6" x14ac:dyDescent="0.25">
      <c r="C1335" s="1119"/>
      <c r="D1335" s="1177"/>
      <c r="E1335" s="1177"/>
      <c r="F1335" s="1177"/>
    </row>
    <row r="1336" spans="3:6" x14ac:dyDescent="0.25">
      <c r="C1336" s="1119"/>
      <c r="D1336" s="1177"/>
      <c r="E1336" s="1177"/>
      <c r="F1336" s="1177"/>
    </row>
    <row r="1337" spans="3:6" x14ac:dyDescent="0.25">
      <c r="C1337" s="1119"/>
      <c r="D1337" s="1177"/>
      <c r="E1337" s="1177"/>
      <c r="F1337" s="1177"/>
    </row>
    <row r="1338" spans="3:6" x14ac:dyDescent="0.25">
      <c r="C1338" s="1119"/>
      <c r="D1338" s="1177"/>
      <c r="E1338" s="1177"/>
      <c r="F1338" s="1177"/>
    </row>
    <row r="1339" spans="3:6" x14ac:dyDescent="0.25">
      <c r="C1339" s="1119"/>
      <c r="D1339" s="1177"/>
      <c r="E1339" s="1177"/>
      <c r="F1339" s="1177"/>
    </row>
    <row r="1340" spans="3:6" x14ac:dyDescent="0.25">
      <c r="C1340" s="1119"/>
      <c r="D1340" s="1177"/>
      <c r="E1340" s="1177"/>
      <c r="F1340" s="1177"/>
    </row>
    <row r="1341" spans="3:6" x14ac:dyDescent="0.25">
      <c r="C1341" s="1119"/>
      <c r="D1341" s="1177"/>
      <c r="E1341" s="1177"/>
      <c r="F1341" s="1177"/>
    </row>
    <row r="1342" spans="3:6" x14ac:dyDescent="0.25">
      <c r="C1342" s="1119"/>
      <c r="D1342" s="1177"/>
      <c r="E1342" s="1177"/>
      <c r="F1342" s="1177"/>
    </row>
    <row r="1343" spans="3:6" x14ac:dyDescent="0.25">
      <c r="C1343" s="1119"/>
      <c r="D1343" s="1177"/>
      <c r="E1343" s="1177"/>
      <c r="F1343" s="1177"/>
    </row>
    <row r="1344" spans="3:6" x14ac:dyDescent="0.25">
      <c r="C1344" s="1119"/>
      <c r="D1344" s="1177"/>
      <c r="E1344" s="1177"/>
      <c r="F1344" s="1177"/>
    </row>
    <row r="1345" spans="3:6" x14ac:dyDescent="0.25">
      <c r="C1345" s="1119"/>
      <c r="D1345" s="1177"/>
      <c r="E1345" s="1177"/>
      <c r="F1345" s="1177"/>
    </row>
    <row r="1346" spans="3:6" x14ac:dyDescent="0.25">
      <c r="C1346" s="1119"/>
      <c r="D1346" s="1177"/>
      <c r="E1346" s="1177"/>
      <c r="F1346" s="1177"/>
    </row>
    <row r="1347" spans="3:6" x14ac:dyDescent="0.25">
      <c r="C1347" s="1119"/>
      <c r="D1347" s="1177"/>
      <c r="E1347" s="1177"/>
      <c r="F1347" s="1177"/>
    </row>
    <row r="1348" spans="3:6" x14ac:dyDescent="0.25">
      <c r="C1348" s="1119"/>
      <c r="D1348" s="1177"/>
      <c r="E1348" s="1177"/>
      <c r="F1348" s="1177"/>
    </row>
    <row r="1349" spans="3:6" x14ac:dyDescent="0.25">
      <c r="C1349" s="1119"/>
      <c r="D1349" s="1177"/>
      <c r="E1349" s="1177"/>
      <c r="F1349" s="1177"/>
    </row>
    <row r="1350" spans="3:6" x14ac:dyDescent="0.25">
      <c r="C1350" s="1119"/>
      <c r="D1350" s="1177"/>
      <c r="E1350" s="1177"/>
      <c r="F1350" s="1177"/>
    </row>
    <row r="1351" spans="3:6" x14ac:dyDescent="0.25">
      <c r="C1351" s="1119"/>
      <c r="D1351" s="1177"/>
      <c r="E1351" s="1177"/>
      <c r="F1351" s="1177"/>
    </row>
    <row r="1352" spans="3:6" x14ac:dyDescent="0.25">
      <c r="C1352" s="1119"/>
      <c r="D1352" s="1177"/>
      <c r="E1352" s="1177"/>
      <c r="F1352" s="1177"/>
    </row>
    <row r="1353" spans="3:6" x14ac:dyDescent="0.25">
      <c r="C1353" s="1119"/>
      <c r="D1353" s="1177"/>
      <c r="E1353" s="1177"/>
      <c r="F1353" s="1177"/>
    </row>
    <row r="1354" spans="3:6" x14ac:dyDescent="0.25">
      <c r="C1354" s="1119"/>
      <c r="D1354" s="1177"/>
      <c r="E1354" s="1177"/>
      <c r="F1354" s="1177"/>
    </row>
    <row r="1355" spans="3:6" x14ac:dyDescent="0.25">
      <c r="C1355" s="1119"/>
      <c r="D1355" s="1177"/>
      <c r="E1355" s="1177"/>
      <c r="F1355" s="1177"/>
    </row>
    <row r="1356" spans="3:6" x14ac:dyDescent="0.25">
      <c r="C1356" s="1119"/>
      <c r="D1356" s="1177"/>
      <c r="E1356" s="1177"/>
      <c r="F1356" s="1177"/>
    </row>
    <row r="1357" spans="3:6" x14ac:dyDescent="0.25">
      <c r="C1357" s="1119"/>
      <c r="D1357" s="1177"/>
      <c r="E1357" s="1177"/>
      <c r="F1357" s="1177"/>
    </row>
    <row r="1358" spans="3:6" x14ac:dyDescent="0.25">
      <c r="C1358" s="1119"/>
      <c r="D1358" s="1177"/>
      <c r="E1358" s="1177"/>
      <c r="F1358" s="1177"/>
    </row>
    <row r="1359" spans="3:6" x14ac:dyDescent="0.25">
      <c r="C1359" s="1119"/>
      <c r="D1359" s="1177"/>
      <c r="E1359" s="1177"/>
      <c r="F1359" s="1177"/>
    </row>
    <row r="1360" spans="3:6" x14ac:dyDescent="0.25">
      <c r="C1360" s="1119"/>
      <c r="D1360" s="1177"/>
      <c r="E1360" s="1177"/>
      <c r="F1360" s="1177"/>
    </row>
    <row r="1361" spans="3:6" x14ac:dyDescent="0.25">
      <c r="C1361" s="1119"/>
      <c r="D1361" s="1177"/>
      <c r="E1361" s="1177"/>
      <c r="F1361" s="1177"/>
    </row>
    <row r="1362" spans="3:6" x14ac:dyDescent="0.25">
      <c r="C1362" s="1119"/>
      <c r="D1362" s="1177"/>
      <c r="E1362" s="1177"/>
      <c r="F1362" s="1177"/>
    </row>
    <row r="1363" spans="3:6" x14ac:dyDescent="0.25">
      <c r="C1363" s="1119"/>
      <c r="D1363" s="1177"/>
      <c r="E1363" s="1177"/>
      <c r="F1363" s="1177"/>
    </row>
    <row r="1364" spans="3:6" x14ac:dyDescent="0.25">
      <c r="C1364" s="1119"/>
      <c r="D1364" s="1177"/>
      <c r="E1364" s="1177"/>
      <c r="F1364" s="1177"/>
    </row>
    <row r="1365" spans="3:6" x14ac:dyDescent="0.25">
      <c r="C1365" s="1119"/>
      <c r="D1365" s="1177"/>
      <c r="E1365" s="1177"/>
      <c r="F1365" s="1177"/>
    </row>
    <row r="1366" spans="3:6" x14ac:dyDescent="0.25">
      <c r="C1366" s="1119"/>
      <c r="D1366" s="1177"/>
      <c r="E1366" s="1177"/>
      <c r="F1366" s="1177"/>
    </row>
    <row r="1367" spans="3:6" x14ac:dyDescent="0.25">
      <c r="C1367" s="1119"/>
      <c r="D1367" s="1177"/>
      <c r="E1367" s="1177"/>
      <c r="F1367" s="1177"/>
    </row>
    <row r="1368" spans="3:6" x14ac:dyDescent="0.25">
      <c r="C1368" s="1119"/>
      <c r="D1368" s="1177"/>
      <c r="E1368" s="1177"/>
      <c r="F1368" s="1177"/>
    </row>
    <row r="1369" spans="3:6" x14ac:dyDescent="0.25">
      <c r="C1369" s="1119"/>
      <c r="D1369" s="1177"/>
      <c r="E1369" s="1177"/>
      <c r="F1369" s="1177"/>
    </row>
    <row r="1370" spans="3:6" x14ac:dyDescent="0.25">
      <c r="C1370" s="1119"/>
      <c r="D1370" s="1177"/>
      <c r="E1370" s="1177"/>
      <c r="F1370" s="1177"/>
    </row>
    <row r="1371" spans="3:6" x14ac:dyDescent="0.25">
      <c r="C1371" s="1119"/>
      <c r="D1371" s="1177"/>
      <c r="E1371" s="1177"/>
      <c r="F1371" s="1177"/>
    </row>
    <row r="1372" spans="3:6" x14ac:dyDescent="0.25">
      <c r="C1372" s="1119"/>
      <c r="D1372" s="1177"/>
      <c r="E1372" s="1177"/>
      <c r="F1372" s="1177"/>
    </row>
    <row r="1373" spans="3:6" x14ac:dyDescent="0.25">
      <c r="C1373" s="1119"/>
      <c r="D1373" s="1177"/>
      <c r="E1373" s="1177"/>
      <c r="F1373" s="1177"/>
    </row>
    <row r="1374" spans="3:6" x14ac:dyDescent="0.25">
      <c r="C1374" s="1119"/>
      <c r="D1374" s="1177"/>
      <c r="E1374" s="1177"/>
      <c r="F1374" s="1177"/>
    </row>
    <row r="1375" spans="3:6" x14ac:dyDescent="0.25">
      <c r="C1375" s="1119"/>
      <c r="D1375" s="1177"/>
      <c r="E1375" s="1177"/>
      <c r="F1375" s="1177"/>
    </row>
    <row r="1376" spans="3:6" x14ac:dyDescent="0.25">
      <c r="C1376" s="1119"/>
      <c r="D1376" s="1177"/>
      <c r="E1376" s="1177"/>
      <c r="F1376" s="1177"/>
    </row>
    <row r="1377" spans="3:6" x14ac:dyDescent="0.25">
      <c r="C1377" s="1119"/>
      <c r="D1377" s="1177"/>
      <c r="E1377" s="1177"/>
      <c r="F1377" s="1177"/>
    </row>
    <row r="1378" spans="3:6" x14ac:dyDescent="0.25">
      <c r="C1378" s="1119"/>
      <c r="D1378" s="1177"/>
      <c r="E1378" s="1177"/>
      <c r="F1378" s="1177"/>
    </row>
    <row r="1379" spans="3:6" x14ac:dyDescent="0.25">
      <c r="C1379" s="1119"/>
      <c r="D1379" s="1177"/>
      <c r="E1379" s="1177"/>
      <c r="F1379" s="1177"/>
    </row>
    <row r="1380" spans="3:6" x14ac:dyDescent="0.25">
      <c r="C1380" s="1119"/>
      <c r="D1380" s="1177"/>
      <c r="E1380" s="1177"/>
      <c r="F1380" s="1177"/>
    </row>
    <row r="1381" spans="3:6" x14ac:dyDescent="0.25">
      <c r="C1381" s="1119"/>
      <c r="D1381" s="1177"/>
      <c r="E1381" s="1177"/>
      <c r="F1381" s="1177"/>
    </row>
    <row r="1382" spans="3:6" x14ac:dyDescent="0.25">
      <c r="C1382" s="1119"/>
      <c r="D1382" s="1177"/>
      <c r="E1382" s="1177"/>
      <c r="F1382" s="1177"/>
    </row>
    <row r="1383" spans="3:6" x14ac:dyDescent="0.25">
      <c r="C1383" s="1119"/>
      <c r="D1383" s="1177"/>
      <c r="E1383" s="1177"/>
      <c r="F1383" s="1177"/>
    </row>
    <row r="1384" spans="3:6" x14ac:dyDescent="0.25">
      <c r="C1384" s="1119"/>
      <c r="D1384" s="1177"/>
      <c r="E1384" s="1177"/>
      <c r="F1384" s="1177"/>
    </row>
    <row r="1385" spans="3:6" x14ac:dyDescent="0.25">
      <c r="C1385" s="1119"/>
      <c r="D1385" s="1177"/>
      <c r="E1385" s="1177"/>
      <c r="F1385" s="1177"/>
    </row>
    <row r="1386" spans="3:6" x14ac:dyDescent="0.25">
      <c r="C1386" s="1119"/>
      <c r="D1386" s="1177"/>
      <c r="E1386" s="1177"/>
      <c r="F1386" s="1177"/>
    </row>
    <row r="1387" spans="3:6" x14ac:dyDescent="0.25">
      <c r="C1387" s="1119"/>
      <c r="D1387" s="1177"/>
      <c r="E1387" s="1177"/>
      <c r="F1387" s="1177"/>
    </row>
    <row r="1388" spans="3:6" x14ac:dyDescent="0.25">
      <c r="C1388" s="1119"/>
      <c r="D1388" s="1177"/>
      <c r="E1388" s="1177"/>
      <c r="F1388" s="1177"/>
    </row>
    <row r="1389" spans="3:6" x14ac:dyDescent="0.25">
      <c r="C1389" s="1119"/>
      <c r="D1389" s="1177"/>
      <c r="E1389" s="1177"/>
      <c r="F1389" s="1177"/>
    </row>
    <row r="1390" spans="3:6" x14ac:dyDescent="0.25">
      <c r="C1390" s="1119"/>
      <c r="D1390" s="1177"/>
      <c r="E1390" s="1177"/>
      <c r="F1390" s="1177"/>
    </row>
    <row r="1391" spans="3:6" x14ac:dyDescent="0.25">
      <c r="C1391" s="1119"/>
      <c r="D1391" s="1177"/>
      <c r="E1391" s="1177"/>
      <c r="F1391" s="1177"/>
    </row>
    <row r="1392" spans="3:6" x14ac:dyDescent="0.25">
      <c r="C1392" s="1119"/>
      <c r="D1392" s="1177"/>
      <c r="E1392" s="1177"/>
      <c r="F1392" s="1177"/>
    </row>
    <row r="1393" spans="3:6" x14ac:dyDescent="0.25">
      <c r="C1393" s="1119"/>
      <c r="D1393" s="1177"/>
      <c r="E1393" s="1177"/>
      <c r="F1393" s="1177"/>
    </row>
    <row r="1394" spans="3:6" x14ac:dyDescent="0.25">
      <c r="C1394" s="1119"/>
      <c r="D1394" s="1177"/>
      <c r="E1394" s="1177"/>
      <c r="F1394" s="1177"/>
    </row>
    <row r="1395" spans="3:6" x14ac:dyDescent="0.25">
      <c r="C1395" s="1119"/>
      <c r="D1395" s="1177"/>
      <c r="E1395" s="1177"/>
      <c r="F1395" s="1177"/>
    </row>
    <row r="1396" spans="3:6" x14ac:dyDescent="0.25">
      <c r="C1396" s="1119"/>
      <c r="D1396" s="1177"/>
      <c r="E1396" s="1177"/>
      <c r="F1396" s="1177"/>
    </row>
    <row r="1397" spans="3:6" x14ac:dyDescent="0.25">
      <c r="C1397" s="1119"/>
      <c r="D1397" s="1177"/>
      <c r="E1397" s="1177"/>
      <c r="F1397" s="1177"/>
    </row>
    <row r="1398" spans="3:6" x14ac:dyDescent="0.25">
      <c r="C1398" s="1119"/>
      <c r="D1398" s="1177"/>
      <c r="E1398" s="1177"/>
      <c r="F1398" s="1177"/>
    </row>
    <row r="1399" spans="3:6" x14ac:dyDescent="0.25">
      <c r="C1399" s="1119"/>
      <c r="D1399" s="1177"/>
      <c r="E1399" s="1177"/>
      <c r="F1399" s="1177"/>
    </row>
    <row r="1400" spans="3:6" x14ac:dyDescent="0.25">
      <c r="C1400" s="1119"/>
      <c r="D1400" s="1177"/>
      <c r="E1400" s="1177"/>
      <c r="F1400" s="1177"/>
    </row>
    <row r="1401" spans="3:6" x14ac:dyDescent="0.25">
      <c r="C1401" s="1119"/>
      <c r="D1401" s="1177"/>
      <c r="E1401" s="1177"/>
      <c r="F1401" s="1177"/>
    </row>
    <row r="1402" spans="3:6" x14ac:dyDescent="0.25">
      <c r="C1402" s="1119"/>
      <c r="D1402" s="1177"/>
      <c r="E1402" s="1177"/>
      <c r="F1402" s="1177"/>
    </row>
    <row r="1403" spans="3:6" x14ac:dyDescent="0.25">
      <c r="C1403" s="1119"/>
      <c r="D1403" s="1177"/>
      <c r="E1403" s="1177"/>
      <c r="F1403" s="1177"/>
    </row>
    <row r="1404" spans="3:6" x14ac:dyDescent="0.25">
      <c r="C1404" s="1119"/>
      <c r="D1404" s="1177"/>
      <c r="E1404" s="1177"/>
      <c r="F1404" s="1177"/>
    </row>
    <row r="1405" spans="3:6" x14ac:dyDescent="0.25">
      <c r="C1405" s="1119"/>
      <c r="D1405" s="1177"/>
      <c r="E1405" s="1177"/>
      <c r="F1405" s="1177"/>
    </row>
    <row r="1406" spans="3:6" x14ac:dyDescent="0.25">
      <c r="C1406" s="1119"/>
      <c r="D1406" s="1177"/>
      <c r="E1406" s="1177"/>
      <c r="F1406" s="1177"/>
    </row>
    <row r="1407" spans="3:6" x14ac:dyDescent="0.25">
      <c r="C1407" s="1119"/>
      <c r="D1407" s="1177"/>
      <c r="E1407" s="1177"/>
      <c r="F1407" s="1177"/>
    </row>
    <row r="1408" spans="3:6" x14ac:dyDescent="0.25">
      <c r="C1408" s="1119"/>
      <c r="D1408" s="1177"/>
      <c r="E1408" s="1177"/>
      <c r="F1408" s="1177"/>
    </row>
    <row r="1409" spans="3:6" x14ac:dyDescent="0.25">
      <c r="C1409" s="1119"/>
      <c r="D1409" s="1177"/>
      <c r="E1409" s="1177"/>
      <c r="F1409" s="1177"/>
    </row>
    <row r="1410" spans="3:6" x14ac:dyDescent="0.25">
      <c r="C1410" s="1119"/>
      <c r="D1410" s="1177"/>
      <c r="E1410" s="1177"/>
      <c r="F1410" s="1177"/>
    </row>
    <row r="1411" spans="3:6" x14ac:dyDescent="0.25">
      <c r="C1411" s="1119"/>
      <c r="D1411" s="1177"/>
      <c r="E1411" s="1177"/>
      <c r="F1411" s="1177"/>
    </row>
    <row r="1412" spans="3:6" x14ac:dyDescent="0.25">
      <c r="C1412" s="1119"/>
      <c r="D1412" s="1177"/>
      <c r="E1412" s="1177"/>
      <c r="F1412" s="1177"/>
    </row>
    <row r="1413" spans="3:6" x14ac:dyDescent="0.25">
      <c r="C1413" s="1119"/>
      <c r="D1413" s="1177"/>
      <c r="E1413" s="1177"/>
      <c r="F1413" s="1177"/>
    </row>
    <row r="1414" spans="3:6" x14ac:dyDescent="0.25">
      <c r="C1414" s="1119"/>
      <c r="D1414" s="1177"/>
      <c r="E1414" s="1177"/>
      <c r="F1414" s="1177"/>
    </row>
    <row r="1415" spans="3:6" x14ac:dyDescent="0.25">
      <c r="C1415" s="1119"/>
      <c r="D1415" s="1177"/>
      <c r="E1415" s="1177"/>
      <c r="F1415" s="1177"/>
    </row>
    <row r="1416" spans="3:6" x14ac:dyDescent="0.25">
      <c r="C1416" s="1119"/>
      <c r="D1416" s="1177"/>
      <c r="E1416" s="1177"/>
      <c r="F1416" s="1177"/>
    </row>
  </sheetData>
  <sheetProtection algorithmName="SHA-512" hashValue="zfIOka7maFyIkTTJxVNYeIS1rHdut4dAB+EGtgdYuXoWPcfmwBrsCsfBgCgGTIwE7x0W4uZsUIS2zRML/UmRpQ==" saltValue="ciaQKOWlW7r3vNxVEaR6Ng==" spinCount="100000" sheet="1" objects="1" scenarios="1" formatCells="0" formatColumns="0"/>
  <autoFilter ref="A11:BU282">
    <filterColumn colId="1" showButton="0"/>
    <filterColumn colId="2" showButton="0"/>
  </autoFilter>
  <mergeCells count="124">
    <mergeCell ref="C265:D265"/>
    <mergeCell ref="C275:D275"/>
    <mergeCell ref="B276:D276"/>
    <mergeCell ref="C277:D277"/>
    <mergeCell ref="B278:D278"/>
    <mergeCell ref="B279:D279"/>
    <mergeCell ref="C238:D238"/>
    <mergeCell ref="C241:D241"/>
    <mergeCell ref="C250:D250"/>
    <mergeCell ref="C260:D260"/>
    <mergeCell ref="C262:D262"/>
    <mergeCell ref="C263:D263"/>
    <mergeCell ref="C225:D225"/>
    <mergeCell ref="C228:D228"/>
    <mergeCell ref="C230:D230"/>
    <mergeCell ref="C231:D231"/>
    <mergeCell ref="C236:D236"/>
    <mergeCell ref="B237:C237"/>
    <mergeCell ref="C213:D213"/>
    <mergeCell ref="C216:D216"/>
    <mergeCell ref="C218:D218"/>
    <mergeCell ref="C220:D220"/>
    <mergeCell ref="C222:D222"/>
    <mergeCell ref="C224:D224"/>
    <mergeCell ref="C200:D200"/>
    <mergeCell ref="C202:D202"/>
    <mergeCell ref="C203:D203"/>
    <mergeCell ref="C205:D205"/>
    <mergeCell ref="C207:D207"/>
    <mergeCell ref="C211:D211"/>
    <mergeCell ref="C188:D188"/>
    <mergeCell ref="C190:D190"/>
    <mergeCell ref="C192:D192"/>
    <mergeCell ref="C194:D194"/>
    <mergeCell ref="C196:D196"/>
    <mergeCell ref="C198:D198"/>
    <mergeCell ref="C175:D175"/>
    <mergeCell ref="C177:D177"/>
    <mergeCell ref="C179:D179"/>
    <mergeCell ref="C181:D181"/>
    <mergeCell ref="C183:D183"/>
    <mergeCell ref="C185:D185"/>
    <mergeCell ref="C146:D146"/>
    <mergeCell ref="C156:D156"/>
    <mergeCell ref="C159:D159"/>
    <mergeCell ref="C162:D162"/>
    <mergeCell ref="C167:D167"/>
    <mergeCell ref="C171:D171"/>
    <mergeCell ref="C127:D127"/>
    <mergeCell ref="C133:D133"/>
    <mergeCell ref="C137:D137"/>
    <mergeCell ref="C140:D140"/>
    <mergeCell ref="C144:D144"/>
    <mergeCell ref="B145:C145"/>
    <mergeCell ref="C104:D104"/>
    <mergeCell ref="B105:C105"/>
    <mergeCell ref="C106:D106"/>
    <mergeCell ref="C117:D117"/>
    <mergeCell ref="C124:D124"/>
    <mergeCell ref="C125:D125"/>
    <mergeCell ref="C94:D94"/>
    <mergeCell ref="B95:C95"/>
    <mergeCell ref="C96:D96"/>
    <mergeCell ref="C99:D99"/>
    <mergeCell ref="C101:D101"/>
    <mergeCell ref="C102:D102"/>
    <mergeCell ref="C80:D80"/>
    <mergeCell ref="B81:C81"/>
    <mergeCell ref="C82:D82"/>
    <mergeCell ref="C89:D89"/>
    <mergeCell ref="C90:D90"/>
    <mergeCell ref="C91:D91"/>
    <mergeCell ref="C66:D66"/>
    <mergeCell ref="C67:D67"/>
    <mergeCell ref="B68:C68"/>
    <mergeCell ref="C69:D69"/>
    <mergeCell ref="C74:D74"/>
    <mergeCell ref="C79:D79"/>
    <mergeCell ref="C33:D33"/>
    <mergeCell ref="C34:D34"/>
    <mergeCell ref="B35:C35"/>
    <mergeCell ref="C36:D36"/>
    <mergeCell ref="C57:D57"/>
    <mergeCell ref="C59:D59"/>
    <mergeCell ref="C21:D21"/>
    <mergeCell ref="C26:D26"/>
    <mergeCell ref="B27:C27"/>
    <mergeCell ref="C28:D28"/>
    <mergeCell ref="C31:D31"/>
    <mergeCell ref="C32:D32"/>
    <mergeCell ref="BH9:BH10"/>
    <mergeCell ref="BI9:BS9"/>
    <mergeCell ref="B11:D11"/>
    <mergeCell ref="B12:D12"/>
    <mergeCell ref="B13:C13"/>
    <mergeCell ref="C14:D14"/>
    <mergeCell ref="AY9:AY10"/>
    <mergeCell ref="AZ9:AZ10"/>
    <mergeCell ref="BA9:BA10"/>
    <mergeCell ref="BB9:BE9"/>
    <mergeCell ref="BF9:BF10"/>
    <mergeCell ref="BG9:BG10"/>
    <mergeCell ref="AF9:AK9"/>
    <mergeCell ref="AL9:AL10"/>
    <mergeCell ref="AM9:AM10"/>
    <mergeCell ref="AN9:AN10"/>
    <mergeCell ref="AO9:AW9"/>
    <mergeCell ref="AX9:AX10"/>
    <mergeCell ref="I9:I10"/>
    <mergeCell ref="J9:J10"/>
    <mergeCell ref="K9:AB9"/>
    <mergeCell ref="AC9:AC10"/>
    <mergeCell ref="AD9:AD10"/>
    <mergeCell ref="AE9:AE10"/>
    <mergeCell ref="B6:BU6"/>
    <mergeCell ref="A8:A10"/>
    <mergeCell ref="B8:D10"/>
    <mergeCell ref="E8:E10"/>
    <mergeCell ref="G8:AY8"/>
    <mergeCell ref="BT8:BT10"/>
    <mergeCell ref="BU8:BU10"/>
    <mergeCell ref="F9:F10"/>
    <mergeCell ref="G9:G10"/>
    <mergeCell ref="H9:H10"/>
  </mergeCells>
  <printOptions horizontalCentered="1"/>
  <pageMargins left="0.59055118110236227" right="0.19685039370078741" top="0.6" bottom="0.39370078740157483" header="0.23622047244094491" footer="0.19685039370078741"/>
  <pageSetup paperSize="9" scale="60" orientation="portrait" horizontalDpi="300" verticalDpi="300" r:id="rId1"/>
  <headerFooter differentFirst="1">
    <oddHeader xml:space="preserve">&amp;R&amp;"Times New Roman,Regular"&amp;8 &amp;10 </oddHeader>
    <oddFooter>&amp;L&amp;"Times New Roman,Regular"&amp;8&amp;D; &amp;T&amp;R&amp;"Times New Roman,Regular"&amp;8&amp;P (&amp;N)</oddFooter>
    <firstHeader>&amp;R&amp;"Times New Roman,Regular"&amp;9 
64.pielikums Jūrmalas pilsētas domes
2017.gada 30.janvāra saistošajiem noteikumiem Nr.10
(Protokols Nr.4, 1.punkts)</firstHeader>
    <firstFooter>&amp;L&amp;"Times New Roman,Regular"&amp;9&amp;D; &amp;T&amp;R&amp;"Times New Roman,Regular"&amp;9&amp;P (&amp;N)</first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S7" sqref="S7"/>
    </sheetView>
  </sheetViews>
  <sheetFormatPr defaultRowHeight="15" outlineLevelCol="1" x14ac:dyDescent="0.25"/>
  <cols>
    <col min="1" max="1" width="10.85546875" style="1" customWidth="1"/>
    <col min="2" max="2" width="28" style="1" customWidth="1"/>
    <col min="3" max="3" width="9.85546875" style="1" customWidth="1"/>
    <col min="4" max="4" width="8.7109375" style="1" hidden="1" customWidth="1" outlineLevel="1"/>
    <col min="5" max="5" width="9.85546875" style="1" hidden="1" customWidth="1" outlineLevel="1"/>
    <col min="6" max="6" width="10"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collapsed="1"/>
    <col min="18" max="16384" width="9.140625" style="5"/>
  </cols>
  <sheetData>
    <row r="1" spans="1:17" x14ac:dyDescent="0.25">
      <c r="B1" s="2"/>
      <c r="C1" s="2"/>
      <c r="D1" s="2"/>
      <c r="E1" s="2"/>
      <c r="F1" s="2"/>
      <c r="G1" s="2"/>
      <c r="H1" s="2"/>
      <c r="I1" s="2"/>
      <c r="J1" s="2"/>
      <c r="K1" s="2"/>
      <c r="L1" s="2"/>
      <c r="M1" s="3"/>
      <c r="N1" s="3"/>
      <c r="O1" s="4" t="s">
        <v>511</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610"/>
    </row>
    <row r="4" spans="1:17" ht="15.75" x14ac:dyDescent="0.25">
      <c r="A4" s="1560" t="s">
        <v>1</v>
      </c>
      <c r="B4" s="1561"/>
      <c r="C4" s="1561"/>
      <c r="D4" s="1561"/>
      <c r="E4" s="1561"/>
      <c r="F4" s="1561"/>
      <c r="G4" s="1561"/>
      <c r="H4" s="1561"/>
      <c r="I4" s="1561"/>
      <c r="J4" s="1561"/>
      <c r="K4" s="1561"/>
      <c r="L4" s="1561"/>
      <c r="M4" s="1561"/>
      <c r="N4" s="1561"/>
      <c r="O4" s="1561"/>
      <c r="P4" s="1562"/>
      <c r="Q4" s="610"/>
    </row>
    <row r="5" spans="1:17" x14ac:dyDescent="0.25">
      <c r="A5" s="8"/>
      <c r="B5" s="9"/>
      <c r="C5" s="10"/>
      <c r="D5" s="9"/>
      <c r="E5" s="9"/>
      <c r="F5" s="9"/>
      <c r="G5" s="9"/>
      <c r="H5" s="9"/>
      <c r="I5" s="9"/>
      <c r="J5" s="9"/>
      <c r="K5" s="9"/>
      <c r="L5" s="9"/>
      <c r="M5" s="9"/>
      <c r="N5" s="9"/>
      <c r="O5" s="11"/>
      <c r="P5" s="12"/>
      <c r="Q5" s="610"/>
    </row>
    <row r="6" spans="1:17" x14ac:dyDescent="0.25">
      <c r="A6" s="13" t="s">
        <v>2</v>
      </c>
      <c r="B6" s="14"/>
      <c r="C6" s="1555" t="s">
        <v>501</v>
      </c>
      <c r="D6" s="1555"/>
      <c r="E6" s="1555"/>
      <c r="F6" s="1555"/>
      <c r="G6" s="1555"/>
      <c r="H6" s="1555"/>
      <c r="I6" s="1555"/>
      <c r="J6" s="1555"/>
      <c r="K6" s="1555"/>
      <c r="L6" s="1555"/>
      <c r="M6" s="1555"/>
      <c r="N6" s="1555"/>
      <c r="O6" s="1555"/>
      <c r="P6" s="1556"/>
      <c r="Q6" s="610"/>
    </row>
    <row r="7" spans="1:17" x14ac:dyDescent="0.25">
      <c r="A7" s="13" t="s">
        <v>4</v>
      </c>
      <c r="B7" s="14"/>
      <c r="C7" s="1555" t="s">
        <v>502</v>
      </c>
      <c r="D7" s="1555"/>
      <c r="E7" s="1555"/>
      <c r="F7" s="1555"/>
      <c r="G7" s="1555"/>
      <c r="H7" s="1555"/>
      <c r="I7" s="1555"/>
      <c r="J7" s="1555"/>
      <c r="K7" s="1555"/>
      <c r="L7" s="1555"/>
      <c r="M7" s="1555"/>
      <c r="N7" s="1555"/>
      <c r="O7" s="1555"/>
      <c r="P7" s="1556"/>
      <c r="Q7" s="610"/>
    </row>
    <row r="8" spans="1:17" x14ac:dyDescent="0.25">
      <c r="A8" s="8" t="s">
        <v>6</v>
      </c>
      <c r="B8" s="9"/>
      <c r="C8" s="1553" t="s">
        <v>503</v>
      </c>
      <c r="D8" s="1553"/>
      <c r="E8" s="1553"/>
      <c r="F8" s="1553"/>
      <c r="G8" s="1553"/>
      <c r="H8" s="1553"/>
      <c r="I8" s="1553"/>
      <c r="J8" s="1553"/>
      <c r="K8" s="1553"/>
      <c r="L8" s="1553"/>
      <c r="M8" s="1553"/>
      <c r="N8" s="1553"/>
      <c r="O8" s="1553"/>
      <c r="P8" s="1554"/>
      <c r="Q8" s="610"/>
    </row>
    <row r="9" spans="1:17" x14ac:dyDescent="0.25">
      <c r="A9" s="8" t="s">
        <v>8</v>
      </c>
      <c r="B9" s="9"/>
      <c r="C9" s="1553" t="s">
        <v>333</v>
      </c>
      <c r="D9" s="1553"/>
      <c r="E9" s="1553"/>
      <c r="F9" s="1553"/>
      <c r="G9" s="1553"/>
      <c r="H9" s="1553"/>
      <c r="I9" s="1553"/>
      <c r="J9" s="1553"/>
      <c r="K9" s="1553"/>
      <c r="L9" s="1553"/>
      <c r="M9" s="1553"/>
      <c r="N9" s="1553"/>
      <c r="O9" s="1553"/>
      <c r="P9" s="1554"/>
      <c r="Q9" s="610"/>
    </row>
    <row r="10" spans="1:17" ht="24.75" customHeight="1" x14ac:dyDescent="0.25">
      <c r="A10" s="8" t="s">
        <v>10</v>
      </c>
      <c r="B10" s="9"/>
      <c r="C10" s="1555" t="s">
        <v>509</v>
      </c>
      <c r="D10" s="1555"/>
      <c r="E10" s="1555"/>
      <c r="F10" s="1555"/>
      <c r="G10" s="1555"/>
      <c r="H10" s="1555"/>
      <c r="I10" s="1555"/>
      <c r="J10" s="1555"/>
      <c r="K10" s="1555"/>
      <c r="L10" s="1555"/>
      <c r="M10" s="1555"/>
      <c r="N10" s="1555"/>
      <c r="O10" s="1555"/>
      <c r="P10" s="1556"/>
      <c r="Q10" s="610"/>
    </row>
    <row r="11" spans="1:17" x14ac:dyDescent="0.25">
      <c r="A11" s="8" t="s">
        <v>12</v>
      </c>
      <c r="B11" s="9"/>
      <c r="C11" s="1555"/>
      <c r="D11" s="1555"/>
      <c r="E11" s="1555"/>
      <c r="F11" s="1555"/>
      <c r="G11" s="1555"/>
      <c r="H11" s="1555"/>
      <c r="I11" s="1555"/>
      <c r="J11" s="1555"/>
      <c r="K11" s="1555"/>
      <c r="L11" s="1555"/>
      <c r="M11" s="1555"/>
      <c r="N11" s="1555"/>
      <c r="O11" s="1555"/>
      <c r="P11" s="1556"/>
      <c r="Q11" s="610"/>
    </row>
    <row r="12" spans="1:17" x14ac:dyDescent="0.25">
      <c r="A12" s="15" t="s">
        <v>14</v>
      </c>
      <c r="B12" s="9"/>
      <c r="C12" s="16"/>
      <c r="D12" s="16"/>
      <c r="E12" s="16"/>
      <c r="F12" s="16"/>
      <c r="G12" s="16"/>
      <c r="H12" s="16"/>
      <c r="I12" s="16"/>
      <c r="J12" s="16"/>
      <c r="K12" s="16"/>
      <c r="L12" s="16"/>
      <c r="M12" s="16"/>
      <c r="N12" s="16"/>
      <c r="O12" s="16"/>
      <c r="P12" s="17"/>
      <c r="Q12" s="610"/>
    </row>
    <row r="13" spans="1:17" x14ac:dyDescent="0.25">
      <c r="A13" s="8"/>
      <c r="B13" s="9" t="s">
        <v>15</v>
      </c>
      <c r="C13" s="1553"/>
      <c r="D13" s="1553"/>
      <c r="E13" s="1553"/>
      <c r="F13" s="1553"/>
      <c r="G13" s="1553"/>
      <c r="H13" s="1553"/>
      <c r="I13" s="1553"/>
      <c r="J13" s="1553"/>
      <c r="K13" s="1553"/>
      <c r="L13" s="1553"/>
      <c r="M13" s="1553"/>
      <c r="N13" s="1553"/>
      <c r="O13" s="1553"/>
      <c r="P13" s="1554"/>
      <c r="Q13" s="610"/>
    </row>
    <row r="14" spans="1:17" x14ac:dyDescent="0.25">
      <c r="A14" s="8"/>
      <c r="B14" s="9" t="s">
        <v>17</v>
      </c>
      <c r="C14" s="1553" t="s">
        <v>512</v>
      </c>
      <c r="D14" s="1553"/>
      <c r="E14" s="1553"/>
      <c r="F14" s="1553"/>
      <c r="G14" s="1553"/>
      <c r="H14" s="1553"/>
      <c r="I14" s="1553"/>
      <c r="J14" s="1553"/>
      <c r="K14" s="1553"/>
      <c r="L14" s="1553"/>
      <c r="M14" s="1553"/>
      <c r="N14" s="1553"/>
      <c r="O14" s="1553"/>
      <c r="P14" s="1554"/>
      <c r="Q14" s="610"/>
    </row>
    <row r="15" spans="1:17" x14ac:dyDescent="0.25">
      <c r="A15" s="8"/>
      <c r="B15" s="9" t="s">
        <v>19</v>
      </c>
      <c r="C15" s="1553"/>
      <c r="D15" s="1553"/>
      <c r="E15" s="1553"/>
      <c r="F15" s="1553"/>
      <c r="G15" s="1553"/>
      <c r="H15" s="1553"/>
      <c r="I15" s="1553"/>
      <c r="J15" s="1553"/>
      <c r="K15" s="1553"/>
      <c r="L15" s="1553"/>
      <c r="M15" s="1553"/>
      <c r="N15" s="1553"/>
      <c r="O15" s="1553"/>
      <c r="P15" s="1554"/>
      <c r="Q15" s="610"/>
    </row>
    <row r="16" spans="1:17" x14ac:dyDescent="0.25">
      <c r="A16" s="8"/>
      <c r="B16" s="9" t="s">
        <v>20</v>
      </c>
      <c r="C16" s="1553"/>
      <c r="D16" s="1553"/>
      <c r="E16" s="1553"/>
      <c r="F16" s="1553"/>
      <c r="G16" s="1553"/>
      <c r="H16" s="1553"/>
      <c r="I16" s="1553"/>
      <c r="J16" s="1553"/>
      <c r="K16" s="1553"/>
      <c r="L16" s="1553"/>
      <c r="M16" s="1553"/>
      <c r="N16" s="1553"/>
      <c r="O16" s="1553"/>
      <c r="P16" s="1554"/>
      <c r="Q16" s="610"/>
    </row>
    <row r="17" spans="1:17" x14ac:dyDescent="0.25">
      <c r="A17" s="8"/>
      <c r="B17" s="9" t="s">
        <v>22</v>
      </c>
      <c r="C17" s="1553"/>
      <c r="D17" s="1553"/>
      <c r="E17" s="1553"/>
      <c r="F17" s="1553"/>
      <c r="G17" s="1553"/>
      <c r="H17" s="1553"/>
      <c r="I17" s="1553"/>
      <c r="J17" s="1553"/>
      <c r="K17" s="1553"/>
      <c r="L17" s="1553"/>
      <c r="M17" s="1553"/>
      <c r="N17" s="1553"/>
      <c r="O17" s="1553"/>
      <c r="P17" s="1554"/>
      <c r="Q17" s="610"/>
    </row>
    <row r="18" spans="1:17" x14ac:dyDescent="0.25">
      <c r="A18" s="18"/>
      <c r="B18" s="19"/>
      <c r="C18" s="1569"/>
      <c r="D18" s="1569"/>
      <c r="E18" s="1569"/>
      <c r="F18" s="1569"/>
      <c r="G18" s="1569"/>
      <c r="H18" s="1569"/>
      <c r="I18" s="1569"/>
      <c r="J18" s="1569"/>
      <c r="K18" s="1569"/>
      <c r="L18" s="1569"/>
      <c r="M18" s="1569"/>
      <c r="N18" s="1569"/>
      <c r="O18" s="1569"/>
      <c r="P18" s="1570"/>
      <c r="Q18" s="610"/>
    </row>
    <row r="19" spans="1:17" s="20" customFormat="1" ht="12"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17" s="20" customFormat="1" ht="12" x14ac:dyDescent="0.25">
      <c r="A20" s="1572"/>
      <c r="B20" s="1575"/>
      <c r="C20" s="1580" t="s">
        <v>27</v>
      </c>
      <c r="D20" s="1565" t="s">
        <v>28</v>
      </c>
      <c r="E20" s="1595" t="s">
        <v>29</v>
      </c>
      <c r="F20" s="1563" t="s">
        <v>30</v>
      </c>
      <c r="G20" s="1565" t="s">
        <v>31</v>
      </c>
      <c r="H20" s="1567" t="s">
        <v>32</v>
      </c>
      <c r="I20" s="1563" t="s">
        <v>33</v>
      </c>
      <c r="J20" s="1565" t="s">
        <v>34</v>
      </c>
      <c r="K20" s="1567" t="s">
        <v>35</v>
      </c>
      <c r="L20" s="1563" t="s">
        <v>36</v>
      </c>
      <c r="M20" s="1565" t="s">
        <v>37</v>
      </c>
      <c r="N20" s="1567" t="s">
        <v>38</v>
      </c>
      <c r="O20" s="1563" t="s">
        <v>39</v>
      </c>
      <c r="P20" s="1575"/>
    </row>
    <row r="21" spans="1:17" s="21" customFormat="1" ht="70.5" customHeight="1" thickBot="1" x14ac:dyDescent="0.3">
      <c r="A21" s="1573"/>
      <c r="B21" s="1576"/>
      <c r="C21" s="1581"/>
      <c r="D21" s="1566"/>
      <c r="E21" s="1596"/>
      <c r="F21" s="1564"/>
      <c r="G21" s="1566"/>
      <c r="H21" s="1568"/>
      <c r="I21" s="1564"/>
      <c r="J21" s="1566"/>
      <c r="K21" s="1568"/>
      <c r="L21" s="1564"/>
      <c r="M21" s="1566"/>
      <c r="N21" s="1568"/>
      <c r="O21" s="1564"/>
      <c r="P21" s="1576"/>
    </row>
    <row r="22" spans="1:17" s="21" customFormat="1" ht="9" thickTop="1" x14ac:dyDescent="0.25">
      <c r="A22" s="22" t="s">
        <v>40</v>
      </c>
      <c r="B22" s="22">
        <v>2</v>
      </c>
      <c r="C22" s="23">
        <v>3</v>
      </c>
      <c r="D22" s="24">
        <v>4</v>
      </c>
      <c r="E22" s="611">
        <v>5</v>
      </c>
      <c r="F22" s="22">
        <v>6</v>
      </c>
      <c r="G22" s="24">
        <v>7</v>
      </c>
      <c r="H22" s="26">
        <v>8</v>
      </c>
      <c r="I22" s="27">
        <v>9</v>
      </c>
      <c r="J22" s="24">
        <v>10</v>
      </c>
      <c r="K22" s="28">
        <v>11</v>
      </c>
      <c r="L22" s="27">
        <v>12</v>
      </c>
      <c r="M22" s="28">
        <v>13</v>
      </c>
      <c r="N22" s="29">
        <v>14</v>
      </c>
      <c r="O22" s="27">
        <v>15</v>
      </c>
      <c r="P22" s="27">
        <v>16</v>
      </c>
    </row>
    <row r="23" spans="1:17" s="41" customFormat="1" ht="12" hidden="1" x14ac:dyDescent="0.25">
      <c r="A23" s="30"/>
      <c r="B23" s="31" t="s">
        <v>41</v>
      </c>
      <c r="C23" s="32"/>
      <c r="D23" s="33"/>
      <c r="E23" s="34"/>
      <c r="F23" s="35"/>
      <c r="G23" s="33"/>
      <c r="H23" s="36"/>
      <c r="I23" s="37"/>
      <c r="J23" s="33"/>
      <c r="K23" s="38"/>
      <c r="L23" s="37"/>
      <c r="M23" s="38"/>
      <c r="N23" s="39"/>
      <c r="O23" s="37"/>
      <c r="P23" s="40"/>
    </row>
    <row r="24" spans="1:17" s="41" customFormat="1" ht="12.75" thickBot="1" x14ac:dyDescent="0.3">
      <c r="A24" s="42"/>
      <c r="B24" s="43" t="s">
        <v>42</v>
      </c>
      <c r="C24" s="44">
        <f>F24+I24+L24+O24</f>
        <v>2113259</v>
      </c>
      <c r="D24" s="45">
        <f>SUM(D25,D28,D29,D45,D46)</f>
        <v>2112340</v>
      </c>
      <c r="E24" s="613">
        <f>SUM(E25,E28,E29,E45,E46)</f>
        <v>919</v>
      </c>
      <c r="F24" s="47">
        <f t="shared" ref="F24:F29" si="0">D24+E24</f>
        <v>2113259</v>
      </c>
      <c r="G24" s="45">
        <f>SUM(G25,G28,G46)</f>
        <v>0</v>
      </c>
      <c r="H24" s="48">
        <f>SUM(H25,H28,H46)</f>
        <v>0</v>
      </c>
      <c r="I24" s="49">
        <f>G24+H24</f>
        <v>0</v>
      </c>
      <c r="J24" s="45">
        <f>SUM(J25,J30,J46)</f>
        <v>0</v>
      </c>
      <c r="K24" s="48">
        <f>SUM(K25,K30,K46)</f>
        <v>0</v>
      </c>
      <c r="L24" s="49">
        <f>J24+K24</f>
        <v>0</v>
      </c>
      <c r="M24" s="50">
        <f>SUM(M25,M48)</f>
        <v>0</v>
      </c>
      <c r="N24" s="51">
        <f>SUM(N25,N48)</f>
        <v>0</v>
      </c>
      <c r="O24" s="49">
        <f>M24+N24</f>
        <v>0</v>
      </c>
      <c r="P24" s="52"/>
    </row>
    <row r="25" spans="1:17" ht="15.75" hidden="1" thickTop="1" x14ac:dyDescent="0.25">
      <c r="A25" s="54"/>
      <c r="B25" s="55" t="s">
        <v>43</v>
      </c>
      <c r="C25" s="56">
        <f>F25+I25+L25+O25</f>
        <v>0</v>
      </c>
      <c r="D25" s="57">
        <f>SUM(D26:D27)</f>
        <v>0</v>
      </c>
      <c r="E25" s="63">
        <f>SUM(E26:E27)</f>
        <v>0</v>
      </c>
      <c r="F25" s="426">
        <f t="shared" si="0"/>
        <v>0</v>
      </c>
      <c r="G25" s="57">
        <f>SUM(G26:G27)</f>
        <v>0</v>
      </c>
      <c r="H25" s="60">
        <f>SUM(H26:H27)</f>
        <v>0</v>
      </c>
      <c r="I25" s="61">
        <f>G25+H25</f>
        <v>0</v>
      </c>
      <c r="J25" s="57">
        <f>SUM(J26:J27)</f>
        <v>0</v>
      </c>
      <c r="K25" s="60">
        <f>SUM(K26:K27)</f>
        <v>0</v>
      </c>
      <c r="L25" s="61">
        <f>J25+K25</f>
        <v>0</v>
      </c>
      <c r="M25" s="62">
        <f>SUM(M26:M27)</f>
        <v>0</v>
      </c>
      <c r="N25" s="63">
        <f>SUM(N26:N27)</f>
        <v>0</v>
      </c>
      <c r="O25" s="61">
        <f>M25+N25</f>
        <v>0</v>
      </c>
      <c r="P25" s="64"/>
    </row>
    <row r="26" spans="1:17" ht="15.75" hidden="1" thickTop="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row>
    <row r="27" spans="1:17" ht="15.75" hidden="1" thickTop="1" x14ac:dyDescent="0.25">
      <c r="A27" s="75"/>
      <c r="B27" s="76" t="s">
        <v>45</v>
      </c>
      <c r="C27" s="77">
        <f>F27+I27+L27+O27</f>
        <v>0</v>
      </c>
      <c r="D27" s="78"/>
      <c r="E27" s="84"/>
      <c r="F27" s="429">
        <f t="shared" si="0"/>
        <v>0</v>
      </c>
      <c r="G27" s="78"/>
      <c r="H27" s="81"/>
      <c r="I27" s="82">
        <f>G27+H27</f>
        <v>0</v>
      </c>
      <c r="J27" s="78"/>
      <c r="K27" s="81"/>
      <c r="L27" s="82">
        <f>J27+K27</f>
        <v>0</v>
      </c>
      <c r="M27" s="83"/>
      <c r="N27" s="84"/>
      <c r="O27" s="82">
        <f>M27+N27</f>
        <v>0</v>
      </c>
      <c r="P27" s="85"/>
    </row>
    <row r="28" spans="1:17" s="41" customFormat="1" ht="25.5" thickTop="1" thickBot="1" x14ac:dyDescent="0.3">
      <c r="A28" s="86">
        <v>19300</v>
      </c>
      <c r="B28" s="86" t="s">
        <v>46</v>
      </c>
      <c r="C28" s="87">
        <f>SUM(F28,I28)</f>
        <v>2113259</v>
      </c>
      <c r="D28" s="88">
        <f>2140970-28630</f>
        <v>2112340</v>
      </c>
      <c r="E28" s="614">
        <v>919</v>
      </c>
      <c r="F28" s="90">
        <f t="shared" si="0"/>
        <v>2113259</v>
      </c>
      <c r="G28" s="88"/>
      <c r="H28" s="91"/>
      <c r="I28" s="92">
        <f>G28+H28</f>
        <v>0</v>
      </c>
      <c r="J28" s="93" t="s">
        <v>47</v>
      </c>
      <c r="K28" s="94" t="s">
        <v>47</v>
      </c>
      <c r="L28" s="95" t="s">
        <v>47</v>
      </c>
      <c r="M28" s="96" t="s">
        <v>47</v>
      </c>
      <c r="N28" s="97" t="s">
        <v>47</v>
      </c>
      <c r="O28" s="95" t="s">
        <v>47</v>
      </c>
      <c r="P28" s="98"/>
    </row>
    <row r="29" spans="1:17" s="41" customFormat="1" ht="24.75" hidden="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row>
    <row r="30" spans="1:17" s="41" customFormat="1" ht="36.75" hidden="1" thickTop="1" x14ac:dyDescent="0.25">
      <c r="A30" s="99">
        <v>21300</v>
      </c>
      <c r="B30" s="99" t="s">
        <v>49</v>
      </c>
      <c r="C30" s="100">
        <f t="shared" ref="C30:C44" si="1">L30</f>
        <v>0</v>
      </c>
      <c r="D30" s="104" t="s">
        <v>47</v>
      </c>
      <c r="E30" s="108" t="s">
        <v>47</v>
      </c>
      <c r="F30" s="140" t="s">
        <v>47</v>
      </c>
      <c r="G30" s="104" t="s">
        <v>47</v>
      </c>
      <c r="H30" s="105" t="s">
        <v>47</v>
      </c>
      <c r="I30" s="106" t="s">
        <v>47</v>
      </c>
      <c r="J30" s="112">
        <f>SUM(J31,J35,J37,J40)</f>
        <v>0</v>
      </c>
      <c r="K30" s="113">
        <f>SUM(K31,K35,K37,K40)</f>
        <v>0</v>
      </c>
      <c r="L30" s="114">
        <f t="shared" ref="L30:L44" si="2">J30+K30</f>
        <v>0</v>
      </c>
      <c r="M30" s="107" t="s">
        <v>47</v>
      </c>
      <c r="N30" s="108" t="s">
        <v>47</v>
      </c>
      <c r="O30" s="106" t="s">
        <v>47</v>
      </c>
      <c r="P30" s="109"/>
    </row>
    <row r="31" spans="1:17" s="41" customFormat="1" ht="24.75" hidden="1" thickTop="1" x14ac:dyDescent="0.25">
      <c r="A31" s="115">
        <v>21350</v>
      </c>
      <c r="B31" s="99" t="s">
        <v>50</v>
      </c>
      <c r="C31" s="100">
        <f t="shared" si="1"/>
        <v>0</v>
      </c>
      <c r="D31" s="104" t="s">
        <v>47</v>
      </c>
      <c r="E31" s="108" t="s">
        <v>47</v>
      </c>
      <c r="F31" s="140" t="s">
        <v>47</v>
      </c>
      <c r="G31" s="104" t="s">
        <v>47</v>
      </c>
      <c r="H31" s="105" t="s">
        <v>47</v>
      </c>
      <c r="I31" s="106" t="s">
        <v>47</v>
      </c>
      <c r="J31" s="112">
        <f>SUM(J32:J34)</f>
        <v>0</v>
      </c>
      <c r="K31" s="113">
        <f>SUM(K32:K34)</f>
        <v>0</v>
      </c>
      <c r="L31" s="114">
        <f t="shared" si="2"/>
        <v>0</v>
      </c>
      <c r="M31" s="107" t="s">
        <v>47</v>
      </c>
      <c r="N31" s="108" t="s">
        <v>47</v>
      </c>
      <c r="O31" s="106" t="s">
        <v>47</v>
      </c>
      <c r="P31" s="109"/>
    </row>
    <row r="32" spans="1:17" ht="15.75" hidden="1" thickTop="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row>
    <row r="33" spans="1:16" ht="15.75" hidden="1" thickTop="1" x14ac:dyDescent="0.25">
      <c r="A33" s="75">
        <v>21352</v>
      </c>
      <c r="B33" s="127" t="s">
        <v>52</v>
      </c>
      <c r="C33" s="128">
        <f t="shared" si="1"/>
        <v>0</v>
      </c>
      <c r="D33" s="129" t="s">
        <v>47</v>
      </c>
      <c r="E33" s="138" t="s">
        <v>47</v>
      </c>
      <c r="F33" s="139" t="s">
        <v>47</v>
      </c>
      <c r="G33" s="129" t="s">
        <v>47</v>
      </c>
      <c r="H33" s="132" t="s">
        <v>47</v>
      </c>
      <c r="I33" s="133" t="s">
        <v>47</v>
      </c>
      <c r="J33" s="134"/>
      <c r="K33" s="135"/>
      <c r="L33" s="136">
        <f t="shared" si="2"/>
        <v>0</v>
      </c>
      <c r="M33" s="137" t="s">
        <v>47</v>
      </c>
      <c r="N33" s="138" t="s">
        <v>47</v>
      </c>
      <c r="O33" s="133" t="s">
        <v>47</v>
      </c>
      <c r="P33" s="85"/>
    </row>
    <row r="34" spans="1:16" ht="24.75" hidden="1" thickTop="1" x14ac:dyDescent="0.25">
      <c r="A34" s="75">
        <v>21359</v>
      </c>
      <c r="B34" s="127" t="s">
        <v>53</v>
      </c>
      <c r="C34" s="128">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row>
    <row r="35" spans="1:16" s="41" customFormat="1" ht="36.75" hidden="1" thickTop="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row>
    <row r="36" spans="1:16" ht="36.75" hidden="1" thickTop="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row>
    <row r="37" spans="1:16" s="41" customFormat="1" ht="12.75" hidden="1" thickTop="1" x14ac:dyDescent="0.25">
      <c r="A37" s="115">
        <v>21380</v>
      </c>
      <c r="B37" s="99" t="s">
        <v>56</v>
      </c>
      <c r="C37" s="100">
        <f t="shared" si="1"/>
        <v>0</v>
      </c>
      <c r="D37" s="104" t="s">
        <v>47</v>
      </c>
      <c r="E37" s="108" t="s">
        <v>47</v>
      </c>
      <c r="F37" s="140" t="s">
        <v>47</v>
      </c>
      <c r="G37" s="104" t="s">
        <v>47</v>
      </c>
      <c r="H37" s="105" t="s">
        <v>47</v>
      </c>
      <c r="I37" s="106" t="s">
        <v>47</v>
      </c>
      <c r="J37" s="112">
        <f>SUM(J38:J39)</f>
        <v>0</v>
      </c>
      <c r="K37" s="113">
        <f>SUM(K38:K39)</f>
        <v>0</v>
      </c>
      <c r="L37" s="114">
        <f t="shared" si="2"/>
        <v>0</v>
      </c>
      <c r="M37" s="107" t="s">
        <v>47</v>
      </c>
      <c r="N37" s="108" t="s">
        <v>47</v>
      </c>
      <c r="O37" s="106" t="s">
        <v>47</v>
      </c>
      <c r="P37" s="109"/>
    </row>
    <row r="38" spans="1:16" ht="15.75" hidden="1" thickTop="1" x14ac:dyDescent="0.25">
      <c r="A38" s="66">
        <v>21381</v>
      </c>
      <c r="B38" s="116" t="s">
        <v>57</v>
      </c>
      <c r="C38" s="117">
        <f t="shared" si="1"/>
        <v>0</v>
      </c>
      <c r="D38" s="118" t="s">
        <v>47</v>
      </c>
      <c r="E38" s="119" t="s">
        <v>47</v>
      </c>
      <c r="F38" s="120" t="s">
        <v>47</v>
      </c>
      <c r="G38" s="118" t="s">
        <v>47</v>
      </c>
      <c r="H38" s="121" t="s">
        <v>47</v>
      </c>
      <c r="I38" s="122" t="s">
        <v>47</v>
      </c>
      <c r="J38" s="123"/>
      <c r="K38" s="124"/>
      <c r="L38" s="125">
        <f t="shared" si="2"/>
        <v>0</v>
      </c>
      <c r="M38" s="126" t="s">
        <v>47</v>
      </c>
      <c r="N38" s="119" t="s">
        <v>47</v>
      </c>
      <c r="O38" s="122" t="s">
        <v>47</v>
      </c>
      <c r="P38" s="74"/>
    </row>
    <row r="39" spans="1:16" ht="24.75" hidden="1" thickTop="1" x14ac:dyDescent="0.25">
      <c r="A39" s="76">
        <v>21383</v>
      </c>
      <c r="B39" s="127" t="s">
        <v>58</v>
      </c>
      <c r="C39" s="128">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row>
    <row r="40" spans="1:16" s="41" customFormat="1" ht="24.75" hidden="1" thickTop="1" x14ac:dyDescent="0.25">
      <c r="A40" s="115">
        <v>21390</v>
      </c>
      <c r="B40" s="99" t="s">
        <v>59</v>
      </c>
      <c r="C40" s="100">
        <f t="shared" si="1"/>
        <v>0</v>
      </c>
      <c r="D40" s="104" t="s">
        <v>47</v>
      </c>
      <c r="E40" s="108" t="s">
        <v>47</v>
      </c>
      <c r="F40" s="140" t="s">
        <v>47</v>
      </c>
      <c r="G40" s="104" t="s">
        <v>47</v>
      </c>
      <c r="H40" s="105" t="s">
        <v>47</v>
      </c>
      <c r="I40" s="106" t="s">
        <v>47</v>
      </c>
      <c r="J40" s="112">
        <f>SUM(J41:J44)</f>
        <v>0</v>
      </c>
      <c r="K40" s="113">
        <f>SUM(K41:K44)</f>
        <v>0</v>
      </c>
      <c r="L40" s="114">
        <f t="shared" si="2"/>
        <v>0</v>
      </c>
      <c r="M40" s="107" t="s">
        <v>47</v>
      </c>
      <c r="N40" s="108" t="s">
        <v>47</v>
      </c>
      <c r="O40" s="106" t="s">
        <v>47</v>
      </c>
      <c r="P40" s="109"/>
    </row>
    <row r="41" spans="1:16" ht="24.75" hidden="1" thickTop="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row>
    <row r="42" spans="1:16" ht="15.75" hidden="1" thickTop="1" x14ac:dyDescent="0.25">
      <c r="A42" s="76">
        <v>21393</v>
      </c>
      <c r="B42" s="127" t="s">
        <v>61</v>
      </c>
      <c r="C42" s="128">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row>
    <row r="43" spans="1:16" ht="15.75" hidden="1" thickTop="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row>
    <row r="44" spans="1:16" ht="24.75" hidden="1" thickTop="1" x14ac:dyDescent="0.25">
      <c r="A44" s="76">
        <v>21399</v>
      </c>
      <c r="B44" s="127" t="s">
        <v>63</v>
      </c>
      <c r="C44" s="128">
        <f t="shared" si="1"/>
        <v>0</v>
      </c>
      <c r="D44" s="129" t="s">
        <v>47</v>
      </c>
      <c r="E44" s="138" t="s">
        <v>47</v>
      </c>
      <c r="F44" s="139" t="s">
        <v>47</v>
      </c>
      <c r="G44" s="129" t="s">
        <v>47</v>
      </c>
      <c r="H44" s="132" t="s">
        <v>47</v>
      </c>
      <c r="I44" s="133" t="s">
        <v>47</v>
      </c>
      <c r="J44" s="134"/>
      <c r="K44" s="135"/>
      <c r="L44" s="136">
        <f t="shared" si="2"/>
        <v>0</v>
      </c>
      <c r="M44" s="137" t="s">
        <v>47</v>
      </c>
      <c r="N44" s="138" t="s">
        <v>47</v>
      </c>
      <c r="O44" s="133" t="s">
        <v>47</v>
      </c>
      <c r="P44" s="85"/>
    </row>
    <row r="45" spans="1:16" s="41" customFormat="1" ht="24.75" hidden="1" thickTop="1" x14ac:dyDescent="0.25">
      <c r="A45" s="115">
        <v>21420</v>
      </c>
      <c r="B45" s="99" t="s">
        <v>64</v>
      </c>
      <c r="C45" s="156">
        <f>F45</f>
        <v>0</v>
      </c>
      <c r="D45" s="157"/>
      <c r="E45" s="158"/>
      <c r="F45" s="103">
        <f>D45+E45</f>
        <v>0</v>
      </c>
      <c r="G45" s="104" t="s">
        <v>47</v>
      </c>
      <c r="H45" s="105" t="s">
        <v>47</v>
      </c>
      <c r="I45" s="106" t="s">
        <v>47</v>
      </c>
      <c r="J45" s="104" t="s">
        <v>47</v>
      </c>
      <c r="K45" s="105" t="s">
        <v>47</v>
      </c>
      <c r="L45" s="106" t="s">
        <v>47</v>
      </c>
      <c r="M45" s="107" t="s">
        <v>47</v>
      </c>
      <c r="N45" s="108" t="s">
        <v>47</v>
      </c>
      <c r="O45" s="106" t="s">
        <v>47</v>
      </c>
      <c r="P45" s="109"/>
    </row>
    <row r="46" spans="1:16" s="41" customFormat="1" ht="24.75" hidden="1" thickTop="1" x14ac:dyDescent="0.25">
      <c r="A46" s="159">
        <v>21490</v>
      </c>
      <c r="B46" s="160" t="s">
        <v>65</v>
      </c>
      <c r="C46" s="156">
        <f>F46+I46+L46</f>
        <v>0</v>
      </c>
      <c r="D46" s="161">
        <f>D47</f>
        <v>0</v>
      </c>
      <c r="E46" s="162">
        <f>E47</f>
        <v>0</v>
      </c>
      <c r="F46" s="163">
        <f>D46+E46</f>
        <v>0</v>
      </c>
      <c r="G46" s="161">
        <f>G47</f>
        <v>0</v>
      </c>
      <c r="H46" s="164">
        <f t="shared" ref="H46:K46" si="3">H47</f>
        <v>0</v>
      </c>
      <c r="I46" s="165">
        <f>G46+H46</f>
        <v>0</v>
      </c>
      <c r="J46" s="161">
        <f>J47</f>
        <v>0</v>
      </c>
      <c r="K46" s="164">
        <f t="shared" si="3"/>
        <v>0</v>
      </c>
      <c r="L46" s="165">
        <f>J46+K46</f>
        <v>0</v>
      </c>
      <c r="M46" s="107" t="s">
        <v>47</v>
      </c>
      <c r="N46" s="108" t="s">
        <v>47</v>
      </c>
      <c r="O46" s="106" t="s">
        <v>47</v>
      </c>
      <c r="P46" s="109"/>
    </row>
    <row r="47" spans="1:16" s="41" customFormat="1" ht="24.75" hidden="1" thickTop="1" x14ac:dyDescent="0.25">
      <c r="A47" s="76">
        <v>21499</v>
      </c>
      <c r="B47" s="127" t="s">
        <v>66</v>
      </c>
      <c r="C47" s="166">
        <f>F47+I47+L47</f>
        <v>0</v>
      </c>
      <c r="D47" s="68"/>
      <c r="E47" s="69"/>
      <c r="F47" s="70">
        <f>D47+E47</f>
        <v>0</v>
      </c>
      <c r="G47" s="167"/>
      <c r="H47" s="71"/>
      <c r="I47" s="72">
        <f>G47+H47</f>
        <v>0</v>
      </c>
      <c r="J47" s="68"/>
      <c r="K47" s="71"/>
      <c r="L47" s="72">
        <f>J47+K47</f>
        <v>0</v>
      </c>
      <c r="M47" s="152" t="s">
        <v>47</v>
      </c>
      <c r="N47" s="145" t="s">
        <v>47</v>
      </c>
      <c r="O47" s="148" t="s">
        <v>47</v>
      </c>
      <c r="P47" s="153"/>
    </row>
    <row r="48" spans="1:16" ht="24.75" hidden="1" thickTop="1" x14ac:dyDescent="0.25">
      <c r="A48" s="168">
        <v>23000</v>
      </c>
      <c r="B48" s="169" t="s">
        <v>67</v>
      </c>
      <c r="C48" s="156">
        <f>O48</f>
        <v>0</v>
      </c>
      <c r="D48" s="170" t="s">
        <v>47</v>
      </c>
      <c r="E48" s="171" t="s">
        <v>47</v>
      </c>
      <c r="F48" s="172" t="s">
        <v>47</v>
      </c>
      <c r="G48" s="170" t="s">
        <v>47</v>
      </c>
      <c r="H48" s="173" t="s">
        <v>47</v>
      </c>
      <c r="I48" s="174" t="s">
        <v>47</v>
      </c>
      <c r="J48" s="170" t="s">
        <v>47</v>
      </c>
      <c r="K48" s="173" t="s">
        <v>47</v>
      </c>
      <c r="L48" s="174" t="s">
        <v>47</v>
      </c>
      <c r="M48" s="175">
        <f>SUM(M49:M50)</f>
        <v>0</v>
      </c>
      <c r="N48" s="176">
        <f>SUM(N49:N50)</f>
        <v>0</v>
      </c>
      <c r="O48" s="177">
        <f>M48+N48</f>
        <v>0</v>
      </c>
      <c r="P48" s="109"/>
    </row>
    <row r="49" spans="1:16" ht="24.75" hidden="1" thickTop="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row>
    <row r="50" spans="1:16" ht="24.75" hidden="1" thickTop="1" x14ac:dyDescent="0.25">
      <c r="A50" s="178">
        <v>23510</v>
      </c>
      <c r="B50" s="179" t="s">
        <v>69</v>
      </c>
      <c r="C50" s="180">
        <f>O50</f>
        <v>0</v>
      </c>
      <c r="D50" s="181" t="s">
        <v>47</v>
      </c>
      <c r="E50" s="182" t="s">
        <v>47</v>
      </c>
      <c r="F50" s="183" t="s">
        <v>47</v>
      </c>
      <c r="G50" s="181" t="s">
        <v>47</v>
      </c>
      <c r="H50" s="184" t="s">
        <v>47</v>
      </c>
      <c r="I50" s="185" t="s">
        <v>47</v>
      </c>
      <c r="J50" s="181" t="s">
        <v>47</v>
      </c>
      <c r="K50" s="184" t="s">
        <v>47</v>
      </c>
      <c r="L50" s="185" t="s">
        <v>47</v>
      </c>
      <c r="M50" s="186"/>
      <c r="N50" s="187"/>
      <c r="O50" s="188">
        <f>M50+N50</f>
        <v>0</v>
      </c>
      <c r="P50" s="189"/>
    </row>
    <row r="51" spans="1:16" ht="15.75" hidden="1" thickTop="1" x14ac:dyDescent="0.25">
      <c r="A51" s="190"/>
      <c r="B51" s="179"/>
      <c r="C51" s="191"/>
      <c r="D51" s="192"/>
      <c r="E51" s="193"/>
      <c r="F51" s="194"/>
      <c r="G51" s="192"/>
      <c r="H51" s="195"/>
      <c r="I51" s="185"/>
      <c r="J51" s="196"/>
      <c r="K51" s="197"/>
      <c r="L51" s="188"/>
      <c r="M51" s="186"/>
      <c r="N51" s="187"/>
      <c r="O51" s="188"/>
      <c r="P51" s="189"/>
    </row>
    <row r="52" spans="1:16" s="41" customFormat="1" ht="12.75" hidden="1" thickTop="1" x14ac:dyDescent="0.25">
      <c r="A52" s="198"/>
      <c r="B52" s="199" t="s">
        <v>70</v>
      </c>
      <c r="C52" s="200"/>
      <c r="D52" s="201"/>
      <c r="E52" s="202"/>
      <c r="F52" s="203"/>
      <c r="G52" s="201"/>
      <c r="H52" s="204"/>
      <c r="I52" s="205"/>
      <c r="J52" s="201"/>
      <c r="K52" s="204"/>
      <c r="L52" s="205"/>
      <c r="M52" s="206"/>
      <c r="N52" s="207"/>
      <c r="O52" s="205"/>
      <c r="P52" s="208"/>
    </row>
    <row r="53" spans="1:16" s="41" customFormat="1" ht="13.5" thickTop="1" thickBot="1" x14ac:dyDescent="0.3">
      <c r="A53" s="209"/>
      <c r="B53" s="42" t="s">
        <v>71</v>
      </c>
      <c r="C53" s="210">
        <f t="shared" ref="C53:C116" si="4">F53+I53+L53+O53</f>
        <v>2113259</v>
      </c>
      <c r="D53" s="211">
        <f>SUM(D54,D284)</f>
        <v>2112340</v>
      </c>
      <c r="E53" s="617">
        <f>SUM(E54,E284)</f>
        <v>919</v>
      </c>
      <c r="F53" s="213">
        <f t="shared" ref="F53:F117" si="5">D53+E53</f>
        <v>2113259</v>
      </c>
      <c r="G53" s="211">
        <f>SUM(G54,G284)</f>
        <v>0</v>
      </c>
      <c r="H53" s="214">
        <f>SUM(H54,H284)</f>
        <v>0</v>
      </c>
      <c r="I53" s="215">
        <f t="shared" ref="I53:I117" si="6">G53+H53</f>
        <v>0</v>
      </c>
      <c r="J53" s="211">
        <f>SUM(J54,J284)</f>
        <v>0</v>
      </c>
      <c r="K53" s="214">
        <f>SUM(K54,K284)</f>
        <v>0</v>
      </c>
      <c r="L53" s="215">
        <f t="shared" ref="L53:L117" si="7">J53+K53</f>
        <v>0</v>
      </c>
      <c r="M53" s="216">
        <f>SUM(M54,M284)</f>
        <v>0</v>
      </c>
      <c r="N53" s="217">
        <f>SUM(N54,N284)</f>
        <v>0</v>
      </c>
      <c r="O53" s="215">
        <f t="shared" ref="O53:O117" si="8">M53+N53</f>
        <v>0</v>
      </c>
      <c r="P53" s="52"/>
    </row>
    <row r="54" spans="1:16" s="41" customFormat="1" ht="36.75" thickTop="1" x14ac:dyDescent="0.25">
      <c r="A54" s="218"/>
      <c r="B54" s="219" t="s">
        <v>72</v>
      </c>
      <c r="C54" s="220">
        <f t="shared" si="4"/>
        <v>2113259</v>
      </c>
      <c r="D54" s="221">
        <f>SUM(D55,D197)</f>
        <v>2112340</v>
      </c>
      <c r="E54" s="618">
        <f>SUM(E55,E197)</f>
        <v>919</v>
      </c>
      <c r="F54" s="223">
        <f t="shared" si="5"/>
        <v>2113259</v>
      </c>
      <c r="G54" s="221">
        <f>SUM(G55,G197)</f>
        <v>0</v>
      </c>
      <c r="H54" s="224">
        <f>SUM(H55,H197)</f>
        <v>0</v>
      </c>
      <c r="I54" s="225">
        <f t="shared" si="6"/>
        <v>0</v>
      </c>
      <c r="J54" s="221">
        <f>SUM(J55,J197)</f>
        <v>0</v>
      </c>
      <c r="K54" s="224">
        <f>SUM(K55,K197)</f>
        <v>0</v>
      </c>
      <c r="L54" s="225">
        <f t="shared" si="7"/>
        <v>0</v>
      </c>
      <c r="M54" s="226">
        <f>SUM(M55,M197)</f>
        <v>0</v>
      </c>
      <c r="N54" s="227">
        <f>SUM(N55,N197)</f>
        <v>0</v>
      </c>
      <c r="O54" s="225">
        <f t="shared" si="8"/>
        <v>0</v>
      </c>
      <c r="P54" s="228"/>
    </row>
    <row r="55" spans="1:16" s="41" customFormat="1" ht="24" hidden="1" x14ac:dyDescent="0.25">
      <c r="A55" s="35"/>
      <c r="B55" s="30" t="s">
        <v>73</v>
      </c>
      <c r="C55" s="229">
        <f t="shared" si="4"/>
        <v>0</v>
      </c>
      <c r="D55" s="230">
        <f>SUM(D56,D78,D176,D190)</f>
        <v>0</v>
      </c>
      <c r="E55" s="235">
        <f>SUM(E56,E78,E176,E190)</f>
        <v>0</v>
      </c>
      <c r="F55" s="459">
        <f t="shared" si="5"/>
        <v>0</v>
      </c>
      <c r="G55" s="230">
        <f>SUM(G56,G78,G176,G190)</f>
        <v>0</v>
      </c>
      <c r="H55" s="233">
        <f>SUM(H56,H78,H176,H190)</f>
        <v>0</v>
      </c>
      <c r="I55" s="234">
        <f t="shared" si="6"/>
        <v>0</v>
      </c>
      <c r="J55" s="230">
        <f>SUM(J56,J78,J176,J190)</f>
        <v>0</v>
      </c>
      <c r="K55" s="233">
        <f>SUM(K56,K78,K176,K190)</f>
        <v>0</v>
      </c>
      <c r="L55" s="234">
        <f t="shared" si="7"/>
        <v>0</v>
      </c>
      <c r="M55" s="53">
        <f>SUM(M56,M78,M176,M190)</f>
        <v>0</v>
      </c>
      <c r="N55" s="235">
        <f>SUM(N56,N78,N176,N190)</f>
        <v>0</v>
      </c>
      <c r="O55" s="234">
        <f t="shared" si="8"/>
        <v>0</v>
      </c>
      <c r="P55" s="236"/>
    </row>
    <row r="56" spans="1:16" s="41" customFormat="1" ht="12" hidden="1" x14ac:dyDescent="0.25">
      <c r="A56" s="237">
        <v>1000</v>
      </c>
      <c r="B56" s="237" t="s">
        <v>74</v>
      </c>
      <c r="C56" s="238">
        <f t="shared" si="4"/>
        <v>0</v>
      </c>
      <c r="D56" s="239">
        <f>SUM(D57,D70)</f>
        <v>0</v>
      </c>
      <c r="E56" s="245">
        <f>SUM(E57,E70)</f>
        <v>0</v>
      </c>
      <c r="F56" s="320">
        <f t="shared" si="5"/>
        <v>0</v>
      </c>
      <c r="G56" s="239">
        <f>SUM(G57,G70)</f>
        <v>0</v>
      </c>
      <c r="H56" s="242">
        <f>SUM(H57,H70)</f>
        <v>0</v>
      </c>
      <c r="I56" s="243">
        <f t="shared" si="6"/>
        <v>0</v>
      </c>
      <c r="J56" s="239">
        <f>SUM(J57,J70)</f>
        <v>0</v>
      </c>
      <c r="K56" s="242">
        <f>SUM(K57,K70)</f>
        <v>0</v>
      </c>
      <c r="L56" s="243">
        <f t="shared" si="7"/>
        <v>0</v>
      </c>
      <c r="M56" s="244">
        <f>SUM(M57,M70)</f>
        <v>0</v>
      </c>
      <c r="N56" s="245">
        <f>SUM(N57,N70)</f>
        <v>0</v>
      </c>
      <c r="O56" s="243">
        <f t="shared" si="8"/>
        <v>0</v>
      </c>
      <c r="P56" s="246"/>
    </row>
    <row r="57" spans="1:16" hidden="1" x14ac:dyDescent="0.25">
      <c r="A57" s="99">
        <v>1100</v>
      </c>
      <c r="B57" s="247" t="s">
        <v>75</v>
      </c>
      <c r="C57" s="100">
        <f t="shared" si="4"/>
        <v>0</v>
      </c>
      <c r="D57" s="112">
        <f>SUM(D58,D61,D69)</f>
        <v>0</v>
      </c>
      <c r="E57" s="293">
        <f>SUM(E58,E61,E69)</f>
        <v>0</v>
      </c>
      <c r="F57" s="313">
        <f t="shared" si="5"/>
        <v>0</v>
      </c>
      <c r="G57" s="112">
        <f>SUM(G58,G61,G69)</f>
        <v>0</v>
      </c>
      <c r="H57" s="113">
        <f>SUM(H58,H61,H69)</f>
        <v>0</v>
      </c>
      <c r="I57" s="114">
        <f t="shared" si="6"/>
        <v>0</v>
      </c>
      <c r="J57" s="112">
        <f>SUM(J58,J61,J69)</f>
        <v>0</v>
      </c>
      <c r="K57" s="113">
        <f>SUM(K58,K61,K69)</f>
        <v>0</v>
      </c>
      <c r="L57" s="114">
        <f t="shared" si="7"/>
        <v>0</v>
      </c>
      <c r="M57" s="250">
        <f>SUM(M58,M61,M69)</f>
        <v>0</v>
      </c>
      <c r="N57" s="251">
        <f>SUM(N58,N61,N69)</f>
        <v>0</v>
      </c>
      <c r="O57" s="252">
        <f t="shared" si="8"/>
        <v>0</v>
      </c>
      <c r="P57" s="253"/>
    </row>
    <row r="58" spans="1:16" hidden="1" x14ac:dyDescent="0.25">
      <c r="A58" s="254">
        <v>1110</v>
      </c>
      <c r="B58" s="179" t="s">
        <v>76</v>
      </c>
      <c r="C58" s="191">
        <f t="shared" si="4"/>
        <v>0</v>
      </c>
      <c r="D58" s="255">
        <f>SUM(D59:D60)</f>
        <v>0</v>
      </c>
      <c r="E58" s="261">
        <f>SUM(E59:E60)</f>
        <v>0</v>
      </c>
      <c r="F58" s="310">
        <f t="shared" si="5"/>
        <v>0</v>
      </c>
      <c r="G58" s="255">
        <f>SUM(G59:G60)</f>
        <v>0</v>
      </c>
      <c r="H58" s="258">
        <f>SUM(H59:H60)</f>
        <v>0</v>
      </c>
      <c r="I58" s="259">
        <f t="shared" si="6"/>
        <v>0</v>
      </c>
      <c r="J58" s="255">
        <f>SUM(J59:J60)</f>
        <v>0</v>
      </c>
      <c r="K58" s="258">
        <f>SUM(K59:K60)</f>
        <v>0</v>
      </c>
      <c r="L58" s="259">
        <f t="shared" si="7"/>
        <v>0</v>
      </c>
      <c r="M58" s="260">
        <f>SUM(M59:M60)</f>
        <v>0</v>
      </c>
      <c r="N58" s="261">
        <f>SUM(N59:N60)</f>
        <v>0</v>
      </c>
      <c r="O58" s="259">
        <f t="shared" si="8"/>
        <v>0</v>
      </c>
      <c r="P58" s="189"/>
    </row>
    <row r="59" spans="1:16" hidden="1" x14ac:dyDescent="0.25">
      <c r="A59" s="66">
        <v>1111</v>
      </c>
      <c r="B59" s="116" t="s">
        <v>77</v>
      </c>
      <c r="C59" s="117">
        <f t="shared" si="4"/>
        <v>0</v>
      </c>
      <c r="D59" s="123"/>
      <c r="E59" s="262"/>
      <c r="F59" s="263">
        <f t="shared" si="5"/>
        <v>0</v>
      </c>
      <c r="G59" s="123"/>
      <c r="H59" s="124"/>
      <c r="I59" s="125">
        <f t="shared" si="6"/>
        <v>0</v>
      </c>
      <c r="J59" s="123"/>
      <c r="K59" s="124"/>
      <c r="L59" s="125">
        <f t="shared" si="7"/>
        <v>0</v>
      </c>
      <c r="M59" s="264"/>
      <c r="N59" s="262"/>
      <c r="O59" s="125">
        <f t="shared" si="8"/>
        <v>0</v>
      </c>
      <c r="P59" s="74"/>
    </row>
    <row r="60" spans="1:16" ht="24" hidden="1" x14ac:dyDescent="0.25">
      <c r="A60" s="76">
        <v>1119</v>
      </c>
      <c r="B60" s="127" t="s">
        <v>78</v>
      </c>
      <c r="C60" s="128">
        <f t="shared" si="4"/>
        <v>0</v>
      </c>
      <c r="D60" s="134"/>
      <c r="E60" s="285"/>
      <c r="F60" s="286">
        <f t="shared" si="5"/>
        <v>0</v>
      </c>
      <c r="G60" s="134"/>
      <c r="H60" s="135"/>
      <c r="I60" s="136">
        <f t="shared" si="6"/>
        <v>0</v>
      </c>
      <c r="J60" s="134"/>
      <c r="K60" s="135"/>
      <c r="L60" s="136">
        <f t="shared" si="7"/>
        <v>0</v>
      </c>
      <c r="M60" s="284"/>
      <c r="N60" s="285"/>
      <c r="O60" s="136">
        <f t="shared" si="8"/>
        <v>0</v>
      </c>
      <c r="P60" s="85"/>
    </row>
    <row r="61" spans="1:16" ht="24" hidden="1" x14ac:dyDescent="0.25">
      <c r="A61" s="276">
        <v>1140</v>
      </c>
      <c r="B61" s="127" t="s">
        <v>79</v>
      </c>
      <c r="C61" s="128">
        <f t="shared" si="4"/>
        <v>0</v>
      </c>
      <c r="D61" s="277">
        <f>SUM(D62:D68)</f>
        <v>0</v>
      </c>
      <c r="E61" s="282">
        <f>SUM(E62:E68)</f>
        <v>0</v>
      </c>
      <c r="F61" s="286">
        <f>D61+E61</f>
        <v>0</v>
      </c>
      <c r="G61" s="277">
        <f>SUM(G62:G68)</f>
        <v>0</v>
      </c>
      <c r="H61" s="280">
        <f>SUM(H62:H68)</f>
        <v>0</v>
      </c>
      <c r="I61" s="136">
        <f t="shared" si="6"/>
        <v>0</v>
      </c>
      <c r="J61" s="277">
        <f>SUM(J62:J68)</f>
        <v>0</v>
      </c>
      <c r="K61" s="280">
        <f>SUM(K62:K68)</f>
        <v>0</v>
      </c>
      <c r="L61" s="136">
        <f t="shared" si="7"/>
        <v>0</v>
      </c>
      <c r="M61" s="281">
        <f>SUM(M62:M68)</f>
        <v>0</v>
      </c>
      <c r="N61" s="282">
        <f>SUM(N62:N68)</f>
        <v>0</v>
      </c>
      <c r="O61" s="136">
        <f t="shared" si="8"/>
        <v>0</v>
      </c>
      <c r="P61" s="85"/>
    </row>
    <row r="62" spans="1:16" hidden="1" x14ac:dyDescent="0.25">
      <c r="A62" s="76">
        <v>1141</v>
      </c>
      <c r="B62" s="127" t="s">
        <v>80</v>
      </c>
      <c r="C62" s="128">
        <f t="shared" si="4"/>
        <v>0</v>
      </c>
      <c r="D62" s="134"/>
      <c r="E62" s="285"/>
      <c r="F62" s="286">
        <f t="shared" si="5"/>
        <v>0</v>
      </c>
      <c r="G62" s="134"/>
      <c r="H62" s="135"/>
      <c r="I62" s="136">
        <f t="shared" si="6"/>
        <v>0</v>
      </c>
      <c r="J62" s="134"/>
      <c r="K62" s="135"/>
      <c r="L62" s="136">
        <f t="shared" si="7"/>
        <v>0</v>
      </c>
      <c r="M62" s="284"/>
      <c r="N62" s="285"/>
      <c r="O62" s="136">
        <f t="shared" si="8"/>
        <v>0</v>
      </c>
      <c r="P62" s="85"/>
    </row>
    <row r="63" spans="1:16" ht="24" hidden="1" x14ac:dyDescent="0.25">
      <c r="A63" s="76">
        <v>1142</v>
      </c>
      <c r="B63" s="127" t="s">
        <v>81</v>
      </c>
      <c r="C63" s="128">
        <f t="shared" si="4"/>
        <v>0</v>
      </c>
      <c r="D63" s="134"/>
      <c r="E63" s="285"/>
      <c r="F63" s="286">
        <f t="shared" si="5"/>
        <v>0</v>
      </c>
      <c r="G63" s="134"/>
      <c r="H63" s="135"/>
      <c r="I63" s="136">
        <f t="shared" si="6"/>
        <v>0</v>
      </c>
      <c r="J63" s="134"/>
      <c r="K63" s="135"/>
      <c r="L63" s="136">
        <f t="shared" si="7"/>
        <v>0</v>
      </c>
      <c r="M63" s="284"/>
      <c r="N63" s="285"/>
      <c r="O63" s="136">
        <f t="shared" si="8"/>
        <v>0</v>
      </c>
      <c r="P63" s="85"/>
    </row>
    <row r="64" spans="1:16" ht="24" hidden="1" x14ac:dyDescent="0.25">
      <c r="A64" s="76">
        <v>1145</v>
      </c>
      <c r="B64" s="127" t="s">
        <v>82</v>
      </c>
      <c r="C64" s="128">
        <f t="shared" si="4"/>
        <v>0</v>
      </c>
      <c r="D64" s="134"/>
      <c r="E64" s="285"/>
      <c r="F64" s="286">
        <f t="shared" si="5"/>
        <v>0</v>
      </c>
      <c r="G64" s="134"/>
      <c r="H64" s="135"/>
      <c r="I64" s="136">
        <f t="shared" si="6"/>
        <v>0</v>
      </c>
      <c r="J64" s="134"/>
      <c r="K64" s="135"/>
      <c r="L64" s="136">
        <f t="shared" si="7"/>
        <v>0</v>
      </c>
      <c r="M64" s="284"/>
      <c r="N64" s="285"/>
      <c r="O64" s="136">
        <f t="shared" si="8"/>
        <v>0</v>
      </c>
      <c r="P64" s="85"/>
    </row>
    <row r="65" spans="1:16" ht="24" hidden="1" x14ac:dyDescent="0.25">
      <c r="A65" s="76">
        <v>1146</v>
      </c>
      <c r="B65" s="127" t="s">
        <v>83</v>
      </c>
      <c r="C65" s="128">
        <f t="shared" si="4"/>
        <v>0</v>
      </c>
      <c r="D65" s="134"/>
      <c r="E65" s="285"/>
      <c r="F65" s="286">
        <f t="shared" si="5"/>
        <v>0</v>
      </c>
      <c r="G65" s="134"/>
      <c r="H65" s="135"/>
      <c r="I65" s="136">
        <f t="shared" si="6"/>
        <v>0</v>
      </c>
      <c r="J65" s="134"/>
      <c r="K65" s="135"/>
      <c r="L65" s="136">
        <f t="shared" si="7"/>
        <v>0</v>
      </c>
      <c r="M65" s="284"/>
      <c r="N65" s="285"/>
      <c r="O65" s="136">
        <f t="shared" si="8"/>
        <v>0</v>
      </c>
      <c r="P65" s="85"/>
    </row>
    <row r="66" spans="1:16" hidden="1" x14ac:dyDescent="0.25">
      <c r="A66" s="76">
        <v>1147</v>
      </c>
      <c r="B66" s="127" t="s">
        <v>84</v>
      </c>
      <c r="C66" s="128">
        <f t="shared" si="4"/>
        <v>0</v>
      </c>
      <c r="D66" s="134"/>
      <c r="E66" s="285"/>
      <c r="F66" s="286">
        <f t="shared" si="5"/>
        <v>0</v>
      </c>
      <c r="G66" s="134"/>
      <c r="H66" s="135"/>
      <c r="I66" s="136">
        <f t="shared" si="6"/>
        <v>0</v>
      </c>
      <c r="J66" s="134"/>
      <c r="K66" s="135"/>
      <c r="L66" s="136">
        <f t="shared" si="7"/>
        <v>0</v>
      </c>
      <c r="M66" s="284"/>
      <c r="N66" s="285"/>
      <c r="O66" s="136">
        <f t="shared" si="8"/>
        <v>0</v>
      </c>
      <c r="P66" s="85"/>
    </row>
    <row r="67" spans="1:16" hidden="1" x14ac:dyDescent="0.25">
      <c r="A67" s="76">
        <v>1148</v>
      </c>
      <c r="B67" s="127" t="s">
        <v>85</v>
      </c>
      <c r="C67" s="128">
        <f t="shared" si="4"/>
        <v>0</v>
      </c>
      <c r="D67" s="134"/>
      <c r="E67" s="285"/>
      <c r="F67" s="286">
        <f t="shared" si="5"/>
        <v>0</v>
      </c>
      <c r="G67" s="134"/>
      <c r="H67" s="135"/>
      <c r="I67" s="136">
        <f t="shared" si="6"/>
        <v>0</v>
      </c>
      <c r="J67" s="134"/>
      <c r="K67" s="135"/>
      <c r="L67" s="136">
        <f t="shared" si="7"/>
        <v>0</v>
      </c>
      <c r="M67" s="284"/>
      <c r="N67" s="285"/>
      <c r="O67" s="136">
        <f t="shared" si="8"/>
        <v>0</v>
      </c>
      <c r="P67" s="85"/>
    </row>
    <row r="68" spans="1:16" ht="36" hidden="1" x14ac:dyDescent="0.25">
      <c r="A68" s="76">
        <v>1149</v>
      </c>
      <c r="B68" s="127" t="s">
        <v>86</v>
      </c>
      <c r="C68" s="128">
        <f t="shared" si="4"/>
        <v>0</v>
      </c>
      <c r="D68" s="134"/>
      <c r="E68" s="285"/>
      <c r="F68" s="286">
        <f t="shared" si="5"/>
        <v>0</v>
      </c>
      <c r="G68" s="134"/>
      <c r="H68" s="135"/>
      <c r="I68" s="136">
        <f t="shared" si="6"/>
        <v>0</v>
      </c>
      <c r="J68" s="134"/>
      <c r="K68" s="135"/>
      <c r="L68" s="136">
        <f t="shared" si="7"/>
        <v>0</v>
      </c>
      <c r="M68" s="284"/>
      <c r="N68" s="285"/>
      <c r="O68" s="136">
        <f t="shared" si="8"/>
        <v>0</v>
      </c>
      <c r="P68" s="85"/>
    </row>
    <row r="69" spans="1:16" ht="36" hidden="1" x14ac:dyDescent="0.25">
      <c r="A69" s="254">
        <v>1150</v>
      </c>
      <c r="B69" s="179" t="s">
        <v>87</v>
      </c>
      <c r="C69" s="128">
        <f t="shared" si="4"/>
        <v>0</v>
      </c>
      <c r="D69" s="287"/>
      <c r="E69" s="291"/>
      <c r="F69" s="310">
        <f t="shared" si="5"/>
        <v>0</v>
      </c>
      <c r="G69" s="287"/>
      <c r="H69" s="289"/>
      <c r="I69" s="259">
        <f t="shared" si="6"/>
        <v>0</v>
      </c>
      <c r="J69" s="287"/>
      <c r="K69" s="289"/>
      <c r="L69" s="259">
        <f t="shared" si="7"/>
        <v>0</v>
      </c>
      <c r="M69" s="290"/>
      <c r="N69" s="291"/>
      <c r="O69" s="259">
        <f t="shared" si="8"/>
        <v>0</v>
      </c>
      <c r="P69" s="189"/>
    </row>
    <row r="70" spans="1:16" ht="36" hidden="1" x14ac:dyDescent="0.25">
      <c r="A70" s="99">
        <v>1200</v>
      </c>
      <c r="B70" s="247" t="s">
        <v>88</v>
      </c>
      <c r="C70" s="100">
        <f t="shared" si="4"/>
        <v>0</v>
      </c>
      <c r="D70" s="112">
        <f>SUM(D71:D72)</f>
        <v>0</v>
      </c>
      <c r="E70" s="293">
        <f>SUM(E71:E72)</f>
        <v>0</v>
      </c>
      <c r="F70" s="313">
        <f>D70+E70</f>
        <v>0</v>
      </c>
      <c r="G70" s="112">
        <f>SUM(G71:G72)</f>
        <v>0</v>
      </c>
      <c r="H70" s="113">
        <f>SUM(H71:H72)</f>
        <v>0</v>
      </c>
      <c r="I70" s="114">
        <f t="shared" si="6"/>
        <v>0</v>
      </c>
      <c r="J70" s="112">
        <f>SUM(J71:J72)</f>
        <v>0</v>
      </c>
      <c r="K70" s="113">
        <f>SUM(K71:K72)</f>
        <v>0</v>
      </c>
      <c r="L70" s="114">
        <f t="shared" si="7"/>
        <v>0</v>
      </c>
      <c r="M70" s="292">
        <f>SUM(M71:M72)</f>
        <v>0</v>
      </c>
      <c r="N70" s="293">
        <f>SUM(N71:N72)</f>
        <v>0</v>
      </c>
      <c r="O70" s="114">
        <f t="shared" si="8"/>
        <v>0</v>
      </c>
      <c r="P70" s="109"/>
    </row>
    <row r="71" spans="1:16" ht="24" hidden="1" x14ac:dyDescent="0.25">
      <c r="A71" s="609">
        <v>1210</v>
      </c>
      <c r="B71" s="116" t="s">
        <v>89</v>
      </c>
      <c r="C71" s="117">
        <f t="shared" si="4"/>
        <v>0</v>
      </c>
      <c r="D71" s="123"/>
      <c r="E71" s="262"/>
      <c r="F71" s="263">
        <f t="shared" si="5"/>
        <v>0</v>
      </c>
      <c r="G71" s="123"/>
      <c r="H71" s="124"/>
      <c r="I71" s="125">
        <f t="shared" si="6"/>
        <v>0</v>
      </c>
      <c r="J71" s="123"/>
      <c r="K71" s="124"/>
      <c r="L71" s="125">
        <f t="shared" si="7"/>
        <v>0</v>
      </c>
      <c r="M71" s="264"/>
      <c r="N71" s="262"/>
      <c r="O71" s="125">
        <f t="shared" si="8"/>
        <v>0</v>
      </c>
      <c r="P71" s="74"/>
    </row>
    <row r="72" spans="1:16" ht="24" hidden="1" x14ac:dyDescent="0.25">
      <c r="A72" s="276">
        <v>1220</v>
      </c>
      <c r="B72" s="127" t="s">
        <v>90</v>
      </c>
      <c r="C72" s="128">
        <f t="shared" si="4"/>
        <v>0</v>
      </c>
      <c r="D72" s="277">
        <f>SUM(D73:D77)</f>
        <v>0</v>
      </c>
      <c r="E72" s="282">
        <f>SUM(E73:E77)</f>
        <v>0</v>
      </c>
      <c r="F72" s="286">
        <f t="shared" si="5"/>
        <v>0</v>
      </c>
      <c r="G72" s="277">
        <f>SUM(G73:G77)</f>
        <v>0</v>
      </c>
      <c r="H72" s="280">
        <f>SUM(H73:H77)</f>
        <v>0</v>
      </c>
      <c r="I72" s="136">
        <f t="shared" si="6"/>
        <v>0</v>
      </c>
      <c r="J72" s="277">
        <f>SUM(J73:J77)</f>
        <v>0</v>
      </c>
      <c r="K72" s="280">
        <f>SUM(K73:K77)</f>
        <v>0</v>
      </c>
      <c r="L72" s="136">
        <f t="shared" si="7"/>
        <v>0</v>
      </c>
      <c r="M72" s="281">
        <f>SUM(M73:M77)</f>
        <v>0</v>
      </c>
      <c r="N72" s="282">
        <f>SUM(N73:N77)</f>
        <v>0</v>
      </c>
      <c r="O72" s="136">
        <f t="shared" si="8"/>
        <v>0</v>
      </c>
      <c r="P72" s="85"/>
    </row>
    <row r="73" spans="1:16" ht="60" hidden="1" x14ac:dyDescent="0.25">
      <c r="A73" s="76">
        <v>1221</v>
      </c>
      <c r="B73" s="127" t="s">
        <v>91</v>
      </c>
      <c r="C73" s="128">
        <f t="shared" si="4"/>
        <v>0</v>
      </c>
      <c r="D73" s="134"/>
      <c r="E73" s="285"/>
      <c r="F73" s="286">
        <f t="shared" si="5"/>
        <v>0</v>
      </c>
      <c r="G73" s="134"/>
      <c r="H73" s="135"/>
      <c r="I73" s="136">
        <f t="shared" si="6"/>
        <v>0</v>
      </c>
      <c r="J73" s="134"/>
      <c r="K73" s="135"/>
      <c r="L73" s="136">
        <f t="shared" si="7"/>
        <v>0</v>
      </c>
      <c r="M73" s="284"/>
      <c r="N73" s="285"/>
      <c r="O73" s="136">
        <f t="shared" si="8"/>
        <v>0</v>
      </c>
      <c r="P73" s="85"/>
    </row>
    <row r="74" spans="1:16" hidden="1" x14ac:dyDescent="0.25">
      <c r="A74" s="76">
        <v>1223</v>
      </c>
      <c r="B74" s="127" t="s">
        <v>92</v>
      </c>
      <c r="C74" s="128">
        <f t="shared" si="4"/>
        <v>0</v>
      </c>
      <c r="D74" s="134"/>
      <c r="E74" s="285"/>
      <c r="F74" s="286">
        <f t="shared" si="5"/>
        <v>0</v>
      </c>
      <c r="G74" s="134"/>
      <c r="H74" s="135"/>
      <c r="I74" s="136">
        <f t="shared" si="6"/>
        <v>0</v>
      </c>
      <c r="J74" s="134"/>
      <c r="K74" s="135"/>
      <c r="L74" s="136">
        <f t="shared" si="7"/>
        <v>0</v>
      </c>
      <c r="M74" s="284"/>
      <c r="N74" s="285"/>
      <c r="O74" s="136">
        <f t="shared" si="8"/>
        <v>0</v>
      </c>
      <c r="P74" s="85"/>
    </row>
    <row r="75" spans="1:16" hidden="1" x14ac:dyDescent="0.25">
      <c r="A75" s="76">
        <v>1225</v>
      </c>
      <c r="B75" s="127" t="s">
        <v>93</v>
      </c>
      <c r="C75" s="128">
        <f t="shared" si="4"/>
        <v>0</v>
      </c>
      <c r="D75" s="134"/>
      <c r="E75" s="285"/>
      <c r="F75" s="286">
        <f t="shared" si="5"/>
        <v>0</v>
      </c>
      <c r="G75" s="134"/>
      <c r="H75" s="135"/>
      <c r="I75" s="136">
        <f t="shared" si="6"/>
        <v>0</v>
      </c>
      <c r="J75" s="134"/>
      <c r="K75" s="135"/>
      <c r="L75" s="136">
        <f t="shared" si="7"/>
        <v>0</v>
      </c>
      <c r="M75" s="284"/>
      <c r="N75" s="285"/>
      <c r="O75" s="136">
        <f t="shared" si="8"/>
        <v>0</v>
      </c>
      <c r="P75" s="85"/>
    </row>
    <row r="76" spans="1:16" ht="36" hidden="1" x14ac:dyDescent="0.25">
      <c r="A76" s="76">
        <v>1227</v>
      </c>
      <c r="B76" s="127" t="s">
        <v>94</v>
      </c>
      <c r="C76" s="128">
        <f t="shared" si="4"/>
        <v>0</v>
      </c>
      <c r="D76" s="134"/>
      <c r="E76" s="285"/>
      <c r="F76" s="286">
        <f t="shared" si="5"/>
        <v>0</v>
      </c>
      <c r="G76" s="134"/>
      <c r="H76" s="135"/>
      <c r="I76" s="136">
        <f t="shared" si="6"/>
        <v>0</v>
      </c>
      <c r="J76" s="134"/>
      <c r="K76" s="135"/>
      <c r="L76" s="136">
        <f t="shared" si="7"/>
        <v>0</v>
      </c>
      <c r="M76" s="284"/>
      <c r="N76" s="285"/>
      <c r="O76" s="136">
        <f t="shared" si="8"/>
        <v>0</v>
      </c>
      <c r="P76" s="85"/>
    </row>
    <row r="77" spans="1:16" ht="60" hidden="1" x14ac:dyDescent="0.25">
      <c r="A77" s="76">
        <v>1228</v>
      </c>
      <c r="B77" s="127" t="s">
        <v>95</v>
      </c>
      <c r="C77" s="128">
        <f t="shared" si="4"/>
        <v>0</v>
      </c>
      <c r="D77" s="134"/>
      <c r="E77" s="285"/>
      <c r="F77" s="286">
        <f t="shared" si="5"/>
        <v>0</v>
      </c>
      <c r="G77" s="134"/>
      <c r="H77" s="135"/>
      <c r="I77" s="136">
        <f t="shared" si="6"/>
        <v>0</v>
      </c>
      <c r="J77" s="134"/>
      <c r="K77" s="135"/>
      <c r="L77" s="136">
        <f t="shared" si="7"/>
        <v>0</v>
      </c>
      <c r="M77" s="284"/>
      <c r="N77" s="285"/>
      <c r="O77" s="136">
        <f t="shared" si="8"/>
        <v>0</v>
      </c>
      <c r="P77" s="85"/>
    </row>
    <row r="78" spans="1:16" hidden="1" x14ac:dyDescent="0.25">
      <c r="A78" s="237">
        <v>2000</v>
      </c>
      <c r="B78" s="237" t="s">
        <v>96</v>
      </c>
      <c r="C78" s="238">
        <f t="shared" si="4"/>
        <v>0</v>
      </c>
      <c r="D78" s="239">
        <f>SUM(D79,D86,D133,D167,D168,D175)</f>
        <v>0</v>
      </c>
      <c r="E78" s="245">
        <f>SUM(E79,E86,E133,E167,E168,E175)</f>
        <v>0</v>
      </c>
      <c r="F78" s="320">
        <f t="shared" si="5"/>
        <v>0</v>
      </c>
      <c r="G78" s="239">
        <f>SUM(G79,G86,G133,G167,G168,G175)</f>
        <v>0</v>
      </c>
      <c r="H78" s="242">
        <f>SUM(H79,H86,H133,H167,H168,H175)</f>
        <v>0</v>
      </c>
      <c r="I78" s="243">
        <f t="shared" si="6"/>
        <v>0</v>
      </c>
      <c r="J78" s="239">
        <f>SUM(J79,J86,J133,J167,J168,J175)</f>
        <v>0</v>
      </c>
      <c r="K78" s="242">
        <f>SUM(K79,K86,K133,K167,K168,K175)</f>
        <v>0</v>
      </c>
      <c r="L78" s="243">
        <f t="shared" si="7"/>
        <v>0</v>
      </c>
      <c r="M78" s="244">
        <f>SUM(M79,M86,M133,M167,M168,M175)</f>
        <v>0</v>
      </c>
      <c r="N78" s="245">
        <f>SUM(N79,N86,N133,N167,N168,N175)</f>
        <v>0</v>
      </c>
      <c r="O78" s="243">
        <f t="shared" si="8"/>
        <v>0</v>
      </c>
      <c r="P78" s="246"/>
    </row>
    <row r="79" spans="1:16" ht="24" hidden="1" x14ac:dyDescent="0.25">
      <c r="A79" s="99">
        <v>2100</v>
      </c>
      <c r="B79" s="247" t="s">
        <v>97</v>
      </c>
      <c r="C79" s="100">
        <f t="shared" si="4"/>
        <v>0</v>
      </c>
      <c r="D79" s="112">
        <f>SUM(D80,D83)</f>
        <v>0</v>
      </c>
      <c r="E79" s="293">
        <f>SUM(E80,E83)</f>
        <v>0</v>
      </c>
      <c r="F79" s="313">
        <f t="shared" si="5"/>
        <v>0</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row>
    <row r="80" spans="1:16" ht="24" hidden="1" x14ac:dyDescent="0.25">
      <c r="A80" s="609">
        <v>2110</v>
      </c>
      <c r="B80" s="116" t="s">
        <v>98</v>
      </c>
      <c r="C80" s="117">
        <f t="shared" si="4"/>
        <v>0</v>
      </c>
      <c r="D80" s="297">
        <f>SUM(D81:D82)</f>
        <v>0</v>
      </c>
      <c r="E80" s="301">
        <f>SUM(E81:E82)</f>
        <v>0</v>
      </c>
      <c r="F80" s="263">
        <f t="shared" si="5"/>
        <v>0</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row>
    <row r="81" spans="1:16" hidden="1" x14ac:dyDescent="0.25">
      <c r="A81" s="76">
        <v>2111</v>
      </c>
      <c r="B81" s="127" t="s">
        <v>99</v>
      </c>
      <c r="C81" s="128">
        <f t="shared" si="4"/>
        <v>0</v>
      </c>
      <c r="D81" s="134"/>
      <c r="E81" s="285"/>
      <c r="F81" s="286">
        <f t="shared" si="5"/>
        <v>0</v>
      </c>
      <c r="G81" s="134"/>
      <c r="H81" s="135"/>
      <c r="I81" s="136">
        <f t="shared" si="6"/>
        <v>0</v>
      </c>
      <c r="J81" s="134"/>
      <c r="K81" s="135"/>
      <c r="L81" s="136">
        <f t="shared" si="7"/>
        <v>0</v>
      </c>
      <c r="M81" s="284"/>
      <c r="N81" s="285"/>
      <c r="O81" s="136">
        <f t="shared" si="8"/>
        <v>0</v>
      </c>
      <c r="P81" s="85"/>
    </row>
    <row r="82" spans="1:16" ht="24" hidden="1" x14ac:dyDescent="0.25">
      <c r="A82" s="76">
        <v>2112</v>
      </c>
      <c r="B82" s="127" t="s">
        <v>100</v>
      </c>
      <c r="C82" s="128">
        <f t="shared" si="4"/>
        <v>0</v>
      </c>
      <c r="D82" s="134"/>
      <c r="E82" s="285"/>
      <c r="F82" s="286">
        <f t="shared" si="5"/>
        <v>0</v>
      </c>
      <c r="G82" s="134"/>
      <c r="H82" s="135"/>
      <c r="I82" s="136">
        <f t="shared" si="6"/>
        <v>0</v>
      </c>
      <c r="J82" s="134"/>
      <c r="K82" s="135"/>
      <c r="L82" s="136">
        <f t="shared" si="7"/>
        <v>0</v>
      </c>
      <c r="M82" s="284"/>
      <c r="N82" s="285"/>
      <c r="O82" s="136">
        <f t="shared" si="8"/>
        <v>0</v>
      </c>
      <c r="P82" s="85"/>
    </row>
    <row r="83" spans="1:16" ht="24" hidden="1" x14ac:dyDescent="0.25">
      <c r="A83" s="276">
        <v>2120</v>
      </c>
      <c r="B83" s="127" t="s">
        <v>101</v>
      </c>
      <c r="C83" s="128">
        <f t="shared" si="4"/>
        <v>0</v>
      </c>
      <c r="D83" s="277">
        <f>SUM(D84:D85)</f>
        <v>0</v>
      </c>
      <c r="E83" s="282">
        <f>SUM(E84:E85)</f>
        <v>0</v>
      </c>
      <c r="F83" s="28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row>
    <row r="84" spans="1:16" hidden="1" x14ac:dyDescent="0.25">
      <c r="A84" s="76">
        <v>2121</v>
      </c>
      <c r="B84" s="127" t="s">
        <v>99</v>
      </c>
      <c r="C84" s="128">
        <f t="shared" si="4"/>
        <v>0</v>
      </c>
      <c r="D84" s="134"/>
      <c r="E84" s="285"/>
      <c r="F84" s="286">
        <f t="shared" si="5"/>
        <v>0</v>
      </c>
      <c r="G84" s="134"/>
      <c r="H84" s="135"/>
      <c r="I84" s="136">
        <f t="shared" si="6"/>
        <v>0</v>
      </c>
      <c r="J84" s="134"/>
      <c r="K84" s="135"/>
      <c r="L84" s="136">
        <f t="shared" si="7"/>
        <v>0</v>
      </c>
      <c r="M84" s="284"/>
      <c r="N84" s="285"/>
      <c r="O84" s="136">
        <f t="shared" si="8"/>
        <v>0</v>
      </c>
      <c r="P84" s="85"/>
    </row>
    <row r="85" spans="1:16" ht="24" hidden="1" x14ac:dyDescent="0.25">
      <c r="A85" s="76">
        <v>2122</v>
      </c>
      <c r="B85" s="127" t="s">
        <v>100</v>
      </c>
      <c r="C85" s="128">
        <f t="shared" si="4"/>
        <v>0</v>
      </c>
      <c r="D85" s="134"/>
      <c r="E85" s="285"/>
      <c r="F85" s="286">
        <f t="shared" si="5"/>
        <v>0</v>
      </c>
      <c r="G85" s="134"/>
      <c r="H85" s="135"/>
      <c r="I85" s="136">
        <f t="shared" si="6"/>
        <v>0</v>
      </c>
      <c r="J85" s="134"/>
      <c r="K85" s="135"/>
      <c r="L85" s="136">
        <f t="shared" si="7"/>
        <v>0</v>
      </c>
      <c r="M85" s="284"/>
      <c r="N85" s="285"/>
      <c r="O85" s="136">
        <f t="shared" si="8"/>
        <v>0</v>
      </c>
      <c r="P85" s="85"/>
    </row>
    <row r="86" spans="1:16" hidden="1" x14ac:dyDescent="0.25">
      <c r="A86" s="99">
        <v>2200</v>
      </c>
      <c r="B86" s="247" t="s">
        <v>102</v>
      </c>
      <c r="C86" s="302">
        <f t="shared" si="4"/>
        <v>0</v>
      </c>
      <c r="D86" s="112">
        <f>SUM(D87,D92,D98,D106,D115,D119,D125,D131)</f>
        <v>0</v>
      </c>
      <c r="E86" s="293">
        <f>SUM(E87,E92,E98,E106,E115,E119,E125,E131)</f>
        <v>0</v>
      </c>
      <c r="F86" s="313">
        <f t="shared" si="5"/>
        <v>0</v>
      </c>
      <c r="G86" s="112">
        <f>SUM(G87,G92,G98,G106,G115,G119,G125,G131)</f>
        <v>0</v>
      </c>
      <c r="H86" s="113">
        <f>SUM(H87,H92,H98,H106,H115,H119,H125,H131)</f>
        <v>0</v>
      </c>
      <c r="I86" s="114">
        <f t="shared" si="6"/>
        <v>0</v>
      </c>
      <c r="J86" s="112">
        <f>SUM(J87,J92,J98,J106,J115,J119,J125,J131)</f>
        <v>0</v>
      </c>
      <c r="K86" s="113">
        <f>SUM(K87,K92,K98,K106,K115,K119,K125,K131)</f>
        <v>0</v>
      </c>
      <c r="L86" s="114">
        <f t="shared" si="7"/>
        <v>0</v>
      </c>
      <c r="M86" s="303">
        <f>SUM(M87,M92,M98,M106,M115,M119,M125,M131)</f>
        <v>0</v>
      </c>
      <c r="N86" s="304">
        <f>SUM(N87,N92,N98,N106,N115,N119,N125,N131)</f>
        <v>0</v>
      </c>
      <c r="O86" s="305">
        <f t="shared" si="8"/>
        <v>0</v>
      </c>
      <c r="P86" s="306"/>
    </row>
    <row r="87" spans="1:16" ht="24" hidden="1" x14ac:dyDescent="0.25">
      <c r="A87" s="254">
        <v>2210</v>
      </c>
      <c r="B87" s="179" t="s">
        <v>103</v>
      </c>
      <c r="C87" s="191">
        <f t="shared" si="4"/>
        <v>0</v>
      </c>
      <c r="D87" s="255">
        <f>SUM(D88:D91)</f>
        <v>0</v>
      </c>
      <c r="E87" s="261">
        <f>SUM(E88:E91)</f>
        <v>0</v>
      </c>
      <c r="F87" s="310">
        <f t="shared" si="5"/>
        <v>0</v>
      </c>
      <c r="G87" s="255">
        <f>SUM(G88:G91)</f>
        <v>0</v>
      </c>
      <c r="H87" s="258">
        <f>SUM(H88:H91)</f>
        <v>0</v>
      </c>
      <c r="I87" s="259">
        <f t="shared" si="6"/>
        <v>0</v>
      </c>
      <c r="J87" s="255">
        <f>SUM(J88:J91)</f>
        <v>0</v>
      </c>
      <c r="K87" s="258">
        <f>SUM(K88:K91)</f>
        <v>0</v>
      </c>
      <c r="L87" s="259">
        <f t="shared" si="7"/>
        <v>0</v>
      </c>
      <c r="M87" s="260">
        <f>SUM(M88:M91)</f>
        <v>0</v>
      </c>
      <c r="N87" s="261">
        <f>SUM(N88:N91)</f>
        <v>0</v>
      </c>
      <c r="O87" s="259">
        <f t="shared" si="8"/>
        <v>0</v>
      </c>
      <c r="P87" s="189"/>
    </row>
    <row r="88" spans="1:16" ht="24" hidden="1" x14ac:dyDescent="0.25">
      <c r="A88" s="66">
        <v>2211</v>
      </c>
      <c r="B88" s="116" t="s">
        <v>104</v>
      </c>
      <c r="C88" s="128">
        <f t="shared" si="4"/>
        <v>0</v>
      </c>
      <c r="D88" s="123"/>
      <c r="E88" s="262"/>
      <c r="F88" s="263">
        <f t="shared" si="5"/>
        <v>0</v>
      </c>
      <c r="G88" s="123"/>
      <c r="H88" s="124"/>
      <c r="I88" s="125">
        <f t="shared" si="6"/>
        <v>0</v>
      </c>
      <c r="J88" s="123"/>
      <c r="K88" s="124"/>
      <c r="L88" s="125">
        <f t="shared" si="7"/>
        <v>0</v>
      </c>
      <c r="M88" s="264"/>
      <c r="N88" s="262"/>
      <c r="O88" s="125">
        <f t="shared" si="8"/>
        <v>0</v>
      </c>
      <c r="P88" s="74"/>
    </row>
    <row r="89" spans="1:16" ht="36" hidden="1" x14ac:dyDescent="0.25">
      <c r="A89" s="76">
        <v>2212</v>
      </c>
      <c r="B89" s="127" t="s">
        <v>105</v>
      </c>
      <c r="C89" s="128">
        <f t="shared" si="4"/>
        <v>0</v>
      </c>
      <c r="D89" s="134"/>
      <c r="E89" s="285"/>
      <c r="F89" s="286">
        <f t="shared" si="5"/>
        <v>0</v>
      </c>
      <c r="G89" s="134"/>
      <c r="H89" s="135"/>
      <c r="I89" s="136">
        <f t="shared" si="6"/>
        <v>0</v>
      </c>
      <c r="J89" s="134"/>
      <c r="K89" s="135"/>
      <c r="L89" s="136">
        <f t="shared" si="7"/>
        <v>0</v>
      </c>
      <c r="M89" s="284"/>
      <c r="N89" s="285"/>
      <c r="O89" s="136">
        <f t="shared" si="8"/>
        <v>0</v>
      </c>
      <c r="P89" s="85"/>
    </row>
    <row r="90" spans="1:16" ht="24" hidden="1" x14ac:dyDescent="0.25">
      <c r="A90" s="76">
        <v>2214</v>
      </c>
      <c r="B90" s="127" t="s">
        <v>106</v>
      </c>
      <c r="C90" s="128">
        <f t="shared" si="4"/>
        <v>0</v>
      </c>
      <c r="D90" s="134"/>
      <c r="E90" s="285"/>
      <c r="F90" s="286">
        <f t="shared" si="5"/>
        <v>0</v>
      </c>
      <c r="G90" s="134"/>
      <c r="H90" s="135"/>
      <c r="I90" s="136">
        <f t="shared" si="6"/>
        <v>0</v>
      </c>
      <c r="J90" s="134"/>
      <c r="K90" s="135"/>
      <c r="L90" s="136">
        <f t="shared" si="7"/>
        <v>0</v>
      </c>
      <c r="M90" s="284"/>
      <c r="N90" s="285"/>
      <c r="O90" s="136">
        <f t="shared" si="8"/>
        <v>0</v>
      </c>
      <c r="P90" s="85"/>
    </row>
    <row r="91" spans="1:16" hidden="1" x14ac:dyDescent="0.25">
      <c r="A91" s="76">
        <v>2219</v>
      </c>
      <c r="B91" s="127" t="s">
        <v>107</v>
      </c>
      <c r="C91" s="128">
        <f t="shared" si="4"/>
        <v>0</v>
      </c>
      <c r="D91" s="134"/>
      <c r="E91" s="285"/>
      <c r="F91" s="286">
        <f t="shared" si="5"/>
        <v>0</v>
      </c>
      <c r="G91" s="134"/>
      <c r="H91" s="135"/>
      <c r="I91" s="136">
        <f t="shared" si="6"/>
        <v>0</v>
      </c>
      <c r="J91" s="134"/>
      <c r="K91" s="135"/>
      <c r="L91" s="136">
        <f t="shared" si="7"/>
        <v>0</v>
      </c>
      <c r="M91" s="284"/>
      <c r="N91" s="285"/>
      <c r="O91" s="136">
        <f t="shared" si="8"/>
        <v>0</v>
      </c>
      <c r="P91" s="85"/>
    </row>
    <row r="92" spans="1:16" ht="24" hidden="1" x14ac:dyDescent="0.25">
      <c r="A92" s="276">
        <v>2220</v>
      </c>
      <c r="B92" s="127" t="s">
        <v>108</v>
      </c>
      <c r="C92" s="128">
        <f t="shared" si="4"/>
        <v>0</v>
      </c>
      <c r="D92" s="277">
        <f>SUM(D93:D97)</f>
        <v>0</v>
      </c>
      <c r="E92" s="282">
        <f>SUM(E93:E97)</f>
        <v>0</v>
      </c>
      <c r="F92" s="286">
        <f t="shared" si="5"/>
        <v>0</v>
      </c>
      <c r="G92" s="277">
        <f>SUM(G93:G97)</f>
        <v>0</v>
      </c>
      <c r="H92" s="280">
        <f>SUM(H93:H97)</f>
        <v>0</v>
      </c>
      <c r="I92" s="136">
        <f t="shared" si="6"/>
        <v>0</v>
      </c>
      <c r="J92" s="277">
        <f>SUM(J93:J97)</f>
        <v>0</v>
      </c>
      <c r="K92" s="280">
        <f>SUM(K93:K97)</f>
        <v>0</v>
      </c>
      <c r="L92" s="136">
        <f t="shared" si="7"/>
        <v>0</v>
      </c>
      <c r="M92" s="281">
        <f>SUM(M93:M97)</f>
        <v>0</v>
      </c>
      <c r="N92" s="282">
        <f>SUM(N93:N97)</f>
        <v>0</v>
      </c>
      <c r="O92" s="136">
        <f t="shared" si="8"/>
        <v>0</v>
      </c>
      <c r="P92" s="85"/>
    </row>
    <row r="93" spans="1:16" hidden="1" x14ac:dyDescent="0.25">
      <c r="A93" s="76">
        <v>2221</v>
      </c>
      <c r="B93" s="127" t="s">
        <v>109</v>
      </c>
      <c r="C93" s="128">
        <f t="shared" si="4"/>
        <v>0</v>
      </c>
      <c r="D93" s="134"/>
      <c r="E93" s="285"/>
      <c r="F93" s="286">
        <f t="shared" si="5"/>
        <v>0</v>
      </c>
      <c r="G93" s="134"/>
      <c r="H93" s="135"/>
      <c r="I93" s="136">
        <f t="shared" si="6"/>
        <v>0</v>
      </c>
      <c r="J93" s="134"/>
      <c r="K93" s="135"/>
      <c r="L93" s="136">
        <f t="shared" si="7"/>
        <v>0</v>
      </c>
      <c r="M93" s="284"/>
      <c r="N93" s="285"/>
      <c r="O93" s="136">
        <f t="shared" si="8"/>
        <v>0</v>
      </c>
      <c r="P93" s="85"/>
    </row>
    <row r="94" spans="1:16" hidden="1" x14ac:dyDescent="0.25">
      <c r="A94" s="76">
        <v>2222</v>
      </c>
      <c r="B94" s="127" t="s">
        <v>110</v>
      </c>
      <c r="C94" s="128">
        <f t="shared" si="4"/>
        <v>0</v>
      </c>
      <c r="D94" s="134"/>
      <c r="E94" s="285"/>
      <c r="F94" s="286">
        <f t="shared" si="5"/>
        <v>0</v>
      </c>
      <c r="G94" s="134"/>
      <c r="H94" s="135"/>
      <c r="I94" s="136">
        <f t="shared" si="6"/>
        <v>0</v>
      </c>
      <c r="J94" s="134"/>
      <c r="K94" s="135"/>
      <c r="L94" s="136">
        <f t="shared" si="7"/>
        <v>0</v>
      </c>
      <c r="M94" s="284"/>
      <c r="N94" s="285"/>
      <c r="O94" s="136">
        <f t="shared" si="8"/>
        <v>0</v>
      </c>
      <c r="P94" s="85"/>
    </row>
    <row r="95" spans="1:16" hidden="1" x14ac:dyDescent="0.25">
      <c r="A95" s="76">
        <v>2223</v>
      </c>
      <c r="B95" s="127" t="s">
        <v>111</v>
      </c>
      <c r="C95" s="128">
        <f t="shared" si="4"/>
        <v>0</v>
      </c>
      <c r="D95" s="134"/>
      <c r="E95" s="285"/>
      <c r="F95" s="286">
        <f t="shared" si="5"/>
        <v>0</v>
      </c>
      <c r="G95" s="134"/>
      <c r="H95" s="135"/>
      <c r="I95" s="136">
        <f t="shared" si="6"/>
        <v>0</v>
      </c>
      <c r="J95" s="134"/>
      <c r="K95" s="135"/>
      <c r="L95" s="136">
        <f t="shared" si="7"/>
        <v>0</v>
      </c>
      <c r="M95" s="284"/>
      <c r="N95" s="285"/>
      <c r="O95" s="136">
        <f t="shared" si="8"/>
        <v>0</v>
      </c>
      <c r="P95" s="85"/>
    </row>
    <row r="96" spans="1:16" ht="48" hidden="1" x14ac:dyDescent="0.25">
      <c r="A96" s="76">
        <v>2224</v>
      </c>
      <c r="B96" s="127" t="s">
        <v>112</v>
      </c>
      <c r="C96" s="128">
        <f t="shared" si="4"/>
        <v>0</v>
      </c>
      <c r="D96" s="134"/>
      <c r="E96" s="285"/>
      <c r="F96" s="286">
        <f t="shared" si="5"/>
        <v>0</v>
      </c>
      <c r="G96" s="134"/>
      <c r="H96" s="135"/>
      <c r="I96" s="136">
        <f t="shared" si="6"/>
        <v>0</v>
      </c>
      <c r="J96" s="134"/>
      <c r="K96" s="135"/>
      <c r="L96" s="136">
        <f t="shared" si="7"/>
        <v>0</v>
      </c>
      <c r="M96" s="284"/>
      <c r="N96" s="285"/>
      <c r="O96" s="136">
        <f t="shared" si="8"/>
        <v>0</v>
      </c>
      <c r="P96" s="85"/>
    </row>
    <row r="97" spans="1:16" ht="24" hidden="1" x14ac:dyDescent="0.25">
      <c r="A97" s="76">
        <v>2229</v>
      </c>
      <c r="B97" s="127" t="s">
        <v>113</v>
      </c>
      <c r="C97" s="128">
        <f t="shared" si="4"/>
        <v>0</v>
      </c>
      <c r="D97" s="134"/>
      <c r="E97" s="285"/>
      <c r="F97" s="286">
        <f t="shared" si="5"/>
        <v>0</v>
      </c>
      <c r="G97" s="134"/>
      <c r="H97" s="135"/>
      <c r="I97" s="136">
        <f t="shared" si="6"/>
        <v>0</v>
      </c>
      <c r="J97" s="134"/>
      <c r="K97" s="135"/>
      <c r="L97" s="136">
        <f t="shared" si="7"/>
        <v>0</v>
      </c>
      <c r="M97" s="284"/>
      <c r="N97" s="285"/>
      <c r="O97" s="136">
        <f t="shared" si="8"/>
        <v>0</v>
      </c>
      <c r="P97" s="85"/>
    </row>
    <row r="98" spans="1:16" ht="36" hidden="1" x14ac:dyDescent="0.25">
      <c r="A98" s="276">
        <v>2230</v>
      </c>
      <c r="B98" s="127" t="s">
        <v>114</v>
      </c>
      <c r="C98" s="128">
        <f t="shared" si="4"/>
        <v>0</v>
      </c>
      <c r="D98" s="277">
        <f>SUM(D99:D105)</f>
        <v>0</v>
      </c>
      <c r="E98" s="282">
        <f>SUM(E99:E105)</f>
        <v>0</v>
      </c>
      <c r="F98" s="286">
        <f t="shared" si="5"/>
        <v>0</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row>
    <row r="99" spans="1:16" ht="24" hidden="1" x14ac:dyDescent="0.25">
      <c r="A99" s="76">
        <v>2231</v>
      </c>
      <c r="B99" s="127" t="s">
        <v>115</v>
      </c>
      <c r="C99" s="128">
        <f t="shared" si="4"/>
        <v>0</v>
      </c>
      <c r="D99" s="134"/>
      <c r="E99" s="285"/>
      <c r="F99" s="286">
        <f t="shared" si="5"/>
        <v>0</v>
      </c>
      <c r="G99" s="134"/>
      <c r="H99" s="135"/>
      <c r="I99" s="136">
        <f t="shared" si="6"/>
        <v>0</v>
      </c>
      <c r="J99" s="134"/>
      <c r="K99" s="135"/>
      <c r="L99" s="136">
        <f t="shared" si="7"/>
        <v>0</v>
      </c>
      <c r="M99" s="284"/>
      <c r="N99" s="285"/>
      <c r="O99" s="136">
        <f t="shared" si="8"/>
        <v>0</v>
      </c>
      <c r="P99" s="85"/>
    </row>
    <row r="100" spans="1:16" ht="36" hidden="1" x14ac:dyDescent="0.25">
      <c r="A100" s="76">
        <v>2232</v>
      </c>
      <c r="B100" s="127" t="s">
        <v>116</v>
      </c>
      <c r="C100" s="128">
        <f t="shared" si="4"/>
        <v>0</v>
      </c>
      <c r="D100" s="134"/>
      <c r="E100" s="285"/>
      <c r="F100" s="286">
        <f t="shared" si="5"/>
        <v>0</v>
      </c>
      <c r="G100" s="134"/>
      <c r="H100" s="135"/>
      <c r="I100" s="136">
        <f t="shared" si="6"/>
        <v>0</v>
      </c>
      <c r="J100" s="134"/>
      <c r="K100" s="135"/>
      <c r="L100" s="136">
        <f t="shared" si="7"/>
        <v>0</v>
      </c>
      <c r="M100" s="284"/>
      <c r="N100" s="285"/>
      <c r="O100" s="136">
        <f t="shared" si="8"/>
        <v>0</v>
      </c>
      <c r="P100" s="85"/>
    </row>
    <row r="101" spans="1:16" ht="24" hidden="1" x14ac:dyDescent="0.25">
      <c r="A101" s="66">
        <v>2233</v>
      </c>
      <c r="B101" s="116" t="s">
        <v>117</v>
      </c>
      <c r="C101" s="128">
        <f t="shared" si="4"/>
        <v>0</v>
      </c>
      <c r="D101" s="123"/>
      <c r="E101" s="262"/>
      <c r="F101" s="263">
        <f t="shared" si="5"/>
        <v>0</v>
      </c>
      <c r="G101" s="123"/>
      <c r="H101" s="124"/>
      <c r="I101" s="125">
        <f t="shared" si="6"/>
        <v>0</v>
      </c>
      <c r="J101" s="123"/>
      <c r="K101" s="124"/>
      <c r="L101" s="125">
        <f t="shared" si="7"/>
        <v>0</v>
      </c>
      <c r="M101" s="264"/>
      <c r="N101" s="262"/>
      <c r="O101" s="125">
        <f t="shared" si="8"/>
        <v>0</v>
      </c>
      <c r="P101" s="74"/>
    </row>
    <row r="102" spans="1:16" ht="36" hidden="1" x14ac:dyDescent="0.25">
      <c r="A102" s="76">
        <v>2234</v>
      </c>
      <c r="B102" s="127" t="s">
        <v>118</v>
      </c>
      <c r="C102" s="128">
        <f t="shared" si="4"/>
        <v>0</v>
      </c>
      <c r="D102" s="134"/>
      <c r="E102" s="285"/>
      <c r="F102" s="286">
        <f t="shared" si="5"/>
        <v>0</v>
      </c>
      <c r="G102" s="134"/>
      <c r="H102" s="135"/>
      <c r="I102" s="136">
        <f t="shared" si="6"/>
        <v>0</v>
      </c>
      <c r="J102" s="134"/>
      <c r="K102" s="135"/>
      <c r="L102" s="136">
        <f t="shared" si="7"/>
        <v>0</v>
      </c>
      <c r="M102" s="284"/>
      <c r="N102" s="285"/>
      <c r="O102" s="136">
        <f t="shared" si="8"/>
        <v>0</v>
      </c>
      <c r="P102" s="85"/>
    </row>
    <row r="103" spans="1:16" ht="24" hidden="1" x14ac:dyDescent="0.25">
      <c r="A103" s="76">
        <v>2235</v>
      </c>
      <c r="B103" s="127" t="s">
        <v>119</v>
      </c>
      <c r="C103" s="128">
        <f t="shared" si="4"/>
        <v>0</v>
      </c>
      <c r="D103" s="134"/>
      <c r="E103" s="285"/>
      <c r="F103" s="286">
        <f t="shared" si="5"/>
        <v>0</v>
      </c>
      <c r="G103" s="134"/>
      <c r="H103" s="135"/>
      <c r="I103" s="136">
        <f t="shared" si="6"/>
        <v>0</v>
      </c>
      <c r="J103" s="134"/>
      <c r="K103" s="135"/>
      <c r="L103" s="136">
        <f t="shared" si="7"/>
        <v>0</v>
      </c>
      <c r="M103" s="284"/>
      <c r="N103" s="285"/>
      <c r="O103" s="136">
        <f t="shared" si="8"/>
        <v>0</v>
      </c>
      <c r="P103" s="85"/>
    </row>
    <row r="104" spans="1:16" hidden="1" x14ac:dyDescent="0.25">
      <c r="A104" s="76">
        <v>2236</v>
      </c>
      <c r="B104" s="127" t="s">
        <v>120</v>
      </c>
      <c r="C104" s="128">
        <f t="shared" si="4"/>
        <v>0</v>
      </c>
      <c r="D104" s="134"/>
      <c r="E104" s="285"/>
      <c r="F104" s="286">
        <f t="shared" si="5"/>
        <v>0</v>
      </c>
      <c r="G104" s="134"/>
      <c r="H104" s="135"/>
      <c r="I104" s="136">
        <f t="shared" si="6"/>
        <v>0</v>
      </c>
      <c r="J104" s="134"/>
      <c r="K104" s="135"/>
      <c r="L104" s="136">
        <f t="shared" si="7"/>
        <v>0</v>
      </c>
      <c r="M104" s="284"/>
      <c r="N104" s="285"/>
      <c r="O104" s="136">
        <f t="shared" si="8"/>
        <v>0</v>
      </c>
      <c r="P104" s="85"/>
    </row>
    <row r="105" spans="1:16" ht="24" hidden="1" x14ac:dyDescent="0.25">
      <c r="A105" s="76">
        <v>2239</v>
      </c>
      <c r="B105" s="127" t="s">
        <v>121</v>
      </c>
      <c r="C105" s="128">
        <f t="shared" si="4"/>
        <v>0</v>
      </c>
      <c r="D105" s="134"/>
      <c r="E105" s="285"/>
      <c r="F105" s="286">
        <f t="shared" si="5"/>
        <v>0</v>
      </c>
      <c r="G105" s="134"/>
      <c r="H105" s="135"/>
      <c r="I105" s="136">
        <f t="shared" si="6"/>
        <v>0</v>
      </c>
      <c r="J105" s="134"/>
      <c r="K105" s="135"/>
      <c r="L105" s="136">
        <f t="shared" si="7"/>
        <v>0</v>
      </c>
      <c r="M105" s="284"/>
      <c r="N105" s="285"/>
      <c r="O105" s="136">
        <f t="shared" si="8"/>
        <v>0</v>
      </c>
      <c r="P105" s="85"/>
    </row>
    <row r="106" spans="1:16" ht="36" hidden="1" x14ac:dyDescent="0.25">
      <c r="A106" s="276">
        <v>2240</v>
      </c>
      <c r="B106" s="127" t="s">
        <v>122</v>
      </c>
      <c r="C106" s="128">
        <f t="shared" si="4"/>
        <v>0</v>
      </c>
      <c r="D106" s="277">
        <f>SUM(D107:D114)</f>
        <v>0</v>
      </c>
      <c r="E106" s="282">
        <f>SUM(E107:E114)</f>
        <v>0</v>
      </c>
      <c r="F106" s="286">
        <f t="shared" si="5"/>
        <v>0</v>
      </c>
      <c r="G106" s="277">
        <f>SUM(G107:G114)</f>
        <v>0</v>
      </c>
      <c r="H106" s="280">
        <f>SUM(H107:H114)</f>
        <v>0</v>
      </c>
      <c r="I106" s="136">
        <f t="shared" si="6"/>
        <v>0</v>
      </c>
      <c r="J106" s="277">
        <f>SUM(J107:J114)</f>
        <v>0</v>
      </c>
      <c r="K106" s="280">
        <f>SUM(K107:K114)</f>
        <v>0</v>
      </c>
      <c r="L106" s="136">
        <f t="shared" si="7"/>
        <v>0</v>
      </c>
      <c r="M106" s="281">
        <f>SUM(M107:M114)</f>
        <v>0</v>
      </c>
      <c r="N106" s="282">
        <f>SUM(N107:N114)</f>
        <v>0</v>
      </c>
      <c r="O106" s="136">
        <f t="shared" si="8"/>
        <v>0</v>
      </c>
      <c r="P106" s="85"/>
    </row>
    <row r="107" spans="1:16" hidden="1" x14ac:dyDescent="0.25">
      <c r="A107" s="76">
        <v>2241</v>
      </c>
      <c r="B107" s="127" t="s">
        <v>123</v>
      </c>
      <c r="C107" s="128">
        <f t="shared" si="4"/>
        <v>0</v>
      </c>
      <c r="D107" s="134"/>
      <c r="E107" s="285"/>
      <c r="F107" s="286">
        <f t="shared" si="5"/>
        <v>0</v>
      </c>
      <c r="G107" s="134"/>
      <c r="H107" s="135"/>
      <c r="I107" s="136">
        <f t="shared" si="6"/>
        <v>0</v>
      </c>
      <c r="J107" s="134"/>
      <c r="K107" s="135"/>
      <c r="L107" s="136">
        <f t="shared" si="7"/>
        <v>0</v>
      </c>
      <c r="M107" s="284"/>
      <c r="N107" s="285"/>
      <c r="O107" s="136">
        <f t="shared" si="8"/>
        <v>0</v>
      </c>
      <c r="P107" s="85"/>
    </row>
    <row r="108" spans="1:16" ht="24" hidden="1" x14ac:dyDescent="0.25">
      <c r="A108" s="76">
        <v>2242</v>
      </c>
      <c r="B108" s="127" t="s">
        <v>124</v>
      </c>
      <c r="C108" s="128">
        <f t="shared" si="4"/>
        <v>0</v>
      </c>
      <c r="D108" s="134"/>
      <c r="E108" s="285"/>
      <c r="F108" s="286">
        <f t="shared" si="5"/>
        <v>0</v>
      </c>
      <c r="G108" s="134"/>
      <c r="H108" s="135"/>
      <c r="I108" s="136">
        <f t="shared" si="6"/>
        <v>0</v>
      </c>
      <c r="J108" s="134"/>
      <c r="K108" s="135"/>
      <c r="L108" s="136">
        <f t="shared" si="7"/>
        <v>0</v>
      </c>
      <c r="M108" s="284"/>
      <c r="N108" s="285"/>
      <c r="O108" s="136">
        <f t="shared" si="8"/>
        <v>0</v>
      </c>
      <c r="P108" s="85"/>
    </row>
    <row r="109" spans="1:16" ht="24" hidden="1" x14ac:dyDescent="0.25">
      <c r="A109" s="76">
        <v>2243</v>
      </c>
      <c r="B109" s="127" t="s">
        <v>125</v>
      </c>
      <c r="C109" s="128">
        <f t="shared" si="4"/>
        <v>0</v>
      </c>
      <c r="D109" s="134"/>
      <c r="E109" s="285"/>
      <c r="F109" s="286">
        <f t="shared" si="5"/>
        <v>0</v>
      </c>
      <c r="G109" s="134"/>
      <c r="H109" s="135"/>
      <c r="I109" s="136">
        <f t="shared" si="6"/>
        <v>0</v>
      </c>
      <c r="J109" s="134"/>
      <c r="K109" s="135"/>
      <c r="L109" s="136">
        <f t="shared" si="7"/>
        <v>0</v>
      </c>
      <c r="M109" s="284"/>
      <c r="N109" s="285"/>
      <c r="O109" s="136">
        <f t="shared" si="8"/>
        <v>0</v>
      </c>
      <c r="P109" s="85"/>
    </row>
    <row r="110" spans="1:16" hidden="1" x14ac:dyDescent="0.25">
      <c r="A110" s="76">
        <v>2244</v>
      </c>
      <c r="B110" s="127" t="s">
        <v>126</v>
      </c>
      <c r="C110" s="128">
        <f t="shared" si="4"/>
        <v>0</v>
      </c>
      <c r="D110" s="134"/>
      <c r="E110" s="285"/>
      <c r="F110" s="286">
        <f t="shared" si="5"/>
        <v>0</v>
      </c>
      <c r="G110" s="134"/>
      <c r="H110" s="135"/>
      <c r="I110" s="136">
        <f t="shared" si="6"/>
        <v>0</v>
      </c>
      <c r="J110" s="134"/>
      <c r="K110" s="135"/>
      <c r="L110" s="136">
        <f t="shared" si="7"/>
        <v>0</v>
      </c>
      <c r="M110" s="284"/>
      <c r="N110" s="285"/>
      <c r="O110" s="136">
        <f t="shared" si="8"/>
        <v>0</v>
      </c>
      <c r="P110" s="85"/>
    </row>
    <row r="111" spans="1:16" ht="24" hidden="1" x14ac:dyDescent="0.25">
      <c r="A111" s="76">
        <v>2246</v>
      </c>
      <c r="B111" s="127" t="s">
        <v>127</v>
      </c>
      <c r="C111" s="128">
        <f t="shared" si="4"/>
        <v>0</v>
      </c>
      <c r="D111" s="134"/>
      <c r="E111" s="285"/>
      <c r="F111" s="286">
        <f t="shared" si="5"/>
        <v>0</v>
      </c>
      <c r="G111" s="134"/>
      <c r="H111" s="135"/>
      <c r="I111" s="136">
        <f t="shared" si="6"/>
        <v>0</v>
      </c>
      <c r="J111" s="134"/>
      <c r="K111" s="135"/>
      <c r="L111" s="136">
        <f t="shared" si="7"/>
        <v>0</v>
      </c>
      <c r="M111" s="284"/>
      <c r="N111" s="285"/>
      <c r="O111" s="136">
        <f t="shared" si="8"/>
        <v>0</v>
      </c>
      <c r="P111" s="85"/>
    </row>
    <row r="112" spans="1:16" hidden="1" x14ac:dyDescent="0.25">
      <c r="A112" s="76">
        <v>2247</v>
      </c>
      <c r="B112" s="127" t="s">
        <v>128</v>
      </c>
      <c r="C112" s="128">
        <f t="shared" si="4"/>
        <v>0</v>
      </c>
      <c r="D112" s="134"/>
      <c r="E112" s="285"/>
      <c r="F112" s="286">
        <f t="shared" si="5"/>
        <v>0</v>
      </c>
      <c r="G112" s="134"/>
      <c r="H112" s="135"/>
      <c r="I112" s="136">
        <f t="shared" si="6"/>
        <v>0</v>
      </c>
      <c r="J112" s="134"/>
      <c r="K112" s="135"/>
      <c r="L112" s="136">
        <f t="shared" si="7"/>
        <v>0</v>
      </c>
      <c r="M112" s="284"/>
      <c r="N112" s="285"/>
      <c r="O112" s="136">
        <f t="shared" si="8"/>
        <v>0</v>
      </c>
      <c r="P112" s="85"/>
    </row>
    <row r="113" spans="1:16" ht="24" hidden="1" x14ac:dyDescent="0.25">
      <c r="A113" s="76">
        <v>2248</v>
      </c>
      <c r="B113" s="127" t="s">
        <v>129</v>
      </c>
      <c r="C113" s="128">
        <f t="shared" si="4"/>
        <v>0</v>
      </c>
      <c r="D113" s="134"/>
      <c r="E113" s="285"/>
      <c r="F113" s="286">
        <f t="shared" si="5"/>
        <v>0</v>
      </c>
      <c r="G113" s="134"/>
      <c r="H113" s="135"/>
      <c r="I113" s="136">
        <f t="shared" si="6"/>
        <v>0</v>
      </c>
      <c r="J113" s="134"/>
      <c r="K113" s="135"/>
      <c r="L113" s="136">
        <f t="shared" si="7"/>
        <v>0</v>
      </c>
      <c r="M113" s="284"/>
      <c r="N113" s="285"/>
      <c r="O113" s="136">
        <f t="shared" si="8"/>
        <v>0</v>
      </c>
      <c r="P113" s="85"/>
    </row>
    <row r="114" spans="1:16" ht="24" hidden="1" x14ac:dyDescent="0.25">
      <c r="A114" s="76">
        <v>2249</v>
      </c>
      <c r="B114" s="127" t="s">
        <v>130</v>
      </c>
      <c r="C114" s="128">
        <f t="shared" si="4"/>
        <v>0</v>
      </c>
      <c r="D114" s="134"/>
      <c r="E114" s="285"/>
      <c r="F114" s="286">
        <f t="shared" si="5"/>
        <v>0</v>
      </c>
      <c r="G114" s="134"/>
      <c r="H114" s="135"/>
      <c r="I114" s="136">
        <f t="shared" si="6"/>
        <v>0</v>
      </c>
      <c r="J114" s="134"/>
      <c r="K114" s="135"/>
      <c r="L114" s="136">
        <f t="shared" si="7"/>
        <v>0</v>
      </c>
      <c r="M114" s="284"/>
      <c r="N114" s="285"/>
      <c r="O114" s="136">
        <f t="shared" si="8"/>
        <v>0</v>
      </c>
      <c r="P114" s="85"/>
    </row>
    <row r="115" spans="1:16" hidden="1" x14ac:dyDescent="0.25">
      <c r="A115" s="276">
        <v>2250</v>
      </c>
      <c r="B115" s="127" t="s">
        <v>131</v>
      </c>
      <c r="C115" s="128">
        <f t="shared" si="4"/>
        <v>0</v>
      </c>
      <c r="D115" s="277">
        <f>SUM(D116:D118)</f>
        <v>0</v>
      </c>
      <c r="E115" s="282">
        <f>SUM(E116:E118)</f>
        <v>0</v>
      </c>
      <c r="F115" s="286">
        <f t="shared" si="5"/>
        <v>0</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row>
    <row r="116" spans="1:16" hidden="1" x14ac:dyDescent="0.25">
      <c r="A116" s="76">
        <v>2251</v>
      </c>
      <c r="B116" s="127" t="s">
        <v>132</v>
      </c>
      <c r="C116" s="128">
        <f t="shared" si="4"/>
        <v>0</v>
      </c>
      <c r="D116" s="134"/>
      <c r="E116" s="285"/>
      <c r="F116" s="286">
        <f t="shared" si="5"/>
        <v>0</v>
      </c>
      <c r="G116" s="134"/>
      <c r="H116" s="135"/>
      <c r="I116" s="136">
        <f t="shared" si="6"/>
        <v>0</v>
      </c>
      <c r="J116" s="134"/>
      <c r="K116" s="135"/>
      <c r="L116" s="136">
        <f t="shared" si="7"/>
        <v>0</v>
      </c>
      <c r="M116" s="284"/>
      <c r="N116" s="285"/>
      <c r="O116" s="136">
        <f t="shared" si="8"/>
        <v>0</v>
      </c>
      <c r="P116" s="85"/>
    </row>
    <row r="117" spans="1:16" ht="24" hidden="1" x14ac:dyDescent="0.25">
      <c r="A117" s="76">
        <v>2252</v>
      </c>
      <c r="B117" s="127" t="s">
        <v>133</v>
      </c>
      <c r="C117" s="128">
        <f t="shared" ref="C117:C181" si="9">F117+I117+L117+O117</f>
        <v>0</v>
      </c>
      <c r="D117" s="134"/>
      <c r="E117" s="285"/>
      <c r="F117" s="286">
        <f t="shared" si="5"/>
        <v>0</v>
      </c>
      <c r="G117" s="134"/>
      <c r="H117" s="135"/>
      <c r="I117" s="136">
        <f t="shared" si="6"/>
        <v>0</v>
      </c>
      <c r="J117" s="134"/>
      <c r="K117" s="135"/>
      <c r="L117" s="136">
        <f t="shared" si="7"/>
        <v>0</v>
      </c>
      <c r="M117" s="284"/>
      <c r="N117" s="285"/>
      <c r="O117" s="136">
        <f t="shared" si="8"/>
        <v>0</v>
      </c>
      <c r="P117" s="85"/>
    </row>
    <row r="118" spans="1:16" ht="24" hidden="1" x14ac:dyDescent="0.25">
      <c r="A118" s="76">
        <v>2259</v>
      </c>
      <c r="B118" s="127" t="s">
        <v>134</v>
      </c>
      <c r="C118" s="128">
        <f t="shared" si="9"/>
        <v>0</v>
      </c>
      <c r="D118" s="134"/>
      <c r="E118" s="285"/>
      <c r="F118" s="286">
        <f t="shared" ref="F118:F182" si="10">D118+E118</f>
        <v>0</v>
      </c>
      <c r="G118" s="134"/>
      <c r="H118" s="135"/>
      <c r="I118" s="136">
        <f t="shared" ref="I118:I182" si="11">G118+H118</f>
        <v>0</v>
      </c>
      <c r="J118" s="134"/>
      <c r="K118" s="135"/>
      <c r="L118" s="136">
        <f t="shared" ref="L118:L182" si="12">J118+K118</f>
        <v>0</v>
      </c>
      <c r="M118" s="284"/>
      <c r="N118" s="285"/>
      <c r="O118" s="136">
        <f t="shared" ref="O118:O182" si="13">M118+N118</f>
        <v>0</v>
      </c>
      <c r="P118" s="85"/>
    </row>
    <row r="119" spans="1:16" hidden="1" x14ac:dyDescent="0.25">
      <c r="A119" s="276">
        <v>2260</v>
      </c>
      <c r="B119" s="127" t="s">
        <v>135</v>
      </c>
      <c r="C119" s="128">
        <f t="shared" si="9"/>
        <v>0</v>
      </c>
      <c r="D119" s="277">
        <f>SUM(D120:D124)</f>
        <v>0</v>
      </c>
      <c r="E119" s="282">
        <f>SUM(E120:E124)</f>
        <v>0</v>
      </c>
      <c r="F119" s="286">
        <f t="shared" si="10"/>
        <v>0</v>
      </c>
      <c r="G119" s="277">
        <f>SUM(G120:G124)</f>
        <v>0</v>
      </c>
      <c r="H119" s="280">
        <f>SUM(H120:H124)</f>
        <v>0</v>
      </c>
      <c r="I119" s="136">
        <f t="shared" si="11"/>
        <v>0</v>
      </c>
      <c r="J119" s="277">
        <f>SUM(J120:J124)</f>
        <v>0</v>
      </c>
      <c r="K119" s="280">
        <f>SUM(K120:K124)</f>
        <v>0</v>
      </c>
      <c r="L119" s="136">
        <f t="shared" si="12"/>
        <v>0</v>
      </c>
      <c r="M119" s="281">
        <f>SUM(M120:M124)</f>
        <v>0</v>
      </c>
      <c r="N119" s="282">
        <f>SUM(N120:N124)</f>
        <v>0</v>
      </c>
      <c r="O119" s="136">
        <f t="shared" si="13"/>
        <v>0</v>
      </c>
      <c r="P119" s="85"/>
    </row>
    <row r="120" spans="1:16" hidden="1" x14ac:dyDescent="0.25">
      <c r="A120" s="76">
        <v>2261</v>
      </c>
      <c r="B120" s="127" t="s">
        <v>136</v>
      </c>
      <c r="C120" s="128">
        <f t="shared" si="9"/>
        <v>0</v>
      </c>
      <c r="D120" s="134"/>
      <c r="E120" s="285"/>
      <c r="F120" s="286">
        <f t="shared" si="10"/>
        <v>0</v>
      </c>
      <c r="G120" s="134"/>
      <c r="H120" s="135"/>
      <c r="I120" s="136">
        <f t="shared" si="11"/>
        <v>0</v>
      </c>
      <c r="J120" s="134"/>
      <c r="K120" s="135"/>
      <c r="L120" s="136">
        <f t="shared" si="12"/>
        <v>0</v>
      </c>
      <c r="M120" s="284"/>
      <c r="N120" s="285"/>
      <c r="O120" s="136">
        <f t="shared" si="13"/>
        <v>0</v>
      </c>
      <c r="P120" s="85"/>
    </row>
    <row r="121" spans="1:16" hidden="1" x14ac:dyDescent="0.25">
      <c r="A121" s="76">
        <v>2262</v>
      </c>
      <c r="B121" s="127" t="s">
        <v>137</v>
      </c>
      <c r="C121" s="128">
        <f t="shared" si="9"/>
        <v>0</v>
      </c>
      <c r="D121" s="134"/>
      <c r="E121" s="285"/>
      <c r="F121" s="286">
        <f t="shared" si="10"/>
        <v>0</v>
      </c>
      <c r="G121" s="134"/>
      <c r="H121" s="135"/>
      <c r="I121" s="136">
        <f t="shared" si="11"/>
        <v>0</v>
      </c>
      <c r="J121" s="134"/>
      <c r="K121" s="135"/>
      <c r="L121" s="136">
        <f t="shared" si="12"/>
        <v>0</v>
      </c>
      <c r="M121" s="284"/>
      <c r="N121" s="285"/>
      <c r="O121" s="136">
        <f t="shared" si="13"/>
        <v>0</v>
      </c>
      <c r="P121" s="85"/>
    </row>
    <row r="122" spans="1:16" hidden="1" x14ac:dyDescent="0.25">
      <c r="A122" s="76">
        <v>2263</v>
      </c>
      <c r="B122" s="127" t="s">
        <v>138</v>
      </c>
      <c r="C122" s="128">
        <f t="shared" si="9"/>
        <v>0</v>
      </c>
      <c r="D122" s="134"/>
      <c r="E122" s="285"/>
      <c r="F122" s="286">
        <f t="shared" si="10"/>
        <v>0</v>
      </c>
      <c r="G122" s="134"/>
      <c r="H122" s="135"/>
      <c r="I122" s="136">
        <f t="shared" si="11"/>
        <v>0</v>
      </c>
      <c r="J122" s="134"/>
      <c r="K122" s="135"/>
      <c r="L122" s="136">
        <f t="shared" si="12"/>
        <v>0</v>
      </c>
      <c r="M122" s="284"/>
      <c r="N122" s="285"/>
      <c r="O122" s="136">
        <f t="shared" si="13"/>
        <v>0</v>
      </c>
      <c r="P122" s="85"/>
    </row>
    <row r="123" spans="1:16" ht="24" hidden="1" x14ac:dyDescent="0.25">
      <c r="A123" s="76">
        <v>2264</v>
      </c>
      <c r="B123" s="127" t="s">
        <v>139</v>
      </c>
      <c r="C123" s="128">
        <f t="shared" si="9"/>
        <v>0</v>
      </c>
      <c r="D123" s="134"/>
      <c r="E123" s="285"/>
      <c r="F123" s="286">
        <f t="shared" si="10"/>
        <v>0</v>
      </c>
      <c r="G123" s="134"/>
      <c r="H123" s="135"/>
      <c r="I123" s="136">
        <f t="shared" si="11"/>
        <v>0</v>
      </c>
      <c r="J123" s="134"/>
      <c r="K123" s="135"/>
      <c r="L123" s="136">
        <f t="shared" si="12"/>
        <v>0</v>
      </c>
      <c r="M123" s="284"/>
      <c r="N123" s="285"/>
      <c r="O123" s="136">
        <f t="shared" si="13"/>
        <v>0</v>
      </c>
      <c r="P123" s="85"/>
    </row>
    <row r="124" spans="1:16" hidden="1" x14ac:dyDescent="0.25">
      <c r="A124" s="76">
        <v>2269</v>
      </c>
      <c r="B124" s="127" t="s">
        <v>140</v>
      </c>
      <c r="C124" s="128">
        <f t="shared" si="9"/>
        <v>0</v>
      </c>
      <c r="D124" s="134"/>
      <c r="E124" s="285"/>
      <c r="F124" s="286">
        <f t="shared" si="10"/>
        <v>0</v>
      </c>
      <c r="G124" s="134"/>
      <c r="H124" s="135"/>
      <c r="I124" s="136">
        <f t="shared" si="11"/>
        <v>0</v>
      </c>
      <c r="J124" s="134"/>
      <c r="K124" s="135"/>
      <c r="L124" s="136">
        <f t="shared" si="12"/>
        <v>0</v>
      </c>
      <c r="M124" s="284"/>
      <c r="N124" s="285"/>
      <c r="O124" s="136">
        <f t="shared" si="13"/>
        <v>0</v>
      </c>
      <c r="P124" s="85"/>
    </row>
    <row r="125" spans="1:16" hidden="1" x14ac:dyDescent="0.25">
      <c r="A125" s="276">
        <v>2270</v>
      </c>
      <c r="B125" s="127" t="s">
        <v>141</v>
      </c>
      <c r="C125" s="128">
        <f t="shared" si="9"/>
        <v>0</v>
      </c>
      <c r="D125" s="277">
        <f>SUM(D126:D130)</f>
        <v>0</v>
      </c>
      <c r="E125" s="282">
        <f>SUM(E126:E130)</f>
        <v>0</v>
      </c>
      <c r="F125" s="286">
        <f t="shared" si="10"/>
        <v>0</v>
      </c>
      <c r="G125" s="277">
        <f>SUM(G126:G130)</f>
        <v>0</v>
      </c>
      <c r="H125" s="280">
        <f>SUM(H126:H130)</f>
        <v>0</v>
      </c>
      <c r="I125" s="136">
        <f t="shared" si="11"/>
        <v>0</v>
      </c>
      <c r="J125" s="277">
        <f>SUM(J126:J130)</f>
        <v>0</v>
      </c>
      <c r="K125" s="280">
        <f>SUM(K126:K130)</f>
        <v>0</v>
      </c>
      <c r="L125" s="136">
        <f t="shared" si="12"/>
        <v>0</v>
      </c>
      <c r="M125" s="281">
        <f>SUM(M126:M130)</f>
        <v>0</v>
      </c>
      <c r="N125" s="282">
        <f>SUM(N126:N130)</f>
        <v>0</v>
      </c>
      <c r="O125" s="136">
        <f t="shared" si="13"/>
        <v>0</v>
      </c>
      <c r="P125" s="85"/>
    </row>
    <row r="126" spans="1:16" hidden="1" x14ac:dyDescent="0.25">
      <c r="A126" s="76">
        <v>2272</v>
      </c>
      <c r="B126" s="5" t="s">
        <v>142</v>
      </c>
      <c r="C126" s="128">
        <f t="shared" si="9"/>
        <v>0</v>
      </c>
      <c r="D126" s="134"/>
      <c r="E126" s="285"/>
      <c r="F126" s="286">
        <f t="shared" si="10"/>
        <v>0</v>
      </c>
      <c r="G126" s="134"/>
      <c r="H126" s="135"/>
      <c r="I126" s="136">
        <f t="shared" si="11"/>
        <v>0</v>
      </c>
      <c r="J126" s="134"/>
      <c r="K126" s="135"/>
      <c r="L126" s="136">
        <f t="shared" si="12"/>
        <v>0</v>
      </c>
      <c r="M126" s="284"/>
      <c r="N126" s="285"/>
      <c r="O126" s="136">
        <f t="shared" si="13"/>
        <v>0</v>
      </c>
      <c r="P126" s="85"/>
    </row>
    <row r="127" spans="1:16" ht="24" hidden="1" x14ac:dyDescent="0.25">
      <c r="A127" s="76">
        <v>2275</v>
      </c>
      <c r="B127" s="127" t="s">
        <v>143</v>
      </c>
      <c r="C127" s="128">
        <f t="shared" si="9"/>
        <v>0</v>
      </c>
      <c r="D127" s="134"/>
      <c r="E127" s="285"/>
      <c r="F127" s="286">
        <f t="shared" si="10"/>
        <v>0</v>
      </c>
      <c r="G127" s="134"/>
      <c r="H127" s="135"/>
      <c r="I127" s="136">
        <f t="shared" si="11"/>
        <v>0</v>
      </c>
      <c r="J127" s="134"/>
      <c r="K127" s="135"/>
      <c r="L127" s="136">
        <f t="shared" si="12"/>
        <v>0</v>
      </c>
      <c r="M127" s="284"/>
      <c r="N127" s="285"/>
      <c r="O127" s="136">
        <f t="shared" si="13"/>
        <v>0</v>
      </c>
      <c r="P127" s="85"/>
    </row>
    <row r="128" spans="1:16" ht="36" hidden="1" x14ac:dyDescent="0.25">
      <c r="A128" s="76">
        <v>2276</v>
      </c>
      <c r="B128" s="127" t="s">
        <v>144</v>
      </c>
      <c r="C128" s="128">
        <f t="shared" si="9"/>
        <v>0</v>
      </c>
      <c r="D128" s="134"/>
      <c r="E128" s="285"/>
      <c r="F128" s="286">
        <f t="shared" si="10"/>
        <v>0</v>
      </c>
      <c r="G128" s="134"/>
      <c r="H128" s="135"/>
      <c r="I128" s="136">
        <f t="shared" si="11"/>
        <v>0</v>
      </c>
      <c r="J128" s="134"/>
      <c r="K128" s="135"/>
      <c r="L128" s="136">
        <f t="shared" si="12"/>
        <v>0</v>
      </c>
      <c r="M128" s="284"/>
      <c r="N128" s="285"/>
      <c r="O128" s="136">
        <f t="shared" si="13"/>
        <v>0</v>
      </c>
      <c r="P128" s="85"/>
    </row>
    <row r="129" spans="1:16" ht="24" hidden="1" x14ac:dyDescent="0.25">
      <c r="A129" s="76">
        <v>2278</v>
      </c>
      <c r="B129" s="127" t="s">
        <v>145</v>
      </c>
      <c r="C129" s="128">
        <f t="shared" si="9"/>
        <v>0</v>
      </c>
      <c r="D129" s="134"/>
      <c r="E129" s="285"/>
      <c r="F129" s="286">
        <f t="shared" si="10"/>
        <v>0</v>
      </c>
      <c r="G129" s="134"/>
      <c r="H129" s="135"/>
      <c r="I129" s="136">
        <f t="shared" si="11"/>
        <v>0</v>
      </c>
      <c r="J129" s="134"/>
      <c r="K129" s="135"/>
      <c r="L129" s="136">
        <f t="shared" si="12"/>
        <v>0</v>
      </c>
      <c r="M129" s="284"/>
      <c r="N129" s="285"/>
      <c r="O129" s="136">
        <f t="shared" si="13"/>
        <v>0</v>
      </c>
      <c r="P129" s="85"/>
    </row>
    <row r="130" spans="1:16" ht="24" hidden="1" x14ac:dyDescent="0.25">
      <c r="A130" s="76">
        <v>2279</v>
      </c>
      <c r="B130" s="127" t="s">
        <v>146</v>
      </c>
      <c r="C130" s="128">
        <f t="shared" si="9"/>
        <v>0</v>
      </c>
      <c r="D130" s="134"/>
      <c r="E130" s="285"/>
      <c r="F130" s="286">
        <f t="shared" si="10"/>
        <v>0</v>
      </c>
      <c r="G130" s="134"/>
      <c r="H130" s="135"/>
      <c r="I130" s="136">
        <f t="shared" si="11"/>
        <v>0</v>
      </c>
      <c r="J130" s="134"/>
      <c r="K130" s="135"/>
      <c r="L130" s="136">
        <f t="shared" si="12"/>
        <v>0</v>
      </c>
      <c r="M130" s="284"/>
      <c r="N130" s="285"/>
      <c r="O130" s="136">
        <f t="shared" si="13"/>
        <v>0</v>
      </c>
      <c r="P130" s="85"/>
    </row>
    <row r="131" spans="1:16" ht="24" hidden="1" x14ac:dyDescent="0.25">
      <c r="A131" s="609">
        <v>2280</v>
      </c>
      <c r="B131" s="116" t="s">
        <v>147</v>
      </c>
      <c r="C131" s="128">
        <f t="shared" si="9"/>
        <v>0</v>
      </c>
      <c r="D131" s="297">
        <f t="shared" ref="D131:N131" si="14">SUM(D132)</f>
        <v>0</v>
      </c>
      <c r="E131" s="301">
        <f t="shared" si="14"/>
        <v>0</v>
      </c>
      <c r="F131" s="263">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row>
    <row r="132" spans="1:16" ht="24" hidden="1" x14ac:dyDescent="0.25">
      <c r="A132" s="76">
        <v>2283</v>
      </c>
      <c r="B132" s="127" t="s">
        <v>148</v>
      </c>
      <c r="C132" s="128">
        <f t="shared" si="9"/>
        <v>0</v>
      </c>
      <c r="D132" s="134"/>
      <c r="E132" s="285"/>
      <c r="F132" s="286">
        <f t="shared" si="10"/>
        <v>0</v>
      </c>
      <c r="G132" s="134"/>
      <c r="H132" s="135"/>
      <c r="I132" s="136">
        <f t="shared" si="11"/>
        <v>0</v>
      </c>
      <c r="J132" s="134"/>
      <c r="K132" s="135"/>
      <c r="L132" s="136">
        <f t="shared" si="12"/>
        <v>0</v>
      </c>
      <c r="M132" s="284"/>
      <c r="N132" s="285"/>
      <c r="O132" s="136">
        <f t="shared" si="13"/>
        <v>0</v>
      </c>
      <c r="P132" s="85"/>
    </row>
    <row r="133" spans="1:16" ht="36" hidden="1" x14ac:dyDescent="0.25">
      <c r="A133" s="99">
        <v>2300</v>
      </c>
      <c r="B133" s="247" t="s">
        <v>149</v>
      </c>
      <c r="C133" s="100">
        <f t="shared" si="9"/>
        <v>0</v>
      </c>
      <c r="D133" s="112">
        <f>SUM(D134,D139,D143,D144,D147,D154,D162,D163,D166)</f>
        <v>0</v>
      </c>
      <c r="E133" s="293">
        <f>SUM(E134,E139,E143,E144,E147,E154,E162,E163,E166)</f>
        <v>0</v>
      </c>
      <c r="F133" s="313">
        <f t="shared" si="10"/>
        <v>0</v>
      </c>
      <c r="G133" s="112">
        <f>SUM(G134,G139,G143,G144,G147,G154,G162,G163,G166)</f>
        <v>0</v>
      </c>
      <c r="H133" s="113">
        <f>SUM(H134,H139,H143,H144,H147,H154,H162,H163,H166)</f>
        <v>0</v>
      </c>
      <c r="I133" s="114">
        <f t="shared" si="11"/>
        <v>0</v>
      </c>
      <c r="J133" s="112">
        <f>SUM(J134,J139,J143,J144,J147,J154,J162,J163,J166)</f>
        <v>0</v>
      </c>
      <c r="K133" s="113">
        <f>SUM(K134,K139,K143,K144,K147,K154,K162,K163,K166)</f>
        <v>0</v>
      </c>
      <c r="L133" s="114">
        <f t="shared" si="12"/>
        <v>0</v>
      </c>
      <c r="M133" s="292">
        <f>SUM(M134,M139,M143,M144,M147,M154,M162,M163,M166)</f>
        <v>0</v>
      </c>
      <c r="N133" s="293">
        <f>SUM(N134,N139,N143,N144,N147,N154,N162,N163,N166)</f>
        <v>0</v>
      </c>
      <c r="O133" s="114">
        <f t="shared" si="13"/>
        <v>0</v>
      </c>
      <c r="P133" s="109"/>
    </row>
    <row r="134" spans="1:16" ht="24" hidden="1" x14ac:dyDescent="0.25">
      <c r="A134" s="609">
        <v>2310</v>
      </c>
      <c r="B134" s="116" t="s">
        <v>150</v>
      </c>
      <c r="C134" s="117">
        <f t="shared" si="9"/>
        <v>0</v>
      </c>
      <c r="D134" s="308">
        <f>SUM(D135:D138)</f>
        <v>0</v>
      </c>
      <c r="E134" s="299">
        <f>SUM(E135:E138)</f>
        <v>0</v>
      </c>
      <c r="F134" s="263">
        <f t="shared" si="10"/>
        <v>0</v>
      </c>
      <c r="G134" s="297">
        <f>SUM(G135:G138)</f>
        <v>0</v>
      </c>
      <c r="H134" s="299">
        <f>SUM(H135:H138)</f>
        <v>0</v>
      </c>
      <c r="I134" s="125">
        <f t="shared" si="11"/>
        <v>0</v>
      </c>
      <c r="J134" s="297">
        <f>SUM(J135:J138)</f>
        <v>0</v>
      </c>
      <c r="K134" s="299">
        <f>SUM(K135:K138)</f>
        <v>0</v>
      </c>
      <c r="L134" s="125">
        <f t="shared" si="12"/>
        <v>0</v>
      </c>
      <c r="M134" s="300">
        <f>SUM(M135:M138)</f>
        <v>0</v>
      </c>
      <c r="N134" s="301">
        <f>SUM(N135:N138)</f>
        <v>0</v>
      </c>
      <c r="O134" s="125">
        <f t="shared" si="13"/>
        <v>0</v>
      </c>
      <c r="P134" s="74"/>
    </row>
    <row r="135" spans="1:16" hidden="1" x14ac:dyDescent="0.25">
      <c r="A135" s="76">
        <v>2311</v>
      </c>
      <c r="B135" s="127" t="s">
        <v>151</v>
      </c>
      <c r="C135" s="128">
        <f t="shared" si="9"/>
        <v>0</v>
      </c>
      <c r="D135" s="134"/>
      <c r="E135" s="285"/>
      <c r="F135" s="286">
        <f t="shared" si="10"/>
        <v>0</v>
      </c>
      <c r="G135" s="134"/>
      <c r="H135" s="135"/>
      <c r="I135" s="136">
        <f t="shared" si="11"/>
        <v>0</v>
      </c>
      <c r="J135" s="134"/>
      <c r="K135" s="135"/>
      <c r="L135" s="136">
        <f t="shared" si="12"/>
        <v>0</v>
      </c>
      <c r="M135" s="284"/>
      <c r="N135" s="285"/>
      <c r="O135" s="136">
        <f t="shared" si="13"/>
        <v>0</v>
      </c>
      <c r="P135" s="85"/>
    </row>
    <row r="136" spans="1:16" hidden="1" x14ac:dyDescent="0.25">
      <c r="A136" s="76">
        <v>2312</v>
      </c>
      <c r="B136" s="127" t="s">
        <v>152</v>
      </c>
      <c r="C136" s="128">
        <f t="shared" si="9"/>
        <v>0</v>
      </c>
      <c r="D136" s="134"/>
      <c r="E136" s="285"/>
      <c r="F136" s="286">
        <f t="shared" si="10"/>
        <v>0</v>
      </c>
      <c r="G136" s="134"/>
      <c r="H136" s="135"/>
      <c r="I136" s="136">
        <f t="shared" si="11"/>
        <v>0</v>
      </c>
      <c r="J136" s="134"/>
      <c r="K136" s="135"/>
      <c r="L136" s="136">
        <f t="shared" si="12"/>
        <v>0</v>
      </c>
      <c r="M136" s="284"/>
      <c r="N136" s="285"/>
      <c r="O136" s="136">
        <f t="shared" si="13"/>
        <v>0</v>
      </c>
      <c r="P136" s="85"/>
    </row>
    <row r="137" spans="1:16" hidden="1" x14ac:dyDescent="0.25">
      <c r="A137" s="76">
        <v>2313</v>
      </c>
      <c r="B137" s="127" t="s">
        <v>153</v>
      </c>
      <c r="C137" s="128">
        <f t="shared" si="9"/>
        <v>0</v>
      </c>
      <c r="D137" s="134"/>
      <c r="E137" s="285"/>
      <c r="F137" s="286">
        <f t="shared" si="10"/>
        <v>0</v>
      </c>
      <c r="G137" s="134"/>
      <c r="H137" s="135"/>
      <c r="I137" s="136">
        <f t="shared" si="11"/>
        <v>0</v>
      </c>
      <c r="J137" s="134"/>
      <c r="K137" s="135"/>
      <c r="L137" s="136">
        <f t="shared" si="12"/>
        <v>0</v>
      </c>
      <c r="M137" s="284"/>
      <c r="N137" s="285"/>
      <c r="O137" s="136">
        <f t="shared" si="13"/>
        <v>0</v>
      </c>
      <c r="P137" s="85"/>
    </row>
    <row r="138" spans="1:16" ht="36" hidden="1" x14ac:dyDescent="0.25">
      <c r="A138" s="76">
        <v>2314</v>
      </c>
      <c r="B138" s="127" t="s">
        <v>154</v>
      </c>
      <c r="C138" s="128">
        <f t="shared" si="9"/>
        <v>0</v>
      </c>
      <c r="D138" s="134"/>
      <c r="E138" s="285"/>
      <c r="F138" s="286">
        <f t="shared" si="10"/>
        <v>0</v>
      </c>
      <c r="G138" s="134"/>
      <c r="H138" s="135"/>
      <c r="I138" s="136">
        <f t="shared" si="11"/>
        <v>0</v>
      </c>
      <c r="J138" s="134"/>
      <c r="K138" s="135"/>
      <c r="L138" s="136">
        <f t="shared" si="12"/>
        <v>0</v>
      </c>
      <c r="M138" s="284"/>
      <c r="N138" s="285"/>
      <c r="O138" s="136">
        <f t="shared" si="13"/>
        <v>0</v>
      </c>
      <c r="P138" s="85"/>
    </row>
    <row r="139" spans="1:16" hidden="1" x14ac:dyDescent="0.25">
      <c r="A139" s="276">
        <v>2320</v>
      </c>
      <c r="B139" s="127" t="s">
        <v>155</v>
      </c>
      <c r="C139" s="128">
        <f t="shared" si="9"/>
        <v>0</v>
      </c>
      <c r="D139" s="277">
        <f>SUM(D140:D142)</f>
        <v>0</v>
      </c>
      <c r="E139" s="282">
        <f>SUM(E140:E142)</f>
        <v>0</v>
      </c>
      <c r="F139" s="286">
        <f t="shared" si="10"/>
        <v>0</v>
      </c>
      <c r="G139" s="277">
        <f>SUM(G140:G142)</f>
        <v>0</v>
      </c>
      <c r="H139" s="280">
        <f>SUM(H140:H142)</f>
        <v>0</v>
      </c>
      <c r="I139" s="136">
        <f t="shared" si="11"/>
        <v>0</v>
      </c>
      <c r="J139" s="277">
        <f>SUM(J140:J142)</f>
        <v>0</v>
      </c>
      <c r="K139" s="280">
        <f>SUM(K140:K142)</f>
        <v>0</v>
      </c>
      <c r="L139" s="136">
        <f t="shared" si="12"/>
        <v>0</v>
      </c>
      <c r="M139" s="281">
        <f>SUM(M140:M142)</f>
        <v>0</v>
      </c>
      <c r="N139" s="282">
        <f>SUM(N140:N142)</f>
        <v>0</v>
      </c>
      <c r="O139" s="136">
        <f t="shared" si="13"/>
        <v>0</v>
      </c>
      <c r="P139" s="85"/>
    </row>
    <row r="140" spans="1:16" hidden="1" x14ac:dyDescent="0.25">
      <c r="A140" s="76">
        <v>2321</v>
      </c>
      <c r="B140" s="127" t="s">
        <v>156</v>
      </c>
      <c r="C140" s="128">
        <f t="shared" si="9"/>
        <v>0</v>
      </c>
      <c r="D140" s="134"/>
      <c r="E140" s="285"/>
      <c r="F140" s="286">
        <f t="shared" si="10"/>
        <v>0</v>
      </c>
      <c r="G140" s="134"/>
      <c r="H140" s="135"/>
      <c r="I140" s="136">
        <f t="shared" si="11"/>
        <v>0</v>
      </c>
      <c r="J140" s="134"/>
      <c r="K140" s="135"/>
      <c r="L140" s="136">
        <f t="shared" si="12"/>
        <v>0</v>
      </c>
      <c r="M140" s="284"/>
      <c r="N140" s="285"/>
      <c r="O140" s="136">
        <f t="shared" si="13"/>
        <v>0</v>
      </c>
      <c r="P140" s="85"/>
    </row>
    <row r="141" spans="1:16" hidden="1" x14ac:dyDescent="0.25">
      <c r="A141" s="76">
        <v>2322</v>
      </c>
      <c r="B141" s="127" t="s">
        <v>157</v>
      </c>
      <c r="C141" s="128">
        <f t="shared" si="9"/>
        <v>0</v>
      </c>
      <c r="D141" s="134"/>
      <c r="E141" s="285"/>
      <c r="F141" s="286">
        <f t="shared" si="10"/>
        <v>0</v>
      </c>
      <c r="G141" s="134"/>
      <c r="H141" s="135"/>
      <c r="I141" s="136">
        <f t="shared" si="11"/>
        <v>0</v>
      </c>
      <c r="J141" s="134"/>
      <c r="K141" s="135"/>
      <c r="L141" s="136">
        <f t="shared" si="12"/>
        <v>0</v>
      </c>
      <c r="M141" s="284"/>
      <c r="N141" s="285"/>
      <c r="O141" s="136">
        <f t="shared" si="13"/>
        <v>0</v>
      </c>
      <c r="P141" s="85"/>
    </row>
    <row r="142" spans="1:16" hidden="1" x14ac:dyDescent="0.25">
      <c r="A142" s="76">
        <v>2329</v>
      </c>
      <c r="B142" s="127" t="s">
        <v>158</v>
      </c>
      <c r="C142" s="128">
        <f t="shared" si="9"/>
        <v>0</v>
      </c>
      <c r="D142" s="134"/>
      <c r="E142" s="285"/>
      <c r="F142" s="286">
        <f t="shared" si="10"/>
        <v>0</v>
      </c>
      <c r="G142" s="134"/>
      <c r="H142" s="135"/>
      <c r="I142" s="136">
        <f t="shared" si="11"/>
        <v>0</v>
      </c>
      <c r="J142" s="134"/>
      <c r="K142" s="135"/>
      <c r="L142" s="136">
        <f t="shared" si="12"/>
        <v>0</v>
      </c>
      <c r="M142" s="284"/>
      <c r="N142" s="285"/>
      <c r="O142" s="136">
        <f t="shared" si="13"/>
        <v>0</v>
      </c>
      <c r="P142" s="85"/>
    </row>
    <row r="143" spans="1:16" hidden="1" x14ac:dyDescent="0.25">
      <c r="A143" s="276">
        <v>2330</v>
      </c>
      <c r="B143" s="127" t="s">
        <v>159</v>
      </c>
      <c r="C143" s="128">
        <f t="shared" si="9"/>
        <v>0</v>
      </c>
      <c r="D143" s="134"/>
      <c r="E143" s="285"/>
      <c r="F143" s="286">
        <f t="shared" si="10"/>
        <v>0</v>
      </c>
      <c r="G143" s="134"/>
      <c r="H143" s="135"/>
      <c r="I143" s="136">
        <f t="shared" si="11"/>
        <v>0</v>
      </c>
      <c r="J143" s="134"/>
      <c r="K143" s="135"/>
      <c r="L143" s="136">
        <f t="shared" si="12"/>
        <v>0</v>
      </c>
      <c r="M143" s="284"/>
      <c r="N143" s="285"/>
      <c r="O143" s="136">
        <f t="shared" si="13"/>
        <v>0</v>
      </c>
      <c r="P143" s="85"/>
    </row>
    <row r="144" spans="1:16" ht="48" hidden="1" x14ac:dyDescent="0.25">
      <c r="A144" s="276">
        <v>2340</v>
      </c>
      <c r="B144" s="127" t="s">
        <v>160</v>
      </c>
      <c r="C144" s="128">
        <f t="shared" si="9"/>
        <v>0</v>
      </c>
      <c r="D144" s="277">
        <f>SUM(D145:D146)</f>
        <v>0</v>
      </c>
      <c r="E144" s="282">
        <f>SUM(E145:E146)</f>
        <v>0</v>
      </c>
      <c r="F144" s="286">
        <f t="shared" si="10"/>
        <v>0</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row>
    <row r="145" spans="1:16" hidden="1" x14ac:dyDescent="0.25">
      <c r="A145" s="76">
        <v>2341</v>
      </c>
      <c r="B145" s="127" t="s">
        <v>161</v>
      </c>
      <c r="C145" s="128">
        <f t="shared" si="9"/>
        <v>0</v>
      </c>
      <c r="D145" s="134"/>
      <c r="E145" s="285"/>
      <c r="F145" s="286">
        <f t="shared" si="10"/>
        <v>0</v>
      </c>
      <c r="G145" s="134"/>
      <c r="H145" s="135"/>
      <c r="I145" s="136">
        <f t="shared" si="11"/>
        <v>0</v>
      </c>
      <c r="J145" s="134"/>
      <c r="K145" s="135"/>
      <c r="L145" s="136">
        <f t="shared" si="12"/>
        <v>0</v>
      </c>
      <c r="M145" s="284"/>
      <c r="N145" s="285"/>
      <c r="O145" s="136">
        <f t="shared" si="13"/>
        <v>0</v>
      </c>
      <c r="P145" s="85"/>
    </row>
    <row r="146" spans="1:16" ht="24" hidden="1" x14ac:dyDescent="0.25">
      <c r="A146" s="76">
        <v>2344</v>
      </c>
      <c r="B146" s="127" t="s">
        <v>162</v>
      </c>
      <c r="C146" s="128">
        <f t="shared" si="9"/>
        <v>0</v>
      </c>
      <c r="D146" s="134"/>
      <c r="E146" s="285"/>
      <c r="F146" s="286">
        <f t="shared" si="10"/>
        <v>0</v>
      </c>
      <c r="G146" s="134"/>
      <c r="H146" s="135"/>
      <c r="I146" s="136">
        <f t="shared" si="11"/>
        <v>0</v>
      </c>
      <c r="J146" s="134"/>
      <c r="K146" s="135"/>
      <c r="L146" s="136">
        <f t="shared" si="12"/>
        <v>0</v>
      </c>
      <c r="M146" s="284"/>
      <c r="N146" s="285"/>
      <c r="O146" s="136">
        <f t="shared" si="13"/>
        <v>0</v>
      </c>
      <c r="P146" s="85"/>
    </row>
    <row r="147" spans="1:16" ht="24" hidden="1" x14ac:dyDescent="0.25">
      <c r="A147" s="254">
        <v>2350</v>
      </c>
      <c r="B147" s="179" t="s">
        <v>163</v>
      </c>
      <c r="C147" s="128">
        <f t="shared" si="9"/>
        <v>0</v>
      </c>
      <c r="D147" s="255">
        <f>SUM(D148:D153)</f>
        <v>0</v>
      </c>
      <c r="E147" s="261">
        <f>SUM(E148:E153)</f>
        <v>0</v>
      </c>
      <c r="F147" s="310">
        <f t="shared" si="10"/>
        <v>0</v>
      </c>
      <c r="G147" s="255">
        <f>SUM(G148:G153)</f>
        <v>0</v>
      </c>
      <c r="H147" s="258">
        <f>SUM(H148:H153)</f>
        <v>0</v>
      </c>
      <c r="I147" s="259">
        <f t="shared" si="11"/>
        <v>0</v>
      </c>
      <c r="J147" s="255">
        <f>SUM(J148:J153)</f>
        <v>0</v>
      </c>
      <c r="K147" s="258">
        <f>SUM(K148:K153)</f>
        <v>0</v>
      </c>
      <c r="L147" s="259">
        <f t="shared" si="12"/>
        <v>0</v>
      </c>
      <c r="M147" s="260">
        <f>SUM(M148:M153)</f>
        <v>0</v>
      </c>
      <c r="N147" s="261">
        <f>SUM(N148:N153)</f>
        <v>0</v>
      </c>
      <c r="O147" s="259">
        <f t="shared" si="13"/>
        <v>0</v>
      </c>
      <c r="P147" s="189"/>
    </row>
    <row r="148" spans="1:16" hidden="1" x14ac:dyDescent="0.25">
      <c r="A148" s="66">
        <v>2351</v>
      </c>
      <c r="B148" s="116" t="s">
        <v>164</v>
      </c>
      <c r="C148" s="128">
        <f t="shared" si="9"/>
        <v>0</v>
      </c>
      <c r="D148" s="123"/>
      <c r="E148" s="262"/>
      <c r="F148" s="263">
        <f t="shared" si="10"/>
        <v>0</v>
      </c>
      <c r="G148" s="123"/>
      <c r="H148" s="124"/>
      <c r="I148" s="125">
        <f t="shared" si="11"/>
        <v>0</v>
      </c>
      <c r="J148" s="123"/>
      <c r="K148" s="124"/>
      <c r="L148" s="125">
        <f t="shared" si="12"/>
        <v>0</v>
      </c>
      <c r="M148" s="264"/>
      <c r="N148" s="262"/>
      <c r="O148" s="125">
        <f t="shared" si="13"/>
        <v>0</v>
      </c>
      <c r="P148" s="74"/>
    </row>
    <row r="149" spans="1:16" hidden="1" x14ac:dyDescent="0.25">
      <c r="A149" s="76">
        <v>2352</v>
      </c>
      <c r="B149" s="127" t="s">
        <v>165</v>
      </c>
      <c r="C149" s="128">
        <f t="shared" si="9"/>
        <v>0</v>
      </c>
      <c r="D149" s="134"/>
      <c r="E149" s="285"/>
      <c r="F149" s="286">
        <f t="shared" si="10"/>
        <v>0</v>
      </c>
      <c r="G149" s="134"/>
      <c r="H149" s="135"/>
      <c r="I149" s="136">
        <f t="shared" si="11"/>
        <v>0</v>
      </c>
      <c r="J149" s="134"/>
      <c r="K149" s="135"/>
      <c r="L149" s="136">
        <f t="shared" si="12"/>
        <v>0</v>
      </c>
      <c r="M149" s="284"/>
      <c r="N149" s="285"/>
      <c r="O149" s="136">
        <f t="shared" si="13"/>
        <v>0</v>
      </c>
      <c r="P149" s="85"/>
    </row>
    <row r="150" spans="1:16" ht="24" hidden="1" x14ac:dyDescent="0.25">
      <c r="A150" s="76">
        <v>2353</v>
      </c>
      <c r="B150" s="127" t="s">
        <v>166</v>
      </c>
      <c r="C150" s="128">
        <f t="shared" si="9"/>
        <v>0</v>
      </c>
      <c r="D150" s="134"/>
      <c r="E150" s="285"/>
      <c r="F150" s="286">
        <f t="shared" si="10"/>
        <v>0</v>
      </c>
      <c r="G150" s="134"/>
      <c r="H150" s="135"/>
      <c r="I150" s="136">
        <f t="shared" si="11"/>
        <v>0</v>
      </c>
      <c r="J150" s="134"/>
      <c r="K150" s="135"/>
      <c r="L150" s="136">
        <f t="shared" si="12"/>
        <v>0</v>
      </c>
      <c r="M150" s="284"/>
      <c r="N150" s="285"/>
      <c r="O150" s="136">
        <f t="shared" si="13"/>
        <v>0</v>
      </c>
      <c r="P150" s="85"/>
    </row>
    <row r="151" spans="1:16" ht="24" hidden="1" x14ac:dyDescent="0.25">
      <c r="A151" s="76">
        <v>2354</v>
      </c>
      <c r="B151" s="127" t="s">
        <v>167</v>
      </c>
      <c r="C151" s="128">
        <f t="shared" si="9"/>
        <v>0</v>
      </c>
      <c r="D151" s="134"/>
      <c r="E151" s="285"/>
      <c r="F151" s="286">
        <f t="shared" si="10"/>
        <v>0</v>
      </c>
      <c r="G151" s="134"/>
      <c r="H151" s="135"/>
      <c r="I151" s="136">
        <f t="shared" si="11"/>
        <v>0</v>
      </c>
      <c r="J151" s="134"/>
      <c r="K151" s="135"/>
      <c r="L151" s="136">
        <f t="shared" si="12"/>
        <v>0</v>
      </c>
      <c r="M151" s="284"/>
      <c r="N151" s="285"/>
      <c r="O151" s="136">
        <f t="shared" si="13"/>
        <v>0</v>
      </c>
      <c r="P151" s="85"/>
    </row>
    <row r="152" spans="1:16" ht="24" hidden="1" x14ac:dyDescent="0.25">
      <c r="A152" s="76">
        <v>2355</v>
      </c>
      <c r="B152" s="127" t="s">
        <v>168</v>
      </c>
      <c r="C152" s="128">
        <f t="shared" si="9"/>
        <v>0</v>
      </c>
      <c r="D152" s="134"/>
      <c r="E152" s="285"/>
      <c r="F152" s="286">
        <f t="shared" si="10"/>
        <v>0</v>
      </c>
      <c r="G152" s="134"/>
      <c r="H152" s="135"/>
      <c r="I152" s="136">
        <f t="shared" si="11"/>
        <v>0</v>
      </c>
      <c r="J152" s="134"/>
      <c r="K152" s="135"/>
      <c r="L152" s="136">
        <f t="shared" si="12"/>
        <v>0</v>
      </c>
      <c r="M152" s="284"/>
      <c r="N152" s="285"/>
      <c r="O152" s="136">
        <f t="shared" si="13"/>
        <v>0</v>
      </c>
      <c r="P152" s="85"/>
    </row>
    <row r="153" spans="1:16" ht="24" hidden="1" x14ac:dyDescent="0.25">
      <c r="A153" s="76">
        <v>2359</v>
      </c>
      <c r="B153" s="127" t="s">
        <v>169</v>
      </c>
      <c r="C153" s="128">
        <f t="shared" si="9"/>
        <v>0</v>
      </c>
      <c r="D153" s="134"/>
      <c r="E153" s="285"/>
      <c r="F153" s="286">
        <f t="shared" si="10"/>
        <v>0</v>
      </c>
      <c r="G153" s="134"/>
      <c r="H153" s="135"/>
      <c r="I153" s="136">
        <f t="shared" si="11"/>
        <v>0</v>
      </c>
      <c r="J153" s="134"/>
      <c r="K153" s="135"/>
      <c r="L153" s="136">
        <f t="shared" si="12"/>
        <v>0</v>
      </c>
      <c r="M153" s="284"/>
      <c r="N153" s="285"/>
      <c r="O153" s="136">
        <f t="shared" si="13"/>
        <v>0</v>
      </c>
      <c r="P153" s="85"/>
    </row>
    <row r="154" spans="1:16" ht="24" hidden="1" x14ac:dyDescent="0.25">
      <c r="A154" s="276">
        <v>2360</v>
      </c>
      <c r="B154" s="127" t="s">
        <v>170</v>
      </c>
      <c r="C154" s="128">
        <f t="shared" si="9"/>
        <v>0</v>
      </c>
      <c r="D154" s="277">
        <f>SUM(D155:D161)</f>
        <v>0</v>
      </c>
      <c r="E154" s="282">
        <f>SUM(E155:E161)</f>
        <v>0</v>
      </c>
      <c r="F154" s="286">
        <f t="shared" si="10"/>
        <v>0</v>
      </c>
      <c r="G154" s="277">
        <f>SUM(G155:G161)</f>
        <v>0</v>
      </c>
      <c r="H154" s="280">
        <f>SUM(H155:H161)</f>
        <v>0</v>
      </c>
      <c r="I154" s="136">
        <f t="shared" si="11"/>
        <v>0</v>
      </c>
      <c r="J154" s="277">
        <f>SUM(J155:J161)</f>
        <v>0</v>
      </c>
      <c r="K154" s="280">
        <f>SUM(K155:K161)</f>
        <v>0</v>
      </c>
      <c r="L154" s="136">
        <f t="shared" si="12"/>
        <v>0</v>
      </c>
      <c r="M154" s="281">
        <f>SUM(M155:M161)</f>
        <v>0</v>
      </c>
      <c r="N154" s="282">
        <f>SUM(N155:N161)</f>
        <v>0</v>
      </c>
      <c r="O154" s="136">
        <f t="shared" si="13"/>
        <v>0</v>
      </c>
      <c r="P154" s="85"/>
    </row>
    <row r="155" spans="1:16" hidden="1" x14ac:dyDescent="0.25">
      <c r="A155" s="75">
        <v>2361</v>
      </c>
      <c r="B155" s="127" t="s">
        <v>171</v>
      </c>
      <c r="C155" s="128">
        <f t="shared" si="9"/>
        <v>0</v>
      </c>
      <c r="D155" s="134"/>
      <c r="E155" s="285"/>
      <c r="F155" s="286">
        <f t="shared" si="10"/>
        <v>0</v>
      </c>
      <c r="G155" s="134"/>
      <c r="H155" s="135"/>
      <c r="I155" s="136">
        <f t="shared" si="11"/>
        <v>0</v>
      </c>
      <c r="J155" s="134"/>
      <c r="K155" s="135"/>
      <c r="L155" s="136">
        <f t="shared" si="12"/>
        <v>0</v>
      </c>
      <c r="M155" s="284"/>
      <c r="N155" s="285"/>
      <c r="O155" s="136">
        <f t="shared" si="13"/>
        <v>0</v>
      </c>
      <c r="P155" s="85"/>
    </row>
    <row r="156" spans="1:16" ht="24" hidden="1" x14ac:dyDescent="0.25">
      <c r="A156" s="75">
        <v>2362</v>
      </c>
      <c r="B156" s="127" t="s">
        <v>172</v>
      </c>
      <c r="C156" s="128">
        <f t="shared" si="9"/>
        <v>0</v>
      </c>
      <c r="D156" s="134"/>
      <c r="E156" s="285"/>
      <c r="F156" s="286">
        <f t="shared" si="10"/>
        <v>0</v>
      </c>
      <c r="G156" s="134"/>
      <c r="H156" s="135"/>
      <c r="I156" s="136">
        <f t="shared" si="11"/>
        <v>0</v>
      </c>
      <c r="J156" s="134"/>
      <c r="K156" s="135"/>
      <c r="L156" s="136">
        <f t="shared" si="12"/>
        <v>0</v>
      </c>
      <c r="M156" s="284"/>
      <c r="N156" s="285"/>
      <c r="O156" s="136">
        <f t="shared" si="13"/>
        <v>0</v>
      </c>
      <c r="P156" s="85"/>
    </row>
    <row r="157" spans="1:16" hidden="1" x14ac:dyDescent="0.25">
      <c r="A157" s="75">
        <v>2363</v>
      </c>
      <c r="B157" s="127" t="s">
        <v>173</v>
      </c>
      <c r="C157" s="128">
        <f t="shared" si="9"/>
        <v>0</v>
      </c>
      <c r="D157" s="134"/>
      <c r="E157" s="285"/>
      <c r="F157" s="286">
        <f t="shared" si="10"/>
        <v>0</v>
      </c>
      <c r="G157" s="134"/>
      <c r="H157" s="135"/>
      <c r="I157" s="136">
        <f t="shared" si="11"/>
        <v>0</v>
      </c>
      <c r="J157" s="134"/>
      <c r="K157" s="135"/>
      <c r="L157" s="136">
        <f t="shared" si="12"/>
        <v>0</v>
      </c>
      <c r="M157" s="284"/>
      <c r="N157" s="285"/>
      <c r="O157" s="136">
        <f t="shared" si="13"/>
        <v>0</v>
      </c>
      <c r="P157" s="85"/>
    </row>
    <row r="158" spans="1:16" hidden="1" x14ac:dyDescent="0.25">
      <c r="A158" s="75">
        <v>2364</v>
      </c>
      <c r="B158" s="127" t="s">
        <v>174</v>
      </c>
      <c r="C158" s="128">
        <f t="shared" si="9"/>
        <v>0</v>
      </c>
      <c r="D158" s="134"/>
      <c r="E158" s="285"/>
      <c r="F158" s="286">
        <f t="shared" si="10"/>
        <v>0</v>
      </c>
      <c r="G158" s="134"/>
      <c r="H158" s="135"/>
      <c r="I158" s="136">
        <f t="shared" si="11"/>
        <v>0</v>
      </c>
      <c r="J158" s="134"/>
      <c r="K158" s="135"/>
      <c r="L158" s="136">
        <f t="shared" si="12"/>
        <v>0</v>
      </c>
      <c r="M158" s="284"/>
      <c r="N158" s="285"/>
      <c r="O158" s="136">
        <f t="shared" si="13"/>
        <v>0</v>
      </c>
      <c r="P158" s="85"/>
    </row>
    <row r="159" spans="1:16" hidden="1" x14ac:dyDescent="0.25">
      <c r="A159" s="75">
        <v>2365</v>
      </c>
      <c r="B159" s="127" t="s">
        <v>175</v>
      </c>
      <c r="C159" s="128">
        <f t="shared" si="9"/>
        <v>0</v>
      </c>
      <c r="D159" s="134"/>
      <c r="E159" s="285"/>
      <c r="F159" s="286">
        <f t="shared" si="10"/>
        <v>0</v>
      </c>
      <c r="G159" s="134"/>
      <c r="H159" s="135"/>
      <c r="I159" s="136">
        <f t="shared" si="11"/>
        <v>0</v>
      </c>
      <c r="J159" s="134"/>
      <c r="K159" s="135"/>
      <c r="L159" s="136">
        <f t="shared" si="12"/>
        <v>0</v>
      </c>
      <c r="M159" s="284"/>
      <c r="N159" s="285"/>
      <c r="O159" s="136">
        <f t="shared" si="13"/>
        <v>0</v>
      </c>
      <c r="P159" s="85"/>
    </row>
    <row r="160" spans="1:16" ht="36" hidden="1" x14ac:dyDescent="0.25">
      <c r="A160" s="75">
        <v>2366</v>
      </c>
      <c r="B160" s="127" t="s">
        <v>176</v>
      </c>
      <c r="C160" s="128">
        <f t="shared" si="9"/>
        <v>0</v>
      </c>
      <c r="D160" s="134"/>
      <c r="E160" s="285"/>
      <c r="F160" s="286">
        <f t="shared" si="10"/>
        <v>0</v>
      </c>
      <c r="G160" s="134"/>
      <c r="H160" s="135"/>
      <c r="I160" s="136">
        <f t="shared" si="11"/>
        <v>0</v>
      </c>
      <c r="J160" s="134"/>
      <c r="K160" s="135"/>
      <c r="L160" s="136">
        <f t="shared" si="12"/>
        <v>0</v>
      </c>
      <c r="M160" s="284"/>
      <c r="N160" s="285"/>
      <c r="O160" s="136">
        <f t="shared" si="13"/>
        <v>0</v>
      </c>
      <c r="P160" s="85"/>
    </row>
    <row r="161" spans="1:16" ht="48" hidden="1" x14ac:dyDescent="0.25">
      <c r="A161" s="75">
        <v>2369</v>
      </c>
      <c r="B161" s="127" t="s">
        <v>177</v>
      </c>
      <c r="C161" s="128">
        <f t="shared" si="9"/>
        <v>0</v>
      </c>
      <c r="D161" s="134"/>
      <c r="E161" s="285"/>
      <c r="F161" s="286">
        <f t="shared" si="10"/>
        <v>0</v>
      </c>
      <c r="G161" s="134"/>
      <c r="H161" s="135"/>
      <c r="I161" s="136">
        <f t="shared" si="11"/>
        <v>0</v>
      </c>
      <c r="J161" s="134"/>
      <c r="K161" s="135"/>
      <c r="L161" s="136">
        <f t="shared" si="12"/>
        <v>0</v>
      </c>
      <c r="M161" s="284"/>
      <c r="N161" s="285"/>
      <c r="O161" s="136">
        <f t="shared" si="13"/>
        <v>0</v>
      </c>
      <c r="P161" s="85"/>
    </row>
    <row r="162" spans="1:16" hidden="1" x14ac:dyDescent="0.25">
      <c r="A162" s="254">
        <v>2370</v>
      </c>
      <c r="B162" s="179" t="s">
        <v>178</v>
      </c>
      <c r="C162" s="128">
        <f t="shared" si="9"/>
        <v>0</v>
      </c>
      <c r="D162" s="287"/>
      <c r="E162" s="291"/>
      <c r="F162" s="310">
        <f t="shared" si="10"/>
        <v>0</v>
      </c>
      <c r="G162" s="287"/>
      <c r="H162" s="289"/>
      <c r="I162" s="259">
        <f t="shared" si="11"/>
        <v>0</v>
      </c>
      <c r="J162" s="287"/>
      <c r="K162" s="289"/>
      <c r="L162" s="259">
        <f t="shared" si="12"/>
        <v>0</v>
      </c>
      <c r="M162" s="290"/>
      <c r="N162" s="291"/>
      <c r="O162" s="259">
        <f t="shared" si="13"/>
        <v>0</v>
      </c>
      <c r="P162" s="189"/>
    </row>
    <row r="163" spans="1:16" hidden="1" x14ac:dyDescent="0.25">
      <c r="A163" s="254">
        <v>2380</v>
      </c>
      <c r="B163" s="179" t="s">
        <v>179</v>
      </c>
      <c r="C163" s="128">
        <f t="shared" si="9"/>
        <v>0</v>
      </c>
      <c r="D163" s="255">
        <f>SUM(D164:D165)</f>
        <v>0</v>
      </c>
      <c r="E163" s="261">
        <f>SUM(E164:E165)</f>
        <v>0</v>
      </c>
      <c r="F163" s="310">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row>
    <row r="164" spans="1:16" hidden="1" x14ac:dyDescent="0.25">
      <c r="A164" s="65">
        <v>2381</v>
      </c>
      <c r="B164" s="116" t="s">
        <v>180</v>
      </c>
      <c r="C164" s="128">
        <f t="shared" si="9"/>
        <v>0</v>
      </c>
      <c r="D164" s="123"/>
      <c r="E164" s="262"/>
      <c r="F164" s="263">
        <f t="shared" si="10"/>
        <v>0</v>
      </c>
      <c r="G164" s="123"/>
      <c r="H164" s="124"/>
      <c r="I164" s="125">
        <f t="shared" si="11"/>
        <v>0</v>
      </c>
      <c r="J164" s="123"/>
      <c r="K164" s="124"/>
      <c r="L164" s="125">
        <f t="shared" si="12"/>
        <v>0</v>
      </c>
      <c r="M164" s="264"/>
      <c r="N164" s="262"/>
      <c r="O164" s="125">
        <f t="shared" si="13"/>
        <v>0</v>
      </c>
      <c r="P164" s="74"/>
    </row>
    <row r="165" spans="1:16" ht="24" hidden="1" x14ac:dyDescent="0.25">
      <c r="A165" s="75">
        <v>2389</v>
      </c>
      <c r="B165" s="127" t="s">
        <v>181</v>
      </c>
      <c r="C165" s="128">
        <f t="shared" si="9"/>
        <v>0</v>
      </c>
      <c r="D165" s="134"/>
      <c r="E165" s="285"/>
      <c r="F165" s="286">
        <f t="shared" si="10"/>
        <v>0</v>
      </c>
      <c r="G165" s="134"/>
      <c r="H165" s="135"/>
      <c r="I165" s="136">
        <f t="shared" si="11"/>
        <v>0</v>
      </c>
      <c r="J165" s="134"/>
      <c r="K165" s="135"/>
      <c r="L165" s="136">
        <f t="shared" si="12"/>
        <v>0</v>
      </c>
      <c r="M165" s="284"/>
      <c r="N165" s="285"/>
      <c r="O165" s="136">
        <f t="shared" si="13"/>
        <v>0</v>
      </c>
      <c r="P165" s="85"/>
    </row>
    <row r="166" spans="1:16" hidden="1" x14ac:dyDescent="0.25">
      <c r="A166" s="254">
        <v>2390</v>
      </c>
      <c r="B166" s="179" t="s">
        <v>182</v>
      </c>
      <c r="C166" s="128">
        <f t="shared" si="9"/>
        <v>0</v>
      </c>
      <c r="D166" s="287"/>
      <c r="E166" s="291"/>
      <c r="F166" s="310">
        <f t="shared" si="10"/>
        <v>0</v>
      </c>
      <c r="G166" s="287"/>
      <c r="H166" s="289"/>
      <c r="I166" s="259">
        <f t="shared" si="11"/>
        <v>0</v>
      </c>
      <c r="J166" s="287"/>
      <c r="K166" s="289"/>
      <c r="L166" s="259">
        <f t="shared" si="12"/>
        <v>0</v>
      </c>
      <c r="M166" s="290"/>
      <c r="N166" s="291"/>
      <c r="O166" s="259">
        <f t="shared" si="13"/>
        <v>0</v>
      </c>
      <c r="P166" s="189"/>
    </row>
    <row r="167" spans="1:16" hidden="1" x14ac:dyDescent="0.25">
      <c r="A167" s="99">
        <v>2400</v>
      </c>
      <c r="B167" s="247" t="s">
        <v>183</v>
      </c>
      <c r="C167" s="100">
        <f t="shared" si="9"/>
        <v>0</v>
      </c>
      <c r="D167" s="311"/>
      <c r="E167" s="312"/>
      <c r="F167" s="313">
        <f t="shared" si="10"/>
        <v>0</v>
      </c>
      <c r="G167" s="311"/>
      <c r="H167" s="314"/>
      <c r="I167" s="114">
        <f t="shared" si="11"/>
        <v>0</v>
      </c>
      <c r="J167" s="311"/>
      <c r="K167" s="314"/>
      <c r="L167" s="114">
        <f t="shared" si="12"/>
        <v>0</v>
      </c>
      <c r="M167" s="315"/>
      <c r="N167" s="312"/>
      <c r="O167" s="114">
        <f t="shared" si="13"/>
        <v>0</v>
      </c>
      <c r="P167" s="109"/>
    </row>
    <row r="168" spans="1:16" ht="24" hidden="1" x14ac:dyDescent="0.25">
      <c r="A168" s="99">
        <v>2500</v>
      </c>
      <c r="B168" s="247" t="s">
        <v>184</v>
      </c>
      <c r="C168" s="100">
        <f t="shared" si="9"/>
        <v>0</v>
      </c>
      <c r="D168" s="112">
        <f>SUM(D169,D174)</f>
        <v>0</v>
      </c>
      <c r="E168" s="293">
        <f>SUM(E169,E174)</f>
        <v>0</v>
      </c>
      <c r="F168" s="313">
        <f t="shared" si="10"/>
        <v>0</v>
      </c>
      <c r="G168" s="112">
        <f>SUM(G169,G174)</f>
        <v>0</v>
      </c>
      <c r="H168" s="113">
        <f t="shared" ref="H168" si="17">SUM(H169,H174)</f>
        <v>0</v>
      </c>
      <c r="I168" s="114">
        <f t="shared" si="11"/>
        <v>0</v>
      </c>
      <c r="J168" s="112">
        <f>SUM(J169,J174)</f>
        <v>0</v>
      </c>
      <c r="K168" s="113">
        <f t="shared" ref="K168" si="18">SUM(K169,K174)</f>
        <v>0</v>
      </c>
      <c r="L168" s="114">
        <f t="shared" si="12"/>
        <v>0</v>
      </c>
      <c r="M168" s="250">
        <f t="shared" ref="M168:N168" si="19">SUM(M169,M174)</f>
        <v>0</v>
      </c>
      <c r="N168" s="251">
        <f t="shared" si="19"/>
        <v>0</v>
      </c>
      <c r="O168" s="252">
        <f t="shared" si="13"/>
        <v>0</v>
      </c>
      <c r="P168" s="253"/>
    </row>
    <row r="169" spans="1:16" hidden="1" x14ac:dyDescent="0.25">
      <c r="A169" s="609">
        <v>2510</v>
      </c>
      <c r="B169" s="116" t="s">
        <v>185</v>
      </c>
      <c r="C169" s="117">
        <f t="shared" si="9"/>
        <v>0</v>
      </c>
      <c r="D169" s="297">
        <f>SUM(D170:D173)</f>
        <v>0</v>
      </c>
      <c r="E169" s="301">
        <f>SUM(E170:E173)</f>
        <v>0</v>
      </c>
      <c r="F169" s="263">
        <f t="shared" si="10"/>
        <v>0</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row>
    <row r="170" spans="1:16" ht="24" hidden="1" x14ac:dyDescent="0.25">
      <c r="A170" s="76">
        <v>2512</v>
      </c>
      <c r="B170" s="127" t="s">
        <v>186</v>
      </c>
      <c r="C170" s="128">
        <f t="shared" si="9"/>
        <v>0</v>
      </c>
      <c r="D170" s="134"/>
      <c r="E170" s="285"/>
      <c r="F170" s="286">
        <f t="shared" si="10"/>
        <v>0</v>
      </c>
      <c r="G170" s="134"/>
      <c r="H170" s="135"/>
      <c r="I170" s="136">
        <f t="shared" si="11"/>
        <v>0</v>
      </c>
      <c r="J170" s="134"/>
      <c r="K170" s="135"/>
      <c r="L170" s="136">
        <f t="shared" si="12"/>
        <v>0</v>
      </c>
      <c r="M170" s="284"/>
      <c r="N170" s="285"/>
      <c r="O170" s="136">
        <f t="shared" si="13"/>
        <v>0</v>
      </c>
      <c r="P170" s="85"/>
    </row>
    <row r="171" spans="1:16" ht="36" hidden="1" x14ac:dyDescent="0.25">
      <c r="A171" s="76">
        <v>2513</v>
      </c>
      <c r="B171" s="127" t="s">
        <v>187</v>
      </c>
      <c r="C171" s="128">
        <f t="shared" si="9"/>
        <v>0</v>
      </c>
      <c r="D171" s="134"/>
      <c r="E171" s="285"/>
      <c r="F171" s="286">
        <f t="shared" si="10"/>
        <v>0</v>
      </c>
      <c r="G171" s="134"/>
      <c r="H171" s="135"/>
      <c r="I171" s="136">
        <f t="shared" si="11"/>
        <v>0</v>
      </c>
      <c r="J171" s="134"/>
      <c r="K171" s="135"/>
      <c r="L171" s="136">
        <f t="shared" si="12"/>
        <v>0</v>
      </c>
      <c r="M171" s="284"/>
      <c r="N171" s="285"/>
      <c r="O171" s="136">
        <f t="shared" si="13"/>
        <v>0</v>
      </c>
      <c r="P171" s="85"/>
    </row>
    <row r="172" spans="1:16" ht="24" hidden="1" x14ac:dyDescent="0.25">
      <c r="A172" s="76">
        <v>2515</v>
      </c>
      <c r="B172" s="127" t="s">
        <v>188</v>
      </c>
      <c r="C172" s="128">
        <f t="shared" si="9"/>
        <v>0</v>
      </c>
      <c r="D172" s="134"/>
      <c r="E172" s="285"/>
      <c r="F172" s="286">
        <f t="shared" si="10"/>
        <v>0</v>
      </c>
      <c r="G172" s="134"/>
      <c r="H172" s="135"/>
      <c r="I172" s="136">
        <f t="shared" si="11"/>
        <v>0</v>
      </c>
      <c r="J172" s="134"/>
      <c r="K172" s="135"/>
      <c r="L172" s="136">
        <f t="shared" si="12"/>
        <v>0</v>
      </c>
      <c r="M172" s="284"/>
      <c r="N172" s="285"/>
      <c r="O172" s="136">
        <f t="shared" si="13"/>
        <v>0</v>
      </c>
      <c r="P172" s="85"/>
    </row>
    <row r="173" spans="1:16" ht="24" hidden="1" x14ac:dyDescent="0.25">
      <c r="A173" s="76">
        <v>2519</v>
      </c>
      <c r="B173" s="127" t="s">
        <v>189</v>
      </c>
      <c r="C173" s="128">
        <f t="shared" si="9"/>
        <v>0</v>
      </c>
      <c r="D173" s="134"/>
      <c r="E173" s="285"/>
      <c r="F173" s="286">
        <f t="shared" si="10"/>
        <v>0</v>
      </c>
      <c r="G173" s="134"/>
      <c r="H173" s="135"/>
      <c r="I173" s="136">
        <f t="shared" si="11"/>
        <v>0</v>
      </c>
      <c r="J173" s="134"/>
      <c r="K173" s="135"/>
      <c r="L173" s="136">
        <f t="shared" si="12"/>
        <v>0</v>
      </c>
      <c r="M173" s="284"/>
      <c r="N173" s="285"/>
      <c r="O173" s="136">
        <f t="shared" si="13"/>
        <v>0</v>
      </c>
      <c r="P173" s="85"/>
    </row>
    <row r="174" spans="1:16" ht="24" hidden="1" x14ac:dyDescent="0.25">
      <c r="A174" s="276">
        <v>2520</v>
      </c>
      <c r="B174" s="127" t="s">
        <v>190</v>
      </c>
      <c r="C174" s="128">
        <f t="shared" si="9"/>
        <v>0</v>
      </c>
      <c r="D174" s="134"/>
      <c r="E174" s="285"/>
      <c r="F174" s="286">
        <f t="shared" si="10"/>
        <v>0</v>
      </c>
      <c r="G174" s="134"/>
      <c r="H174" s="135"/>
      <c r="I174" s="136">
        <f t="shared" si="11"/>
        <v>0</v>
      </c>
      <c r="J174" s="134"/>
      <c r="K174" s="135"/>
      <c r="L174" s="136">
        <f t="shared" si="12"/>
        <v>0</v>
      </c>
      <c r="M174" s="284"/>
      <c r="N174" s="285"/>
      <c r="O174" s="136">
        <f t="shared" si="13"/>
        <v>0</v>
      </c>
      <c r="P174" s="85"/>
    </row>
    <row r="175" spans="1:16" s="319" customFormat="1" ht="48" hidden="1" x14ac:dyDescent="0.25">
      <c r="A175" s="31">
        <v>2800</v>
      </c>
      <c r="B175" s="116" t="s">
        <v>191</v>
      </c>
      <c r="C175" s="117">
        <f t="shared" si="9"/>
        <v>0</v>
      </c>
      <c r="D175" s="68"/>
      <c r="E175" s="69"/>
      <c r="F175" s="70">
        <f t="shared" si="10"/>
        <v>0</v>
      </c>
      <c r="G175" s="68"/>
      <c r="H175" s="71"/>
      <c r="I175" s="72">
        <f t="shared" si="11"/>
        <v>0</v>
      </c>
      <c r="J175" s="68"/>
      <c r="K175" s="71"/>
      <c r="L175" s="72">
        <f t="shared" si="12"/>
        <v>0</v>
      </c>
      <c r="M175" s="73"/>
      <c r="N175" s="69"/>
      <c r="O175" s="72">
        <f t="shared" si="13"/>
        <v>0</v>
      </c>
      <c r="P175" s="74"/>
    </row>
    <row r="176" spans="1:16" hidden="1" x14ac:dyDescent="0.25">
      <c r="A176" s="237">
        <v>3000</v>
      </c>
      <c r="B176" s="237" t="s">
        <v>192</v>
      </c>
      <c r="C176" s="238">
        <f t="shared" si="9"/>
        <v>0</v>
      </c>
      <c r="D176" s="239">
        <f>SUM(D177,D187)</f>
        <v>0</v>
      </c>
      <c r="E176" s="245">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row>
    <row r="177" spans="1:16" ht="24" hidden="1" x14ac:dyDescent="0.25">
      <c r="A177" s="99">
        <v>3200</v>
      </c>
      <c r="B177" s="321" t="s">
        <v>193</v>
      </c>
      <c r="C177" s="100">
        <f t="shared" si="9"/>
        <v>0</v>
      </c>
      <c r="D177" s="112">
        <f>SUM(D178,D182)</f>
        <v>0</v>
      </c>
      <c r="E177" s="293">
        <f>SUM(E178,E182)</f>
        <v>0</v>
      </c>
      <c r="F177" s="313">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row>
    <row r="178" spans="1:16" ht="36" hidden="1" x14ac:dyDescent="0.25">
      <c r="A178" s="609">
        <v>3260</v>
      </c>
      <c r="B178" s="116" t="s">
        <v>194</v>
      </c>
      <c r="C178" s="117">
        <f t="shared" si="9"/>
        <v>0</v>
      </c>
      <c r="D178" s="297">
        <f>SUM(D179:D181)</f>
        <v>0</v>
      </c>
      <c r="E178" s="301">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row>
    <row r="179" spans="1:16" ht="24" hidden="1" x14ac:dyDescent="0.25">
      <c r="A179" s="76">
        <v>3261</v>
      </c>
      <c r="B179" s="127" t="s">
        <v>195</v>
      </c>
      <c r="C179" s="128">
        <f t="shared" si="9"/>
        <v>0</v>
      </c>
      <c r="D179" s="134"/>
      <c r="E179" s="285"/>
      <c r="F179" s="286">
        <f t="shared" si="10"/>
        <v>0</v>
      </c>
      <c r="G179" s="134"/>
      <c r="H179" s="135"/>
      <c r="I179" s="136">
        <f t="shared" si="11"/>
        <v>0</v>
      </c>
      <c r="J179" s="134"/>
      <c r="K179" s="135"/>
      <c r="L179" s="136">
        <f t="shared" si="12"/>
        <v>0</v>
      </c>
      <c r="M179" s="284"/>
      <c r="N179" s="285"/>
      <c r="O179" s="136">
        <f t="shared" si="13"/>
        <v>0</v>
      </c>
      <c r="P179" s="85"/>
    </row>
    <row r="180" spans="1:16" ht="36" hidden="1" x14ac:dyDescent="0.25">
      <c r="A180" s="76">
        <v>3262</v>
      </c>
      <c r="B180" s="127" t="s">
        <v>196</v>
      </c>
      <c r="C180" s="128">
        <f t="shared" si="9"/>
        <v>0</v>
      </c>
      <c r="D180" s="134"/>
      <c r="E180" s="285"/>
      <c r="F180" s="286">
        <f t="shared" si="10"/>
        <v>0</v>
      </c>
      <c r="G180" s="134"/>
      <c r="H180" s="135"/>
      <c r="I180" s="136">
        <f t="shared" si="11"/>
        <v>0</v>
      </c>
      <c r="J180" s="134"/>
      <c r="K180" s="135"/>
      <c r="L180" s="136">
        <f t="shared" si="12"/>
        <v>0</v>
      </c>
      <c r="M180" s="284"/>
      <c r="N180" s="285"/>
      <c r="O180" s="136">
        <f t="shared" si="13"/>
        <v>0</v>
      </c>
      <c r="P180" s="85"/>
    </row>
    <row r="181" spans="1:16" ht="24" hidden="1" x14ac:dyDescent="0.25">
      <c r="A181" s="76">
        <v>3263</v>
      </c>
      <c r="B181" s="127" t="s">
        <v>197</v>
      </c>
      <c r="C181" s="128">
        <f t="shared" si="9"/>
        <v>0</v>
      </c>
      <c r="D181" s="134"/>
      <c r="E181" s="285"/>
      <c r="F181" s="286">
        <f t="shared" si="10"/>
        <v>0</v>
      </c>
      <c r="G181" s="134"/>
      <c r="H181" s="135"/>
      <c r="I181" s="136">
        <f t="shared" si="11"/>
        <v>0</v>
      </c>
      <c r="J181" s="134"/>
      <c r="K181" s="135"/>
      <c r="L181" s="136">
        <f t="shared" si="12"/>
        <v>0</v>
      </c>
      <c r="M181" s="284"/>
      <c r="N181" s="285"/>
      <c r="O181" s="136">
        <f t="shared" si="13"/>
        <v>0</v>
      </c>
      <c r="P181" s="85"/>
    </row>
    <row r="182" spans="1:16" ht="84" hidden="1" x14ac:dyDescent="0.25">
      <c r="A182" s="609">
        <v>3290</v>
      </c>
      <c r="B182" s="116" t="s">
        <v>198</v>
      </c>
      <c r="C182" s="128">
        <f t="shared" ref="C182:C258" si="26">F182+I182+L182+O182</f>
        <v>0</v>
      </c>
      <c r="D182" s="297">
        <f>SUM(D183:D186)</f>
        <v>0</v>
      </c>
      <c r="E182" s="301">
        <f>SUM(E183:E186)</f>
        <v>0</v>
      </c>
      <c r="F182" s="263">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row>
    <row r="183" spans="1:16" ht="72" hidden="1" x14ac:dyDescent="0.25">
      <c r="A183" s="76">
        <v>3291</v>
      </c>
      <c r="B183" s="127" t="s">
        <v>199</v>
      </c>
      <c r="C183" s="128">
        <f t="shared" si="26"/>
        <v>0</v>
      </c>
      <c r="D183" s="134"/>
      <c r="E183" s="285"/>
      <c r="F183" s="286">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row>
    <row r="184" spans="1:16" ht="72" hidden="1" x14ac:dyDescent="0.25">
      <c r="A184" s="76">
        <v>3292</v>
      </c>
      <c r="B184" s="127" t="s">
        <v>200</v>
      </c>
      <c r="C184" s="128">
        <f t="shared" si="26"/>
        <v>0</v>
      </c>
      <c r="D184" s="134"/>
      <c r="E184" s="285"/>
      <c r="F184" s="286">
        <f t="shared" si="30"/>
        <v>0</v>
      </c>
      <c r="G184" s="134"/>
      <c r="H184" s="135"/>
      <c r="I184" s="136">
        <f t="shared" si="31"/>
        <v>0</v>
      </c>
      <c r="J184" s="134"/>
      <c r="K184" s="135"/>
      <c r="L184" s="136">
        <f t="shared" si="32"/>
        <v>0</v>
      </c>
      <c r="M184" s="284"/>
      <c r="N184" s="285"/>
      <c r="O184" s="136">
        <f t="shared" si="33"/>
        <v>0</v>
      </c>
      <c r="P184" s="85"/>
    </row>
    <row r="185" spans="1:16" ht="72" hidden="1" x14ac:dyDescent="0.25">
      <c r="A185" s="76">
        <v>3293</v>
      </c>
      <c r="B185" s="127" t="s">
        <v>201</v>
      </c>
      <c r="C185" s="128">
        <f t="shared" si="26"/>
        <v>0</v>
      </c>
      <c r="D185" s="134"/>
      <c r="E185" s="285"/>
      <c r="F185" s="286">
        <f t="shared" si="30"/>
        <v>0</v>
      </c>
      <c r="G185" s="134"/>
      <c r="H185" s="135"/>
      <c r="I185" s="136">
        <f t="shared" si="31"/>
        <v>0</v>
      </c>
      <c r="J185" s="134"/>
      <c r="K185" s="135"/>
      <c r="L185" s="136">
        <f t="shared" si="32"/>
        <v>0</v>
      </c>
      <c r="M185" s="284"/>
      <c r="N185" s="285"/>
      <c r="O185" s="136">
        <f t="shared" si="33"/>
        <v>0</v>
      </c>
      <c r="P185" s="85"/>
    </row>
    <row r="186" spans="1:16" ht="60" hidden="1" x14ac:dyDescent="0.25">
      <c r="A186" s="326">
        <v>3294</v>
      </c>
      <c r="B186" s="127" t="s">
        <v>202</v>
      </c>
      <c r="C186" s="327">
        <f t="shared" si="26"/>
        <v>0</v>
      </c>
      <c r="D186" s="328"/>
      <c r="E186" s="329"/>
      <c r="F186" s="330">
        <f t="shared" si="30"/>
        <v>0</v>
      </c>
      <c r="G186" s="328"/>
      <c r="H186" s="331"/>
      <c r="I186" s="324">
        <f t="shared" si="31"/>
        <v>0</v>
      </c>
      <c r="J186" s="328"/>
      <c r="K186" s="331"/>
      <c r="L186" s="324">
        <f t="shared" si="32"/>
        <v>0</v>
      </c>
      <c r="M186" s="332"/>
      <c r="N186" s="329"/>
      <c r="O186" s="324">
        <f t="shared" si="33"/>
        <v>0</v>
      </c>
      <c r="P186" s="325"/>
    </row>
    <row r="187" spans="1:16" ht="48" hidden="1" x14ac:dyDescent="0.25">
      <c r="A187" s="160">
        <v>3300</v>
      </c>
      <c r="B187" s="321" t="s">
        <v>203</v>
      </c>
      <c r="C187" s="333">
        <f t="shared" si="26"/>
        <v>0</v>
      </c>
      <c r="D187" s="334">
        <f>SUM(D188:D189)</f>
        <v>0</v>
      </c>
      <c r="E187" s="251">
        <f>SUM(E188:E189)</f>
        <v>0</v>
      </c>
      <c r="F187" s="335">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row>
    <row r="188" spans="1:16" ht="48" hidden="1" x14ac:dyDescent="0.25">
      <c r="A188" s="178">
        <v>3310</v>
      </c>
      <c r="B188" s="179" t="s">
        <v>204</v>
      </c>
      <c r="C188" s="191">
        <f t="shared" si="26"/>
        <v>0</v>
      </c>
      <c r="D188" s="287"/>
      <c r="E188" s="291"/>
      <c r="F188" s="310">
        <f t="shared" si="30"/>
        <v>0</v>
      </c>
      <c r="G188" s="287"/>
      <c r="H188" s="289"/>
      <c r="I188" s="259">
        <f t="shared" si="31"/>
        <v>0</v>
      </c>
      <c r="J188" s="287"/>
      <c r="K188" s="289"/>
      <c r="L188" s="259">
        <f t="shared" si="32"/>
        <v>0</v>
      </c>
      <c r="M188" s="290"/>
      <c r="N188" s="291"/>
      <c r="O188" s="259">
        <f t="shared" si="33"/>
        <v>0</v>
      </c>
      <c r="P188" s="189"/>
    </row>
    <row r="189" spans="1:16" ht="60" hidden="1" x14ac:dyDescent="0.25">
      <c r="A189" s="66">
        <v>3320</v>
      </c>
      <c r="B189" s="116" t="s">
        <v>205</v>
      </c>
      <c r="C189" s="117">
        <f t="shared" si="26"/>
        <v>0</v>
      </c>
      <c r="D189" s="123"/>
      <c r="E189" s="262"/>
      <c r="F189" s="263">
        <f t="shared" si="30"/>
        <v>0</v>
      </c>
      <c r="G189" s="123"/>
      <c r="H189" s="124"/>
      <c r="I189" s="125">
        <f t="shared" si="31"/>
        <v>0</v>
      </c>
      <c r="J189" s="123"/>
      <c r="K189" s="124"/>
      <c r="L189" s="125">
        <f t="shared" si="32"/>
        <v>0</v>
      </c>
      <c r="M189" s="264"/>
      <c r="N189" s="262"/>
      <c r="O189" s="125">
        <f t="shared" si="33"/>
        <v>0</v>
      </c>
      <c r="P189" s="74"/>
    </row>
    <row r="190" spans="1:16" hidden="1" x14ac:dyDescent="0.25">
      <c r="A190" s="337">
        <v>4000</v>
      </c>
      <c r="B190" s="237" t="s">
        <v>206</v>
      </c>
      <c r="C190" s="238">
        <f t="shared" si="26"/>
        <v>0</v>
      </c>
      <c r="D190" s="239">
        <f>SUM(D191,D194)</f>
        <v>0</v>
      </c>
      <c r="E190" s="245">
        <f>SUM(E191,E194)</f>
        <v>0</v>
      </c>
      <c r="F190" s="320">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row>
    <row r="191" spans="1:16" ht="24" hidden="1" x14ac:dyDescent="0.25">
      <c r="A191" s="338">
        <v>4200</v>
      </c>
      <c r="B191" s="247" t="s">
        <v>207</v>
      </c>
      <c r="C191" s="100">
        <f t="shared" si="26"/>
        <v>0</v>
      </c>
      <c r="D191" s="112">
        <f>SUM(D192,D193)</f>
        <v>0</v>
      </c>
      <c r="E191" s="293">
        <f>SUM(E192,E193)</f>
        <v>0</v>
      </c>
      <c r="F191" s="313">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row>
    <row r="192" spans="1:16" ht="36" hidden="1" x14ac:dyDescent="0.25">
      <c r="A192" s="609">
        <v>4240</v>
      </c>
      <c r="B192" s="116" t="s">
        <v>208</v>
      </c>
      <c r="C192" s="117">
        <f t="shared" si="26"/>
        <v>0</v>
      </c>
      <c r="D192" s="123"/>
      <c r="E192" s="262"/>
      <c r="F192" s="263">
        <f t="shared" si="30"/>
        <v>0</v>
      </c>
      <c r="G192" s="123"/>
      <c r="H192" s="124"/>
      <c r="I192" s="125">
        <f t="shared" si="31"/>
        <v>0</v>
      </c>
      <c r="J192" s="123"/>
      <c r="K192" s="124"/>
      <c r="L192" s="125">
        <f t="shared" si="32"/>
        <v>0</v>
      </c>
      <c r="M192" s="264"/>
      <c r="N192" s="262"/>
      <c r="O192" s="125">
        <f t="shared" si="33"/>
        <v>0</v>
      </c>
      <c r="P192" s="74"/>
    </row>
    <row r="193" spans="1:16" ht="24" hidden="1" x14ac:dyDescent="0.25">
      <c r="A193" s="276">
        <v>4250</v>
      </c>
      <c r="B193" s="127" t="s">
        <v>209</v>
      </c>
      <c r="C193" s="128">
        <f t="shared" si="26"/>
        <v>0</v>
      </c>
      <c r="D193" s="134"/>
      <c r="E193" s="285"/>
      <c r="F193" s="286">
        <f t="shared" si="30"/>
        <v>0</v>
      </c>
      <c r="G193" s="134"/>
      <c r="H193" s="135"/>
      <c r="I193" s="136">
        <f t="shared" si="31"/>
        <v>0</v>
      </c>
      <c r="J193" s="134"/>
      <c r="K193" s="135"/>
      <c r="L193" s="136">
        <f t="shared" si="32"/>
        <v>0</v>
      </c>
      <c r="M193" s="284"/>
      <c r="N193" s="285"/>
      <c r="O193" s="136">
        <f t="shared" si="33"/>
        <v>0</v>
      </c>
      <c r="P193" s="85"/>
    </row>
    <row r="194" spans="1:16" hidden="1" x14ac:dyDescent="0.25">
      <c r="A194" s="99">
        <v>4300</v>
      </c>
      <c r="B194" s="247" t="s">
        <v>210</v>
      </c>
      <c r="C194" s="100">
        <f t="shared" si="26"/>
        <v>0</v>
      </c>
      <c r="D194" s="112">
        <f>SUM(D195)</f>
        <v>0</v>
      </c>
      <c r="E194" s="293">
        <f>SUM(E195)</f>
        <v>0</v>
      </c>
      <c r="F194" s="313">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row>
    <row r="195" spans="1:16" ht="24" hidden="1" x14ac:dyDescent="0.25">
      <c r="A195" s="609">
        <v>4310</v>
      </c>
      <c r="B195" s="116" t="s">
        <v>211</v>
      </c>
      <c r="C195" s="117">
        <f t="shared" si="26"/>
        <v>0</v>
      </c>
      <c r="D195" s="297">
        <f>SUM(D196:D196)</f>
        <v>0</v>
      </c>
      <c r="E195" s="301">
        <f>SUM(E196:E196)</f>
        <v>0</v>
      </c>
      <c r="F195" s="263">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row>
    <row r="196" spans="1:16" ht="36" hidden="1" x14ac:dyDescent="0.25">
      <c r="A196" s="76">
        <v>4311</v>
      </c>
      <c r="B196" s="127" t="s">
        <v>212</v>
      </c>
      <c r="C196" s="128">
        <f t="shared" si="26"/>
        <v>0</v>
      </c>
      <c r="D196" s="134"/>
      <c r="E196" s="285"/>
      <c r="F196" s="286">
        <f t="shared" si="30"/>
        <v>0</v>
      </c>
      <c r="G196" s="134"/>
      <c r="H196" s="135"/>
      <c r="I196" s="136">
        <f t="shared" si="31"/>
        <v>0</v>
      </c>
      <c r="J196" s="134"/>
      <c r="K196" s="135"/>
      <c r="L196" s="136">
        <f t="shared" si="32"/>
        <v>0</v>
      </c>
      <c r="M196" s="284"/>
      <c r="N196" s="285"/>
      <c r="O196" s="136">
        <f t="shared" si="33"/>
        <v>0</v>
      </c>
      <c r="P196" s="85"/>
    </row>
    <row r="197" spans="1:16" s="41" customFormat="1" ht="24" x14ac:dyDescent="0.25">
      <c r="A197" s="339"/>
      <c r="B197" s="31" t="s">
        <v>213</v>
      </c>
      <c r="C197" s="229">
        <f t="shared" si="26"/>
        <v>2113259</v>
      </c>
      <c r="D197" s="230">
        <f>SUM(D198,D233,D271)</f>
        <v>2112340</v>
      </c>
      <c r="E197" s="619">
        <f>SUM(E198,E233,E271)</f>
        <v>919</v>
      </c>
      <c r="F197" s="232">
        <f t="shared" si="30"/>
        <v>2113259</v>
      </c>
      <c r="G197" s="230">
        <f>SUM(G198,G233,G271)</f>
        <v>0</v>
      </c>
      <c r="H197" s="233">
        <f>SUM(H198,H233,H271)</f>
        <v>0</v>
      </c>
      <c r="I197" s="234">
        <f t="shared" si="31"/>
        <v>0</v>
      </c>
      <c r="J197" s="230">
        <f>SUM(J198,J233,J271)</f>
        <v>0</v>
      </c>
      <c r="K197" s="233">
        <f>SUM(K198,K233,K271)</f>
        <v>0</v>
      </c>
      <c r="L197" s="234">
        <f t="shared" si="32"/>
        <v>0</v>
      </c>
      <c r="M197" s="340">
        <f>SUM(M198,M233,M271)</f>
        <v>0</v>
      </c>
      <c r="N197" s="341">
        <f>SUM(N198,N233,N271)</f>
        <v>0</v>
      </c>
      <c r="O197" s="342">
        <f t="shared" si="33"/>
        <v>0</v>
      </c>
      <c r="P197" s="343"/>
    </row>
    <row r="198" spans="1:16" x14ac:dyDescent="0.25">
      <c r="A198" s="237">
        <v>5000</v>
      </c>
      <c r="B198" s="237" t="s">
        <v>214</v>
      </c>
      <c r="C198" s="238">
        <f>F198+I198+L198+O198</f>
        <v>2113259</v>
      </c>
      <c r="D198" s="239">
        <f>D199+D207</f>
        <v>2112340</v>
      </c>
      <c r="E198" s="620">
        <f>E199+E207</f>
        <v>919</v>
      </c>
      <c r="F198" s="241">
        <f t="shared" si="30"/>
        <v>2113259</v>
      </c>
      <c r="G198" s="239">
        <f>G199+G207</f>
        <v>0</v>
      </c>
      <c r="H198" s="242">
        <f>H199+H207</f>
        <v>0</v>
      </c>
      <c r="I198" s="243">
        <f t="shared" si="31"/>
        <v>0</v>
      </c>
      <c r="J198" s="239">
        <f>J199+J207</f>
        <v>0</v>
      </c>
      <c r="K198" s="242">
        <f>K199+K207</f>
        <v>0</v>
      </c>
      <c r="L198" s="243">
        <f t="shared" si="32"/>
        <v>0</v>
      </c>
      <c r="M198" s="244">
        <f>M199+M207</f>
        <v>0</v>
      </c>
      <c r="N198" s="245">
        <f>N199+N207</f>
        <v>0</v>
      </c>
      <c r="O198" s="243">
        <f t="shared" si="33"/>
        <v>0</v>
      </c>
      <c r="P198" s="246"/>
    </row>
    <row r="199" spans="1:16" hidden="1" x14ac:dyDescent="0.25">
      <c r="A199" s="99">
        <v>5100</v>
      </c>
      <c r="B199" s="247" t="s">
        <v>215</v>
      </c>
      <c r="C199" s="100">
        <f t="shared" si="26"/>
        <v>0</v>
      </c>
      <c r="D199" s="112">
        <f>D200+D201+D204+D205+D206</f>
        <v>0</v>
      </c>
      <c r="E199" s="293">
        <f>E200+E201+E204+E205+E206</f>
        <v>0</v>
      </c>
      <c r="F199" s="313">
        <f t="shared" si="30"/>
        <v>0</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row>
    <row r="200" spans="1:16" hidden="1" x14ac:dyDescent="0.25">
      <c r="A200" s="609">
        <v>5110</v>
      </c>
      <c r="B200" s="116" t="s">
        <v>216</v>
      </c>
      <c r="C200" s="117">
        <f t="shared" si="26"/>
        <v>0</v>
      </c>
      <c r="D200" s="123"/>
      <c r="E200" s="262"/>
      <c r="F200" s="263">
        <f t="shared" si="30"/>
        <v>0</v>
      </c>
      <c r="G200" s="123"/>
      <c r="H200" s="124"/>
      <c r="I200" s="125">
        <f t="shared" si="31"/>
        <v>0</v>
      </c>
      <c r="J200" s="123"/>
      <c r="K200" s="124"/>
      <c r="L200" s="125">
        <f t="shared" si="32"/>
        <v>0</v>
      </c>
      <c r="M200" s="264"/>
      <c r="N200" s="262"/>
      <c r="O200" s="125">
        <f t="shared" si="33"/>
        <v>0</v>
      </c>
      <c r="P200" s="74"/>
    </row>
    <row r="201" spans="1:16" ht="24" hidden="1" x14ac:dyDescent="0.25">
      <c r="A201" s="276">
        <v>5120</v>
      </c>
      <c r="B201" s="127" t="s">
        <v>217</v>
      </c>
      <c r="C201" s="128">
        <f t="shared" si="26"/>
        <v>0</v>
      </c>
      <c r="D201" s="277">
        <f>D202+D203</f>
        <v>0</v>
      </c>
      <c r="E201" s="282">
        <f>E202+E203</f>
        <v>0</v>
      </c>
      <c r="F201" s="286">
        <f t="shared" si="30"/>
        <v>0</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row>
    <row r="202" spans="1:16" hidden="1" x14ac:dyDescent="0.25">
      <c r="A202" s="76">
        <v>5121</v>
      </c>
      <c r="B202" s="127" t="s">
        <v>218</v>
      </c>
      <c r="C202" s="128">
        <f t="shared" si="26"/>
        <v>0</v>
      </c>
      <c r="D202" s="134"/>
      <c r="E202" s="285"/>
      <c r="F202" s="286">
        <f t="shared" si="30"/>
        <v>0</v>
      </c>
      <c r="G202" s="134"/>
      <c r="H202" s="135"/>
      <c r="I202" s="136">
        <f t="shared" si="31"/>
        <v>0</v>
      </c>
      <c r="J202" s="134"/>
      <c r="K202" s="135"/>
      <c r="L202" s="136">
        <f t="shared" si="32"/>
        <v>0</v>
      </c>
      <c r="M202" s="284"/>
      <c r="N202" s="285"/>
      <c r="O202" s="136">
        <f t="shared" si="33"/>
        <v>0</v>
      </c>
      <c r="P202" s="85"/>
    </row>
    <row r="203" spans="1:16" ht="24" hidden="1" x14ac:dyDescent="0.25">
      <c r="A203" s="76">
        <v>5129</v>
      </c>
      <c r="B203" s="127" t="s">
        <v>219</v>
      </c>
      <c r="C203" s="128">
        <f t="shared" si="26"/>
        <v>0</v>
      </c>
      <c r="D203" s="134"/>
      <c r="E203" s="285"/>
      <c r="F203" s="286">
        <f t="shared" si="30"/>
        <v>0</v>
      </c>
      <c r="G203" s="134"/>
      <c r="H203" s="135"/>
      <c r="I203" s="136">
        <f t="shared" si="31"/>
        <v>0</v>
      </c>
      <c r="J203" s="134"/>
      <c r="K203" s="135"/>
      <c r="L203" s="136">
        <f t="shared" si="32"/>
        <v>0</v>
      </c>
      <c r="M203" s="284"/>
      <c r="N203" s="285"/>
      <c r="O203" s="136">
        <f t="shared" si="33"/>
        <v>0</v>
      </c>
      <c r="P203" s="85"/>
    </row>
    <row r="204" spans="1:16" hidden="1" x14ac:dyDescent="0.25">
      <c r="A204" s="276">
        <v>5130</v>
      </c>
      <c r="B204" s="127" t="s">
        <v>220</v>
      </c>
      <c r="C204" s="128">
        <f t="shared" si="26"/>
        <v>0</v>
      </c>
      <c r="D204" s="134"/>
      <c r="E204" s="285"/>
      <c r="F204" s="286">
        <f t="shared" si="30"/>
        <v>0</v>
      </c>
      <c r="G204" s="134"/>
      <c r="H204" s="135"/>
      <c r="I204" s="136">
        <f t="shared" si="31"/>
        <v>0</v>
      </c>
      <c r="J204" s="134"/>
      <c r="K204" s="135"/>
      <c r="L204" s="136">
        <f t="shared" si="32"/>
        <v>0</v>
      </c>
      <c r="M204" s="284"/>
      <c r="N204" s="285"/>
      <c r="O204" s="136">
        <f t="shared" si="33"/>
        <v>0</v>
      </c>
      <c r="P204" s="85"/>
    </row>
    <row r="205" spans="1:16" hidden="1" x14ac:dyDescent="0.25">
      <c r="A205" s="276">
        <v>5140</v>
      </c>
      <c r="B205" s="127" t="s">
        <v>221</v>
      </c>
      <c r="C205" s="128">
        <f t="shared" si="26"/>
        <v>0</v>
      </c>
      <c r="D205" s="134"/>
      <c r="E205" s="285"/>
      <c r="F205" s="286">
        <f t="shared" si="30"/>
        <v>0</v>
      </c>
      <c r="G205" s="134"/>
      <c r="H205" s="135"/>
      <c r="I205" s="136">
        <f t="shared" si="31"/>
        <v>0</v>
      </c>
      <c r="J205" s="134"/>
      <c r="K205" s="135"/>
      <c r="L205" s="136">
        <f t="shared" si="32"/>
        <v>0</v>
      </c>
      <c r="M205" s="284"/>
      <c r="N205" s="285"/>
      <c r="O205" s="136">
        <f t="shared" si="33"/>
        <v>0</v>
      </c>
      <c r="P205" s="85"/>
    </row>
    <row r="206" spans="1:16" ht="24" hidden="1" x14ac:dyDescent="0.25">
      <c r="A206" s="276">
        <v>5170</v>
      </c>
      <c r="B206" s="127" t="s">
        <v>222</v>
      </c>
      <c r="C206" s="128">
        <f t="shared" si="26"/>
        <v>0</v>
      </c>
      <c r="D206" s="134"/>
      <c r="E206" s="285"/>
      <c r="F206" s="286">
        <f t="shared" si="30"/>
        <v>0</v>
      </c>
      <c r="G206" s="134"/>
      <c r="H206" s="135"/>
      <c r="I206" s="136">
        <f t="shared" si="31"/>
        <v>0</v>
      </c>
      <c r="J206" s="134"/>
      <c r="K206" s="135"/>
      <c r="L206" s="136">
        <f t="shared" si="32"/>
        <v>0</v>
      </c>
      <c r="M206" s="284"/>
      <c r="N206" s="285"/>
      <c r="O206" s="136">
        <f t="shared" si="33"/>
        <v>0</v>
      </c>
      <c r="P206" s="85"/>
    </row>
    <row r="207" spans="1:16" x14ac:dyDescent="0.25">
      <c r="A207" s="99">
        <v>5200</v>
      </c>
      <c r="B207" s="247" t="s">
        <v>223</v>
      </c>
      <c r="C207" s="100">
        <f t="shared" si="26"/>
        <v>2113259</v>
      </c>
      <c r="D207" s="112">
        <f>D208+D218+D219+D228+D229+D230+D232</f>
        <v>2112340</v>
      </c>
      <c r="E207" s="621">
        <f>E208+E218+E219+E228+E229+E230+E232</f>
        <v>919</v>
      </c>
      <c r="F207" s="249">
        <f t="shared" si="30"/>
        <v>2113259</v>
      </c>
      <c r="G207" s="112">
        <f>G208+G218+G219+G228+G229+G230+G232</f>
        <v>0</v>
      </c>
      <c r="H207" s="113">
        <f>H208+H218+H219+H228+H229+H230+H232</f>
        <v>0</v>
      </c>
      <c r="I207" s="114">
        <f t="shared" si="31"/>
        <v>0</v>
      </c>
      <c r="J207" s="112">
        <f>J208+J218+J219+J228+J229+J230+J232</f>
        <v>0</v>
      </c>
      <c r="K207" s="113">
        <f>K208+K218+K219+K228+K229+K230+K232</f>
        <v>0</v>
      </c>
      <c r="L207" s="114">
        <f t="shared" si="32"/>
        <v>0</v>
      </c>
      <c r="M207" s="292">
        <f>M208+M218+M219+M228+M229+M230+M232</f>
        <v>0</v>
      </c>
      <c r="N207" s="293">
        <f>N208+N218+N219+N228+N229+N230+N232</f>
        <v>0</v>
      </c>
      <c r="O207" s="114">
        <f t="shared" si="33"/>
        <v>0</v>
      </c>
      <c r="P207" s="109"/>
    </row>
    <row r="208" spans="1:16" hidden="1" x14ac:dyDescent="0.25">
      <c r="A208" s="254">
        <v>5210</v>
      </c>
      <c r="B208" s="179" t="s">
        <v>224</v>
      </c>
      <c r="C208" s="191">
        <f t="shared" si="26"/>
        <v>0</v>
      </c>
      <c r="D208" s="255">
        <f>SUM(D209:D217)</f>
        <v>0</v>
      </c>
      <c r="E208" s="261">
        <f>SUM(E209:E217)</f>
        <v>0</v>
      </c>
      <c r="F208" s="310">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row>
    <row r="209" spans="1:16" hidden="1" x14ac:dyDescent="0.25">
      <c r="A209" s="66">
        <v>5211</v>
      </c>
      <c r="B209" s="116" t="s">
        <v>225</v>
      </c>
      <c r="C209" s="279">
        <f t="shared" si="26"/>
        <v>0</v>
      </c>
      <c r="D209" s="123"/>
      <c r="E209" s="262"/>
      <c r="F209" s="263">
        <f t="shared" si="30"/>
        <v>0</v>
      </c>
      <c r="G209" s="123"/>
      <c r="H209" s="124"/>
      <c r="I209" s="125">
        <f t="shared" si="31"/>
        <v>0</v>
      </c>
      <c r="J209" s="123"/>
      <c r="K209" s="124"/>
      <c r="L209" s="125">
        <f t="shared" si="32"/>
        <v>0</v>
      </c>
      <c r="M209" s="264"/>
      <c r="N209" s="262"/>
      <c r="O209" s="125">
        <f t="shared" si="33"/>
        <v>0</v>
      </c>
      <c r="P209" s="74"/>
    </row>
    <row r="210" spans="1:16" hidden="1" x14ac:dyDescent="0.25">
      <c r="A210" s="76">
        <v>5212</v>
      </c>
      <c r="B210" s="127" t="s">
        <v>226</v>
      </c>
      <c r="C210" s="279">
        <f t="shared" si="26"/>
        <v>0</v>
      </c>
      <c r="D210" s="134"/>
      <c r="E210" s="285"/>
      <c r="F210" s="286">
        <f t="shared" si="30"/>
        <v>0</v>
      </c>
      <c r="G210" s="134"/>
      <c r="H210" s="135"/>
      <c r="I210" s="136">
        <f t="shared" si="31"/>
        <v>0</v>
      </c>
      <c r="J210" s="134"/>
      <c r="K210" s="135"/>
      <c r="L210" s="136">
        <f t="shared" si="32"/>
        <v>0</v>
      </c>
      <c r="M210" s="284"/>
      <c r="N210" s="285"/>
      <c r="O210" s="136">
        <f t="shared" si="33"/>
        <v>0</v>
      </c>
      <c r="P210" s="85"/>
    </row>
    <row r="211" spans="1:16" hidden="1" x14ac:dyDescent="0.25">
      <c r="A211" s="76">
        <v>5213</v>
      </c>
      <c r="B211" s="127" t="s">
        <v>227</v>
      </c>
      <c r="C211" s="279">
        <f t="shared" si="26"/>
        <v>0</v>
      </c>
      <c r="D211" s="134"/>
      <c r="E211" s="285"/>
      <c r="F211" s="286">
        <f t="shared" si="30"/>
        <v>0</v>
      </c>
      <c r="G211" s="134"/>
      <c r="H211" s="135"/>
      <c r="I211" s="136">
        <f t="shared" si="31"/>
        <v>0</v>
      </c>
      <c r="J211" s="134"/>
      <c r="K211" s="135"/>
      <c r="L211" s="136">
        <f t="shared" si="32"/>
        <v>0</v>
      </c>
      <c r="M211" s="284"/>
      <c r="N211" s="285"/>
      <c r="O211" s="136">
        <f t="shared" si="33"/>
        <v>0</v>
      </c>
      <c r="P211" s="85"/>
    </row>
    <row r="212" spans="1:16" hidden="1" x14ac:dyDescent="0.25">
      <c r="A212" s="76">
        <v>5214</v>
      </c>
      <c r="B212" s="127" t="s">
        <v>228</v>
      </c>
      <c r="C212" s="279">
        <f t="shared" si="26"/>
        <v>0</v>
      </c>
      <c r="D212" s="134"/>
      <c r="E212" s="285"/>
      <c r="F212" s="286">
        <f t="shared" si="30"/>
        <v>0</v>
      </c>
      <c r="G212" s="134"/>
      <c r="H212" s="135"/>
      <c r="I212" s="136">
        <f t="shared" si="31"/>
        <v>0</v>
      </c>
      <c r="J212" s="134"/>
      <c r="K212" s="135"/>
      <c r="L212" s="136">
        <f t="shared" si="32"/>
        <v>0</v>
      </c>
      <c r="M212" s="284"/>
      <c r="N212" s="285"/>
      <c r="O212" s="136">
        <f t="shared" si="33"/>
        <v>0</v>
      </c>
      <c r="P212" s="85"/>
    </row>
    <row r="213" spans="1:16" hidden="1" x14ac:dyDescent="0.25">
      <c r="A213" s="76">
        <v>5215</v>
      </c>
      <c r="B213" s="127" t="s">
        <v>229</v>
      </c>
      <c r="C213" s="279">
        <f t="shared" si="26"/>
        <v>0</v>
      </c>
      <c r="D213" s="134"/>
      <c r="E213" s="285"/>
      <c r="F213" s="286">
        <f t="shared" si="30"/>
        <v>0</v>
      </c>
      <c r="G213" s="134"/>
      <c r="H213" s="135"/>
      <c r="I213" s="136">
        <f t="shared" si="31"/>
        <v>0</v>
      </c>
      <c r="J213" s="134"/>
      <c r="K213" s="135"/>
      <c r="L213" s="136">
        <f t="shared" si="32"/>
        <v>0</v>
      </c>
      <c r="M213" s="284"/>
      <c r="N213" s="285"/>
      <c r="O213" s="136">
        <f t="shared" si="33"/>
        <v>0</v>
      </c>
      <c r="P213" s="85"/>
    </row>
    <row r="214" spans="1:16" ht="24" hidden="1" x14ac:dyDescent="0.25">
      <c r="A214" s="76">
        <v>5216</v>
      </c>
      <c r="B214" s="127" t="s">
        <v>230</v>
      </c>
      <c r="C214" s="279">
        <f t="shared" si="26"/>
        <v>0</v>
      </c>
      <c r="D214" s="134"/>
      <c r="E214" s="285"/>
      <c r="F214" s="286">
        <f t="shared" si="30"/>
        <v>0</v>
      </c>
      <c r="G214" s="134"/>
      <c r="H214" s="135"/>
      <c r="I214" s="136">
        <f t="shared" si="31"/>
        <v>0</v>
      </c>
      <c r="J214" s="134"/>
      <c r="K214" s="135"/>
      <c r="L214" s="136">
        <f t="shared" si="32"/>
        <v>0</v>
      </c>
      <c r="M214" s="284"/>
      <c r="N214" s="285"/>
      <c r="O214" s="136">
        <f t="shared" si="33"/>
        <v>0</v>
      </c>
      <c r="P214" s="85"/>
    </row>
    <row r="215" spans="1:16" hidden="1" x14ac:dyDescent="0.25">
      <c r="A215" s="76">
        <v>5217</v>
      </c>
      <c r="B215" s="127" t="s">
        <v>231</v>
      </c>
      <c r="C215" s="279">
        <f t="shared" si="26"/>
        <v>0</v>
      </c>
      <c r="D215" s="134"/>
      <c r="E215" s="285"/>
      <c r="F215" s="286">
        <f t="shared" si="30"/>
        <v>0</v>
      </c>
      <c r="G215" s="134"/>
      <c r="H215" s="135"/>
      <c r="I215" s="136">
        <f t="shared" si="31"/>
        <v>0</v>
      </c>
      <c r="J215" s="134"/>
      <c r="K215" s="135"/>
      <c r="L215" s="136">
        <f t="shared" si="32"/>
        <v>0</v>
      </c>
      <c r="M215" s="284"/>
      <c r="N215" s="285"/>
      <c r="O215" s="136">
        <f t="shared" si="33"/>
        <v>0</v>
      </c>
      <c r="P215" s="85"/>
    </row>
    <row r="216" spans="1:16" hidden="1" x14ac:dyDescent="0.25">
      <c r="A216" s="76">
        <v>5218</v>
      </c>
      <c r="B216" s="127" t="s">
        <v>232</v>
      </c>
      <c r="C216" s="279">
        <f t="shared" si="26"/>
        <v>0</v>
      </c>
      <c r="D216" s="134"/>
      <c r="E216" s="285"/>
      <c r="F216" s="286">
        <f t="shared" si="30"/>
        <v>0</v>
      </c>
      <c r="G216" s="134"/>
      <c r="H216" s="135"/>
      <c r="I216" s="136">
        <f t="shared" si="31"/>
        <v>0</v>
      </c>
      <c r="J216" s="134"/>
      <c r="K216" s="135"/>
      <c r="L216" s="136">
        <f t="shared" si="32"/>
        <v>0</v>
      </c>
      <c r="M216" s="284"/>
      <c r="N216" s="285"/>
      <c r="O216" s="136">
        <f t="shared" si="33"/>
        <v>0</v>
      </c>
      <c r="P216" s="85"/>
    </row>
    <row r="217" spans="1:16" hidden="1" x14ac:dyDescent="0.25">
      <c r="A217" s="76">
        <v>5219</v>
      </c>
      <c r="B217" s="127" t="s">
        <v>233</v>
      </c>
      <c r="C217" s="279">
        <f t="shared" si="26"/>
        <v>0</v>
      </c>
      <c r="D217" s="134"/>
      <c r="E217" s="285"/>
      <c r="F217" s="286">
        <f t="shared" si="30"/>
        <v>0</v>
      </c>
      <c r="G217" s="134"/>
      <c r="H217" s="135"/>
      <c r="I217" s="136">
        <f t="shared" si="31"/>
        <v>0</v>
      </c>
      <c r="J217" s="134"/>
      <c r="K217" s="135"/>
      <c r="L217" s="136">
        <f t="shared" si="32"/>
        <v>0</v>
      </c>
      <c r="M217" s="284"/>
      <c r="N217" s="285"/>
      <c r="O217" s="136">
        <f t="shared" si="33"/>
        <v>0</v>
      </c>
      <c r="P217" s="85"/>
    </row>
    <row r="218" spans="1:16" hidden="1" x14ac:dyDescent="0.25">
      <c r="A218" s="276">
        <v>5220</v>
      </c>
      <c r="B218" s="127" t="s">
        <v>234</v>
      </c>
      <c r="C218" s="279">
        <f t="shared" si="26"/>
        <v>0</v>
      </c>
      <c r="D218" s="134"/>
      <c r="E218" s="285"/>
      <c r="F218" s="286">
        <f t="shared" si="30"/>
        <v>0</v>
      </c>
      <c r="G218" s="134"/>
      <c r="H218" s="135"/>
      <c r="I218" s="136">
        <f t="shared" si="31"/>
        <v>0</v>
      </c>
      <c r="J218" s="134"/>
      <c r="K218" s="135"/>
      <c r="L218" s="136">
        <f t="shared" si="32"/>
        <v>0</v>
      </c>
      <c r="M218" s="284"/>
      <c r="N218" s="285"/>
      <c r="O218" s="136">
        <f t="shared" si="33"/>
        <v>0</v>
      </c>
      <c r="P218" s="85"/>
    </row>
    <row r="219" spans="1:16" hidden="1" x14ac:dyDescent="0.25">
      <c r="A219" s="276">
        <v>5230</v>
      </c>
      <c r="B219" s="127" t="s">
        <v>235</v>
      </c>
      <c r="C219" s="279">
        <f t="shared" si="26"/>
        <v>0</v>
      </c>
      <c r="D219" s="277">
        <f>SUM(D220:D227)</f>
        <v>0</v>
      </c>
      <c r="E219" s="282">
        <f>SUM(E220:E227)</f>
        <v>0</v>
      </c>
      <c r="F219" s="286">
        <f t="shared" si="30"/>
        <v>0</v>
      </c>
      <c r="G219" s="277">
        <f>SUM(G220:G227)</f>
        <v>0</v>
      </c>
      <c r="H219" s="280">
        <f>SUM(H220:H227)</f>
        <v>0</v>
      </c>
      <c r="I219" s="136">
        <f t="shared" si="31"/>
        <v>0</v>
      </c>
      <c r="J219" s="277">
        <f>SUM(J220:J227)</f>
        <v>0</v>
      </c>
      <c r="K219" s="280">
        <f>SUM(K220:K227)</f>
        <v>0</v>
      </c>
      <c r="L219" s="136">
        <f t="shared" si="32"/>
        <v>0</v>
      </c>
      <c r="M219" s="281">
        <f>SUM(M220:M227)</f>
        <v>0</v>
      </c>
      <c r="N219" s="282">
        <f>SUM(N220:N227)</f>
        <v>0</v>
      </c>
      <c r="O219" s="136">
        <f t="shared" si="33"/>
        <v>0</v>
      </c>
      <c r="P219" s="85"/>
    </row>
    <row r="220" spans="1:16" hidden="1" x14ac:dyDescent="0.25">
      <c r="A220" s="76">
        <v>5231</v>
      </c>
      <c r="B220" s="127" t="s">
        <v>236</v>
      </c>
      <c r="C220" s="279">
        <f t="shared" si="26"/>
        <v>0</v>
      </c>
      <c r="D220" s="134"/>
      <c r="E220" s="285"/>
      <c r="F220" s="286">
        <f t="shared" si="30"/>
        <v>0</v>
      </c>
      <c r="G220" s="134"/>
      <c r="H220" s="135"/>
      <c r="I220" s="136">
        <f t="shared" si="31"/>
        <v>0</v>
      </c>
      <c r="J220" s="134"/>
      <c r="K220" s="135"/>
      <c r="L220" s="136">
        <f t="shared" si="32"/>
        <v>0</v>
      </c>
      <c r="M220" s="284"/>
      <c r="N220" s="285"/>
      <c r="O220" s="136">
        <f t="shared" si="33"/>
        <v>0</v>
      </c>
      <c r="P220" s="85"/>
    </row>
    <row r="221" spans="1:16" hidden="1" x14ac:dyDescent="0.25">
      <c r="A221" s="76">
        <v>5232</v>
      </c>
      <c r="B221" s="127" t="s">
        <v>237</v>
      </c>
      <c r="C221" s="279">
        <f t="shared" si="26"/>
        <v>0</v>
      </c>
      <c r="D221" s="134"/>
      <c r="E221" s="285"/>
      <c r="F221" s="286">
        <f t="shared" si="30"/>
        <v>0</v>
      </c>
      <c r="G221" s="134"/>
      <c r="H221" s="135"/>
      <c r="I221" s="136">
        <f t="shared" si="31"/>
        <v>0</v>
      </c>
      <c r="J221" s="134"/>
      <c r="K221" s="135"/>
      <c r="L221" s="136">
        <f t="shared" si="32"/>
        <v>0</v>
      </c>
      <c r="M221" s="284"/>
      <c r="N221" s="285"/>
      <c r="O221" s="136">
        <f t="shared" si="33"/>
        <v>0</v>
      </c>
      <c r="P221" s="85"/>
    </row>
    <row r="222" spans="1:16" hidden="1" x14ac:dyDescent="0.25">
      <c r="A222" s="76">
        <v>5233</v>
      </c>
      <c r="B222" s="127" t="s">
        <v>238</v>
      </c>
      <c r="C222" s="279">
        <f t="shared" si="26"/>
        <v>0</v>
      </c>
      <c r="D222" s="134"/>
      <c r="E222" s="285"/>
      <c r="F222" s="286">
        <f t="shared" si="30"/>
        <v>0</v>
      </c>
      <c r="G222" s="134"/>
      <c r="H222" s="135"/>
      <c r="I222" s="136">
        <f t="shared" si="31"/>
        <v>0</v>
      </c>
      <c r="J222" s="134"/>
      <c r="K222" s="135"/>
      <c r="L222" s="136">
        <f t="shared" si="32"/>
        <v>0</v>
      </c>
      <c r="M222" s="284"/>
      <c r="N222" s="285"/>
      <c r="O222" s="136">
        <f t="shared" si="33"/>
        <v>0</v>
      </c>
      <c r="P222" s="85"/>
    </row>
    <row r="223" spans="1:16" ht="24" hidden="1" x14ac:dyDescent="0.25">
      <c r="A223" s="76">
        <v>5234</v>
      </c>
      <c r="B223" s="127" t="s">
        <v>239</v>
      </c>
      <c r="C223" s="279">
        <f t="shared" si="26"/>
        <v>0</v>
      </c>
      <c r="D223" s="134"/>
      <c r="E223" s="285"/>
      <c r="F223" s="286">
        <f t="shared" si="30"/>
        <v>0</v>
      </c>
      <c r="G223" s="134"/>
      <c r="H223" s="135"/>
      <c r="I223" s="136">
        <f t="shared" si="31"/>
        <v>0</v>
      </c>
      <c r="J223" s="134"/>
      <c r="K223" s="135"/>
      <c r="L223" s="136">
        <f t="shared" si="32"/>
        <v>0</v>
      </c>
      <c r="M223" s="284"/>
      <c r="N223" s="285"/>
      <c r="O223" s="136">
        <f t="shared" si="33"/>
        <v>0</v>
      </c>
      <c r="P223" s="85"/>
    </row>
    <row r="224" spans="1:16" hidden="1" x14ac:dyDescent="0.25">
      <c r="A224" s="76">
        <v>5236</v>
      </c>
      <c r="B224" s="127" t="s">
        <v>240</v>
      </c>
      <c r="C224" s="279">
        <f t="shared" si="26"/>
        <v>0</v>
      </c>
      <c r="D224" s="134"/>
      <c r="E224" s="285"/>
      <c r="F224" s="286">
        <f t="shared" si="30"/>
        <v>0</v>
      </c>
      <c r="G224" s="134"/>
      <c r="H224" s="135"/>
      <c r="I224" s="136">
        <f t="shared" si="31"/>
        <v>0</v>
      </c>
      <c r="J224" s="134"/>
      <c r="K224" s="135"/>
      <c r="L224" s="136">
        <f t="shared" si="32"/>
        <v>0</v>
      </c>
      <c r="M224" s="284"/>
      <c r="N224" s="285"/>
      <c r="O224" s="136">
        <f t="shared" si="33"/>
        <v>0</v>
      </c>
      <c r="P224" s="85"/>
    </row>
    <row r="225" spans="1:16" hidden="1" x14ac:dyDescent="0.25">
      <c r="A225" s="76">
        <v>5237</v>
      </c>
      <c r="B225" s="127" t="s">
        <v>241</v>
      </c>
      <c r="C225" s="279">
        <f t="shared" si="26"/>
        <v>0</v>
      </c>
      <c r="D225" s="134"/>
      <c r="E225" s="285"/>
      <c r="F225" s="286">
        <f t="shared" si="30"/>
        <v>0</v>
      </c>
      <c r="G225" s="134"/>
      <c r="H225" s="135"/>
      <c r="I225" s="136">
        <f t="shared" si="31"/>
        <v>0</v>
      </c>
      <c r="J225" s="134"/>
      <c r="K225" s="135"/>
      <c r="L225" s="136">
        <f t="shared" si="32"/>
        <v>0</v>
      </c>
      <c r="M225" s="284"/>
      <c r="N225" s="285"/>
      <c r="O225" s="136">
        <f t="shared" si="33"/>
        <v>0</v>
      </c>
      <c r="P225" s="85"/>
    </row>
    <row r="226" spans="1:16" ht="24" hidden="1" x14ac:dyDescent="0.25">
      <c r="A226" s="76">
        <v>5238</v>
      </c>
      <c r="B226" s="127" t="s">
        <v>242</v>
      </c>
      <c r="C226" s="279">
        <f t="shared" si="26"/>
        <v>0</v>
      </c>
      <c r="D226" s="134"/>
      <c r="E226" s="285"/>
      <c r="F226" s="286">
        <f t="shared" si="30"/>
        <v>0</v>
      </c>
      <c r="G226" s="134"/>
      <c r="H226" s="135"/>
      <c r="I226" s="136">
        <f t="shared" si="31"/>
        <v>0</v>
      </c>
      <c r="J226" s="134"/>
      <c r="K226" s="135"/>
      <c r="L226" s="136">
        <f t="shared" si="32"/>
        <v>0</v>
      </c>
      <c r="M226" s="284"/>
      <c r="N226" s="285"/>
      <c r="O226" s="136">
        <f t="shared" si="33"/>
        <v>0</v>
      </c>
      <c r="P226" s="85"/>
    </row>
    <row r="227" spans="1:16" ht="24" hidden="1" x14ac:dyDescent="0.25">
      <c r="A227" s="76">
        <v>5239</v>
      </c>
      <c r="B227" s="127" t="s">
        <v>243</v>
      </c>
      <c r="C227" s="279">
        <f t="shared" si="26"/>
        <v>0</v>
      </c>
      <c r="D227" s="134"/>
      <c r="E227" s="285"/>
      <c r="F227" s="286">
        <f t="shared" si="30"/>
        <v>0</v>
      </c>
      <c r="G227" s="134"/>
      <c r="H227" s="135"/>
      <c r="I227" s="136">
        <f t="shared" si="31"/>
        <v>0</v>
      </c>
      <c r="J227" s="134"/>
      <c r="K227" s="135"/>
      <c r="L227" s="136">
        <f t="shared" si="32"/>
        <v>0</v>
      </c>
      <c r="M227" s="284"/>
      <c r="N227" s="285"/>
      <c r="O227" s="136">
        <f t="shared" si="33"/>
        <v>0</v>
      </c>
      <c r="P227" s="85"/>
    </row>
    <row r="228" spans="1:16" ht="24" x14ac:dyDescent="0.25">
      <c r="A228" s="276">
        <v>5240</v>
      </c>
      <c r="B228" s="127" t="s">
        <v>244</v>
      </c>
      <c r="C228" s="279">
        <f t="shared" si="26"/>
        <v>2113259</v>
      </c>
      <c r="D228" s="134">
        <f>2140970-28630</f>
        <v>2112340</v>
      </c>
      <c r="E228" s="622">
        <v>919</v>
      </c>
      <c r="F228" s="279">
        <f t="shared" si="30"/>
        <v>2113259</v>
      </c>
      <c r="G228" s="134"/>
      <c r="H228" s="135"/>
      <c r="I228" s="136">
        <f t="shared" si="31"/>
        <v>0</v>
      </c>
      <c r="J228" s="134"/>
      <c r="K228" s="135"/>
      <c r="L228" s="136">
        <f t="shared" si="32"/>
        <v>0</v>
      </c>
      <c r="M228" s="284"/>
      <c r="N228" s="285"/>
      <c r="O228" s="136">
        <f t="shared" si="33"/>
        <v>0</v>
      </c>
      <c r="P228" s="85" t="s">
        <v>513</v>
      </c>
    </row>
    <row r="229" spans="1:16" hidden="1" x14ac:dyDescent="0.25">
      <c r="A229" s="276">
        <v>5250</v>
      </c>
      <c r="B229" s="127" t="s">
        <v>245</v>
      </c>
      <c r="C229" s="279">
        <f t="shared" si="26"/>
        <v>0</v>
      </c>
      <c r="D229" s="134"/>
      <c r="E229" s="285"/>
      <c r="F229" s="286">
        <f t="shared" si="30"/>
        <v>0</v>
      </c>
      <c r="G229" s="134"/>
      <c r="H229" s="135"/>
      <c r="I229" s="136">
        <f t="shared" si="31"/>
        <v>0</v>
      </c>
      <c r="J229" s="134"/>
      <c r="K229" s="135"/>
      <c r="L229" s="136">
        <f t="shared" si="32"/>
        <v>0</v>
      </c>
      <c r="M229" s="284"/>
      <c r="N229" s="285"/>
      <c r="O229" s="136">
        <f t="shared" si="33"/>
        <v>0</v>
      </c>
      <c r="P229" s="85"/>
    </row>
    <row r="230" spans="1:16" hidden="1" x14ac:dyDescent="0.25">
      <c r="A230" s="276">
        <v>5260</v>
      </c>
      <c r="B230" s="127" t="s">
        <v>246</v>
      </c>
      <c r="C230" s="279">
        <f t="shared" si="26"/>
        <v>0</v>
      </c>
      <c r="D230" s="277">
        <f>SUM(D231)</f>
        <v>0</v>
      </c>
      <c r="E230" s="282">
        <f>SUM(E231)</f>
        <v>0</v>
      </c>
      <c r="F230" s="286">
        <f t="shared" si="30"/>
        <v>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row>
    <row r="231" spans="1:16" ht="24" hidden="1" x14ac:dyDescent="0.25">
      <c r="A231" s="76">
        <v>5269</v>
      </c>
      <c r="B231" s="127" t="s">
        <v>247</v>
      </c>
      <c r="C231" s="279">
        <f t="shared" si="26"/>
        <v>0</v>
      </c>
      <c r="D231" s="134"/>
      <c r="E231" s="285"/>
      <c r="F231" s="286">
        <f t="shared" si="30"/>
        <v>0</v>
      </c>
      <c r="G231" s="134"/>
      <c r="H231" s="135"/>
      <c r="I231" s="136">
        <f t="shared" si="31"/>
        <v>0</v>
      </c>
      <c r="J231" s="134"/>
      <c r="K231" s="135"/>
      <c r="L231" s="136">
        <f t="shared" si="32"/>
        <v>0</v>
      </c>
      <c r="M231" s="284"/>
      <c r="N231" s="285"/>
      <c r="O231" s="136">
        <f t="shared" si="33"/>
        <v>0</v>
      </c>
      <c r="P231" s="85"/>
    </row>
    <row r="232" spans="1:16" ht="24" hidden="1" x14ac:dyDescent="0.25">
      <c r="A232" s="254">
        <v>5270</v>
      </c>
      <c r="B232" s="179" t="s">
        <v>248</v>
      </c>
      <c r="C232" s="302">
        <f t="shared" si="26"/>
        <v>0</v>
      </c>
      <c r="D232" s="287"/>
      <c r="E232" s="291"/>
      <c r="F232" s="310">
        <f t="shared" si="30"/>
        <v>0</v>
      </c>
      <c r="G232" s="287"/>
      <c r="H232" s="289"/>
      <c r="I232" s="259">
        <f t="shared" si="31"/>
        <v>0</v>
      </c>
      <c r="J232" s="287"/>
      <c r="K232" s="289"/>
      <c r="L232" s="259">
        <f t="shared" si="32"/>
        <v>0</v>
      </c>
      <c r="M232" s="290"/>
      <c r="N232" s="291"/>
      <c r="O232" s="259">
        <f t="shared" si="33"/>
        <v>0</v>
      </c>
      <c r="P232" s="189"/>
    </row>
    <row r="233" spans="1:16" hidden="1" x14ac:dyDescent="0.25">
      <c r="A233" s="237">
        <v>6000</v>
      </c>
      <c r="B233" s="237" t="s">
        <v>249</v>
      </c>
      <c r="C233" s="238">
        <f t="shared" si="26"/>
        <v>0</v>
      </c>
      <c r="D233" s="239">
        <f>D234+D254+D261</f>
        <v>0</v>
      </c>
      <c r="E233" s="245">
        <f>E234+E254+E261</f>
        <v>0</v>
      </c>
      <c r="F233" s="320">
        <f t="shared" si="30"/>
        <v>0</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row>
    <row r="234" spans="1:16"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row>
    <row r="235" spans="1:16" ht="24" hidden="1" x14ac:dyDescent="0.25">
      <c r="A235" s="609">
        <v>6220</v>
      </c>
      <c r="B235" s="116" t="s">
        <v>251</v>
      </c>
      <c r="C235" s="298">
        <f t="shared" si="26"/>
        <v>0</v>
      </c>
      <c r="D235" s="123"/>
      <c r="E235" s="262"/>
      <c r="F235" s="263">
        <f t="shared" si="30"/>
        <v>0</v>
      </c>
      <c r="G235" s="123"/>
      <c r="H235" s="124"/>
      <c r="I235" s="125">
        <f t="shared" si="31"/>
        <v>0</v>
      </c>
      <c r="J235" s="123"/>
      <c r="K235" s="124"/>
      <c r="L235" s="125">
        <f t="shared" si="32"/>
        <v>0</v>
      </c>
      <c r="M235" s="264"/>
      <c r="N235" s="262"/>
      <c r="O235" s="125">
        <f t="shared" si="33"/>
        <v>0</v>
      </c>
      <c r="P235" s="74"/>
    </row>
    <row r="236" spans="1:16" hidden="1" x14ac:dyDescent="0.25">
      <c r="A236" s="276">
        <v>6230</v>
      </c>
      <c r="B236" s="127" t="s">
        <v>252</v>
      </c>
      <c r="C236" s="278">
        <f t="shared" si="26"/>
        <v>0</v>
      </c>
      <c r="D236" s="277">
        <f>SUM(D237)</f>
        <v>0</v>
      </c>
      <c r="E236" s="280">
        <f>SUM(E237)</f>
        <v>0</v>
      </c>
      <c r="F236" s="28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row>
    <row r="237" spans="1:16" ht="24" hidden="1" x14ac:dyDescent="0.25">
      <c r="A237" s="76">
        <v>6239</v>
      </c>
      <c r="B237" s="116" t="s">
        <v>253</v>
      </c>
      <c r="C237" s="278">
        <f t="shared" si="26"/>
        <v>0</v>
      </c>
      <c r="D237" s="134"/>
      <c r="E237" s="285"/>
      <c r="F237" s="286">
        <f t="shared" si="30"/>
        <v>0</v>
      </c>
      <c r="G237" s="134"/>
      <c r="H237" s="135"/>
      <c r="I237" s="136">
        <f t="shared" si="31"/>
        <v>0</v>
      </c>
      <c r="J237" s="134"/>
      <c r="K237" s="135"/>
      <c r="L237" s="136">
        <f t="shared" si="32"/>
        <v>0</v>
      </c>
      <c r="M237" s="284"/>
      <c r="N237" s="285"/>
      <c r="O237" s="136">
        <f t="shared" si="33"/>
        <v>0</v>
      </c>
      <c r="P237" s="85"/>
    </row>
    <row r="238" spans="1:16" ht="24" hidden="1" x14ac:dyDescent="0.25">
      <c r="A238" s="276">
        <v>6240</v>
      </c>
      <c r="B238" s="127" t="s">
        <v>254</v>
      </c>
      <c r="C238" s="278">
        <f t="shared" si="26"/>
        <v>0</v>
      </c>
      <c r="D238" s="277">
        <f>SUM(D239:D240)</f>
        <v>0</v>
      </c>
      <c r="E238" s="282">
        <f>SUM(E239:E240)</f>
        <v>0</v>
      </c>
      <c r="F238" s="28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row>
    <row r="239" spans="1:16" hidden="1" x14ac:dyDescent="0.25">
      <c r="A239" s="76">
        <v>6241</v>
      </c>
      <c r="B239" s="127" t="s">
        <v>255</v>
      </c>
      <c r="C239" s="278">
        <f t="shared" si="26"/>
        <v>0</v>
      </c>
      <c r="D239" s="134"/>
      <c r="E239" s="285"/>
      <c r="F239" s="286">
        <f t="shared" si="30"/>
        <v>0</v>
      </c>
      <c r="G239" s="134"/>
      <c r="H239" s="135"/>
      <c r="I239" s="136">
        <f t="shared" si="31"/>
        <v>0</v>
      </c>
      <c r="J239" s="134"/>
      <c r="K239" s="135"/>
      <c r="L239" s="136">
        <f t="shared" si="32"/>
        <v>0</v>
      </c>
      <c r="M239" s="284"/>
      <c r="N239" s="285"/>
      <c r="O239" s="136">
        <f t="shared" si="33"/>
        <v>0</v>
      </c>
      <c r="P239" s="85"/>
    </row>
    <row r="240" spans="1:16" hidden="1" x14ac:dyDescent="0.25">
      <c r="A240" s="76">
        <v>6242</v>
      </c>
      <c r="B240" s="127" t="s">
        <v>256</v>
      </c>
      <c r="C240" s="278">
        <f t="shared" si="26"/>
        <v>0</v>
      </c>
      <c r="D240" s="134"/>
      <c r="E240" s="285"/>
      <c r="F240" s="286">
        <f t="shared" si="30"/>
        <v>0</v>
      </c>
      <c r="G240" s="134"/>
      <c r="H240" s="135"/>
      <c r="I240" s="136">
        <f t="shared" si="31"/>
        <v>0</v>
      </c>
      <c r="J240" s="134"/>
      <c r="K240" s="135"/>
      <c r="L240" s="136">
        <f t="shared" si="32"/>
        <v>0</v>
      </c>
      <c r="M240" s="284"/>
      <c r="N240" s="285"/>
      <c r="O240" s="136">
        <f t="shared" si="33"/>
        <v>0</v>
      </c>
      <c r="P240" s="85"/>
    </row>
    <row r="241" spans="1:16" ht="24" hidden="1" x14ac:dyDescent="0.25">
      <c r="A241" s="276">
        <v>6250</v>
      </c>
      <c r="B241" s="127" t="s">
        <v>257</v>
      </c>
      <c r="C241" s="278">
        <f t="shared" si="26"/>
        <v>0</v>
      </c>
      <c r="D241" s="277">
        <f>SUM(D242:D246)</f>
        <v>0</v>
      </c>
      <c r="E241" s="282">
        <f>SUM(E242:E246)</f>
        <v>0</v>
      </c>
      <c r="F241" s="28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row>
    <row r="242" spans="1:16" hidden="1" x14ac:dyDescent="0.25">
      <c r="A242" s="76">
        <v>6252</v>
      </c>
      <c r="B242" s="127" t="s">
        <v>258</v>
      </c>
      <c r="C242" s="278">
        <f t="shared" si="26"/>
        <v>0</v>
      </c>
      <c r="D242" s="134"/>
      <c r="E242" s="285"/>
      <c r="F242" s="286">
        <f t="shared" si="30"/>
        <v>0</v>
      </c>
      <c r="G242" s="134"/>
      <c r="H242" s="135"/>
      <c r="I242" s="136">
        <f t="shared" si="31"/>
        <v>0</v>
      </c>
      <c r="J242" s="134"/>
      <c r="K242" s="135"/>
      <c r="L242" s="136">
        <f t="shared" si="32"/>
        <v>0</v>
      </c>
      <c r="M242" s="284"/>
      <c r="N242" s="285"/>
      <c r="O242" s="136">
        <f t="shared" si="33"/>
        <v>0</v>
      </c>
      <c r="P242" s="85"/>
    </row>
    <row r="243" spans="1:16" hidden="1" x14ac:dyDescent="0.25">
      <c r="A243" s="76">
        <v>6253</v>
      </c>
      <c r="B243" s="127" t="s">
        <v>259</v>
      </c>
      <c r="C243" s="278">
        <f t="shared" si="26"/>
        <v>0</v>
      </c>
      <c r="D243" s="134"/>
      <c r="E243" s="285"/>
      <c r="F243" s="286">
        <f t="shared" si="30"/>
        <v>0</v>
      </c>
      <c r="G243" s="134"/>
      <c r="H243" s="135"/>
      <c r="I243" s="136">
        <f t="shared" si="31"/>
        <v>0</v>
      </c>
      <c r="J243" s="134"/>
      <c r="K243" s="135"/>
      <c r="L243" s="136">
        <f t="shared" si="32"/>
        <v>0</v>
      </c>
      <c r="M243" s="284"/>
      <c r="N243" s="285"/>
      <c r="O243" s="136">
        <f t="shared" si="33"/>
        <v>0</v>
      </c>
      <c r="P243" s="85"/>
    </row>
    <row r="244" spans="1:16" ht="24" hidden="1" x14ac:dyDescent="0.25">
      <c r="A244" s="76">
        <v>6254</v>
      </c>
      <c r="B244" s="127" t="s">
        <v>260</v>
      </c>
      <c r="C244" s="278">
        <f t="shared" si="26"/>
        <v>0</v>
      </c>
      <c r="D244" s="134"/>
      <c r="E244" s="285"/>
      <c r="F244" s="286">
        <f t="shared" si="30"/>
        <v>0</v>
      </c>
      <c r="G244" s="134"/>
      <c r="H244" s="135"/>
      <c r="I244" s="136">
        <f t="shared" si="31"/>
        <v>0</v>
      </c>
      <c r="J244" s="134"/>
      <c r="K244" s="135"/>
      <c r="L244" s="136">
        <f t="shared" si="32"/>
        <v>0</v>
      </c>
      <c r="M244" s="284"/>
      <c r="N244" s="285"/>
      <c r="O244" s="136">
        <f t="shared" si="33"/>
        <v>0</v>
      </c>
      <c r="P244" s="85"/>
    </row>
    <row r="245" spans="1:16" ht="24" hidden="1" x14ac:dyDescent="0.25">
      <c r="A245" s="76">
        <v>6255</v>
      </c>
      <c r="B245" s="127" t="s">
        <v>261</v>
      </c>
      <c r="C245" s="278">
        <f t="shared" si="26"/>
        <v>0</v>
      </c>
      <c r="D245" s="134"/>
      <c r="E245" s="285"/>
      <c r="F245" s="286">
        <f t="shared" si="30"/>
        <v>0</v>
      </c>
      <c r="G245" s="134"/>
      <c r="H245" s="135"/>
      <c r="I245" s="136">
        <f t="shared" si="31"/>
        <v>0</v>
      </c>
      <c r="J245" s="134"/>
      <c r="K245" s="135"/>
      <c r="L245" s="136">
        <f t="shared" si="32"/>
        <v>0</v>
      </c>
      <c r="M245" s="284"/>
      <c r="N245" s="285"/>
      <c r="O245" s="136">
        <f t="shared" si="33"/>
        <v>0</v>
      </c>
      <c r="P245" s="85"/>
    </row>
    <row r="246" spans="1:16" hidden="1" x14ac:dyDescent="0.25">
      <c r="A246" s="76">
        <v>6259</v>
      </c>
      <c r="B246" s="127" t="s">
        <v>262</v>
      </c>
      <c r="C246" s="278">
        <f t="shared" si="26"/>
        <v>0</v>
      </c>
      <c r="D246" s="134"/>
      <c r="E246" s="285"/>
      <c r="F246" s="286">
        <f t="shared" si="30"/>
        <v>0</v>
      </c>
      <c r="G246" s="134"/>
      <c r="H246" s="135"/>
      <c r="I246" s="136">
        <f t="shared" si="31"/>
        <v>0</v>
      </c>
      <c r="J246" s="134"/>
      <c r="K246" s="135"/>
      <c r="L246" s="136">
        <f t="shared" si="32"/>
        <v>0</v>
      </c>
      <c r="M246" s="284"/>
      <c r="N246" s="285"/>
      <c r="O246" s="136">
        <f t="shared" si="33"/>
        <v>0</v>
      </c>
      <c r="P246" s="85"/>
    </row>
    <row r="247" spans="1:16" ht="24" hidden="1" x14ac:dyDescent="0.25">
      <c r="A247" s="276">
        <v>6260</v>
      </c>
      <c r="B247" s="127" t="s">
        <v>263</v>
      </c>
      <c r="C247" s="278">
        <f t="shared" si="26"/>
        <v>0</v>
      </c>
      <c r="D247" s="134"/>
      <c r="E247" s="285"/>
      <c r="F247" s="286">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row>
    <row r="248" spans="1:16" hidden="1" x14ac:dyDescent="0.25">
      <c r="A248" s="276">
        <v>6270</v>
      </c>
      <c r="B248" s="127" t="s">
        <v>264</v>
      </c>
      <c r="C248" s="278">
        <f t="shared" si="26"/>
        <v>0</v>
      </c>
      <c r="D248" s="134"/>
      <c r="E248" s="285"/>
      <c r="F248" s="286">
        <f t="shared" si="37"/>
        <v>0</v>
      </c>
      <c r="G248" s="134"/>
      <c r="H248" s="135"/>
      <c r="I248" s="136">
        <f t="shared" si="38"/>
        <v>0</v>
      </c>
      <c r="J248" s="134"/>
      <c r="K248" s="135"/>
      <c r="L248" s="136">
        <f t="shared" si="39"/>
        <v>0</v>
      </c>
      <c r="M248" s="284"/>
      <c r="N248" s="285"/>
      <c r="O248" s="136">
        <f t="shared" si="40"/>
        <v>0</v>
      </c>
      <c r="P248" s="85"/>
    </row>
    <row r="249" spans="1:16" ht="24" hidden="1" x14ac:dyDescent="0.25">
      <c r="A249" s="609">
        <v>6290</v>
      </c>
      <c r="B249" s="116" t="s">
        <v>265</v>
      </c>
      <c r="C249" s="278">
        <f t="shared" si="26"/>
        <v>0</v>
      </c>
      <c r="D249" s="297">
        <f>SUM(D250:D253)</f>
        <v>0</v>
      </c>
      <c r="E249" s="301">
        <f>SUM(E250:E253)</f>
        <v>0</v>
      </c>
      <c r="F249" s="263">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row>
    <row r="250" spans="1:16" hidden="1" x14ac:dyDescent="0.25">
      <c r="A250" s="76">
        <v>6291</v>
      </c>
      <c r="B250" s="127" t="s">
        <v>266</v>
      </c>
      <c r="C250" s="278">
        <f t="shared" si="26"/>
        <v>0</v>
      </c>
      <c r="D250" s="134"/>
      <c r="E250" s="285"/>
      <c r="F250" s="286">
        <f t="shared" si="37"/>
        <v>0</v>
      </c>
      <c r="G250" s="134"/>
      <c r="H250" s="135"/>
      <c r="I250" s="136">
        <f t="shared" si="38"/>
        <v>0</v>
      </c>
      <c r="J250" s="134"/>
      <c r="K250" s="135"/>
      <c r="L250" s="136">
        <f t="shared" si="39"/>
        <v>0</v>
      </c>
      <c r="M250" s="284"/>
      <c r="N250" s="285"/>
      <c r="O250" s="136">
        <f t="shared" si="40"/>
        <v>0</v>
      </c>
      <c r="P250" s="85"/>
    </row>
    <row r="251" spans="1:16" hidden="1" x14ac:dyDescent="0.25">
      <c r="A251" s="76">
        <v>6292</v>
      </c>
      <c r="B251" s="127" t="s">
        <v>267</v>
      </c>
      <c r="C251" s="278">
        <f t="shared" si="26"/>
        <v>0</v>
      </c>
      <c r="D251" s="134"/>
      <c r="E251" s="285"/>
      <c r="F251" s="286">
        <f t="shared" si="37"/>
        <v>0</v>
      </c>
      <c r="G251" s="134"/>
      <c r="H251" s="135"/>
      <c r="I251" s="136">
        <f t="shared" si="38"/>
        <v>0</v>
      </c>
      <c r="J251" s="134"/>
      <c r="K251" s="135"/>
      <c r="L251" s="136">
        <f t="shared" si="39"/>
        <v>0</v>
      </c>
      <c r="M251" s="284"/>
      <c r="N251" s="285"/>
      <c r="O251" s="136">
        <f t="shared" si="40"/>
        <v>0</v>
      </c>
      <c r="P251" s="85"/>
    </row>
    <row r="252" spans="1:16" ht="72" hidden="1" x14ac:dyDescent="0.25">
      <c r="A252" s="76">
        <v>6296</v>
      </c>
      <c r="B252" s="127" t="s">
        <v>268</v>
      </c>
      <c r="C252" s="278">
        <f t="shared" si="26"/>
        <v>0</v>
      </c>
      <c r="D252" s="134"/>
      <c r="E252" s="285"/>
      <c r="F252" s="286">
        <f t="shared" si="37"/>
        <v>0</v>
      </c>
      <c r="G252" s="134"/>
      <c r="H252" s="135"/>
      <c r="I252" s="136">
        <f t="shared" si="38"/>
        <v>0</v>
      </c>
      <c r="J252" s="134"/>
      <c r="K252" s="135"/>
      <c r="L252" s="136">
        <f t="shared" si="39"/>
        <v>0</v>
      </c>
      <c r="M252" s="284"/>
      <c r="N252" s="285"/>
      <c r="O252" s="136">
        <f t="shared" si="40"/>
        <v>0</v>
      </c>
      <c r="P252" s="85"/>
    </row>
    <row r="253" spans="1:16" ht="36" hidden="1" x14ac:dyDescent="0.25">
      <c r="A253" s="76">
        <v>6299</v>
      </c>
      <c r="B253" s="127" t="s">
        <v>269</v>
      </c>
      <c r="C253" s="278">
        <f t="shared" si="26"/>
        <v>0</v>
      </c>
      <c r="D253" s="134"/>
      <c r="E253" s="285"/>
      <c r="F253" s="286">
        <f t="shared" si="37"/>
        <v>0</v>
      </c>
      <c r="G253" s="134"/>
      <c r="H253" s="135"/>
      <c r="I253" s="136">
        <f t="shared" si="38"/>
        <v>0</v>
      </c>
      <c r="J253" s="134"/>
      <c r="K253" s="135"/>
      <c r="L253" s="136">
        <f t="shared" si="39"/>
        <v>0</v>
      </c>
      <c r="M253" s="284"/>
      <c r="N253" s="285"/>
      <c r="O253" s="136">
        <f t="shared" si="40"/>
        <v>0</v>
      </c>
      <c r="P253" s="85"/>
    </row>
    <row r="254" spans="1:16" hidden="1" x14ac:dyDescent="0.25">
      <c r="A254" s="99">
        <v>6300</v>
      </c>
      <c r="B254" s="247" t="s">
        <v>270</v>
      </c>
      <c r="C254" s="100">
        <f t="shared" si="26"/>
        <v>0</v>
      </c>
      <c r="D254" s="112">
        <f>SUM(D255,D259,D260)</f>
        <v>0</v>
      </c>
      <c r="E254" s="293">
        <f>SUM(E255,E259,E260)</f>
        <v>0</v>
      </c>
      <c r="F254" s="313">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row>
    <row r="255" spans="1:16" ht="24" hidden="1" x14ac:dyDescent="0.25">
      <c r="A255" s="609">
        <v>6320</v>
      </c>
      <c r="B255" s="116" t="s">
        <v>271</v>
      </c>
      <c r="C255" s="322">
        <f t="shared" si="26"/>
        <v>0</v>
      </c>
      <c r="D255" s="297">
        <f>SUM(D256:D258)</f>
        <v>0</v>
      </c>
      <c r="E255" s="301">
        <f>SUM(E256:E258)</f>
        <v>0</v>
      </c>
      <c r="F255" s="263">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row>
    <row r="256" spans="1:16" hidden="1" x14ac:dyDescent="0.25">
      <c r="A256" s="76">
        <v>6322</v>
      </c>
      <c r="B256" s="127" t="s">
        <v>272</v>
      </c>
      <c r="C256" s="281">
        <f t="shared" si="26"/>
        <v>0</v>
      </c>
      <c r="D256" s="134"/>
      <c r="E256" s="285"/>
      <c r="F256" s="286">
        <f t="shared" si="37"/>
        <v>0</v>
      </c>
      <c r="G256" s="134"/>
      <c r="H256" s="135"/>
      <c r="I256" s="136">
        <f t="shared" si="38"/>
        <v>0</v>
      </c>
      <c r="J256" s="134"/>
      <c r="K256" s="135"/>
      <c r="L256" s="136">
        <f t="shared" si="39"/>
        <v>0</v>
      </c>
      <c r="M256" s="284"/>
      <c r="N256" s="285"/>
      <c r="O256" s="136">
        <f t="shared" si="40"/>
        <v>0</v>
      </c>
      <c r="P256" s="85"/>
    </row>
    <row r="257" spans="1:16" ht="24" hidden="1" x14ac:dyDescent="0.25">
      <c r="A257" s="76">
        <v>6323</v>
      </c>
      <c r="B257" s="127" t="s">
        <v>273</v>
      </c>
      <c r="C257" s="281">
        <f t="shared" si="26"/>
        <v>0</v>
      </c>
      <c r="D257" s="134"/>
      <c r="E257" s="285"/>
      <c r="F257" s="286">
        <f t="shared" si="37"/>
        <v>0</v>
      </c>
      <c r="G257" s="134"/>
      <c r="H257" s="135"/>
      <c r="I257" s="136">
        <f t="shared" si="38"/>
        <v>0</v>
      </c>
      <c r="J257" s="134"/>
      <c r="K257" s="135"/>
      <c r="L257" s="136">
        <f t="shared" si="39"/>
        <v>0</v>
      </c>
      <c r="M257" s="284"/>
      <c r="N257" s="285"/>
      <c r="O257" s="136">
        <f t="shared" si="40"/>
        <v>0</v>
      </c>
      <c r="P257" s="85"/>
    </row>
    <row r="258" spans="1:16" ht="24" hidden="1" x14ac:dyDescent="0.25">
      <c r="A258" s="66">
        <v>6324</v>
      </c>
      <c r="B258" s="116" t="s">
        <v>274</v>
      </c>
      <c r="C258" s="281">
        <f t="shared" si="26"/>
        <v>0</v>
      </c>
      <c r="D258" s="123"/>
      <c r="E258" s="262"/>
      <c r="F258" s="263">
        <f t="shared" si="37"/>
        <v>0</v>
      </c>
      <c r="G258" s="123"/>
      <c r="H258" s="124"/>
      <c r="I258" s="125">
        <f t="shared" si="38"/>
        <v>0</v>
      </c>
      <c r="J258" s="123"/>
      <c r="K258" s="124"/>
      <c r="L258" s="125">
        <f t="shared" si="39"/>
        <v>0</v>
      </c>
      <c r="M258" s="264"/>
      <c r="N258" s="262"/>
      <c r="O258" s="125">
        <f t="shared" si="40"/>
        <v>0</v>
      </c>
      <c r="P258" s="74"/>
    </row>
    <row r="259" spans="1:16" ht="24" hidden="1" x14ac:dyDescent="0.25">
      <c r="A259" s="344">
        <v>6330</v>
      </c>
      <c r="B259" s="345" t="s">
        <v>275</v>
      </c>
      <c r="C259" s="281">
        <f t="shared" ref="C259:C286" si="50">F259+I259+L259+O259</f>
        <v>0</v>
      </c>
      <c r="D259" s="328"/>
      <c r="E259" s="329"/>
      <c r="F259" s="330">
        <f t="shared" si="37"/>
        <v>0</v>
      </c>
      <c r="G259" s="328"/>
      <c r="H259" s="331"/>
      <c r="I259" s="324">
        <f t="shared" si="38"/>
        <v>0</v>
      </c>
      <c r="J259" s="328"/>
      <c r="K259" s="331"/>
      <c r="L259" s="324">
        <f t="shared" si="39"/>
        <v>0</v>
      </c>
      <c r="M259" s="332"/>
      <c r="N259" s="329"/>
      <c r="O259" s="324">
        <f t="shared" si="40"/>
        <v>0</v>
      </c>
      <c r="P259" s="325"/>
    </row>
    <row r="260" spans="1:16" hidden="1" x14ac:dyDescent="0.25">
      <c r="A260" s="276">
        <v>6360</v>
      </c>
      <c r="B260" s="127" t="s">
        <v>276</v>
      </c>
      <c r="C260" s="281">
        <f t="shared" si="50"/>
        <v>0</v>
      </c>
      <c r="D260" s="134"/>
      <c r="E260" s="285"/>
      <c r="F260" s="286">
        <f t="shared" si="37"/>
        <v>0</v>
      </c>
      <c r="G260" s="134"/>
      <c r="H260" s="135"/>
      <c r="I260" s="136">
        <f t="shared" si="38"/>
        <v>0</v>
      </c>
      <c r="J260" s="134"/>
      <c r="K260" s="135"/>
      <c r="L260" s="136">
        <f t="shared" si="39"/>
        <v>0</v>
      </c>
      <c r="M260" s="284"/>
      <c r="N260" s="285"/>
      <c r="O260" s="136">
        <f t="shared" si="40"/>
        <v>0</v>
      </c>
      <c r="P260" s="85"/>
    </row>
    <row r="261" spans="1:16" ht="36" hidden="1" x14ac:dyDescent="0.25">
      <c r="A261" s="99">
        <v>6400</v>
      </c>
      <c r="B261" s="247" t="s">
        <v>277</v>
      </c>
      <c r="C261" s="100">
        <f t="shared" si="50"/>
        <v>0</v>
      </c>
      <c r="D261" s="112">
        <f>SUM(D262,D266)</f>
        <v>0</v>
      </c>
      <c r="E261" s="293">
        <f>SUM(E262,E266)</f>
        <v>0</v>
      </c>
      <c r="F261" s="313">
        <f t="shared" si="37"/>
        <v>0</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row>
    <row r="262" spans="1:16" ht="24" hidden="1" x14ac:dyDescent="0.25">
      <c r="A262" s="609">
        <v>6410</v>
      </c>
      <c r="B262" s="116" t="s">
        <v>278</v>
      </c>
      <c r="C262" s="300">
        <f t="shared" si="50"/>
        <v>0</v>
      </c>
      <c r="D262" s="297">
        <f>SUM(D263:D265)</f>
        <v>0</v>
      </c>
      <c r="E262" s="301">
        <f>SUM(E263:E265)</f>
        <v>0</v>
      </c>
      <c r="F262" s="263">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row>
    <row r="263" spans="1:16" hidden="1" x14ac:dyDescent="0.25">
      <c r="A263" s="76">
        <v>6411</v>
      </c>
      <c r="B263" s="346" t="s">
        <v>279</v>
      </c>
      <c r="C263" s="278">
        <f t="shared" si="50"/>
        <v>0</v>
      </c>
      <c r="D263" s="134"/>
      <c r="E263" s="285"/>
      <c r="F263" s="286">
        <f t="shared" si="37"/>
        <v>0</v>
      </c>
      <c r="G263" s="134"/>
      <c r="H263" s="135"/>
      <c r="I263" s="136">
        <f t="shared" si="38"/>
        <v>0</v>
      </c>
      <c r="J263" s="134"/>
      <c r="K263" s="135"/>
      <c r="L263" s="136">
        <f t="shared" si="39"/>
        <v>0</v>
      </c>
      <c r="M263" s="284"/>
      <c r="N263" s="285"/>
      <c r="O263" s="136">
        <f t="shared" si="40"/>
        <v>0</v>
      </c>
      <c r="P263" s="85"/>
    </row>
    <row r="264" spans="1:16" ht="36" hidden="1" x14ac:dyDescent="0.25">
      <c r="A264" s="76">
        <v>6412</v>
      </c>
      <c r="B264" s="127" t="s">
        <v>280</v>
      </c>
      <c r="C264" s="278">
        <f t="shared" si="50"/>
        <v>0</v>
      </c>
      <c r="D264" s="134"/>
      <c r="E264" s="285"/>
      <c r="F264" s="286">
        <f t="shared" si="37"/>
        <v>0</v>
      </c>
      <c r="G264" s="134"/>
      <c r="H264" s="135"/>
      <c r="I264" s="136">
        <f t="shared" si="38"/>
        <v>0</v>
      </c>
      <c r="J264" s="134"/>
      <c r="K264" s="135"/>
      <c r="L264" s="136">
        <f t="shared" si="39"/>
        <v>0</v>
      </c>
      <c r="M264" s="284"/>
      <c r="N264" s="285"/>
      <c r="O264" s="136">
        <f t="shared" si="40"/>
        <v>0</v>
      </c>
      <c r="P264" s="85"/>
    </row>
    <row r="265" spans="1:16" ht="36" hidden="1" x14ac:dyDescent="0.25">
      <c r="A265" s="76">
        <v>6419</v>
      </c>
      <c r="B265" s="127" t="s">
        <v>281</v>
      </c>
      <c r="C265" s="278">
        <f t="shared" si="50"/>
        <v>0</v>
      </c>
      <c r="D265" s="134"/>
      <c r="E265" s="285"/>
      <c r="F265" s="286">
        <f t="shared" si="37"/>
        <v>0</v>
      </c>
      <c r="G265" s="134"/>
      <c r="H265" s="135"/>
      <c r="I265" s="136">
        <f t="shared" si="38"/>
        <v>0</v>
      </c>
      <c r="J265" s="134"/>
      <c r="K265" s="135"/>
      <c r="L265" s="136">
        <f t="shared" si="39"/>
        <v>0</v>
      </c>
      <c r="M265" s="284"/>
      <c r="N265" s="285"/>
      <c r="O265" s="136">
        <f t="shared" si="40"/>
        <v>0</v>
      </c>
      <c r="P265" s="85"/>
    </row>
    <row r="266" spans="1:16" ht="36" hidden="1" x14ac:dyDescent="0.25">
      <c r="A266" s="276">
        <v>6420</v>
      </c>
      <c r="B266" s="127" t="s">
        <v>282</v>
      </c>
      <c r="C266" s="278">
        <f t="shared" si="50"/>
        <v>0</v>
      </c>
      <c r="D266" s="277">
        <f>SUM(D267:D270)</f>
        <v>0</v>
      </c>
      <c r="E266" s="282">
        <f>SUM(E267:E270)</f>
        <v>0</v>
      </c>
      <c r="F266" s="286">
        <f t="shared" si="37"/>
        <v>0</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row>
    <row r="267" spans="1:16" hidden="1" x14ac:dyDescent="0.25">
      <c r="A267" s="76">
        <v>6421</v>
      </c>
      <c r="B267" s="127" t="s">
        <v>283</v>
      </c>
      <c r="C267" s="278">
        <f t="shared" si="50"/>
        <v>0</v>
      </c>
      <c r="D267" s="134"/>
      <c r="E267" s="285"/>
      <c r="F267" s="286">
        <f t="shared" si="37"/>
        <v>0</v>
      </c>
      <c r="G267" s="134"/>
      <c r="H267" s="135"/>
      <c r="I267" s="136">
        <f t="shared" si="38"/>
        <v>0</v>
      </c>
      <c r="J267" s="134"/>
      <c r="K267" s="135"/>
      <c r="L267" s="136">
        <f t="shared" si="39"/>
        <v>0</v>
      </c>
      <c r="M267" s="284"/>
      <c r="N267" s="285"/>
      <c r="O267" s="136">
        <f t="shared" si="40"/>
        <v>0</v>
      </c>
      <c r="P267" s="85"/>
    </row>
    <row r="268" spans="1:16" hidden="1" x14ac:dyDescent="0.25">
      <c r="A268" s="76">
        <v>6422</v>
      </c>
      <c r="B268" s="127" t="s">
        <v>284</v>
      </c>
      <c r="C268" s="278">
        <f t="shared" si="50"/>
        <v>0</v>
      </c>
      <c r="D268" s="134"/>
      <c r="E268" s="285"/>
      <c r="F268" s="286">
        <f t="shared" si="37"/>
        <v>0</v>
      </c>
      <c r="G268" s="134"/>
      <c r="H268" s="135"/>
      <c r="I268" s="136">
        <f t="shared" si="38"/>
        <v>0</v>
      </c>
      <c r="J268" s="134"/>
      <c r="K268" s="135"/>
      <c r="L268" s="136">
        <f t="shared" si="39"/>
        <v>0</v>
      </c>
      <c r="M268" s="284"/>
      <c r="N268" s="285"/>
      <c r="O268" s="136">
        <f t="shared" si="40"/>
        <v>0</v>
      </c>
      <c r="P268" s="85"/>
    </row>
    <row r="269" spans="1:16" ht="24" hidden="1" x14ac:dyDescent="0.25">
      <c r="A269" s="76">
        <v>6423</v>
      </c>
      <c r="B269" s="127" t="s">
        <v>285</v>
      </c>
      <c r="C269" s="278">
        <f t="shared" si="50"/>
        <v>0</v>
      </c>
      <c r="D269" s="134"/>
      <c r="E269" s="285"/>
      <c r="F269" s="286">
        <f t="shared" si="37"/>
        <v>0</v>
      </c>
      <c r="G269" s="134"/>
      <c r="H269" s="135"/>
      <c r="I269" s="136">
        <f t="shared" si="38"/>
        <v>0</v>
      </c>
      <c r="J269" s="134"/>
      <c r="K269" s="135"/>
      <c r="L269" s="136">
        <f t="shared" si="39"/>
        <v>0</v>
      </c>
      <c r="M269" s="284"/>
      <c r="N269" s="285"/>
      <c r="O269" s="136">
        <f t="shared" si="40"/>
        <v>0</v>
      </c>
      <c r="P269" s="85"/>
    </row>
    <row r="270" spans="1:16" ht="36" hidden="1" x14ac:dyDescent="0.25">
      <c r="A270" s="76">
        <v>6424</v>
      </c>
      <c r="B270" s="127" t="s">
        <v>286</v>
      </c>
      <c r="C270" s="278">
        <f t="shared" si="50"/>
        <v>0</v>
      </c>
      <c r="D270" s="134"/>
      <c r="E270" s="285"/>
      <c r="F270" s="286">
        <f t="shared" si="37"/>
        <v>0</v>
      </c>
      <c r="G270" s="134"/>
      <c r="H270" s="135"/>
      <c r="I270" s="136">
        <f t="shared" si="38"/>
        <v>0</v>
      </c>
      <c r="J270" s="134"/>
      <c r="K270" s="135"/>
      <c r="L270" s="136">
        <f t="shared" si="39"/>
        <v>0</v>
      </c>
      <c r="M270" s="284"/>
      <c r="N270" s="285"/>
      <c r="O270" s="136">
        <f t="shared" si="40"/>
        <v>0</v>
      </c>
      <c r="P270" s="85"/>
    </row>
    <row r="271" spans="1:16" ht="36" hidden="1" x14ac:dyDescent="0.25">
      <c r="A271" s="347">
        <v>7000</v>
      </c>
      <c r="B271" s="347" t="s">
        <v>287</v>
      </c>
      <c r="C271" s="348">
        <f t="shared" si="50"/>
        <v>0</v>
      </c>
      <c r="D271" s="349">
        <f>SUM(D272,D282)</f>
        <v>0</v>
      </c>
      <c r="E271" s="407">
        <f>SUM(E272,E282)</f>
        <v>0</v>
      </c>
      <c r="F271" s="408">
        <f t="shared" si="37"/>
        <v>0</v>
      </c>
      <c r="G271" s="349">
        <f>SUM(G272,G282)</f>
        <v>0</v>
      </c>
      <c r="H271" s="352">
        <f>SUM(H272,H282)</f>
        <v>0</v>
      </c>
      <c r="I271" s="353">
        <f t="shared" si="38"/>
        <v>0</v>
      </c>
      <c r="J271" s="349">
        <f>SUM(J272,J282)</f>
        <v>0</v>
      </c>
      <c r="K271" s="352">
        <f>SUM(K272,K282)</f>
        <v>0</v>
      </c>
      <c r="L271" s="353">
        <f t="shared" si="39"/>
        <v>0</v>
      </c>
      <c r="M271" s="354">
        <f>SUM(M272,M282)</f>
        <v>0</v>
      </c>
      <c r="N271" s="355">
        <f>SUM(N272,N282)</f>
        <v>0</v>
      </c>
      <c r="O271" s="356">
        <f t="shared" si="40"/>
        <v>0</v>
      </c>
      <c r="P271" s="357"/>
    </row>
    <row r="272" spans="1:16" ht="24" hidden="1" x14ac:dyDescent="0.25">
      <c r="A272" s="99">
        <v>7200</v>
      </c>
      <c r="B272" s="247" t="s">
        <v>288</v>
      </c>
      <c r="C272" s="100">
        <f t="shared" si="50"/>
        <v>0</v>
      </c>
      <c r="D272" s="112">
        <f>SUM(D273,D274,D277,D278,D281)</f>
        <v>0</v>
      </c>
      <c r="E272" s="293">
        <f>SUM(E273,E274,E277,E278,E281)</f>
        <v>0</v>
      </c>
      <c r="F272" s="313">
        <f t="shared" si="37"/>
        <v>0</v>
      </c>
      <c r="G272" s="112">
        <f>SUM(G273,G274,G277,G278,G281)</f>
        <v>0</v>
      </c>
      <c r="H272" s="113">
        <f>SUM(H273,H274,H277,H278,H281)</f>
        <v>0</v>
      </c>
      <c r="I272" s="114">
        <f t="shared" si="38"/>
        <v>0</v>
      </c>
      <c r="J272" s="112">
        <f>SUM(J273,J274,J277,J278,J281)</f>
        <v>0</v>
      </c>
      <c r="K272" s="113">
        <f>SUM(K273,K274,K277,K278,K281)</f>
        <v>0</v>
      </c>
      <c r="L272" s="114">
        <f t="shared" si="39"/>
        <v>0</v>
      </c>
      <c r="M272" s="250">
        <f>SUM(M273,M274,M277,M278,M281)</f>
        <v>0</v>
      </c>
      <c r="N272" s="251">
        <f>SUM(N273,N274,N277,N278,N281)</f>
        <v>0</v>
      </c>
      <c r="O272" s="252">
        <f t="shared" si="40"/>
        <v>0</v>
      </c>
      <c r="P272" s="253"/>
    </row>
    <row r="273" spans="1:16" ht="24" hidden="1" x14ac:dyDescent="0.25">
      <c r="A273" s="609">
        <v>7210</v>
      </c>
      <c r="B273" s="116" t="s">
        <v>289</v>
      </c>
      <c r="C273" s="117">
        <f t="shared" si="50"/>
        <v>0</v>
      </c>
      <c r="D273" s="123"/>
      <c r="E273" s="262"/>
      <c r="F273" s="263">
        <f t="shared" si="37"/>
        <v>0</v>
      </c>
      <c r="G273" s="123"/>
      <c r="H273" s="124"/>
      <c r="I273" s="125">
        <f t="shared" si="38"/>
        <v>0</v>
      </c>
      <c r="J273" s="123"/>
      <c r="K273" s="124"/>
      <c r="L273" s="125">
        <f t="shared" si="39"/>
        <v>0</v>
      </c>
      <c r="M273" s="264"/>
      <c r="N273" s="262"/>
      <c r="O273" s="125">
        <f t="shared" si="40"/>
        <v>0</v>
      </c>
      <c r="P273" s="74"/>
    </row>
    <row r="274" spans="1:16" s="358" customFormat="1" ht="36" hidden="1" x14ac:dyDescent="0.25">
      <c r="A274" s="276">
        <v>7220</v>
      </c>
      <c r="B274" s="127" t="s">
        <v>290</v>
      </c>
      <c r="C274" s="128">
        <f t="shared" si="50"/>
        <v>0</v>
      </c>
      <c r="D274" s="277">
        <f>SUM(D275:D276)</f>
        <v>0</v>
      </c>
      <c r="E274" s="282">
        <f>SUM(E275:E276)</f>
        <v>0</v>
      </c>
      <c r="F274" s="28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row>
    <row r="275" spans="1:16" s="358" customFormat="1" ht="36" hidden="1" x14ac:dyDescent="0.25">
      <c r="A275" s="76">
        <v>7221</v>
      </c>
      <c r="B275" s="127" t="s">
        <v>291</v>
      </c>
      <c r="C275" s="128">
        <f t="shared" si="50"/>
        <v>0</v>
      </c>
      <c r="D275" s="134"/>
      <c r="E275" s="285"/>
      <c r="F275" s="286">
        <f t="shared" si="37"/>
        <v>0</v>
      </c>
      <c r="G275" s="134"/>
      <c r="H275" s="135"/>
      <c r="I275" s="136">
        <f t="shared" si="38"/>
        <v>0</v>
      </c>
      <c r="J275" s="134"/>
      <c r="K275" s="135"/>
      <c r="L275" s="136">
        <f t="shared" si="39"/>
        <v>0</v>
      </c>
      <c r="M275" s="284"/>
      <c r="N275" s="285"/>
      <c r="O275" s="136">
        <f t="shared" si="40"/>
        <v>0</v>
      </c>
      <c r="P275" s="85"/>
    </row>
    <row r="276" spans="1:16" s="358" customFormat="1" ht="36" hidden="1" x14ac:dyDescent="0.25">
      <c r="A276" s="76">
        <v>7222</v>
      </c>
      <c r="B276" s="127" t="s">
        <v>292</v>
      </c>
      <c r="C276" s="128">
        <f t="shared" si="50"/>
        <v>0</v>
      </c>
      <c r="D276" s="134"/>
      <c r="E276" s="285"/>
      <c r="F276" s="286">
        <f t="shared" si="37"/>
        <v>0</v>
      </c>
      <c r="G276" s="134"/>
      <c r="H276" s="135"/>
      <c r="I276" s="136">
        <f t="shared" si="38"/>
        <v>0</v>
      </c>
      <c r="J276" s="134"/>
      <c r="K276" s="135"/>
      <c r="L276" s="136">
        <f t="shared" si="39"/>
        <v>0</v>
      </c>
      <c r="M276" s="284"/>
      <c r="N276" s="285"/>
      <c r="O276" s="136">
        <f t="shared" si="40"/>
        <v>0</v>
      </c>
      <c r="P276" s="85"/>
    </row>
    <row r="277" spans="1:16" s="358" customFormat="1" ht="24" hidden="1" x14ac:dyDescent="0.25">
      <c r="A277" s="276">
        <v>7230</v>
      </c>
      <c r="B277" s="127" t="s">
        <v>293</v>
      </c>
      <c r="C277" s="128">
        <f t="shared" si="50"/>
        <v>0</v>
      </c>
      <c r="D277" s="134"/>
      <c r="E277" s="285"/>
      <c r="F277" s="286">
        <f t="shared" si="37"/>
        <v>0</v>
      </c>
      <c r="G277" s="134"/>
      <c r="H277" s="135"/>
      <c r="I277" s="136">
        <f t="shared" si="38"/>
        <v>0</v>
      </c>
      <c r="J277" s="134"/>
      <c r="K277" s="135"/>
      <c r="L277" s="136">
        <f t="shared" si="39"/>
        <v>0</v>
      </c>
      <c r="M277" s="284"/>
      <c r="N277" s="285"/>
      <c r="O277" s="136">
        <f>M277+N277</f>
        <v>0</v>
      </c>
      <c r="P277" s="85"/>
    </row>
    <row r="278" spans="1:16" ht="24" hidden="1" x14ac:dyDescent="0.25">
      <c r="A278" s="276">
        <v>7240</v>
      </c>
      <c r="B278" s="127" t="s">
        <v>294</v>
      </c>
      <c r="C278" s="128">
        <f t="shared" si="50"/>
        <v>0</v>
      </c>
      <c r="D278" s="277">
        <f>SUM(D279:D280)</f>
        <v>0</v>
      </c>
      <c r="E278" s="282">
        <f>SUM(E279:E280)</f>
        <v>0</v>
      </c>
      <c r="F278" s="28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row>
    <row r="279" spans="1:16" ht="48" hidden="1" x14ac:dyDescent="0.25">
      <c r="A279" s="76">
        <v>7245</v>
      </c>
      <c r="B279" s="127" t="s">
        <v>295</v>
      </c>
      <c r="C279" s="128">
        <f t="shared" si="50"/>
        <v>0</v>
      </c>
      <c r="D279" s="134"/>
      <c r="E279" s="285"/>
      <c r="F279" s="286">
        <f t="shared" si="37"/>
        <v>0</v>
      </c>
      <c r="G279" s="134"/>
      <c r="H279" s="135"/>
      <c r="I279" s="136">
        <f t="shared" si="38"/>
        <v>0</v>
      </c>
      <c r="J279" s="134"/>
      <c r="K279" s="135"/>
      <c r="L279" s="136">
        <f t="shared" si="39"/>
        <v>0</v>
      </c>
      <c r="M279" s="284"/>
      <c r="N279" s="285"/>
      <c r="O279" s="136">
        <f t="shared" ref="O279:O282" si="57">M279+N279</f>
        <v>0</v>
      </c>
      <c r="P279" s="85"/>
    </row>
    <row r="280" spans="1:16" ht="96" hidden="1" x14ac:dyDescent="0.25">
      <c r="A280" s="76">
        <v>7246</v>
      </c>
      <c r="B280" s="127" t="s">
        <v>296</v>
      </c>
      <c r="C280" s="128">
        <f t="shared" si="50"/>
        <v>0</v>
      </c>
      <c r="D280" s="134"/>
      <c r="E280" s="285"/>
      <c r="F280" s="286">
        <f t="shared" si="37"/>
        <v>0</v>
      </c>
      <c r="G280" s="134"/>
      <c r="H280" s="135"/>
      <c r="I280" s="136">
        <f t="shared" si="38"/>
        <v>0</v>
      </c>
      <c r="J280" s="134"/>
      <c r="K280" s="135"/>
      <c r="L280" s="136">
        <f t="shared" si="39"/>
        <v>0</v>
      </c>
      <c r="M280" s="284"/>
      <c r="N280" s="285"/>
      <c r="O280" s="136">
        <f t="shared" si="57"/>
        <v>0</v>
      </c>
      <c r="P280" s="85"/>
    </row>
    <row r="281" spans="1:16" ht="24" hidden="1" x14ac:dyDescent="0.25">
      <c r="A281" s="276">
        <v>7260</v>
      </c>
      <c r="B281" s="127" t="s">
        <v>297</v>
      </c>
      <c r="C281" s="128">
        <f t="shared" si="50"/>
        <v>0</v>
      </c>
      <c r="D281" s="123"/>
      <c r="E281" s="262"/>
      <c r="F281" s="263">
        <f t="shared" si="37"/>
        <v>0</v>
      </c>
      <c r="G281" s="123"/>
      <c r="H281" s="124"/>
      <c r="I281" s="125">
        <f t="shared" si="38"/>
        <v>0</v>
      </c>
      <c r="J281" s="123"/>
      <c r="K281" s="124"/>
      <c r="L281" s="125">
        <f t="shared" si="39"/>
        <v>0</v>
      </c>
      <c r="M281" s="264"/>
      <c r="N281" s="262"/>
      <c r="O281" s="125">
        <f t="shared" si="57"/>
        <v>0</v>
      </c>
      <c r="P281" s="74"/>
    </row>
    <row r="282" spans="1:16" hidden="1" x14ac:dyDescent="0.25">
      <c r="A282" s="99">
        <v>7700</v>
      </c>
      <c r="B282" s="247" t="s">
        <v>298</v>
      </c>
      <c r="C282" s="359">
        <f t="shared" si="50"/>
        <v>0</v>
      </c>
      <c r="D282" s="360">
        <f>D283</f>
        <v>0</v>
      </c>
      <c r="E282" s="304">
        <f>SUM(E283)</f>
        <v>0</v>
      </c>
      <c r="F282" s="316">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row>
    <row r="283" spans="1:16" hidden="1" x14ac:dyDescent="0.25">
      <c r="A283" s="141">
        <v>7720</v>
      </c>
      <c r="B283" s="142" t="s">
        <v>299</v>
      </c>
      <c r="C283" s="362">
        <f t="shared" si="50"/>
        <v>0</v>
      </c>
      <c r="D283" s="149"/>
      <c r="E283" s="363"/>
      <c r="F283" s="364">
        <f t="shared" si="37"/>
        <v>0</v>
      </c>
      <c r="G283" s="149"/>
      <c r="H283" s="150"/>
      <c r="I283" s="151">
        <f t="shared" si="38"/>
        <v>0</v>
      </c>
      <c r="J283" s="149"/>
      <c r="K283" s="150"/>
      <c r="L283" s="151">
        <f t="shared" si="39"/>
        <v>0</v>
      </c>
      <c r="M283" s="365"/>
      <c r="N283" s="363"/>
      <c r="O283" s="151">
        <f>M283+N283</f>
        <v>0</v>
      </c>
      <c r="P283" s="153"/>
    </row>
    <row r="284" spans="1:16" hidden="1" x14ac:dyDescent="0.25">
      <c r="A284" s="366"/>
      <c r="B284" s="179" t="s">
        <v>300</v>
      </c>
      <c r="C284" s="117">
        <f t="shared" si="50"/>
        <v>0</v>
      </c>
      <c r="D284" s="255">
        <f>SUM(D285:D286)</f>
        <v>0</v>
      </c>
      <c r="E284" s="261">
        <f>SUM(E285:E286)</f>
        <v>0</v>
      </c>
      <c r="F284" s="310">
        <f t="shared" si="37"/>
        <v>0</v>
      </c>
      <c r="G284" s="255">
        <f>SUM(G285:G286)</f>
        <v>0</v>
      </c>
      <c r="H284" s="258">
        <f>SUM(H285:H286)</f>
        <v>0</v>
      </c>
      <c r="I284" s="259">
        <f t="shared" si="38"/>
        <v>0</v>
      </c>
      <c r="J284" s="255">
        <f>SUM(J285:J286)</f>
        <v>0</v>
      </c>
      <c r="K284" s="258">
        <f>SUM(K285:K286)</f>
        <v>0</v>
      </c>
      <c r="L284" s="259">
        <f t="shared" si="39"/>
        <v>0</v>
      </c>
      <c r="M284" s="260">
        <f>SUM(M285:M286)</f>
        <v>0</v>
      </c>
      <c r="N284" s="261">
        <f>SUM(N285:N286)</f>
        <v>0</v>
      </c>
      <c r="O284" s="259">
        <f t="shared" ref="O284:O299" si="58">M284+N284</f>
        <v>0</v>
      </c>
      <c r="P284" s="189"/>
    </row>
    <row r="285" spans="1:16" hidden="1" x14ac:dyDescent="0.25">
      <c r="A285" s="346" t="s">
        <v>301</v>
      </c>
      <c r="B285" s="76" t="s">
        <v>302</v>
      </c>
      <c r="C285" s="279">
        <f t="shared" si="50"/>
        <v>0</v>
      </c>
      <c r="D285" s="134"/>
      <c r="E285" s="285"/>
      <c r="F285" s="286">
        <f t="shared" si="37"/>
        <v>0</v>
      </c>
      <c r="G285" s="134"/>
      <c r="H285" s="135"/>
      <c r="I285" s="136">
        <f t="shared" si="38"/>
        <v>0</v>
      </c>
      <c r="J285" s="134"/>
      <c r="K285" s="135"/>
      <c r="L285" s="136">
        <f t="shared" si="39"/>
        <v>0</v>
      </c>
      <c r="M285" s="284"/>
      <c r="N285" s="285"/>
      <c r="O285" s="136">
        <f t="shared" si="58"/>
        <v>0</v>
      </c>
      <c r="P285" s="85"/>
    </row>
    <row r="286" spans="1:16" ht="24" hidden="1" x14ac:dyDescent="0.25">
      <c r="A286" s="346" t="s">
        <v>303</v>
      </c>
      <c r="B286" s="367" t="s">
        <v>304</v>
      </c>
      <c r="C286" s="117">
        <f t="shared" si="50"/>
        <v>0</v>
      </c>
      <c r="D286" s="123"/>
      <c r="E286" s="262"/>
      <c r="F286" s="263">
        <f t="shared" si="37"/>
        <v>0</v>
      </c>
      <c r="G286" s="123"/>
      <c r="H286" s="124"/>
      <c r="I286" s="125">
        <f t="shared" si="38"/>
        <v>0</v>
      </c>
      <c r="J286" s="123"/>
      <c r="K286" s="124"/>
      <c r="L286" s="125">
        <f t="shared" si="39"/>
        <v>0</v>
      </c>
      <c r="M286" s="264"/>
      <c r="N286" s="262"/>
      <c r="O286" s="125">
        <f t="shared" si="58"/>
        <v>0</v>
      </c>
      <c r="P286" s="74"/>
    </row>
    <row r="287" spans="1:16" x14ac:dyDescent="0.25">
      <c r="A287" s="368"/>
      <c r="B287" s="369" t="s">
        <v>305</v>
      </c>
      <c r="C287" s="370">
        <f>SUM(C284,C271,C233,C198,C190,C176,C78,C56)</f>
        <v>2113259</v>
      </c>
      <c r="D287" s="371">
        <f>SUM(D284,D271,D233,D198,D190,D176,D78,D56)</f>
        <v>2112340</v>
      </c>
      <c r="E287" s="623">
        <f>SUM(E284,E271,E233,E198,E190,E176,E78,E56)</f>
        <v>919</v>
      </c>
      <c r="F287" s="373">
        <f t="shared" si="37"/>
        <v>2113259</v>
      </c>
      <c r="G287" s="371">
        <f>SUM(G284,G271,G233,G198,G190,G176,G78,G56)</f>
        <v>0</v>
      </c>
      <c r="H287" s="374">
        <f>SUM(H284,H271,H233,H198,H190,H176,H78,H56)</f>
        <v>0</v>
      </c>
      <c r="I287" s="375">
        <f t="shared" si="38"/>
        <v>0</v>
      </c>
      <c r="J287" s="371">
        <f>SUM(J284,J271,J233,J198,J190,J176,J78,J56)</f>
        <v>0</v>
      </c>
      <c r="K287" s="374">
        <f>SUM(K284,K271,K233,K198,K190,K176,K78,K56)</f>
        <v>0</v>
      </c>
      <c r="L287" s="375">
        <f t="shared" si="39"/>
        <v>0</v>
      </c>
      <c r="M287" s="250">
        <f>SUM(M284,M271,M233,M198,M190,M176,M78,M56)</f>
        <v>0</v>
      </c>
      <c r="N287" s="251">
        <f>SUM(N284,N271,N233,N198,N190,N176,N78,N56)</f>
        <v>0</v>
      </c>
      <c r="O287" s="252">
        <f t="shared" si="58"/>
        <v>0</v>
      </c>
      <c r="P287" s="253"/>
    </row>
    <row r="288" spans="1:16" hidden="1" x14ac:dyDescent="0.25">
      <c r="A288" s="376" t="s">
        <v>306</v>
      </c>
      <c r="B288" s="377"/>
      <c r="C288" s="378">
        <f t="shared" ref="C288" si="59">F288+I288+L288+O288</f>
        <v>0</v>
      </c>
      <c r="D288" s="379">
        <f>SUM(D28,D29,D45)-D54</f>
        <v>0</v>
      </c>
      <c r="E288" s="384">
        <f>SUM(E28,E29,E45)-E54</f>
        <v>0</v>
      </c>
      <c r="F288" s="388">
        <f t="shared" si="37"/>
        <v>0</v>
      </c>
      <c r="G288" s="379">
        <f>SUM(G28,G29,G45)-G54</f>
        <v>0</v>
      </c>
      <c r="H288" s="382">
        <f>SUM(H28,H29,H45)-H54</f>
        <v>0</v>
      </c>
      <c r="I288" s="383">
        <f t="shared" si="38"/>
        <v>0</v>
      </c>
      <c r="J288" s="379">
        <f>(J30+J46)-J54</f>
        <v>0</v>
      </c>
      <c r="K288" s="382">
        <f>(K30+K46)-K54</f>
        <v>0</v>
      </c>
      <c r="L288" s="383">
        <f t="shared" si="39"/>
        <v>0</v>
      </c>
      <c r="M288" s="378">
        <f>M48-M54</f>
        <v>0</v>
      </c>
      <c r="N288" s="384">
        <f>N48-N54</f>
        <v>0</v>
      </c>
      <c r="O288" s="383">
        <f t="shared" si="58"/>
        <v>0</v>
      </c>
      <c r="P288" s="385"/>
    </row>
    <row r="289" spans="1:17" s="41" customFormat="1" ht="12" hidden="1" x14ac:dyDescent="0.25">
      <c r="A289" s="376" t="s">
        <v>307</v>
      </c>
      <c r="B289" s="377"/>
      <c r="C289" s="380">
        <f>SUM(C290,C291)-C298+C299</f>
        <v>0</v>
      </c>
      <c r="D289" s="379">
        <f>SUM(D290,D291)-D298+D299</f>
        <v>0</v>
      </c>
      <c r="E289" s="384">
        <f>SUM(E290,E291)-E298+E299</f>
        <v>0</v>
      </c>
      <c r="F289" s="388">
        <f t="shared" si="37"/>
        <v>0</v>
      </c>
      <c r="G289" s="379">
        <f>SUM(G290,G291)-G298+G299</f>
        <v>0</v>
      </c>
      <c r="H289" s="382">
        <f>SUM(H290,H291)-H298+H299</f>
        <v>0</v>
      </c>
      <c r="I289" s="383">
        <f t="shared" si="38"/>
        <v>0</v>
      </c>
      <c r="J289" s="379">
        <f>SUM(J290,J291)-J298+J299</f>
        <v>0</v>
      </c>
      <c r="K289" s="382">
        <f>SUM(K290,K291)-K298+K299</f>
        <v>0</v>
      </c>
      <c r="L289" s="383">
        <f t="shared" si="39"/>
        <v>0</v>
      </c>
      <c r="M289" s="378">
        <f>SUM(M290,M291)-M298+M299</f>
        <v>0</v>
      </c>
      <c r="N289" s="384">
        <f>SUM(N290,N291)-N298+N299</f>
        <v>0</v>
      </c>
      <c r="O289" s="383">
        <f t="shared" si="58"/>
        <v>0</v>
      </c>
      <c r="P289" s="385"/>
    </row>
    <row r="290" spans="1:17" s="41" customFormat="1" ht="12" hidden="1" x14ac:dyDescent="0.25">
      <c r="A290" s="386" t="s">
        <v>308</v>
      </c>
      <c r="B290" s="386" t="s">
        <v>309</v>
      </c>
      <c r="C290" s="380">
        <f>C25-C284</f>
        <v>0</v>
      </c>
      <c r="D290" s="379">
        <f>D25-D284</f>
        <v>0</v>
      </c>
      <c r="E290" s="384">
        <f>E25-E284</f>
        <v>0</v>
      </c>
      <c r="F290" s="388">
        <f t="shared" si="37"/>
        <v>0</v>
      </c>
      <c r="G290" s="379">
        <f>G25-G284</f>
        <v>0</v>
      </c>
      <c r="H290" s="382">
        <f>H25-H284</f>
        <v>0</v>
      </c>
      <c r="I290" s="383">
        <f t="shared" si="38"/>
        <v>0</v>
      </c>
      <c r="J290" s="379">
        <f>J25-J284</f>
        <v>0</v>
      </c>
      <c r="K290" s="382">
        <f>K25-K284</f>
        <v>0</v>
      </c>
      <c r="L290" s="383">
        <f t="shared" si="39"/>
        <v>0</v>
      </c>
      <c r="M290" s="378">
        <f>M25-M284</f>
        <v>0</v>
      </c>
      <c r="N290" s="384">
        <f>N25-N284</f>
        <v>0</v>
      </c>
      <c r="O290" s="383">
        <f t="shared" si="58"/>
        <v>0</v>
      </c>
      <c r="P290" s="385"/>
    </row>
    <row r="291" spans="1:17" s="41" customFormat="1" ht="12" hidden="1" x14ac:dyDescent="0.25">
      <c r="A291" s="387" t="s">
        <v>310</v>
      </c>
      <c r="B291" s="387" t="s">
        <v>311</v>
      </c>
      <c r="C291" s="380">
        <f>SUM(C292,C294,C296)-SUM(C293,C295,C297)</f>
        <v>0</v>
      </c>
      <c r="D291" s="379">
        <f t="shared" ref="D291:E291" si="60">SUM(D292,D294,D296)-SUM(D293,D295,D297)</f>
        <v>0</v>
      </c>
      <c r="E291" s="384">
        <f t="shared" si="60"/>
        <v>0</v>
      </c>
      <c r="F291" s="388">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row>
    <row r="292" spans="1:17" s="41" customFormat="1" ht="12" hidden="1" x14ac:dyDescent="0.25">
      <c r="A292" s="366" t="s">
        <v>312</v>
      </c>
      <c r="B292" s="190" t="s">
        <v>313</v>
      </c>
      <c r="C292" s="143">
        <f t="shared" ref="C292:C299" si="64">F292+I292+L292+O292</f>
        <v>0</v>
      </c>
      <c r="D292" s="149"/>
      <c r="E292" s="363"/>
      <c r="F292" s="364">
        <f t="shared" si="37"/>
        <v>0</v>
      </c>
      <c r="G292" s="149"/>
      <c r="H292" s="150"/>
      <c r="I292" s="151">
        <f t="shared" si="38"/>
        <v>0</v>
      </c>
      <c r="J292" s="149"/>
      <c r="K292" s="150"/>
      <c r="L292" s="151">
        <f t="shared" si="39"/>
        <v>0</v>
      </c>
      <c r="M292" s="365"/>
      <c r="N292" s="363"/>
      <c r="O292" s="151">
        <f t="shared" si="58"/>
        <v>0</v>
      </c>
      <c r="P292" s="153"/>
    </row>
    <row r="293" spans="1:17" ht="24" hidden="1" x14ac:dyDescent="0.25">
      <c r="A293" s="346" t="s">
        <v>314</v>
      </c>
      <c r="B293" s="75" t="s">
        <v>315</v>
      </c>
      <c r="C293" s="128">
        <f t="shared" si="64"/>
        <v>0</v>
      </c>
      <c r="D293" s="134"/>
      <c r="E293" s="285"/>
      <c r="F293" s="286">
        <f t="shared" si="37"/>
        <v>0</v>
      </c>
      <c r="G293" s="134"/>
      <c r="H293" s="135"/>
      <c r="I293" s="136">
        <f t="shared" si="38"/>
        <v>0</v>
      </c>
      <c r="J293" s="134"/>
      <c r="K293" s="135"/>
      <c r="L293" s="136">
        <f t="shared" si="39"/>
        <v>0</v>
      </c>
      <c r="M293" s="284"/>
      <c r="N293" s="285"/>
      <c r="O293" s="136">
        <f t="shared" si="58"/>
        <v>0</v>
      </c>
      <c r="P293" s="85"/>
    </row>
    <row r="294" spans="1:17" hidden="1" x14ac:dyDescent="0.25">
      <c r="A294" s="346" t="s">
        <v>316</v>
      </c>
      <c r="B294" s="75" t="s">
        <v>317</v>
      </c>
      <c r="C294" s="128">
        <f t="shared" si="64"/>
        <v>0</v>
      </c>
      <c r="D294" s="134"/>
      <c r="E294" s="285"/>
      <c r="F294" s="286">
        <f t="shared" si="37"/>
        <v>0</v>
      </c>
      <c r="G294" s="134"/>
      <c r="H294" s="135"/>
      <c r="I294" s="136">
        <f t="shared" si="38"/>
        <v>0</v>
      </c>
      <c r="J294" s="134"/>
      <c r="K294" s="135"/>
      <c r="L294" s="136">
        <f t="shared" si="39"/>
        <v>0</v>
      </c>
      <c r="M294" s="284"/>
      <c r="N294" s="285"/>
      <c r="O294" s="136">
        <f t="shared" si="58"/>
        <v>0</v>
      </c>
      <c r="P294" s="85"/>
    </row>
    <row r="295" spans="1:17" ht="24" hidden="1" x14ac:dyDescent="0.25">
      <c r="A295" s="346" t="s">
        <v>318</v>
      </c>
      <c r="B295" s="75" t="s">
        <v>319</v>
      </c>
      <c r="C295" s="128">
        <f t="shared" si="64"/>
        <v>0</v>
      </c>
      <c r="D295" s="134"/>
      <c r="E295" s="285"/>
      <c r="F295" s="286">
        <f t="shared" si="37"/>
        <v>0</v>
      </c>
      <c r="G295" s="134"/>
      <c r="H295" s="135"/>
      <c r="I295" s="136">
        <f t="shared" si="38"/>
        <v>0</v>
      </c>
      <c r="J295" s="134"/>
      <c r="K295" s="135"/>
      <c r="L295" s="136">
        <f t="shared" si="39"/>
        <v>0</v>
      </c>
      <c r="M295" s="284"/>
      <c r="N295" s="285"/>
      <c r="O295" s="136">
        <f t="shared" si="58"/>
        <v>0</v>
      </c>
      <c r="P295" s="85"/>
    </row>
    <row r="296" spans="1:17" hidden="1" x14ac:dyDescent="0.25">
      <c r="A296" s="346" t="s">
        <v>320</v>
      </c>
      <c r="B296" s="75" t="s">
        <v>321</v>
      </c>
      <c r="C296" s="128">
        <f t="shared" si="64"/>
        <v>0</v>
      </c>
      <c r="D296" s="134"/>
      <c r="E296" s="285"/>
      <c r="F296" s="286">
        <f t="shared" si="37"/>
        <v>0</v>
      </c>
      <c r="G296" s="134"/>
      <c r="H296" s="135"/>
      <c r="I296" s="136">
        <f t="shared" si="38"/>
        <v>0</v>
      </c>
      <c r="J296" s="134"/>
      <c r="K296" s="135"/>
      <c r="L296" s="136">
        <f t="shared" si="39"/>
        <v>0</v>
      </c>
      <c r="M296" s="284"/>
      <c r="N296" s="285"/>
      <c r="O296" s="136">
        <f t="shared" si="58"/>
        <v>0</v>
      </c>
      <c r="P296" s="85"/>
    </row>
    <row r="297" spans="1:17" ht="24" hidden="1" x14ac:dyDescent="0.25">
      <c r="A297" s="389" t="s">
        <v>322</v>
      </c>
      <c r="B297" s="390" t="s">
        <v>323</v>
      </c>
      <c r="C297" s="327">
        <f t="shared" si="64"/>
        <v>0</v>
      </c>
      <c r="D297" s="328"/>
      <c r="E297" s="329"/>
      <c r="F297" s="330">
        <f t="shared" si="37"/>
        <v>0</v>
      </c>
      <c r="G297" s="328"/>
      <c r="H297" s="331"/>
      <c r="I297" s="324">
        <f t="shared" si="38"/>
        <v>0</v>
      </c>
      <c r="J297" s="328"/>
      <c r="K297" s="331"/>
      <c r="L297" s="324">
        <f t="shared" si="39"/>
        <v>0</v>
      </c>
      <c r="M297" s="332"/>
      <c r="N297" s="329"/>
      <c r="O297" s="324">
        <f t="shared" si="58"/>
        <v>0</v>
      </c>
      <c r="P297" s="325"/>
    </row>
    <row r="298" spans="1:17" hidden="1" x14ac:dyDescent="0.25">
      <c r="A298" s="387" t="s">
        <v>324</v>
      </c>
      <c r="B298" s="387" t="s">
        <v>325</v>
      </c>
      <c r="C298" s="391">
        <f t="shared" si="64"/>
        <v>0</v>
      </c>
      <c r="D298" s="392"/>
      <c r="E298" s="393"/>
      <c r="F298" s="388">
        <f t="shared" si="37"/>
        <v>0</v>
      </c>
      <c r="G298" s="392"/>
      <c r="H298" s="394"/>
      <c r="I298" s="383">
        <f t="shared" si="38"/>
        <v>0</v>
      </c>
      <c r="J298" s="392"/>
      <c r="K298" s="394"/>
      <c r="L298" s="383">
        <f t="shared" si="39"/>
        <v>0</v>
      </c>
      <c r="M298" s="395"/>
      <c r="N298" s="393"/>
      <c r="O298" s="383">
        <f t="shared" si="58"/>
        <v>0</v>
      </c>
      <c r="P298" s="385"/>
    </row>
    <row r="299" spans="1:17" s="41" customFormat="1" ht="48" hidden="1" x14ac:dyDescent="0.25">
      <c r="A299" s="387" t="s">
        <v>326</v>
      </c>
      <c r="B299" s="396" t="s">
        <v>327</v>
      </c>
      <c r="C299" s="397">
        <f t="shared" si="64"/>
        <v>0</v>
      </c>
      <c r="D299" s="398"/>
      <c r="E299" s="399"/>
      <c r="F299" s="400">
        <f t="shared" si="37"/>
        <v>0</v>
      </c>
      <c r="G299" s="392"/>
      <c r="H299" s="394"/>
      <c r="I299" s="383">
        <f t="shared" si="38"/>
        <v>0</v>
      </c>
      <c r="J299" s="392"/>
      <c r="K299" s="394"/>
      <c r="L299" s="383">
        <f t="shared" si="39"/>
        <v>0</v>
      </c>
      <c r="M299" s="395"/>
      <c r="N299" s="393"/>
      <c r="O299" s="383">
        <f t="shared" si="58"/>
        <v>0</v>
      </c>
      <c r="P299" s="385"/>
    </row>
    <row r="300" spans="1:17" s="41" customFormat="1" ht="12" hidden="1" x14ac:dyDescent="0.25">
      <c r="A300" s="401" t="s">
        <v>328</v>
      </c>
      <c r="B300" s="402"/>
      <c r="C300" s="402"/>
      <c r="D300" s="402"/>
      <c r="E300" s="402"/>
      <c r="F300" s="402"/>
      <c r="G300" s="402"/>
      <c r="H300" s="402"/>
      <c r="I300" s="402"/>
      <c r="J300" s="402"/>
      <c r="K300" s="402"/>
      <c r="L300" s="402"/>
      <c r="M300" s="402"/>
      <c r="N300" s="402"/>
      <c r="O300" s="402"/>
      <c r="P300" s="403"/>
      <c r="Q300" s="32"/>
    </row>
    <row r="301" spans="1:17" ht="15.75" thickBot="1" x14ac:dyDescent="0.3">
      <c r="A301" s="404"/>
      <c r="B301" s="405"/>
      <c r="C301" s="405"/>
      <c r="D301" s="405"/>
      <c r="E301" s="405"/>
      <c r="F301" s="405"/>
      <c r="G301" s="405"/>
      <c r="H301" s="405"/>
      <c r="I301" s="405"/>
      <c r="J301" s="405"/>
      <c r="K301" s="405"/>
      <c r="L301" s="405"/>
      <c r="M301" s="405"/>
      <c r="N301" s="405"/>
      <c r="O301" s="405"/>
      <c r="P301" s="406"/>
      <c r="Q301" s="610"/>
    </row>
    <row r="302" spans="1:17" x14ac:dyDescent="0.25">
      <c r="A302" s="5"/>
      <c r="B302" s="5"/>
      <c r="C302" s="5"/>
      <c r="D302" s="5"/>
      <c r="E302" s="5"/>
      <c r="F302" s="5"/>
      <c r="G302" s="5"/>
      <c r="H302" s="5"/>
      <c r="I302" s="5"/>
      <c r="J302" s="5"/>
      <c r="K302" s="5"/>
      <c r="L302" s="5"/>
      <c r="M302" s="5"/>
      <c r="N302" s="5"/>
      <c r="O302" s="5"/>
    </row>
    <row r="303" spans="1:17" x14ac:dyDescent="0.25">
      <c r="A303" s="5"/>
      <c r="B303" s="5"/>
      <c r="C303" s="5"/>
      <c r="D303" s="5"/>
      <c r="E303" s="5"/>
      <c r="F303" s="5"/>
      <c r="G303" s="5"/>
      <c r="H303" s="5"/>
      <c r="I303" s="5"/>
      <c r="J303" s="5"/>
      <c r="K303" s="5"/>
      <c r="L303" s="5"/>
      <c r="M303" s="5"/>
      <c r="N303" s="5"/>
      <c r="O303" s="5"/>
    </row>
    <row r="304" spans="1:17"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LxezzxP1zssnCe5cH16xGcRsaNVxfc0XrLgg8yMTYFQ1xbqs1BeLFOx+cjQjxI/bYIoHyA3/ewp2k6vGXNnGIA==" saltValue="Cehw7EYYQFyj0PLvdHuEtg==" spinCount="100000" sheet="1" objects="1" scenarios="1" formatCells="0" formatColumns="0" formatRows="0"/>
  <autoFilter ref="A22:P300">
    <filterColumn colId="2">
      <filters>
        <filter val="2 113 259"/>
      </filters>
    </filterColumn>
  </autoFilter>
  <mergeCells count="3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82.pielikums Jūrmalas pilsētas domes
2017.gada 30.janvāra saistošajiem noteikumiem Nr.10
(Protokols Nr.4, 1.punkts)
 </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2"/>
  <sheetViews>
    <sheetView showGridLines="0" view="pageLayout" zoomScaleNormal="100" workbookViewId="0">
      <selection activeCell="S13" sqref="S13"/>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1071</v>
      </c>
    </row>
    <row r="2" spans="1:17" x14ac:dyDescent="0.25">
      <c r="B2" s="2"/>
      <c r="C2" s="2"/>
      <c r="D2" s="2"/>
      <c r="E2" s="2"/>
      <c r="F2" s="2"/>
      <c r="G2" s="2"/>
      <c r="H2" s="2"/>
      <c r="I2" s="2"/>
      <c r="J2" s="2"/>
      <c r="K2" s="2"/>
      <c r="L2" s="2"/>
      <c r="M2" s="3"/>
      <c r="N2" s="3"/>
      <c r="O2" s="4"/>
    </row>
    <row r="3" spans="1:17" x14ac:dyDescent="0.25">
      <c r="A3" s="411"/>
      <c r="B3" s="924"/>
      <c r="C3" s="924"/>
      <c r="D3" s="924"/>
      <c r="E3" s="924"/>
      <c r="F3" s="924"/>
      <c r="G3" s="924"/>
      <c r="H3" s="924"/>
      <c r="I3" s="924"/>
      <c r="J3" s="924"/>
      <c r="K3" s="924"/>
      <c r="L3" s="924"/>
      <c r="M3" s="925"/>
      <c r="N3" s="925"/>
      <c r="O3" s="926"/>
      <c r="P3" s="927"/>
      <c r="Q3" s="7"/>
    </row>
    <row r="4" spans="1:17" ht="15.75" x14ac:dyDescent="0.25">
      <c r="A4" s="1560" t="s">
        <v>1</v>
      </c>
      <c r="B4" s="1561"/>
      <c r="C4" s="1561"/>
      <c r="D4" s="1561"/>
      <c r="E4" s="1561"/>
      <c r="F4" s="1561"/>
      <c r="G4" s="1561"/>
      <c r="H4" s="1561"/>
      <c r="I4" s="1561"/>
      <c r="J4" s="1561"/>
      <c r="K4" s="1561"/>
      <c r="L4" s="1561"/>
      <c r="M4" s="1561"/>
      <c r="N4" s="1561"/>
      <c r="O4" s="1561"/>
      <c r="P4" s="1561"/>
      <c r="Q4" s="7"/>
    </row>
    <row r="5" spans="1:17" ht="15.75" x14ac:dyDescent="0.25">
      <c r="A5" s="653"/>
      <c r="B5" s="654"/>
      <c r="C5" s="654"/>
      <c r="D5" s="654"/>
      <c r="E5" s="654"/>
      <c r="F5" s="654"/>
      <c r="G5" s="654"/>
      <c r="H5" s="654"/>
      <c r="I5" s="654"/>
      <c r="J5" s="654"/>
      <c r="K5" s="654"/>
      <c r="L5" s="654"/>
      <c r="M5" s="654"/>
      <c r="N5" s="654"/>
      <c r="O5" s="654"/>
      <c r="P5" s="654"/>
      <c r="Q5" s="7"/>
    </row>
    <row r="6" spans="1:17" ht="12.75" x14ac:dyDescent="0.25">
      <c r="A6" s="13" t="s">
        <v>2</v>
      </c>
      <c r="B6" s="14"/>
      <c r="C6" s="1555" t="s">
        <v>1072</v>
      </c>
      <c r="D6" s="1555"/>
      <c r="E6" s="1555"/>
      <c r="F6" s="1555"/>
      <c r="G6" s="1555"/>
      <c r="H6" s="1555"/>
      <c r="I6" s="1555"/>
      <c r="J6" s="1555"/>
      <c r="K6" s="1555"/>
      <c r="L6" s="1555"/>
      <c r="M6" s="1555"/>
      <c r="N6" s="1555"/>
      <c r="O6" s="1555"/>
      <c r="P6" s="1555"/>
      <c r="Q6" s="7"/>
    </row>
    <row r="7" spans="1:17" ht="12.75" x14ac:dyDescent="0.25">
      <c r="A7" s="13" t="s">
        <v>4</v>
      </c>
      <c r="B7" s="14"/>
      <c r="C7" s="1555" t="s">
        <v>1073</v>
      </c>
      <c r="D7" s="1555"/>
      <c r="E7" s="1555"/>
      <c r="F7" s="1555"/>
      <c r="G7" s="1555"/>
      <c r="H7" s="1555"/>
      <c r="I7" s="1555"/>
      <c r="J7" s="1555"/>
      <c r="K7" s="1555"/>
      <c r="L7" s="1555"/>
      <c r="M7" s="1555"/>
      <c r="N7" s="1555"/>
      <c r="O7" s="1555"/>
      <c r="P7" s="1555"/>
      <c r="Q7" s="7"/>
    </row>
    <row r="8" spans="1:17" x14ac:dyDescent="0.25">
      <c r="A8" s="8" t="s">
        <v>6</v>
      </c>
      <c r="B8" s="9"/>
      <c r="C8" s="1553" t="s">
        <v>1074</v>
      </c>
      <c r="D8" s="1553"/>
      <c r="E8" s="1553"/>
      <c r="F8" s="1553"/>
      <c r="G8" s="1553"/>
      <c r="H8" s="1553"/>
      <c r="I8" s="1553"/>
      <c r="J8" s="1553"/>
      <c r="K8" s="1553"/>
      <c r="L8" s="1553"/>
      <c r="M8" s="1553"/>
      <c r="N8" s="1553"/>
      <c r="O8" s="1553"/>
      <c r="P8" s="1553"/>
      <c r="Q8" s="7"/>
    </row>
    <row r="9" spans="1:17" x14ac:dyDescent="0.25">
      <c r="A9" s="8" t="s">
        <v>8</v>
      </c>
      <c r="B9" s="9"/>
      <c r="C9" s="1553" t="s">
        <v>333</v>
      </c>
      <c r="D9" s="1553"/>
      <c r="E9" s="1553"/>
      <c r="F9" s="1553"/>
      <c r="G9" s="1553"/>
      <c r="H9" s="1553"/>
      <c r="I9" s="1553"/>
      <c r="J9" s="1553"/>
      <c r="K9" s="1553"/>
      <c r="L9" s="1553"/>
      <c r="M9" s="1553"/>
      <c r="N9" s="1553"/>
      <c r="O9" s="1553"/>
      <c r="P9" s="1553"/>
      <c r="Q9" s="7"/>
    </row>
    <row r="10" spans="1:17" ht="22.5" customHeight="1" x14ac:dyDescent="0.25">
      <c r="A10" s="8" t="s">
        <v>10</v>
      </c>
      <c r="B10" s="9"/>
      <c r="C10" s="1555" t="s">
        <v>334</v>
      </c>
      <c r="D10" s="1555"/>
      <c r="E10" s="1555"/>
      <c r="F10" s="1555"/>
      <c r="G10" s="1555"/>
      <c r="H10" s="1555"/>
      <c r="I10" s="1555"/>
      <c r="J10" s="1555"/>
      <c r="K10" s="1555"/>
      <c r="L10" s="1555"/>
      <c r="M10" s="1555"/>
      <c r="N10" s="1555"/>
      <c r="O10" s="1555"/>
      <c r="P10" s="1555"/>
      <c r="Q10" s="7"/>
    </row>
    <row r="11" spans="1:17" x14ac:dyDescent="0.25">
      <c r="A11" s="8" t="s">
        <v>12</v>
      </c>
      <c r="B11" s="9"/>
      <c r="C11" s="1555" t="s">
        <v>439</v>
      </c>
      <c r="D11" s="1555"/>
      <c r="E11" s="1555"/>
      <c r="F11" s="1555"/>
      <c r="G11" s="1555"/>
      <c r="H11" s="1555"/>
      <c r="I11" s="1555"/>
      <c r="J11" s="1555"/>
      <c r="K11" s="1555"/>
      <c r="L11" s="1555"/>
      <c r="M11" s="1555"/>
      <c r="N11" s="1555"/>
      <c r="O11" s="1555"/>
      <c r="P11" s="1555"/>
      <c r="Q11" s="7"/>
    </row>
    <row r="12" spans="1:17" x14ac:dyDescent="0.25">
      <c r="A12" s="15" t="s">
        <v>14</v>
      </c>
      <c r="B12" s="9"/>
      <c r="C12" s="16"/>
      <c r="D12" s="16"/>
      <c r="E12" s="16"/>
      <c r="F12" s="16"/>
      <c r="G12" s="16"/>
      <c r="H12" s="16"/>
      <c r="I12" s="16"/>
      <c r="J12" s="16"/>
      <c r="K12" s="16"/>
      <c r="L12" s="16"/>
      <c r="M12" s="16"/>
      <c r="N12" s="16"/>
      <c r="O12" s="16"/>
      <c r="P12" s="624"/>
      <c r="Q12" s="7"/>
    </row>
    <row r="13" spans="1:17" x14ac:dyDescent="0.25">
      <c r="A13" s="8"/>
      <c r="B13" s="9" t="s">
        <v>15</v>
      </c>
      <c r="C13" s="1553" t="s">
        <v>1075</v>
      </c>
      <c r="D13" s="1553"/>
      <c r="E13" s="1553"/>
      <c r="F13" s="1553"/>
      <c r="G13" s="1553"/>
      <c r="H13" s="1553"/>
      <c r="I13" s="1553"/>
      <c r="J13" s="1553"/>
      <c r="K13" s="1553"/>
      <c r="L13" s="1553"/>
      <c r="M13" s="1553"/>
      <c r="N13" s="1553"/>
      <c r="O13" s="1553"/>
      <c r="P13" s="1553"/>
      <c r="Q13" s="7"/>
    </row>
    <row r="14" spans="1:17" x14ac:dyDescent="0.25">
      <c r="A14" s="8"/>
      <c r="B14" s="9" t="s">
        <v>17</v>
      </c>
      <c r="C14" s="1553" t="s">
        <v>1076</v>
      </c>
      <c r="D14" s="1553"/>
      <c r="E14" s="1553"/>
      <c r="F14" s="1553"/>
      <c r="G14" s="1553"/>
      <c r="H14" s="1553"/>
      <c r="I14" s="1553"/>
      <c r="J14" s="1553"/>
      <c r="K14" s="1553"/>
      <c r="L14" s="1553"/>
      <c r="M14" s="1553"/>
      <c r="N14" s="1553"/>
      <c r="O14" s="1553"/>
      <c r="P14" s="1553"/>
      <c r="Q14" s="7"/>
    </row>
    <row r="15" spans="1:17" x14ac:dyDescent="0.25">
      <c r="A15" s="8"/>
      <c r="B15" s="9" t="s">
        <v>19</v>
      </c>
      <c r="C15" s="1553"/>
      <c r="D15" s="1553"/>
      <c r="E15" s="1553"/>
      <c r="F15" s="1553"/>
      <c r="G15" s="1553"/>
      <c r="H15" s="1553"/>
      <c r="I15" s="1553"/>
      <c r="J15" s="1553"/>
      <c r="K15" s="1553"/>
      <c r="L15" s="1553"/>
      <c r="M15" s="1553"/>
      <c r="N15" s="1553"/>
      <c r="O15" s="1553"/>
      <c r="P15" s="1553"/>
      <c r="Q15" s="7"/>
    </row>
    <row r="16" spans="1:17" x14ac:dyDescent="0.25">
      <c r="A16" s="8"/>
      <c r="B16" s="9" t="s">
        <v>20</v>
      </c>
      <c r="C16" s="1553" t="s">
        <v>1077</v>
      </c>
      <c r="D16" s="1553"/>
      <c r="E16" s="1553"/>
      <c r="F16" s="1553"/>
      <c r="G16" s="1553"/>
      <c r="H16" s="1553"/>
      <c r="I16" s="1553"/>
      <c r="J16" s="1553"/>
      <c r="K16" s="1553"/>
      <c r="L16" s="1553"/>
      <c r="M16" s="1553"/>
      <c r="N16" s="1553"/>
      <c r="O16" s="1553"/>
      <c r="P16" s="1553"/>
      <c r="Q16" s="7"/>
    </row>
    <row r="17" spans="1:20" x14ac:dyDescent="0.25">
      <c r="A17" s="8"/>
      <c r="B17" s="9" t="s">
        <v>22</v>
      </c>
      <c r="C17" s="1553"/>
      <c r="D17" s="1553"/>
      <c r="E17" s="1553"/>
      <c r="F17" s="1553"/>
      <c r="G17" s="1553"/>
      <c r="H17" s="1553"/>
      <c r="I17" s="1553"/>
      <c r="J17" s="1553"/>
      <c r="K17" s="1553"/>
      <c r="L17" s="1553"/>
      <c r="M17" s="1553"/>
      <c r="N17" s="1553"/>
      <c r="O17" s="1553"/>
      <c r="P17" s="1553"/>
      <c r="Q17" s="7"/>
    </row>
    <row r="18" spans="1:20" x14ac:dyDescent="0.25">
      <c r="A18" s="18"/>
      <c r="B18" s="19"/>
      <c r="C18" s="1569"/>
      <c r="D18" s="1569"/>
      <c r="E18" s="1569"/>
      <c r="F18" s="1569"/>
      <c r="G18" s="1569"/>
      <c r="H18" s="1569"/>
      <c r="I18" s="1569"/>
      <c r="J18" s="1569"/>
      <c r="K18" s="1569"/>
      <c r="L18" s="1569"/>
      <c r="M18" s="1569"/>
      <c r="N18" s="1569"/>
      <c r="O18" s="1569"/>
      <c r="P18" s="1569"/>
      <c r="Q18" s="7"/>
    </row>
    <row r="19" spans="1:20"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0" s="20" customFormat="1" x14ac:dyDescent="0.25">
      <c r="A20" s="1572"/>
      <c r="B20" s="1575"/>
      <c r="C20" s="1580" t="s">
        <v>27</v>
      </c>
      <c r="D20" s="1565" t="s">
        <v>28</v>
      </c>
      <c r="E20" s="1582" t="s">
        <v>29</v>
      </c>
      <c r="F20" s="1584" t="s">
        <v>30</v>
      </c>
      <c r="G20" s="1565" t="s">
        <v>31</v>
      </c>
      <c r="H20" s="1567" t="s">
        <v>32</v>
      </c>
      <c r="I20" s="1563" t="s">
        <v>33</v>
      </c>
      <c r="J20" s="1565" t="s">
        <v>34</v>
      </c>
      <c r="K20" s="1567" t="s">
        <v>35</v>
      </c>
      <c r="L20" s="1563" t="s">
        <v>36</v>
      </c>
      <c r="M20" s="1565" t="s">
        <v>37</v>
      </c>
      <c r="N20" s="1567" t="s">
        <v>38</v>
      </c>
      <c r="O20" s="1563" t="s">
        <v>39</v>
      </c>
      <c r="P20" s="1575"/>
    </row>
    <row r="21" spans="1:20" s="21" customFormat="1" ht="56.25" customHeight="1" thickBot="1" x14ac:dyDescent="0.3">
      <c r="A21" s="1573"/>
      <c r="B21" s="1576"/>
      <c r="C21" s="1581"/>
      <c r="D21" s="1566"/>
      <c r="E21" s="1583"/>
      <c r="F21" s="1585"/>
      <c r="G21" s="1566"/>
      <c r="H21" s="1568"/>
      <c r="I21" s="1564"/>
      <c r="J21" s="1566"/>
      <c r="K21" s="1568"/>
      <c r="L21" s="1564"/>
      <c r="M21" s="1566"/>
      <c r="N21" s="1568"/>
      <c r="O21" s="1564"/>
      <c r="P21" s="1576"/>
    </row>
    <row r="22" spans="1:20" s="21" customFormat="1" ht="9" thickTop="1" x14ac:dyDescent="0.25">
      <c r="A22" s="22">
        <v>1</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0" s="41" customFormat="1" x14ac:dyDescent="0.25">
      <c r="A23" s="30"/>
      <c r="B23" s="31" t="s">
        <v>41</v>
      </c>
      <c r="C23" s="32"/>
      <c r="D23" s="33"/>
      <c r="E23" s="34"/>
      <c r="F23" s="35"/>
      <c r="G23" s="33"/>
      <c r="H23" s="36"/>
      <c r="I23" s="37"/>
      <c r="J23" s="33"/>
      <c r="K23" s="38"/>
      <c r="L23" s="37"/>
      <c r="M23" s="38"/>
      <c r="N23" s="39"/>
      <c r="O23" s="37"/>
      <c r="P23" s="40"/>
      <c r="R23" s="53"/>
      <c r="S23" s="53"/>
      <c r="T23" s="53"/>
    </row>
    <row r="24" spans="1:20" s="41" customFormat="1" ht="12.75" thickBot="1" x14ac:dyDescent="0.3">
      <c r="A24" s="42"/>
      <c r="B24" s="43" t="s">
        <v>42</v>
      </c>
      <c r="C24" s="44">
        <f t="shared" ref="C24:C50" si="0">SUM(F24,I24,L24,O24)</f>
        <v>680960</v>
      </c>
      <c r="D24" s="45">
        <f>SUM(D25,D28,D29,D45,D46)</f>
        <v>446705</v>
      </c>
      <c r="E24" s="46">
        <f>SUM(E25,E28,E29,E45,E46)</f>
        <v>0</v>
      </c>
      <c r="F24" s="47">
        <f t="shared" ref="F24:F29" si="1">D24+E24</f>
        <v>446705</v>
      </c>
      <c r="G24" s="45">
        <f>SUM(G25,G28,G29,G45,G46)</f>
        <v>204544</v>
      </c>
      <c r="H24" s="48">
        <f>SUM(H25,H28,H46)</f>
        <v>0</v>
      </c>
      <c r="I24" s="49">
        <f>G24+H24</f>
        <v>204544</v>
      </c>
      <c r="J24" s="45">
        <f>SUM(J25,J30,J46)</f>
        <v>29711</v>
      </c>
      <c r="K24" s="48">
        <f>SUM(K25,K30,K46)</f>
        <v>0</v>
      </c>
      <c r="L24" s="49">
        <f>J24+K24</f>
        <v>29711</v>
      </c>
      <c r="M24" s="50">
        <f>SUM(M25,M48)</f>
        <v>0</v>
      </c>
      <c r="N24" s="51">
        <f>SUM(N25,N48)</f>
        <v>0</v>
      </c>
      <c r="O24" s="49">
        <f>M24+N24</f>
        <v>0</v>
      </c>
      <c r="P24" s="52"/>
      <c r="R24" s="53"/>
      <c r="S24" s="53"/>
      <c r="T24" s="53"/>
    </row>
    <row r="25" spans="1:20" ht="12.75" thickTop="1" x14ac:dyDescent="0.25">
      <c r="A25" s="54"/>
      <c r="B25" s="55" t="s">
        <v>43</v>
      </c>
      <c r="C25" s="56">
        <f t="shared" si="0"/>
        <v>2798</v>
      </c>
      <c r="D25" s="57">
        <f>SUM(D26:D27)</f>
        <v>0</v>
      </c>
      <c r="E25" s="58">
        <f>SUM(E26:E27)</f>
        <v>0</v>
      </c>
      <c r="F25" s="59">
        <f t="shared" si="1"/>
        <v>0</v>
      </c>
      <c r="G25" s="57">
        <f>SUM(G26:G27)</f>
        <v>0</v>
      </c>
      <c r="H25" s="60">
        <f>SUM(H26:H27)</f>
        <v>0</v>
      </c>
      <c r="I25" s="61">
        <f>G25+H25</f>
        <v>0</v>
      </c>
      <c r="J25" s="57">
        <f>SUM(J26:J27)</f>
        <v>2798</v>
      </c>
      <c r="K25" s="60">
        <f>SUM(K26:K27)</f>
        <v>0</v>
      </c>
      <c r="L25" s="61">
        <f>J25+K25</f>
        <v>2798</v>
      </c>
      <c r="M25" s="62">
        <f>SUM(M26:M27)</f>
        <v>0</v>
      </c>
      <c r="N25" s="63">
        <f>SUM(N26:N27)</f>
        <v>0</v>
      </c>
      <c r="O25" s="61">
        <f>M25+N25</f>
        <v>0</v>
      </c>
      <c r="P25" s="64"/>
      <c r="R25" s="53"/>
      <c r="S25" s="53"/>
      <c r="T25" s="53"/>
    </row>
    <row r="26" spans="1:20" hidden="1" x14ac:dyDescent="0.25">
      <c r="A26" s="65"/>
      <c r="B26" s="66" t="s">
        <v>44</v>
      </c>
      <c r="C26" s="67">
        <f t="shared" si="0"/>
        <v>0</v>
      </c>
      <c r="D26" s="68"/>
      <c r="E26" s="673"/>
      <c r="F26" s="625">
        <f t="shared" si="1"/>
        <v>0</v>
      </c>
      <c r="G26" s="68"/>
      <c r="H26" s="71"/>
      <c r="I26" s="72">
        <f>G26+H26</f>
        <v>0</v>
      </c>
      <c r="J26" s="68"/>
      <c r="K26" s="71"/>
      <c r="L26" s="72">
        <f>J26+K26</f>
        <v>0</v>
      </c>
      <c r="M26" s="73"/>
      <c r="N26" s="69"/>
      <c r="O26" s="72">
        <f>M26+N26</f>
        <v>0</v>
      </c>
      <c r="P26" s="74"/>
      <c r="R26" s="53"/>
      <c r="S26" s="53"/>
      <c r="T26" s="53"/>
    </row>
    <row r="27" spans="1:20" x14ac:dyDescent="0.25">
      <c r="A27" s="75"/>
      <c r="B27" s="76" t="s">
        <v>45</v>
      </c>
      <c r="C27" s="77">
        <f t="shared" si="0"/>
        <v>2798</v>
      </c>
      <c r="D27" s="78"/>
      <c r="E27" s="79"/>
      <c r="F27" s="80">
        <f t="shared" si="1"/>
        <v>0</v>
      </c>
      <c r="G27" s="78"/>
      <c r="H27" s="81"/>
      <c r="I27" s="82">
        <f>G27+H27</f>
        <v>0</v>
      </c>
      <c r="J27" s="78">
        <v>2798</v>
      </c>
      <c r="K27" s="81"/>
      <c r="L27" s="82">
        <f>J27+K27</f>
        <v>2798</v>
      </c>
      <c r="M27" s="83"/>
      <c r="N27" s="84"/>
      <c r="O27" s="82">
        <f>M27+N27</f>
        <v>0</v>
      </c>
      <c r="P27" s="85"/>
      <c r="R27" s="53"/>
      <c r="S27" s="53"/>
      <c r="T27" s="53"/>
    </row>
    <row r="28" spans="1:20" s="41" customFormat="1" ht="24.75" thickBot="1" x14ac:dyDescent="0.3">
      <c r="A28" s="86">
        <v>19300</v>
      </c>
      <c r="B28" s="86" t="s">
        <v>46</v>
      </c>
      <c r="C28" s="87">
        <f t="shared" si="0"/>
        <v>651249</v>
      </c>
      <c r="D28" s="88">
        <f>436077-3326+9247+4707</f>
        <v>446705</v>
      </c>
      <c r="E28" s="89"/>
      <c r="F28" s="90">
        <f t="shared" si="1"/>
        <v>446705</v>
      </c>
      <c r="G28" s="88">
        <f>193277+3709+7558</f>
        <v>204544</v>
      </c>
      <c r="H28" s="91"/>
      <c r="I28" s="92">
        <f>G28+H28</f>
        <v>204544</v>
      </c>
      <c r="J28" s="93" t="s">
        <v>47</v>
      </c>
      <c r="K28" s="94" t="s">
        <v>47</v>
      </c>
      <c r="L28" s="95" t="s">
        <v>47</v>
      </c>
      <c r="M28" s="96" t="s">
        <v>47</v>
      </c>
      <c r="N28" s="97" t="s">
        <v>47</v>
      </c>
      <c r="O28" s="95" t="s">
        <v>47</v>
      </c>
      <c r="P28" s="98"/>
      <c r="R28" s="53"/>
      <c r="S28" s="53"/>
      <c r="T28" s="53"/>
    </row>
    <row r="29" spans="1:20" s="41" customFormat="1" ht="33" hidden="1" customHeight="1" thickTop="1" x14ac:dyDescent="0.25">
      <c r="A29" s="99"/>
      <c r="B29" s="99" t="s">
        <v>48</v>
      </c>
      <c r="C29" s="100">
        <f t="shared" si="0"/>
        <v>0</v>
      </c>
      <c r="D29" s="101"/>
      <c r="E29" s="665"/>
      <c r="F29" s="634">
        <f t="shared" si="1"/>
        <v>0</v>
      </c>
      <c r="G29" s="104" t="s">
        <v>47</v>
      </c>
      <c r="H29" s="105" t="s">
        <v>47</v>
      </c>
      <c r="I29" s="106" t="s">
        <v>47</v>
      </c>
      <c r="J29" s="104" t="s">
        <v>47</v>
      </c>
      <c r="K29" s="105" t="s">
        <v>47</v>
      </c>
      <c r="L29" s="106" t="s">
        <v>47</v>
      </c>
      <c r="M29" s="107" t="s">
        <v>47</v>
      </c>
      <c r="N29" s="108" t="s">
        <v>47</v>
      </c>
      <c r="O29" s="106" t="s">
        <v>47</v>
      </c>
      <c r="P29" s="109"/>
      <c r="R29" s="53"/>
      <c r="S29" s="53"/>
      <c r="T29" s="53"/>
    </row>
    <row r="30" spans="1:20" s="41" customFormat="1" ht="25.5" customHeight="1" thickTop="1" x14ac:dyDescent="0.25">
      <c r="A30" s="99">
        <v>21300</v>
      </c>
      <c r="B30" s="99" t="s">
        <v>49</v>
      </c>
      <c r="C30" s="100">
        <f t="shared" si="0"/>
        <v>26913</v>
      </c>
      <c r="D30" s="104" t="s">
        <v>47</v>
      </c>
      <c r="E30" s="110" t="s">
        <v>47</v>
      </c>
      <c r="F30" s="111" t="s">
        <v>47</v>
      </c>
      <c r="G30" s="104" t="s">
        <v>47</v>
      </c>
      <c r="H30" s="105" t="s">
        <v>47</v>
      </c>
      <c r="I30" s="106" t="s">
        <v>47</v>
      </c>
      <c r="J30" s="112">
        <f>SUM(J31,J35,J37,J40)</f>
        <v>26913</v>
      </c>
      <c r="K30" s="113">
        <f>SUM(K31,K35,K37,K40)</f>
        <v>0</v>
      </c>
      <c r="L30" s="114">
        <f t="shared" ref="L30:L44" si="2">J30+K30</f>
        <v>26913</v>
      </c>
      <c r="M30" s="107" t="s">
        <v>47</v>
      </c>
      <c r="N30" s="108" t="s">
        <v>47</v>
      </c>
      <c r="O30" s="106" t="s">
        <v>47</v>
      </c>
      <c r="P30" s="109"/>
      <c r="R30" s="53"/>
      <c r="S30" s="53"/>
      <c r="T30" s="53"/>
    </row>
    <row r="31" spans="1:20" s="41" customFormat="1" ht="24" x14ac:dyDescent="0.25">
      <c r="A31" s="115">
        <v>21350</v>
      </c>
      <c r="B31" s="99" t="s">
        <v>50</v>
      </c>
      <c r="C31" s="100">
        <f t="shared" si="0"/>
        <v>19966</v>
      </c>
      <c r="D31" s="104" t="s">
        <v>47</v>
      </c>
      <c r="E31" s="110" t="s">
        <v>47</v>
      </c>
      <c r="F31" s="111" t="s">
        <v>47</v>
      </c>
      <c r="G31" s="104" t="s">
        <v>47</v>
      </c>
      <c r="H31" s="105" t="s">
        <v>47</v>
      </c>
      <c r="I31" s="106" t="s">
        <v>47</v>
      </c>
      <c r="J31" s="112">
        <f>SUM(J32:J34)</f>
        <v>19966</v>
      </c>
      <c r="K31" s="113">
        <f>SUM(K32:K34)</f>
        <v>0</v>
      </c>
      <c r="L31" s="114">
        <f t="shared" si="2"/>
        <v>19966</v>
      </c>
      <c r="M31" s="107" t="s">
        <v>47</v>
      </c>
      <c r="N31" s="108" t="s">
        <v>47</v>
      </c>
      <c r="O31" s="106" t="s">
        <v>47</v>
      </c>
      <c r="P31" s="109"/>
      <c r="R31" s="53"/>
      <c r="S31" s="53"/>
      <c r="T31" s="53"/>
    </row>
    <row r="32" spans="1:20" hidden="1" x14ac:dyDescent="0.25">
      <c r="A32" s="65">
        <v>21351</v>
      </c>
      <c r="B32" s="116" t="s">
        <v>51</v>
      </c>
      <c r="C32" s="117">
        <f t="shared" si="0"/>
        <v>0</v>
      </c>
      <c r="D32" s="118" t="s">
        <v>47</v>
      </c>
      <c r="E32" s="154" t="s">
        <v>47</v>
      </c>
      <c r="F32" s="155" t="s">
        <v>47</v>
      </c>
      <c r="G32" s="118" t="s">
        <v>47</v>
      </c>
      <c r="H32" s="121" t="s">
        <v>47</v>
      </c>
      <c r="I32" s="122" t="s">
        <v>47</v>
      </c>
      <c r="J32" s="123"/>
      <c r="K32" s="124"/>
      <c r="L32" s="125">
        <f t="shared" si="2"/>
        <v>0</v>
      </c>
      <c r="M32" s="126" t="s">
        <v>47</v>
      </c>
      <c r="N32" s="119" t="s">
        <v>47</v>
      </c>
      <c r="O32" s="122" t="s">
        <v>47</v>
      </c>
      <c r="P32" s="74"/>
      <c r="R32" s="53"/>
      <c r="S32" s="53"/>
      <c r="T32" s="53"/>
    </row>
    <row r="33" spans="1:20" x14ac:dyDescent="0.25">
      <c r="A33" s="75">
        <v>21352</v>
      </c>
      <c r="B33" s="127" t="s">
        <v>52</v>
      </c>
      <c r="C33" s="128">
        <f t="shared" si="0"/>
        <v>19966</v>
      </c>
      <c r="D33" s="129" t="s">
        <v>47</v>
      </c>
      <c r="E33" s="130" t="s">
        <v>47</v>
      </c>
      <c r="F33" s="131" t="s">
        <v>47</v>
      </c>
      <c r="G33" s="129" t="s">
        <v>47</v>
      </c>
      <c r="H33" s="132" t="s">
        <v>47</v>
      </c>
      <c r="I33" s="133" t="s">
        <v>47</v>
      </c>
      <c r="J33" s="134">
        <v>19966</v>
      </c>
      <c r="K33" s="135"/>
      <c r="L33" s="136">
        <f t="shared" si="2"/>
        <v>19966</v>
      </c>
      <c r="M33" s="137" t="s">
        <v>47</v>
      </c>
      <c r="N33" s="138" t="s">
        <v>47</v>
      </c>
      <c r="O33" s="133" t="s">
        <v>47</v>
      </c>
      <c r="P33" s="85"/>
      <c r="R33" s="53"/>
      <c r="S33" s="53"/>
      <c r="T33" s="53"/>
    </row>
    <row r="34" spans="1:20" ht="24" hidden="1" x14ac:dyDescent="0.25">
      <c r="A34" s="75">
        <v>21359</v>
      </c>
      <c r="B34" s="127" t="s">
        <v>53</v>
      </c>
      <c r="C34" s="128">
        <f t="shared" si="0"/>
        <v>0</v>
      </c>
      <c r="D34" s="129" t="s">
        <v>47</v>
      </c>
      <c r="E34" s="130" t="s">
        <v>47</v>
      </c>
      <c r="F34" s="131" t="s">
        <v>47</v>
      </c>
      <c r="G34" s="129" t="s">
        <v>47</v>
      </c>
      <c r="H34" s="132" t="s">
        <v>47</v>
      </c>
      <c r="I34" s="133" t="s">
        <v>47</v>
      </c>
      <c r="J34" s="134"/>
      <c r="K34" s="135"/>
      <c r="L34" s="136">
        <f t="shared" si="2"/>
        <v>0</v>
      </c>
      <c r="M34" s="137" t="s">
        <v>47</v>
      </c>
      <c r="N34" s="138" t="s">
        <v>47</v>
      </c>
      <c r="O34" s="133" t="s">
        <v>47</v>
      </c>
      <c r="P34" s="85"/>
      <c r="R34" s="53"/>
      <c r="S34" s="53"/>
      <c r="T34" s="53"/>
    </row>
    <row r="35" spans="1:20" s="41" customFormat="1" ht="36" hidden="1" x14ac:dyDescent="0.25">
      <c r="A35" s="115">
        <v>21370</v>
      </c>
      <c r="B35" s="99" t="s">
        <v>54</v>
      </c>
      <c r="C35" s="100">
        <f t="shared" si="0"/>
        <v>0</v>
      </c>
      <c r="D35" s="104" t="s">
        <v>47</v>
      </c>
      <c r="E35" s="110" t="s">
        <v>47</v>
      </c>
      <c r="F35" s="111" t="s">
        <v>47</v>
      </c>
      <c r="G35" s="104" t="s">
        <v>47</v>
      </c>
      <c r="H35" s="105" t="s">
        <v>47</v>
      </c>
      <c r="I35" s="106" t="s">
        <v>47</v>
      </c>
      <c r="J35" s="112">
        <f>SUM(J36)</f>
        <v>0</v>
      </c>
      <c r="K35" s="113">
        <f>SUM(K36)</f>
        <v>0</v>
      </c>
      <c r="L35" s="114">
        <f t="shared" si="2"/>
        <v>0</v>
      </c>
      <c r="M35" s="107" t="s">
        <v>47</v>
      </c>
      <c r="N35" s="108" t="s">
        <v>47</v>
      </c>
      <c r="O35" s="106" t="s">
        <v>47</v>
      </c>
      <c r="P35" s="109"/>
      <c r="R35" s="53"/>
      <c r="S35" s="53"/>
      <c r="T35" s="53"/>
    </row>
    <row r="36" spans="1:20" ht="36" hidden="1" x14ac:dyDescent="0.25">
      <c r="A36" s="141">
        <v>21379</v>
      </c>
      <c r="B36" s="142" t="s">
        <v>55</v>
      </c>
      <c r="C36" s="143">
        <f t="shared" si="0"/>
        <v>0</v>
      </c>
      <c r="D36" s="144" t="s">
        <v>47</v>
      </c>
      <c r="E36" s="668" t="s">
        <v>47</v>
      </c>
      <c r="F36" s="773" t="s">
        <v>47</v>
      </c>
      <c r="G36" s="144" t="s">
        <v>47</v>
      </c>
      <c r="H36" s="147" t="s">
        <v>47</v>
      </c>
      <c r="I36" s="148" t="s">
        <v>47</v>
      </c>
      <c r="J36" s="149"/>
      <c r="K36" s="150"/>
      <c r="L36" s="151">
        <f t="shared" si="2"/>
        <v>0</v>
      </c>
      <c r="M36" s="152" t="s">
        <v>47</v>
      </c>
      <c r="N36" s="145" t="s">
        <v>47</v>
      </c>
      <c r="O36" s="148" t="s">
        <v>47</v>
      </c>
      <c r="P36" s="153"/>
      <c r="R36" s="53"/>
      <c r="S36" s="53"/>
      <c r="T36" s="53"/>
    </row>
    <row r="37" spans="1:20" s="41" customFormat="1" hidden="1" x14ac:dyDescent="0.25">
      <c r="A37" s="115">
        <v>21380</v>
      </c>
      <c r="B37" s="99" t="s">
        <v>56</v>
      </c>
      <c r="C37" s="100">
        <f t="shared" si="0"/>
        <v>0</v>
      </c>
      <c r="D37" s="104" t="s">
        <v>47</v>
      </c>
      <c r="E37" s="110" t="s">
        <v>47</v>
      </c>
      <c r="F37" s="111" t="s">
        <v>47</v>
      </c>
      <c r="G37" s="104" t="s">
        <v>47</v>
      </c>
      <c r="H37" s="105" t="s">
        <v>47</v>
      </c>
      <c r="I37" s="106" t="s">
        <v>47</v>
      </c>
      <c r="J37" s="112">
        <f>SUM(J38:J39)</f>
        <v>0</v>
      </c>
      <c r="K37" s="113">
        <f>SUM(K38:K39)</f>
        <v>0</v>
      </c>
      <c r="L37" s="114">
        <f t="shared" si="2"/>
        <v>0</v>
      </c>
      <c r="M37" s="107" t="s">
        <v>47</v>
      </c>
      <c r="N37" s="108" t="s">
        <v>47</v>
      </c>
      <c r="O37" s="106" t="s">
        <v>47</v>
      </c>
      <c r="P37" s="109"/>
      <c r="R37" s="53"/>
      <c r="S37" s="53"/>
      <c r="T37" s="53"/>
    </row>
    <row r="38" spans="1:20" hidden="1" x14ac:dyDescent="0.25">
      <c r="A38" s="66">
        <v>21381</v>
      </c>
      <c r="B38" s="116" t="s">
        <v>57</v>
      </c>
      <c r="C38" s="117">
        <f t="shared" si="0"/>
        <v>0</v>
      </c>
      <c r="D38" s="118" t="s">
        <v>47</v>
      </c>
      <c r="E38" s="154" t="s">
        <v>47</v>
      </c>
      <c r="F38" s="155" t="s">
        <v>47</v>
      </c>
      <c r="G38" s="118" t="s">
        <v>47</v>
      </c>
      <c r="H38" s="121" t="s">
        <v>47</v>
      </c>
      <c r="I38" s="122" t="s">
        <v>47</v>
      </c>
      <c r="J38" s="123"/>
      <c r="K38" s="124"/>
      <c r="L38" s="125">
        <f t="shared" si="2"/>
        <v>0</v>
      </c>
      <c r="M38" s="126" t="s">
        <v>47</v>
      </c>
      <c r="N38" s="119" t="s">
        <v>47</v>
      </c>
      <c r="O38" s="122" t="s">
        <v>47</v>
      </c>
      <c r="P38" s="74"/>
      <c r="R38" s="53"/>
      <c r="S38" s="53"/>
      <c r="T38" s="53"/>
    </row>
    <row r="39" spans="1:20" ht="24" hidden="1" x14ac:dyDescent="0.25">
      <c r="A39" s="76">
        <v>21383</v>
      </c>
      <c r="B39" s="127" t="s">
        <v>58</v>
      </c>
      <c r="C39" s="128">
        <f t="shared" si="0"/>
        <v>0</v>
      </c>
      <c r="D39" s="129" t="s">
        <v>47</v>
      </c>
      <c r="E39" s="130" t="s">
        <v>47</v>
      </c>
      <c r="F39" s="131" t="s">
        <v>47</v>
      </c>
      <c r="G39" s="129" t="s">
        <v>47</v>
      </c>
      <c r="H39" s="132" t="s">
        <v>47</v>
      </c>
      <c r="I39" s="133" t="s">
        <v>47</v>
      </c>
      <c r="J39" s="134"/>
      <c r="K39" s="135"/>
      <c r="L39" s="136">
        <f t="shared" si="2"/>
        <v>0</v>
      </c>
      <c r="M39" s="137" t="s">
        <v>47</v>
      </c>
      <c r="N39" s="138" t="s">
        <v>47</v>
      </c>
      <c r="O39" s="133" t="s">
        <v>47</v>
      </c>
      <c r="P39" s="85"/>
      <c r="R39" s="53"/>
      <c r="S39" s="53"/>
      <c r="T39" s="53"/>
    </row>
    <row r="40" spans="1:20" s="41" customFormat="1" ht="24" x14ac:dyDescent="0.25">
      <c r="A40" s="115">
        <v>21390</v>
      </c>
      <c r="B40" s="99" t="s">
        <v>59</v>
      </c>
      <c r="C40" s="100">
        <f t="shared" si="0"/>
        <v>6947</v>
      </c>
      <c r="D40" s="104" t="s">
        <v>47</v>
      </c>
      <c r="E40" s="110" t="s">
        <v>47</v>
      </c>
      <c r="F40" s="111" t="s">
        <v>47</v>
      </c>
      <c r="G40" s="104" t="s">
        <v>47</v>
      </c>
      <c r="H40" s="105" t="s">
        <v>47</v>
      </c>
      <c r="I40" s="106" t="s">
        <v>47</v>
      </c>
      <c r="J40" s="112">
        <f>SUM(J41:J44)</f>
        <v>6947</v>
      </c>
      <c r="K40" s="113">
        <f>SUM(K41:K44)</f>
        <v>0</v>
      </c>
      <c r="L40" s="114">
        <f t="shared" si="2"/>
        <v>6947</v>
      </c>
      <c r="M40" s="107" t="s">
        <v>47</v>
      </c>
      <c r="N40" s="108" t="s">
        <v>47</v>
      </c>
      <c r="O40" s="106" t="s">
        <v>47</v>
      </c>
      <c r="P40" s="109"/>
      <c r="R40" s="53"/>
      <c r="S40" s="53"/>
      <c r="T40" s="53"/>
    </row>
    <row r="41" spans="1:20" ht="24" hidden="1" x14ac:dyDescent="0.25">
      <c r="A41" s="66">
        <v>21391</v>
      </c>
      <c r="B41" s="116" t="s">
        <v>60</v>
      </c>
      <c r="C41" s="117">
        <f t="shared" si="0"/>
        <v>0</v>
      </c>
      <c r="D41" s="118" t="s">
        <v>47</v>
      </c>
      <c r="E41" s="154" t="s">
        <v>47</v>
      </c>
      <c r="F41" s="155" t="s">
        <v>47</v>
      </c>
      <c r="G41" s="118" t="s">
        <v>47</v>
      </c>
      <c r="H41" s="121" t="s">
        <v>47</v>
      </c>
      <c r="I41" s="122" t="s">
        <v>47</v>
      </c>
      <c r="J41" s="123"/>
      <c r="K41" s="124"/>
      <c r="L41" s="125">
        <f t="shared" si="2"/>
        <v>0</v>
      </c>
      <c r="M41" s="126" t="s">
        <v>47</v>
      </c>
      <c r="N41" s="119" t="s">
        <v>47</v>
      </c>
      <c r="O41" s="122" t="s">
        <v>47</v>
      </c>
      <c r="P41" s="74"/>
      <c r="R41" s="53"/>
      <c r="S41" s="53"/>
      <c r="T41" s="53"/>
    </row>
    <row r="42" spans="1:20" hidden="1" x14ac:dyDescent="0.25">
      <c r="A42" s="76">
        <v>21393</v>
      </c>
      <c r="B42" s="127" t="s">
        <v>61</v>
      </c>
      <c r="C42" s="128">
        <f t="shared" si="0"/>
        <v>0</v>
      </c>
      <c r="D42" s="129" t="s">
        <v>47</v>
      </c>
      <c r="E42" s="130" t="s">
        <v>47</v>
      </c>
      <c r="F42" s="131" t="s">
        <v>47</v>
      </c>
      <c r="G42" s="129" t="s">
        <v>47</v>
      </c>
      <c r="H42" s="132" t="s">
        <v>47</v>
      </c>
      <c r="I42" s="133" t="s">
        <v>47</v>
      </c>
      <c r="J42" s="134"/>
      <c r="K42" s="135"/>
      <c r="L42" s="136">
        <f t="shared" si="2"/>
        <v>0</v>
      </c>
      <c r="M42" s="137" t="s">
        <v>47</v>
      </c>
      <c r="N42" s="138" t="s">
        <v>47</v>
      </c>
      <c r="O42" s="133" t="s">
        <v>47</v>
      </c>
      <c r="P42" s="85"/>
      <c r="R42" s="53"/>
      <c r="S42" s="53"/>
      <c r="T42" s="53"/>
    </row>
    <row r="43" spans="1:20" hidden="1" x14ac:dyDescent="0.25">
      <c r="A43" s="76">
        <v>21395</v>
      </c>
      <c r="B43" s="127" t="s">
        <v>62</v>
      </c>
      <c r="C43" s="128">
        <f t="shared" si="0"/>
        <v>0</v>
      </c>
      <c r="D43" s="129" t="s">
        <v>47</v>
      </c>
      <c r="E43" s="130" t="s">
        <v>47</v>
      </c>
      <c r="F43" s="131" t="s">
        <v>47</v>
      </c>
      <c r="G43" s="129" t="s">
        <v>47</v>
      </c>
      <c r="H43" s="132" t="s">
        <v>47</v>
      </c>
      <c r="I43" s="133" t="s">
        <v>47</v>
      </c>
      <c r="J43" s="134"/>
      <c r="K43" s="135"/>
      <c r="L43" s="136">
        <f t="shared" si="2"/>
        <v>0</v>
      </c>
      <c r="M43" s="137" t="s">
        <v>47</v>
      </c>
      <c r="N43" s="138" t="s">
        <v>47</v>
      </c>
      <c r="O43" s="133" t="s">
        <v>47</v>
      </c>
      <c r="P43" s="85"/>
      <c r="R43" s="53"/>
      <c r="S43" s="53"/>
      <c r="T43" s="53"/>
    </row>
    <row r="44" spans="1:20" ht="24" x14ac:dyDescent="0.25">
      <c r="A44" s="76">
        <v>21399</v>
      </c>
      <c r="B44" s="127" t="s">
        <v>63</v>
      </c>
      <c r="C44" s="128">
        <f t="shared" si="0"/>
        <v>6947</v>
      </c>
      <c r="D44" s="129" t="s">
        <v>47</v>
      </c>
      <c r="E44" s="130" t="s">
        <v>47</v>
      </c>
      <c r="F44" s="131" t="s">
        <v>47</v>
      </c>
      <c r="G44" s="129" t="s">
        <v>47</v>
      </c>
      <c r="H44" s="132" t="s">
        <v>47</v>
      </c>
      <c r="I44" s="133" t="s">
        <v>47</v>
      </c>
      <c r="J44" s="134">
        <v>6947</v>
      </c>
      <c r="K44" s="135"/>
      <c r="L44" s="136">
        <f t="shared" si="2"/>
        <v>6947</v>
      </c>
      <c r="M44" s="137" t="s">
        <v>47</v>
      </c>
      <c r="N44" s="138" t="s">
        <v>47</v>
      </c>
      <c r="O44" s="133" t="s">
        <v>47</v>
      </c>
      <c r="P44" s="85"/>
      <c r="R44" s="53"/>
      <c r="S44" s="53"/>
      <c r="T44" s="53"/>
    </row>
    <row r="45" spans="1:20" s="41" customFormat="1" ht="33" hidden="1" customHeight="1" x14ac:dyDescent="0.25">
      <c r="A45" s="115">
        <v>21420</v>
      </c>
      <c r="B45" s="99" t="s">
        <v>64</v>
      </c>
      <c r="C45" s="156">
        <f t="shared" si="0"/>
        <v>0</v>
      </c>
      <c r="D45" s="157"/>
      <c r="E45" s="702"/>
      <c r="F45" s="634">
        <f>D45+E45</f>
        <v>0</v>
      </c>
      <c r="G45" s="104" t="s">
        <v>47</v>
      </c>
      <c r="H45" s="105" t="s">
        <v>47</v>
      </c>
      <c r="I45" s="106" t="s">
        <v>47</v>
      </c>
      <c r="J45" s="104" t="s">
        <v>47</v>
      </c>
      <c r="K45" s="105" t="s">
        <v>47</v>
      </c>
      <c r="L45" s="106" t="s">
        <v>47</v>
      </c>
      <c r="M45" s="107" t="s">
        <v>47</v>
      </c>
      <c r="N45" s="108" t="s">
        <v>47</v>
      </c>
      <c r="O45" s="106" t="s">
        <v>47</v>
      </c>
      <c r="P45" s="109"/>
      <c r="R45" s="53"/>
      <c r="S45" s="53"/>
      <c r="T45" s="53"/>
    </row>
    <row r="46" spans="1:20" s="41" customFormat="1" ht="24" hidden="1" x14ac:dyDescent="0.25">
      <c r="A46" s="159">
        <v>21490</v>
      </c>
      <c r="B46" s="160" t="s">
        <v>65</v>
      </c>
      <c r="C46" s="156">
        <f t="shared" si="0"/>
        <v>0</v>
      </c>
      <c r="D46" s="161">
        <f>D47</f>
        <v>0</v>
      </c>
      <c r="E46" s="672">
        <f>E47</f>
        <v>0</v>
      </c>
      <c r="F46" s="774">
        <f>D46+E46</f>
        <v>0</v>
      </c>
      <c r="G46" s="161">
        <f>G47</f>
        <v>0</v>
      </c>
      <c r="H46" s="164">
        <f>H47</f>
        <v>0</v>
      </c>
      <c r="I46" s="165">
        <f>G46+H46</f>
        <v>0</v>
      </c>
      <c r="J46" s="161">
        <f>J47</f>
        <v>0</v>
      </c>
      <c r="K46" s="164">
        <f>K47</f>
        <v>0</v>
      </c>
      <c r="L46" s="165">
        <f>J46+K46</f>
        <v>0</v>
      </c>
      <c r="M46" s="107" t="s">
        <v>47</v>
      </c>
      <c r="N46" s="108" t="s">
        <v>47</v>
      </c>
      <c r="O46" s="106" t="s">
        <v>47</v>
      </c>
      <c r="P46" s="109"/>
      <c r="R46" s="53"/>
      <c r="S46" s="53"/>
      <c r="T46" s="53"/>
    </row>
    <row r="47" spans="1:20" s="41" customFormat="1" ht="24" hidden="1" x14ac:dyDescent="0.25">
      <c r="A47" s="76">
        <v>21499</v>
      </c>
      <c r="B47" s="127" t="s">
        <v>66</v>
      </c>
      <c r="C47" s="166">
        <f t="shared" si="0"/>
        <v>0</v>
      </c>
      <c r="D47" s="68"/>
      <c r="E47" s="673"/>
      <c r="F47" s="625">
        <f>D47+E47</f>
        <v>0</v>
      </c>
      <c r="G47" s="167"/>
      <c r="H47" s="71"/>
      <c r="I47" s="72">
        <f>G47+H47</f>
        <v>0</v>
      </c>
      <c r="J47" s="68"/>
      <c r="K47" s="71"/>
      <c r="L47" s="72">
        <f>J47+K47</f>
        <v>0</v>
      </c>
      <c r="M47" s="152" t="s">
        <v>47</v>
      </c>
      <c r="N47" s="145" t="s">
        <v>47</v>
      </c>
      <c r="O47" s="148" t="s">
        <v>47</v>
      </c>
      <c r="P47" s="153"/>
      <c r="R47" s="53"/>
      <c r="S47" s="53"/>
      <c r="T47" s="53"/>
    </row>
    <row r="48" spans="1:20" ht="24" hidden="1" x14ac:dyDescent="0.25">
      <c r="A48" s="168">
        <v>23000</v>
      </c>
      <c r="B48" s="169" t="s">
        <v>67</v>
      </c>
      <c r="C48" s="156">
        <f t="shared" si="0"/>
        <v>0</v>
      </c>
      <c r="D48" s="170" t="s">
        <v>47</v>
      </c>
      <c r="E48" s="669" t="s">
        <v>47</v>
      </c>
      <c r="F48" s="907" t="s">
        <v>47</v>
      </c>
      <c r="G48" s="170" t="s">
        <v>47</v>
      </c>
      <c r="H48" s="173" t="s">
        <v>47</v>
      </c>
      <c r="I48" s="174" t="s">
        <v>47</v>
      </c>
      <c r="J48" s="170" t="s">
        <v>47</v>
      </c>
      <c r="K48" s="173" t="s">
        <v>47</v>
      </c>
      <c r="L48" s="174" t="s">
        <v>47</v>
      </c>
      <c r="M48" s="175">
        <f>SUM(M49:M50)</f>
        <v>0</v>
      </c>
      <c r="N48" s="176">
        <f>SUM(N49:N50)</f>
        <v>0</v>
      </c>
      <c r="O48" s="177">
        <f>M48+N48</f>
        <v>0</v>
      </c>
      <c r="P48" s="109"/>
      <c r="R48" s="53"/>
      <c r="S48" s="53"/>
      <c r="T48" s="53"/>
    </row>
    <row r="49" spans="1:20" ht="24" hidden="1" x14ac:dyDescent="0.25">
      <c r="A49" s="178">
        <v>23410</v>
      </c>
      <c r="B49" s="179" t="s">
        <v>68</v>
      </c>
      <c r="C49" s="180">
        <f t="shared" si="0"/>
        <v>0</v>
      </c>
      <c r="D49" s="181" t="s">
        <v>47</v>
      </c>
      <c r="E49" s="674" t="s">
        <v>47</v>
      </c>
      <c r="F49" s="908" t="s">
        <v>47</v>
      </c>
      <c r="G49" s="181" t="s">
        <v>47</v>
      </c>
      <c r="H49" s="184" t="s">
        <v>47</v>
      </c>
      <c r="I49" s="185" t="s">
        <v>47</v>
      </c>
      <c r="J49" s="181" t="s">
        <v>47</v>
      </c>
      <c r="K49" s="184" t="s">
        <v>47</v>
      </c>
      <c r="L49" s="185" t="s">
        <v>47</v>
      </c>
      <c r="M49" s="186"/>
      <c r="N49" s="187"/>
      <c r="O49" s="188">
        <f>M49+N49</f>
        <v>0</v>
      </c>
      <c r="P49" s="189"/>
      <c r="R49" s="53"/>
      <c r="S49" s="53"/>
      <c r="T49" s="53"/>
    </row>
    <row r="50" spans="1:20" ht="24" hidden="1" x14ac:dyDescent="0.25">
      <c r="A50" s="178">
        <v>23510</v>
      </c>
      <c r="B50" s="179" t="s">
        <v>69</v>
      </c>
      <c r="C50" s="180">
        <f t="shared" si="0"/>
        <v>0</v>
      </c>
      <c r="D50" s="181" t="s">
        <v>47</v>
      </c>
      <c r="E50" s="674" t="s">
        <v>47</v>
      </c>
      <c r="F50" s="908" t="s">
        <v>47</v>
      </c>
      <c r="G50" s="181" t="s">
        <v>47</v>
      </c>
      <c r="H50" s="184" t="s">
        <v>47</v>
      </c>
      <c r="I50" s="185" t="s">
        <v>47</v>
      </c>
      <c r="J50" s="181" t="s">
        <v>47</v>
      </c>
      <c r="K50" s="184" t="s">
        <v>47</v>
      </c>
      <c r="L50" s="185" t="s">
        <v>47</v>
      </c>
      <c r="M50" s="186"/>
      <c r="N50" s="187"/>
      <c r="O50" s="188">
        <f>M50+N50</f>
        <v>0</v>
      </c>
      <c r="P50" s="189"/>
      <c r="R50" s="53"/>
      <c r="S50" s="53"/>
      <c r="T50" s="53"/>
    </row>
    <row r="51" spans="1:20" x14ac:dyDescent="0.25">
      <c r="A51" s="190"/>
      <c r="B51" s="179"/>
      <c r="C51" s="191"/>
      <c r="D51" s="192"/>
      <c r="E51" s="193"/>
      <c r="F51" s="194"/>
      <c r="G51" s="192"/>
      <c r="H51" s="195"/>
      <c r="I51" s="185"/>
      <c r="J51" s="196"/>
      <c r="K51" s="197"/>
      <c r="L51" s="188"/>
      <c r="M51" s="186"/>
      <c r="N51" s="187"/>
      <c r="O51" s="188"/>
      <c r="P51" s="189"/>
      <c r="R51" s="53"/>
      <c r="S51" s="53"/>
      <c r="T51" s="53"/>
    </row>
    <row r="52" spans="1:20" s="41" customFormat="1" x14ac:dyDescent="0.25">
      <c r="A52" s="198"/>
      <c r="B52" s="199" t="s">
        <v>70</v>
      </c>
      <c r="C52" s="200"/>
      <c r="D52" s="201"/>
      <c r="E52" s="202"/>
      <c r="F52" s="203"/>
      <c r="G52" s="201"/>
      <c r="H52" s="204"/>
      <c r="I52" s="205"/>
      <c r="J52" s="201"/>
      <c r="K52" s="204"/>
      <c r="L52" s="205"/>
      <c r="M52" s="206"/>
      <c r="N52" s="207"/>
      <c r="O52" s="205"/>
      <c r="P52" s="208"/>
      <c r="R52" s="53"/>
      <c r="S52" s="53"/>
      <c r="T52" s="53"/>
    </row>
    <row r="53" spans="1:20" s="41" customFormat="1" ht="12.75" thickBot="1" x14ac:dyDescent="0.3">
      <c r="A53" s="209"/>
      <c r="B53" s="42" t="s">
        <v>71</v>
      </c>
      <c r="C53" s="210">
        <f t="shared" ref="C53:C116" si="3">SUM(F53,I53,L53,O53)</f>
        <v>680960</v>
      </c>
      <c r="D53" s="211">
        <f>SUM(D54,D284)</f>
        <v>446705</v>
      </c>
      <c r="E53" s="212">
        <f>SUM(E54,E284)</f>
        <v>0</v>
      </c>
      <c r="F53" s="213">
        <f t="shared" ref="F53:F116" si="4">D53+E53</f>
        <v>446705</v>
      </c>
      <c r="G53" s="211">
        <f>SUM(G54,G284)</f>
        <v>204544</v>
      </c>
      <c r="H53" s="214">
        <f>SUM(H54,H284)</f>
        <v>0</v>
      </c>
      <c r="I53" s="215">
        <f t="shared" ref="I53:I116" si="5">G53+H53</f>
        <v>204544</v>
      </c>
      <c r="J53" s="211">
        <f>SUM(J54,J284)</f>
        <v>29711</v>
      </c>
      <c r="K53" s="214">
        <f>SUM(K54,K284)</f>
        <v>0</v>
      </c>
      <c r="L53" s="215">
        <f t="shared" ref="L53:L116" si="6">J53+K53</f>
        <v>29711</v>
      </c>
      <c r="M53" s="216">
        <f>SUM(M54,M284)</f>
        <v>0</v>
      </c>
      <c r="N53" s="217">
        <f>SUM(N54,N284)</f>
        <v>0</v>
      </c>
      <c r="O53" s="215">
        <f t="shared" ref="O53:O116" si="7">M53+N53</f>
        <v>0</v>
      </c>
      <c r="P53" s="52"/>
      <c r="R53" s="53"/>
      <c r="S53" s="53"/>
      <c r="T53" s="53"/>
    </row>
    <row r="54" spans="1:20" s="41" customFormat="1" ht="36.75" thickTop="1" x14ac:dyDescent="0.25">
      <c r="A54" s="218"/>
      <c r="B54" s="219" t="s">
        <v>72</v>
      </c>
      <c r="C54" s="220">
        <f t="shared" si="3"/>
        <v>680960</v>
      </c>
      <c r="D54" s="221">
        <f>SUM(D55,D197)</f>
        <v>446705</v>
      </c>
      <c r="E54" s="222">
        <f>SUM(E55,E197)</f>
        <v>0</v>
      </c>
      <c r="F54" s="223">
        <f t="shared" si="4"/>
        <v>446705</v>
      </c>
      <c r="G54" s="221">
        <f>SUM(G55,G197)</f>
        <v>204544</v>
      </c>
      <c r="H54" s="224">
        <f>SUM(H55,H197)</f>
        <v>0</v>
      </c>
      <c r="I54" s="225">
        <f t="shared" si="5"/>
        <v>204544</v>
      </c>
      <c r="J54" s="221">
        <f>SUM(J55,J197)</f>
        <v>29711</v>
      </c>
      <c r="K54" s="224">
        <f>SUM(K55,K197)</f>
        <v>0</v>
      </c>
      <c r="L54" s="225">
        <f t="shared" si="6"/>
        <v>29711</v>
      </c>
      <c r="M54" s="226">
        <f>SUM(M55,M197)</f>
        <v>0</v>
      </c>
      <c r="N54" s="227">
        <f>SUM(N55,N197)</f>
        <v>0</v>
      </c>
      <c r="O54" s="225">
        <f t="shared" si="7"/>
        <v>0</v>
      </c>
      <c r="P54" s="228"/>
      <c r="R54" s="53"/>
      <c r="S54" s="53"/>
      <c r="T54" s="53"/>
    </row>
    <row r="55" spans="1:20" s="41" customFormat="1" ht="24" x14ac:dyDescent="0.25">
      <c r="A55" s="35"/>
      <c r="B55" s="30" t="s">
        <v>73</v>
      </c>
      <c r="C55" s="229">
        <f t="shared" si="3"/>
        <v>658304</v>
      </c>
      <c r="D55" s="230">
        <f>SUM(D56,D78,D176,D190)</f>
        <v>427118</v>
      </c>
      <c r="E55" s="231">
        <f>SUM(E56,E78,E176,E190)</f>
        <v>0</v>
      </c>
      <c r="F55" s="232">
        <f t="shared" si="4"/>
        <v>427118</v>
      </c>
      <c r="G55" s="230">
        <f>SUM(G56,G78,G176,G190)</f>
        <v>201475</v>
      </c>
      <c r="H55" s="233">
        <f>SUM(H56,H78,H176,H190)</f>
        <v>0</v>
      </c>
      <c r="I55" s="234">
        <f t="shared" si="5"/>
        <v>201475</v>
      </c>
      <c r="J55" s="230">
        <f>SUM(J56,J78,J176,J190)</f>
        <v>29711</v>
      </c>
      <c r="K55" s="233">
        <f>SUM(K56,K78,K176,K190)</f>
        <v>0</v>
      </c>
      <c r="L55" s="234">
        <f t="shared" si="6"/>
        <v>29711</v>
      </c>
      <c r="M55" s="53">
        <f>SUM(M56,M78,M176,M190)</f>
        <v>0</v>
      </c>
      <c r="N55" s="235">
        <f>SUM(N56,N78,N176,N190)</f>
        <v>0</v>
      </c>
      <c r="O55" s="234">
        <f t="shared" si="7"/>
        <v>0</v>
      </c>
      <c r="P55" s="236"/>
      <c r="R55" s="53"/>
      <c r="S55" s="53"/>
      <c r="T55" s="53"/>
    </row>
    <row r="56" spans="1:20" s="41" customFormat="1" x14ac:dyDescent="0.25">
      <c r="A56" s="237">
        <v>1000</v>
      </c>
      <c r="B56" s="237" t="s">
        <v>74</v>
      </c>
      <c r="C56" s="238">
        <f t="shared" si="3"/>
        <v>488291</v>
      </c>
      <c r="D56" s="239">
        <f>SUM(D57,D70)</f>
        <v>287456</v>
      </c>
      <c r="E56" s="240">
        <f>SUM(E57,E70)</f>
        <v>0</v>
      </c>
      <c r="F56" s="241">
        <f t="shared" si="4"/>
        <v>287456</v>
      </c>
      <c r="G56" s="239">
        <f>SUM(G57,G70)</f>
        <v>200835</v>
      </c>
      <c r="H56" s="242">
        <f>SUM(H57,H70)</f>
        <v>0</v>
      </c>
      <c r="I56" s="243">
        <f t="shared" si="5"/>
        <v>200835</v>
      </c>
      <c r="J56" s="239">
        <f>SUM(J57,J70)</f>
        <v>0</v>
      </c>
      <c r="K56" s="242">
        <f>SUM(K57,K70)</f>
        <v>0</v>
      </c>
      <c r="L56" s="243">
        <f t="shared" si="6"/>
        <v>0</v>
      </c>
      <c r="M56" s="244">
        <f>SUM(M57,M70)</f>
        <v>0</v>
      </c>
      <c r="N56" s="245">
        <f>SUM(N57,N70)</f>
        <v>0</v>
      </c>
      <c r="O56" s="243">
        <f t="shared" si="7"/>
        <v>0</v>
      </c>
      <c r="P56" s="246"/>
      <c r="R56" s="53"/>
      <c r="S56" s="53"/>
      <c r="T56" s="53"/>
    </row>
    <row r="57" spans="1:20" x14ac:dyDescent="0.25">
      <c r="A57" s="99">
        <v>1100</v>
      </c>
      <c r="B57" s="247" t="s">
        <v>75</v>
      </c>
      <c r="C57" s="100">
        <f t="shared" si="3"/>
        <v>372996</v>
      </c>
      <c r="D57" s="112">
        <f>SUM(D58,D61,D69)</f>
        <v>212272</v>
      </c>
      <c r="E57" s="248">
        <f>SUM(E58,E61,E69)</f>
        <v>0</v>
      </c>
      <c r="F57" s="249">
        <f t="shared" si="4"/>
        <v>212272</v>
      </c>
      <c r="G57" s="112">
        <f>SUM(G58,G61,G69)</f>
        <v>161234</v>
      </c>
      <c r="H57" s="113">
        <f>SUM(H58,H61,H69)</f>
        <v>-510</v>
      </c>
      <c r="I57" s="114">
        <f t="shared" si="5"/>
        <v>160724</v>
      </c>
      <c r="J57" s="112">
        <f>SUM(J58,J61,J69)</f>
        <v>0</v>
      </c>
      <c r="K57" s="113">
        <f>SUM(K58,K61,K69)</f>
        <v>0</v>
      </c>
      <c r="L57" s="114">
        <f t="shared" si="6"/>
        <v>0</v>
      </c>
      <c r="M57" s="250">
        <f>SUM(M58,M61,M69)</f>
        <v>0</v>
      </c>
      <c r="N57" s="251">
        <f>SUM(N58,N61,N69)</f>
        <v>0</v>
      </c>
      <c r="O57" s="252">
        <f t="shared" si="7"/>
        <v>0</v>
      </c>
      <c r="P57" s="253"/>
      <c r="R57" s="53"/>
      <c r="S57" s="53"/>
      <c r="T57" s="53"/>
    </row>
    <row r="58" spans="1:20" x14ac:dyDescent="0.25">
      <c r="A58" s="254">
        <v>1110</v>
      </c>
      <c r="B58" s="179" t="s">
        <v>76</v>
      </c>
      <c r="C58" s="191">
        <f t="shared" si="3"/>
        <v>339666</v>
      </c>
      <c r="D58" s="255">
        <f>SUM(D59:D60)</f>
        <v>181952</v>
      </c>
      <c r="E58" s="256">
        <f>SUM(E59:E60)</f>
        <v>0</v>
      </c>
      <c r="F58" s="257">
        <f t="shared" si="4"/>
        <v>181952</v>
      </c>
      <c r="G58" s="255">
        <f>SUM(G59:G60)</f>
        <v>155554</v>
      </c>
      <c r="H58" s="258">
        <f>SUM(H59:H60)</f>
        <v>2160</v>
      </c>
      <c r="I58" s="259">
        <f t="shared" si="5"/>
        <v>157714</v>
      </c>
      <c r="J58" s="255">
        <f>SUM(J59:J60)</f>
        <v>0</v>
      </c>
      <c r="K58" s="258">
        <f>SUM(K59:K60)</f>
        <v>0</v>
      </c>
      <c r="L58" s="259">
        <f t="shared" si="6"/>
        <v>0</v>
      </c>
      <c r="M58" s="260">
        <f>SUM(M59:M60)</f>
        <v>0</v>
      </c>
      <c r="N58" s="261">
        <f>SUM(N59:N60)</f>
        <v>0</v>
      </c>
      <c r="O58" s="259">
        <f t="shared" si="7"/>
        <v>0</v>
      </c>
      <c r="P58" s="189"/>
      <c r="R58" s="53"/>
      <c r="S58" s="53"/>
      <c r="T58" s="53"/>
    </row>
    <row r="59" spans="1:20" hidden="1" x14ac:dyDescent="0.25">
      <c r="A59" s="66">
        <v>1111</v>
      </c>
      <c r="B59" s="116" t="s">
        <v>77</v>
      </c>
      <c r="C59" s="117">
        <f t="shared" si="3"/>
        <v>0</v>
      </c>
      <c r="D59" s="123"/>
      <c r="E59" s="295"/>
      <c r="F59" s="296">
        <f t="shared" si="4"/>
        <v>0</v>
      </c>
      <c r="G59" s="123"/>
      <c r="H59" s="124"/>
      <c r="I59" s="125">
        <f t="shared" si="5"/>
        <v>0</v>
      </c>
      <c r="J59" s="123"/>
      <c r="K59" s="124"/>
      <c r="L59" s="125">
        <f t="shared" si="6"/>
        <v>0</v>
      </c>
      <c r="M59" s="264"/>
      <c r="N59" s="262"/>
      <c r="O59" s="125">
        <f t="shared" si="7"/>
        <v>0</v>
      </c>
      <c r="P59" s="74"/>
      <c r="R59" s="53"/>
      <c r="S59" s="53"/>
      <c r="T59" s="53"/>
    </row>
    <row r="60" spans="1:20" ht="24" x14ac:dyDescent="0.25">
      <c r="A60" s="76">
        <v>1119</v>
      </c>
      <c r="B60" s="127" t="s">
        <v>78</v>
      </c>
      <c r="C60" s="128">
        <f t="shared" si="3"/>
        <v>339666</v>
      </c>
      <c r="D60" s="134">
        <f>173149+7291+1512</f>
        <v>181952</v>
      </c>
      <c r="E60" s="283"/>
      <c r="F60" s="279">
        <f t="shared" si="4"/>
        <v>181952</v>
      </c>
      <c r="G60" s="134">
        <f>150019+5535</f>
        <v>155554</v>
      </c>
      <c r="H60" s="135">
        <v>2160</v>
      </c>
      <c r="I60" s="136">
        <f t="shared" si="5"/>
        <v>157714</v>
      </c>
      <c r="J60" s="134"/>
      <c r="K60" s="135"/>
      <c r="L60" s="136">
        <f t="shared" si="6"/>
        <v>0</v>
      </c>
      <c r="M60" s="284"/>
      <c r="N60" s="285"/>
      <c r="O60" s="136">
        <f t="shared" si="7"/>
        <v>0</v>
      </c>
      <c r="P60" s="85"/>
      <c r="R60" s="53"/>
      <c r="S60" s="53"/>
      <c r="T60" s="53"/>
    </row>
    <row r="61" spans="1:20" ht="24" x14ac:dyDescent="0.25">
      <c r="A61" s="276">
        <v>1140</v>
      </c>
      <c r="B61" s="127" t="s">
        <v>79</v>
      </c>
      <c r="C61" s="128">
        <f t="shared" si="3"/>
        <v>33330</v>
      </c>
      <c r="D61" s="277">
        <f>SUM(D62:D68)</f>
        <v>30320</v>
      </c>
      <c r="E61" s="278">
        <f>SUM(E62:E68)</f>
        <v>0</v>
      </c>
      <c r="F61" s="279">
        <f t="shared" si="4"/>
        <v>30320</v>
      </c>
      <c r="G61" s="277">
        <f>SUM(G62:G68)</f>
        <v>5680</v>
      </c>
      <c r="H61" s="280">
        <f>SUM(H62:H68)</f>
        <v>-2670</v>
      </c>
      <c r="I61" s="136">
        <f t="shared" si="5"/>
        <v>3010</v>
      </c>
      <c r="J61" s="277">
        <f>SUM(J62:J68)</f>
        <v>0</v>
      </c>
      <c r="K61" s="280">
        <f>SUM(K62:K68)</f>
        <v>0</v>
      </c>
      <c r="L61" s="136">
        <f t="shared" si="6"/>
        <v>0</v>
      </c>
      <c r="M61" s="281">
        <f>SUM(M62:M68)</f>
        <v>0</v>
      </c>
      <c r="N61" s="282">
        <f>SUM(N62:N68)</f>
        <v>0</v>
      </c>
      <c r="O61" s="136">
        <f t="shared" si="7"/>
        <v>0</v>
      </c>
      <c r="P61" s="85"/>
      <c r="R61" s="53"/>
      <c r="S61" s="53"/>
      <c r="T61" s="53"/>
    </row>
    <row r="62" spans="1:20" x14ac:dyDescent="0.25">
      <c r="A62" s="76">
        <v>1141</v>
      </c>
      <c r="B62" s="127" t="s">
        <v>80</v>
      </c>
      <c r="C62" s="128">
        <f t="shared" si="3"/>
        <v>2313</v>
      </c>
      <c r="D62" s="134">
        <v>2313</v>
      </c>
      <c r="E62" s="283"/>
      <c r="F62" s="279">
        <f t="shared" si="4"/>
        <v>2313</v>
      </c>
      <c r="G62" s="134"/>
      <c r="H62" s="135"/>
      <c r="I62" s="136">
        <f t="shared" si="5"/>
        <v>0</v>
      </c>
      <c r="J62" s="134"/>
      <c r="K62" s="135"/>
      <c r="L62" s="136">
        <f t="shared" si="6"/>
        <v>0</v>
      </c>
      <c r="M62" s="284"/>
      <c r="N62" s="285"/>
      <c r="O62" s="136">
        <f t="shared" si="7"/>
        <v>0</v>
      </c>
      <c r="P62" s="85"/>
      <c r="R62" s="53"/>
      <c r="S62" s="53"/>
      <c r="T62" s="53"/>
    </row>
    <row r="63" spans="1:20" ht="24" x14ac:dyDescent="0.25">
      <c r="A63" s="76">
        <v>1142</v>
      </c>
      <c r="B63" s="127" t="s">
        <v>81</v>
      </c>
      <c r="C63" s="128">
        <f t="shared" si="3"/>
        <v>757</v>
      </c>
      <c r="D63" s="134">
        <v>757</v>
      </c>
      <c r="E63" s="283"/>
      <c r="F63" s="279">
        <f t="shared" si="4"/>
        <v>757</v>
      </c>
      <c r="G63" s="134"/>
      <c r="H63" s="135"/>
      <c r="I63" s="136">
        <f t="shared" si="5"/>
        <v>0</v>
      </c>
      <c r="J63" s="134"/>
      <c r="K63" s="135"/>
      <c r="L63" s="136">
        <f t="shared" si="6"/>
        <v>0</v>
      </c>
      <c r="M63" s="284"/>
      <c r="N63" s="285"/>
      <c r="O63" s="136">
        <f t="shared" si="7"/>
        <v>0</v>
      </c>
      <c r="P63" s="85"/>
      <c r="R63" s="53"/>
      <c r="S63" s="53"/>
      <c r="T63" s="53"/>
    </row>
    <row r="64" spans="1:20" ht="24" hidden="1" x14ac:dyDescent="0.25">
      <c r="A64" s="76">
        <v>1145</v>
      </c>
      <c r="B64" s="127" t="s">
        <v>82</v>
      </c>
      <c r="C64" s="128">
        <f t="shared" si="3"/>
        <v>0</v>
      </c>
      <c r="D64" s="134"/>
      <c r="E64" s="283"/>
      <c r="F64" s="279">
        <f t="shared" si="4"/>
        <v>0</v>
      </c>
      <c r="G64" s="134"/>
      <c r="H64" s="135"/>
      <c r="I64" s="136">
        <f t="shared" si="5"/>
        <v>0</v>
      </c>
      <c r="J64" s="134"/>
      <c r="K64" s="135"/>
      <c r="L64" s="136">
        <f t="shared" si="6"/>
        <v>0</v>
      </c>
      <c r="M64" s="284"/>
      <c r="N64" s="285"/>
      <c r="O64" s="136">
        <f t="shared" si="7"/>
        <v>0</v>
      </c>
      <c r="P64" s="85"/>
      <c r="R64" s="53"/>
      <c r="S64" s="53"/>
      <c r="T64" s="53"/>
    </row>
    <row r="65" spans="1:20" ht="24" hidden="1" x14ac:dyDescent="0.25">
      <c r="A65" s="76">
        <v>1146</v>
      </c>
      <c r="B65" s="127" t="s">
        <v>83</v>
      </c>
      <c r="C65" s="128">
        <f t="shared" si="3"/>
        <v>0</v>
      </c>
      <c r="D65" s="134">
        <v>0</v>
      </c>
      <c r="E65" s="283"/>
      <c r="F65" s="279">
        <f t="shared" si="4"/>
        <v>0</v>
      </c>
      <c r="G65" s="134"/>
      <c r="H65" s="135"/>
      <c r="I65" s="136">
        <f t="shared" si="5"/>
        <v>0</v>
      </c>
      <c r="J65" s="134"/>
      <c r="K65" s="135"/>
      <c r="L65" s="136">
        <f t="shared" si="6"/>
        <v>0</v>
      </c>
      <c r="M65" s="284"/>
      <c r="N65" s="285"/>
      <c r="O65" s="136">
        <f t="shared" si="7"/>
        <v>0</v>
      </c>
      <c r="P65" s="85"/>
      <c r="R65" s="53"/>
      <c r="S65" s="53"/>
      <c r="T65" s="53"/>
    </row>
    <row r="66" spans="1:20" x14ac:dyDescent="0.25">
      <c r="A66" s="76">
        <v>1147</v>
      </c>
      <c r="B66" s="127" t="s">
        <v>84</v>
      </c>
      <c r="C66" s="128">
        <f t="shared" si="3"/>
        <v>3247</v>
      </c>
      <c r="D66" s="134">
        <v>3247</v>
      </c>
      <c r="E66" s="283"/>
      <c r="F66" s="279">
        <f t="shared" si="4"/>
        <v>3247</v>
      </c>
      <c r="G66" s="134"/>
      <c r="H66" s="135"/>
      <c r="I66" s="136">
        <f t="shared" si="5"/>
        <v>0</v>
      </c>
      <c r="J66" s="134"/>
      <c r="K66" s="135"/>
      <c r="L66" s="136">
        <f t="shared" si="6"/>
        <v>0</v>
      </c>
      <c r="M66" s="284"/>
      <c r="N66" s="285"/>
      <c r="O66" s="136">
        <f t="shared" si="7"/>
        <v>0</v>
      </c>
      <c r="P66" s="85"/>
      <c r="R66" s="53"/>
      <c r="S66" s="53"/>
      <c r="T66" s="53"/>
    </row>
    <row r="67" spans="1:20" x14ac:dyDescent="0.25">
      <c r="A67" s="76">
        <v>1148</v>
      </c>
      <c r="B67" s="127" t="s">
        <v>85</v>
      </c>
      <c r="C67" s="128">
        <f t="shared" si="3"/>
        <v>23354</v>
      </c>
      <c r="D67" s="134">
        <f>19601+1480+2273</f>
        <v>23354</v>
      </c>
      <c r="E67" s="283"/>
      <c r="F67" s="279">
        <f t="shared" si="4"/>
        <v>23354</v>
      </c>
      <c r="G67" s="134"/>
      <c r="H67" s="135"/>
      <c r="I67" s="136">
        <f t="shared" si="5"/>
        <v>0</v>
      </c>
      <c r="J67" s="134"/>
      <c r="K67" s="135"/>
      <c r="L67" s="136">
        <f t="shared" si="6"/>
        <v>0</v>
      </c>
      <c r="M67" s="284"/>
      <c r="N67" s="285"/>
      <c r="O67" s="136">
        <f t="shared" si="7"/>
        <v>0</v>
      </c>
      <c r="P67" s="85"/>
      <c r="R67" s="53"/>
      <c r="S67" s="53"/>
      <c r="T67" s="53"/>
    </row>
    <row r="68" spans="1:20" ht="27" customHeight="1" x14ac:dyDescent="0.25">
      <c r="A68" s="76">
        <v>1149</v>
      </c>
      <c r="B68" s="127" t="s">
        <v>86</v>
      </c>
      <c r="C68" s="128">
        <f t="shared" si="3"/>
        <v>3659</v>
      </c>
      <c r="D68" s="134">
        <f>197+452</f>
        <v>649</v>
      </c>
      <c r="E68" s="283"/>
      <c r="F68" s="279">
        <f t="shared" si="4"/>
        <v>649</v>
      </c>
      <c r="G68" s="134">
        <f>5528+152</f>
        <v>5680</v>
      </c>
      <c r="H68" s="135">
        <v>-2670</v>
      </c>
      <c r="I68" s="136">
        <f t="shared" si="5"/>
        <v>3010</v>
      </c>
      <c r="J68" s="134"/>
      <c r="K68" s="135"/>
      <c r="L68" s="136">
        <f t="shared" si="6"/>
        <v>0</v>
      </c>
      <c r="M68" s="284"/>
      <c r="N68" s="285"/>
      <c r="O68" s="136">
        <f t="shared" si="7"/>
        <v>0</v>
      </c>
      <c r="P68" s="85"/>
      <c r="R68" s="53"/>
      <c r="S68" s="53"/>
      <c r="T68" s="53"/>
    </row>
    <row r="69" spans="1:20" ht="36" hidden="1" x14ac:dyDescent="0.25">
      <c r="A69" s="254">
        <v>1150</v>
      </c>
      <c r="B69" s="179" t="s">
        <v>87</v>
      </c>
      <c r="C69" s="128">
        <f t="shared" si="3"/>
        <v>0</v>
      </c>
      <c r="D69" s="287"/>
      <c r="E69" s="288"/>
      <c r="F69" s="257">
        <f t="shared" si="4"/>
        <v>0</v>
      </c>
      <c r="G69" s="287"/>
      <c r="H69" s="289"/>
      <c r="I69" s="259">
        <f t="shared" si="5"/>
        <v>0</v>
      </c>
      <c r="J69" s="287"/>
      <c r="K69" s="289"/>
      <c r="L69" s="259">
        <f t="shared" si="6"/>
        <v>0</v>
      </c>
      <c r="M69" s="290"/>
      <c r="N69" s="291"/>
      <c r="O69" s="259">
        <f t="shared" si="7"/>
        <v>0</v>
      </c>
      <c r="P69" s="189"/>
      <c r="R69" s="53"/>
      <c r="S69" s="53"/>
      <c r="T69" s="53"/>
    </row>
    <row r="70" spans="1:20" ht="36" x14ac:dyDescent="0.25">
      <c r="A70" s="99">
        <v>1200</v>
      </c>
      <c r="B70" s="247" t="s">
        <v>88</v>
      </c>
      <c r="C70" s="100">
        <f t="shared" si="3"/>
        <v>115295</v>
      </c>
      <c r="D70" s="112">
        <f>SUM(D71:D72)</f>
        <v>75184</v>
      </c>
      <c r="E70" s="248">
        <f>SUM(E71:E72)</f>
        <v>0</v>
      </c>
      <c r="F70" s="249">
        <f t="shared" si="4"/>
        <v>75184</v>
      </c>
      <c r="G70" s="112">
        <f>SUM(G71:G72)</f>
        <v>39601</v>
      </c>
      <c r="H70" s="113">
        <f>SUM(H71:H72)</f>
        <v>510</v>
      </c>
      <c r="I70" s="114">
        <f t="shared" si="5"/>
        <v>40111</v>
      </c>
      <c r="J70" s="112">
        <f>SUM(J71:J72)</f>
        <v>0</v>
      </c>
      <c r="K70" s="113">
        <f>SUM(K71:K72)</f>
        <v>0</v>
      </c>
      <c r="L70" s="114">
        <f t="shared" si="6"/>
        <v>0</v>
      </c>
      <c r="M70" s="292">
        <f>SUM(M71:M72)</f>
        <v>0</v>
      </c>
      <c r="N70" s="293">
        <f>SUM(N71:N72)</f>
        <v>0</v>
      </c>
      <c r="O70" s="114">
        <f t="shared" si="7"/>
        <v>0</v>
      </c>
      <c r="P70" s="109"/>
      <c r="R70" s="53"/>
      <c r="S70" s="53"/>
      <c r="T70" s="53"/>
    </row>
    <row r="71" spans="1:20" ht="24" x14ac:dyDescent="0.25">
      <c r="A71" s="656">
        <v>1210</v>
      </c>
      <c r="B71" s="116" t="s">
        <v>89</v>
      </c>
      <c r="C71" s="117">
        <f t="shared" si="3"/>
        <v>91815</v>
      </c>
      <c r="D71" s="123">
        <f>50912-635+1765+922</f>
        <v>52964</v>
      </c>
      <c r="E71" s="295"/>
      <c r="F71" s="296">
        <f t="shared" si="4"/>
        <v>52964</v>
      </c>
      <c r="G71" s="123">
        <f>36890+1451</f>
        <v>38341</v>
      </c>
      <c r="H71" s="124">
        <v>510</v>
      </c>
      <c r="I71" s="125">
        <f t="shared" si="5"/>
        <v>38851</v>
      </c>
      <c r="J71" s="123"/>
      <c r="K71" s="124"/>
      <c r="L71" s="125">
        <f t="shared" si="6"/>
        <v>0</v>
      </c>
      <c r="M71" s="264"/>
      <c r="N71" s="262"/>
      <c r="O71" s="125">
        <f t="shared" si="7"/>
        <v>0</v>
      </c>
      <c r="P71" s="74"/>
      <c r="R71" s="53"/>
      <c r="S71" s="53"/>
      <c r="T71" s="53"/>
    </row>
    <row r="72" spans="1:20" ht="24" x14ac:dyDescent="0.25">
      <c r="A72" s="276">
        <v>1220</v>
      </c>
      <c r="B72" s="127" t="s">
        <v>90</v>
      </c>
      <c r="C72" s="128">
        <f t="shared" si="3"/>
        <v>23480</v>
      </c>
      <c r="D72" s="277">
        <f>SUM(D73:D77)</f>
        <v>22220</v>
      </c>
      <c r="E72" s="278">
        <f>SUM(E73:E77)</f>
        <v>0</v>
      </c>
      <c r="F72" s="279">
        <f t="shared" si="4"/>
        <v>22220</v>
      </c>
      <c r="G72" s="277">
        <f>SUM(G73:G77)</f>
        <v>1260</v>
      </c>
      <c r="H72" s="280">
        <f>SUM(H73:H77)</f>
        <v>0</v>
      </c>
      <c r="I72" s="136">
        <f t="shared" si="5"/>
        <v>1260</v>
      </c>
      <c r="J72" s="277">
        <f>SUM(J73:J77)</f>
        <v>0</v>
      </c>
      <c r="K72" s="280">
        <f>SUM(K73:K77)</f>
        <v>0</v>
      </c>
      <c r="L72" s="136">
        <f t="shared" si="6"/>
        <v>0</v>
      </c>
      <c r="M72" s="281">
        <f>SUM(M73:M77)</f>
        <v>0</v>
      </c>
      <c r="N72" s="282">
        <f>SUM(N73:N77)</f>
        <v>0</v>
      </c>
      <c r="O72" s="136">
        <f t="shared" si="7"/>
        <v>0</v>
      </c>
      <c r="P72" s="85"/>
      <c r="R72" s="53"/>
      <c r="S72" s="53"/>
      <c r="T72" s="53"/>
    </row>
    <row r="73" spans="1:20" ht="60" x14ac:dyDescent="0.25">
      <c r="A73" s="76">
        <v>1221</v>
      </c>
      <c r="B73" s="127" t="s">
        <v>91</v>
      </c>
      <c r="C73" s="128">
        <f t="shared" si="3"/>
        <v>13387</v>
      </c>
      <c r="D73" s="134">
        <f>13868-1741</f>
        <v>12127</v>
      </c>
      <c r="E73" s="283"/>
      <c r="F73" s="279">
        <f t="shared" si="4"/>
        <v>12127</v>
      </c>
      <c r="G73" s="134">
        <f>840+420</f>
        <v>1260</v>
      </c>
      <c r="H73" s="135"/>
      <c r="I73" s="136">
        <f t="shared" si="5"/>
        <v>1260</v>
      </c>
      <c r="J73" s="134"/>
      <c r="K73" s="135"/>
      <c r="L73" s="136">
        <f t="shared" si="6"/>
        <v>0</v>
      </c>
      <c r="M73" s="284"/>
      <c r="N73" s="285"/>
      <c r="O73" s="136">
        <f t="shared" si="7"/>
        <v>0</v>
      </c>
      <c r="P73" s="85"/>
      <c r="R73" s="53"/>
      <c r="S73" s="53"/>
      <c r="T73" s="53"/>
    </row>
    <row r="74" spans="1:20" hidden="1" x14ac:dyDescent="0.25">
      <c r="A74" s="76">
        <v>1223</v>
      </c>
      <c r="B74" s="127" t="s">
        <v>92</v>
      </c>
      <c r="C74" s="128">
        <f t="shared" si="3"/>
        <v>0</v>
      </c>
      <c r="D74" s="134"/>
      <c r="E74" s="283"/>
      <c r="F74" s="279">
        <f t="shared" si="4"/>
        <v>0</v>
      </c>
      <c r="G74" s="134"/>
      <c r="H74" s="135"/>
      <c r="I74" s="136">
        <f t="shared" si="5"/>
        <v>0</v>
      </c>
      <c r="J74" s="134"/>
      <c r="K74" s="135"/>
      <c r="L74" s="136">
        <f t="shared" si="6"/>
        <v>0</v>
      </c>
      <c r="M74" s="284"/>
      <c r="N74" s="285"/>
      <c r="O74" s="136">
        <f t="shared" si="7"/>
        <v>0</v>
      </c>
      <c r="P74" s="85"/>
      <c r="R74" s="53"/>
      <c r="S74" s="53"/>
      <c r="T74" s="53"/>
    </row>
    <row r="75" spans="1:20" hidden="1" x14ac:dyDescent="0.25">
      <c r="A75" s="76">
        <v>1225</v>
      </c>
      <c r="B75" s="127" t="s">
        <v>93</v>
      </c>
      <c r="C75" s="128">
        <f t="shared" si="3"/>
        <v>0</v>
      </c>
      <c r="D75" s="134"/>
      <c r="E75" s="283"/>
      <c r="F75" s="279">
        <f t="shared" si="4"/>
        <v>0</v>
      </c>
      <c r="G75" s="134"/>
      <c r="H75" s="135"/>
      <c r="I75" s="136">
        <f t="shared" si="5"/>
        <v>0</v>
      </c>
      <c r="J75" s="134"/>
      <c r="K75" s="135"/>
      <c r="L75" s="136">
        <f t="shared" si="6"/>
        <v>0</v>
      </c>
      <c r="M75" s="284"/>
      <c r="N75" s="285"/>
      <c r="O75" s="136">
        <f t="shared" si="7"/>
        <v>0</v>
      </c>
      <c r="P75" s="85"/>
      <c r="R75" s="53"/>
      <c r="S75" s="53"/>
      <c r="T75" s="53"/>
    </row>
    <row r="76" spans="1:20" ht="36" x14ac:dyDescent="0.25">
      <c r="A76" s="76">
        <v>1227</v>
      </c>
      <c r="B76" s="127" t="s">
        <v>94</v>
      </c>
      <c r="C76" s="128">
        <f t="shared" si="3"/>
        <v>9605</v>
      </c>
      <c r="D76" s="134">
        <v>9605</v>
      </c>
      <c r="E76" s="283"/>
      <c r="F76" s="279">
        <f t="shared" si="4"/>
        <v>9605</v>
      </c>
      <c r="G76" s="134"/>
      <c r="H76" s="135"/>
      <c r="I76" s="136">
        <f t="shared" si="5"/>
        <v>0</v>
      </c>
      <c r="J76" s="134"/>
      <c r="K76" s="135"/>
      <c r="L76" s="136">
        <f t="shared" si="6"/>
        <v>0</v>
      </c>
      <c r="M76" s="284"/>
      <c r="N76" s="285"/>
      <c r="O76" s="136">
        <f t="shared" si="7"/>
        <v>0</v>
      </c>
      <c r="P76" s="85"/>
      <c r="R76" s="53"/>
      <c r="S76" s="53"/>
      <c r="T76" s="53"/>
    </row>
    <row r="77" spans="1:20" ht="60" x14ac:dyDescent="0.25">
      <c r="A77" s="76">
        <v>1228</v>
      </c>
      <c r="B77" s="127" t="s">
        <v>95</v>
      </c>
      <c r="C77" s="128">
        <f t="shared" si="3"/>
        <v>488</v>
      </c>
      <c r="D77" s="134">
        <f>428+60</f>
        <v>488</v>
      </c>
      <c r="E77" s="283"/>
      <c r="F77" s="279">
        <f t="shared" si="4"/>
        <v>488</v>
      </c>
      <c r="G77" s="134"/>
      <c r="H77" s="135"/>
      <c r="I77" s="136">
        <f t="shared" si="5"/>
        <v>0</v>
      </c>
      <c r="J77" s="134"/>
      <c r="K77" s="135"/>
      <c r="L77" s="136">
        <f t="shared" si="6"/>
        <v>0</v>
      </c>
      <c r="M77" s="284"/>
      <c r="N77" s="285"/>
      <c r="O77" s="136">
        <f t="shared" si="7"/>
        <v>0</v>
      </c>
      <c r="P77" s="85"/>
      <c r="R77" s="53"/>
      <c r="S77" s="53"/>
      <c r="T77" s="53"/>
    </row>
    <row r="78" spans="1:20" x14ac:dyDescent="0.25">
      <c r="A78" s="237">
        <v>2000</v>
      </c>
      <c r="B78" s="237" t="s">
        <v>96</v>
      </c>
      <c r="C78" s="238">
        <f t="shared" si="3"/>
        <v>170013</v>
      </c>
      <c r="D78" s="239">
        <f>SUM(D79,D86,D133,D167,D168,D175)</f>
        <v>139662</v>
      </c>
      <c r="E78" s="240">
        <f>SUM(E79,E86,E133,E167,E168,E175)</f>
        <v>0</v>
      </c>
      <c r="F78" s="241">
        <f t="shared" si="4"/>
        <v>139662</v>
      </c>
      <c r="G78" s="239">
        <f>SUM(G79,G86,G133,G167,G168,G175)</f>
        <v>640</v>
      </c>
      <c r="H78" s="242">
        <f>SUM(H79,H86,H133,H167,H168,H175)</f>
        <v>0</v>
      </c>
      <c r="I78" s="243">
        <f t="shared" si="5"/>
        <v>640</v>
      </c>
      <c r="J78" s="239">
        <f>SUM(J79,J86,J133,J167,J168,J175)</f>
        <v>29711</v>
      </c>
      <c r="K78" s="242">
        <f>SUM(K79,K86,K133,K167,K168,K175)</f>
        <v>0</v>
      </c>
      <c r="L78" s="243">
        <f t="shared" si="6"/>
        <v>29711</v>
      </c>
      <c r="M78" s="244">
        <f>SUM(M79,M86,M133,M167,M168,M175)</f>
        <v>0</v>
      </c>
      <c r="N78" s="245">
        <f>SUM(N79,N86,N133,N167,N168,N175)</f>
        <v>0</v>
      </c>
      <c r="O78" s="243">
        <f t="shared" si="7"/>
        <v>0</v>
      </c>
      <c r="P78" s="246"/>
      <c r="R78" s="53"/>
      <c r="S78" s="53"/>
      <c r="T78" s="53"/>
    </row>
    <row r="79" spans="1:20" ht="24" hidden="1" x14ac:dyDescent="0.25">
      <c r="A79" s="99">
        <v>2100</v>
      </c>
      <c r="B79" s="247" t="s">
        <v>97</v>
      </c>
      <c r="C79" s="100">
        <f t="shared" si="3"/>
        <v>0</v>
      </c>
      <c r="D79" s="112">
        <f>SUM(D80,D83)</f>
        <v>0</v>
      </c>
      <c r="E79" s="248">
        <f>SUM(E80,E83)</f>
        <v>0</v>
      </c>
      <c r="F79" s="249">
        <f t="shared" si="4"/>
        <v>0</v>
      </c>
      <c r="G79" s="112">
        <f>SUM(G80,G83)</f>
        <v>0</v>
      </c>
      <c r="H79" s="113">
        <f>SUM(H80,H83)</f>
        <v>0</v>
      </c>
      <c r="I79" s="114">
        <f t="shared" si="5"/>
        <v>0</v>
      </c>
      <c r="J79" s="112">
        <f>SUM(J80,J83)</f>
        <v>0</v>
      </c>
      <c r="K79" s="113">
        <f>SUM(K80,K83)</f>
        <v>0</v>
      </c>
      <c r="L79" s="114">
        <f t="shared" si="6"/>
        <v>0</v>
      </c>
      <c r="M79" s="292">
        <f>SUM(M80,M83)</f>
        <v>0</v>
      </c>
      <c r="N79" s="293">
        <f>SUM(N80,N83)</f>
        <v>0</v>
      </c>
      <c r="O79" s="114">
        <f t="shared" si="7"/>
        <v>0</v>
      </c>
      <c r="P79" s="109"/>
      <c r="R79" s="53"/>
      <c r="S79" s="53"/>
      <c r="T79" s="53"/>
    </row>
    <row r="80" spans="1:20" ht="24" hidden="1" x14ac:dyDescent="0.25">
      <c r="A80" s="656">
        <v>2110</v>
      </c>
      <c r="B80" s="116" t="s">
        <v>98</v>
      </c>
      <c r="C80" s="117">
        <f t="shared" si="3"/>
        <v>0</v>
      </c>
      <c r="D80" s="297">
        <f>SUM(D81:D82)</f>
        <v>0</v>
      </c>
      <c r="E80" s="298">
        <f>SUM(E81:E82)</f>
        <v>0</v>
      </c>
      <c r="F80" s="296">
        <f t="shared" si="4"/>
        <v>0</v>
      </c>
      <c r="G80" s="297">
        <f>SUM(G81:G82)</f>
        <v>0</v>
      </c>
      <c r="H80" s="299">
        <f>SUM(H81:H82)</f>
        <v>0</v>
      </c>
      <c r="I80" s="125">
        <f t="shared" si="5"/>
        <v>0</v>
      </c>
      <c r="J80" s="297">
        <f>SUM(J81:J82)</f>
        <v>0</v>
      </c>
      <c r="K80" s="299">
        <f>SUM(K81:K82)</f>
        <v>0</v>
      </c>
      <c r="L80" s="125">
        <f t="shared" si="6"/>
        <v>0</v>
      </c>
      <c r="M80" s="300">
        <f>SUM(M81:M82)</f>
        <v>0</v>
      </c>
      <c r="N80" s="301">
        <f>SUM(N81:N82)</f>
        <v>0</v>
      </c>
      <c r="O80" s="125">
        <f t="shared" si="7"/>
        <v>0</v>
      </c>
      <c r="P80" s="74"/>
      <c r="R80" s="53"/>
      <c r="S80" s="53"/>
      <c r="T80" s="53"/>
    </row>
    <row r="81" spans="1:20" hidden="1" x14ac:dyDescent="0.25">
      <c r="A81" s="76">
        <v>2111</v>
      </c>
      <c r="B81" s="127" t="s">
        <v>99</v>
      </c>
      <c r="C81" s="128">
        <f t="shared" si="3"/>
        <v>0</v>
      </c>
      <c r="D81" s="134"/>
      <c r="E81" s="283"/>
      <c r="F81" s="279">
        <f t="shared" si="4"/>
        <v>0</v>
      </c>
      <c r="G81" s="134"/>
      <c r="H81" s="135"/>
      <c r="I81" s="136">
        <f t="shared" si="5"/>
        <v>0</v>
      </c>
      <c r="J81" s="134"/>
      <c r="K81" s="135"/>
      <c r="L81" s="136">
        <f t="shared" si="6"/>
        <v>0</v>
      </c>
      <c r="M81" s="284"/>
      <c r="N81" s="285"/>
      <c r="O81" s="136">
        <f t="shared" si="7"/>
        <v>0</v>
      </c>
      <c r="P81" s="85"/>
      <c r="R81" s="53"/>
      <c r="S81" s="53"/>
      <c r="T81" s="53"/>
    </row>
    <row r="82" spans="1:20" ht="24" hidden="1" x14ac:dyDescent="0.25">
      <c r="A82" s="76">
        <v>2112</v>
      </c>
      <c r="B82" s="127" t="s">
        <v>100</v>
      </c>
      <c r="C82" s="128">
        <f t="shared" si="3"/>
        <v>0</v>
      </c>
      <c r="D82" s="134"/>
      <c r="E82" s="283"/>
      <c r="F82" s="279">
        <f t="shared" si="4"/>
        <v>0</v>
      </c>
      <c r="G82" s="134"/>
      <c r="H82" s="135"/>
      <c r="I82" s="136">
        <f t="shared" si="5"/>
        <v>0</v>
      </c>
      <c r="J82" s="134"/>
      <c r="K82" s="135"/>
      <c r="L82" s="136">
        <f t="shared" si="6"/>
        <v>0</v>
      </c>
      <c r="M82" s="284"/>
      <c r="N82" s="285"/>
      <c r="O82" s="136">
        <f t="shared" si="7"/>
        <v>0</v>
      </c>
      <c r="P82" s="85"/>
      <c r="R82" s="53"/>
      <c r="S82" s="53"/>
      <c r="T82" s="53"/>
    </row>
    <row r="83" spans="1:20" ht="24" hidden="1" x14ac:dyDescent="0.25">
      <c r="A83" s="276">
        <v>2120</v>
      </c>
      <c r="B83" s="127" t="s">
        <v>101</v>
      </c>
      <c r="C83" s="128">
        <f t="shared" si="3"/>
        <v>0</v>
      </c>
      <c r="D83" s="277">
        <f>SUM(D84:D85)</f>
        <v>0</v>
      </c>
      <c r="E83" s="278">
        <f>SUM(E84:E85)</f>
        <v>0</v>
      </c>
      <c r="F83" s="279">
        <f t="shared" si="4"/>
        <v>0</v>
      </c>
      <c r="G83" s="277">
        <f>SUM(G84:G85)</f>
        <v>0</v>
      </c>
      <c r="H83" s="280">
        <f>SUM(H84:H85)</f>
        <v>0</v>
      </c>
      <c r="I83" s="136">
        <f t="shared" si="5"/>
        <v>0</v>
      </c>
      <c r="J83" s="277">
        <f>SUM(J84:J85)</f>
        <v>0</v>
      </c>
      <c r="K83" s="280">
        <f>SUM(K84:K85)</f>
        <v>0</v>
      </c>
      <c r="L83" s="136">
        <f t="shared" si="6"/>
        <v>0</v>
      </c>
      <c r="M83" s="281">
        <f>SUM(M84:M85)</f>
        <v>0</v>
      </c>
      <c r="N83" s="282">
        <f>SUM(N84:N85)</f>
        <v>0</v>
      </c>
      <c r="O83" s="136">
        <f t="shared" si="7"/>
        <v>0</v>
      </c>
      <c r="P83" s="85"/>
      <c r="R83" s="53"/>
      <c r="S83" s="53"/>
      <c r="T83" s="53"/>
    </row>
    <row r="84" spans="1:20" hidden="1" x14ac:dyDescent="0.25">
      <c r="A84" s="76">
        <v>2121</v>
      </c>
      <c r="B84" s="127" t="s">
        <v>99</v>
      </c>
      <c r="C84" s="128">
        <f t="shared" si="3"/>
        <v>0</v>
      </c>
      <c r="D84" s="134"/>
      <c r="E84" s="283"/>
      <c r="F84" s="279">
        <f t="shared" si="4"/>
        <v>0</v>
      </c>
      <c r="G84" s="134"/>
      <c r="H84" s="135"/>
      <c r="I84" s="136">
        <f t="shared" si="5"/>
        <v>0</v>
      </c>
      <c r="J84" s="134"/>
      <c r="K84" s="135"/>
      <c r="L84" s="136">
        <f t="shared" si="6"/>
        <v>0</v>
      </c>
      <c r="M84" s="284"/>
      <c r="N84" s="285"/>
      <c r="O84" s="136">
        <f t="shared" si="7"/>
        <v>0</v>
      </c>
      <c r="P84" s="85"/>
      <c r="R84" s="53"/>
      <c r="S84" s="53"/>
      <c r="T84" s="53"/>
    </row>
    <row r="85" spans="1:20" ht="24" hidden="1" x14ac:dyDescent="0.25">
      <c r="A85" s="76">
        <v>2122</v>
      </c>
      <c r="B85" s="127" t="s">
        <v>100</v>
      </c>
      <c r="C85" s="128">
        <f t="shared" si="3"/>
        <v>0</v>
      </c>
      <c r="D85" s="134"/>
      <c r="E85" s="283"/>
      <c r="F85" s="279">
        <f t="shared" si="4"/>
        <v>0</v>
      </c>
      <c r="G85" s="134"/>
      <c r="H85" s="135"/>
      <c r="I85" s="136">
        <f t="shared" si="5"/>
        <v>0</v>
      </c>
      <c r="J85" s="134"/>
      <c r="K85" s="135"/>
      <c r="L85" s="136">
        <f t="shared" si="6"/>
        <v>0</v>
      </c>
      <c r="M85" s="284"/>
      <c r="N85" s="285"/>
      <c r="O85" s="136">
        <f t="shared" si="7"/>
        <v>0</v>
      </c>
      <c r="P85" s="85"/>
      <c r="R85" s="53"/>
      <c r="S85" s="53"/>
      <c r="T85" s="53"/>
    </row>
    <row r="86" spans="1:20" x14ac:dyDescent="0.25">
      <c r="A86" s="99">
        <v>2200</v>
      </c>
      <c r="B86" s="247" t="s">
        <v>102</v>
      </c>
      <c r="C86" s="302">
        <f t="shared" si="3"/>
        <v>118167</v>
      </c>
      <c r="D86" s="112">
        <f>SUM(D87,D92,D98,D106,D115,D119,D125,D131)</f>
        <v>117696</v>
      </c>
      <c r="E86" s="248">
        <f>SUM(E87,E92,E98,E106,E115,E119,E125,E131)</f>
        <v>0</v>
      </c>
      <c r="F86" s="249">
        <f t="shared" si="4"/>
        <v>117696</v>
      </c>
      <c r="G86" s="112">
        <f>SUM(G87,G92,G98,G106,G115,G119,G125,G131)</f>
        <v>0</v>
      </c>
      <c r="H86" s="113">
        <f>SUM(H87,H92,H98,H106,H115,H119,H125,H131)</f>
        <v>0</v>
      </c>
      <c r="I86" s="114">
        <f t="shared" si="5"/>
        <v>0</v>
      </c>
      <c r="J86" s="112">
        <f>SUM(J87,J92,J98,J106,J115,J119,J125,J131)</f>
        <v>471</v>
      </c>
      <c r="K86" s="113">
        <f>SUM(K87,K92,K98,K106,K115,K119,K125,K131)</f>
        <v>0</v>
      </c>
      <c r="L86" s="114">
        <f t="shared" si="6"/>
        <v>471</v>
      </c>
      <c r="M86" s="303">
        <f>SUM(M87,M92,M98,M106,M115,M119,M125,M131)</f>
        <v>0</v>
      </c>
      <c r="N86" s="304">
        <f>SUM(N87,N92,N98,N106,N115,N119,N125,N131)</f>
        <v>0</v>
      </c>
      <c r="O86" s="305">
        <f t="shared" si="7"/>
        <v>0</v>
      </c>
      <c r="P86" s="306"/>
      <c r="R86" s="53"/>
      <c r="S86" s="53"/>
      <c r="T86" s="53"/>
    </row>
    <row r="87" spans="1:20" ht="24" x14ac:dyDescent="0.25">
      <c r="A87" s="254">
        <v>2210</v>
      </c>
      <c r="B87" s="179" t="s">
        <v>103</v>
      </c>
      <c r="C87" s="191">
        <f t="shared" si="3"/>
        <v>3748</v>
      </c>
      <c r="D87" s="255">
        <f>SUM(D88:D91)</f>
        <v>3748</v>
      </c>
      <c r="E87" s="256">
        <f>SUM(E88:E91)</f>
        <v>0</v>
      </c>
      <c r="F87" s="257">
        <f t="shared" si="4"/>
        <v>3748</v>
      </c>
      <c r="G87" s="255">
        <f>SUM(G88:G91)</f>
        <v>0</v>
      </c>
      <c r="H87" s="258">
        <f>SUM(H88:H91)</f>
        <v>0</v>
      </c>
      <c r="I87" s="259">
        <f t="shared" si="5"/>
        <v>0</v>
      </c>
      <c r="J87" s="255">
        <f>SUM(J88:J91)</f>
        <v>0</v>
      </c>
      <c r="K87" s="258">
        <f>SUM(K88:K91)</f>
        <v>0</v>
      </c>
      <c r="L87" s="259">
        <f t="shared" si="6"/>
        <v>0</v>
      </c>
      <c r="M87" s="260">
        <f>SUM(M88:M91)</f>
        <v>0</v>
      </c>
      <c r="N87" s="261">
        <f>SUM(N88:N91)</f>
        <v>0</v>
      </c>
      <c r="O87" s="259">
        <f t="shared" si="7"/>
        <v>0</v>
      </c>
      <c r="P87" s="189"/>
      <c r="R87" s="53"/>
      <c r="S87" s="53"/>
      <c r="T87" s="53"/>
    </row>
    <row r="88" spans="1:20" ht="24" hidden="1" x14ac:dyDescent="0.25">
      <c r="A88" s="66">
        <v>2211</v>
      </c>
      <c r="B88" s="116" t="s">
        <v>104</v>
      </c>
      <c r="C88" s="128">
        <f t="shared" si="3"/>
        <v>0</v>
      </c>
      <c r="D88" s="123"/>
      <c r="E88" s="295"/>
      <c r="F88" s="296">
        <f t="shared" si="4"/>
        <v>0</v>
      </c>
      <c r="G88" s="123"/>
      <c r="H88" s="124"/>
      <c r="I88" s="125">
        <f t="shared" si="5"/>
        <v>0</v>
      </c>
      <c r="J88" s="123"/>
      <c r="K88" s="124"/>
      <c r="L88" s="125">
        <f t="shared" si="6"/>
        <v>0</v>
      </c>
      <c r="M88" s="264"/>
      <c r="N88" s="262"/>
      <c r="O88" s="125">
        <f t="shared" si="7"/>
        <v>0</v>
      </c>
      <c r="P88" s="74"/>
      <c r="R88" s="53"/>
      <c r="S88" s="53"/>
      <c r="T88" s="53"/>
    </row>
    <row r="89" spans="1:20" ht="36" x14ac:dyDescent="0.25">
      <c r="A89" s="76">
        <v>2212</v>
      </c>
      <c r="B89" s="127" t="s">
        <v>105</v>
      </c>
      <c r="C89" s="128">
        <f t="shared" si="3"/>
        <v>3027</v>
      </c>
      <c r="D89" s="134">
        <v>3027</v>
      </c>
      <c r="E89" s="283"/>
      <c r="F89" s="279">
        <f t="shared" si="4"/>
        <v>3027</v>
      </c>
      <c r="G89" s="134"/>
      <c r="H89" s="135"/>
      <c r="I89" s="136">
        <f t="shared" si="5"/>
        <v>0</v>
      </c>
      <c r="J89" s="134"/>
      <c r="K89" s="135"/>
      <c r="L89" s="136">
        <f t="shared" si="6"/>
        <v>0</v>
      </c>
      <c r="M89" s="284"/>
      <c r="N89" s="285"/>
      <c r="O89" s="136">
        <f t="shared" si="7"/>
        <v>0</v>
      </c>
      <c r="P89" s="85"/>
      <c r="R89" s="53"/>
      <c r="S89" s="53"/>
      <c r="T89" s="53"/>
    </row>
    <row r="90" spans="1:20" ht="24" x14ac:dyDescent="0.25">
      <c r="A90" s="76">
        <v>2214</v>
      </c>
      <c r="B90" s="127" t="s">
        <v>106</v>
      </c>
      <c r="C90" s="128">
        <f t="shared" si="3"/>
        <v>621</v>
      </c>
      <c r="D90" s="134">
        <v>621</v>
      </c>
      <c r="E90" s="283"/>
      <c r="F90" s="279">
        <f t="shared" si="4"/>
        <v>621</v>
      </c>
      <c r="G90" s="134"/>
      <c r="H90" s="135"/>
      <c r="I90" s="136">
        <f t="shared" si="5"/>
        <v>0</v>
      </c>
      <c r="J90" s="134"/>
      <c r="K90" s="135"/>
      <c r="L90" s="136">
        <f t="shared" si="6"/>
        <v>0</v>
      </c>
      <c r="M90" s="284"/>
      <c r="N90" s="285"/>
      <c r="O90" s="136">
        <f t="shared" si="7"/>
        <v>0</v>
      </c>
      <c r="P90" s="85"/>
      <c r="R90" s="53"/>
      <c r="S90" s="53"/>
      <c r="T90" s="53"/>
    </row>
    <row r="91" spans="1:20" x14ac:dyDescent="0.25">
      <c r="A91" s="76">
        <v>2219</v>
      </c>
      <c r="B91" s="127" t="s">
        <v>107</v>
      </c>
      <c r="C91" s="128">
        <f t="shared" si="3"/>
        <v>100</v>
      </c>
      <c r="D91" s="134">
        <v>100</v>
      </c>
      <c r="E91" s="283"/>
      <c r="F91" s="279">
        <f t="shared" si="4"/>
        <v>100</v>
      </c>
      <c r="G91" s="134"/>
      <c r="H91" s="135"/>
      <c r="I91" s="136">
        <f t="shared" si="5"/>
        <v>0</v>
      </c>
      <c r="J91" s="134"/>
      <c r="K91" s="135"/>
      <c r="L91" s="136">
        <f t="shared" si="6"/>
        <v>0</v>
      </c>
      <c r="M91" s="284"/>
      <c r="N91" s="285"/>
      <c r="O91" s="136">
        <f t="shared" si="7"/>
        <v>0</v>
      </c>
      <c r="P91" s="85"/>
      <c r="R91" s="53"/>
      <c r="S91" s="53"/>
      <c r="T91" s="53"/>
    </row>
    <row r="92" spans="1:20" ht="24" x14ac:dyDescent="0.25">
      <c r="A92" s="276">
        <v>2220</v>
      </c>
      <c r="B92" s="127" t="s">
        <v>108</v>
      </c>
      <c r="C92" s="128">
        <f t="shared" si="3"/>
        <v>51703</v>
      </c>
      <c r="D92" s="277">
        <f>SUM(D93:D97)</f>
        <v>51402</v>
      </c>
      <c r="E92" s="278">
        <f>SUM(E93:E97)</f>
        <v>0</v>
      </c>
      <c r="F92" s="279">
        <f t="shared" si="4"/>
        <v>51402</v>
      </c>
      <c r="G92" s="277">
        <f>SUM(G93:G97)</f>
        <v>0</v>
      </c>
      <c r="H92" s="280">
        <f>SUM(H93:H97)</f>
        <v>0</v>
      </c>
      <c r="I92" s="136">
        <f t="shared" si="5"/>
        <v>0</v>
      </c>
      <c r="J92" s="277">
        <f>SUM(J93:J97)</f>
        <v>301</v>
      </c>
      <c r="K92" s="280">
        <f>SUM(K93:K97)</f>
        <v>0</v>
      </c>
      <c r="L92" s="136">
        <f t="shared" si="6"/>
        <v>301</v>
      </c>
      <c r="M92" s="281">
        <f>SUM(M93:M97)</f>
        <v>0</v>
      </c>
      <c r="N92" s="282">
        <f>SUM(N93:N97)</f>
        <v>0</v>
      </c>
      <c r="O92" s="136">
        <f t="shared" si="7"/>
        <v>0</v>
      </c>
      <c r="P92" s="85"/>
      <c r="R92" s="53"/>
      <c r="S92" s="53"/>
      <c r="T92" s="53"/>
    </row>
    <row r="93" spans="1:20" x14ac:dyDescent="0.25">
      <c r="A93" s="76">
        <v>2221</v>
      </c>
      <c r="B93" s="127" t="s">
        <v>109</v>
      </c>
      <c r="C93" s="128">
        <f t="shared" si="3"/>
        <v>20556</v>
      </c>
      <c r="D93" s="134">
        <f>17755+2500</f>
        <v>20255</v>
      </c>
      <c r="E93" s="283"/>
      <c r="F93" s="279">
        <f t="shared" si="4"/>
        <v>20255</v>
      </c>
      <c r="G93" s="134"/>
      <c r="H93" s="135"/>
      <c r="I93" s="136">
        <f t="shared" si="5"/>
        <v>0</v>
      </c>
      <c r="J93" s="134">
        <v>301</v>
      </c>
      <c r="K93" s="135"/>
      <c r="L93" s="136">
        <f t="shared" si="6"/>
        <v>301</v>
      </c>
      <c r="M93" s="284"/>
      <c r="N93" s="285"/>
      <c r="O93" s="136">
        <f t="shared" si="7"/>
        <v>0</v>
      </c>
      <c r="P93" s="85"/>
      <c r="R93" s="53"/>
      <c r="S93" s="53"/>
      <c r="T93" s="53"/>
    </row>
    <row r="94" spans="1:20" x14ac:dyDescent="0.25">
      <c r="A94" s="76">
        <v>2222</v>
      </c>
      <c r="B94" s="127" t="s">
        <v>110</v>
      </c>
      <c r="C94" s="128">
        <f t="shared" si="3"/>
        <v>4184</v>
      </c>
      <c r="D94" s="134">
        <v>4184</v>
      </c>
      <c r="E94" s="283"/>
      <c r="F94" s="279">
        <f t="shared" si="4"/>
        <v>4184</v>
      </c>
      <c r="G94" s="134"/>
      <c r="H94" s="135"/>
      <c r="I94" s="136">
        <f t="shared" si="5"/>
        <v>0</v>
      </c>
      <c r="J94" s="134"/>
      <c r="K94" s="135"/>
      <c r="L94" s="136">
        <f t="shared" si="6"/>
        <v>0</v>
      </c>
      <c r="M94" s="284"/>
      <c r="N94" s="285"/>
      <c r="O94" s="136">
        <f t="shared" si="7"/>
        <v>0</v>
      </c>
      <c r="P94" s="85"/>
      <c r="R94" s="53"/>
      <c r="S94" s="53"/>
      <c r="T94" s="53"/>
    </row>
    <row r="95" spans="1:20" x14ac:dyDescent="0.25">
      <c r="A95" s="76">
        <v>2223</v>
      </c>
      <c r="B95" s="127" t="s">
        <v>111</v>
      </c>
      <c r="C95" s="128">
        <f t="shared" si="3"/>
        <v>25873</v>
      </c>
      <c r="D95" s="134">
        <f>28373-2500</f>
        <v>25873</v>
      </c>
      <c r="E95" s="283"/>
      <c r="F95" s="279">
        <f t="shared" si="4"/>
        <v>25873</v>
      </c>
      <c r="G95" s="134"/>
      <c r="H95" s="135"/>
      <c r="I95" s="136">
        <f t="shared" si="5"/>
        <v>0</v>
      </c>
      <c r="J95" s="134"/>
      <c r="K95" s="135"/>
      <c r="L95" s="136">
        <f t="shared" si="6"/>
        <v>0</v>
      </c>
      <c r="M95" s="284"/>
      <c r="N95" s="285"/>
      <c r="O95" s="136">
        <f t="shared" si="7"/>
        <v>0</v>
      </c>
      <c r="P95" s="85"/>
      <c r="R95" s="53"/>
      <c r="S95" s="53"/>
      <c r="T95" s="53"/>
    </row>
    <row r="96" spans="1:20" ht="48" x14ac:dyDescent="0.25">
      <c r="A96" s="76">
        <v>2224</v>
      </c>
      <c r="B96" s="127" t="s">
        <v>112</v>
      </c>
      <c r="C96" s="128">
        <f t="shared" si="3"/>
        <v>1090</v>
      </c>
      <c r="D96" s="134">
        <v>1090</v>
      </c>
      <c r="E96" s="283"/>
      <c r="F96" s="279">
        <f t="shared" si="4"/>
        <v>1090</v>
      </c>
      <c r="G96" s="134"/>
      <c r="H96" s="135"/>
      <c r="I96" s="136">
        <f t="shared" si="5"/>
        <v>0</v>
      </c>
      <c r="J96" s="134"/>
      <c r="K96" s="135"/>
      <c r="L96" s="136">
        <f t="shared" si="6"/>
        <v>0</v>
      </c>
      <c r="M96" s="284"/>
      <c r="N96" s="285"/>
      <c r="O96" s="136">
        <f t="shared" si="7"/>
        <v>0</v>
      </c>
      <c r="P96" s="85"/>
      <c r="R96" s="53"/>
      <c r="S96" s="53"/>
      <c r="T96" s="53"/>
    </row>
    <row r="97" spans="1:20" ht="24" hidden="1" x14ac:dyDescent="0.25">
      <c r="A97" s="76">
        <v>2229</v>
      </c>
      <c r="B97" s="127" t="s">
        <v>113</v>
      </c>
      <c r="C97" s="128">
        <f t="shared" si="3"/>
        <v>0</v>
      </c>
      <c r="D97" s="134"/>
      <c r="E97" s="283"/>
      <c r="F97" s="279">
        <f t="shared" si="4"/>
        <v>0</v>
      </c>
      <c r="G97" s="134"/>
      <c r="H97" s="135"/>
      <c r="I97" s="136">
        <f t="shared" si="5"/>
        <v>0</v>
      </c>
      <c r="J97" s="134"/>
      <c r="K97" s="135"/>
      <c r="L97" s="136">
        <f t="shared" si="6"/>
        <v>0</v>
      </c>
      <c r="M97" s="284"/>
      <c r="N97" s="285"/>
      <c r="O97" s="136">
        <f t="shared" si="7"/>
        <v>0</v>
      </c>
      <c r="P97" s="85"/>
      <c r="R97" s="53"/>
      <c r="S97" s="53"/>
      <c r="T97" s="53"/>
    </row>
    <row r="98" spans="1:20" ht="36" x14ac:dyDescent="0.25">
      <c r="A98" s="276">
        <v>2230</v>
      </c>
      <c r="B98" s="127" t="s">
        <v>114</v>
      </c>
      <c r="C98" s="128">
        <f t="shared" si="3"/>
        <v>1405</v>
      </c>
      <c r="D98" s="277">
        <f>SUM(D99:D105)</f>
        <v>1405</v>
      </c>
      <c r="E98" s="278">
        <f>SUM(E99:E105)</f>
        <v>0</v>
      </c>
      <c r="F98" s="279">
        <f t="shared" si="4"/>
        <v>1405</v>
      </c>
      <c r="G98" s="277">
        <f>SUM(G99:G105)</f>
        <v>0</v>
      </c>
      <c r="H98" s="280">
        <f>SUM(H99:H105)</f>
        <v>0</v>
      </c>
      <c r="I98" s="136">
        <f t="shared" si="5"/>
        <v>0</v>
      </c>
      <c r="J98" s="277">
        <f>SUM(J99:J105)</f>
        <v>0</v>
      </c>
      <c r="K98" s="280">
        <f>SUM(K99:K105)</f>
        <v>0</v>
      </c>
      <c r="L98" s="136">
        <f t="shared" si="6"/>
        <v>0</v>
      </c>
      <c r="M98" s="281">
        <f>SUM(M99:M105)</f>
        <v>0</v>
      </c>
      <c r="N98" s="282">
        <f>SUM(N99:N105)</f>
        <v>0</v>
      </c>
      <c r="O98" s="136">
        <f t="shared" si="7"/>
        <v>0</v>
      </c>
      <c r="P98" s="85"/>
      <c r="R98" s="53"/>
      <c r="S98" s="53"/>
      <c r="T98" s="53"/>
    </row>
    <row r="99" spans="1:20" ht="24" hidden="1" x14ac:dyDescent="0.25">
      <c r="A99" s="76">
        <v>2231</v>
      </c>
      <c r="B99" s="127" t="s">
        <v>115</v>
      </c>
      <c r="C99" s="128">
        <f t="shared" si="3"/>
        <v>0</v>
      </c>
      <c r="D99" s="134"/>
      <c r="E99" s="283"/>
      <c r="F99" s="279">
        <f t="shared" si="4"/>
        <v>0</v>
      </c>
      <c r="G99" s="134"/>
      <c r="H99" s="135"/>
      <c r="I99" s="136">
        <f t="shared" si="5"/>
        <v>0</v>
      </c>
      <c r="J99" s="134"/>
      <c r="K99" s="135"/>
      <c r="L99" s="136">
        <f t="shared" si="6"/>
        <v>0</v>
      </c>
      <c r="M99" s="284"/>
      <c r="N99" s="285"/>
      <c r="O99" s="136">
        <f t="shared" si="7"/>
        <v>0</v>
      </c>
      <c r="P99" s="85"/>
      <c r="R99" s="53"/>
      <c r="S99" s="53"/>
      <c r="T99" s="53"/>
    </row>
    <row r="100" spans="1:20" ht="36" hidden="1" x14ac:dyDescent="0.25">
      <c r="A100" s="76">
        <v>2232</v>
      </c>
      <c r="B100" s="127" t="s">
        <v>116</v>
      </c>
      <c r="C100" s="128">
        <f t="shared" si="3"/>
        <v>0</v>
      </c>
      <c r="D100" s="134"/>
      <c r="E100" s="283"/>
      <c r="F100" s="279">
        <f t="shared" si="4"/>
        <v>0</v>
      </c>
      <c r="G100" s="134"/>
      <c r="H100" s="135"/>
      <c r="I100" s="136">
        <f t="shared" si="5"/>
        <v>0</v>
      </c>
      <c r="J100" s="134"/>
      <c r="K100" s="135"/>
      <c r="L100" s="136">
        <f t="shared" si="6"/>
        <v>0</v>
      </c>
      <c r="M100" s="284"/>
      <c r="N100" s="285"/>
      <c r="O100" s="136">
        <f t="shared" si="7"/>
        <v>0</v>
      </c>
      <c r="P100" s="85"/>
      <c r="R100" s="53"/>
      <c r="S100" s="53"/>
      <c r="T100" s="53"/>
    </row>
    <row r="101" spans="1:20" ht="24" hidden="1" x14ac:dyDescent="0.25">
      <c r="A101" s="66">
        <v>2233</v>
      </c>
      <c r="B101" s="116" t="s">
        <v>117</v>
      </c>
      <c r="C101" s="128">
        <f t="shared" si="3"/>
        <v>0</v>
      </c>
      <c r="D101" s="123"/>
      <c r="E101" s="295"/>
      <c r="F101" s="296">
        <f t="shared" si="4"/>
        <v>0</v>
      </c>
      <c r="G101" s="123"/>
      <c r="H101" s="124"/>
      <c r="I101" s="125">
        <f t="shared" si="5"/>
        <v>0</v>
      </c>
      <c r="J101" s="123"/>
      <c r="K101" s="124"/>
      <c r="L101" s="125">
        <f t="shared" si="6"/>
        <v>0</v>
      </c>
      <c r="M101" s="264"/>
      <c r="N101" s="262"/>
      <c r="O101" s="125">
        <f t="shared" si="7"/>
        <v>0</v>
      </c>
      <c r="P101" s="74"/>
      <c r="R101" s="53"/>
      <c r="S101" s="53"/>
      <c r="T101" s="53"/>
    </row>
    <row r="102" spans="1:20" ht="36" x14ac:dyDescent="0.25">
      <c r="A102" s="76">
        <v>2234</v>
      </c>
      <c r="B102" s="127" t="s">
        <v>118</v>
      </c>
      <c r="C102" s="128">
        <f t="shared" si="3"/>
        <v>70</v>
      </c>
      <c r="D102" s="134">
        <v>70</v>
      </c>
      <c r="E102" s="283"/>
      <c r="F102" s="279">
        <f t="shared" si="4"/>
        <v>70</v>
      </c>
      <c r="G102" s="134"/>
      <c r="H102" s="135"/>
      <c r="I102" s="136">
        <f t="shared" si="5"/>
        <v>0</v>
      </c>
      <c r="J102" s="134"/>
      <c r="K102" s="135"/>
      <c r="L102" s="136">
        <f t="shared" si="6"/>
        <v>0</v>
      </c>
      <c r="M102" s="284"/>
      <c r="N102" s="285"/>
      <c r="O102" s="136">
        <f t="shared" si="7"/>
        <v>0</v>
      </c>
      <c r="P102" s="85"/>
      <c r="R102" s="53"/>
      <c r="S102" s="53"/>
      <c r="T102" s="53"/>
    </row>
    <row r="103" spans="1:20" ht="24" x14ac:dyDescent="0.25">
      <c r="A103" s="76">
        <v>2235</v>
      </c>
      <c r="B103" s="127" t="s">
        <v>119</v>
      </c>
      <c r="C103" s="128">
        <f t="shared" si="3"/>
        <v>80</v>
      </c>
      <c r="D103" s="134">
        <v>80</v>
      </c>
      <c r="E103" s="283"/>
      <c r="F103" s="279">
        <f t="shared" si="4"/>
        <v>80</v>
      </c>
      <c r="G103" s="134"/>
      <c r="H103" s="135"/>
      <c r="I103" s="136">
        <f t="shared" si="5"/>
        <v>0</v>
      </c>
      <c r="J103" s="134"/>
      <c r="K103" s="135"/>
      <c r="L103" s="136">
        <f t="shared" si="6"/>
        <v>0</v>
      </c>
      <c r="M103" s="284"/>
      <c r="N103" s="285"/>
      <c r="O103" s="136">
        <f t="shared" si="7"/>
        <v>0</v>
      </c>
      <c r="P103" s="85"/>
      <c r="R103" s="53"/>
      <c r="S103" s="53"/>
      <c r="T103" s="53"/>
    </row>
    <row r="104" spans="1:20" hidden="1" x14ac:dyDescent="0.25">
      <c r="A104" s="76">
        <v>2236</v>
      </c>
      <c r="B104" s="127" t="s">
        <v>120</v>
      </c>
      <c r="C104" s="128">
        <f t="shared" si="3"/>
        <v>0</v>
      </c>
      <c r="D104" s="134"/>
      <c r="E104" s="283"/>
      <c r="F104" s="279">
        <f t="shared" si="4"/>
        <v>0</v>
      </c>
      <c r="G104" s="134"/>
      <c r="H104" s="135"/>
      <c r="I104" s="136">
        <f t="shared" si="5"/>
        <v>0</v>
      </c>
      <c r="J104" s="134"/>
      <c r="K104" s="135"/>
      <c r="L104" s="136">
        <f t="shared" si="6"/>
        <v>0</v>
      </c>
      <c r="M104" s="284"/>
      <c r="N104" s="285"/>
      <c r="O104" s="136">
        <f t="shared" si="7"/>
        <v>0</v>
      </c>
      <c r="P104" s="85"/>
      <c r="R104" s="53"/>
      <c r="S104" s="53"/>
      <c r="T104" s="53"/>
    </row>
    <row r="105" spans="1:20" ht="24" x14ac:dyDescent="0.25">
      <c r="A105" s="76">
        <v>2239</v>
      </c>
      <c r="B105" s="127" t="s">
        <v>121</v>
      </c>
      <c r="C105" s="128">
        <f t="shared" si="3"/>
        <v>1255</v>
      </c>
      <c r="D105" s="134">
        <v>1255</v>
      </c>
      <c r="E105" s="283"/>
      <c r="F105" s="279">
        <f t="shared" si="4"/>
        <v>1255</v>
      </c>
      <c r="G105" s="134"/>
      <c r="H105" s="135"/>
      <c r="I105" s="136">
        <f t="shared" si="5"/>
        <v>0</v>
      </c>
      <c r="J105" s="134"/>
      <c r="K105" s="135"/>
      <c r="L105" s="136">
        <f t="shared" si="6"/>
        <v>0</v>
      </c>
      <c r="M105" s="284"/>
      <c r="N105" s="285"/>
      <c r="O105" s="136">
        <f t="shared" si="7"/>
        <v>0</v>
      </c>
      <c r="P105" s="85"/>
      <c r="R105" s="53"/>
      <c r="S105" s="53"/>
      <c r="T105" s="53"/>
    </row>
    <row r="106" spans="1:20" ht="36" x14ac:dyDescent="0.25">
      <c r="A106" s="276">
        <v>2240</v>
      </c>
      <c r="B106" s="127" t="s">
        <v>122</v>
      </c>
      <c r="C106" s="128">
        <f t="shared" si="3"/>
        <v>7037</v>
      </c>
      <c r="D106" s="277">
        <f>SUM(D107:D114)</f>
        <v>6906</v>
      </c>
      <c r="E106" s="278">
        <f>SUM(E107:E114)</f>
        <v>131</v>
      </c>
      <c r="F106" s="279">
        <f t="shared" si="4"/>
        <v>7037</v>
      </c>
      <c r="G106" s="277">
        <f>SUM(G107:G114)</f>
        <v>0</v>
      </c>
      <c r="H106" s="280">
        <f>SUM(H107:H114)</f>
        <v>0</v>
      </c>
      <c r="I106" s="136">
        <f t="shared" si="5"/>
        <v>0</v>
      </c>
      <c r="J106" s="277">
        <f>SUM(J107:J114)</f>
        <v>0</v>
      </c>
      <c r="K106" s="280">
        <f>SUM(K107:K114)</f>
        <v>0</v>
      </c>
      <c r="L106" s="136">
        <f t="shared" si="6"/>
        <v>0</v>
      </c>
      <c r="M106" s="281">
        <f>SUM(M107:M114)</f>
        <v>0</v>
      </c>
      <c r="N106" s="282">
        <f>SUM(N107:N114)</f>
        <v>0</v>
      </c>
      <c r="O106" s="136">
        <f t="shared" si="7"/>
        <v>0</v>
      </c>
      <c r="P106" s="85"/>
      <c r="R106" s="53"/>
      <c r="S106" s="53"/>
      <c r="T106" s="53"/>
    </row>
    <row r="107" spans="1:20" hidden="1" x14ac:dyDescent="0.25">
      <c r="A107" s="76">
        <v>2241</v>
      </c>
      <c r="B107" s="127" t="s">
        <v>123</v>
      </c>
      <c r="C107" s="128">
        <f t="shared" si="3"/>
        <v>0</v>
      </c>
      <c r="D107" s="134"/>
      <c r="E107" s="283"/>
      <c r="F107" s="279">
        <f t="shared" si="4"/>
        <v>0</v>
      </c>
      <c r="G107" s="134"/>
      <c r="H107" s="135"/>
      <c r="I107" s="136">
        <f t="shared" si="5"/>
        <v>0</v>
      </c>
      <c r="J107" s="134"/>
      <c r="K107" s="135"/>
      <c r="L107" s="136">
        <f t="shared" si="6"/>
        <v>0</v>
      </c>
      <c r="M107" s="284"/>
      <c r="N107" s="285"/>
      <c r="O107" s="136">
        <f t="shared" si="7"/>
        <v>0</v>
      </c>
      <c r="P107" s="85"/>
      <c r="R107" s="53"/>
      <c r="S107" s="53"/>
      <c r="T107" s="53"/>
    </row>
    <row r="108" spans="1:20" ht="24" hidden="1" x14ac:dyDescent="0.25">
      <c r="A108" s="76">
        <v>2242</v>
      </c>
      <c r="B108" s="127" t="s">
        <v>124</v>
      </c>
      <c r="C108" s="128">
        <f t="shared" si="3"/>
        <v>0</v>
      </c>
      <c r="D108" s="134"/>
      <c r="E108" s="283"/>
      <c r="F108" s="279">
        <f t="shared" si="4"/>
        <v>0</v>
      </c>
      <c r="G108" s="134"/>
      <c r="H108" s="135"/>
      <c r="I108" s="136">
        <f t="shared" si="5"/>
        <v>0</v>
      </c>
      <c r="J108" s="134"/>
      <c r="K108" s="135"/>
      <c r="L108" s="136">
        <f t="shared" si="6"/>
        <v>0</v>
      </c>
      <c r="M108" s="284"/>
      <c r="N108" s="285"/>
      <c r="O108" s="136">
        <f t="shared" si="7"/>
        <v>0</v>
      </c>
      <c r="P108" s="85"/>
      <c r="R108" s="53"/>
      <c r="S108" s="53"/>
      <c r="T108" s="53"/>
    </row>
    <row r="109" spans="1:20" ht="24" x14ac:dyDescent="0.25">
      <c r="A109" s="76">
        <v>2243</v>
      </c>
      <c r="B109" s="127" t="s">
        <v>125</v>
      </c>
      <c r="C109" s="128">
        <f t="shared" si="3"/>
        <v>2915</v>
      </c>
      <c r="D109" s="134">
        <v>2915</v>
      </c>
      <c r="E109" s="283"/>
      <c r="F109" s="279">
        <f t="shared" si="4"/>
        <v>2915</v>
      </c>
      <c r="G109" s="134"/>
      <c r="H109" s="135"/>
      <c r="I109" s="136">
        <f t="shared" si="5"/>
        <v>0</v>
      </c>
      <c r="J109" s="134"/>
      <c r="K109" s="135"/>
      <c r="L109" s="136">
        <f t="shared" si="6"/>
        <v>0</v>
      </c>
      <c r="M109" s="284"/>
      <c r="N109" s="285"/>
      <c r="O109" s="136">
        <f t="shared" si="7"/>
        <v>0</v>
      </c>
      <c r="P109" s="85"/>
      <c r="R109" s="53"/>
      <c r="S109" s="53"/>
      <c r="T109" s="53"/>
    </row>
    <row r="110" spans="1:20" x14ac:dyDescent="0.25">
      <c r="A110" s="76">
        <v>2244</v>
      </c>
      <c r="B110" s="127" t="s">
        <v>126</v>
      </c>
      <c r="C110" s="128">
        <f t="shared" si="3"/>
        <v>4122</v>
      </c>
      <c r="D110" s="134">
        <v>3991</v>
      </c>
      <c r="E110" s="283">
        <v>131</v>
      </c>
      <c r="F110" s="279">
        <f t="shared" si="4"/>
        <v>4122</v>
      </c>
      <c r="G110" s="134"/>
      <c r="H110" s="135"/>
      <c r="I110" s="136">
        <f t="shared" si="5"/>
        <v>0</v>
      </c>
      <c r="J110" s="134"/>
      <c r="K110" s="135"/>
      <c r="L110" s="136">
        <f t="shared" si="6"/>
        <v>0</v>
      </c>
      <c r="M110" s="284"/>
      <c r="N110" s="285"/>
      <c r="O110" s="136">
        <f t="shared" si="7"/>
        <v>0</v>
      </c>
      <c r="P110" s="85" t="s">
        <v>1078</v>
      </c>
      <c r="R110" s="53"/>
      <c r="S110" s="53"/>
      <c r="T110" s="53"/>
    </row>
    <row r="111" spans="1:20" ht="24" hidden="1" x14ac:dyDescent="0.25">
      <c r="A111" s="76">
        <v>2246</v>
      </c>
      <c r="B111" s="127" t="s">
        <v>127</v>
      </c>
      <c r="C111" s="128">
        <f t="shared" si="3"/>
        <v>0</v>
      </c>
      <c r="D111" s="134"/>
      <c r="E111" s="283"/>
      <c r="F111" s="279">
        <f t="shared" si="4"/>
        <v>0</v>
      </c>
      <c r="G111" s="134"/>
      <c r="H111" s="135"/>
      <c r="I111" s="136">
        <f t="shared" si="5"/>
        <v>0</v>
      </c>
      <c r="J111" s="134"/>
      <c r="K111" s="135"/>
      <c r="L111" s="136">
        <f t="shared" si="6"/>
        <v>0</v>
      </c>
      <c r="M111" s="284"/>
      <c r="N111" s="285"/>
      <c r="O111" s="136">
        <f t="shared" si="7"/>
        <v>0</v>
      </c>
      <c r="P111" s="85"/>
      <c r="R111" s="53"/>
      <c r="S111" s="53"/>
      <c r="T111" s="53"/>
    </row>
    <row r="112" spans="1:20" hidden="1" x14ac:dyDescent="0.25">
      <c r="A112" s="76">
        <v>2247</v>
      </c>
      <c r="B112" s="127" t="s">
        <v>128</v>
      </c>
      <c r="C112" s="128">
        <f t="shared" si="3"/>
        <v>0</v>
      </c>
      <c r="D112" s="134"/>
      <c r="E112" s="283"/>
      <c r="F112" s="279">
        <f t="shared" si="4"/>
        <v>0</v>
      </c>
      <c r="G112" s="134"/>
      <c r="H112" s="135"/>
      <c r="I112" s="136">
        <f t="shared" si="5"/>
        <v>0</v>
      </c>
      <c r="J112" s="134"/>
      <c r="K112" s="135"/>
      <c r="L112" s="136">
        <f t="shared" si="6"/>
        <v>0</v>
      </c>
      <c r="M112" s="284"/>
      <c r="N112" s="285"/>
      <c r="O112" s="136">
        <f t="shared" si="7"/>
        <v>0</v>
      </c>
      <c r="P112" s="85"/>
      <c r="R112" s="53"/>
      <c r="S112" s="53"/>
      <c r="T112" s="53"/>
    </row>
    <row r="113" spans="1:20" ht="24" hidden="1" x14ac:dyDescent="0.25">
      <c r="A113" s="76">
        <v>2248</v>
      </c>
      <c r="B113" s="127" t="s">
        <v>129</v>
      </c>
      <c r="C113" s="128">
        <f t="shared" si="3"/>
        <v>0</v>
      </c>
      <c r="D113" s="134"/>
      <c r="E113" s="283"/>
      <c r="F113" s="279">
        <f t="shared" si="4"/>
        <v>0</v>
      </c>
      <c r="G113" s="134"/>
      <c r="H113" s="135"/>
      <c r="I113" s="136">
        <f t="shared" si="5"/>
        <v>0</v>
      </c>
      <c r="J113" s="134"/>
      <c r="K113" s="135"/>
      <c r="L113" s="136">
        <f t="shared" si="6"/>
        <v>0</v>
      </c>
      <c r="M113" s="284"/>
      <c r="N113" s="285"/>
      <c r="O113" s="136">
        <f t="shared" si="7"/>
        <v>0</v>
      </c>
      <c r="P113" s="85"/>
      <c r="R113" s="53"/>
      <c r="S113" s="53"/>
      <c r="T113" s="53"/>
    </row>
    <row r="114" spans="1:20" ht="24" hidden="1" x14ac:dyDescent="0.25">
      <c r="A114" s="76">
        <v>2249</v>
      </c>
      <c r="B114" s="127" t="s">
        <v>130</v>
      </c>
      <c r="C114" s="128">
        <f t="shared" si="3"/>
        <v>0</v>
      </c>
      <c r="D114" s="134"/>
      <c r="E114" s="283"/>
      <c r="F114" s="279">
        <f t="shared" si="4"/>
        <v>0</v>
      </c>
      <c r="G114" s="134"/>
      <c r="H114" s="135"/>
      <c r="I114" s="136">
        <f t="shared" si="5"/>
        <v>0</v>
      </c>
      <c r="J114" s="134"/>
      <c r="K114" s="135"/>
      <c r="L114" s="136">
        <f t="shared" si="6"/>
        <v>0</v>
      </c>
      <c r="M114" s="284"/>
      <c r="N114" s="285"/>
      <c r="O114" s="136">
        <f t="shared" si="7"/>
        <v>0</v>
      </c>
      <c r="P114" s="85"/>
      <c r="R114" s="53"/>
      <c r="S114" s="53"/>
      <c r="T114" s="53"/>
    </row>
    <row r="115" spans="1:20" x14ac:dyDescent="0.25">
      <c r="A115" s="276">
        <v>2250</v>
      </c>
      <c r="B115" s="127" t="s">
        <v>131</v>
      </c>
      <c r="C115" s="128">
        <f t="shared" si="3"/>
        <v>781</v>
      </c>
      <c r="D115" s="277">
        <f>SUM(D116:D118)</f>
        <v>912</v>
      </c>
      <c r="E115" s="278">
        <f>SUM(E116:E118)</f>
        <v>-131</v>
      </c>
      <c r="F115" s="279">
        <f t="shared" si="4"/>
        <v>781</v>
      </c>
      <c r="G115" s="277">
        <f>SUM(G116:G118)</f>
        <v>0</v>
      </c>
      <c r="H115" s="280">
        <f>SUM(H116:H118)</f>
        <v>0</v>
      </c>
      <c r="I115" s="136">
        <f t="shared" si="5"/>
        <v>0</v>
      </c>
      <c r="J115" s="277">
        <f>SUM(J116:J118)</f>
        <v>0</v>
      </c>
      <c r="K115" s="280">
        <f>SUM(K116:K118)</f>
        <v>0</v>
      </c>
      <c r="L115" s="136">
        <f t="shared" si="6"/>
        <v>0</v>
      </c>
      <c r="M115" s="281">
        <f>SUM(M116:M118)</f>
        <v>0</v>
      </c>
      <c r="N115" s="282">
        <f>SUM(N116:N118)</f>
        <v>0</v>
      </c>
      <c r="O115" s="136">
        <f t="shared" si="7"/>
        <v>0</v>
      </c>
      <c r="P115" s="85"/>
      <c r="R115" s="53"/>
      <c r="S115" s="53"/>
      <c r="T115" s="53"/>
    </row>
    <row r="116" spans="1:20" x14ac:dyDescent="0.25">
      <c r="A116" s="76">
        <v>2251</v>
      </c>
      <c r="B116" s="127" t="s">
        <v>132</v>
      </c>
      <c r="C116" s="128">
        <f t="shared" si="3"/>
        <v>348</v>
      </c>
      <c r="D116" s="134">
        <v>348</v>
      </c>
      <c r="E116" s="283"/>
      <c r="F116" s="279">
        <f t="shared" si="4"/>
        <v>348</v>
      </c>
      <c r="G116" s="134"/>
      <c r="H116" s="135"/>
      <c r="I116" s="136">
        <f t="shared" si="5"/>
        <v>0</v>
      </c>
      <c r="J116" s="134"/>
      <c r="K116" s="135"/>
      <c r="L116" s="136">
        <f t="shared" si="6"/>
        <v>0</v>
      </c>
      <c r="M116" s="284"/>
      <c r="N116" s="285"/>
      <c r="O116" s="136">
        <f t="shared" si="7"/>
        <v>0</v>
      </c>
      <c r="P116" s="85"/>
      <c r="R116" s="53"/>
      <c r="S116" s="53"/>
      <c r="T116" s="53"/>
    </row>
    <row r="117" spans="1:20" ht="24" hidden="1" x14ac:dyDescent="0.25">
      <c r="A117" s="76">
        <v>2252</v>
      </c>
      <c r="B117" s="127" t="s">
        <v>133</v>
      </c>
      <c r="C117" s="128">
        <f t="shared" ref="C117:C180" si="8">SUM(F117,I117,L117,O117)</f>
        <v>0</v>
      </c>
      <c r="D117" s="134"/>
      <c r="E117" s="283"/>
      <c r="F117" s="279">
        <f t="shared" ref="F117:F180" si="9">D117+E117</f>
        <v>0</v>
      </c>
      <c r="G117" s="134"/>
      <c r="H117" s="135"/>
      <c r="I117" s="136">
        <f t="shared" ref="I117:I180" si="10">G117+H117</f>
        <v>0</v>
      </c>
      <c r="J117" s="134"/>
      <c r="K117" s="135"/>
      <c r="L117" s="136">
        <f t="shared" ref="L117:L180" si="11">J117+K117</f>
        <v>0</v>
      </c>
      <c r="M117" s="284"/>
      <c r="N117" s="285"/>
      <c r="O117" s="136">
        <f t="shared" ref="O117:O180" si="12">M117+N117</f>
        <v>0</v>
      </c>
      <c r="P117" s="85"/>
      <c r="R117" s="53"/>
      <c r="S117" s="53"/>
      <c r="T117" s="53"/>
    </row>
    <row r="118" spans="1:20" ht="24" x14ac:dyDescent="0.25">
      <c r="A118" s="76">
        <v>2259</v>
      </c>
      <c r="B118" s="127" t="s">
        <v>134</v>
      </c>
      <c r="C118" s="128">
        <f t="shared" si="8"/>
        <v>433</v>
      </c>
      <c r="D118" s="134">
        <v>564</v>
      </c>
      <c r="E118" s="283">
        <v>-131</v>
      </c>
      <c r="F118" s="279">
        <f t="shared" si="9"/>
        <v>433</v>
      </c>
      <c r="G118" s="134"/>
      <c r="H118" s="135"/>
      <c r="I118" s="136">
        <f t="shared" si="10"/>
        <v>0</v>
      </c>
      <c r="J118" s="134"/>
      <c r="K118" s="135"/>
      <c r="L118" s="136">
        <f t="shared" si="11"/>
        <v>0</v>
      </c>
      <c r="M118" s="284"/>
      <c r="N118" s="285"/>
      <c r="O118" s="136">
        <f t="shared" si="12"/>
        <v>0</v>
      </c>
      <c r="P118" s="85" t="s">
        <v>1079</v>
      </c>
      <c r="R118" s="53"/>
      <c r="S118" s="53"/>
      <c r="T118" s="53"/>
    </row>
    <row r="119" spans="1:20" x14ac:dyDescent="0.25">
      <c r="A119" s="276">
        <v>2260</v>
      </c>
      <c r="B119" s="127" t="s">
        <v>135</v>
      </c>
      <c r="C119" s="128">
        <f t="shared" si="8"/>
        <v>51993</v>
      </c>
      <c r="D119" s="277">
        <f>SUM(D120:D124)</f>
        <v>51993</v>
      </c>
      <c r="E119" s="278">
        <f>SUM(E120:E124)</f>
        <v>0</v>
      </c>
      <c r="F119" s="279">
        <f t="shared" si="9"/>
        <v>51993</v>
      </c>
      <c r="G119" s="277">
        <f>SUM(G120:G124)</f>
        <v>0</v>
      </c>
      <c r="H119" s="280">
        <f>SUM(H120:H124)</f>
        <v>0</v>
      </c>
      <c r="I119" s="136">
        <f t="shared" si="10"/>
        <v>0</v>
      </c>
      <c r="J119" s="277">
        <f>SUM(J120:J124)</f>
        <v>0</v>
      </c>
      <c r="K119" s="280">
        <f>SUM(K120:K124)</f>
        <v>0</v>
      </c>
      <c r="L119" s="136">
        <f t="shared" si="11"/>
        <v>0</v>
      </c>
      <c r="M119" s="281">
        <f>SUM(M120:M124)</f>
        <v>0</v>
      </c>
      <c r="N119" s="282">
        <f>SUM(N120:N124)</f>
        <v>0</v>
      </c>
      <c r="O119" s="136">
        <f t="shared" si="12"/>
        <v>0</v>
      </c>
      <c r="P119" s="85"/>
      <c r="R119" s="53"/>
      <c r="S119" s="53"/>
      <c r="T119" s="53"/>
    </row>
    <row r="120" spans="1:20" x14ac:dyDescent="0.25">
      <c r="A120" s="76">
        <v>2261</v>
      </c>
      <c r="B120" s="127" t="s">
        <v>136</v>
      </c>
      <c r="C120" s="128">
        <f t="shared" si="8"/>
        <v>51846</v>
      </c>
      <c r="D120" s="134">
        <v>51846</v>
      </c>
      <c r="E120" s="283"/>
      <c r="F120" s="279">
        <f t="shared" si="9"/>
        <v>51846</v>
      </c>
      <c r="G120" s="134"/>
      <c r="H120" s="135"/>
      <c r="I120" s="136">
        <f t="shared" si="10"/>
        <v>0</v>
      </c>
      <c r="J120" s="134"/>
      <c r="K120" s="135"/>
      <c r="L120" s="136">
        <f t="shared" si="11"/>
        <v>0</v>
      </c>
      <c r="M120" s="284"/>
      <c r="N120" s="285"/>
      <c r="O120" s="136">
        <f t="shared" si="12"/>
        <v>0</v>
      </c>
      <c r="P120" s="85"/>
      <c r="R120" s="53"/>
      <c r="S120" s="53"/>
      <c r="T120" s="53"/>
    </row>
    <row r="121" spans="1:20" x14ac:dyDescent="0.25">
      <c r="A121" s="76">
        <v>2262</v>
      </c>
      <c r="B121" s="127" t="s">
        <v>137</v>
      </c>
      <c r="C121" s="128">
        <f t="shared" si="8"/>
        <v>100</v>
      </c>
      <c r="D121" s="134">
        <v>100</v>
      </c>
      <c r="E121" s="283"/>
      <c r="F121" s="279">
        <f t="shared" si="9"/>
        <v>100</v>
      </c>
      <c r="G121" s="134"/>
      <c r="H121" s="135"/>
      <c r="I121" s="136">
        <f t="shared" si="10"/>
        <v>0</v>
      </c>
      <c r="J121" s="134"/>
      <c r="K121" s="135"/>
      <c r="L121" s="136">
        <f t="shared" si="11"/>
        <v>0</v>
      </c>
      <c r="M121" s="284"/>
      <c r="N121" s="285"/>
      <c r="O121" s="136">
        <f t="shared" si="12"/>
        <v>0</v>
      </c>
      <c r="P121" s="85"/>
      <c r="R121" s="53"/>
      <c r="S121" s="53"/>
      <c r="T121" s="53"/>
    </row>
    <row r="122" spans="1:20" hidden="1" x14ac:dyDescent="0.25">
      <c r="A122" s="76">
        <v>2263</v>
      </c>
      <c r="B122" s="127" t="s">
        <v>138</v>
      </c>
      <c r="C122" s="128">
        <f t="shared" si="8"/>
        <v>0</v>
      </c>
      <c r="D122" s="134"/>
      <c r="E122" s="283"/>
      <c r="F122" s="279">
        <f t="shared" si="9"/>
        <v>0</v>
      </c>
      <c r="G122" s="134"/>
      <c r="H122" s="135"/>
      <c r="I122" s="136">
        <f t="shared" si="10"/>
        <v>0</v>
      </c>
      <c r="J122" s="134"/>
      <c r="K122" s="135"/>
      <c r="L122" s="136">
        <f t="shared" si="11"/>
        <v>0</v>
      </c>
      <c r="M122" s="284"/>
      <c r="N122" s="285"/>
      <c r="O122" s="136">
        <f t="shared" si="12"/>
        <v>0</v>
      </c>
      <c r="P122" s="85"/>
      <c r="R122" s="53"/>
      <c r="S122" s="53"/>
      <c r="T122" s="53"/>
    </row>
    <row r="123" spans="1:20" ht="24" hidden="1" x14ac:dyDescent="0.25">
      <c r="A123" s="76">
        <v>2264</v>
      </c>
      <c r="B123" s="127" t="s">
        <v>139</v>
      </c>
      <c r="C123" s="128">
        <f t="shared" si="8"/>
        <v>0</v>
      </c>
      <c r="D123" s="134"/>
      <c r="E123" s="283"/>
      <c r="F123" s="279">
        <f t="shared" si="9"/>
        <v>0</v>
      </c>
      <c r="G123" s="134"/>
      <c r="H123" s="135"/>
      <c r="I123" s="136">
        <f t="shared" si="10"/>
        <v>0</v>
      </c>
      <c r="J123" s="134"/>
      <c r="K123" s="135"/>
      <c r="L123" s="136">
        <f t="shared" si="11"/>
        <v>0</v>
      </c>
      <c r="M123" s="284"/>
      <c r="N123" s="285"/>
      <c r="O123" s="136">
        <f t="shared" si="12"/>
        <v>0</v>
      </c>
      <c r="P123" s="85"/>
      <c r="R123" s="53"/>
      <c r="S123" s="53"/>
      <c r="T123" s="53"/>
    </row>
    <row r="124" spans="1:20" x14ac:dyDescent="0.25">
      <c r="A124" s="76">
        <v>2269</v>
      </c>
      <c r="B124" s="127" t="s">
        <v>140</v>
      </c>
      <c r="C124" s="128">
        <f t="shared" si="8"/>
        <v>47</v>
      </c>
      <c r="D124" s="134">
        <v>47</v>
      </c>
      <c r="E124" s="283"/>
      <c r="F124" s="279">
        <f t="shared" si="9"/>
        <v>47</v>
      </c>
      <c r="G124" s="134"/>
      <c r="H124" s="135"/>
      <c r="I124" s="136">
        <f t="shared" si="10"/>
        <v>0</v>
      </c>
      <c r="J124" s="134"/>
      <c r="K124" s="135"/>
      <c r="L124" s="136">
        <f t="shared" si="11"/>
        <v>0</v>
      </c>
      <c r="M124" s="284"/>
      <c r="N124" s="285"/>
      <c r="O124" s="136">
        <f t="shared" si="12"/>
        <v>0</v>
      </c>
      <c r="P124" s="85"/>
      <c r="R124" s="53"/>
      <c r="S124" s="53"/>
      <c r="T124" s="53"/>
    </row>
    <row r="125" spans="1:20" x14ac:dyDescent="0.25">
      <c r="A125" s="276">
        <v>2270</v>
      </c>
      <c r="B125" s="127" t="s">
        <v>141</v>
      </c>
      <c r="C125" s="128">
        <f t="shared" si="8"/>
        <v>1500</v>
      </c>
      <c r="D125" s="277">
        <f>SUM(D126:D130)</f>
        <v>1330</v>
      </c>
      <c r="E125" s="278">
        <f>SUM(E126:E130)</f>
        <v>0</v>
      </c>
      <c r="F125" s="279">
        <f t="shared" si="9"/>
        <v>1330</v>
      </c>
      <c r="G125" s="277">
        <f>SUM(G126:G130)</f>
        <v>0</v>
      </c>
      <c r="H125" s="280">
        <f>SUM(H126:H130)</f>
        <v>0</v>
      </c>
      <c r="I125" s="136">
        <f t="shared" si="10"/>
        <v>0</v>
      </c>
      <c r="J125" s="277">
        <f>SUM(J126:J130)</f>
        <v>170</v>
      </c>
      <c r="K125" s="280">
        <f>SUM(K126:K130)</f>
        <v>0</v>
      </c>
      <c r="L125" s="136">
        <f t="shared" si="11"/>
        <v>170</v>
      </c>
      <c r="M125" s="281">
        <f>SUM(M126:M130)</f>
        <v>0</v>
      </c>
      <c r="N125" s="282">
        <f>SUM(N126:N130)</f>
        <v>0</v>
      </c>
      <c r="O125" s="136">
        <f t="shared" si="12"/>
        <v>0</v>
      </c>
      <c r="P125" s="85"/>
      <c r="R125" s="53"/>
      <c r="S125" s="53"/>
      <c r="T125" s="53"/>
    </row>
    <row r="126" spans="1:20" hidden="1" x14ac:dyDescent="0.25">
      <c r="A126" s="76">
        <v>2272</v>
      </c>
      <c r="B126" s="5" t="s">
        <v>142</v>
      </c>
      <c r="C126" s="128">
        <f t="shared" si="8"/>
        <v>0</v>
      </c>
      <c r="D126" s="134"/>
      <c r="E126" s="283"/>
      <c r="F126" s="279">
        <f t="shared" si="9"/>
        <v>0</v>
      </c>
      <c r="G126" s="134"/>
      <c r="H126" s="135"/>
      <c r="I126" s="136">
        <f t="shared" si="10"/>
        <v>0</v>
      </c>
      <c r="J126" s="134"/>
      <c r="K126" s="135"/>
      <c r="L126" s="136">
        <f t="shared" si="11"/>
        <v>0</v>
      </c>
      <c r="M126" s="284"/>
      <c r="N126" s="285"/>
      <c r="O126" s="136">
        <f t="shared" si="12"/>
        <v>0</v>
      </c>
      <c r="P126" s="85"/>
      <c r="R126" s="53"/>
      <c r="S126" s="53"/>
      <c r="T126" s="53"/>
    </row>
    <row r="127" spans="1:20" ht="24" x14ac:dyDescent="0.25">
      <c r="A127" s="76">
        <v>2275</v>
      </c>
      <c r="B127" s="127" t="s">
        <v>143</v>
      </c>
      <c r="C127" s="128">
        <f t="shared" si="8"/>
        <v>1330</v>
      </c>
      <c r="D127" s="134">
        <v>1330</v>
      </c>
      <c r="E127" s="283"/>
      <c r="F127" s="279">
        <f t="shared" si="9"/>
        <v>1330</v>
      </c>
      <c r="G127" s="134"/>
      <c r="H127" s="135"/>
      <c r="I127" s="136">
        <f t="shared" si="10"/>
        <v>0</v>
      </c>
      <c r="J127" s="134"/>
      <c r="K127" s="135"/>
      <c r="L127" s="136">
        <f t="shared" si="11"/>
        <v>0</v>
      </c>
      <c r="M127" s="284"/>
      <c r="N127" s="285"/>
      <c r="O127" s="136">
        <f t="shared" si="12"/>
        <v>0</v>
      </c>
      <c r="P127" s="85"/>
      <c r="R127" s="53"/>
      <c r="S127" s="53"/>
      <c r="T127" s="53"/>
    </row>
    <row r="128" spans="1:20" ht="36" hidden="1" x14ac:dyDescent="0.25">
      <c r="A128" s="76">
        <v>2276</v>
      </c>
      <c r="B128" s="127" t="s">
        <v>144</v>
      </c>
      <c r="C128" s="128">
        <f t="shared" si="8"/>
        <v>0</v>
      </c>
      <c r="D128" s="134"/>
      <c r="E128" s="283"/>
      <c r="F128" s="279">
        <f t="shared" si="9"/>
        <v>0</v>
      </c>
      <c r="G128" s="134"/>
      <c r="H128" s="135"/>
      <c r="I128" s="136">
        <f t="shared" si="10"/>
        <v>0</v>
      </c>
      <c r="J128" s="134"/>
      <c r="K128" s="135"/>
      <c r="L128" s="136">
        <f t="shared" si="11"/>
        <v>0</v>
      </c>
      <c r="M128" s="284"/>
      <c r="N128" s="285"/>
      <c r="O128" s="136">
        <f t="shared" si="12"/>
        <v>0</v>
      </c>
      <c r="P128" s="85"/>
      <c r="R128" s="53"/>
      <c r="S128" s="53"/>
      <c r="T128" s="53"/>
    </row>
    <row r="129" spans="1:20" ht="24" hidden="1" x14ac:dyDescent="0.25">
      <c r="A129" s="76">
        <v>2278</v>
      </c>
      <c r="B129" s="127" t="s">
        <v>145</v>
      </c>
      <c r="C129" s="128">
        <f t="shared" si="8"/>
        <v>0</v>
      </c>
      <c r="D129" s="134"/>
      <c r="E129" s="283"/>
      <c r="F129" s="279">
        <f t="shared" si="9"/>
        <v>0</v>
      </c>
      <c r="G129" s="134"/>
      <c r="H129" s="135"/>
      <c r="I129" s="136">
        <f t="shared" si="10"/>
        <v>0</v>
      </c>
      <c r="J129" s="134"/>
      <c r="K129" s="135"/>
      <c r="L129" s="136">
        <f t="shared" si="11"/>
        <v>0</v>
      </c>
      <c r="M129" s="284"/>
      <c r="N129" s="285"/>
      <c r="O129" s="136">
        <f t="shared" si="12"/>
        <v>0</v>
      </c>
      <c r="P129" s="85"/>
      <c r="R129" s="53"/>
      <c r="S129" s="53"/>
      <c r="T129" s="53"/>
    </row>
    <row r="130" spans="1:20" ht="24" x14ac:dyDescent="0.25">
      <c r="A130" s="76">
        <v>2279</v>
      </c>
      <c r="B130" s="127" t="s">
        <v>146</v>
      </c>
      <c r="C130" s="128">
        <f t="shared" si="8"/>
        <v>170</v>
      </c>
      <c r="D130" s="134">
        <v>0</v>
      </c>
      <c r="E130" s="283"/>
      <c r="F130" s="279">
        <f t="shared" si="9"/>
        <v>0</v>
      </c>
      <c r="G130" s="134"/>
      <c r="H130" s="135"/>
      <c r="I130" s="136">
        <f t="shared" si="10"/>
        <v>0</v>
      </c>
      <c r="J130" s="134">
        <f>100+70</f>
        <v>170</v>
      </c>
      <c r="K130" s="135"/>
      <c r="L130" s="136">
        <f t="shared" si="11"/>
        <v>170</v>
      </c>
      <c r="M130" s="284"/>
      <c r="N130" s="285"/>
      <c r="O130" s="136">
        <f t="shared" si="12"/>
        <v>0</v>
      </c>
      <c r="P130" s="85"/>
      <c r="R130" s="53"/>
      <c r="S130" s="53"/>
      <c r="T130" s="53"/>
    </row>
    <row r="131" spans="1:20" ht="24" hidden="1" x14ac:dyDescent="0.25">
      <c r="A131" s="656">
        <v>2280</v>
      </c>
      <c r="B131" s="116" t="s">
        <v>147</v>
      </c>
      <c r="C131" s="128">
        <f t="shared" si="8"/>
        <v>0</v>
      </c>
      <c r="D131" s="297">
        <f>SUM(D132)</f>
        <v>0</v>
      </c>
      <c r="E131" s="298">
        <f>SUM(E132)</f>
        <v>0</v>
      </c>
      <c r="F131" s="296">
        <f t="shared" si="9"/>
        <v>0</v>
      </c>
      <c r="G131" s="297">
        <f>SUM(G132)</f>
        <v>0</v>
      </c>
      <c r="H131" s="299">
        <f>SUM(H132)</f>
        <v>0</v>
      </c>
      <c r="I131" s="125">
        <f t="shared" si="10"/>
        <v>0</v>
      </c>
      <c r="J131" s="297">
        <f>SUM(J132)</f>
        <v>0</v>
      </c>
      <c r="K131" s="299">
        <f>SUM(K132)</f>
        <v>0</v>
      </c>
      <c r="L131" s="125">
        <f t="shared" si="11"/>
        <v>0</v>
      </c>
      <c r="M131" s="281">
        <f>SUM(M132)</f>
        <v>0</v>
      </c>
      <c r="N131" s="282">
        <f>SUM(N132)</f>
        <v>0</v>
      </c>
      <c r="O131" s="136">
        <f t="shared" si="12"/>
        <v>0</v>
      </c>
      <c r="P131" s="85"/>
      <c r="R131" s="53"/>
      <c r="S131" s="53"/>
      <c r="T131" s="53"/>
    </row>
    <row r="132" spans="1:20" ht="24" hidden="1" x14ac:dyDescent="0.25">
      <c r="A132" s="76">
        <v>2283</v>
      </c>
      <c r="B132" s="127" t="s">
        <v>148</v>
      </c>
      <c r="C132" s="128">
        <f t="shared" si="8"/>
        <v>0</v>
      </c>
      <c r="D132" s="134"/>
      <c r="E132" s="283"/>
      <c r="F132" s="279">
        <f t="shared" si="9"/>
        <v>0</v>
      </c>
      <c r="G132" s="134"/>
      <c r="H132" s="135"/>
      <c r="I132" s="136">
        <f t="shared" si="10"/>
        <v>0</v>
      </c>
      <c r="J132" s="134"/>
      <c r="K132" s="135"/>
      <c r="L132" s="136">
        <f t="shared" si="11"/>
        <v>0</v>
      </c>
      <c r="M132" s="284"/>
      <c r="N132" s="285"/>
      <c r="O132" s="136">
        <f t="shared" si="12"/>
        <v>0</v>
      </c>
      <c r="P132" s="85"/>
      <c r="R132" s="53"/>
      <c r="S132" s="53"/>
      <c r="T132" s="53"/>
    </row>
    <row r="133" spans="1:20" ht="36" x14ac:dyDescent="0.25">
      <c r="A133" s="99">
        <v>2300</v>
      </c>
      <c r="B133" s="247" t="s">
        <v>149</v>
      </c>
      <c r="C133" s="100">
        <f t="shared" si="8"/>
        <v>51676</v>
      </c>
      <c r="D133" s="112">
        <f>SUM(D134,D139,D143,D144,D147,D154,D162,D163,D166)</f>
        <v>21796</v>
      </c>
      <c r="E133" s="248">
        <f>SUM(E134,E139,E143,E144,E147,E154,E162,E163,E166)</f>
        <v>0</v>
      </c>
      <c r="F133" s="249">
        <f t="shared" si="9"/>
        <v>21796</v>
      </c>
      <c r="G133" s="112">
        <f>SUM(G134,G139,G143,G144,G147,G154,G162,G163,G166)</f>
        <v>640</v>
      </c>
      <c r="H133" s="113">
        <f>SUM(H134,H139,H143,H144,H147,H154,H162,H163,H166)</f>
        <v>0</v>
      </c>
      <c r="I133" s="114">
        <f t="shared" si="10"/>
        <v>640</v>
      </c>
      <c r="J133" s="112">
        <f>SUM(J134,J139,J143,J144,J147,J154,J162,J163,J166)</f>
        <v>29240</v>
      </c>
      <c r="K133" s="113">
        <f>SUM(K134,K139,K143,K144,K147,K154,K162,K163,K166)</f>
        <v>0</v>
      </c>
      <c r="L133" s="114">
        <f t="shared" si="11"/>
        <v>29240</v>
      </c>
      <c r="M133" s="292">
        <f>SUM(M134,M139,M143,M144,M147,M154,M162,M163,M166)</f>
        <v>0</v>
      </c>
      <c r="N133" s="293">
        <f>SUM(N134,N139,N143,N144,N147,N154,N162,N163,N166)</f>
        <v>0</v>
      </c>
      <c r="O133" s="114">
        <f t="shared" si="12"/>
        <v>0</v>
      </c>
      <c r="P133" s="109"/>
      <c r="R133" s="53"/>
      <c r="S133" s="53"/>
      <c r="T133" s="53"/>
    </row>
    <row r="134" spans="1:20" ht="24" x14ac:dyDescent="0.25">
      <c r="A134" s="656">
        <v>2310</v>
      </c>
      <c r="B134" s="116" t="s">
        <v>150</v>
      </c>
      <c r="C134" s="117">
        <f t="shared" si="8"/>
        <v>6629</v>
      </c>
      <c r="D134" s="308">
        <f>SUM(D135:D138)</f>
        <v>6629</v>
      </c>
      <c r="E134" s="300">
        <f>SUM(E135:E138)</f>
        <v>0</v>
      </c>
      <c r="F134" s="296">
        <f t="shared" si="9"/>
        <v>6629</v>
      </c>
      <c r="G134" s="297">
        <f>SUM(G135:G138)</f>
        <v>0</v>
      </c>
      <c r="H134" s="299">
        <f>SUM(H135:H138)</f>
        <v>0</v>
      </c>
      <c r="I134" s="125">
        <f t="shared" si="10"/>
        <v>0</v>
      </c>
      <c r="J134" s="297">
        <f>SUM(J135:J138)</f>
        <v>0</v>
      </c>
      <c r="K134" s="299">
        <f>SUM(K135:K138)</f>
        <v>0</v>
      </c>
      <c r="L134" s="125">
        <f t="shared" si="11"/>
        <v>0</v>
      </c>
      <c r="M134" s="300">
        <f>SUM(M135:M138)</f>
        <v>0</v>
      </c>
      <c r="N134" s="301">
        <f>SUM(N135:N138)</f>
        <v>0</v>
      </c>
      <c r="O134" s="125">
        <f t="shared" si="12"/>
        <v>0</v>
      </c>
      <c r="P134" s="74"/>
      <c r="R134" s="53"/>
      <c r="S134" s="53"/>
      <c r="T134" s="53"/>
    </row>
    <row r="135" spans="1:20" x14ac:dyDescent="0.25">
      <c r="A135" s="76">
        <v>2311</v>
      </c>
      <c r="B135" s="127" t="s">
        <v>151</v>
      </c>
      <c r="C135" s="128">
        <f t="shared" si="8"/>
        <v>2562</v>
      </c>
      <c r="D135" s="134">
        <v>2562</v>
      </c>
      <c r="E135" s="283"/>
      <c r="F135" s="279">
        <f t="shared" si="9"/>
        <v>2562</v>
      </c>
      <c r="G135" s="134"/>
      <c r="H135" s="135"/>
      <c r="I135" s="136">
        <f t="shared" si="10"/>
        <v>0</v>
      </c>
      <c r="J135" s="134"/>
      <c r="K135" s="135"/>
      <c r="L135" s="136">
        <f t="shared" si="11"/>
        <v>0</v>
      </c>
      <c r="M135" s="284"/>
      <c r="N135" s="285"/>
      <c r="O135" s="136">
        <f t="shared" si="12"/>
        <v>0</v>
      </c>
      <c r="P135" s="85"/>
      <c r="R135" s="53"/>
      <c r="S135" s="53"/>
      <c r="T135" s="53"/>
    </row>
    <row r="136" spans="1:20" x14ac:dyDescent="0.25">
      <c r="A136" s="76">
        <v>2312</v>
      </c>
      <c r="B136" s="127" t="s">
        <v>152</v>
      </c>
      <c r="C136" s="128">
        <f t="shared" si="8"/>
        <v>3797</v>
      </c>
      <c r="D136" s="134">
        <f>1597+1800+400</f>
        <v>3797</v>
      </c>
      <c r="E136" s="283"/>
      <c r="F136" s="279">
        <f t="shared" si="9"/>
        <v>3797</v>
      </c>
      <c r="G136" s="134"/>
      <c r="H136" s="135"/>
      <c r="I136" s="136">
        <f t="shared" si="10"/>
        <v>0</v>
      </c>
      <c r="J136" s="134"/>
      <c r="K136" s="135"/>
      <c r="L136" s="136">
        <f t="shared" si="11"/>
        <v>0</v>
      </c>
      <c r="M136" s="284"/>
      <c r="N136" s="285"/>
      <c r="O136" s="136">
        <f t="shared" si="12"/>
        <v>0</v>
      </c>
      <c r="P136" s="85"/>
      <c r="R136" s="53"/>
      <c r="S136" s="53"/>
      <c r="T136" s="53"/>
    </row>
    <row r="137" spans="1:20" x14ac:dyDescent="0.25">
      <c r="A137" s="76">
        <v>2313</v>
      </c>
      <c r="B137" s="127" t="s">
        <v>153</v>
      </c>
      <c r="C137" s="128">
        <f t="shared" si="8"/>
        <v>150</v>
      </c>
      <c r="D137" s="134">
        <v>150</v>
      </c>
      <c r="E137" s="283"/>
      <c r="F137" s="279">
        <f t="shared" si="9"/>
        <v>150</v>
      </c>
      <c r="G137" s="134"/>
      <c r="H137" s="135"/>
      <c r="I137" s="136">
        <f t="shared" si="10"/>
        <v>0</v>
      </c>
      <c r="J137" s="134"/>
      <c r="K137" s="135"/>
      <c r="L137" s="136">
        <f t="shared" si="11"/>
        <v>0</v>
      </c>
      <c r="M137" s="284"/>
      <c r="N137" s="285"/>
      <c r="O137" s="136">
        <f t="shared" si="12"/>
        <v>0</v>
      </c>
      <c r="P137" s="85"/>
      <c r="R137" s="53"/>
      <c r="S137" s="53"/>
      <c r="T137" s="53"/>
    </row>
    <row r="138" spans="1:20" ht="36" x14ac:dyDescent="0.25">
      <c r="A138" s="76">
        <v>2314</v>
      </c>
      <c r="B138" s="127" t="s">
        <v>154</v>
      </c>
      <c r="C138" s="128">
        <f t="shared" si="8"/>
        <v>120</v>
      </c>
      <c r="D138" s="134">
        <v>120</v>
      </c>
      <c r="E138" s="283"/>
      <c r="F138" s="279">
        <f t="shared" si="9"/>
        <v>120</v>
      </c>
      <c r="G138" s="134"/>
      <c r="H138" s="135"/>
      <c r="I138" s="136">
        <f t="shared" si="10"/>
        <v>0</v>
      </c>
      <c r="J138" s="134"/>
      <c r="K138" s="135"/>
      <c r="L138" s="136">
        <f t="shared" si="11"/>
        <v>0</v>
      </c>
      <c r="M138" s="284"/>
      <c r="N138" s="285"/>
      <c r="O138" s="136">
        <f t="shared" si="12"/>
        <v>0</v>
      </c>
      <c r="P138" s="85"/>
      <c r="R138" s="53"/>
      <c r="S138" s="53"/>
      <c r="T138" s="53"/>
    </row>
    <row r="139" spans="1:20" x14ac:dyDescent="0.25">
      <c r="A139" s="276">
        <v>2320</v>
      </c>
      <c r="B139" s="127" t="s">
        <v>155</v>
      </c>
      <c r="C139" s="128">
        <f t="shared" si="8"/>
        <v>4272</v>
      </c>
      <c r="D139" s="277">
        <f>SUM(D140:D142)</f>
        <v>3672</v>
      </c>
      <c r="E139" s="278">
        <f>SUM(E140:E142)</f>
        <v>0</v>
      </c>
      <c r="F139" s="279">
        <f t="shared" si="9"/>
        <v>3672</v>
      </c>
      <c r="G139" s="277">
        <f>SUM(G140:G142)</f>
        <v>0</v>
      </c>
      <c r="H139" s="280">
        <f>SUM(H140:H142)</f>
        <v>0</v>
      </c>
      <c r="I139" s="136">
        <f t="shared" si="10"/>
        <v>0</v>
      </c>
      <c r="J139" s="277">
        <f>SUM(J140:J142)</f>
        <v>600</v>
      </c>
      <c r="K139" s="280">
        <f>SUM(K140:K142)</f>
        <v>0</v>
      </c>
      <c r="L139" s="136">
        <f t="shared" si="11"/>
        <v>600</v>
      </c>
      <c r="M139" s="281">
        <f>SUM(M140:M142)</f>
        <v>0</v>
      </c>
      <c r="N139" s="282">
        <f>SUM(N140:N142)</f>
        <v>0</v>
      </c>
      <c r="O139" s="136">
        <f t="shared" si="12"/>
        <v>0</v>
      </c>
      <c r="P139" s="85"/>
      <c r="R139" s="53"/>
      <c r="S139" s="53"/>
      <c r="T139" s="53"/>
    </row>
    <row r="140" spans="1:20" x14ac:dyDescent="0.25">
      <c r="A140" s="76">
        <v>2321</v>
      </c>
      <c r="B140" s="127" t="s">
        <v>156</v>
      </c>
      <c r="C140" s="128">
        <f t="shared" si="8"/>
        <v>3380</v>
      </c>
      <c r="D140" s="134">
        <v>3380</v>
      </c>
      <c r="E140" s="283"/>
      <c r="F140" s="279">
        <f t="shared" si="9"/>
        <v>3380</v>
      </c>
      <c r="G140" s="134"/>
      <c r="H140" s="135"/>
      <c r="I140" s="136">
        <f t="shared" si="10"/>
        <v>0</v>
      </c>
      <c r="J140" s="134"/>
      <c r="K140" s="135"/>
      <c r="L140" s="136">
        <f t="shared" si="11"/>
        <v>0</v>
      </c>
      <c r="M140" s="284"/>
      <c r="N140" s="285"/>
      <c r="O140" s="136">
        <f t="shared" si="12"/>
        <v>0</v>
      </c>
      <c r="P140" s="85"/>
      <c r="R140" s="53"/>
      <c r="S140" s="53"/>
      <c r="T140" s="53"/>
    </row>
    <row r="141" spans="1:20" x14ac:dyDescent="0.25">
      <c r="A141" s="76">
        <v>2322</v>
      </c>
      <c r="B141" s="127" t="s">
        <v>157</v>
      </c>
      <c r="C141" s="128">
        <f t="shared" si="8"/>
        <v>892</v>
      </c>
      <c r="D141" s="134">
        <v>292</v>
      </c>
      <c r="E141" s="283"/>
      <c r="F141" s="279">
        <f t="shared" si="9"/>
        <v>292</v>
      </c>
      <c r="G141" s="134"/>
      <c r="H141" s="135"/>
      <c r="I141" s="136">
        <f t="shared" si="10"/>
        <v>0</v>
      </c>
      <c r="J141" s="134">
        <v>600</v>
      </c>
      <c r="K141" s="135"/>
      <c r="L141" s="136">
        <f t="shared" si="11"/>
        <v>600</v>
      </c>
      <c r="M141" s="284"/>
      <c r="N141" s="285"/>
      <c r="O141" s="136">
        <f t="shared" si="12"/>
        <v>0</v>
      </c>
      <c r="P141" s="85"/>
      <c r="R141" s="53"/>
      <c r="S141" s="53"/>
      <c r="T141" s="53"/>
    </row>
    <row r="142" spans="1:20" hidden="1" x14ac:dyDescent="0.25">
      <c r="A142" s="76">
        <v>2329</v>
      </c>
      <c r="B142" s="127" t="s">
        <v>158</v>
      </c>
      <c r="C142" s="128">
        <f t="shared" si="8"/>
        <v>0</v>
      </c>
      <c r="D142" s="134"/>
      <c r="E142" s="283"/>
      <c r="F142" s="279">
        <f t="shared" si="9"/>
        <v>0</v>
      </c>
      <c r="G142" s="134"/>
      <c r="H142" s="135"/>
      <c r="I142" s="136">
        <f t="shared" si="10"/>
        <v>0</v>
      </c>
      <c r="J142" s="134"/>
      <c r="K142" s="135"/>
      <c r="L142" s="136">
        <f t="shared" si="11"/>
        <v>0</v>
      </c>
      <c r="M142" s="284"/>
      <c r="N142" s="285"/>
      <c r="O142" s="136">
        <f t="shared" si="12"/>
        <v>0</v>
      </c>
      <c r="P142" s="85"/>
      <c r="R142" s="53"/>
      <c r="S142" s="53"/>
      <c r="T142" s="53"/>
    </row>
    <row r="143" spans="1:20" hidden="1" x14ac:dyDescent="0.25">
      <c r="A143" s="276">
        <v>2330</v>
      </c>
      <c r="B143" s="127" t="s">
        <v>159</v>
      </c>
      <c r="C143" s="128">
        <f t="shared" si="8"/>
        <v>0</v>
      </c>
      <c r="D143" s="134"/>
      <c r="E143" s="283"/>
      <c r="F143" s="279">
        <f t="shared" si="9"/>
        <v>0</v>
      </c>
      <c r="G143" s="134"/>
      <c r="H143" s="135"/>
      <c r="I143" s="136">
        <f t="shared" si="10"/>
        <v>0</v>
      </c>
      <c r="J143" s="134"/>
      <c r="K143" s="135"/>
      <c r="L143" s="136">
        <f t="shared" si="11"/>
        <v>0</v>
      </c>
      <c r="M143" s="284"/>
      <c r="N143" s="285"/>
      <c r="O143" s="136">
        <f t="shared" si="12"/>
        <v>0</v>
      </c>
      <c r="P143" s="85"/>
      <c r="R143" s="53"/>
      <c r="S143" s="53"/>
      <c r="T143" s="53"/>
    </row>
    <row r="144" spans="1:20" ht="48" x14ac:dyDescent="0.25">
      <c r="A144" s="276">
        <v>2340</v>
      </c>
      <c r="B144" s="127" t="s">
        <v>160</v>
      </c>
      <c r="C144" s="128">
        <f t="shared" si="8"/>
        <v>285</v>
      </c>
      <c r="D144" s="277">
        <f>SUM(D145:D146)</f>
        <v>285</v>
      </c>
      <c r="E144" s="278">
        <f>SUM(E145:E146)</f>
        <v>0</v>
      </c>
      <c r="F144" s="279">
        <f t="shared" si="9"/>
        <v>285</v>
      </c>
      <c r="G144" s="277">
        <f>SUM(G145:G146)</f>
        <v>0</v>
      </c>
      <c r="H144" s="280">
        <f>SUM(H145:H146)</f>
        <v>0</v>
      </c>
      <c r="I144" s="136">
        <f t="shared" si="10"/>
        <v>0</v>
      </c>
      <c r="J144" s="277">
        <f>SUM(J145:J146)</f>
        <v>0</v>
      </c>
      <c r="K144" s="280">
        <f>SUM(K145:K146)</f>
        <v>0</v>
      </c>
      <c r="L144" s="136">
        <f t="shared" si="11"/>
        <v>0</v>
      </c>
      <c r="M144" s="281">
        <f>SUM(M145:M146)</f>
        <v>0</v>
      </c>
      <c r="N144" s="282">
        <f>SUM(N145:N146)</f>
        <v>0</v>
      </c>
      <c r="O144" s="136">
        <f t="shared" si="12"/>
        <v>0</v>
      </c>
      <c r="P144" s="85"/>
      <c r="R144" s="53"/>
      <c r="S144" s="53"/>
      <c r="T144" s="53"/>
    </row>
    <row r="145" spans="1:20" x14ac:dyDescent="0.25">
      <c r="A145" s="76">
        <v>2341</v>
      </c>
      <c r="B145" s="127" t="s">
        <v>161</v>
      </c>
      <c r="C145" s="128">
        <f t="shared" si="8"/>
        <v>285</v>
      </c>
      <c r="D145" s="134">
        <v>285</v>
      </c>
      <c r="E145" s="283"/>
      <c r="F145" s="279">
        <f t="shared" si="9"/>
        <v>285</v>
      </c>
      <c r="G145" s="134"/>
      <c r="H145" s="135"/>
      <c r="I145" s="136">
        <f t="shared" si="10"/>
        <v>0</v>
      </c>
      <c r="J145" s="134"/>
      <c r="K145" s="135"/>
      <c r="L145" s="136">
        <f t="shared" si="11"/>
        <v>0</v>
      </c>
      <c r="M145" s="284"/>
      <c r="N145" s="285"/>
      <c r="O145" s="136">
        <f t="shared" si="12"/>
        <v>0</v>
      </c>
      <c r="P145" s="85"/>
      <c r="R145" s="53"/>
      <c r="S145" s="53"/>
      <c r="T145" s="53"/>
    </row>
    <row r="146" spans="1:20" ht="24" hidden="1" x14ac:dyDescent="0.25">
      <c r="A146" s="76">
        <v>2344</v>
      </c>
      <c r="B146" s="127" t="s">
        <v>162</v>
      </c>
      <c r="C146" s="128">
        <f t="shared" si="8"/>
        <v>0</v>
      </c>
      <c r="D146" s="134"/>
      <c r="E146" s="283"/>
      <c r="F146" s="279">
        <f t="shared" si="9"/>
        <v>0</v>
      </c>
      <c r="G146" s="134"/>
      <c r="H146" s="135"/>
      <c r="I146" s="136">
        <f t="shared" si="10"/>
        <v>0</v>
      </c>
      <c r="J146" s="134"/>
      <c r="K146" s="135"/>
      <c r="L146" s="136">
        <f t="shared" si="11"/>
        <v>0</v>
      </c>
      <c r="M146" s="284"/>
      <c r="N146" s="285"/>
      <c r="O146" s="136">
        <f t="shared" si="12"/>
        <v>0</v>
      </c>
      <c r="P146" s="85"/>
      <c r="R146" s="53"/>
      <c r="S146" s="53"/>
      <c r="T146" s="53"/>
    </row>
    <row r="147" spans="1:20" ht="24" x14ac:dyDescent="0.25">
      <c r="A147" s="254">
        <v>2350</v>
      </c>
      <c r="B147" s="179" t="s">
        <v>163</v>
      </c>
      <c r="C147" s="128">
        <f t="shared" si="8"/>
        <v>5212</v>
      </c>
      <c r="D147" s="255">
        <f>SUM(D148:D153)</f>
        <v>5212</v>
      </c>
      <c r="E147" s="256">
        <f>SUM(E148:E153)</f>
        <v>0</v>
      </c>
      <c r="F147" s="257">
        <f t="shared" si="9"/>
        <v>5212</v>
      </c>
      <c r="G147" s="255">
        <f>SUM(G148:G153)</f>
        <v>0</v>
      </c>
      <c r="H147" s="258">
        <f>SUM(H148:H153)</f>
        <v>0</v>
      </c>
      <c r="I147" s="259">
        <f t="shared" si="10"/>
        <v>0</v>
      </c>
      <c r="J147" s="255">
        <f>SUM(J148:J153)</f>
        <v>0</v>
      </c>
      <c r="K147" s="258">
        <f>SUM(K148:K153)</f>
        <v>0</v>
      </c>
      <c r="L147" s="259">
        <f t="shared" si="11"/>
        <v>0</v>
      </c>
      <c r="M147" s="260">
        <f>SUM(M148:M153)</f>
        <v>0</v>
      </c>
      <c r="N147" s="261">
        <f>SUM(N148:N153)</f>
        <v>0</v>
      </c>
      <c r="O147" s="259">
        <f t="shared" si="12"/>
        <v>0</v>
      </c>
      <c r="P147" s="189"/>
      <c r="R147" s="53"/>
      <c r="S147" s="53"/>
      <c r="T147" s="53"/>
    </row>
    <row r="148" spans="1:20" x14ac:dyDescent="0.25">
      <c r="A148" s="66">
        <v>2351</v>
      </c>
      <c r="B148" s="116" t="s">
        <v>164</v>
      </c>
      <c r="C148" s="128">
        <f t="shared" si="8"/>
        <v>1499</v>
      </c>
      <c r="D148" s="123">
        <v>1499</v>
      </c>
      <c r="E148" s="295"/>
      <c r="F148" s="296">
        <f t="shared" si="9"/>
        <v>1499</v>
      </c>
      <c r="G148" s="123"/>
      <c r="H148" s="124"/>
      <c r="I148" s="125">
        <f t="shared" si="10"/>
        <v>0</v>
      </c>
      <c r="J148" s="123"/>
      <c r="K148" s="124"/>
      <c r="L148" s="125">
        <f t="shared" si="11"/>
        <v>0</v>
      </c>
      <c r="M148" s="264"/>
      <c r="N148" s="262"/>
      <c r="O148" s="125">
        <f t="shared" si="12"/>
        <v>0</v>
      </c>
      <c r="P148" s="74"/>
      <c r="R148" s="53"/>
      <c r="S148" s="53"/>
      <c r="T148" s="53"/>
    </row>
    <row r="149" spans="1:20" x14ac:dyDescent="0.25">
      <c r="A149" s="76">
        <v>2352</v>
      </c>
      <c r="B149" s="127" t="s">
        <v>165</v>
      </c>
      <c r="C149" s="128">
        <f t="shared" si="8"/>
        <v>2993</v>
      </c>
      <c r="D149" s="134">
        <v>2993</v>
      </c>
      <c r="E149" s="283"/>
      <c r="F149" s="279">
        <f t="shared" si="9"/>
        <v>2993</v>
      </c>
      <c r="G149" s="134"/>
      <c r="H149" s="135"/>
      <c r="I149" s="136">
        <f t="shared" si="10"/>
        <v>0</v>
      </c>
      <c r="J149" s="134"/>
      <c r="K149" s="135"/>
      <c r="L149" s="136">
        <f t="shared" si="11"/>
        <v>0</v>
      </c>
      <c r="M149" s="284"/>
      <c r="N149" s="285"/>
      <c r="O149" s="136">
        <f t="shared" si="12"/>
        <v>0</v>
      </c>
      <c r="P149" s="85"/>
      <c r="R149" s="53"/>
      <c r="S149" s="53"/>
      <c r="T149" s="53"/>
    </row>
    <row r="150" spans="1:20" ht="24" hidden="1" x14ac:dyDescent="0.25">
      <c r="A150" s="76">
        <v>2353</v>
      </c>
      <c r="B150" s="127" t="s">
        <v>166</v>
      </c>
      <c r="C150" s="128">
        <f t="shared" si="8"/>
        <v>0</v>
      </c>
      <c r="D150" s="134"/>
      <c r="E150" s="283"/>
      <c r="F150" s="279">
        <f t="shared" si="9"/>
        <v>0</v>
      </c>
      <c r="G150" s="134"/>
      <c r="H150" s="135"/>
      <c r="I150" s="136">
        <f t="shared" si="10"/>
        <v>0</v>
      </c>
      <c r="J150" s="134"/>
      <c r="K150" s="135"/>
      <c r="L150" s="136">
        <f t="shared" si="11"/>
        <v>0</v>
      </c>
      <c r="M150" s="284"/>
      <c r="N150" s="285"/>
      <c r="O150" s="136">
        <f t="shared" si="12"/>
        <v>0</v>
      </c>
      <c r="P150" s="85"/>
      <c r="R150" s="53"/>
      <c r="S150" s="53"/>
      <c r="T150" s="53"/>
    </row>
    <row r="151" spans="1:20" ht="24" hidden="1" x14ac:dyDescent="0.25">
      <c r="A151" s="76">
        <v>2354</v>
      </c>
      <c r="B151" s="127" t="s">
        <v>167</v>
      </c>
      <c r="C151" s="128">
        <f t="shared" si="8"/>
        <v>0</v>
      </c>
      <c r="D151" s="134"/>
      <c r="E151" s="283"/>
      <c r="F151" s="279">
        <f t="shared" si="9"/>
        <v>0</v>
      </c>
      <c r="G151" s="134"/>
      <c r="H151" s="135"/>
      <c r="I151" s="136">
        <f t="shared" si="10"/>
        <v>0</v>
      </c>
      <c r="J151" s="134"/>
      <c r="K151" s="135"/>
      <c r="L151" s="136">
        <f t="shared" si="11"/>
        <v>0</v>
      </c>
      <c r="M151" s="284"/>
      <c r="N151" s="285"/>
      <c r="O151" s="136">
        <f t="shared" si="12"/>
        <v>0</v>
      </c>
      <c r="P151" s="85"/>
      <c r="R151" s="53"/>
      <c r="S151" s="53"/>
      <c r="T151" s="53"/>
    </row>
    <row r="152" spans="1:20" ht="24" x14ac:dyDescent="0.25">
      <c r="A152" s="76">
        <v>2355</v>
      </c>
      <c r="B152" s="127" t="s">
        <v>168</v>
      </c>
      <c r="C152" s="128">
        <f t="shared" si="8"/>
        <v>720</v>
      </c>
      <c r="D152" s="134">
        <v>720</v>
      </c>
      <c r="E152" s="283"/>
      <c r="F152" s="279">
        <f t="shared" si="9"/>
        <v>720</v>
      </c>
      <c r="G152" s="134"/>
      <c r="H152" s="135"/>
      <c r="I152" s="136">
        <f t="shared" si="10"/>
        <v>0</v>
      </c>
      <c r="J152" s="134"/>
      <c r="K152" s="135"/>
      <c r="L152" s="136">
        <f t="shared" si="11"/>
        <v>0</v>
      </c>
      <c r="M152" s="284"/>
      <c r="N152" s="285"/>
      <c r="O152" s="136">
        <f t="shared" si="12"/>
        <v>0</v>
      </c>
      <c r="P152" s="85"/>
      <c r="R152" s="53"/>
      <c r="S152" s="53"/>
      <c r="T152" s="53"/>
    </row>
    <row r="153" spans="1:20" ht="24" hidden="1" x14ac:dyDescent="0.25">
      <c r="A153" s="76">
        <v>2359</v>
      </c>
      <c r="B153" s="127" t="s">
        <v>169</v>
      </c>
      <c r="C153" s="128">
        <f t="shared" si="8"/>
        <v>0</v>
      </c>
      <c r="D153" s="134"/>
      <c r="E153" s="283"/>
      <c r="F153" s="279">
        <f t="shared" si="9"/>
        <v>0</v>
      </c>
      <c r="G153" s="134"/>
      <c r="H153" s="135"/>
      <c r="I153" s="136">
        <f t="shared" si="10"/>
        <v>0</v>
      </c>
      <c r="J153" s="134"/>
      <c r="K153" s="135"/>
      <c r="L153" s="136">
        <f t="shared" si="11"/>
        <v>0</v>
      </c>
      <c r="M153" s="284"/>
      <c r="N153" s="285"/>
      <c r="O153" s="136">
        <f t="shared" si="12"/>
        <v>0</v>
      </c>
      <c r="P153" s="85"/>
      <c r="R153" s="53"/>
      <c r="S153" s="53"/>
      <c r="T153" s="53"/>
    </row>
    <row r="154" spans="1:20" ht="24" x14ac:dyDescent="0.25">
      <c r="A154" s="276">
        <v>2360</v>
      </c>
      <c r="B154" s="127" t="s">
        <v>170</v>
      </c>
      <c r="C154" s="128">
        <f t="shared" si="8"/>
        <v>29490</v>
      </c>
      <c r="D154" s="277">
        <f>SUM(D155:D161)</f>
        <v>850</v>
      </c>
      <c r="E154" s="278">
        <f>SUM(E155:E161)</f>
        <v>0</v>
      </c>
      <c r="F154" s="279">
        <f t="shared" si="9"/>
        <v>850</v>
      </c>
      <c r="G154" s="277">
        <f>SUM(G155:G161)</f>
        <v>0</v>
      </c>
      <c r="H154" s="280">
        <f>SUM(H155:H161)</f>
        <v>0</v>
      </c>
      <c r="I154" s="136">
        <f t="shared" si="10"/>
        <v>0</v>
      </c>
      <c r="J154" s="277">
        <f>SUM(J155:J161)</f>
        <v>28640</v>
      </c>
      <c r="K154" s="280">
        <f>SUM(K155:K161)</f>
        <v>0</v>
      </c>
      <c r="L154" s="136">
        <f t="shared" si="11"/>
        <v>28640</v>
      </c>
      <c r="M154" s="281">
        <f>SUM(M155:M161)</f>
        <v>0</v>
      </c>
      <c r="N154" s="282">
        <f>SUM(N155:N161)</f>
        <v>0</v>
      </c>
      <c r="O154" s="136">
        <f t="shared" si="12"/>
        <v>0</v>
      </c>
      <c r="P154" s="85"/>
      <c r="R154" s="53"/>
      <c r="S154" s="53"/>
      <c r="T154" s="53"/>
    </row>
    <row r="155" spans="1:20" x14ac:dyDescent="0.25">
      <c r="A155" s="75">
        <v>2361</v>
      </c>
      <c r="B155" s="127" t="s">
        <v>171</v>
      </c>
      <c r="C155" s="128">
        <f t="shared" si="8"/>
        <v>250</v>
      </c>
      <c r="D155" s="134">
        <v>250</v>
      </c>
      <c r="E155" s="283"/>
      <c r="F155" s="279">
        <f t="shared" si="9"/>
        <v>250</v>
      </c>
      <c r="G155" s="134"/>
      <c r="H155" s="135"/>
      <c r="I155" s="136">
        <f t="shared" si="10"/>
        <v>0</v>
      </c>
      <c r="J155" s="134"/>
      <c r="K155" s="135"/>
      <c r="L155" s="136">
        <f t="shared" si="11"/>
        <v>0</v>
      </c>
      <c r="M155" s="284"/>
      <c r="N155" s="285"/>
      <c r="O155" s="136">
        <f t="shared" si="12"/>
        <v>0</v>
      </c>
      <c r="P155" s="85"/>
      <c r="R155" s="53"/>
      <c r="S155" s="53"/>
      <c r="T155" s="53"/>
    </row>
    <row r="156" spans="1:20" ht="24" x14ac:dyDescent="0.25">
      <c r="A156" s="75">
        <v>2362</v>
      </c>
      <c r="B156" s="127" t="s">
        <v>172</v>
      </c>
      <c r="C156" s="128">
        <f t="shared" si="8"/>
        <v>600</v>
      </c>
      <c r="D156" s="134">
        <v>600</v>
      </c>
      <c r="E156" s="283"/>
      <c r="F156" s="279">
        <f t="shared" si="9"/>
        <v>600</v>
      </c>
      <c r="G156" s="134"/>
      <c r="H156" s="135"/>
      <c r="I156" s="136">
        <f t="shared" si="10"/>
        <v>0</v>
      </c>
      <c r="J156" s="134"/>
      <c r="K156" s="135"/>
      <c r="L156" s="136">
        <f t="shared" si="11"/>
        <v>0</v>
      </c>
      <c r="M156" s="284"/>
      <c r="N156" s="285"/>
      <c r="O156" s="136">
        <f t="shared" si="12"/>
        <v>0</v>
      </c>
      <c r="P156" s="85"/>
      <c r="R156" s="53"/>
      <c r="S156" s="53"/>
      <c r="T156" s="53"/>
    </row>
    <row r="157" spans="1:20" x14ac:dyDescent="0.25">
      <c r="A157" s="75">
        <v>2363</v>
      </c>
      <c r="B157" s="127" t="s">
        <v>173</v>
      </c>
      <c r="C157" s="128">
        <f t="shared" si="8"/>
        <v>28640</v>
      </c>
      <c r="D157" s="134"/>
      <c r="E157" s="283"/>
      <c r="F157" s="279">
        <f t="shared" si="9"/>
        <v>0</v>
      </c>
      <c r="G157" s="134"/>
      <c r="H157" s="135"/>
      <c r="I157" s="136">
        <f t="shared" si="10"/>
        <v>0</v>
      </c>
      <c r="J157" s="134">
        <f>26213+2798-371</f>
        <v>28640</v>
      </c>
      <c r="K157" s="135"/>
      <c r="L157" s="136">
        <f t="shared" si="11"/>
        <v>28640</v>
      </c>
      <c r="M157" s="284"/>
      <c r="N157" s="285"/>
      <c r="O157" s="136">
        <f t="shared" si="12"/>
        <v>0</v>
      </c>
      <c r="P157" s="85"/>
      <c r="R157" s="53"/>
      <c r="S157" s="53"/>
      <c r="T157" s="53"/>
    </row>
    <row r="158" spans="1:20" hidden="1" x14ac:dyDescent="0.25">
      <c r="A158" s="75">
        <v>2364</v>
      </c>
      <c r="B158" s="127" t="s">
        <v>174</v>
      </c>
      <c r="C158" s="128">
        <f t="shared" si="8"/>
        <v>0</v>
      </c>
      <c r="D158" s="134"/>
      <c r="E158" s="283"/>
      <c r="F158" s="279">
        <f t="shared" si="9"/>
        <v>0</v>
      </c>
      <c r="G158" s="134"/>
      <c r="H158" s="135"/>
      <c r="I158" s="136">
        <f t="shared" si="10"/>
        <v>0</v>
      </c>
      <c r="J158" s="134"/>
      <c r="K158" s="135"/>
      <c r="L158" s="136">
        <f t="shared" si="11"/>
        <v>0</v>
      </c>
      <c r="M158" s="284"/>
      <c r="N158" s="285"/>
      <c r="O158" s="136">
        <f t="shared" si="12"/>
        <v>0</v>
      </c>
      <c r="P158" s="85"/>
      <c r="R158" s="53"/>
      <c r="S158" s="53"/>
      <c r="T158" s="53"/>
    </row>
    <row r="159" spans="1:20" hidden="1" x14ac:dyDescent="0.25">
      <c r="A159" s="75">
        <v>2365</v>
      </c>
      <c r="B159" s="127" t="s">
        <v>175</v>
      </c>
      <c r="C159" s="128">
        <f t="shared" si="8"/>
        <v>0</v>
      </c>
      <c r="D159" s="134"/>
      <c r="E159" s="283"/>
      <c r="F159" s="279">
        <f t="shared" si="9"/>
        <v>0</v>
      </c>
      <c r="G159" s="134"/>
      <c r="H159" s="135"/>
      <c r="I159" s="136">
        <f t="shared" si="10"/>
        <v>0</v>
      </c>
      <c r="J159" s="134"/>
      <c r="K159" s="135"/>
      <c r="L159" s="136">
        <f t="shared" si="11"/>
        <v>0</v>
      </c>
      <c r="M159" s="284"/>
      <c r="N159" s="285"/>
      <c r="O159" s="136">
        <f t="shared" si="12"/>
        <v>0</v>
      </c>
      <c r="P159" s="85"/>
      <c r="R159" s="53"/>
      <c r="S159" s="53"/>
      <c r="T159" s="53"/>
    </row>
    <row r="160" spans="1:20" ht="36" hidden="1" x14ac:dyDescent="0.25">
      <c r="A160" s="75">
        <v>2366</v>
      </c>
      <c r="B160" s="127" t="s">
        <v>176</v>
      </c>
      <c r="C160" s="128">
        <f t="shared" si="8"/>
        <v>0</v>
      </c>
      <c r="D160" s="134"/>
      <c r="E160" s="283"/>
      <c r="F160" s="279">
        <f t="shared" si="9"/>
        <v>0</v>
      </c>
      <c r="G160" s="134"/>
      <c r="H160" s="135"/>
      <c r="I160" s="136">
        <f t="shared" si="10"/>
        <v>0</v>
      </c>
      <c r="J160" s="134"/>
      <c r="K160" s="135"/>
      <c r="L160" s="136">
        <f t="shared" si="11"/>
        <v>0</v>
      </c>
      <c r="M160" s="284"/>
      <c r="N160" s="285"/>
      <c r="O160" s="136">
        <f t="shared" si="12"/>
        <v>0</v>
      </c>
      <c r="P160" s="85"/>
      <c r="R160" s="53"/>
      <c r="S160" s="53"/>
      <c r="T160" s="53"/>
    </row>
    <row r="161" spans="1:20" ht="48" hidden="1" x14ac:dyDescent="0.25">
      <c r="A161" s="75">
        <v>2369</v>
      </c>
      <c r="B161" s="127" t="s">
        <v>177</v>
      </c>
      <c r="C161" s="128">
        <f t="shared" si="8"/>
        <v>0</v>
      </c>
      <c r="D161" s="134"/>
      <c r="E161" s="283"/>
      <c r="F161" s="279">
        <f t="shared" si="9"/>
        <v>0</v>
      </c>
      <c r="G161" s="134"/>
      <c r="H161" s="135"/>
      <c r="I161" s="136">
        <f t="shared" si="10"/>
        <v>0</v>
      </c>
      <c r="J161" s="134"/>
      <c r="K161" s="135"/>
      <c r="L161" s="136">
        <f t="shared" si="11"/>
        <v>0</v>
      </c>
      <c r="M161" s="284"/>
      <c r="N161" s="285"/>
      <c r="O161" s="136">
        <f t="shared" si="12"/>
        <v>0</v>
      </c>
      <c r="P161" s="85"/>
      <c r="R161" s="53"/>
      <c r="S161" s="53"/>
      <c r="T161" s="53"/>
    </row>
    <row r="162" spans="1:20" x14ac:dyDescent="0.25">
      <c r="A162" s="254">
        <v>2370</v>
      </c>
      <c r="B162" s="179" t="s">
        <v>178</v>
      </c>
      <c r="C162" s="128">
        <f t="shared" si="8"/>
        <v>5788</v>
      </c>
      <c r="D162" s="287">
        <f>5081+67</f>
        <v>5148</v>
      </c>
      <c r="E162" s="288"/>
      <c r="F162" s="257">
        <f t="shared" si="9"/>
        <v>5148</v>
      </c>
      <c r="G162" s="287">
        <v>640</v>
      </c>
      <c r="H162" s="289"/>
      <c r="I162" s="259">
        <f t="shared" si="10"/>
        <v>640</v>
      </c>
      <c r="J162" s="287"/>
      <c r="K162" s="289"/>
      <c r="L162" s="259">
        <f t="shared" si="11"/>
        <v>0</v>
      </c>
      <c r="M162" s="290"/>
      <c r="N162" s="291"/>
      <c r="O162" s="259">
        <f t="shared" si="12"/>
        <v>0</v>
      </c>
      <c r="P162" s="189"/>
      <c r="R162" s="53"/>
      <c r="S162" s="53"/>
      <c r="T162" s="53"/>
    </row>
    <row r="163" spans="1:20" hidden="1" x14ac:dyDescent="0.25">
      <c r="A163" s="254">
        <v>2380</v>
      </c>
      <c r="B163" s="179" t="s">
        <v>179</v>
      </c>
      <c r="C163" s="128">
        <f t="shared" si="8"/>
        <v>0</v>
      </c>
      <c r="D163" s="255">
        <f>SUM(D164:D165)</f>
        <v>0</v>
      </c>
      <c r="E163" s="256">
        <f>SUM(E164:E165)</f>
        <v>0</v>
      </c>
      <c r="F163" s="257">
        <f t="shared" si="9"/>
        <v>0</v>
      </c>
      <c r="G163" s="255">
        <f>SUM(G164:G165)</f>
        <v>0</v>
      </c>
      <c r="H163" s="258">
        <f>SUM(H164:H165)</f>
        <v>0</v>
      </c>
      <c r="I163" s="259">
        <f t="shared" si="10"/>
        <v>0</v>
      </c>
      <c r="J163" s="255">
        <f>SUM(J164:J165)</f>
        <v>0</v>
      </c>
      <c r="K163" s="258">
        <f>SUM(K164:K165)</f>
        <v>0</v>
      </c>
      <c r="L163" s="259">
        <f t="shared" si="11"/>
        <v>0</v>
      </c>
      <c r="M163" s="260">
        <f>SUM(M164:M165)</f>
        <v>0</v>
      </c>
      <c r="N163" s="261">
        <f>SUM(N164:N165)</f>
        <v>0</v>
      </c>
      <c r="O163" s="259">
        <f t="shared" si="12"/>
        <v>0</v>
      </c>
      <c r="P163" s="189"/>
      <c r="R163" s="53"/>
      <c r="S163" s="53"/>
      <c r="T163" s="53"/>
    </row>
    <row r="164" spans="1:20" hidden="1" x14ac:dyDescent="0.25">
      <c r="A164" s="65">
        <v>2381</v>
      </c>
      <c r="B164" s="116" t="s">
        <v>180</v>
      </c>
      <c r="C164" s="128">
        <f t="shared" si="8"/>
        <v>0</v>
      </c>
      <c r="D164" s="123"/>
      <c r="E164" s="295"/>
      <c r="F164" s="296">
        <f t="shared" si="9"/>
        <v>0</v>
      </c>
      <c r="G164" s="123"/>
      <c r="H164" s="124"/>
      <c r="I164" s="125">
        <f t="shared" si="10"/>
        <v>0</v>
      </c>
      <c r="J164" s="123"/>
      <c r="K164" s="124"/>
      <c r="L164" s="125">
        <f t="shared" si="11"/>
        <v>0</v>
      </c>
      <c r="M164" s="264"/>
      <c r="N164" s="262"/>
      <c r="O164" s="125">
        <f t="shared" si="12"/>
        <v>0</v>
      </c>
      <c r="P164" s="74"/>
      <c r="R164" s="53"/>
      <c r="S164" s="53"/>
      <c r="T164" s="53"/>
    </row>
    <row r="165" spans="1:20" ht="24" hidden="1" x14ac:dyDescent="0.25">
      <c r="A165" s="75">
        <v>2389</v>
      </c>
      <c r="B165" s="127" t="s">
        <v>181</v>
      </c>
      <c r="C165" s="128">
        <f t="shared" si="8"/>
        <v>0</v>
      </c>
      <c r="D165" s="134"/>
      <c r="E165" s="283"/>
      <c r="F165" s="279">
        <f t="shared" si="9"/>
        <v>0</v>
      </c>
      <c r="G165" s="134"/>
      <c r="H165" s="135"/>
      <c r="I165" s="136">
        <f t="shared" si="10"/>
        <v>0</v>
      </c>
      <c r="J165" s="134"/>
      <c r="K165" s="135"/>
      <c r="L165" s="136">
        <f t="shared" si="11"/>
        <v>0</v>
      </c>
      <c r="M165" s="284"/>
      <c r="N165" s="285"/>
      <c r="O165" s="136">
        <f t="shared" si="12"/>
        <v>0</v>
      </c>
      <c r="P165" s="85"/>
      <c r="R165" s="53"/>
      <c r="S165" s="53"/>
      <c r="T165" s="53"/>
    </row>
    <row r="166" spans="1:20" hidden="1" x14ac:dyDescent="0.25">
      <c r="A166" s="254">
        <v>2390</v>
      </c>
      <c r="B166" s="179" t="s">
        <v>182</v>
      </c>
      <c r="C166" s="128">
        <f t="shared" si="8"/>
        <v>0</v>
      </c>
      <c r="D166" s="287"/>
      <c r="E166" s="288"/>
      <c r="F166" s="257">
        <f t="shared" si="9"/>
        <v>0</v>
      </c>
      <c r="G166" s="287"/>
      <c r="H166" s="289"/>
      <c r="I166" s="259">
        <f t="shared" si="10"/>
        <v>0</v>
      </c>
      <c r="J166" s="287"/>
      <c r="K166" s="289"/>
      <c r="L166" s="259">
        <f t="shared" si="11"/>
        <v>0</v>
      </c>
      <c r="M166" s="290"/>
      <c r="N166" s="291"/>
      <c r="O166" s="259">
        <f t="shared" si="12"/>
        <v>0</v>
      </c>
      <c r="P166" s="189"/>
      <c r="R166" s="53"/>
      <c r="S166" s="53"/>
      <c r="T166" s="53"/>
    </row>
    <row r="167" spans="1:20" x14ac:dyDescent="0.25">
      <c r="A167" s="99">
        <v>2400</v>
      </c>
      <c r="B167" s="247" t="s">
        <v>183</v>
      </c>
      <c r="C167" s="100">
        <f t="shared" si="8"/>
        <v>170</v>
      </c>
      <c r="D167" s="311">
        <v>170</v>
      </c>
      <c r="E167" s="712"/>
      <c r="F167" s="249">
        <f t="shared" si="9"/>
        <v>170</v>
      </c>
      <c r="G167" s="311"/>
      <c r="H167" s="314"/>
      <c r="I167" s="114">
        <f t="shared" si="10"/>
        <v>0</v>
      </c>
      <c r="J167" s="311"/>
      <c r="K167" s="314"/>
      <c r="L167" s="114">
        <f t="shared" si="11"/>
        <v>0</v>
      </c>
      <c r="M167" s="315"/>
      <c r="N167" s="312"/>
      <c r="O167" s="114">
        <f t="shared" si="12"/>
        <v>0</v>
      </c>
      <c r="P167" s="109"/>
      <c r="R167" s="53"/>
      <c r="S167" s="53"/>
      <c r="T167" s="53"/>
    </row>
    <row r="168" spans="1:20" ht="24" hidden="1" x14ac:dyDescent="0.25">
      <c r="A168" s="99">
        <v>2500</v>
      </c>
      <c r="B168" s="247" t="s">
        <v>184</v>
      </c>
      <c r="C168" s="100">
        <f t="shared" si="8"/>
        <v>0</v>
      </c>
      <c r="D168" s="112">
        <f>SUM(D169,D174)</f>
        <v>0</v>
      </c>
      <c r="E168" s="248">
        <f>SUM(E169,E174)</f>
        <v>0</v>
      </c>
      <c r="F168" s="249">
        <f t="shared" si="9"/>
        <v>0</v>
      </c>
      <c r="G168" s="112">
        <f>SUM(G169,G174)</f>
        <v>0</v>
      </c>
      <c r="H168" s="113">
        <f>SUM(H169,H174)</f>
        <v>0</v>
      </c>
      <c r="I168" s="114">
        <f t="shared" si="10"/>
        <v>0</v>
      </c>
      <c r="J168" s="112">
        <f>SUM(J169,J174)</f>
        <v>0</v>
      </c>
      <c r="K168" s="113">
        <f>SUM(K169,K174)</f>
        <v>0</v>
      </c>
      <c r="L168" s="114">
        <f t="shared" si="11"/>
        <v>0</v>
      </c>
      <c r="M168" s="250">
        <f>SUM(M169,M174)</f>
        <v>0</v>
      </c>
      <c r="N168" s="251">
        <f>SUM(N169,N174)</f>
        <v>0</v>
      </c>
      <c r="O168" s="252">
        <f t="shared" si="12"/>
        <v>0</v>
      </c>
      <c r="P168" s="253"/>
      <c r="R168" s="53"/>
      <c r="S168" s="53"/>
      <c r="T168" s="53"/>
    </row>
    <row r="169" spans="1:20" hidden="1" x14ac:dyDescent="0.25">
      <c r="A169" s="656">
        <v>2510</v>
      </c>
      <c r="B169" s="116" t="s">
        <v>185</v>
      </c>
      <c r="C169" s="117">
        <f t="shared" si="8"/>
        <v>0</v>
      </c>
      <c r="D169" s="297">
        <f>SUM(D170:D173)</f>
        <v>0</v>
      </c>
      <c r="E169" s="298">
        <f>SUM(E170:E173)</f>
        <v>0</v>
      </c>
      <c r="F169" s="296">
        <f t="shared" si="9"/>
        <v>0</v>
      </c>
      <c r="G169" s="297">
        <f>SUM(G170:G173)</f>
        <v>0</v>
      </c>
      <c r="H169" s="299">
        <f>SUM(H170:H173)</f>
        <v>0</v>
      </c>
      <c r="I169" s="125">
        <f t="shared" si="10"/>
        <v>0</v>
      </c>
      <c r="J169" s="297">
        <f>SUM(J170:J173)</f>
        <v>0</v>
      </c>
      <c r="K169" s="299">
        <f>SUM(K170:K173)</f>
        <v>0</v>
      </c>
      <c r="L169" s="125">
        <f t="shared" si="11"/>
        <v>0</v>
      </c>
      <c r="M169" s="317">
        <f>SUM(M170:M173)</f>
        <v>0</v>
      </c>
      <c r="N169" s="318">
        <f>SUM(N170:N173)</f>
        <v>0</v>
      </c>
      <c r="O169" s="151">
        <f t="shared" si="12"/>
        <v>0</v>
      </c>
      <c r="P169" s="153"/>
      <c r="R169" s="53"/>
      <c r="S169" s="53"/>
      <c r="T169" s="53"/>
    </row>
    <row r="170" spans="1:20" ht="24" hidden="1" x14ac:dyDescent="0.25">
      <c r="A170" s="76">
        <v>2512</v>
      </c>
      <c r="B170" s="127" t="s">
        <v>186</v>
      </c>
      <c r="C170" s="128">
        <f t="shared" si="8"/>
        <v>0</v>
      </c>
      <c r="D170" s="134"/>
      <c r="E170" s="283"/>
      <c r="F170" s="279">
        <f t="shared" si="9"/>
        <v>0</v>
      </c>
      <c r="G170" s="134"/>
      <c r="H170" s="135"/>
      <c r="I170" s="136">
        <f t="shared" si="10"/>
        <v>0</v>
      </c>
      <c r="J170" s="134"/>
      <c r="K170" s="135"/>
      <c r="L170" s="136">
        <f t="shared" si="11"/>
        <v>0</v>
      </c>
      <c r="M170" s="284"/>
      <c r="N170" s="285"/>
      <c r="O170" s="136">
        <f t="shared" si="12"/>
        <v>0</v>
      </c>
      <c r="P170" s="85"/>
      <c r="R170" s="53"/>
      <c r="S170" s="53"/>
      <c r="T170" s="53"/>
    </row>
    <row r="171" spans="1:20" ht="36" hidden="1" x14ac:dyDescent="0.25">
      <c r="A171" s="76">
        <v>2513</v>
      </c>
      <c r="B171" s="127" t="s">
        <v>187</v>
      </c>
      <c r="C171" s="128">
        <f t="shared" si="8"/>
        <v>0</v>
      </c>
      <c r="D171" s="134"/>
      <c r="E171" s="283"/>
      <c r="F171" s="279">
        <f t="shared" si="9"/>
        <v>0</v>
      </c>
      <c r="G171" s="134"/>
      <c r="H171" s="135"/>
      <c r="I171" s="136">
        <f t="shared" si="10"/>
        <v>0</v>
      </c>
      <c r="J171" s="134"/>
      <c r="K171" s="135"/>
      <c r="L171" s="136">
        <f t="shared" si="11"/>
        <v>0</v>
      </c>
      <c r="M171" s="284"/>
      <c r="N171" s="285"/>
      <c r="O171" s="136">
        <f t="shared" si="12"/>
        <v>0</v>
      </c>
      <c r="P171" s="85"/>
      <c r="R171" s="53"/>
      <c r="S171" s="53"/>
      <c r="T171" s="53"/>
    </row>
    <row r="172" spans="1:20" ht="24" hidden="1" x14ac:dyDescent="0.25">
      <c r="A172" s="76">
        <v>2515</v>
      </c>
      <c r="B172" s="127" t="s">
        <v>188</v>
      </c>
      <c r="C172" s="128">
        <f t="shared" si="8"/>
        <v>0</v>
      </c>
      <c r="D172" s="134"/>
      <c r="E172" s="283"/>
      <c r="F172" s="279">
        <f t="shared" si="9"/>
        <v>0</v>
      </c>
      <c r="G172" s="134"/>
      <c r="H172" s="135"/>
      <c r="I172" s="136">
        <f t="shared" si="10"/>
        <v>0</v>
      </c>
      <c r="J172" s="134"/>
      <c r="K172" s="135"/>
      <c r="L172" s="136">
        <f t="shared" si="11"/>
        <v>0</v>
      </c>
      <c r="M172" s="284"/>
      <c r="N172" s="285"/>
      <c r="O172" s="136">
        <f t="shared" si="12"/>
        <v>0</v>
      </c>
      <c r="P172" s="85"/>
      <c r="R172" s="53"/>
      <c r="S172" s="53"/>
      <c r="T172" s="53"/>
    </row>
    <row r="173" spans="1:20" ht="24" hidden="1" x14ac:dyDescent="0.25">
      <c r="A173" s="76">
        <v>2519</v>
      </c>
      <c r="B173" s="127" t="s">
        <v>189</v>
      </c>
      <c r="C173" s="128">
        <f t="shared" si="8"/>
        <v>0</v>
      </c>
      <c r="D173" s="134"/>
      <c r="E173" s="283"/>
      <c r="F173" s="279">
        <f t="shared" si="9"/>
        <v>0</v>
      </c>
      <c r="G173" s="134"/>
      <c r="H173" s="135"/>
      <c r="I173" s="136">
        <f t="shared" si="10"/>
        <v>0</v>
      </c>
      <c r="J173" s="134"/>
      <c r="K173" s="135"/>
      <c r="L173" s="136">
        <f t="shared" si="11"/>
        <v>0</v>
      </c>
      <c r="M173" s="284"/>
      <c r="N173" s="285"/>
      <c r="O173" s="136">
        <f t="shared" si="12"/>
        <v>0</v>
      </c>
      <c r="P173" s="85"/>
      <c r="R173" s="53"/>
      <c r="S173" s="53"/>
      <c r="T173" s="53"/>
    </row>
    <row r="174" spans="1:20" ht="24" hidden="1" x14ac:dyDescent="0.25">
      <c r="A174" s="276">
        <v>2520</v>
      </c>
      <c r="B174" s="127" t="s">
        <v>190</v>
      </c>
      <c r="C174" s="128">
        <f t="shared" si="8"/>
        <v>0</v>
      </c>
      <c r="D174" s="134"/>
      <c r="E174" s="283"/>
      <c r="F174" s="279">
        <f t="shared" si="9"/>
        <v>0</v>
      </c>
      <c r="G174" s="134"/>
      <c r="H174" s="135"/>
      <c r="I174" s="136">
        <f t="shared" si="10"/>
        <v>0</v>
      </c>
      <c r="J174" s="134"/>
      <c r="K174" s="135"/>
      <c r="L174" s="136">
        <f t="shared" si="11"/>
        <v>0</v>
      </c>
      <c r="M174" s="284"/>
      <c r="N174" s="285"/>
      <c r="O174" s="136">
        <f t="shared" si="12"/>
        <v>0</v>
      </c>
      <c r="P174" s="85"/>
      <c r="R174" s="53"/>
      <c r="S174" s="53"/>
      <c r="T174" s="53"/>
    </row>
    <row r="175" spans="1:20" s="319" customFormat="1" ht="48" hidden="1" x14ac:dyDescent="0.25">
      <c r="A175" s="31">
        <v>2800</v>
      </c>
      <c r="B175" s="116" t="s">
        <v>191</v>
      </c>
      <c r="C175" s="117">
        <f t="shared" si="8"/>
        <v>0</v>
      </c>
      <c r="D175" s="68"/>
      <c r="E175" s="673"/>
      <c r="F175" s="625">
        <f t="shared" si="9"/>
        <v>0</v>
      </c>
      <c r="G175" s="68"/>
      <c r="H175" s="71"/>
      <c r="I175" s="72">
        <f t="shared" si="10"/>
        <v>0</v>
      </c>
      <c r="J175" s="68"/>
      <c r="K175" s="71"/>
      <c r="L175" s="72">
        <f t="shared" si="11"/>
        <v>0</v>
      </c>
      <c r="M175" s="73"/>
      <c r="N175" s="69"/>
      <c r="O175" s="72">
        <f t="shared" si="12"/>
        <v>0</v>
      </c>
      <c r="P175" s="74"/>
      <c r="R175" s="53"/>
      <c r="S175" s="53"/>
      <c r="T175" s="53"/>
    </row>
    <row r="176" spans="1:20" hidden="1" x14ac:dyDescent="0.25">
      <c r="A176" s="237">
        <v>3000</v>
      </c>
      <c r="B176" s="237" t="s">
        <v>192</v>
      </c>
      <c r="C176" s="238">
        <f t="shared" si="8"/>
        <v>0</v>
      </c>
      <c r="D176" s="239">
        <f>SUM(D177,D187)</f>
        <v>0</v>
      </c>
      <c r="E176" s="240">
        <f>SUM(E177,E187)</f>
        <v>0</v>
      </c>
      <c r="F176" s="241">
        <f t="shared" si="9"/>
        <v>0</v>
      </c>
      <c r="G176" s="239">
        <f>SUM(G177,G187)</f>
        <v>0</v>
      </c>
      <c r="H176" s="242">
        <f>SUM(H177,H187)</f>
        <v>0</v>
      </c>
      <c r="I176" s="243">
        <f t="shared" si="10"/>
        <v>0</v>
      </c>
      <c r="J176" s="239">
        <f>SUM(J177,J187)</f>
        <v>0</v>
      </c>
      <c r="K176" s="242">
        <f>SUM(K177,K187)</f>
        <v>0</v>
      </c>
      <c r="L176" s="243">
        <f t="shared" si="11"/>
        <v>0</v>
      </c>
      <c r="M176" s="244">
        <f>SUM(M177,M187)</f>
        <v>0</v>
      </c>
      <c r="N176" s="245">
        <f>SUM(N177,N187)</f>
        <v>0</v>
      </c>
      <c r="O176" s="243">
        <f t="shared" si="12"/>
        <v>0</v>
      </c>
      <c r="P176" s="246"/>
      <c r="R176" s="53"/>
      <c r="S176" s="53"/>
      <c r="T176" s="53"/>
    </row>
    <row r="177" spans="1:20" ht="24" hidden="1" x14ac:dyDescent="0.25">
      <c r="A177" s="99">
        <v>3200</v>
      </c>
      <c r="B177" s="321" t="s">
        <v>193</v>
      </c>
      <c r="C177" s="100">
        <f t="shared" si="8"/>
        <v>0</v>
      </c>
      <c r="D177" s="112">
        <f>SUM(D178,D182)</f>
        <v>0</v>
      </c>
      <c r="E177" s="248">
        <f>SUM(E178,E182)</f>
        <v>0</v>
      </c>
      <c r="F177" s="249">
        <f t="shared" si="9"/>
        <v>0</v>
      </c>
      <c r="G177" s="112">
        <f>SUM(G178,G182)</f>
        <v>0</v>
      </c>
      <c r="H177" s="113">
        <f>SUM(H178,H182)</f>
        <v>0</v>
      </c>
      <c r="I177" s="114">
        <f t="shared" si="10"/>
        <v>0</v>
      </c>
      <c r="J177" s="112">
        <f>SUM(J178,J182)</f>
        <v>0</v>
      </c>
      <c r="K177" s="113">
        <f>SUM(K178,K182)</f>
        <v>0</v>
      </c>
      <c r="L177" s="114">
        <f t="shared" si="11"/>
        <v>0</v>
      </c>
      <c r="M177" s="250">
        <f>SUM(M178,M182)</f>
        <v>0</v>
      </c>
      <c r="N177" s="251">
        <f>SUM(N178,N182)</f>
        <v>0</v>
      </c>
      <c r="O177" s="252">
        <f t="shared" si="12"/>
        <v>0</v>
      </c>
      <c r="P177" s="253"/>
      <c r="R177" s="53"/>
      <c r="S177" s="53"/>
      <c r="T177" s="53"/>
    </row>
    <row r="178" spans="1:20" ht="36" hidden="1" x14ac:dyDescent="0.25">
      <c r="A178" s="656">
        <v>3260</v>
      </c>
      <c r="B178" s="116" t="s">
        <v>194</v>
      </c>
      <c r="C178" s="117">
        <f t="shared" si="8"/>
        <v>0</v>
      </c>
      <c r="D178" s="297">
        <f>SUM(D179:D181)</f>
        <v>0</v>
      </c>
      <c r="E178" s="298">
        <f>SUM(E179:E181)</f>
        <v>0</v>
      </c>
      <c r="F178" s="296">
        <f t="shared" si="9"/>
        <v>0</v>
      </c>
      <c r="G178" s="297">
        <f>SUM(G179:G181)</f>
        <v>0</v>
      </c>
      <c r="H178" s="299">
        <f>SUM(H179:H181)</f>
        <v>0</v>
      </c>
      <c r="I178" s="125">
        <f t="shared" si="10"/>
        <v>0</v>
      </c>
      <c r="J178" s="297">
        <f>SUM(J179:J181)</f>
        <v>0</v>
      </c>
      <c r="K178" s="299">
        <f>SUM(K179:K181)</f>
        <v>0</v>
      </c>
      <c r="L178" s="125">
        <f t="shared" si="11"/>
        <v>0</v>
      </c>
      <c r="M178" s="300">
        <f>SUM(M179:M181)</f>
        <v>0</v>
      </c>
      <c r="N178" s="301">
        <f>SUM(N179:N181)</f>
        <v>0</v>
      </c>
      <c r="O178" s="125">
        <f t="shared" si="12"/>
        <v>0</v>
      </c>
      <c r="P178" s="74"/>
      <c r="R178" s="53"/>
      <c r="S178" s="53"/>
      <c r="T178" s="53"/>
    </row>
    <row r="179" spans="1:20" ht="24" hidden="1" x14ac:dyDescent="0.25">
      <c r="A179" s="76">
        <v>3261</v>
      </c>
      <c r="B179" s="127" t="s">
        <v>195</v>
      </c>
      <c r="C179" s="128">
        <f t="shared" si="8"/>
        <v>0</v>
      </c>
      <c r="D179" s="134"/>
      <c r="E179" s="283"/>
      <c r="F179" s="279">
        <f t="shared" si="9"/>
        <v>0</v>
      </c>
      <c r="G179" s="134"/>
      <c r="H179" s="135"/>
      <c r="I179" s="136">
        <f t="shared" si="10"/>
        <v>0</v>
      </c>
      <c r="J179" s="134"/>
      <c r="K179" s="135"/>
      <c r="L179" s="136">
        <f t="shared" si="11"/>
        <v>0</v>
      </c>
      <c r="M179" s="284"/>
      <c r="N179" s="285"/>
      <c r="O179" s="136">
        <f t="shared" si="12"/>
        <v>0</v>
      </c>
      <c r="P179" s="85"/>
      <c r="R179" s="53"/>
      <c r="S179" s="53"/>
      <c r="T179" s="53"/>
    </row>
    <row r="180" spans="1:20" ht="36" hidden="1" x14ac:dyDescent="0.25">
      <c r="A180" s="76">
        <v>3262</v>
      </c>
      <c r="B180" s="127" t="s">
        <v>196</v>
      </c>
      <c r="C180" s="128">
        <f t="shared" si="8"/>
        <v>0</v>
      </c>
      <c r="D180" s="134"/>
      <c r="E180" s="283"/>
      <c r="F180" s="279">
        <f t="shared" si="9"/>
        <v>0</v>
      </c>
      <c r="G180" s="134"/>
      <c r="H180" s="135"/>
      <c r="I180" s="136">
        <f t="shared" si="10"/>
        <v>0</v>
      </c>
      <c r="J180" s="134"/>
      <c r="K180" s="135"/>
      <c r="L180" s="136">
        <f t="shared" si="11"/>
        <v>0</v>
      </c>
      <c r="M180" s="284"/>
      <c r="N180" s="285"/>
      <c r="O180" s="136">
        <f t="shared" si="12"/>
        <v>0</v>
      </c>
      <c r="P180" s="85"/>
      <c r="R180" s="53"/>
      <c r="S180" s="53"/>
      <c r="T180" s="53"/>
    </row>
    <row r="181" spans="1:20" ht="24" hidden="1" x14ac:dyDescent="0.25">
      <c r="A181" s="76">
        <v>3263</v>
      </c>
      <c r="B181" s="127" t="s">
        <v>197</v>
      </c>
      <c r="C181" s="128">
        <f t="shared" ref="C181:C244" si="13">SUM(F181,I181,L181,O181)</f>
        <v>0</v>
      </c>
      <c r="D181" s="134"/>
      <c r="E181" s="283"/>
      <c r="F181" s="279">
        <f t="shared" ref="F181:F244" si="14">D181+E181</f>
        <v>0</v>
      </c>
      <c r="G181" s="134"/>
      <c r="H181" s="135"/>
      <c r="I181" s="136">
        <f t="shared" ref="I181:I244" si="15">G181+H181</f>
        <v>0</v>
      </c>
      <c r="J181" s="134"/>
      <c r="K181" s="135"/>
      <c r="L181" s="136">
        <f t="shared" ref="L181:L244" si="16">J181+K181</f>
        <v>0</v>
      </c>
      <c r="M181" s="284"/>
      <c r="N181" s="285"/>
      <c r="O181" s="136">
        <f t="shared" ref="O181:O244" si="17">M181+N181</f>
        <v>0</v>
      </c>
      <c r="P181" s="85"/>
      <c r="R181" s="53"/>
      <c r="S181" s="53"/>
      <c r="T181" s="53"/>
    </row>
    <row r="182" spans="1:20" ht="84" hidden="1" x14ac:dyDescent="0.25">
      <c r="A182" s="656">
        <v>3290</v>
      </c>
      <c r="B182" s="116" t="s">
        <v>198</v>
      </c>
      <c r="C182" s="128">
        <f t="shared" si="13"/>
        <v>0</v>
      </c>
      <c r="D182" s="297">
        <f>SUM(D183:D186)</f>
        <v>0</v>
      </c>
      <c r="E182" s="298">
        <f>SUM(E183:E186)</f>
        <v>0</v>
      </c>
      <c r="F182" s="296">
        <f t="shared" si="14"/>
        <v>0</v>
      </c>
      <c r="G182" s="297">
        <f>SUM(G183:G186)</f>
        <v>0</v>
      </c>
      <c r="H182" s="299">
        <f>SUM(H183:H186)</f>
        <v>0</v>
      </c>
      <c r="I182" s="125">
        <f t="shared" si="15"/>
        <v>0</v>
      </c>
      <c r="J182" s="297">
        <f>SUM(J183:J186)</f>
        <v>0</v>
      </c>
      <c r="K182" s="299">
        <f>SUM(K183:K186)</f>
        <v>0</v>
      </c>
      <c r="L182" s="125">
        <f t="shared" si="16"/>
        <v>0</v>
      </c>
      <c r="M182" s="322">
        <f>SUM(M183:M186)</f>
        <v>0</v>
      </c>
      <c r="N182" s="323">
        <f>SUM(N183:N186)</f>
        <v>0</v>
      </c>
      <c r="O182" s="324">
        <f t="shared" si="17"/>
        <v>0</v>
      </c>
      <c r="P182" s="325"/>
      <c r="R182" s="53"/>
      <c r="S182" s="53"/>
      <c r="T182" s="53"/>
    </row>
    <row r="183" spans="1:20" ht="72" hidden="1" x14ac:dyDescent="0.25">
      <c r="A183" s="76">
        <v>3291</v>
      </c>
      <c r="B183" s="127" t="s">
        <v>199</v>
      </c>
      <c r="C183" s="128">
        <f t="shared" si="13"/>
        <v>0</v>
      </c>
      <c r="D183" s="134"/>
      <c r="E183" s="283"/>
      <c r="F183" s="279">
        <f t="shared" si="14"/>
        <v>0</v>
      </c>
      <c r="G183" s="134"/>
      <c r="H183" s="135"/>
      <c r="I183" s="136">
        <f t="shared" si="15"/>
        <v>0</v>
      </c>
      <c r="J183" s="134"/>
      <c r="K183" s="135"/>
      <c r="L183" s="136">
        <f t="shared" si="16"/>
        <v>0</v>
      </c>
      <c r="M183" s="284"/>
      <c r="N183" s="285"/>
      <c r="O183" s="136">
        <f t="shared" si="17"/>
        <v>0</v>
      </c>
      <c r="P183" s="85"/>
      <c r="R183" s="53"/>
      <c r="S183" s="53"/>
      <c r="T183" s="53"/>
    </row>
    <row r="184" spans="1:20" ht="72" hidden="1" x14ac:dyDescent="0.25">
      <c r="A184" s="76">
        <v>3292</v>
      </c>
      <c r="B184" s="127" t="s">
        <v>200</v>
      </c>
      <c r="C184" s="128">
        <f t="shared" si="13"/>
        <v>0</v>
      </c>
      <c r="D184" s="134"/>
      <c r="E184" s="283"/>
      <c r="F184" s="279">
        <f t="shared" si="14"/>
        <v>0</v>
      </c>
      <c r="G184" s="134"/>
      <c r="H184" s="135"/>
      <c r="I184" s="136">
        <f t="shared" si="15"/>
        <v>0</v>
      </c>
      <c r="J184" s="134"/>
      <c r="K184" s="135"/>
      <c r="L184" s="136">
        <f t="shared" si="16"/>
        <v>0</v>
      </c>
      <c r="M184" s="284"/>
      <c r="N184" s="285"/>
      <c r="O184" s="136">
        <f t="shared" si="17"/>
        <v>0</v>
      </c>
      <c r="P184" s="85"/>
      <c r="R184" s="53"/>
      <c r="S184" s="53"/>
      <c r="T184" s="53"/>
    </row>
    <row r="185" spans="1:20" ht="72" hidden="1" x14ac:dyDescent="0.25">
      <c r="A185" s="76">
        <v>3293</v>
      </c>
      <c r="B185" s="127" t="s">
        <v>201</v>
      </c>
      <c r="C185" s="128">
        <f t="shared" si="13"/>
        <v>0</v>
      </c>
      <c r="D185" s="134"/>
      <c r="E185" s="283"/>
      <c r="F185" s="279">
        <f t="shared" si="14"/>
        <v>0</v>
      </c>
      <c r="G185" s="134"/>
      <c r="H185" s="135"/>
      <c r="I185" s="136">
        <f t="shared" si="15"/>
        <v>0</v>
      </c>
      <c r="J185" s="134"/>
      <c r="K185" s="135"/>
      <c r="L185" s="136">
        <f t="shared" si="16"/>
        <v>0</v>
      </c>
      <c r="M185" s="284"/>
      <c r="N185" s="285"/>
      <c r="O185" s="136">
        <f t="shared" si="17"/>
        <v>0</v>
      </c>
      <c r="P185" s="85"/>
      <c r="R185" s="53"/>
      <c r="S185" s="53"/>
      <c r="T185" s="53"/>
    </row>
    <row r="186" spans="1:20" ht="60" hidden="1" x14ac:dyDescent="0.25">
      <c r="A186" s="326">
        <v>3294</v>
      </c>
      <c r="B186" s="127" t="s">
        <v>202</v>
      </c>
      <c r="C186" s="327">
        <f t="shared" si="13"/>
        <v>0</v>
      </c>
      <c r="D186" s="328"/>
      <c r="E186" s="683"/>
      <c r="F186" s="647">
        <f t="shared" si="14"/>
        <v>0</v>
      </c>
      <c r="G186" s="328"/>
      <c r="H186" s="331"/>
      <c r="I186" s="324">
        <f t="shared" si="15"/>
        <v>0</v>
      </c>
      <c r="J186" s="328"/>
      <c r="K186" s="331"/>
      <c r="L186" s="324">
        <f t="shared" si="16"/>
        <v>0</v>
      </c>
      <c r="M186" s="332"/>
      <c r="N186" s="329"/>
      <c r="O186" s="324">
        <f t="shared" si="17"/>
        <v>0</v>
      </c>
      <c r="P186" s="325"/>
      <c r="R186" s="53"/>
      <c r="S186" s="53"/>
      <c r="T186" s="53"/>
    </row>
    <row r="187" spans="1:20" ht="48" hidden="1" x14ac:dyDescent="0.25">
      <c r="A187" s="160">
        <v>3300</v>
      </c>
      <c r="B187" s="321" t="s">
        <v>203</v>
      </c>
      <c r="C187" s="333">
        <f t="shared" si="13"/>
        <v>0</v>
      </c>
      <c r="D187" s="334">
        <f>SUM(D188:D189)</f>
        <v>0</v>
      </c>
      <c r="E187" s="684">
        <f>SUM(E188:E189)</f>
        <v>0</v>
      </c>
      <c r="F187" s="648">
        <f t="shared" si="14"/>
        <v>0</v>
      </c>
      <c r="G187" s="334">
        <f>SUM(G188:G189)</f>
        <v>0</v>
      </c>
      <c r="H187" s="336">
        <f>SUM(H188:H189)</f>
        <v>0</v>
      </c>
      <c r="I187" s="252">
        <f t="shared" si="15"/>
        <v>0</v>
      </c>
      <c r="J187" s="334">
        <f>SUM(J188:J189)</f>
        <v>0</v>
      </c>
      <c r="K187" s="336">
        <f>SUM(K188:K189)</f>
        <v>0</v>
      </c>
      <c r="L187" s="252">
        <f t="shared" si="16"/>
        <v>0</v>
      </c>
      <c r="M187" s="250">
        <f>SUM(M188:M189)</f>
        <v>0</v>
      </c>
      <c r="N187" s="251">
        <f>SUM(N188:N189)</f>
        <v>0</v>
      </c>
      <c r="O187" s="252">
        <f t="shared" si="17"/>
        <v>0</v>
      </c>
      <c r="P187" s="253"/>
      <c r="R187" s="53"/>
      <c r="S187" s="53"/>
      <c r="T187" s="53"/>
    </row>
    <row r="188" spans="1:20" ht="48" hidden="1" x14ac:dyDescent="0.25">
      <c r="A188" s="178">
        <v>3310</v>
      </c>
      <c r="B188" s="179" t="s">
        <v>204</v>
      </c>
      <c r="C188" s="191">
        <f t="shared" si="13"/>
        <v>0</v>
      </c>
      <c r="D188" s="287"/>
      <c r="E188" s="288"/>
      <c r="F188" s="257">
        <f t="shared" si="14"/>
        <v>0</v>
      </c>
      <c r="G188" s="287"/>
      <c r="H188" s="289"/>
      <c r="I188" s="259">
        <f t="shared" si="15"/>
        <v>0</v>
      </c>
      <c r="J188" s="287"/>
      <c r="K188" s="289"/>
      <c r="L188" s="259">
        <f t="shared" si="16"/>
        <v>0</v>
      </c>
      <c r="M188" s="290"/>
      <c r="N188" s="291"/>
      <c r="O188" s="259">
        <f t="shared" si="17"/>
        <v>0</v>
      </c>
      <c r="P188" s="189"/>
      <c r="R188" s="53"/>
      <c r="S188" s="53"/>
      <c r="T188" s="53"/>
    </row>
    <row r="189" spans="1:20" ht="60" hidden="1" x14ac:dyDescent="0.25">
      <c r="A189" s="66">
        <v>3320</v>
      </c>
      <c r="B189" s="116" t="s">
        <v>205</v>
      </c>
      <c r="C189" s="117">
        <f t="shared" si="13"/>
        <v>0</v>
      </c>
      <c r="D189" s="123"/>
      <c r="E189" s="295"/>
      <c r="F189" s="296">
        <f t="shared" si="14"/>
        <v>0</v>
      </c>
      <c r="G189" s="123"/>
      <c r="H189" s="124"/>
      <c r="I189" s="125">
        <f t="shared" si="15"/>
        <v>0</v>
      </c>
      <c r="J189" s="123"/>
      <c r="K189" s="124"/>
      <c r="L189" s="125">
        <f t="shared" si="16"/>
        <v>0</v>
      </c>
      <c r="M189" s="264"/>
      <c r="N189" s="262"/>
      <c r="O189" s="125">
        <f t="shared" si="17"/>
        <v>0</v>
      </c>
      <c r="P189" s="74"/>
      <c r="R189" s="53"/>
      <c r="S189" s="53"/>
      <c r="T189" s="53"/>
    </row>
    <row r="190" spans="1:20" hidden="1" x14ac:dyDescent="0.25">
      <c r="A190" s="337">
        <v>4000</v>
      </c>
      <c r="B190" s="237" t="s">
        <v>206</v>
      </c>
      <c r="C190" s="238">
        <f t="shared" si="13"/>
        <v>0</v>
      </c>
      <c r="D190" s="239">
        <f>SUM(D191,D194)</f>
        <v>0</v>
      </c>
      <c r="E190" s="240">
        <f>SUM(E191,E194)</f>
        <v>0</v>
      </c>
      <c r="F190" s="241">
        <f t="shared" si="14"/>
        <v>0</v>
      </c>
      <c r="G190" s="239">
        <f>SUM(G191,G194)</f>
        <v>0</v>
      </c>
      <c r="H190" s="242">
        <f>SUM(H191,H194)</f>
        <v>0</v>
      </c>
      <c r="I190" s="243">
        <f t="shared" si="15"/>
        <v>0</v>
      </c>
      <c r="J190" s="239">
        <f>SUM(J191,J194)</f>
        <v>0</v>
      </c>
      <c r="K190" s="242">
        <f>SUM(K191,K194)</f>
        <v>0</v>
      </c>
      <c r="L190" s="243">
        <f t="shared" si="16"/>
        <v>0</v>
      </c>
      <c r="M190" s="244">
        <f>SUM(M191,M194)</f>
        <v>0</v>
      </c>
      <c r="N190" s="245">
        <f>SUM(N191,N194)</f>
        <v>0</v>
      </c>
      <c r="O190" s="243">
        <f t="shared" si="17"/>
        <v>0</v>
      </c>
      <c r="P190" s="246"/>
      <c r="R190" s="53"/>
      <c r="S190" s="53"/>
      <c r="T190" s="53"/>
    </row>
    <row r="191" spans="1:20" ht="24" hidden="1" x14ac:dyDescent="0.25">
      <c r="A191" s="338">
        <v>4200</v>
      </c>
      <c r="B191" s="247" t="s">
        <v>207</v>
      </c>
      <c r="C191" s="100">
        <f t="shared" si="13"/>
        <v>0</v>
      </c>
      <c r="D191" s="112">
        <f>SUM(D192,D193)</f>
        <v>0</v>
      </c>
      <c r="E191" s="248">
        <f>SUM(E192,E193)</f>
        <v>0</v>
      </c>
      <c r="F191" s="249">
        <f t="shared" si="14"/>
        <v>0</v>
      </c>
      <c r="G191" s="112">
        <f>SUM(G192,G193)</f>
        <v>0</v>
      </c>
      <c r="H191" s="113">
        <f>SUM(H192,H193)</f>
        <v>0</v>
      </c>
      <c r="I191" s="114">
        <f t="shared" si="15"/>
        <v>0</v>
      </c>
      <c r="J191" s="112">
        <f>SUM(J192,J193)</f>
        <v>0</v>
      </c>
      <c r="K191" s="113">
        <f>SUM(K192,K193)</f>
        <v>0</v>
      </c>
      <c r="L191" s="114">
        <f t="shared" si="16"/>
        <v>0</v>
      </c>
      <c r="M191" s="292">
        <f>SUM(M192,M193)</f>
        <v>0</v>
      </c>
      <c r="N191" s="293">
        <f>SUM(N192,N193)</f>
        <v>0</v>
      </c>
      <c r="O191" s="114">
        <f t="shared" si="17"/>
        <v>0</v>
      </c>
      <c r="P191" s="109"/>
      <c r="R191" s="53"/>
      <c r="S191" s="53"/>
      <c r="T191" s="53"/>
    </row>
    <row r="192" spans="1:20" ht="36" hidden="1" x14ac:dyDescent="0.25">
      <c r="A192" s="656">
        <v>4240</v>
      </c>
      <c r="B192" s="116" t="s">
        <v>208</v>
      </c>
      <c r="C192" s="117">
        <f t="shared" si="13"/>
        <v>0</v>
      </c>
      <c r="D192" s="123"/>
      <c r="E192" s="295"/>
      <c r="F192" s="296">
        <f t="shared" si="14"/>
        <v>0</v>
      </c>
      <c r="G192" s="123"/>
      <c r="H192" s="124"/>
      <c r="I192" s="125">
        <f t="shared" si="15"/>
        <v>0</v>
      </c>
      <c r="J192" s="123"/>
      <c r="K192" s="124"/>
      <c r="L192" s="125">
        <f t="shared" si="16"/>
        <v>0</v>
      </c>
      <c r="M192" s="264"/>
      <c r="N192" s="262"/>
      <c r="O192" s="125">
        <f t="shared" si="17"/>
        <v>0</v>
      </c>
      <c r="P192" s="74"/>
      <c r="R192" s="53"/>
      <c r="S192" s="53"/>
      <c r="T192" s="53"/>
    </row>
    <row r="193" spans="1:20" ht="24" hidden="1" x14ac:dyDescent="0.25">
      <c r="A193" s="276">
        <v>4250</v>
      </c>
      <c r="B193" s="127" t="s">
        <v>209</v>
      </c>
      <c r="C193" s="128">
        <f t="shared" si="13"/>
        <v>0</v>
      </c>
      <c r="D193" s="134"/>
      <c r="E193" s="283"/>
      <c r="F193" s="279">
        <f t="shared" si="14"/>
        <v>0</v>
      </c>
      <c r="G193" s="134"/>
      <c r="H193" s="135"/>
      <c r="I193" s="136">
        <f t="shared" si="15"/>
        <v>0</v>
      </c>
      <c r="J193" s="134"/>
      <c r="K193" s="135"/>
      <c r="L193" s="136">
        <f t="shared" si="16"/>
        <v>0</v>
      </c>
      <c r="M193" s="284"/>
      <c r="N193" s="285"/>
      <c r="O193" s="136">
        <f t="shared" si="17"/>
        <v>0</v>
      </c>
      <c r="P193" s="85"/>
      <c r="R193" s="53"/>
      <c r="S193" s="53"/>
      <c r="T193" s="53"/>
    </row>
    <row r="194" spans="1:20" hidden="1" x14ac:dyDescent="0.25">
      <c r="A194" s="99">
        <v>4300</v>
      </c>
      <c r="B194" s="247" t="s">
        <v>210</v>
      </c>
      <c r="C194" s="100">
        <f t="shared" si="13"/>
        <v>0</v>
      </c>
      <c r="D194" s="112">
        <f>SUM(D195)</f>
        <v>0</v>
      </c>
      <c r="E194" s="248">
        <f>SUM(E195)</f>
        <v>0</v>
      </c>
      <c r="F194" s="249">
        <f t="shared" si="14"/>
        <v>0</v>
      </c>
      <c r="G194" s="112">
        <f>SUM(G195)</f>
        <v>0</v>
      </c>
      <c r="H194" s="113">
        <f>SUM(H195)</f>
        <v>0</v>
      </c>
      <c r="I194" s="114">
        <f t="shared" si="15"/>
        <v>0</v>
      </c>
      <c r="J194" s="112">
        <f>SUM(J195)</f>
        <v>0</v>
      </c>
      <c r="K194" s="113">
        <f>SUM(K195)</f>
        <v>0</v>
      </c>
      <c r="L194" s="114">
        <f t="shared" si="16"/>
        <v>0</v>
      </c>
      <c r="M194" s="292">
        <f>SUM(M195)</f>
        <v>0</v>
      </c>
      <c r="N194" s="293">
        <f>SUM(N195)</f>
        <v>0</v>
      </c>
      <c r="O194" s="114">
        <f t="shared" si="17"/>
        <v>0</v>
      </c>
      <c r="P194" s="109"/>
      <c r="R194" s="53"/>
      <c r="S194" s="53"/>
      <c r="T194" s="53"/>
    </row>
    <row r="195" spans="1:20" ht="24" hidden="1" x14ac:dyDescent="0.25">
      <c r="A195" s="656">
        <v>4310</v>
      </c>
      <c r="B195" s="116" t="s">
        <v>211</v>
      </c>
      <c r="C195" s="117">
        <f t="shared" si="13"/>
        <v>0</v>
      </c>
      <c r="D195" s="297">
        <f>SUM(D196:D196)</f>
        <v>0</v>
      </c>
      <c r="E195" s="298">
        <f>SUM(E196:E196)</f>
        <v>0</v>
      </c>
      <c r="F195" s="296">
        <f t="shared" si="14"/>
        <v>0</v>
      </c>
      <c r="G195" s="297">
        <f>SUM(G196:G196)</f>
        <v>0</v>
      </c>
      <c r="H195" s="299">
        <f>SUM(H196:H196)</f>
        <v>0</v>
      </c>
      <c r="I195" s="125">
        <f t="shared" si="15"/>
        <v>0</v>
      </c>
      <c r="J195" s="297">
        <f>SUM(J196:J196)</f>
        <v>0</v>
      </c>
      <c r="K195" s="299">
        <f>SUM(K196:K196)</f>
        <v>0</v>
      </c>
      <c r="L195" s="125">
        <f t="shared" si="16"/>
        <v>0</v>
      </c>
      <c r="M195" s="300">
        <f>SUM(M196:M196)</f>
        <v>0</v>
      </c>
      <c r="N195" s="301">
        <f>SUM(N196:N196)</f>
        <v>0</v>
      </c>
      <c r="O195" s="125">
        <f t="shared" si="17"/>
        <v>0</v>
      </c>
      <c r="P195" s="74"/>
      <c r="R195" s="53"/>
      <c r="S195" s="53"/>
      <c r="T195" s="53"/>
    </row>
    <row r="196" spans="1:20" ht="36" hidden="1" x14ac:dyDescent="0.25">
      <c r="A196" s="76">
        <v>4311</v>
      </c>
      <c r="B196" s="127" t="s">
        <v>212</v>
      </c>
      <c r="C196" s="128">
        <f t="shared" si="13"/>
        <v>0</v>
      </c>
      <c r="D196" s="134"/>
      <c r="E196" s="283"/>
      <c r="F196" s="279">
        <f t="shared" si="14"/>
        <v>0</v>
      </c>
      <c r="G196" s="134"/>
      <c r="H196" s="135"/>
      <c r="I196" s="136">
        <f t="shared" si="15"/>
        <v>0</v>
      </c>
      <c r="J196" s="134"/>
      <c r="K196" s="135"/>
      <c r="L196" s="136">
        <f t="shared" si="16"/>
        <v>0</v>
      </c>
      <c r="M196" s="284"/>
      <c r="N196" s="285"/>
      <c r="O196" s="136">
        <f t="shared" si="17"/>
        <v>0</v>
      </c>
      <c r="P196" s="85"/>
      <c r="R196" s="53"/>
      <c r="S196" s="53"/>
      <c r="T196" s="53"/>
    </row>
    <row r="197" spans="1:20" s="41" customFormat="1" ht="24" x14ac:dyDescent="0.25">
      <c r="A197" s="339"/>
      <c r="B197" s="31" t="s">
        <v>213</v>
      </c>
      <c r="C197" s="229">
        <f t="shared" si="13"/>
        <v>22656</v>
      </c>
      <c r="D197" s="230">
        <f>SUM(D198,D233,D271)</f>
        <v>19587</v>
      </c>
      <c r="E197" s="231">
        <f>SUM(E198,E233,E271)</f>
        <v>0</v>
      </c>
      <c r="F197" s="232">
        <f t="shared" si="14"/>
        <v>19587</v>
      </c>
      <c r="G197" s="230">
        <f>SUM(G198,G233,G271)</f>
        <v>3069</v>
      </c>
      <c r="H197" s="233">
        <f>SUM(H198,H233,H271)</f>
        <v>0</v>
      </c>
      <c r="I197" s="234">
        <f t="shared" si="15"/>
        <v>3069</v>
      </c>
      <c r="J197" s="230">
        <f>SUM(J198,J233,J271)</f>
        <v>0</v>
      </c>
      <c r="K197" s="233">
        <f>SUM(K198,K233,K271)</f>
        <v>0</v>
      </c>
      <c r="L197" s="234">
        <f t="shared" si="16"/>
        <v>0</v>
      </c>
      <c r="M197" s="340">
        <f>SUM(M198,M233,M271)</f>
        <v>0</v>
      </c>
      <c r="N197" s="341">
        <f>SUM(N198,N233,N271)</f>
        <v>0</v>
      </c>
      <c r="O197" s="342">
        <f t="shared" si="17"/>
        <v>0</v>
      </c>
      <c r="P197" s="343"/>
      <c r="R197" s="53"/>
      <c r="S197" s="53"/>
      <c r="T197" s="53"/>
    </row>
    <row r="198" spans="1:20" x14ac:dyDescent="0.25">
      <c r="A198" s="237">
        <v>5000</v>
      </c>
      <c r="B198" s="237" t="s">
        <v>214</v>
      </c>
      <c r="C198" s="238">
        <f t="shared" si="13"/>
        <v>22656</v>
      </c>
      <c r="D198" s="239">
        <f>D199+D207</f>
        <v>19587</v>
      </c>
      <c r="E198" s="240">
        <f>E199+E207</f>
        <v>0</v>
      </c>
      <c r="F198" s="241">
        <f t="shared" si="14"/>
        <v>19587</v>
      </c>
      <c r="G198" s="239">
        <f>G199+G207</f>
        <v>3069</v>
      </c>
      <c r="H198" s="242">
        <f>H199+H207</f>
        <v>0</v>
      </c>
      <c r="I198" s="243">
        <f t="shared" si="15"/>
        <v>3069</v>
      </c>
      <c r="J198" s="239">
        <f>J199+J207</f>
        <v>0</v>
      </c>
      <c r="K198" s="242">
        <f>K199+K207</f>
        <v>0</v>
      </c>
      <c r="L198" s="243">
        <f t="shared" si="16"/>
        <v>0</v>
      </c>
      <c r="M198" s="244">
        <f>M199+M207</f>
        <v>0</v>
      </c>
      <c r="N198" s="245">
        <f>N199+N207</f>
        <v>0</v>
      </c>
      <c r="O198" s="243">
        <f t="shared" si="17"/>
        <v>0</v>
      </c>
      <c r="P198" s="246"/>
      <c r="R198" s="53"/>
      <c r="S198" s="53"/>
      <c r="T198" s="53"/>
    </row>
    <row r="199" spans="1:20" x14ac:dyDescent="0.25">
      <c r="A199" s="99">
        <v>5100</v>
      </c>
      <c r="B199" s="247" t="s">
        <v>215</v>
      </c>
      <c r="C199" s="100">
        <f t="shared" si="13"/>
        <v>898</v>
      </c>
      <c r="D199" s="112">
        <f>D200+D201+D204+D205+D206</f>
        <v>898</v>
      </c>
      <c r="E199" s="248">
        <f>E200+E201+E204+E205+E206</f>
        <v>0</v>
      </c>
      <c r="F199" s="249">
        <f t="shared" si="14"/>
        <v>898</v>
      </c>
      <c r="G199" s="112">
        <f>G200+G201+G204+G205+G206</f>
        <v>0</v>
      </c>
      <c r="H199" s="113">
        <f>H200+H201+H204+H205+H206</f>
        <v>0</v>
      </c>
      <c r="I199" s="114">
        <f t="shared" si="15"/>
        <v>0</v>
      </c>
      <c r="J199" s="112">
        <f>J200+J201+J204+J205+J206</f>
        <v>0</v>
      </c>
      <c r="K199" s="113">
        <f>K200+K201+K204+K205+K206</f>
        <v>0</v>
      </c>
      <c r="L199" s="114">
        <f t="shared" si="16"/>
        <v>0</v>
      </c>
      <c r="M199" s="292">
        <f>M200+M201+M204+M205+M206</f>
        <v>0</v>
      </c>
      <c r="N199" s="293">
        <f>N200+N201+N204+N205+N206</f>
        <v>0</v>
      </c>
      <c r="O199" s="114">
        <f t="shared" si="17"/>
        <v>0</v>
      </c>
      <c r="P199" s="109"/>
      <c r="R199" s="53"/>
      <c r="S199" s="53"/>
      <c r="T199" s="53"/>
    </row>
    <row r="200" spans="1:20" hidden="1" x14ac:dyDescent="0.25">
      <c r="A200" s="656">
        <v>5110</v>
      </c>
      <c r="B200" s="116" t="s">
        <v>216</v>
      </c>
      <c r="C200" s="117">
        <f t="shared" si="13"/>
        <v>0</v>
      </c>
      <c r="D200" s="123"/>
      <c r="E200" s="295"/>
      <c r="F200" s="296">
        <f t="shared" si="14"/>
        <v>0</v>
      </c>
      <c r="G200" s="123"/>
      <c r="H200" s="124"/>
      <c r="I200" s="125">
        <f t="shared" si="15"/>
        <v>0</v>
      </c>
      <c r="J200" s="123"/>
      <c r="K200" s="124"/>
      <c r="L200" s="125">
        <f t="shared" si="16"/>
        <v>0</v>
      </c>
      <c r="M200" s="264"/>
      <c r="N200" s="262"/>
      <c r="O200" s="125">
        <f t="shared" si="17"/>
        <v>0</v>
      </c>
      <c r="P200" s="74"/>
      <c r="R200" s="53"/>
      <c r="S200" s="53"/>
      <c r="T200" s="53"/>
    </row>
    <row r="201" spans="1:20" ht="24" x14ac:dyDescent="0.25">
      <c r="A201" s="276">
        <v>5120</v>
      </c>
      <c r="B201" s="127" t="s">
        <v>217</v>
      </c>
      <c r="C201" s="128">
        <f t="shared" si="13"/>
        <v>898</v>
      </c>
      <c r="D201" s="277">
        <f>D202+D203</f>
        <v>898</v>
      </c>
      <c r="E201" s="278">
        <f>E202+E203</f>
        <v>0</v>
      </c>
      <c r="F201" s="279">
        <f t="shared" si="14"/>
        <v>898</v>
      </c>
      <c r="G201" s="277">
        <f>G202+G203</f>
        <v>0</v>
      </c>
      <c r="H201" s="280">
        <f>H202+H203</f>
        <v>0</v>
      </c>
      <c r="I201" s="136">
        <f t="shared" si="15"/>
        <v>0</v>
      </c>
      <c r="J201" s="277">
        <f>J202+J203</f>
        <v>0</v>
      </c>
      <c r="K201" s="280">
        <f>K202+K203</f>
        <v>0</v>
      </c>
      <c r="L201" s="136">
        <f t="shared" si="16"/>
        <v>0</v>
      </c>
      <c r="M201" s="281">
        <f>M202+M203</f>
        <v>0</v>
      </c>
      <c r="N201" s="282">
        <f>N202+N203</f>
        <v>0</v>
      </c>
      <c r="O201" s="136">
        <f t="shared" si="17"/>
        <v>0</v>
      </c>
      <c r="P201" s="85"/>
      <c r="R201" s="53"/>
      <c r="S201" s="53"/>
      <c r="T201" s="53"/>
    </row>
    <row r="202" spans="1:20" x14ac:dyDescent="0.25">
      <c r="A202" s="76">
        <v>5121</v>
      </c>
      <c r="B202" s="127" t="s">
        <v>218</v>
      </c>
      <c r="C202" s="128">
        <f t="shared" si="13"/>
        <v>898</v>
      </c>
      <c r="D202" s="134">
        <f>1360+610+170-1242</f>
        <v>898</v>
      </c>
      <c r="E202" s="283"/>
      <c r="F202" s="279">
        <f t="shared" si="14"/>
        <v>898</v>
      </c>
      <c r="G202" s="134"/>
      <c r="H202" s="135"/>
      <c r="I202" s="136">
        <f t="shared" si="15"/>
        <v>0</v>
      </c>
      <c r="J202" s="134"/>
      <c r="K202" s="135"/>
      <c r="L202" s="136">
        <f t="shared" si="16"/>
        <v>0</v>
      </c>
      <c r="M202" s="284"/>
      <c r="N202" s="285"/>
      <c r="O202" s="136">
        <f t="shared" si="17"/>
        <v>0</v>
      </c>
      <c r="P202" s="85"/>
      <c r="R202" s="53"/>
      <c r="S202" s="53"/>
      <c r="T202" s="53"/>
    </row>
    <row r="203" spans="1:20" ht="24" hidden="1" x14ac:dyDescent="0.25">
      <c r="A203" s="76">
        <v>5129</v>
      </c>
      <c r="B203" s="127" t="s">
        <v>219</v>
      </c>
      <c r="C203" s="128">
        <f t="shared" si="13"/>
        <v>0</v>
      </c>
      <c r="D203" s="134"/>
      <c r="E203" s="283"/>
      <c r="F203" s="279">
        <f t="shared" si="14"/>
        <v>0</v>
      </c>
      <c r="G203" s="134"/>
      <c r="H203" s="135"/>
      <c r="I203" s="136">
        <f t="shared" si="15"/>
        <v>0</v>
      </c>
      <c r="J203" s="134"/>
      <c r="K203" s="135"/>
      <c r="L203" s="136">
        <f t="shared" si="16"/>
        <v>0</v>
      </c>
      <c r="M203" s="284"/>
      <c r="N203" s="285"/>
      <c r="O203" s="136">
        <f t="shared" si="17"/>
        <v>0</v>
      </c>
      <c r="P203" s="85"/>
      <c r="R203" s="53"/>
      <c r="S203" s="53"/>
      <c r="T203" s="53"/>
    </row>
    <row r="204" spans="1:20" hidden="1" x14ac:dyDescent="0.25">
      <c r="A204" s="276">
        <v>5130</v>
      </c>
      <c r="B204" s="127" t="s">
        <v>220</v>
      </c>
      <c r="C204" s="128">
        <f t="shared" si="13"/>
        <v>0</v>
      </c>
      <c r="D204" s="134"/>
      <c r="E204" s="283"/>
      <c r="F204" s="279">
        <f t="shared" si="14"/>
        <v>0</v>
      </c>
      <c r="G204" s="134"/>
      <c r="H204" s="135"/>
      <c r="I204" s="136">
        <f t="shared" si="15"/>
        <v>0</v>
      </c>
      <c r="J204" s="134"/>
      <c r="K204" s="135"/>
      <c r="L204" s="136">
        <f t="shared" si="16"/>
        <v>0</v>
      </c>
      <c r="M204" s="284"/>
      <c r="N204" s="285"/>
      <c r="O204" s="136">
        <f t="shared" si="17"/>
        <v>0</v>
      </c>
      <c r="P204" s="85"/>
      <c r="R204" s="53"/>
      <c r="S204" s="53"/>
      <c r="T204" s="53"/>
    </row>
    <row r="205" spans="1:20" hidden="1" x14ac:dyDescent="0.25">
      <c r="A205" s="276">
        <v>5140</v>
      </c>
      <c r="B205" s="127" t="s">
        <v>221</v>
      </c>
      <c r="C205" s="128">
        <f t="shared" si="13"/>
        <v>0</v>
      </c>
      <c r="D205" s="134"/>
      <c r="E205" s="283"/>
      <c r="F205" s="279">
        <f t="shared" si="14"/>
        <v>0</v>
      </c>
      <c r="G205" s="134"/>
      <c r="H205" s="135"/>
      <c r="I205" s="136">
        <f t="shared" si="15"/>
        <v>0</v>
      </c>
      <c r="J205" s="134"/>
      <c r="K205" s="135"/>
      <c r="L205" s="136">
        <f t="shared" si="16"/>
        <v>0</v>
      </c>
      <c r="M205" s="284"/>
      <c r="N205" s="285"/>
      <c r="O205" s="136">
        <f t="shared" si="17"/>
        <v>0</v>
      </c>
      <c r="P205" s="85"/>
      <c r="R205" s="53"/>
      <c r="S205" s="53"/>
      <c r="T205" s="53"/>
    </row>
    <row r="206" spans="1:20" ht="24" hidden="1" x14ac:dyDescent="0.25">
      <c r="A206" s="276">
        <v>5170</v>
      </c>
      <c r="B206" s="127" t="s">
        <v>222</v>
      </c>
      <c r="C206" s="128">
        <f t="shared" si="13"/>
        <v>0</v>
      </c>
      <c r="D206" s="134"/>
      <c r="E206" s="283"/>
      <c r="F206" s="279">
        <f t="shared" si="14"/>
        <v>0</v>
      </c>
      <c r="G206" s="134"/>
      <c r="H206" s="135"/>
      <c r="I206" s="136">
        <f t="shared" si="15"/>
        <v>0</v>
      </c>
      <c r="J206" s="134"/>
      <c r="K206" s="135"/>
      <c r="L206" s="136">
        <f t="shared" si="16"/>
        <v>0</v>
      </c>
      <c r="M206" s="284"/>
      <c r="N206" s="285"/>
      <c r="O206" s="136">
        <f t="shared" si="17"/>
        <v>0</v>
      </c>
      <c r="P206" s="85"/>
      <c r="R206" s="53"/>
      <c r="S206" s="53"/>
      <c r="T206" s="53"/>
    </row>
    <row r="207" spans="1:20" x14ac:dyDescent="0.25">
      <c r="A207" s="99">
        <v>5200</v>
      </c>
      <c r="B207" s="247" t="s">
        <v>223</v>
      </c>
      <c r="C207" s="100">
        <f t="shared" si="13"/>
        <v>21758</v>
      </c>
      <c r="D207" s="112">
        <f>D208+D218+D219+D228+D229+D230+D232</f>
        <v>18689</v>
      </c>
      <c r="E207" s="248">
        <f>E208+E218+E219+E228+E229+E230+E232</f>
        <v>0</v>
      </c>
      <c r="F207" s="249">
        <f t="shared" si="14"/>
        <v>18689</v>
      </c>
      <c r="G207" s="112">
        <f>G208+G218+G219+G228+G229+G230+G232</f>
        <v>3069</v>
      </c>
      <c r="H207" s="113">
        <f>H208+H218+H219+H228+H229+H230+H232</f>
        <v>0</v>
      </c>
      <c r="I207" s="114">
        <f t="shared" si="15"/>
        <v>3069</v>
      </c>
      <c r="J207" s="112">
        <f>J208+J218+J219+J228+J229+J230+J232</f>
        <v>0</v>
      </c>
      <c r="K207" s="113">
        <f>K208+K218+K219+K228+K229+K230+K232</f>
        <v>0</v>
      </c>
      <c r="L207" s="114">
        <f t="shared" si="16"/>
        <v>0</v>
      </c>
      <c r="M207" s="292">
        <f>M208+M218+M219+M228+M229+M230+M232</f>
        <v>0</v>
      </c>
      <c r="N207" s="293">
        <f>N208+N218+N219+N228+N229+N230+N232</f>
        <v>0</v>
      </c>
      <c r="O207" s="114">
        <f t="shared" si="17"/>
        <v>0</v>
      </c>
      <c r="P207" s="109"/>
      <c r="R207" s="53"/>
      <c r="S207" s="53"/>
      <c r="T207" s="53"/>
    </row>
    <row r="208" spans="1:20" hidden="1" x14ac:dyDescent="0.25">
      <c r="A208" s="254">
        <v>5210</v>
      </c>
      <c r="B208" s="179" t="s">
        <v>224</v>
      </c>
      <c r="C208" s="191">
        <f t="shared" si="13"/>
        <v>0</v>
      </c>
      <c r="D208" s="255">
        <f>SUM(D209:D217)</f>
        <v>0</v>
      </c>
      <c r="E208" s="256">
        <f>SUM(E209:E217)</f>
        <v>0</v>
      </c>
      <c r="F208" s="257">
        <f t="shared" si="14"/>
        <v>0</v>
      </c>
      <c r="G208" s="255">
        <f>SUM(G209:G217)</f>
        <v>0</v>
      </c>
      <c r="H208" s="258">
        <f>SUM(H209:H217)</f>
        <v>0</v>
      </c>
      <c r="I208" s="259">
        <f t="shared" si="15"/>
        <v>0</v>
      </c>
      <c r="J208" s="255">
        <f>SUM(J209:J217)</f>
        <v>0</v>
      </c>
      <c r="K208" s="258">
        <f>SUM(K209:K217)</f>
        <v>0</v>
      </c>
      <c r="L208" s="259">
        <f t="shared" si="16"/>
        <v>0</v>
      </c>
      <c r="M208" s="260">
        <f>SUM(M209:M217)</f>
        <v>0</v>
      </c>
      <c r="N208" s="261">
        <f>SUM(N209:N217)</f>
        <v>0</v>
      </c>
      <c r="O208" s="259">
        <f t="shared" si="17"/>
        <v>0</v>
      </c>
      <c r="P208" s="189"/>
      <c r="R208" s="53"/>
      <c r="S208" s="53"/>
      <c r="T208" s="53"/>
    </row>
    <row r="209" spans="1:20" hidden="1" x14ac:dyDescent="0.25">
      <c r="A209" s="66">
        <v>5211</v>
      </c>
      <c r="B209" s="116" t="s">
        <v>225</v>
      </c>
      <c r="C209" s="279">
        <f t="shared" si="13"/>
        <v>0</v>
      </c>
      <c r="D209" s="123"/>
      <c r="E209" s="295"/>
      <c r="F209" s="296">
        <f t="shared" si="14"/>
        <v>0</v>
      </c>
      <c r="G209" s="123"/>
      <c r="H209" s="124"/>
      <c r="I209" s="125">
        <f t="shared" si="15"/>
        <v>0</v>
      </c>
      <c r="J209" s="123"/>
      <c r="K209" s="124"/>
      <c r="L209" s="125">
        <f t="shared" si="16"/>
        <v>0</v>
      </c>
      <c r="M209" s="264"/>
      <c r="N209" s="262"/>
      <c r="O209" s="125">
        <f t="shared" si="17"/>
        <v>0</v>
      </c>
      <c r="P209" s="74"/>
      <c r="R209" s="53"/>
      <c r="S209" s="53"/>
      <c r="T209" s="53"/>
    </row>
    <row r="210" spans="1:20" hidden="1" x14ac:dyDescent="0.25">
      <c r="A210" s="76">
        <v>5212</v>
      </c>
      <c r="B210" s="127" t="s">
        <v>226</v>
      </c>
      <c r="C210" s="279">
        <f t="shared" si="13"/>
        <v>0</v>
      </c>
      <c r="D210" s="134"/>
      <c r="E210" s="283"/>
      <c r="F210" s="279">
        <f t="shared" si="14"/>
        <v>0</v>
      </c>
      <c r="G210" s="134"/>
      <c r="H210" s="135"/>
      <c r="I210" s="136">
        <f t="shared" si="15"/>
        <v>0</v>
      </c>
      <c r="J210" s="134"/>
      <c r="K210" s="135"/>
      <c r="L210" s="136">
        <f t="shared" si="16"/>
        <v>0</v>
      </c>
      <c r="M210" s="284"/>
      <c r="N210" s="285"/>
      <c r="O210" s="136">
        <f t="shared" si="17"/>
        <v>0</v>
      </c>
      <c r="P210" s="85"/>
      <c r="R210" s="53"/>
      <c r="S210" s="53"/>
      <c r="T210" s="53"/>
    </row>
    <row r="211" spans="1:20" hidden="1" x14ac:dyDescent="0.25">
      <c r="A211" s="76">
        <v>5213</v>
      </c>
      <c r="B211" s="127" t="s">
        <v>227</v>
      </c>
      <c r="C211" s="279">
        <f t="shared" si="13"/>
        <v>0</v>
      </c>
      <c r="D211" s="134"/>
      <c r="E211" s="283"/>
      <c r="F211" s="279">
        <f t="shared" si="14"/>
        <v>0</v>
      </c>
      <c r="G211" s="134"/>
      <c r="H211" s="135"/>
      <c r="I211" s="136">
        <f t="shared" si="15"/>
        <v>0</v>
      </c>
      <c r="J211" s="134"/>
      <c r="K211" s="135"/>
      <c r="L211" s="136">
        <f t="shared" si="16"/>
        <v>0</v>
      </c>
      <c r="M211" s="284"/>
      <c r="N211" s="285"/>
      <c r="O211" s="136">
        <f t="shared" si="17"/>
        <v>0</v>
      </c>
      <c r="P211" s="85"/>
      <c r="R211" s="53"/>
      <c r="S211" s="53"/>
      <c r="T211" s="53"/>
    </row>
    <row r="212" spans="1:20" hidden="1" x14ac:dyDescent="0.25">
      <c r="A212" s="76">
        <v>5214</v>
      </c>
      <c r="B212" s="127" t="s">
        <v>228</v>
      </c>
      <c r="C212" s="279">
        <f t="shared" si="13"/>
        <v>0</v>
      </c>
      <c r="D212" s="134"/>
      <c r="E212" s="283"/>
      <c r="F212" s="279">
        <f t="shared" si="14"/>
        <v>0</v>
      </c>
      <c r="G212" s="134"/>
      <c r="H212" s="135"/>
      <c r="I212" s="136">
        <f t="shared" si="15"/>
        <v>0</v>
      </c>
      <c r="J212" s="134"/>
      <c r="K212" s="135"/>
      <c r="L212" s="136">
        <f t="shared" si="16"/>
        <v>0</v>
      </c>
      <c r="M212" s="284"/>
      <c r="N212" s="285"/>
      <c r="O212" s="136">
        <f t="shared" si="17"/>
        <v>0</v>
      </c>
      <c r="P212" s="85"/>
      <c r="R212" s="53"/>
      <c r="S212" s="53"/>
      <c r="T212" s="53"/>
    </row>
    <row r="213" spans="1:20" hidden="1" x14ac:dyDescent="0.25">
      <c r="A213" s="76">
        <v>5215</v>
      </c>
      <c r="B213" s="127" t="s">
        <v>229</v>
      </c>
      <c r="C213" s="279">
        <f t="shared" si="13"/>
        <v>0</v>
      </c>
      <c r="D213" s="134"/>
      <c r="E213" s="283"/>
      <c r="F213" s="279">
        <f t="shared" si="14"/>
        <v>0</v>
      </c>
      <c r="G213" s="134"/>
      <c r="H213" s="135"/>
      <c r="I213" s="136">
        <f t="shared" si="15"/>
        <v>0</v>
      </c>
      <c r="J213" s="134"/>
      <c r="K213" s="135"/>
      <c r="L213" s="136">
        <f t="shared" si="16"/>
        <v>0</v>
      </c>
      <c r="M213" s="284"/>
      <c r="N213" s="285"/>
      <c r="O213" s="136">
        <f t="shared" si="17"/>
        <v>0</v>
      </c>
      <c r="P213" s="85"/>
      <c r="R213" s="53"/>
      <c r="S213" s="53"/>
      <c r="T213" s="53"/>
    </row>
    <row r="214" spans="1:20" ht="24" hidden="1" x14ac:dyDescent="0.25">
      <c r="A214" s="76">
        <v>5216</v>
      </c>
      <c r="B214" s="127" t="s">
        <v>230</v>
      </c>
      <c r="C214" s="279">
        <f t="shared" si="13"/>
        <v>0</v>
      </c>
      <c r="D214" s="134"/>
      <c r="E214" s="283"/>
      <c r="F214" s="279">
        <f t="shared" si="14"/>
        <v>0</v>
      </c>
      <c r="G214" s="134"/>
      <c r="H214" s="135"/>
      <c r="I214" s="136">
        <f t="shared" si="15"/>
        <v>0</v>
      </c>
      <c r="J214" s="134"/>
      <c r="K214" s="135"/>
      <c r="L214" s="136">
        <f t="shared" si="16"/>
        <v>0</v>
      </c>
      <c r="M214" s="284"/>
      <c r="N214" s="285"/>
      <c r="O214" s="136">
        <f t="shared" si="17"/>
        <v>0</v>
      </c>
      <c r="P214" s="85"/>
      <c r="R214" s="53"/>
      <c r="S214" s="53"/>
      <c r="T214" s="53"/>
    </row>
    <row r="215" spans="1:20" hidden="1" x14ac:dyDescent="0.25">
      <c r="A215" s="76">
        <v>5217</v>
      </c>
      <c r="B215" s="127" t="s">
        <v>231</v>
      </c>
      <c r="C215" s="279">
        <f t="shared" si="13"/>
        <v>0</v>
      </c>
      <c r="D215" s="134"/>
      <c r="E215" s="283"/>
      <c r="F215" s="279">
        <f t="shared" si="14"/>
        <v>0</v>
      </c>
      <c r="G215" s="134"/>
      <c r="H215" s="135"/>
      <c r="I215" s="136">
        <f t="shared" si="15"/>
        <v>0</v>
      </c>
      <c r="J215" s="134"/>
      <c r="K215" s="135"/>
      <c r="L215" s="136">
        <f t="shared" si="16"/>
        <v>0</v>
      </c>
      <c r="M215" s="284"/>
      <c r="N215" s="285"/>
      <c r="O215" s="136">
        <f t="shared" si="17"/>
        <v>0</v>
      </c>
      <c r="P215" s="85"/>
      <c r="R215" s="53"/>
      <c r="S215" s="53"/>
      <c r="T215" s="53"/>
    </row>
    <row r="216" spans="1:20" hidden="1" x14ac:dyDescent="0.25">
      <c r="A216" s="76">
        <v>5218</v>
      </c>
      <c r="B216" s="127" t="s">
        <v>232</v>
      </c>
      <c r="C216" s="279">
        <f t="shared" si="13"/>
        <v>0</v>
      </c>
      <c r="D216" s="134"/>
      <c r="E216" s="283"/>
      <c r="F216" s="279">
        <f t="shared" si="14"/>
        <v>0</v>
      </c>
      <c r="G216" s="134"/>
      <c r="H216" s="135"/>
      <c r="I216" s="136">
        <f t="shared" si="15"/>
        <v>0</v>
      </c>
      <c r="J216" s="134"/>
      <c r="K216" s="135"/>
      <c r="L216" s="136">
        <f t="shared" si="16"/>
        <v>0</v>
      </c>
      <c r="M216" s="284"/>
      <c r="N216" s="285"/>
      <c r="O216" s="136">
        <f t="shared" si="17"/>
        <v>0</v>
      </c>
      <c r="P216" s="85"/>
      <c r="R216" s="53"/>
      <c r="S216" s="53"/>
      <c r="T216" s="53"/>
    </row>
    <row r="217" spans="1:20" hidden="1" x14ac:dyDescent="0.25">
      <c r="A217" s="76">
        <v>5219</v>
      </c>
      <c r="B217" s="127" t="s">
        <v>233</v>
      </c>
      <c r="C217" s="279">
        <f t="shared" si="13"/>
        <v>0</v>
      </c>
      <c r="D217" s="134"/>
      <c r="E217" s="283"/>
      <c r="F217" s="279">
        <f t="shared" si="14"/>
        <v>0</v>
      </c>
      <c r="G217" s="134"/>
      <c r="H217" s="135"/>
      <c r="I217" s="136">
        <f t="shared" si="15"/>
        <v>0</v>
      </c>
      <c r="J217" s="134"/>
      <c r="K217" s="135"/>
      <c r="L217" s="136">
        <f t="shared" si="16"/>
        <v>0</v>
      </c>
      <c r="M217" s="284"/>
      <c r="N217" s="285"/>
      <c r="O217" s="136">
        <f t="shared" si="17"/>
        <v>0</v>
      </c>
      <c r="P217" s="85"/>
      <c r="R217" s="53"/>
      <c r="S217" s="53"/>
      <c r="T217" s="53"/>
    </row>
    <row r="218" spans="1:20" hidden="1" x14ac:dyDescent="0.25">
      <c r="A218" s="276">
        <v>5220</v>
      </c>
      <c r="B218" s="127" t="s">
        <v>234</v>
      </c>
      <c r="C218" s="279">
        <f t="shared" si="13"/>
        <v>0</v>
      </c>
      <c r="D218" s="134"/>
      <c r="E218" s="283"/>
      <c r="F218" s="279">
        <f t="shared" si="14"/>
        <v>0</v>
      </c>
      <c r="G218" s="134"/>
      <c r="H218" s="135"/>
      <c r="I218" s="136">
        <f t="shared" si="15"/>
        <v>0</v>
      </c>
      <c r="J218" s="134"/>
      <c r="K218" s="135"/>
      <c r="L218" s="136">
        <f t="shared" si="16"/>
        <v>0</v>
      </c>
      <c r="M218" s="284"/>
      <c r="N218" s="285"/>
      <c r="O218" s="136">
        <f t="shared" si="17"/>
        <v>0</v>
      </c>
      <c r="P218" s="85"/>
      <c r="R218" s="53"/>
      <c r="S218" s="53"/>
      <c r="T218" s="53"/>
    </row>
    <row r="219" spans="1:20" x14ac:dyDescent="0.25">
      <c r="A219" s="276">
        <v>5230</v>
      </c>
      <c r="B219" s="127" t="s">
        <v>235</v>
      </c>
      <c r="C219" s="279">
        <f t="shared" si="13"/>
        <v>21758</v>
      </c>
      <c r="D219" s="277">
        <f>SUM(D220:D227)</f>
        <v>18689</v>
      </c>
      <c r="E219" s="278">
        <f>SUM(E220:E227)</f>
        <v>0</v>
      </c>
      <c r="F219" s="279">
        <f t="shared" si="14"/>
        <v>18689</v>
      </c>
      <c r="G219" s="277">
        <f>SUM(G220:G227)</f>
        <v>3069</v>
      </c>
      <c r="H219" s="280">
        <f>SUM(H220:H227)</f>
        <v>0</v>
      </c>
      <c r="I219" s="136">
        <f t="shared" si="15"/>
        <v>3069</v>
      </c>
      <c r="J219" s="277">
        <f>SUM(J220:J227)</f>
        <v>0</v>
      </c>
      <c r="K219" s="280">
        <f>SUM(K220:K227)</f>
        <v>0</v>
      </c>
      <c r="L219" s="136">
        <f t="shared" si="16"/>
        <v>0</v>
      </c>
      <c r="M219" s="281">
        <f>SUM(M220:M227)</f>
        <v>0</v>
      </c>
      <c r="N219" s="282">
        <f>SUM(N220:N227)</f>
        <v>0</v>
      </c>
      <c r="O219" s="136">
        <f t="shared" si="17"/>
        <v>0</v>
      </c>
      <c r="P219" s="85"/>
      <c r="R219" s="53"/>
      <c r="S219" s="53"/>
      <c r="T219" s="53"/>
    </row>
    <row r="220" spans="1:20" hidden="1" x14ac:dyDescent="0.25">
      <c r="A220" s="76">
        <v>5231</v>
      </c>
      <c r="B220" s="127" t="s">
        <v>236</v>
      </c>
      <c r="C220" s="279">
        <f t="shared" si="13"/>
        <v>0</v>
      </c>
      <c r="D220" s="134"/>
      <c r="E220" s="283"/>
      <c r="F220" s="279">
        <f t="shared" si="14"/>
        <v>0</v>
      </c>
      <c r="G220" s="134"/>
      <c r="H220" s="135"/>
      <c r="I220" s="136">
        <f t="shared" si="15"/>
        <v>0</v>
      </c>
      <c r="J220" s="134"/>
      <c r="K220" s="135"/>
      <c r="L220" s="136">
        <f t="shared" si="16"/>
        <v>0</v>
      </c>
      <c r="M220" s="284"/>
      <c r="N220" s="285"/>
      <c r="O220" s="136">
        <f t="shared" si="17"/>
        <v>0</v>
      </c>
      <c r="P220" s="85"/>
      <c r="R220" s="53"/>
      <c r="S220" s="53"/>
      <c r="T220" s="53"/>
    </row>
    <row r="221" spans="1:20" x14ac:dyDescent="0.25">
      <c r="A221" s="76">
        <v>5232</v>
      </c>
      <c r="B221" s="127" t="s">
        <v>237</v>
      </c>
      <c r="C221" s="279">
        <f t="shared" si="13"/>
        <v>2710</v>
      </c>
      <c r="D221" s="134">
        <f>3280-570</f>
        <v>2710</v>
      </c>
      <c r="E221" s="283"/>
      <c r="F221" s="279">
        <f t="shared" si="14"/>
        <v>2710</v>
      </c>
      <c r="G221" s="134"/>
      <c r="H221" s="135"/>
      <c r="I221" s="136">
        <f t="shared" si="15"/>
        <v>0</v>
      </c>
      <c r="J221" s="134"/>
      <c r="K221" s="135"/>
      <c r="L221" s="136">
        <f t="shared" si="16"/>
        <v>0</v>
      </c>
      <c r="M221" s="284"/>
      <c r="N221" s="285"/>
      <c r="O221" s="136">
        <f t="shared" si="17"/>
        <v>0</v>
      </c>
      <c r="P221" s="85"/>
      <c r="R221" s="53"/>
      <c r="S221" s="53"/>
      <c r="T221" s="53"/>
    </row>
    <row r="222" spans="1:20" x14ac:dyDescent="0.25">
      <c r="A222" s="76">
        <v>5233</v>
      </c>
      <c r="B222" s="127" t="s">
        <v>238</v>
      </c>
      <c r="C222" s="279">
        <f t="shared" si="13"/>
        <v>3686</v>
      </c>
      <c r="D222" s="134">
        <v>617</v>
      </c>
      <c r="E222" s="283"/>
      <c r="F222" s="279">
        <f t="shared" si="14"/>
        <v>617</v>
      </c>
      <c r="G222" s="134">
        <v>3069</v>
      </c>
      <c r="H222" s="135"/>
      <c r="I222" s="136">
        <f t="shared" si="15"/>
        <v>3069</v>
      </c>
      <c r="J222" s="134"/>
      <c r="K222" s="135"/>
      <c r="L222" s="136">
        <f t="shared" si="16"/>
        <v>0</v>
      </c>
      <c r="M222" s="284"/>
      <c r="N222" s="285"/>
      <c r="O222" s="136">
        <f t="shared" si="17"/>
        <v>0</v>
      </c>
      <c r="P222" s="85"/>
      <c r="R222" s="53"/>
      <c r="S222" s="53"/>
      <c r="T222" s="53"/>
    </row>
    <row r="223" spans="1:20" ht="24" hidden="1" x14ac:dyDescent="0.25">
      <c r="A223" s="76">
        <v>5234</v>
      </c>
      <c r="B223" s="127" t="s">
        <v>239</v>
      </c>
      <c r="C223" s="279">
        <f t="shared" si="13"/>
        <v>0</v>
      </c>
      <c r="D223" s="134"/>
      <c r="E223" s="283"/>
      <c r="F223" s="279">
        <f t="shared" si="14"/>
        <v>0</v>
      </c>
      <c r="G223" s="134"/>
      <c r="H223" s="135"/>
      <c r="I223" s="136">
        <f t="shared" si="15"/>
        <v>0</v>
      </c>
      <c r="J223" s="134"/>
      <c r="K223" s="135"/>
      <c r="L223" s="136">
        <f t="shared" si="16"/>
        <v>0</v>
      </c>
      <c r="M223" s="284"/>
      <c r="N223" s="285"/>
      <c r="O223" s="136">
        <f t="shared" si="17"/>
        <v>0</v>
      </c>
      <c r="P223" s="85"/>
      <c r="R223" s="53"/>
      <c r="S223" s="53"/>
      <c r="T223" s="53"/>
    </row>
    <row r="224" spans="1:20" hidden="1" x14ac:dyDescent="0.25">
      <c r="A224" s="76">
        <v>5236</v>
      </c>
      <c r="B224" s="127" t="s">
        <v>240</v>
      </c>
      <c r="C224" s="279">
        <f t="shared" si="13"/>
        <v>0</v>
      </c>
      <c r="D224" s="134"/>
      <c r="E224" s="283"/>
      <c r="F224" s="279">
        <f t="shared" si="14"/>
        <v>0</v>
      </c>
      <c r="G224" s="134"/>
      <c r="H224" s="135"/>
      <c r="I224" s="136">
        <f t="shared" si="15"/>
        <v>0</v>
      </c>
      <c r="J224" s="134"/>
      <c r="K224" s="135"/>
      <c r="L224" s="136">
        <f t="shared" si="16"/>
        <v>0</v>
      </c>
      <c r="M224" s="284"/>
      <c r="N224" s="285"/>
      <c r="O224" s="136">
        <f t="shared" si="17"/>
        <v>0</v>
      </c>
      <c r="P224" s="85"/>
      <c r="R224" s="53"/>
      <c r="S224" s="53"/>
      <c r="T224" s="53"/>
    </row>
    <row r="225" spans="1:20" hidden="1" x14ac:dyDescent="0.25">
      <c r="A225" s="76">
        <v>5237</v>
      </c>
      <c r="B225" s="127" t="s">
        <v>241</v>
      </c>
      <c r="C225" s="279">
        <f t="shared" si="13"/>
        <v>0</v>
      </c>
      <c r="D225" s="134"/>
      <c r="E225" s="283"/>
      <c r="F225" s="279">
        <f t="shared" si="14"/>
        <v>0</v>
      </c>
      <c r="G225" s="134"/>
      <c r="H225" s="135"/>
      <c r="I225" s="136">
        <f t="shared" si="15"/>
        <v>0</v>
      </c>
      <c r="J225" s="134"/>
      <c r="K225" s="135"/>
      <c r="L225" s="136">
        <f t="shared" si="16"/>
        <v>0</v>
      </c>
      <c r="M225" s="284"/>
      <c r="N225" s="285"/>
      <c r="O225" s="136">
        <f t="shared" si="17"/>
        <v>0</v>
      </c>
      <c r="P225" s="85"/>
      <c r="R225" s="53"/>
      <c r="S225" s="53"/>
      <c r="T225" s="53"/>
    </row>
    <row r="226" spans="1:20" ht="24" x14ac:dyDescent="0.25">
      <c r="A226" s="76">
        <v>5238</v>
      </c>
      <c r="B226" s="127" t="s">
        <v>242</v>
      </c>
      <c r="C226" s="279">
        <f t="shared" si="13"/>
        <v>14792</v>
      </c>
      <c r="D226" s="134">
        <f>7680+1600+270+500+1000+2500+1242</f>
        <v>14792</v>
      </c>
      <c r="E226" s="283"/>
      <c r="F226" s="279">
        <f t="shared" si="14"/>
        <v>14792</v>
      </c>
      <c r="G226" s="134"/>
      <c r="H226" s="135"/>
      <c r="I226" s="136">
        <f t="shared" si="15"/>
        <v>0</v>
      </c>
      <c r="J226" s="134"/>
      <c r="K226" s="135"/>
      <c r="L226" s="136">
        <f t="shared" si="16"/>
        <v>0</v>
      </c>
      <c r="M226" s="284"/>
      <c r="N226" s="285"/>
      <c r="O226" s="136">
        <f t="shared" si="17"/>
        <v>0</v>
      </c>
      <c r="P226" s="85"/>
      <c r="R226" s="53"/>
      <c r="S226" s="53"/>
      <c r="T226" s="53"/>
    </row>
    <row r="227" spans="1:20" ht="24" x14ac:dyDescent="0.25">
      <c r="A227" s="76">
        <v>5239</v>
      </c>
      <c r="B227" s="127" t="s">
        <v>243</v>
      </c>
      <c r="C227" s="279">
        <f t="shared" si="13"/>
        <v>570</v>
      </c>
      <c r="D227" s="134">
        <v>570</v>
      </c>
      <c r="E227" s="283"/>
      <c r="F227" s="279">
        <f t="shared" si="14"/>
        <v>570</v>
      </c>
      <c r="G227" s="134"/>
      <c r="H227" s="135"/>
      <c r="I227" s="136">
        <f t="shared" si="15"/>
        <v>0</v>
      </c>
      <c r="J227" s="134"/>
      <c r="K227" s="135"/>
      <c r="L227" s="136">
        <f t="shared" si="16"/>
        <v>0</v>
      </c>
      <c r="M227" s="284"/>
      <c r="N227" s="285"/>
      <c r="O227" s="136">
        <f t="shared" si="17"/>
        <v>0</v>
      </c>
      <c r="P227" s="85"/>
      <c r="R227" s="53"/>
      <c r="S227" s="53"/>
      <c r="T227" s="53"/>
    </row>
    <row r="228" spans="1:20" ht="24" hidden="1" x14ac:dyDescent="0.25">
      <c r="A228" s="276">
        <v>5240</v>
      </c>
      <c r="B228" s="127" t="s">
        <v>244</v>
      </c>
      <c r="C228" s="279">
        <f t="shared" si="13"/>
        <v>0</v>
      </c>
      <c r="D228" s="134"/>
      <c r="E228" s="283"/>
      <c r="F228" s="279">
        <f t="shared" si="14"/>
        <v>0</v>
      </c>
      <c r="G228" s="134"/>
      <c r="H228" s="135"/>
      <c r="I228" s="136">
        <f t="shared" si="15"/>
        <v>0</v>
      </c>
      <c r="J228" s="134"/>
      <c r="K228" s="135"/>
      <c r="L228" s="136">
        <f t="shared" si="16"/>
        <v>0</v>
      </c>
      <c r="M228" s="284"/>
      <c r="N228" s="285"/>
      <c r="O228" s="136">
        <f t="shared" si="17"/>
        <v>0</v>
      </c>
      <c r="P228" s="85"/>
      <c r="R228" s="53"/>
      <c r="S228" s="53"/>
      <c r="T228" s="53"/>
    </row>
    <row r="229" spans="1:20" hidden="1" x14ac:dyDescent="0.25">
      <c r="A229" s="276">
        <v>5250</v>
      </c>
      <c r="B229" s="127" t="s">
        <v>245</v>
      </c>
      <c r="C229" s="279">
        <f t="shared" si="13"/>
        <v>0</v>
      </c>
      <c r="D229" s="134"/>
      <c r="E229" s="283"/>
      <c r="F229" s="279">
        <f t="shared" si="14"/>
        <v>0</v>
      </c>
      <c r="G229" s="134"/>
      <c r="H229" s="135"/>
      <c r="I229" s="136">
        <f t="shared" si="15"/>
        <v>0</v>
      </c>
      <c r="J229" s="134"/>
      <c r="K229" s="135"/>
      <c r="L229" s="136">
        <f t="shared" si="16"/>
        <v>0</v>
      </c>
      <c r="M229" s="284"/>
      <c r="N229" s="285"/>
      <c r="O229" s="136">
        <f t="shared" si="17"/>
        <v>0</v>
      </c>
      <c r="P229" s="85"/>
      <c r="R229" s="53"/>
      <c r="S229" s="53"/>
      <c r="T229" s="53"/>
    </row>
    <row r="230" spans="1:20" hidden="1" x14ac:dyDescent="0.25">
      <c r="A230" s="276">
        <v>5260</v>
      </c>
      <c r="B230" s="127" t="s">
        <v>246</v>
      </c>
      <c r="C230" s="279">
        <f t="shared" si="13"/>
        <v>0</v>
      </c>
      <c r="D230" s="277">
        <f>SUM(D231)</f>
        <v>0</v>
      </c>
      <c r="E230" s="278">
        <f>SUM(E231)</f>
        <v>0</v>
      </c>
      <c r="F230" s="279">
        <f t="shared" si="14"/>
        <v>0</v>
      </c>
      <c r="G230" s="277">
        <f>SUM(G231)</f>
        <v>0</v>
      </c>
      <c r="H230" s="280">
        <f>SUM(H231)</f>
        <v>0</v>
      </c>
      <c r="I230" s="136">
        <f t="shared" si="15"/>
        <v>0</v>
      </c>
      <c r="J230" s="277">
        <f>SUM(J231)</f>
        <v>0</v>
      </c>
      <c r="K230" s="280">
        <f>SUM(K231)</f>
        <v>0</v>
      </c>
      <c r="L230" s="136">
        <f t="shared" si="16"/>
        <v>0</v>
      </c>
      <c r="M230" s="281">
        <f>SUM(M231)</f>
        <v>0</v>
      </c>
      <c r="N230" s="282">
        <f>SUM(N231)</f>
        <v>0</v>
      </c>
      <c r="O230" s="136">
        <f t="shared" si="17"/>
        <v>0</v>
      </c>
      <c r="P230" s="85"/>
      <c r="R230" s="53"/>
      <c r="S230" s="53"/>
      <c r="T230" s="53"/>
    </row>
    <row r="231" spans="1:20" ht="24" hidden="1" x14ac:dyDescent="0.25">
      <c r="A231" s="76">
        <v>5269</v>
      </c>
      <c r="B231" s="127" t="s">
        <v>247</v>
      </c>
      <c r="C231" s="279">
        <f t="shared" si="13"/>
        <v>0</v>
      </c>
      <c r="D231" s="134"/>
      <c r="E231" s="283"/>
      <c r="F231" s="279">
        <f t="shared" si="14"/>
        <v>0</v>
      </c>
      <c r="G231" s="134"/>
      <c r="H231" s="135"/>
      <c r="I231" s="136">
        <f t="shared" si="15"/>
        <v>0</v>
      </c>
      <c r="J231" s="134"/>
      <c r="K231" s="135"/>
      <c r="L231" s="136">
        <f t="shared" si="16"/>
        <v>0</v>
      </c>
      <c r="M231" s="284"/>
      <c r="N231" s="285"/>
      <c r="O231" s="136">
        <f t="shared" si="17"/>
        <v>0</v>
      </c>
      <c r="P231" s="85"/>
      <c r="R231" s="53"/>
      <c r="S231" s="53"/>
      <c r="T231" s="53"/>
    </row>
    <row r="232" spans="1:20" ht="24" hidden="1" x14ac:dyDescent="0.25">
      <c r="A232" s="254">
        <v>5270</v>
      </c>
      <c r="B232" s="179" t="s">
        <v>248</v>
      </c>
      <c r="C232" s="302">
        <f t="shared" si="13"/>
        <v>0</v>
      </c>
      <c r="D232" s="287"/>
      <c r="E232" s="288"/>
      <c r="F232" s="257">
        <f t="shared" si="14"/>
        <v>0</v>
      </c>
      <c r="G232" s="287"/>
      <c r="H232" s="289"/>
      <c r="I232" s="259">
        <f t="shared" si="15"/>
        <v>0</v>
      </c>
      <c r="J232" s="287"/>
      <c r="K232" s="289"/>
      <c r="L232" s="259">
        <f t="shared" si="16"/>
        <v>0</v>
      </c>
      <c r="M232" s="290"/>
      <c r="N232" s="291"/>
      <c r="O232" s="259">
        <f t="shared" si="17"/>
        <v>0</v>
      </c>
      <c r="P232" s="189"/>
      <c r="R232" s="53"/>
      <c r="S232" s="53"/>
      <c r="T232" s="53"/>
    </row>
    <row r="233" spans="1:20" hidden="1" x14ac:dyDescent="0.25">
      <c r="A233" s="237">
        <v>6000</v>
      </c>
      <c r="B233" s="237" t="s">
        <v>249</v>
      </c>
      <c r="C233" s="238">
        <f t="shared" si="13"/>
        <v>0</v>
      </c>
      <c r="D233" s="239">
        <f>D234+D254+D261</f>
        <v>0</v>
      </c>
      <c r="E233" s="240">
        <f>E234+E254+E261</f>
        <v>0</v>
      </c>
      <c r="F233" s="241">
        <f t="shared" si="14"/>
        <v>0</v>
      </c>
      <c r="G233" s="239">
        <f>G234+G254+G261</f>
        <v>0</v>
      </c>
      <c r="H233" s="242">
        <f>H234+H254+H261</f>
        <v>0</v>
      </c>
      <c r="I233" s="243">
        <f t="shared" si="15"/>
        <v>0</v>
      </c>
      <c r="J233" s="239">
        <f>J234+J254+J261</f>
        <v>0</v>
      </c>
      <c r="K233" s="242">
        <f>K234+K254+K261</f>
        <v>0</v>
      </c>
      <c r="L233" s="243">
        <f t="shared" si="16"/>
        <v>0</v>
      </c>
      <c r="M233" s="244">
        <f>M234+M254+M261</f>
        <v>0</v>
      </c>
      <c r="N233" s="245">
        <f>N234+N254+N261</f>
        <v>0</v>
      </c>
      <c r="O233" s="243">
        <f t="shared" si="17"/>
        <v>0</v>
      </c>
      <c r="P233" s="246"/>
      <c r="R233" s="53"/>
      <c r="S233" s="53"/>
      <c r="T233" s="53"/>
    </row>
    <row r="234" spans="1:20" hidden="1" x14ac:dyDescent="0.25">
      <c r="A234" s="160">
        <v>6200</v>
      </c>
      <c r="B234" s="321" t="s">
        <v>250</v>
      </c>
      <c r="C234" s="333">
        <f t="shared" si="13"/>
        <v>0</v>
      </c>
      <c r="D234" s="334">
        <f>SUM(D235,D236,D238,D241,D247,D248,D249)</f>
        <v>0</v>
      </c>
      <c r="E234" s="684">
        <f>SUM(E235,E236,E238,E241,E247,E248,E249)</f>
        <v>0</v>
      </c>
      <c r="F234" s="648">
        <f t="shared" si="14"/>
        <v>0</v>
      </c>
      <c r="G234" s="334">
        <f>SUM(G235,G236,G238,G241,G247,G248,G249)</f>
        <v>0</v>
      </c>
      <c r="H234" s="336">
        <f>SUM(H235,H236,H238,H241,H247,H248,H249)</f>
        <v>0</v>
      </c>
      <c r="I234" s="252">
        <f t="shared" si="15"/>
        <v>0</v>
      </c>
      <c r="J234" s="334">
        <f>SUM(J235,J236,J238,J241,J247,J248,J249)</f>
        <v>0</v>
      </c>
      <c r="K234" s="336">
        <f>SUM(K235,K236,K238,K241,K247,K248,K249)</f>
        <v>0</v>
      </c>
      <c r="L234" s="252">
        <f t="shared" si="16"/>
        <v>0</v>
      </c>
      <c r="M234" s="250">
        <f>SUM(M235,M236,M238,M241,M247,M248,M249)</f>
        <v>0</v>
      </c>
      <c r="N234" s="251">
        <f>SUM(N235,N236,N238,N241,N247,N248,N249)</f>
        <v>0</v>
      </c>
      <c r="O234" s="252">
        <f t="shared" si="17"/>
        <v>0</v>
      </c>
      <c r="P234" s="253"/>
      <c r="R234" s="53"/>
      <c r="S234" s="53"/>
      <c r="T234" s="53"/>
    </row>
    <row r="235" spans="1:20" ht="24" hidden="1" x14ac:dyDescent="0.25">
      <c r="A235" s="656">
        <v>6220</v>
      </c>
      <c r="B235" s="116" t="s">
        <v>251</v>
      </c>
      <c r="C235" s="298">
        <f t="shared" si="13"/>
        <v>0</v>
      </c>
      <c r="D235" s="123"/>
      <c r="E235" s="295"/>
      <c r="F235" s="296">
        <f t="shared" si="14"/>
        <v>0</v>
      </c>
      <c r="G235" s="123"/>
      <c r="H235" s="124"/>
      <c r="I235" s="125">
        <f t="shared" si="15"/>
        <v>0</v>
      </c>
      <c r="J235" s="123"/>
      <c r="K235" s="124"/>
      <c r="L235" s="125">
        <f t="shared" si="16"/>
        <v>0</v>
      </c>
      <c r="M235" s="264"/>
      <c r="N235" s="262"/>
      <c r="O235" s="125">
        <f t="shared" si="17"/>
        <v>0</v>
      </c>
      <c r="P235" s="74"/>
      <c r="R235" s="53"/>
      <c r="S235" s="53"/>
      <c r="T235" s="53"/>
    </row>
    <row r="236" spans="1:20" hidden="1" x14ac:dyDescent="0.25">
      <c r="A236" s="276">
        <v>6230</v>
      </c>
      <c r="B236" s="127" t="s">
        <v>252</v>
      </c>
      <c r="C236" s="278">
        <f t="shared" si="13"/>
        <v>0</v>
      </c>
      <c r="D236" s="277">
        <f>SUM(D237)</f>
        <v>0</v>
      </c>
      <c r="E236" s="281">
        <f>SUM(E237)</f>
        <v>0</v>
      </c>
      <c r="F236" s="279">
        <f t="shared" si="14"/>
        <v>0</v>
      </c>
      <c r="G236" s="277">
        <f>SUM(G237)</f>
        <v>0</v>
      </c>
      <c r="H236" s="280">
        <f>SUM(H237)</f>
        <v>0</v>
      </c>
      <c r="I236" s="136">
        <f t="shared" si="15"/>
        <v>0</v>
      </c>
      <c r="J236" s="277">
        <f>SUM(J237)</f>
        <v>0</v>
      </c>
      <c r="K236" s="280">
        <f>SUM(K237)</f>
        <v>0</v>
      </c>
      <c r="L236" s="136">
        <f t="shared" si="16"/>
        <v>0</v>
      </c>
      <c r="M236" s="277">
        <f>SUM(M237)</f>
        <v>0</v>
      </c>
      <c r="N236" s="280">
        <f>SUM(N237)</f>
        <v>0</v>
      </c>
      <c r="O236" s="136">
        <f t="shared" si="17"/>
        <v>0</v>
      </c>
      <c r="P236" s="85"/>
      <c r="R236" s="53"/>
      <c r="S236" s="53"/>
      <c r="T236" s="53"/>
    </row>
    <row r="237" spans="1:20" ht="24" hidden="1" x14ac:dyDescent="0.25">
      <c r="A237" s="76">
        <v>6239</v>
      </c>
      <c r="B237" s="116" t="s">
        <v>253</v>
      </c>
      <c r="C237" s="278">
        <f t="shared" si="13"/>
        <v>0</v>
      </c>
      <c r="D237" s="134"/>
      <c r="E237" s="283"/>
      <c r="F237" s="279">
        <f t="shared" si="14"/>
        <v>0</v>
      </c>
      <c r="G237" s="134"/>
      <c r="H237" s="135"/>
      <c r="I237" s="136">
        <f t="shared" si="15"/>
        <v>0</v>
      </c>
      <c r="J237" s="134"/>
      <c r="K237" s="135"/>
      <c r="L237" s="136">
        <f t="shared" si="16"/>
        <v>0</v>
      </c>
      <c r="M237" s="284"/>
      <c r="N237" s="285"/>
      <c r="O237" s="136">
        <f t="shared" si="17"/>
        <v>0</v>
      </c>
      <c r="P237" s="85"/>
      <c r="R237" s="53"/>
      <c r="S237" s="53"/>
      <c r="T237" s="53"/>
    </row>
    <row r="238" spans="1:20" ht="24" hidden="1" x14ac:dyDescent="0.25">
      <c r="A238" s="276">
        <v>6240</v>
      </c>
      <c r="B238" s="127" t="s">
        <v>254</v>
      </c>
      <c r="C238" s="278">
        <f t="shared" si="13"/>
        <v>0</v>
      </c>
      <c r="D238" s="277">
        <f>SUM(D239:D240)</f>
        <v>0</v>
      </c>
      <c r="E238" s="278">
        <f>SUM(E239:E240)</f>
        <v>0</v>
      </c>
      <c r="F238" s="279">
        <f t="shared" si="14"/>
        <v>0</v>
      </c>
      <c r="G238" s="277">
        <f>SUM(G239:G240)</f>
        <v>0</v>
      </c>
      <c r="H238" s="280">
        <f>SUM(H239:H240)</f>
        <v>0</v>
      </c>
      <c r="I238" s="136">
        <f t="shared" si="15"/>
        <v>0</v>
      </c>
      <c r="J238" s="277">
        <f>SUM(J239:J240)</f>
        <v>0</v>
      </c>
      <c r="K238" s="280">
        <f>SUM(K239:K240)</f>
        <v>0</v>
      </c>
      <c r="L238" s="136">
        <f t="shared" si="16"/>
        <v>0</v>
      </c>
      <c r="M238" s="281">
        <f>SUM(M239:M240)</f>
        <v>0</v>
      </c>
      <c r="N238" s="282">
        <f>SUM(N239:N240)</f>
        <v>0</v>
      </c>
      <c r="O238" s="136">
        <f t="shared" si="17"/>
        <v>0</v>
      </c>
      <c r="P238" s="85"/>
      <c r="R238" s="53"/>
      <c r="S238" s="53"/>
      <c r="T238" s="53"/>
    </row>
    <row r="239" spans="1:20" hidden="1" x14ac:dyDescent="0.25">
      <c r="A239" s="76">
        <v>6241</v>
      </c>
      <c r="B239" s="127" t="s">
        <v>255</v>
      </c>
      <c r="C239" s="278">
        <f t="shared" si="13"/>
        <v>0</v>
      </c>
      <c r="D239" s="134"/>
      <c r="E239" s="283"/>
      <c r="F239" s="279">
        <f t="shared" si="14"/>
        <v>0</v>
      </c>
      <c r="G239" s="134"/>
      <c r="H239" s="135"/>
      <c r="I239" s="136">
        <f t="shared" si="15"/>
        <v>0</v>
      </c>
      <c r="J239" s="134"/>
      <c r="K239" s="135"/>
      <c r="L239" s="136">
        <f t="shared" si="16"/>
        <v>0</v>
      </c>
      <c r="M239" s="284"/>
      <c r="N239" s="285"/>
      <c r="O239" s="136">
        <f t="shared" si="17"/>
        <v>0</v>
      </c>
      <c r="P239" s="85"/>
      <c r="R239" s="53"/>
      <c r="S239" s="53"/>
      <c r="T239" s="53"/>
    </row>
    <row r="240" spans="1:20" hidden="1" x14ac:dyDescent="0.25">
      <c r="A240" s="76">
        <v>6242</v>
      </c>
      <c r="B240" s="127" t="s">
        <v>256</v>
      </c>
      <c r="C240" s="278">
        <f t="shared" si="13"/>
        <v>0</v>
      </c>
      <c r="D240" s="134"/>
      <c r="E240" s="283"/>
      <c r="F240" s="279">
        <f t="shared" si="14"/>
        <v>0</v>
      </c>
      <c r="G240" s="134"/>
      <c r="H240" s="135"/>
      <c r="I240" s="136">
        <f t="shared" si="15"/>
        <v>0</v>
      </c>
      <c r="J240" s="134"/>
      <c r="K240" s="135"/>
      <c r="L240" s="136">
        <f t="shared" si="16"/>
        <v>0</v>
      </c>
      <c r="M240" s="284"/>
      <c r="N240" s="285"/>
      <c r="O240" s="136">
        <f t="shared" si="17"/>
        <v>0</v>
      </c>
      <c r="P240" s="85"/>
      <c r="R240" s="53"/>
      <c r="S240" s="53"/>
      <c r="T240" s="53"/>
    </row>
    <row r="241" spans="1:20" ht="24" hidden="1" x14ac:dyDescent="0.25">
      <c r="A241" s="276">
        <v>6250</v>
      </c>
      <c r="B241" s="127" t="s">
        <v>257</v>
      </c>
      <c r="C241" s="278">
        <f t="shared" si="13"/>
        <v>0</v>
      </c>
      <c r="D241" s="277">
        <f>SUM(D242:D246)</f>
        <v>0</v>
      </c>
      <c r="E241" s="278">
        <f>SUM(E242:E246)</f>
        <v>0</v>
      </c>
      <c r="F241" s="279">
        <f t="shared" si="14"/>
        <v>0</v>
      </c>
      <c r="G241" s="277">
        <f>SUM(G242:G246)</f>
        <v>0</v>
      </c>
      <c r="H241" s="280">
        <f>SUM(H242:H246)</f>
        <v>0</v>
      </c>
      <c r="I241" s="136">
        <f t="shared" si="15"/>
        <v>0</v>
      </c>
      <c r="J241" s="277">
        <f>SUM(J242:J246)</f>
        <v>0</v>
      </c>
      <c r="K241" s="280">
        <f>SUM(K242:K246)</f>
        <v>0</v>
      </c>
      <c r="L241" s="136">
        <f t="shared" si="16"/>
        <v>0</v>
      </c>
      <c r="M241" s="281">
        <f>SUM(M242:M246)</f>
        <v>0</v>
      </c>
      <c r="N241" s="282">
        <f>SUM(N242:N246)</f>
        <v>0</v>
      </c>
      <c r="O241" s="136">
        <f t="shared" si="17"/>
        <v>0</v>
      </c>
      <c r="P241" s="85"/>
      <c r="R241" s="53"/>
      <c r="S241" s="53"/>
      <c r="T241" s="53"/>
    </row>
    <row r="242" spans="1:20" hidden="1" x14ac:dyDescent="0.25">
      <c r="A242" s="76">
        <v>6252</v>
      </c>
      <c r="B242" s="127" t="s">
        <v>258</v>
      </c>
      <c r="C242" s="278">
        <f t="shared" si="13"/>
        <v>0</v>
      </c>
      <c r="D242" s="134"/>
      <c r="E242" s="283"/>
      <c r="F242" s="279">
        <f t="shared" si="14"/>
        <v>0</v>
      </c>
      <c r="G242" s="134"/>
      <c r="H242" s="135"/>
      <c r="I242" s="136">
        <f t="shared" si="15"/>
        <v>0</v>
      </c>
      <c r="J242" s="134"/>
      <c r="K242" s="135"/>
      <c r="L242" s="136">
        <f t="shared" si="16"/>
        <v>0</v>
      </c>
      <c r="M242" s="284"/>
      <c r="N242" s="285"/>
      <c r="O242" s="136">
        <f t="shared" si="17"/>
        <v>0</v>
      </c>
      <c r="P242" s="85"/>
      <c r="R242" s="53"/>
      <c r="S242" s="53"/>
      <c r="T242" s="53"/>
    </row>
    <row r="243" spans="1:20" hidden="1" x14ac:dyDescent="0.25">
      <c r="A243" s="76">
        <v>6253</v>
      </c>
      <c r="B243" s="127" t="s">
        <v>259</v>
      </c>
      <c r="C243" s="278">
        <f t="shared" si="13"/>
        <v>0</v>
      </c>
      <c r="D243" s="134"/>
      <c r="E243" s="283"/>
      <c r="F243" s="279">
        <f t="shared" si="14"/>
        <v>0</v>
      </c>
      <c r="G243" s="134"/>
      <c r="H243" s="135"/>
      <c r="I243" s="136">
        <f t="shared" si="15"/>
        <v>0</v>
      </c>
      <c r="J243" s="134"/>
      <c r="K243" s="135"/>
      <c r="L243" s="136">
        <f t="shared" si="16"/>
        <v>0</v>
      </c>
      <c r="M243" s="284"/>
      <c r="N243" s="285"/>
      <c r="O243" s="136">
        <f t="shared" si="17"/>
        <v>0</v>
      </c>
      <c r="P243" s="85"/>
      <c r="R243" s="53"/>
      <c r="S243" s="53"/>
      <c r="T243" s="53"/>
    </row>
    <row r="244" spans="1:20" ht="24" hidden="1" x14ac:dyDescent="0.25">
      <c r="A244" s="76">
        <v>6254</v>
      </c>
      <c r="B244" s="127" t="s">
        <v>260</v>
      </c>
      <c r="C244" s="278">
        <f t="shared" si="13"/>
        <v>0</v>
      </c>
      <c r="D244" s="134"/>
      <c r="E244" s="283"/>
      <c r="F244" s="279">
        <f t="shared" si="14"/>
        <v>0</v>
      </c>
      <c r="G244" s="134"/>
      <c r="H244" s="135"/>
      <c r="I244" s="136">
        <f t="shared" si="15"/>
        <v>0</v>
      </c>
      <c r="J244" s="134"/>
      <c r="K244" s="135"/>
      <c r="L244" s="136">
        <f t="shared" si="16"/>
        <v>0</v>
      </c>
      <c r="M244" s="284"/>
      <c r="N244" s="285"/>
      <c r="O244" s="136">
        <f t="shared" si="17"/>
        <v>0</v>
      </c>
      <c r="P244" s="85"/>
      <c r="R244" s="53"/>
      <c r="S244" s="53"/>
      <c r="T244" s="53"/>
    </row>
    <row r="245" spans="1:20" ht="24" hidden="1" x14ac:dyDescent="0.25">
      <c r="A245" s="76">
        <v>6255</v>
      </c>
      <c r="B245" s="127" t="s">
        <v>261</v>
      </c>
      <c r="C245" s="278">
        <f t="shared" ref="C245:C299" si="18">SUM(F245,I245,L245,O245)</f>
        <v>0</v>
      </c>
      <c r="D245" s="134"/>
      <c r="E245" s="283"/>
      <c r="F245" s="279">
        <f t="shared" ref="F245:F299" si="19">D245+E245</f>
        <v>0</v>
      </c>
      <c r="G245" s="134"/>
      <c r="H245" s="135"/>
      <c r="I245" s="136">
        <f t="shared" ref="I245:I299" si="20">G245+H245</f>
        <v>0</v>
      </c>
      <c r="J245" s="134"/>
      <c r="K245" s="135"/>
      <c r="L245" s="136">
        <f t="shared" ref="L245:L299" si="21">J245+K245</f>
        <v>0</v>
      </c>
      <c r="M245" s="284"/>
      <c r="N245" s="285"/>
      <c r="O245" s="136">
        <f t="shared" ref="O245:O277" si="22">M245+N245</f>
        <v>0</v>
      </c>
      <c r="P245" s="85"/>
      <c r="R245" s="53"/>
      <c r="S245" s="53"/>
      <c r="T245" s="53"/>
    </row>
    <row r="246" spans="1:20" hidden="1" x14ac:dyDescent="0.25">
      <c r="A246" s="76">
        <v>6259</v>
      </c>
      <c r="B246" s="127" t="s">
        <v>262</v>
      </c>
      <c r="C246" s="278">
        <f t="shared" si="18"/>
        <v>0</v>
      </c>
      <c r="D246" s="134"/>
      <c r="E246" s="283"/>
      <c r="F246" s="279">
        <f t="shared" si="19"/>
        <v>0</v>
      </c>
      <c r="G246" s="134"/>
      <c r="H246" s="135"/>
      <c r="I246" s="136">
        <f t="shared" si="20"/>
        <v>0</v>
      </c>
      <c r="J246" s="134"/>
      <c r="K246" s="135"/>
      <c r="L246" s="136">
        <f t="shared" si="21"/>
        <v>0</v>
      </c>
      <c r="M246" s="284"/>
      <c r="N246" s="285"/>
      <c r="O246" s="136">
        <f t="shared" si="22"/>
        <v>0</v>
      </c>
      <c r="P246" s="85"/>
      <c r="R246" s="53"/>
      <c r="S246" s="53"/>
      <c r="T246" s="53"/>
    </row>
    <row r="247" spans="1:20" ht="24" hidden="1" x14ac:dyDescent="0.25">
      <c r="A247" s="276">
        <v>6260</v>
      </c>
      <c r="B247" s="127" t="s">
        <v>263</v>
      </c>
      <c r="C247" s="278">
        <f t="shared" si="18"/>
        <v>0</v>
      </c>
      <c r="D247" s="134"/>
      <c r="E247" s="283"/>
      <c r="F247" s="279">
        <f t="shared" si="19"/>
        <v>0</v>
      </c>
      <c r="G247" s="134"/>
      <c r="H247" s="135"/>
      <c r="I247" s="136">
        <f t="shared" si="20"/>
        <v>0</v>
      </c>
      <c r="J247" s="134"/>
      <c r="K247" s="135"/>
      <c r="L247" s="136">
        <f t="shared" si="21"/>
        <v>0</v>
      </c>
      <c r="M247" s="284"/>
      <c r="N247" s="285"/>
      <c r="O247" s="136">
        <f t="shared" si="22"/>
        <v>0</v>
      </c>
      <c r="P247" s="85"/>
      <c r="R247" s="53"/>
      <c r="S247" s="53"/>
      <c r="T247" s="53"/>
    </row>
    <row r="248" spans="1:20" hidden="1" x14ac:dyDescent="0.25">
      <c r="A248" s="276">
        <v>6270</v>
      </c>
      <c r="B248" s="127" t="s">
        <v>264</v>
      </c>
      <c r="C248" s="278">
        <f t="shared" si="18"/>
        <v>0</v>
      </c>
      <c r="D248" s="134"/>
      <c r="E248" s="283"/>
      <c r="F248" s="279">
        <f t="shared" si="19"/>
        <v>0</v>
      </c>
      <c r="G248" s="134"/>
      <c r="H248" s="135"/>
      <c r="I248" s="136">
        <f t="shared" si="20"/>
        <v>0</v>
      </c>
      <c r="J248" s="134"/>
      <c r="K248" s="135"/>
      <c r="L248" s="136">
        <f t="shared" si="21"/>
        <v>0</v>
      </c>
      <c r="M248" s="284"/>
      <c r="N248" s="285"/>
      <c r="O248" s="136">
        <f t="shared" si="22"/>
        <v>0</v>
      </c>
      <c r="P248" s="85"/>
      <c r="R248" s="53"/>
      <c r="S248" s="53"/>
      <c r="T248" s="53"/>
    </row>
    <row r="249" spans="1:20" ht="24" hidden="1" x14ac:dyDescent="0.25">
      <c r="A249" s="656">
        <v>6290</v>
      </c>
      <c r="B249" s="116" t="s">
        <v>265</v>
      </c>
      <c r="C249" s="278">
        <f t="shared" si="18"/>
        <v>0</v>
      </c>
      <c r="D249" s="297">
        <f>SUM(D250:D253)</f>
        <v>0</v>
      </c>
      <c r="E249" s="298">
        <f>SUM(E250:E253)</f>
        <v>0</v>
      </c>
      <c r="F249" s="296">
        <f t="shared" si="19"/>
        <v>0</v>
      </c>
      <c r="G249" s="297">
        <f>SUM(G250:G253)</f>
        <v>0</v>
      </c>
      <c r="H249" s="299">
        <f>SUM(H250:H253)</f>
        <v>0</v>
      </c>
      <c r="I249" s="125">
        <f t="shared" si="20"/>
        <v>0</v>
      </c>
      <c r="J249" s="297">
        <f>SUM(J250:J253)</f>
        <v>0</v>
      </c>
      <c r="K249" s="299">
        <f>SUM(K250:K253)</f>
        <v>0</v>
      </c>
      <c r="L249" s="125">
        <f t="shared" si="21"/>
        <v>0</v>
      </c>
      <c r="M249" s="322">
        <f>SUM(M250:M253)</f>
        <v>0</v>
      </c>
      <c r="N249" s="323">
        <f>SUM(N250:N253)</f>
        <v>0</v>
      </c>
      <c r="O249" s="324">
        <f t="shared" si="22"/>
        <v>0</v>
      </c>
      <c r="P249" s="325"/>
      <c r="R249" s="53"/>
      <c r="S249" s="53"/>
      <c r="T249" s="53"/>
    </row>
    <row r="250" spans="1:20" hidden="1" x14ac:dyDescent="0.25">
      <c r="A250" s="76">
        <v>6291</v>
      </c>
      <c r="B250" s="127" t="s">
        <v>266</v>
      </c>
      <c r="C250" s="278">
        <f t="shared" si="18"/>
        <v>0</v>
      </c>
      <c r="D250" s="134"/>
      <c r="E250" s="283"/>
      <c r="F250" s="279">
        <f t="shared" si="19"/>
        <v>0</v>
      </c>
      <c r="G250" s="134"/>
      <c r="H250" s="135"/>
      <c r="I250" s="136">
        <f t="shared" si="20"/>
        <v>0</v>
      </c>
      <c r="J250" s="134"/>
      <c r="K250" s="135"/>
      <c r="L250" s="136">
        <f t="shared" si="21"/>
        <v>0</v>
      </c>
      <c r="M250" s="284"/>
      <c r="N250" s="285"/>
      <c r="O250" s="136">
        <f t="shared" si="22"/>
        <v>0</v>
      </c>
      <c r="P250" s="85"/>
      <c r="R250" s="53"/>
      <c r="S250" s="53"/>
      <c r="T250" s="53"/>
    </row>
    <row r="251" spans="1:20" hidden="1" x14ac:dyDescent="0.25">
      <c r="A251" s="76">
        <v>6292</v>
      </c>
      <c r="B251" s="127" t="s">
        <v>267</v>
      </c>
      <c r="C251" s="278">
        <f t="shared" si="18"/>
        <v>0</v>
      </c>
      <c r="D251" s="134"/>
      <c r="E251" s="283"/>
      <c r="F251" s="279">
        <f t="shared" si="19"/>
        <v>0</v>
      </c>
      <c r="G251" s="134"/>
      <c r="H251" s="135"/>
      <c r="I251" s="136">
        <f t="shared" si="20"/>
        <v>0</v>
      </c>
      <c r="J251" s="134"/>
      <c r="K251" s="135"/>
      <c r="L251" s="136">
        <f t="shared" si="21"/>
        <v>0</v>
      </c>
      <c r="M251" s="284"/>
      <c r="N251" s="285"/>
      <c r="O251" s="136">
        <f t="shared" si="22"/>
        <v>0</v>
      </c>
      <c r="P251" s="85"/>
      <c r="R251" s="53"/>
      <c r="S251" s="53"/>
      <c r="T251" s="53"/>
    </row>
    <row r="252" spans="1:20" ht="72" hidden="1" x14ac:dyDescent="0.25">
      <c r="A252" s="76">
        <v>6296</v>
      </c>
      <c r="B252" s="127" t="s">
        <v>268</v>
      </c>
      <c r="C252" s="278">
        <f t="shared" si="18"/>
        <v>0</v>
      </c>
      <c r="D252" s="134"/>
      <c r="E252" s="283"/>
      <c r="F252" s="279">
        <f t="shared" si="19"/>
        <v>0</v>
      </c>
      <c r="G252" s="134"/>
      <c r="H252" s="135"/>
      <c r="I252" s="136">
        <f t="shared" si="20"/>
        <v>0</v>
      </c>
      <c r="J252" s="134"/>
      <c r="K252" s="135"/>
      <c r="L252" s="136">
        <f t="shared" si="21"/>
        <v>0</v>
      </c>
      <c r="M252" s="284"/>
      <c r="N252" s="285"/>
      <c r="O252" s="136">
        <f t="shared" si="22"/>
        <v>0</v>
      </c>
      <c r="P252" s="85"/>
      <c r="R252" s="53"/>
      <c r="S252" s="53"/>
      <c r="T252" s="53"/>
    </row>
    <row r="253" spans="1:20" ht="36" hidden="1" x14ac:dyDescent="0.25">
      <c r="A253" s="76">
        <v>6299</v>
      </c>
      <c r="B253" s="127" t="s">
        <v>269</v>
      </c>
      <c r="C253" s="278">
        <f t="shared" si="18"/>
        <v>0</v>
      </c>
      <c r="D253" s="134"/>
      <c r="E253" s="283"/>
      <c r="F253" s="279">
        <f t="shared" si="19"/>
        <v>0</v>
      </c>
      <c r="G253" s="134"/>
      <c r="H253" s="135"/>
      <c r="I253" s="136">
        <f t="shared" si="20"/>
        <v>0</v>
      </c>
      <c r="J253" s="134"/>
      <c r="K253" s="135"/>
      <c r="L253" s="136">
        <f t="shared" si="21"/>
        <v>0</v>
      </c>
      <c r="M253" s="284"/>
      <c r="N253" s="285"/>
      <c r="O253" s="136">
        <f t="shared" si="22"/>
        <v>0</v>
      </c>
      <c r="P253" s="85"/>
      <c r="R253" s="53"/>
      <c r="S253" s="53"/>
      <c r="T253" s="53"/>
    </row>
    <row r="254" spans="1:20" hidden="1" x14ac:dyDescent="0.25">
      <c r="A254" s="99">
        <v>6300</v>
      </c>
      <c r="B254" s="247" t="s">
        <v>270</v>
      </c>
      <c r="C254" s="100">
        <f t="shared" si="18"/>
        <v>0</v>
      </c>
      <c r="D254" s="112">
        <f>SUM(D255,D259,D260)</f>
        <v>0</v>
      </c>
      <c r="E254" s="248">
        <f>SUM(E255,E259,E260)</f>
        <v>0</v>
      </c>
      <c r="F254" s="249">
        <f t="shared" si="19"/>
        <v>0</v>
      </c>
      <c r="G254" s="112">
        <f>SUM(G255,G259,G260)</f>
        <v>0</v>
      </c>
      <c r="H254" s="113">
        <f>SUM(H255,H259,H260)</f>
        <v>0</v>
      </c>
      <c r="I254" s="114">
        <f t="shared" si="20"/>
        <v>0</v>
      </c>
      <c r="J254" s="112">
        <f>SUM(J255,J259,J260)</f>
        <v>0</v>
      </c>
      <c r="K254" s="113">
        <f>SUM(K255,K259,K260)</f>
        <v>0</v>
      </c>
      <c r="L254" s="114">
        <f t="shared" si="21"/>
        <v>0</v>
      </c>
      <c r="M254" s="303">
        <f>SUM(M255,M259,M260)</f>
        <v>0</v>
      </c>
      <c r="N254" s="304">
        <f>SUM(N255,N259,N260)</f>
        <v>0</v>
      </c>
      <c r="O254" s="305">
        <f t="shared" si="22"/>
        <v>0</v>
      </c>
      <c r="P254" s="306"/>
      <c r="R254" s="53"/>
      <c r="S254" s="53"/>
      <c r="T254" s="53"/>
    </row>
    <row r="255" spans="1:20" ht="24" hidden="1" x14ac:dyDescent="0.25">
      <c r="A255" s="656">
        <v>6320</v>
      </c>
      <c r="B255" s="116" t="s">
        <v>271</v>
      </c>
      <c r="C255" s="322">
        <f t="shared" si="18"/>
        <v>0</v>
      </c>
      <c r="D255" s="297">
        <f>SUM(D256:D258)</f>
        <v>0</v>
      </c>
      <c r="E255" s="298">
        <f>SUM(E256:E258)</f>
        <v>0</v>
      </c>
      <c r="F255" s="296">
        <f t="shared" si="19"/>
        <v>0</v>
      </c>
      <c r="G255" s="297">
        <f>SUM(G256:G258)</f>
        <v>0</v>
      </c>
      <c r="H255" s="299">
        <f>SUM(H256:H258)</f>
        <v>0</v>
      </c>
      <c r="I255" s="125">
        <f t="shared" si="20"/>
        <v>0</v>
      </c>
      <c r="J255" s="297">
        <f>SUM(J256:J258)</f>
        <v>0</v>
      </c>
      <c r="K255" s="299">
        <f>SUM(K256:K258)</f>
        <v>0</v>
      </c>
      <c r="L255" s="125">
        <f t="shared" si="21"/>
        <v>0</v>
      </c>
      <c r="M255" s="300">
        <f>SUM(M256:M258)</f>
        <v>0</v>
      </c>
      <c r="N255" s="301">
        <f>SUM(N256:N258)</f>
        <v>0</v>
      </c>
      <c r="O255" s="125">
        <f t="shared" si="22"/>
        <v>0</v>
      </c>
      <c r="P255" s="74"/>
      <c r="R255" s="53"/>
      <c r="S255" s="53"/>
      <c r="T255" s="53"/>
    </row>
    <row r="256" spans="1:20" hidden="1" x14ac:dyDescent="0.25">
      <c r="A256" s="76">
        <v>6322</v>
      </c>
      <c r="B256" s="127" t="s">
        <v>272</v>
      </c>
      <c r="C256" s="281">
        <f t="shared" si="18"/>
        <v>0</v>
      </c>
      <c r="D256" s="134"/>
      <c r="E256" s="283"/>
      <c r="F256" s="279">
        <f t="shared" si="19"/>
        <v>0</v>
      </c>
      <c r="G256" s="134"/>
      <c r="H256" s="135"/>
      <c r="I256" s="136">
        <f t="shared" si="20"/>
        <v>0</v>
      </c>
      <c r="J256" s="134"/>
      <c r="K256" s="135"/>
      <c r="L256" s="136">
        <f t="shared" si="21"/>
        <v>0</v>
      </c>
      <c r="M256" s="284"/>
      <c r="N256" s="285"/>
      <c r="O256" s="136">
        <f t="shared" si="22"/>
        <v>0</v>
      </c>
      <c r="P256" s="85"/>
      <c r="R256" s="53"/>
      <c r="S256" s="53"/>
      <c r="T256" s="53"/>
    </row>
    <row r="257" spans="1:20" ht="24" hidden="1" x14ac:dyDescent="0.25">
      <c r="A257" s="76">
        <v>6323</v>
      </c>
      <c r="B257" s="127" t="s">
        <v>273</v>
      </c>
      <c r="C257" s="281">
        <f t="shared" si="18"/>
        <v>0</v>
      </c>
      <c r="D257" s="134"/>
      <c r="E257" s="283"/>
      <c r="F257" s="279">
        <f t="shared" si="19"/>
        <v>0</v>
      </c>
      <c r="G257" s="134"/>
      <c r="H257" s="135"/>
      <c r="I257" s="136">
        <f t="shared" si="20"/>
        <v>0</v>
      </c>
      <c r="J257" s="134"/>
      <c r="K257" s="135"/>
      <c r="L257" s="136">
        <f t="shared" si="21"/>
        <v>0</v>
      </c>
      <c r="M257" s="284"/>
      <c r="N257" s="285"/>
      <c r="O257" s="136">
        <f t="shared" si="22"/>
        <v>0</v>
      </c>
      <c r="P257" s="85"/>
      <c r="R257" s="53"/>
      <c r="S257" s="53"/>
      <c r="T257" s="53"/>
    </row>
    <row r="258" spans="1:20" ht="24" hidden="1" x14ac:dyDescent="0.25">
      <c r="A258" s="66">
        <v>6324</v>
      </c>
      <c r="B258" s="116" t="s">
        <v>274</v>
      </c>
      <c r="C258" s="281">
        <f t="shared" si="18"/>
        <v>0</v>
      </c>
      <c r="D258" s="123"/>
      <c r="E258" s="295"/>
      <c r="F258" s="296">
        <f t="shared" si="19"/>
        <v>0</v>
      </c>
      <c r="G258" s="123"/>
      <c r="H258" s="124"/>
      <c r="I258" s="125">
        <f t="shared" si="20"/>
        <v>0</v>
      </c>
      <c r="J258" s="123"/>
      <c r="K258" s="124"/>
      <c r="L258" s="125">
        <f t="shared" si="21"/>
        <v>0</v>
      </c>
      <c r="M258" s="264"/>
      <c r="N258" s="262"/>
      <c r="O258" s="125">
        <f t="shared" si="22"/>
        <v>0</v>
      </c>
      <c r="P258" s="74"/>
      <c r="R258" s="53"/>
      <c r="S258" s="53"/>
      <c r="T258" s="53"/>
    </row>
    <row r="259" spans="1:20" ht="24" hidden="1" x14ac:dyDescent="0.25">
      <c r="A259" s="344">
        <v>6330</v>
      </c>
      <c r="B259" s="345" t="s">
        <v>275</v>
      </c>
      <c r="C259" s="281">
        <f t="shared" si="18"/>
        <v>0</v>
      </c>
      <c r="D259" s="328"/>
      <c r="E259" s="683"/>
      <c r="F259" s="647">
        <f t="shared" si="19"/>
        <v>0</v>
      </c>
      <c r="G259" s="328"/>
      <c r="H259" s="331"/>
      <c r="I259" s="324">
        <f t="shared" si="20"/>
        <v>0</v>
      </c>
      <c r="J259" s="328"/>
      <c r="K259" s="331"/>
      <c r="L259" s="324">
        <f t="shared" si="21"/>
        <v>0</v>
      </c>
      <c r="M259" s="332"/>
      <c r="N259" s="329"/>
      <c r="O259" s="324">
        <f t="shared" si="22"/>
        <v>0</v>
      </c>
      <c r="P259" s="325"/>
      <c r="R259" s="53"/>
      <c r="S259" s="53"/>
      <c r="T259" s="53"/>
    </row>
    <row r="260" spans="1:20" hidden="1" x14ac:dyDescent="0.25">
      <c r="A260" s="276">
        <v>6360</v>
      </c>
      <c r="B260" s="127" t="s">
        <v>276</v>
      </c>
      <c r="C260" s="281">
        <f t="shared" si="18"/>
        <v>0</v>
      </c>
      <c r="D260" s="134"/>
      <c r="E260" s="283"/>
      <c r="F260" s="279">
        <f t="shared" si="19"/>
        <v>0</v>
      </c>
      <c r="G260" s="134"/>
      <c r="H260" s="135"/>
      <c r="I260" s="136">
        <f t="shared" si="20"/>
        <v>0</v>
      </c>
      <c r="J260" s="134"/>
      <c r="K260" s="135"/>
      <c r="L260" s="136">
        <f t="shared" si="21"/>
        <v>0</v>
      </c>
      <c r="M260" s="284"/>
      <c r="N260" s="285"/>
      <c r="O260" s="136">
        <f t="shared" si="22"/>
        <v>0</v>
      </c>
      <c r="P260" s="85"/>
      <c r="R260" s="53"/>
      <c r="S260" s="53"/>
      <c r="T260" s="53"/>
    </row>
    <row r="261" spans="1:20" ht="36" hidden="1" x14ac:dyDescent="0.25">
      <c r="A261" s="99">
        <v>6400</v>
      </c>
      <c r="B261" s="247" t="s">
        <v>277</v>
      </c>
      <c r="C261" s="100">
        <f t="shared" si="18"/>
        <v>0</v>
      </c>
      <c r="D261" s="112">
        <f>SUM(D262,D266)</f>
        <v>0</v>
      </c>
      <c r="E261" s="248">
        <f>SUM(E262,E266)</f>
        <v>0</v>
      </c>
      <c r="F261" s="249">
        <f t="shared" si="19"/>
        <v>0</v>
      </c>
      <c r="G261" s="112">
        <f>SUM(G262,G266)</f>
        <v>0</v>
      </c>
      <c r="H261" s="113">
        <f>SUM(H262,H266)</f>
        <v>0</v>
      </c>
      <c r="I261" s="114">
        <f t="shared" si="20"/>
        <v>0</v>
      </c>
      <c r="J261" s="112">
        <f>SUM(J262,J266)</f>
        <v>0</v>
      </c>
      <c r="K261" s="113">
        <f>SUM(K262,K266)</f>
        <v>0</v>
      </c>
      <c r="L261" s="114">
        <f t="shared" si="21"/>
        <v>0</v>
      </c>
      <c r="M261" s="303">
        <f>SUM(M262,M266)</f>
        <v>0</v>
      </c>
      <c r="N261" s="304">
        <f>SUM(N262,N266)</f>
        <v>0</v>
      </c>
      <c r="O261" s="305">
        <f t="shared" si="22"/>
        <v>0</v>
      </c>
      <c r="P261" s="306"/>
      <c r="R261" s="53"/>
      <c r="S261" s="53"/>
      <c r="T261" s="53"/>
    </row>
    <row r="262" spans="1:20" ht="24" hidden="1" x14ac:dyDescent="0.25">
      <c r="A262" s="656">
        <v>6410</v>
      </c>
      <c r="B262" s="116" t="s">
        <v>278</v>
      </c>
      <c r="C262" s="300">
        <f t="shared" si="18"/>
        <v>0</v>
      </c>
      <c r="D262" s="297">
        <f>SUM(D263:D265)</f>
        <v>0</v>
      </c>
      <c r="E262" s="298">
        <f>SUM(E263:E265)</f>
        <v>0</v>
      </c>
      <c r="F262" s="296">
        <f t="shared" si="19"/>
        <v>0</v>
      </c>
      <c r="G262" s="297">
        <f>SUM(G263:G265)</f>
        <v>0</v>
      </c>
      <c r="H262" s="299">
        <f>SUM(H263:H265)</f>
        <v>0</v>
      </c>
      <c r="I262" s="125">
        <f t="shared" si="20"/>
        <v>0</v>
      </c>
      <c r="J262" s="297">
        <f>SUM(J263:J265)</f>
        <v>0</v>
      </c>
      <c r="K262" s="299">
        <f>SUM(K263:K265)</f>
        <v>0</v>
      </c>
      <c r="L262" s="125">
        <f t="shared" si="21"/>
        <v>0</v>
      </c>
      <c r="M262" s="317">
        <f>SUM(M263:M265)</f>
        <v>0</v>
      </c>
      <c r="N262" s="318">
        <f>SUM(N263:N265)</f>
        <v>0</v>
      </c>
      <c r="O262" s="151">
        <f t="shared" si="22"/>
        <v>0</v>
      </c>
      <c r="P262" s="153"/>
      <c r="R262" s="53"/>
      <c r="S262" s="53"/>
      <c r="T262" s="53"/>
    </row>
    <row r="263" spans="1:20" hidden="1" x14ac:dyDescent="0.25">
      <c r="A263" s="76">
        <v>6411</v>
      </c>
      <c r="B263" s="346" t="s">
        <v>279</v>
      </c>
      <c r="C263" s="278">
        <f t="shared" si="18"/>
        <v>0</v>
      </c>
      <c r="D263" s="134"/>
      <c r="E263" s="283"/>
      <c r="F263" s="279">
        <f t="shared" si="19"/>
        <v>0</v>
      </c>
      <c r="G263" s="134"/>
      <c r="H263" s="135"/>
      <c r="I263" s="136">
        <f t="shared" si="20"/>
        <v>0</v>
      </c>
      <c r="J263" s="134"/>
      <c r="K263" s="135"/>
      <c r="L263" s="136">
        <f t="shared" si="21"/>
        <v>0</v>
      </c>
      <c r="M263" s="284"/>
      <c r="N263" s="285"/>
      <c r="O263" s="136">
        <f t="shared" si="22"/>
        <v>0</v>
      </c>
      <c r="P263" s="85"/>
      <c r="R263" s="53"/>
      <c r="S263" s="53"/>
      <c r="T263" s="53"/>
    </row>
    <row r="264" spans="1:20" ht="36" hidden="1" x14ac:dyDescent="0.25">
      <c r="A264" s="76">
        <v>6412</v>
      </c>
      <c r="B264" s="127" t="s">
        <v>280</v>
      </c>
      <c r="C264" s="278">
        <f t="shared" si="18"/>
        <v>0</v>
      </c>
      <c r="D264" s="134"/>
      <c r="E264" s="283"/>
      <c r="F264" s="279">
        <f t="shared" si="19"/>
        <v>0</v>
      </c>
      <c r="G264" s="134"/>
      <c r="H264" s="135"/>
      <c r="I264" s="136">
        <f t="shared" si="20"/>
        <v>0</v>
      </c>
      <c r="J264" s="134"/>
      <c r="K264" s="135"/>
      <c r="L264" s="136">
        <f t="shared" si="21"/>
        <v>0</v>
      </c>
      <c r="M264" s="284"/>
      <c r="N264" s="285"/>
      <c r="O264" s="136">
        <f t="shared" si="22"/>
        <v>0</v>
      </c>
      <c r="P264" s="85"/>
      <c r="R264" s="53"/>
      <c r="S264" s="53"/>
      <c r="T264" s="53"/>
    </row>
    <row r="265" spans="1:20" ht="36" hidden="1" x14ac:dyDescent="0.25">
      <c r="A265" s="76">
        <v>6419</v>
      </c>
      <c r="B265" s="127" t="s">
        <v>281</v>
      </c>
      <c r="C265" s="278">
        <f t="shared" si="18"/>
        <v>0</v>
      </c>
      <c r="D265" s="134"/>
      <c r="E265" s="283"/>
      <c r="F265" s="279">
        <f t="shared" si="19"/>
        <v>0</v>
      </c>
      <c r="G265" s="134"/>
      <c r="H265" s="135"/>
      <c r="I265" s="136">
        <f t="shared" si="20"/>
        <v>0</v>
      </c>
      <c r="J265" s="134"/>
      <c r="K265" s="135"/>
      <c r="L265" s="136">
        <f t="shared" si="21"/>
        <v>0</v>
      </c>
      <c r="M265" s="284"/>
      <c r="N265" s="285"/>
      <c r="O265" s="136">
        <f t="shared" si="22"/>
        <v>0</v>
      </c>
      <c r="P265" s="85"/>
      <c r="R265" s="53"/>
      <c r="S265" s="53"/>
      <c r="T265" s="53"/>
    </row>
    <row r="266" spans="1:20" ht="36" hidden="1" x14ac:dyDescent="0.25">
      <c r="A266" s="276">
        <v>6420</v>
      </c>
      <c r="B266" s="127" t="s">
        <v>282</v>
      </c>
      <c r="C266" s="278">
        <f t="shared" si="18"/>
        <v>0</v>
      </c>
      <c r="D266" s="277">
        <f>SUM(D267:D270)</f>
        <v>0</v>
      </c>
      <c r="E266" s="278">
        <f>SUM(E267:E270)</f>
        <v>0</v>
      </c>
      <c r="F266" s="279">
        <f t="shared" si="19"/>
        <v>0</v>
      </c>
      <c r="G266" s="277">
        <f>SUM(G267:G270)</f>
        <v>0</v>
      </c>
      <c r="H266" s="280">
        <f>SUM(H267:H270)</f>
        <v>0</v>
      </c>
      <c r="I266" s="136">
        <f t="shared" si="20"/>
        <v>0</v>
      </c>
      <c r="J266" s="277">
        <f>SUM(J267:J270)</f>
        <v>0</v>
      </c>
      <c r="K266" s="280">
        <f>SUM(K267:K270)</f>
        <v>0</v>
      </c>
      <c r="L266" s="136">
        <f t="shared" si="21"/>
        <v>0</v>
      </c>
      <c r="M266" s="281">
        <f>SUM(M267:M270)</f>
        <v>0</v>
      </c>
      <c r="N266" s="282">
        <f>SUM(N267:N270)</f>
        <v>0</v>
      </c>
      <c r="O266" s="136">
        <f t="shared" si="22"/>
        <v>0</v>
      </c>
      <c r="P266" s="85"/>
      <c r="R266" s="53"/>
      <c r="S266" s="53"/>
      <c r="T266" s="53"/>
    </row>
    <row r="267" spans="1:20" hidden="1" x14ac:dyDescent="0.25">
      <c r="A267" s="76">
        <v>6421</v>
      </c>
      <c r="B267" s="127" t="s">
        <v>283</v>
      </c>
      <c r="C267" s="278">
        <f t="shared" si="18"/>
        <v>0</v>
      </c>
      <c r="D267" s="134"/>
      <c r="E267" s="283"/>
      <c r="F267" s="279">
        <f t="shared" si="19"/>
        <v>0</v>
      </c>
      <c r="G267" s="134"/>
      <c r="H267" s="135"/>
      <c r="I267" s="136">
        <f t="shared" si="20"/>
        <v>0</v>
      </c>
      <c r="J267" s="134"/>
      <c r="K267" s="135"/>
      <c r="L267" s="136">
        <f t="shared" si="21"/>
        <v>0</v>
      </c>
      <c r="M267" s="284"/>
      <c r="N267" s="285"/>
      <c r="O267" s="136">
        <f t="shared" si="22"/>
        <v>0</v>
      </c>
      <c r="P267" s="85"/>
      <c r="R267" s="53"/>
      <c r="S267" s="53"/>
      <c r="T267" s="53"/>
    </row>
    <row r="268" spans="1:20" hidden="1" x14ac:dyDescent="0.25">
      <c r="A268" s="76">
        <v>6422</v>
      </c>
      <c r="B268" s="127" t="s">
        <v>284</v>
      </c>
      <c r="C268" s="278">
        <f t="shared" si="18"/>
        <v>0</v>
      </c>
      <c r="D268" s="134"/>
      <c r="E268" s="283"/>
      <c r="F268" s="279">
        <f t="shared" si="19"/>
        <v>0</v>
      </c>
      <c r="G268" s="134"/>
      <c r="H268" s="135"/>
      <c r="I268" s="136">
        <f t="shared" si="20"/>
        <v>0</v>
      </c>
      <c r="J268" s="134"/>
      <c r="K268" s="135"/>
      <c r="L268" s="136">
        <f t="shared" si="21"/>
        <v>0</v>
      </c>
      <c r="M268" s="284"/>
      <c r="N268" s="285"/>
      <c r="O268" s="136">
        <f t="shared" si="22"/>
        <v>0</v>
      </c>
      <c r="P268" s="85"/>
      <c r="R268" s="53"/>
      <c r="S268" s="53"/>
      <c r="T268" s="53"/>
    </row>
    <row r="269" spans="1:20" ht="24" hidden="1" x14ac:dyDescent="0.25">
      <c r="A269" s="76">
        <v>6423</v>
      </c>
      <c r="B269" s="127" t="s">
        <v>285</v>
      </c>
      <c r="C269" s="278">
        <f t="shared" si="18"/>
        <v>0</v>
      </c>
      <c r="D269" s="134"/>
      <c r="E269" s="283"/>
      <c r="F269" s="279">
        <f t="shared" si="19"/>
        <v>0</v>
      </c>
      <c r="G269" s="134"/>
      <c r="H269" s="135"/>
      <c r="I269" s="136">
        <f t="shared" si="20"/>
        <v>0</v>
      </c>
      <c r="J269" s="134"/>
      <c r="K269" s="135"/>
      <c r="L269" s="136">
        <f t="shared" si="21"/>
        <v>0</v>
      </c>
      <c r="M269" s="284"/>
      <c r="N269" s="285"/>
      <c r="O269" s="136">
        <f t="shared" si="22"/>
        <v>0</v>
      </c>
      <c r="P269" s="85"/>
      <c r="R269" s="53"/>
      <c r="S269" s="53"/>
      <c r="T269" s="53"/>
    </row>
    <row r="270" spans="1:20" ht="36" hidden="1" x14ac:dyDescent="0.25">
      <c r="A270" s="76">
        <v>6424</v>
      </c>
      <c r="B270" s="127" t="s">
        <v>286</v>
      </c>
      <c r="C270" s="278">
        <f t="shared" si="18"/>
        <v>0</v>
      </c>
      <c r="D270" s="134"/>
      <c r="E270" s="283"/>
      <c r="F270" s="279">
        <f t="shared" si="19"/>
        <v>0</v>
      </c>
      <c r="G270" s="134"/>
      <c r="H270" s="135"/>
      <c r="I270" s="136">
        <f t="shared" si="20"/>
        <v>0</v>
      </c>
      <c r="J270" s="134"/>
      <c r="K270" s="135"/>
      <c r="L270" s="136">
        <f t="shared" si="21"/>
        <v>0</v>
      </c>
      <c r="M270" s="284"/>
      <c r="N270" s="285"/>
      <c r="O270" s="136">
        <f t="shared" si="22"/>
        <v>0</v>
      </c>
      <c r="P270" s="85"/>
      <c r="R270" s="53"/>
      <c r="S270" s="53"/>
      <c r="T270" s="53"/>
    </row>
    <row r="271" spans="1:20" ht="36" hidden="1" x14ac:dyDescent="0.25">
      <c r="A271" s="347">
        <v>7000</v>
      </c>
      <c r="B271" s="347" t="s">
        <v>287</v>
      </c>
      <c r="C271" s="348">
        <f t="shared" si="18"/>
        <v>0</v>
      </c>
      <c r="D271" s="349">
        <f>SUM(D272,D282)</f>
        <v>0</v>
      </c>
      <c r="E271" s="350">
        <f>SUM(E272,E282)</f>
        <v>0</v>
      </c>
      <c r="F271" s="351">
        <f t="shared" si="19"/>
        <v>0</v>
      </c>
      <c r="G271" s="349">
        <f>SUM(G272,G282)</f>
        <v>0</v>
      </c>
      <c r="H271" s="352">
        <f>SUM(H272,H282)</f>
        <v>0</v>
      </c>
      <c r="I271" s="353">
        <f t="shared" si="20"/>
        <v>0</v>
      </c>
      <c r="J271" s="349">
        <f>SUM(J272,J282)</f>
        <v>0</v>
      </c>
      <c r="K271" s="352">
        <f>SUM(K272,K282)</f>
        <v>0</v>
      </c>
      <c r="L271" s="353">
        <f t="shared" si="21"/>
        <v>0</v>
      </c>
      <c r="M271" s="354">
        <f>SUM(M272,M282)</f>
        <v>0</v>
      </c>
      <c r="N271" s="355">
        <f>SUM(N272,N282)</f>
        <v>0</v>
      </c>
      <c r="O271" s="356">
        <f t="shared" si="22"/>
        <v>0</v>
      </c>
      <c r="P271" s="357"/>
      <c r="R271" s="53"/>
      <c r="S271" s="53"/>
      <c r="T271" s="53"/>
    </row>
    <row r="272" spans="1:20" ht="24" hidden="1" x14ac:dyDescent="0.25">
      <c r="A272" s="99">
        <v>7200</v>
      </c>
      <c r="B272" s="247" t="s">
        <v>288</v>
      </c>
      <c r="C272" s="100">
        <f t="shared" si="18"/>
        <v>0</v>
      </c>
      <c r="D272" s="112">
        <f>SUM(D273,D274,D277,D278,D281)</f>
        <v>0</v>
      </c>
      <c r="E272" s="248">
        <f>SUM(E273,E274,E277,E278,E281)</f>
        <v>0</v>
      </c>
      <c r="F272" s="249">
        <f t="shared" si="19"/>
        <v>0</v>
      </c>
      <c r="G272" s="112">
        <f>SUM(G273,G274,G277,G278,G281)</f>
        <v>0</v>
      </c>
      <c r="H272" s="113">
        <f>SUM(H273,H274,H277,H278,H281)</f>
        <v>0</v>
      </c>
      <c r="I272" s="114">
        <f t="shared" si="20"/>
        <v>0</v>
      </c>
      <c r="J272" s="112">
        <f>SUM(J273,J274,J277,J278,J281)</f>
        <v>0</v>
      </c>
      <c r="K272" s="113">
        <f>SUM(K273,K274,K277,K278,K281)</f>
        <v>0</v>
      </c>
      <c r="L272" s="114">
        <f t="shared" si="21"/>
        <v>0</v>
      </c>
      <c r="M272" s="250">
        <f>SUM(M273,M274,M277,M278,M281)</f>
        <v>0</v>
      </c>
      <c r="N272" s="251">
        <f>SUM(N273,N274,N277,N278,N281)</f>
        <v>0</v>
      </c>
      <c r="O272" s="252">
        <f t="shared" si="22"/>
        <v>0</v>
      </c>
      <c r="P272" s="253"/>
      <c r="R272" s="53"/>
      <c r="S272" s="53"/>
      <c r="T272" s="53"/>
    </row>
    <row r="273" spans="1:20" ht="24" hidden="1" x14ac:dyDescent="0.25">
      <c r="A273" s="656">
        <v>7210</v>
      </c>
      <c r="B273" s="116" t="s">
        <v>289</v>
      </c>
      <c r="C273" s="117">
        <f t="shared" si="18"/>
        <v>0</v>
      </c>
      <c r="D273" s="123"/>
      <c r="E273" s="295"/>
      <c r="F273" s="296">
        <f t="shared" si="19"/>
        <v>0</v>
      </c>
      <c r="G273" s="123"/>
      <c r="H273" s="124"/>
      <c r="I273" s="125">
        <f t="shared" si="20"/>
        <v>0</v>
      </c>
      <c r="J273" s="123"/>
      <c r="K273" s="124"/>
      <c r="L273" s="125">
        <f t="shared" si="21"/>
        <v>0</v>
      </c>
      <c r="M273" s="264"/>
      <c r="N273" s="262"/>
      <c r="O273" s="125">
        <f t="shared" si="22"/>
        <v>0</v>
      </c>
      <c r="P273" s="74"/>
      <c r="R273" s="53"/>
      <c r="S273" s="53"/>
      <c r="T273" s="53"/>
    </row>
    <row r="274" spans="1:20" s="358" customFormat="1" ht="36" hidden="1" x14ac:dyDescent="0.25">
      <c r="A274" s="276">
        <v>7220</v>
      </c>
      <c r="B274" s="127" t="s">
        <v>290</v>
      </c>
      <c r="C274" s="128">
        <f t="shared" si="18"/>
        <v>0</v>
      </c>
      <c r="D274" s="277">
        <f>SUM(D275:D276)</f>
        <v>0</v>
      </c>
      <c r="E274" s="278">
        <f>SUM(E275:E276)</f>
        <v>0</v>
      </c>
      <c r="F274" s="279">
        <f t="shared" si="19"/>
        <v>0</v>
      </c>
      <c r="G274" s="277">
        <f>SUM(G275:G276)</f>
        <v>0</v>
      </c>
      <c r="H274" s="280">
        <f>SUM(H275:H276)</f>
        <v>0</v>
      </c>
      <c r="I274" s="136">
        <f t="shared" si="20"/>
        <v>0</v>
      </c>
      <c r="J274" s="277">
        <f>SUM(J275:J276)</f>
        <v>0</v>
      </c>
      <c r="K274" s="280">
        <f>SUM(K275:K276)</f>
        <v>0</v>
      </c>
      <c r="L274" s="136">
        <f t="shared" si="21"/>
        <v>0</v>
      </c>
      <c r="M274" s="281">
        <f>SUM(M275:M276)</f>
        <v>0</v>
      </c>
      <c r="N274" s="282">
        <f>SUM(N275:N276)</f>
        <v>0</v>
      </c>
      <c r="O274" s="136">
        <f t="shared" si="22"/>
        <v>0</v>
      </c>
      <c r="P274" s="85"/>
      <c r="R274" s="53"/>
      <c r="S274" s="53"/>
      <c r="T274" s="53"/>
    </row>
    <row r="275" spans="1:20" s="358" customFormat="1" ht="36" hidden="1" x14ac:dyDescent="0.25">
      <c r="A275" s="76">
        <v>7221</v>
      </c>
      <c r="B275" s="127" t="s">
        <v>291</v>
      </c>
      <c r="C275" s="128">
        <f t="shared" si="18"/>
        <v>0</v>
      </c>
      <c r="D275" s="134"/>
      <c r="E275" s="283"/>
      <c r="F275" s="279">
        <f t="shared" si="19"/>
        <v>0</v>
      </c>
      <c r="G275" s="134"/>
      <c r="H275" s="135"/>
      <c r="I275" s="136">
        <f t="shared" si="20"/>
        <v>0</v>
      </c>
      <c r="J275" s="134"/>
      <c r="K275" s="135"/>
      <c r="L275" s="136">
        <f t="shared" si="21"/>
        <v>0</v>
      </c>
      <c r="M275" s="284"/>
      <c r="N275" s="285"/>
      <c r="O275" s="136">
        <f t="shared" si="22"/>
        <v>0</v>
      </c>
      <c r="P275" s="85"/>
      <c r="R275" s="53"/>
      <c r="S275" s="53"/>
      <c r="T275" s="53"/>
    </row>
    <row r="276" spans="1:20" s="358" customFormat="1" ht="36" hidden="1" x14ac:dyDescent="0.25">
      <c r="A276" s="76">
        <v>7222</v>
      </c>
      <c r="B276" s="127" t="s">
        <v>292</v>
      </c>
      <c r="C276" s="128">
        <f t="shared" si="18"/>
        <v>0</v>
      </c>
      <c r="D276" s="134"/>
      <c r="E276" s="283"/>
      <c r="F276" s="279">
        <f t="shared" si="19"/>
        <v>0</v>
      </c>
      <c r="G276" s="134"/>
      <c r="H276" s="135"/>
      <c r="I276" s="136">
        <f t="shared" si="20"/>
        <v>0</v>
      </c>
      <c r="J276" s="134"/>
      <c r="K276" s="135"/>
      <c r="L276" s="136">
        <f t="shared" si="21"/>
        <v>0</v>
      </c>
      <c r="M276" s="284"/>
      <c r="N276" s="285"/>
      <c r="O276" s="136">
        <f t="shared" si="22"/>
        <v>0</v>
      </c>
      <c r="P276" s="85"/>
      <c r="R276" s="53"/>
      <c r="S276" s="53"/>
      <c r="T276" s="53"/>
    </row>
    <row r="277" spans="1:20" s="358" customFormat="1" ht="24" hidden="1" x14ac:dyDescent="0.25">
      <c r="A277" s="276">
        <v>7230</v>
      </c>
      <c r="B277" s="127" t="s">
        <v>293</v>
      </c>
      <c r="C277" s="128">
        <f t="shared" si="18"/>
        <v>0</v>
      </c>
      <c r="D277" s="134"/>
      <c r="E277" s="283"/>
      <c r="F277" s="279">
        <f t="shared" si="19"/>
        <v>0</v>
      </c>
      <c r="G277" s="134"/>
      <c r="H277" s="135"/>
      <c r="I277" s="136">
        <f t="shared" si="20"/>
        <v>0</v>
      </c>
      <c r="J277" s="134"/>
      <c r="K277" s="135"/>
      <c r="L277" s="136">
        <f t="shared" si="21"/>
        <v>0</v>
      </c>
      <c r="M277" s="284"/>
      <c r="N277" s="285"/>
      <c r="O277" s="136">
        <f t="shared" si="22"/>
        <v>0</v>
      </c>
      <c r="P277" s="85"/>
      <c r="R277" s="53"/>
      <c r="S277" s="53"/>
      <c r="T277" s="53"/>
    </row>
    <row r="278" spans="1:20" ht="24" hidden="1" x14ac:dyDescent="0.25">
      <c r="A278" s="276">
        <v>7240</v>
      </c>
      <c r="B278" s="127" t="s">
        <v>294</v>
      </c>
      <c r="C278" s="128">
        <f t="shared" si="18"/>
        <v>0</v>
      </c>
      <c r="D278" s="277">
        <f>SUM(D279:D280)</f>
        <v>0</v>
      </c>
      <c r="E278" s="278">
        <f>SUM(E279:E280)</f>
        <v>0</v>
      </c>
      <c r="F278" s="279">
        <f t="shared" si="19"/>
        <v>0</v>
      </c>
      <c r="G278" s="277">
        <f>SUM(G279:G280)</f>
        <v>0</v>
      </c>
      <c r="H278" s="280">
        <f>SUM(H279:H280)</f>
        <v>0</v>
      </c>
      <c r="I278" s="136">
        <f t="shared" si="20"/>
        <v>0</v>
      </c>
      <c r="J278" s="277">
        <f>SUM(J279:J280)</f>
        <v>0</v>
      </c>
      <c r="K278" s="280">
        <f>SUM(K279:K280)</f>
        <v>0</v>
      </c>
      <c r="L278" s="136">
        <f t="shared" si="21"/>
        <v>0</v>
      </c>
      <c r="M278" s="281">
        <f>SUM(M279:M280)</f>
        <v>0</v>
      </c>
      <c r="N278" s="282">
        <f>SUM(N279:N280)</f>
        <v>0</v>
      </c>
      <c r="O278" s="136">
        <f>SUM(O279:O280)</f>
        <v>0</v>
      </c>
      <c r="P278" s="85"/>
      <c r="R278" s="53"/>
      <c r="S278" s="53"/>
      <c r="T278" s="53"/>
    </row>
    <row r="279" spans="1:20" ht="48" hidden="1" x14ac:dyDescent="0.25">
      <c r="A279" s="76">
        <v>7245</v>
      </c>
      <c r="B279" s="127" t="s">
        <v>295</v>
      </c>
      <c r="C279" s="128">
        <f t="shared" si="18"/>
        <v>0</v>
      </c>
      <c r="D279" s="134"/>
      <c r="E279" s="283"/>
      <c r="F279" s="279">
        <f t="shared" si="19"/>
        <v>0</v>
      </c>
      <c r="G279" s="134"/>
      <c r="H279" s="135"/>
      <c r="I279" s="136">
        <f t="shared" si="20"/>
        <v>0</v>
      </c>
      <c r="J279" s="134"/>
      <c r="K279" s="135"/>
      <c r="L279" s="136">
        <f t="shared" si="21"/>
        <v>0</v>
      </c>
      <c r="M279" s="284"/>
      <c r="N279" s="285"/>
      <c r="O279" s="136">
        <f t="shared" ref="O279:O299" si="23">M279+N279</f>
        <v>0</v>
      </c>
      <c r="P279" s="85"/>
      <c r="R279" s="53"/>
      <c r="S279" s="53"/>
      <c r="T279" s="53"/>
    </row>
    <row r="280" spans="1:20" ht="96" hidden="1" x14ac:dyDescent="0.25">
      <c r="A280" s="76">
        <v>7246</v>
      </c>
      <c r="B280" s="127" t="s">
        <v>296</v>
      </c>
      <c r="C280" s="128">
        <f t="shared" si="18"/>
        <v>0</v>
      </c>
      <c r="D280" s="134"/>
      <c r="E280" s="283"/>
      <c r="F280" s="279">
        <f t="shared" si="19"/>
        <v>0</v>
      </c>
      <c r="G280" s="134"/>
      <c r="H280" s="135"/>
      <c r="I280" s="136">
        <f t="shared" si="20"/>
        <v>0</v>
      </c>
      <c r="J280" s="134"/>
      <c r="K280" s="135"/>
      <c r="L280" s="136">
        <f t="shared" si="21"/>
        <v>0</v>
      </c>
      <c r="M280" s="284"/>
      <c r="N280" s="285"/>
      <c r="O280" s="136">
        <f t="shared" si="23"/>
        <v>0</v>
      </c>
      <c r="P280" s="85"/>
      <c r="R280" s="53"/>
      <c r="S280" s="53"/>
      <c r="T280" s="53"/>
    </row>
    <row r="281" spans="1:20" ht="24" hidden="1" x14ac:dyDescent="0.25">
      <c r="A281" s="276">
        <v>7260</v>
      </c>
      <c r="B281" s="127" t="s">
        <v>297</v>
      </c>
      <c r="C281" s="128">
        <f t="shared" si="18"/>
        <v>0</v>
      </c>
      <c r="D281" s="123"/>
      <c r="E281" s="295"/>
      <c r="F281" s="296">
        <f t="shared" si="19"/>
        <v>0</v>
      </c>
      <c r="G281" s="123"/>
      <c r="H281" s="124"/>
      <c r="I281" s="125">
        <f t="shared" si="20"/>
        <v>0</v>
      </c>
      <c r="J281" s="123"/>
      <c r="K281" s="124"/>
      <c r="L281" s="125">
        <f t="shared" si="21"/>
        <v>0</v>
      </c>
      <c r="M281" s="264"/>
      <c r="N281" s="262"/>
      <c r="O281" s="125">
        <f t="shared" si="23"/>
        <v>0</v>
      </c>
      <c r="P281" s="74"/>
      <c r="R281" s="53"/>
      <c r="S281" s="53"/>
      <c r="T281" s="53"/>
    </row>
    <row r="282" spans="1:20" hidden="1" x14ac:dyDescent="0.25">
      <c r="A282" s="99">
        <v>7700</v>
      </c>
      <c r="B282" s="247" t="s">
        <v>298</v>
      </c>
      <c r="C282" s="359">
        <f t="shared" si="18"/>
        <v>0</v>
      </c>
      <c r="D282" s="360">
        <f>D283</f>
        <v>0</v>
      </c>
      <c r="E282" s="679">
        <f>SUM(E283)</f>
        <v>0</v>
      </c>
      <c r="F282" s="302">
        <f t="shared" si="19"/>
        <v>0</v>
      </c>
      <c r="G282" s="360">
        <f>G283</f>
        <v>0</v>
      </c>
      <c r="H282" s="361">
        <f>SUM(H283)</f>
        <v>0</v>
      </c>
      <c r="I282" s="305">
        <f t="shared" si="20"/>
        <v>0</v>
      </c>
      <c r="J282" s="360">
        <f>J283</f>
        <v>0</v>
      </c>
      <c r="K282" s="361">
        <f>SUM(K283)</f>
        <v>0</v>
      </c>
      <c r="L282" s="305">
        <f t="shared" si="21"/>
        <v>0</v>
      </c>
      <c r="M282" s="303">
        <f>SUM(M283)</f>
        <v>0</v>
      </c>
      <c r="N282" s="304">
        <f>SUM(N283)</f>
        <v>0</v>
      </c>
      <c r="O282" s="305">
        <f t="shared" si="23"/>
        <v>0</v>
      </c>
      <c r="P282" s="306"/>
      <c r="R282" s="53"/>
      <c r="S282" s="53"/>
      <c r="T282" s="53"/>
    </row>
    <row r="283" spans="1:20" hidden="1" x14ac:dyDescent="0.25">
      <c r="A283" s="141">
        <v>7720</v>
      </c>
      <c r="B283" s="142" t="s">
        <v>299</v>
      </c>
      <c r="C283" s="362">
        <f t="shared" si="18"/>
        <v>0</v>
      </c>
      <c r="D283" s="149"/>
      <c r="E283" s="686"/>
      <c r="F283" s="362">
        <f t="shared" si="19"/>
        <v>0</v>
      </c>
      <c r="G283" s="149"/>
      <c r="H283" s="150"/>
      <c r="I283" s="151">
        <f t="shared" si="20"/>
        <v>0</v>
      </c>
      <c r="J283" s="149"/>
      <c r="K283" s="150"/>
      <c r="L283" s="151">
        <f t="shared" si="21"/>
        <v>0</v>
      </c>
      <c r="M283" s="365"/>
      <c r="N283" s="363"/>
      <c r="O283" s="151">
        <f t="shared" si="23"/>
        <v>0</v>
      </c>
      <c r="P283" s="153"/>
      <c r="R283" s="53"/>
      <c r="S283" s="53"/>
      <c r="T283" s="53"/>
    </row>
    <row r="284" spans="1:20" hidden="1" x14ac:dyDescent="0.25">
      <c r="A284" s="366"/>
      <c r="B284" s="179" t="s">
        <v>300</v>
      </c>
      <c r="C284" s="117">
        <f t="shared" si="18"/>
        <v>0</v>
      </c>
      <c r="D284" s="255">
        <f>SUM(D285:D286)</f>
        <v>0</v>
      </c>
      <c r="E284" s="256">
        <f>SUM(E285:E286)</f>
        <v>0</v>
      </c>
      <c r="F284" s="257">
        <f t="shared" si="19"/>
        <v>0</v>
      </c>
      <c r="G284" s="255">
        <f>SUM(G285:G286)</f>
        <v>0</v>
      </c>
      <c r="H284" s="258">
        <f>SUM(H285:H286)</f>
        <v>0</v>
      </c>
      <c r="I284" s="259">
        <f t="shared" si="20"/>
        <v>0</v>
      </c>
      <c r="J284" s="255">
        <f>SUM(J285:J286)</f>
        <v>0</v>
      </c>
      <c r="K284" s="258">
        <f>SUM(K285:K286)</f>
        <v>0</v>
      </c>
      <c r="L284" s="259">
        <f t="shared" si="21"/>
        <v>0</v>
      </c>
      <c r="M284" s="260">
        <f>SUM(M285:M286)</f>
        <v>0</v>
      </c>
      <c r="N284" s="261">
        <f>SUM(N285:N286)</f>
        <v>0</v>
      </c>
      <c r="O284" s="259">
        <f t="shared" si="23"/>
        <v>0</v>
      </c>
      <c r="P284" s="189"/>
      <c r="R284" s="53"/>
      <c r="S284" s="53"/>
      <c r="T284" s="53"/>
    </row>
    <row r="285" spans="1:20" hidden="1" x14ac:dyDescent="0.25">
      <c r="A285" s="346" t="s">
        <v>301</v>
      </c>
      <c r="B285" s="76" t="s">
        <v>302</v>
      </c>
      <c r="C285" s="279">
        <f t="shared" si="18"/>
        <v>0</v>
      </c>
      <c r="D285" s="134"/>
      <c r="E285" s="283"/>
      <c r="F285" s="279">
        <f t="shared" si="19"/>
        <v>0</v>
      </c>
      <c r="G285" s="134"/>
      <c r="H285" s="135"/>
      <c r="I285" s="136">
        <f t="shared" si="20"/>
        <v>0</v>
      </c>
      <c r="J285" s="134"/>
      <c r="K285" s="135"/>
      <c r="L285" s="136">
        <f t="shared" si="21"/>
        <v>0</v>
      </c>
      <c r="M285" s="284"/>
      <c r="N285" s="285"/>
      <c r="O285" s="136">
        <f t="shared" si="23"/>
        <v>0</v>
      </c>
      <c r="P285" s="85"/>
      <c r="R285" s="53"/>
      <c r="S285" s="53"/>
      <c r="T285" s="53"/>
    </row>
    <row r="286" spans="1:20" ht="24" hidden="1" x14ac:dyDescent="0.25">
      <c r="A286" s="346" t="s">
        <v>303</v>
      </c>
      <c r="B286" s="367" t="s">
        <v>304</v>
      </c>
      <c r="C286" s="117">
        <f t="shared" si="18"/>
        <v>0</v>
      </c>
      <c r="D286" s="123"/>
      <c r="E286" s="295"/>
      <c r="F286" s="296">
        <f t="shared" si="19"/>
        <v>0</v>
      </c>
      <c r="G286" s="123"/>
      <c r="H286" s="124"/>
      <c r="I286" s="125">
        <f t="shared" si="20"/>
        <v>0</v>
      </c>
      <c r="J286" s="123"/>
      <c r="K286" s="124"/>
      <c r="L286" s="125">
        <f t="shared" si="21"/>
        <v>0</v>
      </c>
      <c r="M286" s="264"/>
      <c r="N286" s="262"/>
      <c r="O286" s="125">
        <f t="shared" si="23"/>
        <v>0</v>
      </c>
      <c r="P286" s="74"/>
      <c r="R286" s="53"/>
      <c r="S286" s="53"/>
      <c r="T286" s="53"/>
    </row>
    <row r="287" spans="1:20" x14ac:dyDescent="0.25">
      <c r="A287" s="368"/>
      <c r="B287" s="369" t="s">
        <v>305</v>
      </c>
      <c r="C287" s="370">
        <f t="shared" si="18"/>
        <v>680960</v>
      </c>
      <c r="D287" s="371">
        <f>SUM(D284,D271,D233,D198,D190,D176,D78,D56)</f>
        <v>446705</v>
      </c>
      <c r="E287" s="372">
        <f>SUM(E284,E271,E233,E198,E190,E176,E78,E56)</f>
        <v>0</v>
      </c>
      <c r="F287" s="373">
        <f t="shared" si="19"/>
        <v>446705</v>
      </c>
      <c r="G287" s="371">
        <f>SUM(G284,G271,G233,G198,G190,G176,G78,G56)</f>
        <v>204544</v>
      </c>
      <c r="H287" s="374">
        <f>SUM(H284,H271,H233,H198,H190,H176,H78,H56)</f>
        <v>0</v>
      </c>
      <c r="I287" s="375">
        <f t="shared" si="20"/>
        <v>204544</v>
      </c>
      <c r="J287" s="371">
        <f>SUM(J284,J271,J233,J198,J190,J176,J78,J56)</f>
        <v>29711</v>
      </c>
      <c r="K287" s="374">
        <f>SUM(K284,K271,K233,K198,K190,K176,K78,K56)</f>
        <v>0</v>
      </c>
      <c r="L287" s="375">
        <f t="shared" si="21"/>
        <v>29711</v>
      </c>
      <c r="M287" s="250">
        <f>SUM(M284,M271,M233,M198,M190,M176,M78,M56)</f>
        <v>0</v>
      </c>
      <c r="N287" s="251">
        <f>SUM(N284,N271,N233,N198,N190,N176,N78,N56)</f>
        <v>0</v>
      </c>
      <c r="O287" s="252">
        <f t="shared" si="23"/>
        <v>0</v>
      </c>
      <c r="P287" s="253"/>
      <c r="R287" s="53"/>
      <c r="S287" s="53"/>
      <c r="T287" s="53"/>
    </row>
    <row r="288" spans="1:20" x14ac:dyDescent="0.25">
      <c r="A288" s="376" t="s">
        <v>306</v>
      </c>
      <c r="B288" s="377"/>
      <c r="C288" s="378">
        <f t="shared" si="18"/>
        <v>-2798</v>
      </c>
      <c r="D288" s="379">
        <f>SUM(D28,D29,D45)-D54</f>
        <v>0</v>
      </c>
      <c r="E288" s="380">
        <f>SUM(E28,E29,E45)-E54</f>
        <v>0</v>
      </c>
      <c r="F288" s="381">
        <f t="shared" si="19"/>
        <v>0</v>
      </c>
      <c r="G288" s="379">
        <f>SUM(G28,G29,G45)-G54</f>
        <v>0</v>
      </c>
      <c r="H288" s="382">
        <f>SUM(H28,H29,H45)-H54</f>
        <v>0</v>
      </c>
      <c r="I288" s="383">
        <f t="shared" si="20"/>
        <v>0</v>
      </c>
      <c r="J288" s="379">
        <f>(J30+J46)-J54</f>
        <v>-2798</v>
      </c>
      <c r="K288" s="382">
        <f>(K30+K46)-K54</f>
        <v>0</v>
      </c>
      <c r="L288" s="383">
        <f t="shared" si="21"/>
        <v>-2798</v>
      </c>
      <c r="M288" s="378">
        <f>M48-M54</f>
        <v>0</v>
      </c>
      <c r="N288" s="384">
        <f>N48-N54</f>
        <v>0</v>
      </c>
      <c r="O288" s="383">
        <f t="shared" si="23"/>
        <v>0</v>
      </c>
      <c r="P288" s="385"/>
      <c r="R288" s="53"/>
      <c r="S288" s="53"/>
      <c r="T288" s="53"/>
    </row>
    <row r="289" spans="1:20" s="41" customFormat="1" x14ac:dyDescent="0.25">
      <c r="A289" s="376" t="s">
        <v>307</v>
      </c>
      <c r="B289" s="377"/>
      <c r="C289" s="380">
        <f t="shared" si="18"/>
        <v>2798</v>
      </c>
      <c r="D289" s="379">
        <f>SUM(D290,D291)-D298+D299</f>
        <v>0</v>
      </c>
      <c r="E289" s="380">
        <f>SUM(E290,E291)-E298+E299</f>
        <v>0</v>
      </c>
      <c r="F289" s="381">
        <f t="shared" si="19"/>
        <v>0</v>
      </c>
      <c r="G289" s="379">
        <f>SUM(G290,G291)-G298+G299</f>
        <v>0</v>
      </c>
      <c r="H289" s="382">
        <f>SUM(H290,H291)-H298+H299</f>
        <v>0</v>
      </c>
      <c r="I289" s="383">
        <f t="shared" si="20"/>
        <v>0</v>
      </c>
      <c r="J289" s="379">
        <f>SUM(J290,J291)-J298+J299</f>
        <v>2798</v>
      </c>
      <c r="K289" s="382">
        <f>SUM(K290,K291)-K298+K299</f>
        <v>0</v>
      </c>
      <c r="L289" s="383">
        <f t="shared" si="21"/>
        <v>2798</v>
      </c>
      <c r="M289" s="378">
        <f>SUM(M290,M291)-M298+M299</f>
        <v>0</v>
      </c>
      <c r="N289" s="384">
        <f>SUM(N290,N291)-N298+N299</f>
        <v>0</v>
      </c>
      <c r="O289" s="383">
        <f t="shared" si="23"/>
        <v>0</v>
      </c>
      <c r="P289" s="385"/>
      <c r="R289" s="53"/>
      <c r="S289" s="53"/>
      <c r="T289" s="53"/>
    </row>
    <row r="290" spans="1:20" s="41" customFormat="1" x14ac:dyDescent="0.25">
      <c r="A290" s="386" t="s">
        <v>308</v>
      </c>
      <c r="B290" s="386" t="s">
        <v>309</v>
      </c>
      <c r="C290" s="380">
        <f t="shared" si="18"/>
        <v>2798</v>
      </c>
      <c r="D290" s="379">
        <f>D25-D284</f>
        <v>0</v>
      </c>
      <c r="E290" s="380">
        <f>E25-E284</f>
        <v>0</v>
      </c>
      <c r="F290" s="381">
        <f t="shared" si="19"/>
        <v>0</v>
      </c>
      <c r="G290" s="379">
        <f>G25-G284</f>
        <v>0</v>
      </c>
      <c r="H290" s="382">
        <f>H25-H284</f>
        <v>0</v>
      </c>
      <c r="I290" s="383">
        <f t="shared" si="20"/>
        <v>0</v>
      </c>
      <c r="J290" s="379">
        <f>J25-J284</f>
        <v>2798</v>
      </c>
      <c r="K290" s="382">
        <f>K25-K284</f>
        <v>0</v>
      </c>
      <c r="L290" s="383">
        <f t="shared" si="21"/>
        <v>2798</v>
      </c>
      <c r="M290" s="378">
        <f>M25-M284</f>
        <v>0</v>
      </c>
      <c r="N290" s="384">
        <f>N25-N284</f>
        <v>0</v>
      </c>
      <c r="O290" s="383">
        <f t="shared" si="23"/>
        <v>0</v>
      </c>
      <c r="P290" s="385"/>
      <c r="R290" s="53"/>
      <c r="S290" s="53"/>
      <c r="T290" s="53"/>
    </row>
    <row r="291" spans="1:20" s="41" customFormat="1" hidden="1" x14ac:dyDescent="0.25">
      <c r="A291" s="387" t="s">
        <v>310</v>
      </c>
      <c r="B291" s="387" t="s">
        <v>311</v>
      </c>
      <c r="C291" s="380">
        <f t="shared" si="18"/>
        <v>0</v>
      </c>
      <c r="D291" s="379">
        <f>SUM(D292,D294,D296)-SUM(D293,D295,D297)</f>
        <v>0</v>
      </c>
      <c r="E291" s="380">
        <f>SUM(E292,E294,E296)-SUM(E293,E295,E297)</f>
        <v>0</v>
      </c>
      <c r="F291" s="381">
        <f t="shared" si="19"/>
        <v>0</v>
      </c>
      <c r="G291" s="379">
        <f>SUM(G292,G294,G296)-SUM(G293,G295,G297)</f>
        <v>0</v>
      </c>
      <c r="H291" s="382">
        <f>SUM(H292,H294,H296)-SUM(H293,H295,H297)</f>
        <v>0</v>
      </c>
      <c r="I291" s="383">
        <f t="shared" si="20"/>
        <v>0</v>
      </c>
      <c r="J291" s="379">
        <f>SUM(J292,J294,J296)-SUM(J293,J295,J297)</f>
        <v>0</v>
      </c>
      <c r="K291" s="382">
        <f>SUM(K292,K294,K296)-SUM(K293,K295,K297)</f>
        <v>0</v>
      </c>
      <c r="L291" s="383">
        <f t="shared" si="21"/>
        <v>0</v>
      </c>
      <c r="M291" s="378">
        <f>SUM(M292,M294,M296)-SUM(M293,M295,M297)</f>
        <v>0</v>
      </c>
      <c r="N291" s="384">
        <f>SUM(N292,N294,N296)-SUM(N293,N295,N297)</f>
        <v>0</v>
      </c>
      <c r="O291" s="383">
        <f t="shared" si="23"/>
        <v>0</v>
      </c>
      <c r="P291" s="385"/>
      <c r="R291" s="53"/>
      <c r="S291" s="53"/>
      <c r="T291" s="53"/>
    </row>
    <row r="292" spans="1:20" s="41" customFormat="1" hidden="1" x14ac:dyDescent="0.25">
      <c r="A292" s="366" t="s">
        <v>312</v>
      </c>
      <c r="B292" s="190" t="s">
        <v>313</v>
      </c>
      <c r="C292" s="143">
        <f t="shared" si="18"/>
        <v>0</v>
      </c>
      <c r="D292" s="149"/>
      <c r="E292" s="686"/>
      <c r="F292" s="362">
        <f t="shared" si="19"/>
        <v>0</v>
      </c>
      <c r="G292" s="149"/>
      <c r="H292" s="150"/>
      <c r="I292" s="151">
        <f t="shared" si="20"/>
        <v>0</v>
      </c>
      <c r="J292" s="149"/>
      <c r="K292" s="150"/>
      <c r="L292" s="151">
        <f t="shared" si="21"/>
        <v>0</v>
      </c>
      <c r="M292" s="365"/>
      <c r="N292" s="363"/>
      <c r="O292" s="151">
        <f t="shared" si="23"/>
        <v>0</v>
      </c>
      <c r="P292" s="153"/>
      <c r="R292" s="53"/>
      <c r="S292" s="53"/>
      <c r="T292" s="53"/>
    </row>
    <row r="293" spans="1:20" ht="24" hidden="1" x14ac:dyDescent="0.25">
      <c r="A293" s="346" t="s">
        <v>314</v>
      </c>
      <c r="B293" s="75" t="s">
        <v>315</v>
      </c>
      <c r="C293" s="128">
        <f t="shared" si="18"/>
        <v>0</v>
      </c>
      <c r="D293" s="134"/>
      <c r="E293" s="283"/>
      <c r="F293" s="279">
        <f t="shared" si="19"/>
        <v>0</v>
      </c>
      <c r="G293" s="134"/>
      <c r="H293" s="135"/>
      <c r="I293" s="136">
        <f t="shared" si="20"/>
        <v>0</v>
      </c>
      <c r="J293" s="134"/>
      <c r="K293" s="135"/>
      <c r="L293" s="136">
        <f t="shared" si="21"/>
        <v>0</v>
      </c>
      <c r="M293" s="284"/>
      <c r="N293" s="285"/>
      <c r="O293" s="136">
        <f t="shared" si="23"/>
        <v>0</v>
      </c>
      <c r="P293" s="85"/>
      <c r="R293" s="53"/>
      <c r="S293" s="53"/>
      <c r="T293" s="53"/>
    </row>
    <row r="294" spans="1:20" hidden="1" x14ac:dyDescent="0.25">
      <c r="A294" s="346" t="s">
        <v>316</v>
      </c>
      <c r="B294" s="75" t="s">
        <v>317</v>
      </c>
      <c r="C294" s="128">
        <f t="shared" si="18"/>
        <v>0</v>
      </c>
      <c r="D294" s="134"/>
      <c r="E294" s="283"/>
      <c r="F294" s="279">
        <f t="shared" si="19"/>
        <v>0</v>
      </c>
      <c r="G294" s="134"/>
      <c r="H294" s="135"/>
      <c r="I294" s="136">
        <f t="shared" si="20"/>
        <v>0</v>
      </c>
      <c r="J294" s="134"/>
      <c r="K294" s="135"/>
      <c r="L294" s="136">
        <f t="shared" si="21"/>
        <v>0</v>
      </c>
      <c r="M294" s="284"/>
      <c r="N294" s="285"/>
      <c r="O294" s="136">
        <f t="shared" si="23"/>
        <v>0</v>
      </c>
      <c r="P294" s="85"/>
      <c r="R294" s="53"/>
      <c r="S294" s="53"/>
      <c r="T294" s="53"/>
    </row>
    <row r="295" spans="1:20" ht="24" hidden="1" x14ac:dyDescent="0.25">
      <c r="A295" s="346" t="s">
        <v>318</v>
      </c>
      <c r="B295" s="75" t="s">
        <v>319</v>
      </c>
      <c r="C295" s="128">
        <f t="shared" si="18"/>
        <v>0</v>
      </c>
      <c r="D295" s="134"/>
      <c r="E295" s="283"/>
      <c r="F295" s="279">
        <f t="shared" si="19"/>
        <v>0</v>
      </c>
      <c r="G295" s="134"/>
      <c r="H295" s="135"/>
      <c r="I295" s="136">
        <f t="shared" si="20"/>
        <v>0</v>
      </c>
      <c r="J295" s="134"/>
      <c r="K295" s="135"/>
      <c r="L295" s="136">
        <f t="shared" si="21"/>
        <v>0</v>
      </c>
      <c r="M295" s="284"/>
      <c r="N295" s="285"/>
      <c r="O295" s="136">
        <f t="shared" si="23"/>
        <v>0</v>
      </c>
      <c r="P295" s="85"/>
      <c r="R295" s="53"/>
      <c r="S295" s="53"/>
      <c r="T295" s="53"/>
    </row>
    <row r="296" spans="1:20" hidden="1" x14ac:dyDescent="0.25">
      <c r="A296" s="346" t="s">
        <v>320</v>
      </c>
      <c r="B296" s="75" t="s">
        <v>321</v>
      </c>
      <c r="C296" s="128">
        <f t="shared" si="18"/>
        <v>0</v>
      </c>
      <c r="D296" s="134"/>
      <c r="E296" s="283"/>
      <c r="F296" s="279">
        <f t="shared" si="19"/>
        <v>0</v>
      </c>
      <c r="G296" s="134"/>
      <c r="H296" s="135"/>
      <c r="I296" s="136">
        <f t="shared" si="20"/>
        <v>0</v>
      </c>
      <c r="J296" s="134"/>
      <c r="K296" s="135"/>
      <c r="L296" s="136">
        <f t="shared" si="21"/>
        <v>0</v>
      </c>
      <c r="M296" s="284"/>
      <c r="N296" s="285"/>
      <c r="O296" s="136">
        <f t="shared" si="23"/>
        <v>0</v>
      </c>
      <c r="P296" s="85"/>
      <c r="R296" s="53"/>
      <c r="S296" s="53"/>
      <c r="T296" s="53"/>
    </row>
    <row r="297" spans="1:20" ht="24" hidden="1" x14ac:dyDescent="0.25">
      <c r="A297" s="389" t="s">
        <v>322</v>
      </c>
      <c r="B297" s="390" t="s">
        <v>323</v>
      </c>
      <c r="C297" s="327">
        <f t="shared" si="18"/>
        <v>0</v>
      </c>
      <c r="D297" s="328"/>
      <c r="E297" s="683"/>
      <c r="F297" s="647">
        <f t="shared" si="19"/>
        <v>0</v>
      </c>
      <c r="G297" s="328"/>
      <c r="H297" s="331"/>
      <c r="I297" s="324">
        <f t="shared" si="20"/>
        <v>0</v>
      </c>
      <c r="J297" s="328"/>
      <c r="K297" s="331"/>
      <c r="L297" s="324">
        <f t="shared" si="21"/>
        <v>0</v>
      </c>
      <c r="M297" s="332"/>
      <c r="N297" s="329"/>
      <c r="O297" s="324">
        <f t="shared" si="23"/>
        <v>0</v>
      </c>
      <c r="P297" s="325"/>
      <c r="R297" s="53"/>
      <c r="S297" s="53"/>
      <c r="T297" s="53"/>
    </row>
    <row r="298" spans="1:20" hidden="1" x14ac:dyDescent="0.25">
      <c r="A298" s="387" t="s">
        <v>324</v>
      </c>
      <c r="B298" s="387" t="s">
        <v>325</v>
      </c>
      <c r="C298" s="391">
        <f t="shared" si="18"/>
        <v>0</v>
      </c>
      <c r="D298" s="392"/>
      <c r="E298" s="687"/>
      <c r="F298" s="381">
        <f t="shared" si="19"/>
        <v>0</v>
      </c>
      <c r="G298" s="392"/>
      <c r="H298" s="394"/>
      <c r="I298" s="383">
        <f t="shared" si="20"/>
        <v>0</v>
      </c>
      <c r="J298" s="392"/>
      <c r="K298" s="394"/>
      <c r="L298" s="383">
        <f t="shared" si="21"/>
        <v>0</v>
      </c>
      <c r="M298" s="395"/>
      <c r="N298" s="393"/>
      <c r="O298" s="383">
        <f t="shared" si="23"/>
        <v>0</v>
      </c>
      <c r="P298" s="385"/>
      <c r="R298" s="53"/>
      <c r="S298" s="53"/>
      <c r="T298" s="53"/>
    </row>
    <row r="299" spans="1:20" s="41" customFormat="1" ht="48" hidden="1" x14ac:dyDescent="0.25">
      <c r="A299" s="387" t="s">
        <v>326</v>
      </c>
      <c r="B299" s="396" t="s">
        <v>327</v>
      </c>
      <c r="C299" s="397">
        <f t="shared" si="18"/>
        <v>0</v>
      </c>
      <c r="D299" s="398"/>
      <c r="E299" s="688"/>
      <c r="F299" s="651">
        <f t="shared" si="19"/>
        <v>0</v>
      </c>
      <c r="G299" s="392"/>
      <c r="H299" s="394"/>
      <c r="I299" s="383">
        <f t="shared" si="20"/>
        <v>0</v>
      </c>
      <c r="J299" s="392"/>
      <c r="K299" s="394"/>
      <c r="L299" s="383">
        <f t="shared" si="21"/>
        <v>0</v>
      </c>
      <c r="M299" s="395"/>
      <c r="N299" s="393"/>
      <c r="O299" s="383">
        <f t="shared" si="23"/>
        <v>0</v>
      </c>
      <c r="P299" s="910"/>
      <c r="Q299" s="32"/>
      <c r="R299" s="53"/>
      <c r="S299" s="53"/>
      <c r="T299" s="53"/>
    </row>
    <row r="300" spans="1:20" s="41" customFormat="1" x14ac:dyDescent="0.25">
      <c r="A300" s="401" t="s">
        <v>328</v>
      </c>
      <c r="B300" s="402"/>
      <c r="C300" s="402"/>
      <c r="D300" s="402"/>
      <c r="E300" s="402"/>
      <c r="F300" s="402"/>
      <c r="G300" s="402"/>
      <c r="H300" s="402"/>
      <c r="I300" s="402"/>
      <c r="J300" s="402"/>
      <c r="K300" s="402"/>
      <c r="L300" s="402"/>
      <c r="M300" s="402"/>
      <c r="N300" s="402"/>
      <c r="O300" s="402"/>
      <c r="P300" s="402"/>
      <c r="Q300" s="32"/>
    </row>
    <row r="301" spans="1:20" s="41" customFormat="1" x14ac:dyDescent="0.25">
      <c r="A301" s="721" t="s">
        <v>1080</v>
      </c>
      <c r="B301" s="722"/>
      <c r="C301" s="722"/>
      <c r="D301" s="722"/>
      <c r="E301" s="722"/>
      <c r="F301" s="722"/>
      <c r="G301" s="722"/>
      <c r="H301" s="722"/>
      <c r="I301" s="722"/>
      <c r="J301" s="722"/>
      <c r="K301" s="722"/>
      <c r="L301" s="722"/>
      <c r="M301" s="722"/>
      <c r="N301" s="722"/>
      <c r="O301" s="722"/>
      <c r="P301" s="722"/>
      <c r="Q301" s="32"/>
    </row>
    <row r="302" spans="1:20" ht="12.75" thickBot="1" x14ac:dyDescent="0.3">
      <c r="A302" s="404"/>
      <c r="B302" s="405"/>
      <c r="C302" s="405"/>
      <c r="D302" s="405"/>
      <c r="E302" s="405"/>
      <c r="F302" s="405"/>
      <c r="G302" s="405"/>
      <c r="H302" s="405"/>
      <c r="I302" s="405"/>
      <c r="J302" s="405"/>
      <c r="K302" s="405"/>
      <c r="L302" s="405"/>
      <c r="M302" s="405"/>
      <c r="N302" s="405"/>
      <c r="O302" s="405"/>
      <c r="P302" s="406"/>
      <c r="Q302" s="7"/>
    </row>
    <row r="303" spans="1:20" x14ac:dyDescent="0.25">
      <c r="A303" s="5"/>
      <c r="B303" s="5"/>
      <c r="C303" s="5"/>
      <c r="D303" s="5"/>
      <c r="E303" s="5"/>
      <c r="F303" s="5"/>
      <c r="G303" s="5"/>
      <c r="H303" s="5"/>
      <c r="I303" s="5"/>
      <c r="J303" s="5"/>
      <c r="K303" s="5"/>
      <c r="L303" s="5"/>
      <c r="M303" s="5"/>
      <c r="N303" s="5"/>
      <c r="O303" s="5"/>
    </row>
    <row r="304" spans="1:20"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row r="322" spans="1:15" x14ac:dyDescent="0.25">
      <c r="A322" s="5"/>
      <c r="B322" s="5"/>
      <c r="C322" s="5"/>
      <c r="D322" s="5"/>
      <c r="E322" s="5"/>
      <c r="F322" s="5"/>
      <c r="G322" s="5"/>
      <c r="H322" s="5"/>
      <c r="I322" s="5"/>
      <c r="J322" s="5"/>
      <c r="K322" s="5"/>
      <c r="L322" s="5"/>
      <c r="M322" s="5"/>
      <c r="N322" s="5"/>
      <c r="O322" s="5"/>
    </row>
  </sheetData>
  <sheetProtection algorithmName="SHA-512" hashValue="LqFRGdKCjgLwXIg4rmGvpBT4HxI34bSa4mDUk/W26Kzhm3Mthck1oX0ZbCyH05mp95YTCOGBgAUfSjDT1tyU3Q==" saltValue="v6uFmXYuwfZdGau0mxcbsw==" spinCount="100000" sheet="1" objects="1" scenarios="1" selectLockedCells="1" selectUnlockedCells="1"/>
  <autoFilter ref="A22:P301">
    <filterColumn colId="2">
      <filters blank="1">
        <filter val="1 090"/>
        <filter val="1 255"/>
        <filter val="1 330"/>
        <filter val="1 405"/>
        <filter val="1 499"/>
        <filter val="1 500"/>
        <filter val="100"/>
        <filter val="114 785"/>
        <filter val="118 167"/>
        <filter val="120"/>
        <filter val="13 387"/>
        <filter val="14 792"/>
        <filter val="150"/>
        <filter val="170"/>
        <filter val="170 013"/>
        <filter val="19 966"/>
        <filter val="2 313"/>
        <filter val="2 562"/>
        <filter val="2 710"/>
        <filter val="2 798"/>
        <filter val="-2 798"/>
        <filter val="2 915"/>
        <filter val="2 993"/>
        <filter val="20 556"/>
        <filter val="21 758"/>
        <filter val="22 656"/>
        <filter val="23 354"/>
        <filter val="23 480"/>
        <filter val="25 873"/>
        <filter val="250"/>
        <filter val="26 913"/>
        <filter val="28 640"/>
        <filter val="285"/>
        <filter val="29 490"/>
        <filter val="3 027"/>
        <filter val="3 247"/>
        <filter val="3 380"/>
        <filter val="3 686"/>
        <filter val="3 748"/>
        <filter val="3 797"/>
        <filter val="337 506"/>
        <filter val="348"/>
        <filter val="36 000"/>
        <filter val="373 506"/>
        <filter val="4 122"/>
        <filter val="4 184"/>
        <filter val="4 272"/>
        <filter val="433"/>
        <filter val="47"/>
        <filter val="488"/>
        <filter val="488 291"/>
        <filter val="5 212"/>
        <filter val="5 788"/>
        <filter val="51 676"/>
        <filter val="51 703"/>
        <filter val="51 846"/>
        <filter val="51 993"/>
        <filter val="570"/>
        <filter val="6 329"/>
        <filter val="6 629"/>
        <filter val="6 947"/>
        <filter val="600"/>
        <filter val="621"/>
        <filter val="651 249"/>
        <filter val="658 304"/>
        <filter val="680 960"/>
        <filter val="7 037"/>
        <filter val="70"/>
        <filter val="720"/>
        <filter val="757"/>
        <filter val="781"/>
        <filter val="80"/>
        <filter val="892"/>
        <filter val="898"/>
        <filter val="9 605"/>
        <filter val="91 305"/>
      </filters>
    </filterColumn>
  </autoFilter>
  <mergeCells count="30">
    <mergeCell ref="B19:B21"/>
    <mergeCell ref="C19:O19"/>
    <mergeCell ref="P19:P21"/>
    <mergeCell ref="C20:C21"/>
    <mergeCell ref="D20:D21"/>
    <mergeCell ref="E20:E21"/>
    <mergeCell ref="F20:F21"/>
    <mergeCell ref="G20:G21"/>
    <mergeCell ref="N20:N21"/>
    <mergeCell ref="O20:O21"/>
    <mergeCell ref="H20:H21"/>
    <mergeCell ref="I20:I21"/>
    <mergeCell ref="J20:J21"/>
    <mergeCell ref="K20:K21"/>
    <mergeCell ref="L20:L21"/>
    <mergeCell ref="M20:M21"/>
    <mergeCell ref="C17:P17"/>
    <mergeCell ref="A4:P4"/>
    <mergeCell ref="C6:P6"/>
    <mergeCell ref="C7:P7"/>
    <mergeCell ref="C8:P8"/>
    <mergeCell ref="C9:P9"/>
    <mergeCell ref="C10:P10"/>
    <mergeCell ref="C11:P11"/>
    <mergeCell ref="C13:P13"/>
    <mergeCell ref="C14:P14"/>
    <mergeCell ref="C15:P15"/>
    <mergeCell ref="C16:P16"/>
    <mergeCell ref="C18:P18"/>
    <mergeCell ref="A19:A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83.pielikums Jūrmalas pilsētas domes
2017.gada 30.janvāra saistošajiem noteikumiem Nr.10
(Protokols Nr.4, 1.punkts)
 </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U322"/>
  <sheetViews>
    <sheetView view="pageLayout" zoomScaleNormal="90" workbookViewId="0">
      <selection activeCell="S11" sqref="S11"/>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9.42578125" style="1" hidden="1" customWidth="1" outlineLevel="1"/>
    <col min="9" max="9" width="8.7109375" style="1" customWidth="1" collapsed="1"/>
    <col min="10" max="10" width="8.7109375" style="1" hidden="1" customWidth="1" outlineLevel="1"/>
    <col min="11" max="11" width="6.28515625" style="1" hidden="1" customWidth="1" outlineLevel="1"/>
    <col min="12" max="12" width="8" style="1" customWidth="1" collapsed="1"/>
    <col min="13" max="13" width="8.7109375" style="1" hidden="1" customWidth="1" outlineLevel="1"/>
    <col min="14" max="14" width="7.2851562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A1" s="2"/>
      <c r="B1" s="2"/>
      <c r="C1" s="2"/>
      <c r="D1" s="2"/>
      <c r="E1" s="2"/>
      <c r="F1" s="2"/>
      <c r="G1" s="2"/>
      <c r="H1" s="2"/>
      <c r="I1" s="2"/>
      <c r="J1" s="2"/>
      <c r="K1" s="2"/>
      <c r="L1" s="2"/>
      <c r="M1" s="2"/>
      <c r="N1" s="2"/>
      <c r="O1" s="1014" t="s">
        <v>1203</v>
      </c>
      <c r="P1" s="2"/>
    </row>
    <row r="2" spans="1:17" x14ac:dyDescent="0.25">
      <c r="A2" s="2"/>
      <c r="B2" s="2"/>
      <c r="C2" s="2"/>
      <c r="D2" s="2"/>
      <c r="E2" s="2"/>
      <c r="F2" s="2"/>
      <c r="G2" s="2"/>
      <c r="H2" s="2"/>
      <c r="I2" s="2"/>
      <c r="J2" s="2"/>
      <c r="K2" s="2"/>
      <c r="L2" s="2"/>
      <c r="M2" s="2"/>
      <c r="N2" s="2"/>
      <c r="O2" s="1014"/>
      <c r="P2" s="2"/>
    </row>
    <row r="3" spans="1:17" x14ac:dyDescent="0.25">
      <c r="A3" s="1626"/>
      <c r="B3" s="1627"/>
      <c r="C3" s="1627"/>
      <c r="D3" s="1627"/>
      <c r="E3" s="1627"/>
      <c r="F3" s="1627"/>
      <c r="G3" s="1627"/>
      <c r="H3" s="1627"/>
      <c r="I3" s="1627"/>
      <c r="J3" s="1627"/>
      <c r="K3" s="1627"/>
      <c r="L3" s="1627"/>
      <c r="M3" s="1627"/>
      <c r="N3" s="1627"/>
      <c r="O3" s="1627"/>
      <c r="P3" s="1628"/>
      <c r="Q3" s="7"/>
    </row>
    <row r="4" spans="1:17" ht="15.75" x14ac:dyDescent="0.25">
      <c r="A4" s="1560" t="s">
        <v>1</v>
      </c>
      <c r="B4" s="1561"/>
      <c r="C4" s="1561"/>
      <c r="D4" s="1561"/>
      <c r="E4" s="1561"/>
      <c r="F4" s="1561"/>
      <c r="G4" s="1561"/>
      <c r="H4" s="1561"/>
      <c r="I4" s="1561"/>
      <c r="J4" s="1561"/>
      <c r="K4" s="1561"/>
      <c r="L4" s="1561"/>
      <c r="M4" s="1561"/>
      <c r="N4" s="1561"/>
      <c r="O4" s="1561"/>
      <c r="P4" s="1561"/>
      <c r="Q4" s="7"/>
    </row>
    <row r="5" spans="1:17" ht="15.75" x14ac:dyDescent="0.25">
      <c r="A5" s="653"/>
      <c r="B5" s="654"/>
      <c r="C5" s="654"/>
      <c r="D5" s="654"/>
      <c r="E5" s="654"/>
      <c r="F5" s="654"/>
      <c r="G5" s="654"/>
      <c r="H5" s="654"/>
      <c r="I5" s="654"/>
      <c r="J5" s="654"/>
      <c r="K5" s="654"/>
      <c r="L5" s="654"/>
      <c r="M5" s="654"/>
      <c r="N5" s="654"/>
      <c r="O5" s="654"/>
      <c r="P5" s="654"/>
      <c r="Q5" s="7"/>
    </row>
    <row r="6" spans="1:17" ht="12.75" x14ac:dyDescent="0.25">
      <c r="A6" s="13" t="s">
        <v>2</v>
      </c>
      <c r="B6" s="14"/>
      <c r="C6" s="1555" t="s">
        <v>463</v>
      </c>
      <c r="D6" s="1555"/>
      <c r="E6" s="1555"/>
      <c r="F6" s="1555"/>
      <c r="G6" s="1555"/>
      <c r="H6" s="1555"/>
      <c r="I6" s="1555"/>
      <c r="J6" s="1555"/>
      <c r="K6" s="1555"/>
      <c r="L6" s="1555"/>
      <c r="M6" s="1555"/>
      <c r="N6" s="1555"/>
      <c r="O6" s="1555"/>
      <c r="P6" s="1555"/>
      <c r="Q6" s="7"/>
    </row>
    <row r="7" spans="1:17" ht="12.75" x14ac:dyDescent="0.25">
      <c r="A7" s="13" t="s">
        <v>4</v>
      </c>
      <c r="B7" s="14"/>
      <c r="C7" s="1555" t="s">
        <v>1204</v>
      </c>
      <c r="D7" s="1555"/>
      <c r="E7" s="1555"/>
      <c r="F7" s="1555"/>
      <c r="G7" s="1555"/>
      <c r="H7" s="1555"/>
      <c r="I7" s="1555"/>
      <c r="J7" s="1555"/>
      <c r="K7" s="1555"/>
      <c r="L7" s="1555"/>
      <c r="M7" s="1555"/>
      <c r="N7" s="1555"/>
      <c r="O7" s="1555"/>
      <c r="P7" s="1555"/>
      <c r="Q7" s="7"/>
    </row>
    <row r="8" spans="1:17" x14ac:dyDescent="0.25">
      <c r="A8" s="8" t="s">
        <v>6</v>
      </c>
      <c r="B8" s="9"/>
      <c r="C8" s="1553" t="s">
        <v>1205</v>
      </c>
      <c r="D8" s="1553"/>
      <c r="E8" s="1553"/>
      <c r="F8" s="1553"/>
      <c r="G8" s="1553"/>
      <c r="H8" s="1553"/>
      <c r="I8" s="1553"/>
      <c r="J8" s="1553"/>
      <c r="K8" s="1553"/>
      <c r="L8" s="1553"/>
      <c r="M8" s="1553"/>
      <c r="N8" s="1553"/>
      <c r="O8" s="1553"/>
      <c r="P8" s="1553"/>
      <c r="Q8" s="7"/>
    </row>
    <row r="9" spans="1:17" x14ac:dyDescent="0.25">
      <c r="A9" s="8" t="s">
        <v>8</v>
      </c>
      <c r="B9" s="9"/>
      <c r="C9" s="1553" t="s">
        <v>333</v>
      </c>
      <c r="D9" s="1553"/>
      <c r="E9" s="1553"/>
      <c r="F9" s="1553"/>
      <c r="G9" s="1553"/>
      <c r="H9" s="1553"/>
      <c r="I9" s="1553"/>
      <c r="J9" s="1553"/>
      <c r="K9" s="1553"/>
      <c r="L9" s="1553"/>
      <c r="M9" s="1553"/>
      <c r="N9" s="1553"/>
      <c r="O9" s="1553"/>
      <c r="P9" s="1553"/>
      <c r="Q9" s="7"/>
    </row>
    <row r="10" spans="1:17" ht="24" customHeight="1" x14ac:dyDescent="0.25">
      <c r="A10" s="8" t="s">
        <v>10</v>
      </c>
      <c r="B10" s="9"/>
      <c r="C10" s="1555" t="s">
        <v>334</v>
      </c>
      <c r="D10" s="1555"/>
      <c r="E10" s="1555"/>
      <c r="F10" s="1555"/>
      <c r="G10" s="1555"/>
      <c r="H10" s="1555"/>
      <c r="I10" s="1555"/>
      <c r="J10" s="1555"/>
      <c r="K10" s="1555"/>
      <c r="L10" s="1555"/>
      <c r="M10" s="1555"/>
      <c r="N10" s="1555"/>
      <c r="O10" s="1555"/>
      <c r="P10" s="1555"/>
      <c r="Q10" s="7"/>
    </row>
    <row r="11" spans="1:17" x14ac:dyDescent="0.25">
      <c r="A11" s="8" t="s">
        <v>12</v>
      </c>
      <c r="B11" s="9"/>
      <c r="C11" s="1555" t="s">
        <v>439</v>
      </c>
      <c r="D11" s="1555"/>
      <c r="E11" s="1555"/>
      <c r="F11" s="1555"/>
      <c r="G11" s="1555"/>
      <c r="H11" s="1555"/>
      <c r="I11" s="1555"/>
      <c r="J11" s="1555"/>
      <c r="K11" s="1555"/>
      <c r="L11" s="1555"/>
      <c r="M11" s="1555"/>
      <c r="N11" s="1555"/>
      <c r="O11" s="1555"/>
      <c r="P11" s="1555"/>
      <c r="Q11" s="7"/>
    </row>
    <row r="12" spans="1:17" x14ac:dyDescent="0.25">
      <c r="A12" s="15" t="s">
        <v>14</v>
      </c>
      <c r="B12" s="9"/>
      <c r="C12" s="16"/>
      <c r="D12" s="16"/>
      <c r="E12" s="16"/>
      <c r="F12" s="16"/>
      <c r="G12" s="16"/>
      <c r="H12" s="16"/>
      <c r="I12" s="16"/>
      <c r="J12" s="16"/>
      <c r="K12" s="16"/>
      <c r="L12" s="16"/>
      <c r="M12" s="16"/>
      <c r="N12" s="16"/>
      <c r="O12" s="16"/>
      <c r="P12" s="624"/>
      <c r="Q12" s="7"/>
    </row>
    <row r="13" spans="1:17" x14ac:dyDescent="0.25">
      <c r="A13" s="8"/>
      <c r="B13" s="9" t="s">
        <v>15</v>
      </c>
      <c r="C13" s="1553" t="s">
        <v>1206</v>
      </c>
      <c r="D13" s="1553"/>
      <c r="E13" s="1553"/>
      <c r="F13" s="1553"/>
      <c r="G13" s="1553"/>
      <c r="H13" s="1553"/>
      <c r="I13" s="1553"/>
      <c r="J13" s="1553"/>
      <c r="K13" s="1553"/>
      <c r="L13" s="1553"/>
      <c r="M13" s="1553"/>
      <c r="N13" s="1553"/>
      <c r="O13" s="1553"/>
      <c r="P13" s="1553"/>
      <c r="Q13" s="7"/>
    </row>
    <row r="14" spans="1:17" x14ac:dyDescent="0.25">
      <c r="A14" s="8"/>
      <c r="B14" s="9" t="s">
        <v>17</v>
      </c>
      <c r="C14" s="1553" t="s">
        <v>1207</v>
      </c>
      <c r="D14" s="1553"/>
      <c r="E14" s="1553"/>
      <c r="F14" s="1553"/>
      <c r="G14" s="1553"/>
      <c r="H14" s="1553"/>
      <c r="I14" s="1553"/>
      <c r="J14" s="1553"/>
      <c r="K14" s="1553"/>
      <c r="L14" s="1553"/>
      <c r="M14" s="1553"/>
      <c r="N14" s="1553"/>
      <c r="O14" s="1553"/>
      <c r="P14" s="1553"/>
      <c r="Q14" s="7"/>
    </row>
    <row r="15" spans="1:17" x14ac:dyDescent="0.25">
      <c r="A15" s="8"/>
      <c r="B15" s="9" t="s">
        <v>19</v>
      </c>
      <c r="C15" s="1553"/>
      <c r="D15" s="1553"/>
      <c r="E15" s="1553"/>
      <c r="F15" s="1553"/>
      <c r="G15" s="1553"/>
      <c r="H15" s="1553"/>
      <c r="I15" s="1553"/>
      <c r="J15" s="1553"/>
      <c r="K15" s="1553"/>
      <c r="L15" s="1553"/>
      <c r="M15" s="1553"/>
      <c r="N15" s="1553"/>
      <c r="O15" s="1553"/>
      <c r="P15" s="1553"/>
      <c r="Q15" s="7"/>
    </row>
    <row r="16" spans="1:17" x14ac:dyDescent="0.25">
      <c r="A16" s="8"/>
      <c r="B16" s="9" t="s">
        <v>20</v>
      </c>
      <c r="C16" s="1553" t="s">
        <v>1208</v>
      </c>
      <c r="D16" s="1553"/>
      <c r="E16" s="1553"/>
      <c r="F16" s="1553"/>
      <c r="G16" s="1553"/>
      <c r="H16" s="1553"/>
      <c r="I16" s="1553"/>
      <c r="J16" s="1553"/>
      <c r="K16" s="1553"/>
      <c r="L16" s="1553"/>
      <c r="M16" s="1553"/>
      <c r="N16" s="1553"/>
      <c r="O16" s="1553"/>
      <c r="P16" s="1553"/>
      <c r="Q16" s="7"/>
    </row>
    <row r="17" spans="1:21" x14ac:dyDescent="0.25">
      <c r="A17" s="8"/>
      <c r="B17" s="9" t="s">
        <v>22</v>
      </c>
      <c r="C17" s="1553" t="s">
        <v>1209</v>
      </c>
      <c r="D17" s="1553"/>
      <c r="E17" s="1553"/>
      <c r="F17" s="1553"/>
      <c r="G17" s="1553"/>
      <c r="H17" s="1553"/>
      <c r="I17" s="1553"/>
      <c r="J17" s="1553"/>
      <c r="K17" s="1553"/>
      <c r="L17" s="1553"/>
      <c r="M17" s="1553"/>
      <c r="N17" s="1553"/>
      <c r="O17" s="1553"/>
      <c r="P17" s="1553"/>
      <c r="Q17" s="7"/>
    </row>
    <row r="18" spans="1:21" x14ac:dyDescent="0.25">
      <c r="A18" s="18"/>
      <c r="B18" s="19"/>
      <c r="C18" s="1569" t="s">
        <v>1210</v>
      </c>
      <c r="D18" s="1569"/>
      <c r="E18" s="1569"/>
      <c r="F18" s="1569"/>
      <c r="G18" s="1569"/>
      <c r="H18" s="1569"/>
      <c r="I18" s="1569"/>
      <c r="J18" s="1569"/>
      <c r="K18" s="1569"/>
      <c r="L18" s="1569"/>
      <c r="M18" s="1569"/>
      <c r="N18" s="1569"/>
      <c r="O18" s="1569"/>
      <c r="P18" s="1569"/>
      <c r="Q18" s="7"/>
    </row>
    <row r="19" spans="1:21"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1" s="20" customFormat="1" x14ac:dyDescent="0.25">
      <c r="A20" s="1572"/>
      <c r="B20" s="1575"/>
      <c r="C20" s="1580" t="s">
        <v>27</v>
      </c>
      <c r="D20" s="1565" t="s">
        <v>28</v>
      </c>
      <c r="E20" s="1582" t="s">
        <v>29</v>
      </c>
      <c r="F20" s="1584" t="s">
        <v>30</v>
      </c>
      <c r="G20" s="1565" t="s">
        <v>31</v>
      </c>
      <c r="H20" s="1567" t="s">
        <v>32</v>
      </c>
      <c r="I20" s="1563" t="s">
        <v>33</v>
      </c>
      <c r="J20" s="1565" t="s">
        <v>34</v>
      </c>
      <c r="K20" s="1567" t="s">
        <v>35</v>
      </c>
      <c r="L20" s="1563" t="s">
        <v>36</v>
      </c>
      <c r="M20" s="1565" t="s">
        <v>37</v>
      </c>
      <c r="N20" s="1567" t="s">
        <v>38</v>
      </c>
      <c r="O20" s="1563" t="s">
        <v>39</v>
      </c>
      <c r="P20" s="1575"/>
    </row>
    <row r="21" spans="1:21" s="21" customFormat="1" ht="57" customHeight="1" thickBot="1" x14ac:dyDescent="0.3">
      <c r="A21" s="1573"/>
      <c r="B21" s="1576"/>
      <c r="C21" s="1581"/>
      <c r="D21" s="1566"/>
      <c r="E21" s="1583"/>
      <c r="F21" s="1585"/>
      <c r="G21" s="1566"/>
      <c r="H21" s="1568"/>
      <c r="I21" s="1564"/>
      <c r="J21" s="1566"/>
      <c r="K21" s="1568"/>
      <c r="L21" s="1564"/>
      <c r="M21" s="1566"/>
      <c r="N21" s="1568"/>
      <c r="O21" s="1564"/>
      <c r="P21" s="1576"/>
    </row>
    <row r="22" spans="1:21" s="21" customFormat="1" ht="9" thickTop="1" x14ac:dyDescent="0.25">
      <c r="A22" s="22">
        <v>1</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1" s="41" customFormat="1" x14ac:dyDescent="0.25">
      <c r="A23" s="30"/>
      <c r="B23" s="31" t="s">
        <v>41</v>
      </c>
      <c r="C23" s="32"/>
      <c r="D23" s="33"/>
      <c r="E23" s="34"/>
      <c r="F23" s="35"/>
      <c r="G23" s="33"/>
      <c r="H23" s="36"/>
      <c r="I23" s="37"/>
      <c r="J23" s="33"/>
      <c r="K23" s="38"/>
      <c r="L23" s="37"/>
      <c r="M23" s="38"/>
      <c r="N23" s="39"/>
      <c r="O23" s="37"/>
      <c r="P23" s="40"/>
    </row>
    <row r="24" spans="1:21" s="41" customFormat="1" ht="12.75" thickBot="1" x14ac:dyDescent="0.3">
      <c r="A24" s="42"/>
      <c r="B24" s="43" t="s">
        <v>42</v>
      </c>
      <c r="C24" s="44">
        <f t="shared" ref="C24:C50" si="0">SUM(F24,I24,L24,O24)</f>
        <v>640619</v>
      </c>
      <c r="D24" s="45">
        <f>SUM(D25,D28,D29,D45,D46)</f>
        <v>291614</v>
      </c>
      <c r="E24" s="46">
        <f>SUM(E25,E28,E29,E45,E46)</f>
        <v>0</v>
      </c>
      <c r="F24" s="47">
        <f t="shared" ref="F24:F29" si="1">D24+E24</f>
        <v>291614</v>
      </c>
      <c r="G24" s="45">
        <f>SUM(G25,G28,G29,G45,G46)</f>
        <v>320161</v>
      </c>
      <c r="H24" s="48">
        <f>SUM(H25,H28,H46)</f>
        <v>0</v>
      </c>
      <c r="I24" s="49">
        <f>G24+H24</f>
        <v>320161</v>
      </c>
      <c r="J24" s="45">
        <f>SUM(J25,J30,J46)</f>
        <v>27539</v>
      </c>
      <c r="K24" s="48">
        <f>SUM(K25,K30,K46)</f>
        <v>0</v>
      </c>
      <c r="L24" s="49">
        <f>J24+K24</f>
        <v>27539</v>
      </c>
      <c r="M24" s="50">
        <f>SUM(M25,M48)</f>
        <v>1305</v>
      </c>
      <c r="N24" s="51">
        <f>SUM(N25,N48)</f>
        <v>0</v>
      </c>
      <c r="O24" s="49">
        <f>M24+N24</f>
        <v>1305</v>
      </c>
      <c r="P24" s="52"/>
      <c r="R24" s="53"/>
      <c r="S24" s="53"/>
      <c r="T24" s="53"/>
      <c r="U24" s="53"/>
    </row>
    <row r="25" spans="1:21" ht="12.75" thickTop="1" x14ac:dyDescent="0.25">
      <c r="A25" s="54"/>
      <c r="B25" s="55" t="s">
        <v>43</v>
      </c>
      <c r="C25" s="56">
        <f t="shared" si="0"/>
        <v>13444</v>
      </c>
      <c r="D25" s="57">
        <f>SUM(D26:D27)</f>
        <v>0</v>
      </c>
      <c r="E25" s="58">
        <f>SUM(E26:E27)</f>
        <v>0</v>
      </c>
      <c r="F25" s="59">
        <f t="shared" si="1"/>
        <v>0</v>
      </c>
      <c r="G25" s="57">
        <f>SUM(G26:G27)</f>
        <v>0</v>
      </c>
      <c r="H25" s="60">
        <f>SUM(H26:H27)</f>
        <v>0</v>
      </c>
      <c r="I25" s="61">
        <f>G25+H25</f>
        <v>0</v>
      </c>
      <c r="J25" s="57">
        <f>SUM(J26:J27)</f>
        <v>12439</v>
      </c>
      <c r="K25" s="60">
        <f>SUM(K26:K27)</f>
        <v>0</v>
      </c>
      <c r="L25" s="61">
        <f>J25+K25</f>
        <v>12439</v>
      </c>
      <c r="M25" s="62">
        <f>SUM(M26:M27)</f>
        <v>1005</v>
      </c>
      <c r="N25" s="63">
        <f>SUM(N26:N27)</f>
        <v>0</v>
      </c>
      <c r="O25" s="61">
        <f>M25+N25</f>
        <v>1005</v>
      </c>
      <c r="P25" s="64"/>
      <c r="R25" s="53"/>
      <c r="S25" s="53"/>
      <c r="T25" s="53"/>
      <c r="U25" s="53"/>
    </row>
    <row r="26" spans="1:21" hidden="1" x14ac:dyDescent="0.25">
      <c r="A26" s="65"/>
      <c r="B26" s="66" t="s">
        <v>44</v>
      </c>
      <c r="C26" s="67">
        <f t="shared" si="0"/>
        <v>0</v>
      </c>
      <c r="D26" s="68"/>
      <c r="E26" s="673"/>
      <c r="F26" s="625">
        <f t="shared" si="1"/>
        <v>0</v>
      </c>
      <c r="G26" s="68"/>
      <c r="H26" s="71"/>
      <c r="I26" s="72">
        <f>G26+H26</f>
        <v>0</v>
      </c>
      <c r="J26" s="68"/>
      <c r="K26" s="71"/>
      <c r="L26" s="72">
        <f>J26+K26</f>
        <v>0</v>
      </c>
      <c r="M26" s="73"/>
      <c r="N26" s="69"/>
      <c r="O26" s="72">
        <f>M26+N26</f>
        <v>0</v>
      </c>
      <c r="P26" s="74"/>
      <c r="R26" s="53"/>
      <c r="S26" s="53"/>
      <c r="T26" s="53"/>
      <c r="U26" s="53"/>
    </row>
    <row r="27" spans="1:21" x14ac:dyDescent="0.25">
      <c r="A27" s="75"/>
      <c r="B27" s="76" t="s">
        <v>45</v>
      </c>
      <c r="C27" s="77">
        <f t="shared" si="0"/>
        <v>13444</v>
      </c>
      <c r="D27" s="78"/>
      <c r="E27" s="79"/>
      <c r="F27" s="80">
        <f t="shared" si="1"/>
        <v>0</v>
      </c>
      <c r="G27" s="78"/>
      <c r="H27" s="81"/>
      <c r="I27" s="82">
        <f>G27+H27</f>
        <v>0</v>
      </c>
      <c r="J27" s="78">
        <f>9535+2904</f>
        <v>12439</v>
      </c>
      <c r="K27" s="81"/>
      <c r="L27" s="82">
        <f>J27+K27</f>
        <v>12439</v>
      </c>
      <c r="M27" s="83">
        <f>1000+5</f>
        <v>1005</v>
      </c>
      <c r="N27" s="84"/>
      <c r="O27" s="82">
        <f>M27+N27</f>
        <v>1005</v>
      </c>
      <c r="P27" s="85"/>
      <c r="R27" s="53"/>
      <c r="S27" s="53"/>
      <c r="T27" s="53"/>
      <c r="U27" s="53"/>
    </row>
    <row r="28" spans="1:21" s="41" customFormat="1" ht="24.75" thickBot="1" x14ac:dyDescent="0.3">
      <c r="A28" s="86">
        <v>19300</v>
      </c>
      <c r="B28" s="86" t="s">
        <v>46</v>
      </c>
      <c r="C28" s="87">
        <f t="shared" si="0"/>
        <v>611775</v>
      </c>
      <c r="D28" s="88">
        <f>289840+1774</f>
        <v>291614</v>
      </c>
      <c r="E28" s="89"/>
      <c r="F28" s="90">
        <f t="shared" si="1"/>
        <v>291614</v>
      </c>
      <c r="G28" s="88">
        <f>254305+5564+60292</f>
        <v>320161</v>
      </c>
      <c r="H28" s="91"/>
      <c r="I28" s="92">
        <f>G28+H28</f>
        <v>320161</v>
      </c>
      <c r="J28" s="93" t="s">
        <v>47</v>
      </c>
      <c r="K28" s="94" t="s">
        <v>47</v>
      </c>
      <c r="L28" s="95" t="s">
        <v>47</v>
      </c>
      <c r="M28" s="96" t="s">
        <v>47</v>
      </c>
      <c r="N28" s="97" t="s">
        <v>47</v>
      </c>
      <c r="O28" s="95" t="s">
        <v>47</v>
      </c>
      <c r="P28" s="98"/>
      <c r="R28" s="53"/>
      <c r="S28" s="53"/>
      <c r="T28" s="53"/>
      <c r="U28" s="53"/>
    </row>
    <row r="29" spans="1:21" s="41" customFormat="1" ht="24.75" hidden="1" thickTop="1" x14ac:dyDescent="0.25">
      <c r="A29" s="99"/>
      <c r="B29" s="99" t="s">
        <v>48</v>
      </c>
      <c r="C29" s="100">
        <f t="shared" si="0"/>
        <v>0</v>
      </c>
      <c r="D29" s="101"/>
      <c r="E29" s="665"/>
      <c r="F29" s="634">
        <f t="shared" si="1"/>
        <v>0</v>
      </c>
      <c r="G29" s="104" t="s">
        <v>47</v>
      </c>
      <c r="H29" s="105" t="s">
        <v>47</v>
      </c>
      <c r="I29" s="106" t="s">
        <v>47</v>
      </c>
      <c r="J29" s="104" t="s">
        <v>47</v>
      </c>
      <c r="K29" s="105" t="s">
        <v>47</v>
      </c>
      <c r="L29" s="106" t="s">
        <v>47</v>
      </c>
      <c r="M29" s="107" t="s">
        <v>47</v>
      </c>
      <c r="N29" s="108" t="s">
        <v>47</v>
      </c>
      <c r="O29" s="106" t="s">
        <v>47</v>
      </c>
      <c r="P29" s="109"/>
      <c r="R29" s="53"/>
      <c r="S29" s="53"/>
      <c r="T29" s="53"/>
      <c r="U29" s="53"/>
    </row>
    <row r="30" spans="1:21" s="41" customFormat="1" ht="36.75" thickTop="1" x14ac:dyDescent="0.25">
      <c r="A30" s="99">
        <v>21300</v>
      </c>
      <c r="B30" s="99" t="s">
        <v>49</v>
      </c>
      <c r="C30" s="100">
        <f t="shared" si="0"/>
        <v>15100</v>
      </c>
      <c r="D30" s="104" t="s">
        <v>47</v>
      </c>
      <c r="E30" s="110" t="s">
        <v>47</v>
      </c>
      <c r="F30" s="111" t="s">
        <v>47</v>
      </c>
      <c r="G30" s="104" t="s">
        <v>47</v>
      </c>
      <c r="H30" s="105" t="s">
        <v>47</v>
      </c>
      <c r="I30" s="106" t="s">
        <v>47</v>
      </c>
      <c r="J30" s="112">
        <f>SUM(J31,J35,J37,J40)</f>
        <v>15100</v>
      </c>
      <c r="K30" s="113">
        <f>SUM(K31,K35,K37,K40)</f>
        <v>0</v>
      </c>
      <c r="L30" s="114">
        <f t="shared" ref="L30:L44" si="2">J30+K30</f>
        <v>15100</v>
      </c>
      <c r="M30" s="107" t="s">
        <v>47</v>
      </c>
      <c r="N30" s="108" t="s">
        <v>47</v>
      </c>
      <c r="O30" s="106" t="s">
        <v>47</v>
      </c>
      <c r="P30" s="109"/>
      <c r="R30" s="53"/>
      <c r="S30" s="53"/>
      <c r="T30" s="53"/>
      <c r="U30" s="53"/>
    </row>
    <row r="31" spans="1:21" s="41" customFormat="1" ht="24" hidden="1" x14ac:dyDescent="0.25">
      <c r="A31" s="115">
        <v>21350</v>
      </c>
      <c r="B31" s="99" t="s">
        <v>50</v>
      </c>
      <c r="C31" s="100">
        <f t="shared" si="0"/>
        <v>0</v>
      </c>
      <c r="D31" s="104" t="s">
        <v>47</v>
      </c>
      <c r="E31" s="110" t="s">
        <v>47</v>
      </c>
      <c r="F31" s="111" t="s">
        <v>47</v>
      </c>
      <c r="G31" s="104" t="s">
        <v>47</v>
      </c>
      <c r="H31" s="105" t="s">
        <v>47</v>
      </c>
      <c r="I31" s="106" t="s">
        <v>47</v>
      </c>
      <c r="J31" s="112">
        <f>SUM(J32:J34)</f>
        <v>0</v>
      </c>
      <c r="K31" s="113">
        <f>SUM(K32:K34)</f>
        <v>0</v>
      </c>
      <c r="L31" s="114">
        <f t="shared" si="2"/>
        <v>0</v>
      </c>
      <c r="M31" s="107" t="s">
        <v>47</v>
      </c>
      <c r="N31" s="108" t="s">
        <v>47</v>
      </c>
      <c r="O31" s="106" t="s">
        <v>47</v>
      </c>
      <c r="P31" s="109"/>
      <c r="R31" s="53"/>
      <c r="S31" s="53"/>
      <c r="T31" s="53"/>
      <c r="U31" s="53"/>
    </row>
    <row r="32" spans="1:21" hidden="1" x14ac:dyDescent="0.25">
      <c r="A32" s="65">
        <v>21351</v>
      </c>
      <c r="B32" s="116" t="s">
        <v>51</v>
      </c>
      <c r="C32" s="117">
        <f t="shared" si="0"/>
        <v>0</v>
      </c>
      <c r="D32" s="118" t="s">
        <v>47</v>
      </c>
      <c r="E32" s="154" t="s">
        <v>47</v>
      </c>
      <c r="F32" s="155" t="s">
        <v>47</v>
      </c>
      <c r="G32" s="118" t="s">
        <v>47</v>
      </c>
      <c r="H32" s="121" t="s">
        <v>47</v>
      </c>
      <c r="I32" s="122" t="s">
        <v>47</v>
      </c>
      <c r="J32" s="123"/>
      <c r="K32" s="124"/>
      <c r="L32" s="125">
        <f t="shared" si="2"/>
        <v>0</v>
      </c>
      <c r="M32" s="126" t="s">
        <v>47</v>
      </c>
      <c r="N32" s="119" t="s">
        <v>47</v>
      </c>
      <c r="O32" s="122" t="s">
        <v>47</v>
      </c>
      <c r="P32" s="74"/>
      <c r="R32" s="53"/>
      <c r="S32" s="53"/>
      <c r="T32" s="53"/>
      <c r="U32" s="53"/>
    </row>
    <row r="33" spans="1:21" hidden="1" x14ac:dyDescent="0.25">
      <c r="A33" s="75">
        <v>21352</v>
      </c>
      <c r="B33" s="127" t="s">
        <v>52</v>
      </c>
      <c r="C33" s="128">
        <f t="shared" si="0"/>
        <v>0</v>
      </c>
      <c r="D33" s="129" t="s">
        <v>47</v>
      </c>
      <c r="E33" s="130" t="s">
        <v>47</v>
      </c>
      <c r="F33" s="131" t="s">
        <v>47</v>
      </c>
      <c r="G33" s="129" t="s">
        <v>47</v>
      </c>
      <c r="H33" s="132" t="s">
        <v>47</v>
      </c>
      <c r="I33" s="133" t="s">
        <v>47</v>
      </c>
      <c r="J33" s="134"/>
      <c r="K33" s="135"/>
      <c r="L33" s="136">
        <f t="shared" si="2"/>
        <v>0</v>
      </c>
      <c r="M33" s="137" t="s">
        <v>47</v>
      </c>
      <c r="N33" s="138" t="s">
        <v>47</v>
      </c>
      <c r="O33" s="133" t="s">
        <v>47</v>
      </c>
      <c r="P33" s="85"/>
      <c r="R33" s="53"/>
      <c r="S33" s="53"/>
      <c r="T33" s="53"/>
      <c r="U33" s="53"/>
    </row>
    <row r="34" spans="1:21" ht="24" hidden="1" x14ac:dyDescent="0.25">
      <c r="A34" s="75">
        <v>21359</v>
      </c>
      <c r="B34" s="127" t="s">
        <v>53</v>
      </c>
      <c r="C34" s="128">
        <f t="shared" si="0"/>
        <v>0</v>
      </c>
      <c r="D34" s="129" t="s">
        <v>47</v>
      </c>
      <c r="E34" s="130" t="s">
        <v>47</v>
      </c>
      <c r="F34" s="131" t="s">
        <v>47</v>
      </c>
      <c r="G34" s="129" t="s">
        <v>47</v>
      </c>
      <c r="H34" s="132" t="s">
        <v>47</v>
      </c>
      <c r="I34" s="133" t="s">
        <v>47</v>
      </c>
      <c r="J34" s="134"/>
      <c r="K34" s="135"/>
      <c r="L34" s="136">
        <f t="shared" si="2"/>
        <v>0</v>
      </c>
      <c r="M34" s="137" t="s">
        <v>47</v>
      </c>
      <c r="N34" s="138" t="s">
        <v>47</v>
      </c>
      <c r="O34" s="133" t="s">
        <v>47</v>
      </c>
      <c r="P34" s="85"/>
      <c r="R34" s="53"/>
      <c r="S34" s="53"/>
      <c r="T34" s="53"/>
      <c r="U34" s="53"/>
    </row>
    <row r="35" spans="1:21" s="41" customFormat="1" ht="36" hidden="1" x14ac:dyDescent="0.25">
      <c r="A35" s="115">
        <v>21370</v>
      </c>
      <c r="B35" s="99" t="s">
        <v>54</v>
      </c>
      <c r="C35" s="100">
        <f t="shared" si="0"/>
        <v>0</v>
      </c>
      <c r="D35" s="104" t="s">
        <v>47</v>
      </c>
      <c r="E35" s="110" t="s">
        <v>47</v>
      </c>
      <c r="F35" s="111" t="s">
        <v>47</v>
      </c>
      <c r="G35" s="104" t="s">
        <v>47</v>
      </c>
      <c r="H35" s="105" t="s">
        <v>47</v>
      </c>
      <c r="I35" s="106" t="s">
        <v>47</v>
      </c>
      <c r="J35" s="112">
        <f>SUM(J36)</f>
        <v>0</v>
      </c>
      <c r="K35" s="113">
        <f>SUM(K36)</f>
        <v>0</v>
      </c>
      <c r="L35" s="114">
        <f t="shared" si="2"/>
        <v>0</v>
      </c>
      <c r="M35" s="107" t="s">
        <v>47</v>
      </c>
      <c r="N35" s="108" t="s">
        <v>47</v>
      </c>
      <c r="O35" s="106" t="s">
        <v>47</v>
      </c>
      <c r="P35" s="109"/>
      <c r="R35" s="53"/>
      <c r="S35" s="53"/>
      <c r="T35" s="53"/>
      <c r="U35" s="53"/>
    </row>
    <row r="36" spans="1:21" ht="36" hidden="1" x14ac:dyDescent="0.25">
      <c r="A36" s="141">
        <v>21379</v>
      </c>
      <c r="B36" s="142" t="s">
        <v>55</v>
      </c>
      <c r="C36" s="143">
        <f t="shared" si="0"/>
        <v>0</v>
      </c>
      <c r="D36" s="144" t="s">
        <v>47</v>
      </c>
      <c r="E36" s="668" t="s">
        <v>47</v>
      </c>
      <c r="F36" s="773" t="s">
        <v>47</v>
      </c>
      <c r="G36" s="144" t="s">
        <v>47</v>
      </c>
      <c r="H36" s="147" t="s">
        <v>47</v>
      </c>
      <c r="I36" s="148" t="s">
        <v>47</v>
      </c>
      <c r="J36" s="149"/>
      <c r="K36" s="150"/>
      <c r="L36" s="151">
        <f t="shared" si="2"/>
        <v>0</v>
      </c>
      <c r="M36" s="152" t="s">
        <v>47</v>
      </c>
      <c r="N36" s="145" t="s">
        <v>47</v>
      </c>
      <c r="O36" s="148" t="s">
        <v>47</v>
      </c>
      <c r="P36" s="153"/>
      <c r="R36" s="53"/>
      <c r="S36" s="53"/>
      <c r="T36" s="53"/>
      <c r="U36" s="53"/>
    </row>
    <row r="37" spans="1:21" s="41" customFormat="1" x14ac:dyDescent="0.25">
      <c r="A37" s="115">
        <v>21380</v>
      </c>
      <c r="B37" s="99" t="s">
        <v>56</v>
      </c>
      <c r="C37" s="100">
        <f t="shared" si="0"/>
        <v>14000</v>
      </c>
      <c r="D37" s="104" t="s">
        <v>47</v>
      </c>
      <c r="E37" s="110" t="s">
        <v>47</v>
      </c>
      <c r="F37" s="111" t="s">
        <v>47</v>
      </c>
      <c r="G37" s="104" t="s">
        <v>47</v>
      </c>
      <c r="H37" s="105" t="s">
        <v>47</v>
      </c>
      <c r="I37" s="106" t="s">
        <v>47</v>
      </c>
      <c r="J37" s="112">
        <f>SUM(J38:J39)</f>
        <v>14000</v>
      </c>
      <c r="K37" s="113">
        <f>SUM(K38:K39)</f>
        <v>0</v>
      </c>
      <c r="L37" s="114">
        <f t="shared" si="2"/>
        <v>14000</v>
      </c>
      <c r="M37" s="107" t="s">
        <v>47</v>
      </c>
      <c r="N37" s="108" t="s">
        <v>47</v>
      </c>
      <c r="O37" s="106" t="s">
        <v>47</v>
      </c>
      <c r="P37" s="109"/>
      <c r="R37" s="53"/>
      <c r="S37" s="53"/>
      <c r="T37" s="53"/>
      <c r="U37" s="53"/>
    </row>
    <row r="38" spans="1:21" x14ac:dyDescent="0.25">
      <c r="A38" s="66">
        <v>21381</v>
      </c>
      <c r="B38" s="116" t="s">
        <v>57</v>
      </c>
      <c r="C38" s="117">
        <f t="shared" si="0"/>
        <v>14000</v>
      </c>
      <c r="D38" s="118" t="s">
        <v>47</v>
      </c>
      <c r="E38" s="154" t="s">
        <v>47</v>
      </c>
      <c r="F38" s="155" t="s">
        <v>47</v>
      </c>
      <c r="G38" s="118" t="s">
        <v>47</v>
      </c>
      <c r="H38" s="121" t="s">
        <v>47</v>
      </c>
      <c r="I38" s="122" t="s">
        <v>47</v>
      </c>
      <c r="J38" s="123">
        <v>14000</v>
      </c>
      <c r="K38" s="124"/>
      <c r="L38" s="125">
        <f t="shared" si="2"/>
        <v>14000</v>
      </c>
      <c r="M38" s="126" t="s">
        <v>47</v>
      </c>
      <c r="N38" s="119" t="s">
        <v>47</v>
      </c>
      <c r="O38" s="122" t="s">
        <v>47</v>
      </c>
      <c r="P38" s="74"/>
      <c r="R38" s="53"/>
      <c r="S38" s="53"/>
      <c r="T38" s="53"/>
      <c r="U38" s="53"/>
    </row>
    <row r="39" spans="1:21" ht="24" hidden="1" x14ac:dyDescent="0.25">
      <c r="A39" s="76">
        <v>21383</v>
      </c>
      <c r="B39" s="127" t="s">
        <v>58</v>
      </c>
      <c r="C39" s="128">
        <f t="shared" si="0"/>
        <v>0</v>
      </c>
      <c r="D39" s="129" t="s">
        <v>47</v>
      </c>
      <c r="E39" s="130" t="s">
        <v>47</v>
      </c>
      <c r="F39" s="131" t="s">
        <v>47</v>
      </c>
      <c r="G39" s="129" t="s">
        <v>47</v>
      </c>
      <c r="H39" s="132" t="s">
        <v>47</v>
      </c>
      <c r="I39" s="133" t="s">
        <v>47</v>
      </c>
      <c r="J39" s="134"/>
      <c r="K39" s="135"/>
      <c r="L39" s="136">
        <f t="shared" si="2"/>
        <v>0</v>
      </c>
      <c r="M39" s="137" t="s">
        <v>47</v>
      </c>
      <c r="N39" s="138" t="s">
        <v>47</v>
      </c>
      <c r="O39" s="133" t="s">
        <v>47</v>
      </c>
      <c r="P39" s="85"/>
      <c r="R39" s="53"/>
      <c r="S39" s="53"/>
      <c r="T39" s="53"/>
      <c r="U39" s="53"/>
    </row>
    <row r="40" spans="1:21" s="41" customFormat="1" ht="24" x14ac:dyDescent="0.25">
      <c r="A40" s="115">
        <v>21390</v>
      </c>
      <c r="B40" s="99" t="s">
        <v>59</v>
      </c>
      <c r="C40" s="100">
        <f t="shared" si="0"/>
        <v>1100</v>
      </c>
      <c r="D40" s="104" t="s">
        <v>47</v>
      </c>
      <c r="E40" s="110" t="s">
        <v>47</v>
      </c>
      <c r="F40" s="111" t="s">
        <v>47</v>
      </c>
      <c r="G40" s="104" t="s">
        <v>47</v>
      </c>
      <c r="H40" s="105" t="s">
        <v>47</v>
      </c>
      <c r="I40" s="106" t="s">
        <v>47</v>
      </c>
      <c r="J40" s="112">
        <f>SUM(J41:J44)</f>
        <v>1100</v>
      </c>
      <c r="K40" s="113">
        <f>SUM(K41:K44)</f>
        <v>0</v>
      </c>
      <c r="L40" s="114">
        <f t="shared" si="2"/>
        <v>1100</v>
      </c>
      <c r="M40" s="107" t="s">
        <v>47</v>
      </c>
      <c r="N40" s="108" t="s">
        <v>47</v>
      </c>
      <c r="O40" s="106" t="s">
        <v>47</v>
      </c>
      <c r="P40" s="109"/>
      <c r="R40" s="53"/>
      <c r="S40" s="53"/>
      <c r="T40" s="53"/>
      <c r="U40" s="53"/>
    </row>
    <row r="41" spans="1:21" ht="24" hidden="1" x14ac:dyDescent="0.25">
      <c r="A41" s="66">
        <v>21391</v>
      </c>
      <c r="B41" s="116" t="s">
        <v>60</v>
      </c>
      <c r="C41" s="117">
        <f t="shared" si="0"/>
        <v>0</v>
      </c>
      <c r="D41" s="118" t="s">
        <v>47</v>
      </c>
      <c r="E41" s="154" t="s">
        <v>47</v>
      </c>
      <c r="F41" s="155" t="s">
        <v>47</v>
      </c>
      <c r="G41" s="118" t="s">
        <v>47</v>
      </c>
      <c r="H41" s="121" t="s">
        <v>47</v>
      </c>
      <c r="I41" s="122" t="s">
        <v>47</v>
      </c>
      <c r="J41" s="123"/>
      <c r="K41" s="124"/>
      <c r="L41" s="125">
        <f t="shared" si="2"/>
        <v>0</v>
      </c>
      <c r="M41" s="126" t="s">
        <v>47</v>
      </c>
      <c r="N41" s="119" t="s">
        <v>47</v>
      </c>
      <c r="O41" s="122" t="s">
        <v>47</v>
      </c>
      <c r="P41" s="74"/>
      <c r="R41" s="53"/>
      <c r="S41" s="53"/>
      <c r="T41" s="53"/>
      <c r="U41" s="53"/>
    </row>
    <row r="42" spans="1:21" hidden="1" x14ac:dyDescent="0.25">
      <c r="A42" s="76">
        <v>21393</v>
      </c>
      <c r="B42" s="127" t="s">
        <v>61</v>
      </c>
      <c r="C42" s="128">
        <f t="shared" si="0"/>
        <v>0</v>
      </c>
      <c r="D42" s="129" t="s">
        <v>47</v>
      </c>
      <c r="E42" s="130" t="s">
        <v>47</v>
      </c>
      <c r="F42" s="131" t="s">
        <v>47</v>
      </c>
      <c r="G42" s="129" t="s">
        <v>47</v>
      </c>
      <c r="H42" s="132" t="s">
        <v>47</v>
      </c>
      <c r="I42" s="133" t="s">
        <v>47</v>
      </c>
      <c r="J42" s="134"/>
      <c r="K42" s="135"/>
      <c r="L42" s="136">
        <f t="shared" si="2"/>
        <v>0</v>
      </c>
      <c r="M42" s="137" t="s">
        <v>47</v>
      </c>
      <c r="N42" s="138" t="s">
        <v>47</v>
      </c>
      <c r="O42" s="133" t="s">
        <v>47</v>
      </c>
      <c r="P42" s="85"/>
      <c r="R42" s="53"/>
      <c r="S42" s="53"/>
      <c r="T42" s="53"/>
      <c r="U42" s="53"/>
    </row>
    <row r="43" spans="1:21" hidden="1" x14ac:dyDescent="0.25">
      <c r="A43" s="76">
        <v>21395</v>
      </c>
      <c r="B43" s="127" t="s">
        <v>62</v>
      </c>
      <c r="C43" s="128">
        <f t="shared" si="0"/>
        <v>0</v>
      </c>
      <c r="D43" s="129" t="s">
        <v>47</v>
      </c>
      <c r="E43" s="130" t="s">
        <v>47</v>
      </c>
      <c r="F43" s="131" t="s">
        <v>47</v>
      </c>
      <c r="G43" s="129" t="s">
        <v>47</v>
      </c>
      <c r="H43" s="132" t="s">
        <v>47</v>
      </c>
      <c r="I43" s="133" t="s">
        <v>47</v>
      </c>
      <c r="J43" s="134"/>
      <c r="K43" s="135"/>
      <c r="L43" s="136">
        <f t="shared" si="2"/>
        <v>0</v>
      </c>
      <c r="M43" s="137" t="s">
        <v>47</v>
      </c>
      <c r="N43" s="138" t="s">
        <v>47</v>
      </c>
      <c r="O43" s="133" t="s">
        <v>47</v>
      </c>
      <c r="P43" s="85"/>
      <c r="R43" s="53"/>
      <c r="S43" s="53"/>
      <c r="T43" s="53"/>
      <c r="U43" s="53"/>
    </row>
    <row r="44" spans="1:21" ht="24" x14ac:dyDescent="0.25">
      <c r="A44" s="76">
        <v>21399</v>
      </c>
      <c r="B44" s="127" t="s">
        <v>63</v>
      </c>
      <c r="C44" s="128">
        <f t="shared" si="0"/>
        <v>1100</v>
      </c>
      <c r="D44" s="129" t="s">
        <v>47</v>
      </c>
      <c r="E44" s="130" t="s">
        <v>47</v>
      </c>
      <c r="F44" s="131" t="s">
        <v>47</v>
      </c>
      <c r="G44" s="129" t="s">
        <v>47</v>
      </c>
      <c r="H44" s="132" t="s">
        <v>47</v>
      </c>
      <c r="I44" s="133" t="s">
        <v>47</v>
      </c>
      <c r="J44" s="134">
        <v>1100</v>
      </c>
      <c r="K44" s="135"/>
      <c r="L44" s="136">
        <f t="shared" si="2"/>
        <v>1100</v>
      </c>
      <c r="M44" s="137" t="s">
        <v>47</v>
      </c>
      <c r="N44" s="138" t="s">
        <v>47</v>
      </c>
      <c r="O44" s="133" t="s">
        <v>47</v>
      </c>
      <c r="P44" s="85"/>
      <c r="R44" s="53"/>
      <c r="S44" s="53"/>
      <c r="T44" s="53"/>
      <c r="U44" s="53"/>
    </row>
    <row r="45" spans="1:21" s="41" customFormat="1" ht="24" hidden="1" x14ac:dyDescent="0.25">
      <c r="A45" s="115">
        <v>21420</v>
      </c>
      <c r="B45" s="99" t="s">
        <v>64</v>
      </c>
      <c r="C45" s="156">
        <f t="shared" si="0"/>
        <v>0</v>
      </c>
      <c r="D45" s="157"/>
      <c r="E45" s="702"/>
      <c r="F45" s="634">
        <f>D45+E45</f>
        <v>0</v>
      </c>
      <c r="G45" s="104" t="s">
        <v>47</v>
      </c>
      <c r="H45" s="105" t="s">
        <v>47</v>
      </c>
      <c r="I45" s="106" t="s">
        <v>47</v>
      </c>
      <c r="J45" s="104" t="s">
        <v>47</v>
      </c>
      <c r="K45" s="105" t="s">
        <v>47</v>
      </c>
      <c r="L45" s="106" t="s">
        <v>47</v>
      </c>
      <c r="M45" s="107" t="s">
        <v>47</v>
      </c>
      <c r="N45" s="108" t="s">
        <v>47</v>
      </c>
      <c r="O45" s="106" t="s">
        <v>47</v>
      </c>
      <c r="P45" s="109"/>
      <c r="R45" s="53"/>
      <c r="S45" s="53"/>
      <c r="T45" s="53"/>
      <c r="U45" s="53"/>
    </row>
    <row r="46" spans="1:21" s="41" customFormat="1" ht="24" hidden="1" x14ac:dyDescent="0.25">
      <c r="A46" s="159">
        <v>21490</v>
      </c>
      <c r="B46" s="160" t="s">
        <v>65</v>
      </c>
      <c r="C46" s="156">
        <f t="shared" si="0"/>
        <v>0</v>
      </c>
      <c r="D46" s="161">
        <f>D47</f>
        <v>0</v>
      </c>
      <c r="E46" s="672">
        <f>E47</f>
        <v>0</v>
      </c>
      <c r="F46" s="774">
        <f>D46+E46</f>
        <v>0</v>
      </c>
      <c r="G46" s="161">
        <f>G47</f>
        <v>0</v>
      </c>
      <c r="H46" s="164">
        <f>H47</f>
        <v>0</v>
      </c>
      <c r="I46" s="165">
        <f>G46+H46</f>
        <v>0</v>
      </c>
      <c r="J46" s="161">
        <f>J47</f>
        <v>0</v>
      </c>
      <c r="K46" s="164">
        <f>K47</f>
        <v>0</v>
      </c>
      <c r="L46" s="165">
        <f>J46+K46</f>
        <v>0</v>
      </c>
      <c r="M46" s="107" t="s">
        <v>47</v>
      </c>
      <c r="N46" s="108" t="s">
        <v>47</v>
      </c>
      <c r="O46" s="106" t="s">
        <v>47</v>
      </c>
      <c r="P46" s="109"/>
      <c r="R46" s="53"/>
      <c r="S46" s="53"/>
      <c r="T46" s="53"/>
      <c r="U46" s="53"/>
    </row>
    <row r="47" spans="1:21" s="41" customFormat="1" ht="24" hidden="1" x14ac:dyDescent="0.25">
      <c r="A47" s="76">
        <v>21499</v>
      </c>
      <c r="B47" s="127" t="s">
        <v>66</v>
      </c>
      <c r="C47" s="166">
        <f t="shared" si="0"/>
        <v>0</v>
      </c>
      <c r="D47" s="68"/>
      <c r="E47" s="673"/>
      <c r="F47" s="625">
        <f>D47+E47</f>
        <v>0</v>
      </c>
      <c r="G47" s="167"/>
      <c r="H47" s="71"/>
      <c r="I47" s="72">
        <f>G47+H47</f>
        <v>0</v>
      </c>
      <c r="J47" s="68"/>
      <c r="K47" s="71"/>
      <c r="L47" s="72">
        <f>J47+K47</f>
        <v>0</v>
      </c>
      <c r="M47" s="152" t="s">
        <v>47</v>
      </c>
      <c r="N47" s="145" t="s">
        <v>47</v>
      </c>
      <c r="O47" s="148" t="s">
        <v>47</v>
      </c>
      <c r="P47" s="153"/>
      <c r="R47" s="53"/>
      <c r="S47" s="53"/>
      <c r="T47" s="53"/>
      <c r="U47" s="53"/>
    </row>
    <row r="48" spans="1:21" ht="24" x14ac:dyDescent="0.25">
      <c r="A48" s="168">
        <v>23000</v>
      </c>
      <c r="B48" s="169" t="s">
        <v>67</v>
      </c>
      <c r="C48" s="156">
        <f t="shared" si="0"/>
        <v>300</v>
      </c>
      <c r="D48" s="170" t="s">
        <v>47</v>
      </c>
      <c r="E48" s="669" t="s">
        <v>47</v>
      </c>
      <c r="F48" s="907" t="s">
        <v>47</v>
      </c>
      <c r="G48" s="170" t="s">
        <v>47</v>
      </c>
      <c r="H48" s="173" t="s">
        <v>47</v>
      </c>
      <c r="I48" s="174" t="s">
        <v>47</v>
      </c>
      <c r="J48" s="170" t="s">
        <v>47</v>
      </c>
      <c r="K48" s="173" t="s">
        <v>47</v>
      </c>
      <c r="L48" s="174" t="s">
        <v>47</v>
      </c>
      <c r="M48" s="175">
        <f>SUM(M49:M50)</f>
        <v>300</v>
      </c>
      <c r="N48" s="176">
        <f>SUM(N49:N50)</f>
        <v>0</v>
      </c>
      <c r="O48" s="177">
        <f>M48+N48</f>
        <v>300</v>
      </c>
      <c r="P48" s="109"/>
      <c r="R48" s="53"/>
      <c r="S48" s="53"/>
      <c r="T48" s="53"/>
      <c r="U48" s="53"/>
    </row>
    <row r="49" spans="1:21" ht="24" hidden="1" x14ac:dyDescent="0.25">
      <c r="A49" s="178">
        <v>23410</v>
      </c>
      <c r="B49" s="179" t="s">
        <v>68</v>
      </c>
      <c r="C49" s="180">
        <f t="shared" si="0"/>
        <v>0</v>
      </c>
      <c r="D49" s="181" t="s">
        <v>47</v>
      </c>
      <c r="E49" s="674" t="s">
        <v>47</v>
      </c>
      <c r="F49" s="908" t="s">
        <v>47</v>
      </c>
      <c r="G49" s="181" t="s">
        <v>47</v>
      </c>
      <c r="H49" s="184" t="s">
        <v>47</v>
      </c>
      <c r="I49" s="185" t="s">
        <v>47</v>
      </c>
      <c r="J49" s="181" t="s">
        <v>47</v>
      </c>
      <c r="K49" s="184" t="s">
        <v>47</v>
      </c>
      <c r="L49" s="185" t="s">
        <v>47</v>
      </c>
      <c r="M49" s="186"/>
      <c r="N49" s="187"/>
      <c r="O49" s="188">
        <f>M49+N49</f>
        <v>0</v>
      </c>
      <c r="P49" s="189"/>
      <c r="R49" s="53"/>
      <c r="S49" s="53"/>
      <c r="T49" s="53"/>
      <c r="U49" s="53"/>
    </row>
    <row r="50" spans="1:21" ht="24" x14ac:dyDescent="0.25">
      <c r="A50" s="178">
        <v>23510</v>
      </c>
      <c r="B50" s="179" t="s">
        <v>69</v>
      </c>
      <c r="C50" s="180">
        <f t="shared" si="0"/>
        <v>300</v>
      </c>
      <c r="D50" s="181" t="s">
        <v>47</v>
      </c>
      <c r="E50" s="674" t="s">
        <v>47</v>
      </c>
      <c r="F50" s="908" t="s">
        <v>47</v>
      </c>
      <c r="G50" s="181" t="s">
        <v>47</v>
      </c>
      <c r="H50" s="184" t="s">
        <v>47</v>
      </c>
      <c r="I50" s="185" t="s">
        <v>47</v>
      </c>
      <c r="J50" s="181" t="s">
        <v>47</v>
      </c>
      <c r="K50" s="184" t="s">
        <v>47</v>
      </c>
      <c r="L50" s="185" t="s">
        <v>47</v>
      </c>
      <c r="M50" s="186">
        <v>300</v>
      </c>
      <c r="N50" s="187"/>
      <c r="O50" s="188">
        <f>M50+N50</f>
        <v>300</v>
      </c>
      <c r="P50" s="189"/>
      <c r="R50" s="53"/>
      <c r="S50" s="53"/>
      <c r="T50" s="53"/>
      <c r="U50" s="53"/>
    </row>
    <row r="51" spans="1:21" x14ac:dyDescent="0.25">
      <c r="A51" s="190"/>
      <c r="B51" s="179"/>
      <c r="C51" s="191"/>
      <c r="D51" s="192"/>
      <c r="E51" s="193"/>
      <c r="F51" s="194"/>
      <c r="G51" s="192"/>
      <c r="H51" s="195"/>
      <c r="I51" s="185"/>
      <c r="J51" s="196"/>
      <c r="K51" s="197"/>
      <c r="L51" s="188"/>
      <c r="M51" s="186"/>
      <c r="N51" s="187"/>
      <c r="O51" s="188"/>
      <c r="P51" s="189"/>
      <c r="R51" s="53"/>
      <c r="S51" s="53"/>
      <c r="T51" s="53"/>
      <c r="U51" s="53"/>
    </row>
    <row r="52" spans="1:21" s="41" customFormat="1" x14ac:dyDescent="0.25">
      <c r="A52" s="198"/>
      <c r="B52" s="199" t="s">
        <v>70</v>
      </c>
      <c r="C52" s="200"/>
      <c r="D52" s="201"/>
      <c r="E52" s="202"/>
      <c r="F52" s="203"/>
      <c r="G52" s="201"/>
      <c r="H52" s="204"/>
      <c r="I52" s="205"/>
      <c r="J52" s="201"/>
      <c r="K52" s="204"/>
      <c r="L52" s="205"/>
      <c r="M52" s="206"/>
      <c r="N52" s="207"/>
      <c r="O52" s="205"/>
      <c r="P52" s="208"/>
      <c r="R52" s="53"/>
      <c r="S52" s="53"/>
      <c r="T52" s="53"/>
      <c r="U52" s="53"/>
    </row>
    <row r="53" spans="1:21" s="41" customFormat="1" ht="12.75" thickBot="1" x14ac:dyDescent="0.3">
      <c r="A53" s="209"/>
      <c r="B53" s="42" t="s">
        <v>71</v>
      </c>
      <c r="C53" s="210">
        <f t="shared" ref="C53:C116" si="3">SUM(F53,I53,L53,O53)</f>
        <v>640619</v>
      </c>
      <c r="D53" s="211">
        <f>SUM(D54,D284)</f>
        <v>291614</v>
      </c>
      <c r="E53" s="212">
        <f>SUM(E54,E284)</f>
        <v>0</v>
      </c>
      <c r="F53" s="213">
        <f t="shared" ref="F53:F116" si="4">D53+E53</f>
        <v>291614</v>
      </c>
      <c r="G53" s="211">
        <f>SUM(G54,G284)</f>
        <v>320161</v>
      </c>
      <c r="H53" s="214">
        <f>SUM(H54,H284)</f>
        <v>0</v>
      </c>
      <c r="I53" s="215">
        <f t="shared" ref="I53:I116" si="5">G53+H53</f>
        <v>320161</v>
      </c>
      <c r="J53" s="211">
        <f>SUM(J54,J284)</f>
        <v>27539</v>
      </c>
      <c r="K53" s="214">
        <f>SUM(K54,K284)</f>
        <v>0</v>
      </c>
      <c r="L53" s="215">
        <f t="shared" ref="L53:L116" si="6">J53+K53</f>
        <v>27539</v>
      </c>
      <c r="M53" s="216">
        <f>SUM(M54,M284)</f>
        <v>1305</v>
      </c>
      <c r="N53" s="217">
        <f>SUM(N54,N284)</f>
        <v>0</v>
      </c>
      <c r="O53" s="215">
        <f t="shared" ref="O53:O116" si="7">M53+N53</f>
        <v>1305</v>
      </c>
      <c r="P53" s="52"/>
      <c r="R53" s="53"/>
      <c r="S53" s="53"/>
      <c r="T53" s="53"/>
      <c r="U53" s="53"/>
    </row>
    <row r="54" spans="1:21" s="41" customFormat="1" ht="36.75" thickTop="1" x14ac:dyDescent="0.25">
      <c r="A54" s="218"/>
      <c r="B54" s="219" t="s">
        <v>72</v>
      </c>
      <c r="C54" s="220">
        <f t="shared" si="3"/>
        <v>640619</v>
      </c>
      <c r="D54" s="221">
        <f>SUM(D55,D197)</f>
        <v>291614</v>
      </c>
      <c r="E54" s="222">
        <f>SUM(E55,E197)</f>
        <v>0</v>
      </c>
      <c r="F54" s="223">
        <f t="shared" si="4"/>
        <v>291614</v>
      </c>
      <c r="G54" s="221">
        <f>SUM(G55,G197)</f>
        <v>320161</v>
      </c>
      <c r="H54" s="224">
        <f>SUM(H55,H197)</f>
        <v>0</v>
      </c>
      <c r="I54" s="225">
        <f t="shared" si="5"/>
        <v>320161</v>
      </c>
      <c r="J54" s="221">
        <f>SUM(J55,J197)</f>
        <v>27539</v>
      </c>
      <c r="K54" s="224">
        <f>SUM(K55,K197)</f>
        <v>0</v>
      </c>
      <c r="L54" s="225">
        <f t="shared" si="6"/>
        <v>27539</v>
      </c>
      <c r="M54" s="226">
        <f>SUM(M55,M197)</f>
        <v>1305</v>
      </c>
      <c r="N54" s="227">
        <f>SUM(N55,N197)</f>
        <v>0</v>
      </c>
      <c r="O54" s="225">
        <f t="shared" si="7"/>
        <v>1305</v>
      </c>
      <c r="P54" s="228"/>
      <c r="R54" s="53"/>
      <c r="S54" s="53"/>
      <c r="T54" s="53"/>
      <c r="U54" s="53"/>
    </row>
    <row r="55" spans="1:21" s="41" customFormat="1" ht="24" x14ac:dyDescent="0.25">
      <c r="A55" s="35"/>
      <c r="B55" s="30" t="s">
        <v>73</v>
      </c>
      <c r="C55" s="229">
        <f t="shared" si="3"/>
        <v>618855</v>
      </c>
      <c r="D55" s="230">
        <f>SUM(D56,D78,D176,D190)</f>
        <v>272914</v>
      </c>
      <c r="E55" s="231">
        <f>SUM(E56,E78,E176,E190)</f>
        <v>0</v>
      </c>
      <c r="F55" s="232">
        <f t="shared" si="4"/>
        <v>272914</v>
      </c>
      <c r="G55" s="230">
        <f>SUM(G56,G78,G176,G190)</f>
        <v>317097</v>
      </c>
      <c r="H55" s="233">
        <f>SUM(H56,H78,H176,H190)</f>
        <v>0</v>
      </c>
      <c r="I55" s="234">
        <f t="shared" si="5"/>
        <v>317097</v>
      </c>
      <c r="J55" s="230">
        <f>SUM(J56,J78,J176,J190)</f>
        <v>27539</v>
      </c>
      <c r="K55" s="233">
        <f>SUM(K56,K78,K176,K190)</f>
        <v>0</v>
      </c>
      <c r="L55" s="234">
        <f t="shared" si="6"/>
        <v>27539</v>
      </c>
      <c r="M55" s="53">
        <f>SUM(M56,M78,M176,M190)</f>
        <v>1305</v>
      </c>
      <c r="N55" s="235">
        <f>SUM(N56,N78,N176,N190)</f>
        <v>0</v>
      </c>
      <c r="O55" s="234">
        <f t="shared" si="7"/>
        <v>1305</v>
      </c>
      <c r="P55" s="236"/>
      <c r="R55" s="53"/>
      <c r="S55" s="53"/>
      <c r="T55" s="53"/>
      <c r="U55" s="53"/>
    </row>
    <row r="56" spans="1:21" s="41" customFormat="1" x14ac:dyDescent="0.25">
      <c r="A56" s="237">
        <v>1000</v>
      </c>
      <c r="B56" s="237" t="s">
        <v>74</v>
      </c>
      <c r="C56" s="238">
        <f t="shared" si="3"/>
        <v>497288</v>
      </c>
      <c r="D56" s="239">
        <f>SUM(D57,D70)</f>
        <v>182691</v>
      </c>
      <c r="E56" s="240">
        <f>SUM(E57,E70)</f>
        <v>0</v>
      </c>
      <c r="F56" s="241">
        <f t="shared" si="4"/>
        <v>182691</v>
      </c>
      <c r="G56" s="239">
        <f>SUM(G57,G70)</f>
        <v>314597</v>
      </c>
      <c r="H56" s="242">
        <f>SUM(H57,H70)</f>
        <v>0</v>
      </c>
      <c r="I56" s="243">
        <f t="shared" si="5"/>
        <v>314597</v>
      </c>
      <c r="J56" s="239">
        <f>SUM(J57,J70)</f>
        <v>0</v>
      </c>
      <c r="K56" s="242">
        <f>SUM(K57,K70)</f>
        <v>0</v>
      </c>
      <c r="L56" s="243">
        <f t="shared" si="6"/>
        <v>0</v>
      </c>
      <c r="M56" s="244">
        <f>SUM(M57,M70)</f>
        <v>0</v>
      </c>
      <c r="N56" s="245">
        <f>SUM(N57,N70)</f>
        <v>0</v>
      </c>
      <c r="O56" s="243">
        <f t="shared" si="7"/>
        <v>0</v>
      </c>
      <c r="P56" s="246"/>
      <c r="R56" s="53"/>
      <c r="S56" s="53"/>
      <c r="T56" s="53"/>
      <c r="U56" s="53"/>
    </row>
    <row r="57" spans="1:21" x14ac:dyDescent="0.25">
      <c r="A57" s="99">
        <v>1100</v>
      </c>
      <c r="B57" s="247" t="s">
        <v>75</v>
      </c>
      <c r="C57" s="100">
        <f t="shared" si="3"/>
        <v>377245</v>
      </c>
      <c r="D57" s="112">
        <f>SUM(D58,D61,D69)</f>
        <v>126895</v>
      </c>
      <c r="E57" s="248">
        <f>SUM(E58,E61,E69)</f>
        <v>0</v>
      </c>
      <c r="F57" s="249">
        <f t="shared" si="4"/>
        <v>126895</v>
      </c>
      <c r="G57" s="112">
        <f>SUM(G58,G61,G69)</f>
        <v>251950</v>
      </c>
      <c r="H57" s="113">
        <f>SUM(H58,H61,H69)</f>
        <v>-1600</v>
      </c>
      <c r="I57" s="114">
        <f t="shared" si="5"/>
        <v>250350</v>
      </c>
      <c r="J57" s="112">
        <f>SUM(J58,J61,J69)</f>
        <v>0</v>
      </c>
      <c r="K57" s="113">
        <f>SUM(K58,K61,K69)</f>
        <v>0</v>
      </c>
      <c r="L57" s="114">
        <f t="shared" si="6"/>
        <v>0</v>
      </c>
      <c r="M57" s="250">
        <f>SUM(M58,M61,M69)</f>
        <v>0</v>
      </c>
      <c r="N57" s="251">
        <f>SUM(N58,N61,N69)</f>
        <v>0</v>
      </c>
      <c r="O57" s="252">
        <f t="shared" si="7"/>
        <v>0</v>
      </c>
      <c r="P57" s="253"/>
      <c r="R57" s="53"/>
      <c r="S57" s="53"/>
      <c r="T57" s="53"/>
      <c r="U57" s="53"/>
    </row>
    <row r="58" spans="1:21" x14ac:dyDescent="0.25">
      <c r="A58" s="254">
        <v>1110</v>
      </c>
      <c r="B58" s="179" t="s">
        <v>76</v>
      </c>
      <c r="C58" s="191">
        <f t="shared" si="3"/>
        <v>345413</v>
      </c>
      <c r="D58" s="255">
        <f>SUM(D59:D60)</f>
        <v>110997</v>
      </c>
      <c r="E58" s="256">
        <f>SUM(E59:E60)</f>
        <v>0</v>
      </c>
      <c r="F58" s="257">
        <f t="shared" si="4"/>
        <v>110997</v>
      </c>
      <c r="G58" s="255">
        <f>SUM(G59:G60)</f>
        <v>238416</v>
      </c>
      <c r="H58" s="258">
        <f>SUM(H59:H60)</f>
        <v>-4000</v>
      </c>
      <c r="I58" s="259">
        <f t="shared" si="5"/>
        <v>234416</v>
      </c>
      <c r="J58" s="255">
        <f>SUM(J59:J60)</f>
        <v>0</v>
      </c>
      <c r="K58" s="258">
        <f>SUM(K59:K60)</f>
        <v>0</v>
      </c>
      <c r="L58" s="259">
        <f t="shared" si="6"/>
        <v>0</v>
      </c>
      <c r="M58" s="260">
        <f>SUM(M59:M60)</f>
        <v>0</v>
      </c>
      <c r="N58" s="261">
        <f>SUM(N59:N60)</f>
        <v>0</v>
      </c>
      <c r="O58" s="259">
        <f t="shared" si="7"/>
        <v>0</v>
      </c>
      <c r="P58" s="189"/>
      <c r="R58" s="53"/>
      <c r="S58" s="53"/>
      <c r="T58" s="53"/>
      <c r="U58" s="53"/>
    </row>
    <row r="59" spans="1:21" hidden="1" x14ac:dyDescent="0.25">
      <c r="A59" s="66">
        <v>1111</v>
      </c>
      <c r="B59" s="116" t="s">
        <v>77</v>
      </c>
      <c r="C59" s="117">
        <f t="shared" si="3"/>
        <v>0</v>
      </c>
      <c r="D59" s="123"/>
      <c r="E59" s="295"/>
      <c r="F59" s="296">
        <f t="shared" si="4"/>
        <v>0</v>
      </c>
      <c r="G59" s="123"/>
      <c r="H59" s="124"/>
      <c r="I59" s="125">
        <f t="shared" si="5"/>
        <v>0</v>
      </c>
      <c r="J59" s="123"/>
      <c r="K59" s="124"/>
      <c r="L59" s="125">
        <f t="shared" si="6"/>
        <v>0</v>
      </c>
      <c r="M59" s="264"/>
      <c r="N59" s="262"/>
      <c r="O59" s="125">
        <f t="shared" si="7"/>
        <v>0</v>
      </c>
      <c r="P59" s="74"/>
      <c r="R59" s="53"/>
      <c r="S59" s="53"/>
      <c r="T59" s="53"/>
      <c r="U59" s="53"/>
    </row>
    <row r="60" spans="1:21" ht="24" x14ac:dyDescent="0.25">
      <c r="A60" s="76">
        <v>1119</v>
      </c>
      <c r="B60" s="127" t="s">
        <v>78</v>
      </c>
      <c r="C60" s="128">
        <f t="shared" si="3"/>
        <v>345413</v>
      </c>
      <c r="D60" s="134">
        <f>110517+480</f>
        <v>110997</v>
      </c>
      <c r="E60" s="283"/>
      <c r="F60" s="279">
        <f t="shared" si="4"/>
        <v>110997</v>
      </c>
      <c r="G60" s="134">
        <f>194517-1000+44899</f>
        <v>238416</v>
      </c>
      <c r="H60" s="135">
        <v>-4000</v>
      </c>
      <c r="I60" s="136">
        <f t="shared" si="5"/>
        <v>234416</v>
      </c>
      <c r="J60" s="134"/>
      <c r="K60" s="135"/>
      <c r="L60" s="136">
        <f t="shared" si="6"/>
        <v>0</v>
      </c>
      <c r="M60" s="284"/>
      <c r="N60" s="285"/>
      <c r="O60" s="136">
        <f t="shared" si="7"/>
        <v>0</v>
      </c>
      <c r="P60" s="85"/>
      <c r="R60" s="53"/>
      <c r="S60" s="53"/>
      <c r="T60" s="53"/>
      <c r="U60" s="53"/>
    </row>
    <row r="61" spans="1:21" ht="24" x14ac:dyDescent="0.25">
      <c r="A61" s="276">
        <v>1140</v>
      </c>
      <c r="B61" s="127" t="s">
        <v>79</v>
      </c>
      <c r="C61" s="128">
        <f t="shared" si="3"/>
        <v>30557</v>
      </c>
      <c r="D61" s="277">
        <f>SUM(D62:D68)</f>
        <v>14623</v>
      </c>
      <c r="E61" s="278">
        <f>SUM(E62:E68)</f>
        <v>0</v>
      </c>
      <c r="F61" s="279">
        <f t="shared" si="4"/>
        <v>14623</v>
      </c>
      <c r="G61" s="277">
        <f>SUM(G62:G68)</f>
        <v>13534</v>
      </c>
      <c r="H61" s="280">
        <f>SUM(H62:H68)</f>
        <v>2400</v>
      </c>
      <c r="I61" s="136">
        <f t="shared" si="5"/>
        <v>15934</v>
      </c>
      <c r="J61" s="277">
        <f>SUM(J62:J68)</f>
        <v>0</v>
      </c>
      <c r="K61" s="280">
        <f>SUM(K62:K68)</f>
        <v>0</v>
      </c>
      <c r="L61" s="136">
        <f t="shared" si="6"/>
        <v>0</v>
      </c>
      <c r="M61" s="281">
        <f>SUM(M62:M68)</f>
        <v>0</v>
      </c>
      <c r="N61" s="282">
        <f>SUM(N62:N68)</f>
        <v>0</v>
      </c>
      <c r="O61" s="136">
        <f t="shared" si="7"/>
        <v>0</v>
      </c>
      <c r="P61" s="85"/>
      <c r="R61" s="53"/>
      <c r="S61" s="53"/>
      <c r="T61" s="53"/>
      <c r="U61" s="53"/>
    </row>
    <row r="62" spans="1:21" x14ac:dyDescent="0.25">
      <c r="A62" s="76">
        <v>1141</v>
      </c>
      <c r="B62" s="127" t="s">
        <v>80</v>
      </c>
      <c r="C62" s="128">
        <f t="shared" si="3"/>
        <v>3748</v>
      </c>
      <c r="D62" s="134">
        <v>3748</v>
      </c>
      <c r="E62" s="283"/>
      <c r="F62" s="279">
        <f t="shared" si="4"/>
        <v>3748</v>
      </c>
      <c r="G62" s="134"/>
      <c r="H62" s="135"/>
      <c r="I62" s="136">
        <f t="shared" si="5"/>
        <v>0</v>
      </c>
      <c r="J62" s="134"/>
      <c r="K62" s="135"/>
      <c r="L62" s="136">
        <f t="shared" si="6"/>
        <v>0</v>
      </c>
      <c r="M62" s="284"/>
      <c r="N62" s="285"/>
      <c r="O62" s="136">
        <f t="shared" si="7"/>
        <v>0</v>
      </c>
      <c r="P62" s="85"/>
      <c r="R62" s="53"/>
      <c r="S62" s="53"/>
      <c r="T62" s="53"/>
      <c r="U62" s="53"/>
    </row>
    <row r="63" spans="1:21" ht="24" x14ac:dyDescent="0.25">
      <c r="A63" s="76">
        <v>1142</v>
      </c>
      <c r="B63" s="127" t="s">
        <v>81</v>
      </c>
      <c r="C63" s="128">
        <f t="shared" si="3"/>
        <v>922</v>
      </c>
      <c r="D63" s="134">
        <v>922</v>
      </c>
      <c r="E63" s="283"/>
      <c r="F63" s="279">
        <f t="shared" si="4"/>
        <v>922</v>
      </c>
      <c r="G63" s="134"/>
      <c r="H63" s="135"/>
      <c r="I63" s="136">
        <f t="shared" si="5"/>
        <v>0</v>
      </c>
      <c r="J63" s="134"/>
      <c r="K63" s="135"/>
      <c r="L63" s="136">
        <f t="shared" si="6"/>
        <v>0</v>
      </c>
      <c r="M63" s="284"/>
      <c r="N63" s="285"/>
      <c r="O63" s="136">
        <f t="shared" si="7"/>
        <v>0</v>
      </c>
      <c r="P63" s="85"/>
      <c r="R63" s="53"/>
      <c r="S63" s="53"/>
      <c r="T63" s="53"/>
      <c r="U63" s="53"/>
    </row>
    <row r="64" spans="1:21" ht="24" x14ac:dyDescent="0.25">
      <c r="A64" s="76">
        <v>1145</v>
      </c>
      <c r="B64" s="127" t="s">
        <v>82</v>
      </c>
      <c r="C64" s="128">
        <f t="shared" si="3"/>
        <v>266</v>
      </c>
      <c r="D64" s="134"/>
      <c r="E64" s="283"/>
      <c r="F64" s="279">
        <f t="shared" si="4"/>
        <v>0</v>
      </c>
      <c r="G64" s="134">
        <f>472-206</f>
        <v>266</v>
      </c>
      <c r="H64" s="135"/>
      <c r="I64" s="136">
        <f t="shared" si="5"/>
        <v>266</v>
      </c>
      <c r="J64" s="134"/>
      <c r="K64" s="135"/>
      <c r="L64" s="136">
        <f t="shared" si="6"/>
        <v>0</v>
      </c>
      <c r="M64" s="284"/>
      <c r="N64" s="285"/>
      <c r="O64" s="136">
        <f t="shared" si="7"/>
        <v>0</v>
      </c>
      <c r="P64" s="85"/>
      <c r="R64" s="53"/>
      <c r="S64" s="53"/>
      <c r="T64" s="53"/>
      <c r="U64" s="53"/>
    </row>
    <row r="65" spans="1:21" ht="24" hidden="1" x14ac:dyDescent="0.25">
      <c r="A65" s="76">
        <v>1146</v>
      </c>
      <c r="B65" s="127" t="s">
        <v>83</v>
      </c>
      <c r="C65" s="128">
        <f t="shared" si="3"/>
        <v>0</v>
      </c>
      <c r="D65" s="134">
        <v>0</v>
      </c>
      <c r="E65" s="283"/>
      <c r="F65" s="279">
        <f t="shared" si="4"/>
        <v>0</v>
      </c>
      <c r="G65" s="134"/>
      <c r="H65" s="135"/>
      <c r="I65" s="136">
        <f t="shared" si="5"/>
        <v>0</v>
      </c>
      <c r="J65" s="134"/>
      <c r="K65" s="135"/>
      <c r="L65" s="136">
        <f t="shared" si="6"/>
        <v>0</v>
      </c>
      <c r="M65" s="284"/>
      <c r="N65" s="285"/>
      <c r="O65" s="136">
        <f t="shared" si="7"/>
        <v>0</v>
      </c>
      <c r="P65" s="85"/>
      <c r="R65" s="53"/>
      <c r="S65" s="53"/>
      <c r="T65" s="53"/>
      <c r="U65" s="53"/>
    </row>
    <row r="66" spans="1:21" x14ac:dyDescent="0.25">
      <c r="A66" s="76">
        <v>1147</v>
      </c>
      <c r="B66" s="127" t="s">
        <v>84</v>
      </c>
      <c r="C66" s="128">
        <f t="shared" si="3"/>
        <v>1000</v>
      </c>
      <c r="D66" s="134">
        <v>1000</v>
      </c>
      <c r="E66" s="283"/>
      <c r="F66" s="279">
        <f t="shared" si="4"/>
        <v>1000</v>
      </c>
      <c r="G66" s="134"/>
      <c r="H66" s="135"/>
      <c r="I66" s="136">
        <f t="shared" si="5"/>
        <v>0</v>
      </c>
      <c r="J66" s="134"/>
      <c r="K66" s="135"/>
      <c r="L66" s="136">
        <f t="shared" si="6"/>
        <v>0</v>
      </c>
      <c r="M66" s="284"/>
      <c r="N66" s="285"/>
      <c r="O66" s="136">
        <f t="shared" si="7"/>
        <v>0</v>
      </c>
      <c r="P66" s="85"/>
      <c r="R66" s="53"/>
      <c r="S66" s="53"/>
      <c r="T66" s="53"/>
      <c r="U66" s="53"/>
    </row>
    <row r="67" spans="1:21" ht="15" customHeight="1" x14ac:dyDescent="0.25">
      <c r="A67" s="76">
        <v>1148</v>
      </c>
      <c r="B67" s="127" t="s">
        <v>85</v>
      </c>
      <c r="C67" s="128">
        <f t="shared" si="3"/>
        <v>18153</v>
      </c>
      <c r="D67" s="134">
        <f>7055+942+956</f>
        <v>8953</v>
      </c>
      <c r="E67" s="283"/>
      <c r="F67" s="279">
        <f t="shared" si="4"/>
        <v>8953</v>
      </c>
      <c r="G67" s="134"/>
      <c r="H67" s="135">
        <v>9200</v>
      </c>
      <c r="I67" s="136">
        <f t="shared" si="5"/>
        <v>9200</v>
      </c>
      <c r="J67" s="134"/>
      <c r="K67" s="135"/>
      <c r="L67" s="136">
        <f t="shared" si="6"/>
        <v>0</v>
      </c>
      <c r="M67" s="284"/>
      <c r="N67" s="285"/>
      <c r="O67" s="136">
        <f t="shared" si="7"/>
        <v>0</v>
      </c>
      <c r="P67" s="85"/>
      <c r="R67" s="53"/>
      <c r="S67" s="53"/>
      <c r="T67" s="53"/>
      <c r="U67" s="53"/>
    </row>
    <row r="68" spans="1:21" ht="28.5" customHeight="1" x14ac:dyDescent="0.25">
      <c r="A68" s="76">
        <v>1149</v>
      </c>
      <c r="B68" s="127" t="s">
        <v>86</v>
      </c>
      <c r="C68" s="128">
        <f t="shared" si="3"/>
        <v>6468</v>
      </c>
      <c r="D68" s="134">
        <v>0</v>
      </c>
      <c r="E68" s="283"/>
      <c r="F68" s="279">
        <f t="shared" si="4"/>
        <v>0</v>
      </c>
      <c r="G68" s="134">
        <f>9176+4092</f>
        <v>13268</v>
      </c>
      <c r="H68" s="135">
        <v>-6800</v>
      </c>
      <c r="I68" s="136">
        <f t="shared" si="5"/>
        <v>6468</v>
      </c>
      <c r="J68" s="134"/>
      <c r="K68" s="135"/>
      <c r="L68" s="136">
        <f t="shared" si="6"/>
        <v>0</v>
      </c>
      <c r="M68" s="284"/>
      <c r="N68" s="285"/>
      <c r="O68" s="136">
        <f t="shared" si="7"/>
        <v>0</v>
      </c>
      <c r="P68" s="85"/>
      <c r="R68" s="53"/>
      <c r="S68" s="53"/>
      <c r="T68" s="53"/>
      <c r="U68" s="53"/>
    </row>
    <row r="69" spans="1:21" ht="36" x14ac:dyDescent="0.25">
      <c r="A69" s="254">
        <v>1150</v>
      </c>
      <c r="B69" s="179" t="s">
        <v>87</v>
      </c>
      <c r="C69" s="128">
        <f t="shared" si="3"/>
        <v>1275</v>
      </c>
      <c r="D69" s="287">
        <v>1275</v>
      </c>
      <c r="E69" s="288"/>
      <c r="F69" s="257">
        <f t="shared" si="4"/>
        <v>1275</v>
      </c>
      <c r="G69" s="287"/>
      <c r="H69" s="289"/>
      <c r="I69" s="259">
        <f t="shared" si="5"/>
        <v>0</v>
      </c>
      <c r="J69" s="287"/>
      <c r="K69" s="289"/>
      <c r="L69" s="259">
        <f t="shared" si="6"/>
        <v>0</v>
      </c>
      <c r="M69" s="290"/>
      <c r="N69" s="291"/>
      <c r="O69" s="259">
        <f t="shared" si="7"/>
        <v>0</v>
      </c>
      <c r="P69" s="189"/>
      <c r="R69" s="53"/>
      <c r="S69" s="53"/>
      <c r="T69" s="53"/>
      <c r="U69" s="53"/>
    </row>
    <row r="70" spans="1:21" ht="36" x14ac:dyDescent="0.25">
      <c r="A70" s="99">
        <v>1200</v>
      </c>
      <c r="B70" s="247" t="s">
        <v>88</v>
      </c>
      <c r="C70" s="100">
        <f t="shared" si="3"/>
        <v>120043</v>
      </c>
      <c r="D70" s="112">
        <f>SUM(D71:D72)</f>
        <v>55796</v>
      </c>
      <c r="E70" s="248">
        <f>SUM(E71:E72)</f>
        <v>0</v>
      </c>
      <c r="F70" s="249">
        <f t="shared" si="4"/>
        <v>55796</v>
      </c>
      <c r="G70" s="112">
        <f>SUM(G71:G72)</f>
        <v>62647</v>
      </c>
      <c r="H70" s="113">
        <f>SUM(H71:H72)</f>
        <v>1600</v>
      </c>
      <c r="I70" s="114">
        <f t="shared" si="5"/>
        <v>64247</v>
      </c>
      <c r="J70" s="112">
        <f>SUM(J71:J72)</f>
        <v>0</v>
      </c>
      <c r="K70" s="113">
        <f>SUM(K71:K72)</f>
        <v>0</v>
      </c>
      <c r="L70" s="114">
        <f t="shared" si="6"/>
        <v>0</v>
      </c>
      <c r="M70" s="292">
        <f>SUM(M71:M72)</f>
        <v>0</v>
      </c>
      <c r="N70" s="293">
        <f>SUM(N71:N72)</f>
        <v>0</v>
      </c>
      <c r="O70" s="114">
        <f t="shared" si="7"/>
        <v>0</v>
      </c>
      <c r="P70" s="109"/>
      <c r="R70" s="53"/>
      <c r="S70" s="53"/>
      <c r="T70" s="53"/>
      <c r="U70" s="53"/>
    </row>
    <row r="71" spans="1:21" ht="24" x14ac:dyDescent="0.25">
      <c r="A71" s="656">
        <v>1210</v>
      </c>
      <c r="B71" s="116" t="s">
        <v>89</v>
      </c>
      <c r="C71" s="117">
        <f t="shared" si="3"/>
        <v>92791</v>
      </c>
      <c r="D71" s="123">
        <f>32548-942+338</f>
        <v>31944</v>
      </c>
      <c r="E71" s="295"/>
      <c r="F71" s="296">
        <f t="shared" si="4"/>
        <v>31944</v>
      </c>
      <c r="G71" s="123">
        <f>48540+11507</f>
        <v>60047</v>
      </c>
      <c r="H71" s="124">
        <v>800</v>
      </c>
      <c r="I71" s="125">
        <f t="shared" si="5"/>
        <v>60847</v>
      </c>
      <c r="J71" s="123"/>
      <c r="K71" s="124"/>
      <c r="L71" s="125">
        <f t="shared" si="6"/>
        <v>0</v>
      </c>
      <c r="M71" s="264"/>
      <c r="N71" s="262"/>
      <c r="O71" s="125">
        <f t="shared" si="7"/>
        <v>0</v>
      </c>
      <c r="P71" s="74"/>
      <c r="R71" s="53"/>
      <c r="S71" s="53"/>
      <c r="T71" s="53"/>
      <c r="U71" s="53"/>
    </row>
    <row r="72" spans="1:21" ht="24" x14ac:dyDescent="0.25">
      <c r="A72" s="276">
        <v>1220</v>
      </c>
      <c r="B72" s="127" t="s">
        <v>90</v>
      </c>
      <c r="C72" s="128">
        <f t="shared" si="3"/>
        <v>27252</v>
      </c>
      <c r="D72" s="277">
        <f>SUM(D73:D77)</f>
        <v>23852</v>
      </c>
      <c r="E72" s="278">
        <f>SUM(E73:E77)</f>
        <v>0</v>
      </c>
      <c r="F72" s="279">
        <f t="shared" si="4"/>
        <v>23852</v>
      </c>
      <c r="G72" s="277">
        <f>SUM(G73:G77)</f>
        <v>2600</v>
      </c>
      <c r="H72" s="280">
        <f>SUM(H73:H77)</f>
        <v>800</v>
      </c>
      <c r="I72" s="136">
        <f t="shared" si="5"/>
        <v>3400</v>
      </c>
      <c r="J72" s="277">
        <f>SUM(J73:J77)</f>
        <v>0</v>
      </c>
      <c r="K72" s="280">
        <f>SUM(K73:K77)</f>
        <v>0</v>
      </c>
      <c r="L72" s="136">
        <f t="shared" si="6"/>
        <v>0</v>
      </c>
      <c r="M72" s="281">
        <f>SUM(M73:M77)</f>
        <v>0</v>
      </c>
      <c r="N72" s="282">
        <f>SUM(N73:N77)</f>
        <v>0</v>
      </c>
      <c r="O72" s="136">
        <f t="shared" si="7"/>
        <v>0</v>
      </c>
      <c r="P72" s="85"/>
      <c r="R72" s="53"/>
      <c r="S72" s="53"/>
      <c r="T72" s="53"/>
      <c r="U72" s="53"/>
    </row>
    <row r="73" spans="1:21" ht="60" x14ac:dyDescent="0.25">
      <c r="A73" s="76">
        <v>1221</v>
      </c>
      <c r="B73" s="127" t="s">
        <v>91</v>
      </c>
      <c r="C73" s="128">
        <f t="shared" si="3"/>
        <v>16855</v>
      </c>
      <c r="D73" s="134">
        <v>13455</v>
      </c>
      <c r="E73" s="283"/>
      <c r="F73" s="279">
        <f t="shared" si="4"/>
        <v>13455</v>
      </c>
      <c r="G73" s="134">
        <f>1600+1000</f>
        <v>2600</v>
      </c>
      <c r="H73" s="135">
        <v>800</v>
      </c>
      <c r="I73" s="136">
        <f t="shared" si="5"/>
        <v>3400</v>
      </c>
      <c r="J73" s="134"/>
      <c r="K73" s="135"/>
      <c r="L73" s="136">
        <f t="shared" si="6"/>
        <v>0</v>
      </c>
      <c r="M73" s="284"/>
      <c r="N73" s="285"/>
      <c r="O73" s="136">
        <f t="shared" si="7"/>
        <v>0</v>
      </c>
      <c r="P73" s="85"/>
      <c r="R73" s="53"/>
      <c r="S73" s="53"/>
      <c r="T73" s="53"/>
      <c r="U73" s="53"/>
    </row>
    <row r="74" spans="1:21" hidden="1" x14ac:dyDescent="0.25">
      <c r="A74" s="76">
        <v>1223</v>
      </c>
      <c r="B74" s="127" t="s">
        <v>92</v>
      </c>
      <c r="C74" s="128">
        <f t="shared" si="3"/>
        <v>0</v>
      </c>
      <c r="D74" s="134"/>
      <c r="E74" s="283"/>
      <c r="F74" s="279">
        <f t="shared" si="4"/>
        <v>0</v>
      </c>
      <c r="G74" s="134"/>
      <c r="H74" s="135"/>
      <c r="I74" s="136">
        <f t="shared" si="5"/>
        <v>0</v>
      </c>
      <c r="J74" s="134"/>
      <c r="K74" s="135"/>
      <c r="L74" s="136">
        <f t="shared" si="6"/>
        <v>0</v>
      </c>
      <c r="M74" s="284"/>
      <c r="N74" s="285"/>
      <c r="O74" s="136">
        <f t="shared" si="7"/>
        <v>0</v>
      </c>
      <c r="P74" s="85"/>
      <c r="R74" s="53"/>
      <c r="S74" s="53"/>
      <c r="T74" s="53"/>
      <c r="U74" s="53"/>
    </row>
    <row r="75" spans="1:21" hidden="1" x14ac:dyDescent="0.25">
      <c r="A75" s="76">
        <v>1225</v>
      </c>
      <c r="B75" s="127" t="s">
        <v>93</v>
      </c>
      <c r="C75" s="128">
        <f t="shared" si="3"/>
        <v>0</v>
      </c>
      <c r="D75" s="134"/>
      <c r="E75" s="283"/>
      <c r="F75" s="279">
        <f t="shared" si="4"/>
        <v>0</v>
      </c>
      <c r="G75" s="134"/>
      <c r="H75" s="135"/>
      <c r="I75" s="136">
        <f t="shared" si="5"/>
        <v>0</v>
      </c>
      <c r="J75" s="134"/>
      <c r="K75" s="135"/>
      <c r="L75" s="136">
        <f t="shared" si="6"/>
        <v>0</v>
      </c>
      <c r="M75" s="284"/>
      <c r="N75" s="285"/>
      <c r="O75" s="136">
        <f t="shared" si="7"/>
        <v>0</v>
      </c>
      <c r="P75" s="85"/>
      <c r="R75" s="53"/>
      <c r="S75" s="53"/>
      <c r="T75" s="53"/>
      <c r="U75" s="53"/>
    </row>
    <row r="76" spans="1:21" ht="36" x14ac:dyDescent="0.25">
      <c r="A76" s="76">
        <v>1227</v>
      </c>
      <c r="B76" s="127" t="s">
        <v>94</v>
      </c>
      <c r="C76" s="128">
        <f t="shared" si="3"/>
        <v>9969</v>
      </c>
      <c r="D76" s="134">
        <v>9969</v>
      </c>
      <c r="E76" s="283"/>
      <c r="F76" s="279">
        <f t="shared" si="4"/>
        <v>9969</v>
      </c>
      <c r="G76" s="134"/>
      <c r="H76" s="135"/>
      <c r="I76" s="136">
        <f t="shared" si="5"/>
        <v>0</v>
      </c>
      <c r="J76" s="134"/>
      <c r="K76" s="135"/>
      <c r="L76" s="136">
        <f t="shared" si="6"/>
        <v>0</v>
      </c>
      <c r="M76" s="284"/>
      <c r="N76" s="285"/>
      <c r="O76" s="136">
        <f t="shared" si="7"/>
        <v>0</v>
      </c>
      <c r="P76" s="85"/>
      <c r="R76" s="53"/>
      <c r="S76" s="53"/>
      <c r="T76" s="53"/>
      <c r="U76" s="53"/>
    </row>
    <row r="77" spans="1:21" ht="60" x14ac:dyDescent="0.25">
      <c r="A77" s="76">
        <v>1228</v>
      </c>
      <c r="B77" s="127" t="s">
        <v>95</v>
      </c>
      <c r="C77" s="128">
        <f t="shared" si="3"/>
        <v>428</v>
      </c>
      <c r="D77" s="134">
        <v>428</v>
      </c>
      <c r="E77" s="283"/>
      <c r="F77" s="279">
        <f t="shared" si="4"/>
        <v>428</v>
      </c>
      <c r="G77" s="134"/>
      <c r="H77" s="135"/>
      <c r="I77" s="136">
        <f t="shared" si="5"/>
        <v>0</v>
      </c>
      <c r="J77" s="134"/>
      <c r="K77" s="135"/>
      <c r="L77" s="136">
        <f t="shared" si="6"/>
        <v>0</v>
      </c>
      <c r="M77" s="284"/>
      <c r="N77" s="285"/>
      <c r="O77" s="136">
        <f t="shared" si="7"/>
        <v>0</v>
      </c>
      <c r="P77" s="85"/>
      <c r="R77" s="53"/>
      <c r="S77" s="53"/>
      <c r="T77" s="53"/>
      <c r="U77" s="53"/>
    </row>
    <row r="78" spans="1:21" x14ac:dyDescent="0.25">
      <c r="A78" s="237">
        <v>2000</v>
      </c>
      <c r="B78" s="237" t="s">
        <v>96</v>
      </c>
      <c r="C78" s="238">
        <f t="shared" si="3"/>
        <v>121567</v>
      </c>
      <c r="D78" s="239">
        <f>SUM(D79,D86,D133,D167,D168,D175)</f>
        <v>90223</v>
      </c>
      <c r="E78" s="240">
        <f>SUM(E79,E86,E133,E167,E168,E175)</f>
        <v>0</v>
      </c>
      <c r="F78" s="241">
        <f t="shared" si="4"/>
        <v>90223</v>
      </c>
      <c r="G78" s="239">
        <f>SUM(G79,G86,G133,G167,G168,G175)</f>
        <v>2500</v>
      </c>
      <c r="H78" s="242">
        <f>SUM(H79,H86,H133,H167,H168,H175)</f>
        <v>0</v>
      </c>
      <c r="I78" s="243">
        <f t="shared" si="5"/>
        <v>2500</v>
      </c>
      <c r="J78" s="239">
        <f>SUM(J79,J86,J133,J167,J168,J175)</f>
        <v>27539</v>
      </c>
      <c r="K78" s="242">
        <f>SUM(K79,K86,K133,K167,K168,K175)</f>
        <v>0</v>
      </c>
      <c r="L78" s="243">
        <f t="shared" si="6"/>
        <v>27539</v>
      </c>
      <c r="M78" s="244">
        <f>SUM(M79,M86,M133,M167,M168,M175)</f>
        <v>1305</v>
      </c>
      <c r="N78" s="245">
        <f>SUM(N79,N86,N133,N167,N168,N175)</f>
        <v>0</v>
      </c>
      <c r="O78" s="243">
        <f t="shared" si="7"/>
        <v>1305</v>
      </c>
      <c r="P78" s="246"/>
      <c r="R78" s="53"/>
      <c r="S78" s="53"/>
      <c r="T78" s="53"/>
      <c r="U78" s="53"/>
    </row>
    <row r="79" spans="1:21" ht="24" x14ac:dyDescent="0.25">
      <c r="A79" s="99">
        <v>2100</v>
      </c>
      <c r="B79" s="247" t="s">
        <v>97</v>
      </c>
      <c r="C79" s="100">
        <f t="shared" si="3"/>
        <v>240</v>
      </c>
      <c r="D79" s="112">
        <f>SUM(D80,D83)</f>
        <v>240</v>
      </c>
      <c r="E79" s="248">
        <f>SUM(E80,E83)</f>
        <v>0</v>
      </c>
      <c r="F79" s="249">
        <f t="shared" si="4"/>
        <v>240</v>
      </c>
      <c r="G79" s="112">
        <f>SUM(G80,G83)</f>
        <v>0</v>
      </c>
      <c r="H79" s="113">
        <f>SUM(H80,H83)</f>
        <v>0</v>
      </c>
      <c r="I79" s="114">
        <f t="shared" si="5"/>
        <v>0</v>
      </c>
      <c r="J79" s="112">
        <f>SUM(J80,J83)</f>
        <v>0</v>
      </c>
      <c r="K79" s="113">
        <f>SUM(K80,K83)</f>
        <v>0</v>
      </c>
      <c r="L79" s="114">
        <f t="shared" si="6"/>
        <v>0</v>
      </c>
      <c r="M79" s="292">
        <f>SUM(M80,M83)</f>
        <v>0</v>
      </c>
      <c r="N79" s="293">
        <f>SUM(N80,N83)</f>
        <v>0</v>
      </c>
      <c r="O79" s="114">
        <f t="shared" si="7"/>
        <v>0</v>
      </c>
      <c r="P79" s="109"/>
      <c r="R79" s="53"/>
      <c r="S79" s="53"/>
      <c r="T79" s="53"/>
      <c r="U79" s="53"/>
    </row>
    <row r="80" spans="1:21" ht="24" x14ac:dyDescent="0.25">
      <c r="A80" s="656">
        <v>2110</v>
      </c>
      <c r="B80" s="116" t="s">
        <v>98</v>
      </c>
      <c r="C80" s="117">
        <f t="shared" si="3"/>
        <v>240</v>
      </c>
      <c r="D80" s="297">
        <f>SUM(D81:D82)</f>
        <v>240</v>
      </c>
      <c r="E80" s="298">
        <f>SUM(E81:E82)</f>
        <v>0</v>
      </c>
      <c r="F80" s="296">
        <f t="shared" si="4"/>
        <v>240</v>
      </c>
      <c r="G80" s="297">
        <f>SUM(G81:G82)</f>
        <v>0</v>
      </c>
      <c r="H80" s="299">
        <f>SUM(H81:H82)</f>
        <v>0</v>
      </c>
      <c r="I80" s="125">
        <f t="shared" si="5"/>
        <v>0</v>
      </c>
      <c r="J80" s="297">
        <f>SUM(J81:J82)</f>
        <v>0</v>
      </c>
      <c r="K80" s="299">
        <f>SUM(K81:K82)</f>
        <v>0</v>
      </c>
      <c r="L80" s="125">
        <f t="shared" si="6"/>
        <v>0</v>
      </c>
      <c r="M80" s="300">
        <f>SUM(M81:M82)</f>
        <v>0</v>
      </c>
      <c r="N80" s="301">
        <f>SUM(N81:N82)</f>
        <v>0</v>
      </c>
      <c r="O80" s="125">
        <f t="shared" si="7"/>
        <v>0</v>
      </c>
      <c r="P80" s="74"/>
      <c r="R80" s="53"/>
      <c r="S80" s="53"/>
      <c r="T80" s="53"/>
      <c r="U80" s="53"/>
    </row>
    <row r="81" spans="1:21" hidden="1" x14ac:dyDescent="0.25">
      <c r="A81" s="76">
        <v>2111</v>
      </c>
      <c r="B81" s="127" t="s">
        <v>99</v>
      </c>
      <c r="C81" s="128">
        <f t="shared" si="3"/>
        <v>0</v>
      </c>
      <c r="D81" s="134"/>
      <c r="E81" s="283"/>
      <c r="F81" s="279">
        <f t="shared" si="4"/>
        <v>0</v>
      </c>
      <c r="G81" s="134"/>
      <c r="H81" s="135"/>
      <c r="I81" s="136">
        <f t="shared" si="5"/>
        <v>0</v>
      </c>
      <c r="J81" s="134"/>
      <c r="K81" s="135"/>
      <c r="L81" s="136">
        <f t="shared" si="6"/>
        <v>0</v>
      </c>
      <c r="M81" s="284"/>
      <c r="N81" s="285"/>
      <c r="O81" s="136">
        <f t="shared" si="7"/>
        <v>0</v>
      </c>
      <c r="P81" s="85"/>
      <c r="R81" s="53"/>
      <c r="S81" s="53"/>
      <c r="T81" s="53"/>
      <c r="U81" s="53"/>
    </row>
    <row r="82" spans="1:21" ht="24" x14ac:dyDescent="0.25">
      <c r="A82" s="76">
        <v>2112</v>
      </c>
      <c r="B82" s="127" t="s">
        <v>100</v>
      </c>
      <c r="C82" s="128">
        <f t="shared" si="3"/>
        <v>240</v>
      </c>
      <c r="D82" s="134">
        <v>240</v>
      </c>
      <c r="E82" s="283"/>
      <c r="F82" s="279">
        <f t="shared" si="4"/>
        <v>240</v>
      </c>
      <c r="G82" s="134"/>
      <c r="H82" s="135"/>
      <c r="I82" s="136">
        <f t="shared" si="5"/>
        <v>0</v>
      </c>
      <c r="J82" s="134"/>
      <c r="K82" s="135"/>
      <c r="L82" s="136">
        <f t="shared" si="6"/>
        <v>0</v>
      </c>
      <c r="M82" s="284"/>
      <c r="N82" s="285"/>
      <c r="O82" s="136">
        <f t="shared" si="7"/>
        <v>0</v>
      </c>
      <c r="P82" s="85"/>
      <c r="R82" s="53"/>
      <c r="S82" s="53"/>
      <c r="T82" s="53"/>
      <c r="U82" s="53"/>
    </row>
    <row r="83" spans="1:21" ht="24" hidden="1" x14ac:dyDescent="0.25">
      <c r="A83" s="276">
        <v>2120</v>
      </c>
      <c r="B83" s="127" t="s">
        <v>101</v>
      </c>
      <c r="C83" s="128">
        <f t="shared" si="3"/>
        <v>0</v>
      </c>
      <c r="D83" s="277">
        <f>SUM(D84:D85)</f>
        <v>0</v>
      </c>
      <c r="E83" s="278">
        <f>SUM(E84:E85)</f>
        <v>0</v>
      </c>
      <c r="F83" s="279">
        <f t="shared" si="4"/>
        <v>0</v>
      </c>
      <c r="G83" s="277">
        <f>SUM(G84:G85)</f>
        <v>0</v>
      </c>
      <c r="H83" s="280">
        <f>SUM(H84:H85)</f>
        <v>0</v>
      </c>
      <c r="I83" s="136">
        <f t="shared" si="5"/>
        <v>0</v>
      </c>
      <c r="J83" s="277">
        <f>SUM(J84:J85)</f>
        <v>0</v>
      </c>
      <c r="K83" s="280">
        <f>SUM(K84:K85)</f>
        <v>0</v>
      </c>
      <c r="L83" s="136">
        <f t="shared" si="6"/>
        <v>0</v>
      </c>
      <c r="M83" s="281">
        <f>SUM(M84:M85)</f>
        <v>0</v>
      </c>
      <c r="N83" s="282">
        <f>SUM(N84:N85)</f>
        <v>0</v>
      </c>
      <c r="O83" s="136">
        <f t="shared" si="7"/>
        <v>0</v>
      </c>
      <c r="P83" s="85"/>
      <c r="R83" s="53"/>
      <c r="S83" s="53"/>
      <c r="T83" s="53"/>
      <c r="U83" s="53"/>
    </row>
    <row r="84" spans="1:21" hidden="1" x14ac:dyDescent="0.25">
      <c r="A84" s="76">
        <v>2121</v>
      </c>
      <c r="B84" s="127" t="s">
        <v>99</v>
      </c>
      <c r="C84" s="128">
        <f t="shared" si="3"/>
        <v>0</v>
      </c>
      <c r="D84" s="134"/>
      <c r="E84" s="283"/>
      <c r="F84" s="279">
        <f t="shared" si="4"/>
        <v>0</v>
      </c>
      <c r="G84" s="134"/>
      <c r="H84" s="135"/>
      <c r="I84" s="136">
        <f t="shared" si="5"/>
        <v>0</v>
      </c>
      <c r="J84" s="134"/>
      <c r="K84" s="135"/>
      <c r="L84" s="136">
        <f t="shared" si="6"/>
        <v>0</v>
      </c>
      <c r="M84" s="284"/>
      <c r="N84" s="285"/>
      <c r="O84" s="136">
        <f t="shared" si="7"/>
        <v>0</v>
      </c>
      <c r="P84" s="85"/>
      <c r="R84" s="53"/>
      <c r="S84" s="53"/>
      <c r="T84" s="53"/>
      <c r="U84" s="53"/>
    </row>
    <row r="85" spans="1:21" ht="24" hidden="1" x14ac:dyDescent="0.25">
      <c r="A85" s="76">
        <v>2122</v>
      </c>
      <c r="B85" s="127" t="s">
        <v>100</v>
      </c>
      <c r="C85" s="128">
        <f t="shared" si="3"/>
        <v>0</v>
      </c>
      <c r="D85" s="134"/>
      <c r="E85" s="283"/>
      <c r="F85" s="279">
        <f t="shared" si="4"/>
        <v>0</v>
      </c>
      <c r="G85" s="134"/>
      <c r="H85" s="135"/>
      <c r="I85" s="136">
        <f t="shared" si="5"/>
        <v>0</v>
      </c>
      <c r="J85" s="134"/>
      <c r="K85" s="135"/>
      <c r="L85" s="136">
        <f t="shared" si="6"/>
        <v>0</v>
      </c>
      <c r="M85" s="284"/>
      <c r="N85" s="285"/>
      <c r="O85" s="136">
        <f t="shared" si="7"/>
        <v>0</v>
      </c>
      <c r="P85" s="85"/>
      <c r="R85" s="53"/>
      <c r="S85" s="53"/>
      <c r="T85" s="53"/>
      <c r="U85" s="53"/>
    </row>
    <row r="86" spans="1:21" x14ac:dyDescent="0.25">
      <c r="A86" s="99">
        <v>2200</v>
      </c>
      <c r="B86" s="247" t="s">
        <v>102</v>
      </c>
      <c r="C86" s="302">
        <f t="shared" si="3"/>
        <v>97711</v>
      </c>
      <c r="D86" s="112">
        <f>SUM(D87,D92,D98,D106,D115,D119,D125,D131)</f>
        <v>75676</v>
      </c>
      <c r="E86" s="248">
        <f>SUM(E87,E92,E98,E106,E115,E119,E125,E131)</f>
        <v>0</v>
      </c>
      <c r="F86" s="249">
        <f t="shared" si="4"/>
        <v>75676</v>
      </c>
      <c r="G86" s="112">
        <f>SUM(G87,G92,G98,G106,G115,G119,G125,G131)</f>
        <v>0</v>
      </c>
      <c r="H86" s="113">
        <f>SUM(H87,H92,H98,H106,H115,H119,H125,H131)</f>
        <v>0</v>
      </c>
      <c r="I86" s="114">
        <f t="shared" si="5"/>
        <v>0</v>
      </c>
      <c r="J86" s="112">
        <f>SUM(J87,J92,J98,J106,J115,J119,J125,J131)</f>
        <v>22035</v>
      </c>
      <c r="K86" s="113">
        <f>SUM(K87,K92,K98,K106,K115,K119,K125,K131)</f>
        <v>0</v>
      </c>
      <c r="L86" s="114">
        <f t="shared" si="6"/>
        <v>22035</v>
      </c>
      <c r="M86" s="303">
        <f>SUM(M87,M92,M98,M106,M115,M119,M125,M131)</f>
        <v>0</v>
      </c>
      <c r="N86" s="304">
        <f>SUM(N87,N92,N98,N106,N115,N119,N125,N131)</f>
        <v>0</v>
      </c>
      <c r="O86" s="305">
        <f t="shared" si="7"/>
        <v>0</v>
      </c>
      <c r="P86" s="306"/>
      <c r="R86" s="53"/>
      <c r="S86" s="53"/>
      <c r="T86" s="53"/>
      <c r="U86" s="53"/>
    </row>
    <row r="87" spans="1:21" ht="24" x14ac:dyDescent="0.25">
      <c r="A87" s="254">
        <v>2210</v>
      </c>
      <c r="B87" s="179" t="s">
        <v>103</v>
      </c>
      <c r="C87" s="191">
        <f t="shared" si="3"/>
        <v>2906</v>
      </c>
      <c r="D87" s="255">
        <f>SUM(D88:D91)</f>
        <v>2906</v>
      </c>
      <c r="E87" s="256">
        <f>SUM(E88:E91)</f>
        <v>0</v>
      </c>
      <c r="F87" s="257">
        <f t="shared" si="4"/>
        <v>2906</v>
      </c>
      <c r="G87" s="255">
        <f>SUM(G88:G91)</f>
        <v>0</v>
      </c>
      <c r="H87" s="258">
        <f>SUM(H88:H91)</f>
        <v>0</v>
      </c>
      <c r="I87" s="259">
        <f t="shared" si="5"/>
        <v>0</v>
      </c>
      <c r="J87" s="255">
        <f>SUM(J88:J91)</f>
        <v>0</v>
      </c>
      <c r="K87" s="258">
        <f>SUM(K88:K91)</f>
        <v>0</v>
      </c>
      <c r="L87" s="259">
        <f t="shared" si="6"/>
        <v>0</v>
      </c>
      <c r="M87" s="260">
        <f>SUM(M88:M91)</f>
        <v>0</v>
      </c>
      <c r="N87" s="261">
        <f>SUM(N88:N91)</f>
        <v>0</v>
      </c>
      <c r="O87" s="259">
        <f t="shared" si="7"/>
        <v>0</v>
      </c>
      <c r="P87" s="189"/>
      <c r="R87" s="53"/>
      <c r="S87" s="53"/>
      <c r="T87" s="53"/>
      <c r="U87" s="53"/>
    </row>
    <row r="88" spans="1:21" ht="24" hidden="1" x14ac:dyDescent="0.25">
      <c r="A88" s="66">
        <v>2211</v>
      </c>
      <c r="B88" s="116" t="s">
        <v>104</v>
      </c>
      <c r="C88" s="128">
        <f t="shared" si="3"/>
        <v>0</v>
      </c>
      <c r="D88" s="123"/>
      <c r="E88" s="295"/>
      <c r="F88" s="296">
        <f t="shared" si="4"/>
        <v>0</v>
      </c>
      <c r="G88" s="123"/>
      <c r="H88" s="124"/>
      <c r="I88" s="125">
        <f t="shared" si="5"/>
        <v>0</v>
      </c>
      <c r="J88" s="123"/>
      <c r="K88" s="124"/>
      <c r="L88" s="125">
        <f t="shared" si="6"/>
        <v>0</v>
      </c>
      <c r="M88" s="264"/>
      <c r="N88" s="262"/>
      <c r="O88" s="125">
        <f t="shared" si="7"/>
        <v>0</v>
      </c>
      <c r="P88" s="74"/>
      <c r="R88" s="53"/>
      <c r="S88" s="53"/>
      <c r="T88" s="53"/>
      <c r="U88" s="53"/>
    </row>
    <row r="89" spans="1:21" ht="36" x14ac:dyDescent="0.25">
      <c r="A89" s="76">
        <v>2212</v>
      </c>
      <c r="B89" s="127" t="s">
        <v>105</v>
      </c>
      <c r="C89" s="128">
        <f t="shared" si="3"/>
        <v>2374</v>
      </c>
      <c r="D89" s="134">
        <v>2374</v>
      </c>
      <c r="E89" s="283"/>
      <c r="F89" s="279">
        <f t="shared" si="4"/>
        <v>2374</v>
      </c>
      <c r="G89" s="134"/>
      <c r="H89" s="135"/>
      <c r="I89" s="136">
        <f t="shared" si="5"/>
        <v>0</v>
      </c>
      <c r="J89" s="134"/>
      <c r="K89" s="135"/>
      <c r="L89" s="136">
        <f t="shared" si="6"/>
        <v>0</v>
      </c>
      <c r="M89" s="284"/>
      <c r="N89" s="285"/>
      <c r="O89" s="136">
        <f t="shared" si="7"/>
        <v>0</v>
      </c>
      <c r="P89" s="85"/>
      <c r="R89" s="53"/>
      <c r="S89" s="53"/>
      <c r="T89" s="53"/>
      <c r="U89" s="53"/>
    </row>
    <row r="90" spans="1:21" ht="24" x14ac:dyDescent="0.25">
      <c r="A90" s="76">
        <v>2214</v>
      </c>
      <c r="B90" s="127" t="s">
        <v>106</v>
      </c>
      <c r="C90" s="128">
        <f t="shared" si="3"/>
        <v>504</v>
      </c>
      <c r="D90" s="134">
        <v>504</v>
      </c>
      <c r="E90" s="283"/>
      <c r="F90" s="279">
        <f t="shared" si="4"/>
        <v>504</v>
      </c>
      <c r="G90" s="134"/>
      <c r="H90" s="135"/>
      <c r="I90" s="136">
        <f t="shared" si="5"/>
        <v>0</v>
      </c>
      <c r="J90" s="134"/>
      <c r="K90" s="135"/>
      <c r="L90" s="136">
        <f t="shared" si="6"/>
        <v>0</v>
      </c>
      <c r="M90" s="284"/>
      <c r="N90" s="285"/>
      <c r="O90" s="136">
        <f t="shared" si="7"/>
        <v>0</v>
      </c>
      <c r="P90" s="85"/>
      <c r="R90" s="53"/>
      <c r="S90" s="53"/>
      <c r="T90" s="53"/>
      <c r="U90" s="53"/>
    </row>
    <row r="91" spans="1:21" x14ac:dyDescent="0.25">
      <c r="A91" s="76">
        <v>2219</v>
      </c>
      <c r="B91" s="127" t="s">
        <v>107</v>
      </c>
      <c r="C91" s="128">
        <f t="shared" si="3"/>
        <v>28</v>
      </c>
      <c r="D91" s="134">
        <v>28</v>
      </c>
      <c r="E91" s="283"/>
      <c r="F91" s="279">
        <f t="shared" si="4"/>
        <v>28</v>
      </c>
      <c r="G91" s="134"/>
      <c r="H91" s="135"/>
      <c r="I91" s="136">
        <f t="shared" si="5"/>
        <v>0</v>
      </c>
      <c r="J91" s="134"/>
      <c r="K91" s="135"/>
      <c r="L91" s="136">
        <f t="shared" si="6"/>
        <v>0</v>
      </c>
      <c r="M91" s="284"/>
      <c r="N91" s="285"/>
      <c r="O91" s="136">
        <f t="shared" si="7"/>
        <v>0</v>
      </c>
      <c r="P91" s="85"/>
      <c r="R91" s="53"/>
      <c r="S91" s="53"/>
      <c r="T91" s="53"/>
      <c r="U91" s="53"/>
    </row>
    <row r="92" spans="1:21" ht="24" x14ac:dyDescent="0.25">
      <c r="A92" s="276">
        <v>2220</v>
      </c>
      <c r="B92" s="127" t="s">
        <v>108</v>
      </c>
      <c r="C92" s="128">
        <f t="shared" si="3"/>
        <v>87416</v>
      </c>
      <c r="D92" s="277">
        <f>SUM(D93:D97)</f>
        <v>67428</v>
      </c>
      <c r="E92" s="278">
        <f>SUM(E93:E97)</f>
        <v>0</v>
      </c>
      <c r="F92" s="279">
        <f t="shared" si="4"/>
        <v>67428</v>
      </c>
      <c r="G92" s="277">
        <f>SUM(G93:G97)</f>
        <v>0</v>
      </c>
      <c r="H92" s="280">
        <f>SUM(H93:H97)</f>
        <v>0</v>
      </c>
      <c r="I92" s="136">
        <f t="shared" si="5"/>
        <v>0</v>
      </c>
      <c r="J92" s="277">
        <f>SUM(J93:J97)</f>
        <v>19988</v>
      </c>
      <c r="K92" s="280">
        <f>SUM(K93:K97)</f>
        <v>0</v>
      </c>
      <c r="L92" s="136">
        <f t="shared" si="6"/>
        <v>19988</v>
      </c>
      <c r="M92" s="281">
        <f>SUM(M93:M97)</f>
        <v>0</v>
      </c>
      <c r="N92" s="282">
        <f>SUM(N93:N97)</f>
        <v>0</v>
      </c>
      <c r="O92" s="136">
        <f t="shared" si="7"/>
        <v>0</v>
      </c>
      <c r="P92" s="85"/>
      <c r="R92" s="53"/>
      <c r="S92" s="53"/>
      <c r="T92" s="53"/>
      <c r="U92" s="53"/>
    </row>
    <row r="93" spans="1:21" x14ac:dyDescent="0.25">
      <c r="A93" s="76">
        <v>2221</v>
      </c>
      <c r="B93" s="127" t="s">
        <v>109</v>
      </c>
      <c r="C93" s="128">
        <f t="shared" si="3"/>
        <v>61222</v>
      </c>
      <c r="D93" s="134">
        <v>51563</v>
      </c>
      <c r="E93" s="283"/>
      <c r="F93" s="279">
        <f t="shared" si="4"/>
        <v>51563</v>
      </c>
      <c r="G93" s="134"/>
      <c r="H93" s="135"/>
      <c r="I93" s="136">
        <f t="shared" si="5"/>
        <v>0</v>
      </c>
      <c r="J93" s="134">
        <v>9659</v>
      </c>
      <c r="K93" s="135"/>
      <c r="L93" s="136">
        <f t="shared" si="6"/>
        <v>9659</v>
      </c>
      <c r="M93" s="284"/>
      <c r="N93" s="285"/>
      <c r="O93" s="136">
        <f t="shared" si="7"/>
        <v>0</v>
      </c>
      <c r="P93" s="85"/>
      <c r="R93" s="53"/>
      <c r="S93" s="53"/>
      <c r="T93" s="53"/>
      <c r="U93" s="53"/>
    </row>
    <row r="94" spans="1:21" x14ac:dyDescent="0.25">
      <c r="A94" s="76">
        <v>2222</v>
      </c>
      <c r="B94" s="127" t="s">
        <v>110</v>
      </c>
      <c r="C94" s="128">
        <f t="shared" si="3"/>
        <v>5466</v>
      </c>
      <c r="D94" s="134">
        <v>2466</v>
      </c>
      <c r="E94" s="283"/>
      <c r="F94" s="279">
        <f t="shared" si="4"/>
        <v>2466</v>
      </c>
      <c r="G94" s="134"/>
      <c r="H94" s="135"/>
      <c r="I94" s="136">
        <f t="shared" si="5"/>
        <v>0</v>
      </c>
      <c r="J94" s="134">
        <v>3000</v>
      </c>
      <c r="K94" s="135"/>
      <c r="L94" s="136">
        <f t="shared" si="6"/>
        <v>3000</v>
      </c>
      <c r="M94" s="284"/>
      <c r="N94" s="285"/>
      <c r="O94" s="136">
        <f t="shared" si="7"/>
        <v>0</v>
      </c>
      <c r="P94" s="85"/>
      <c r="R94" s="53"/>
      <c r="S94" s="53"/>
      <c r="T94" s="53"/>
      <c r="U94" s="53"/>
    </row>
    <row r="95" spans="1:21" x14ac:dyDescent="0.25">
      <c r="A95" s="76">
        <v>2223</v>
      </c>
      <c r="B95" s="127" t="s">
        <v>111</v>
      </c>
      <c r="C95" s="128">
        <f t="shared" si="3"/>
        <v>19942</v>
      </c>
      <c r="D95" s="134">
        <v>12755</v>
      </c>
      <c r="E95" s="283"/>
      <c r="F95" s="279">
        <f t="shared" si="4"/>
        <v>12755</v>
      </c>
      <c r="G95" s="134"/>
      <c r="H95" s="135"/>
      <c r="I95" s="136">
        <f t="shared" si="5"/>
        <v>0</v>
      </c>
      <c r="J95" s="134">
        <v>7187</v>
      </c>
      <c r="K95" s="135"/>
      <c r="L95" s="136">
        <f t="shared" si="6"/>
        <v>7187</v>
      </c>
      <c r="M95" s="284"/>
      <c r="N95" s="285"/>
      <c r="O95" s="136">
        <f t="shared" si="7"/>
        <v>0</v>
      </c>
      <c r="P95" s="85"/>
      <c r="R95" s="53"/>
      <c r="S95" s="53"/>
      <c r="T95" s="53"/>
      <c r="U95" s="53"/>
    </row>
    <row r="96" spans="1:21" ht="48" x14ac:dyDescent="0.25">
      <c r="A96" s="76">
        <v>2224</v>
      </c>
      <c r="B96" s="127" t="s">
        <v>112</v>
      </c>
      <c r="C96" s="128">
        <f t="shared" si="3"/>
        <v>786</v>
      </c>
      <c r="D96" s="134">
        <v>644</v>
      </c>
      <c r="E96" s="283"/>
      <c r="F96" s="279">
        <f t="shared" si="4"/>
        <v>644</v>
      </c>
      <c r="G96" s="134"/>
      <c r="H96" s="135"/>
      <c r="I96" s="136">
        <f t="shared" si="5"/>
        <v>0</v>
      </c>
      <c r="J96" s="134">
        <v>142</v>
      </c>
      <c r="K96" s="135"/>
      <c r="L96" s="136">
        <f t="shared" si="6"/>
        <v>142</v>
      </c>
      <c r="M96" s="284"/>
      <c r="N96" s="285"/>
      <c r="O96" s="136">
        <f t="shared" si="7"/>
        <v>0</v>
      </c>
      <c r="P96" s="85"/>
      <c r="R96" s="53"/>
      <c r="S96" s="53"/>
      <c r="T96" s="53"/>
      <c r="U96" s="53"/>
    </row>
    <row r="97" spans="1:21" ht="24" hidden="1" x14ac:dyDescent="0.25">
      <c r="A97" s="76">
        <v>2229</v>
      </c>
      <c r="B97" s="127" t="s">
        <v>113</v>
      </c>
      <c r="C97" s="128">
        <f t="shared" si="3"/>
        <v>0</v>
      </c>
      <c r="D97" s="134"/>
      <c r="E97" s="283"/>
      <c r="F97" s="279">
        <f t="shared" si="4"/>
        <v>0</v>
      </c>
      <c r="G97" s="134"/>
      <c r="H97" s="135"/>
      <c r="I97" s="136">
        <f t="shared" si="5"/>
        <v>0</v>
      </c>
      <c r="J97" s="134"/>
      <c r="K97" s="135"/>
      <c r="L97" s="136">
        <f t="shared" si="6"/>
        <v>0</v>
      </c>
      <c r="M97" s="284"/>
      <c r="N97" s="285"/>
      <c r="O97" s="136">
        <f t="shared" si="7"/>
        <v>0</v>
      </c>
      <c r="P97" s="85"/>
      <c r="R97" s="53"/>
      <c r="S97" s="53"/>
      <c r="T97" s="53"/>
      <c r="U97" s="53"/>
    </row>
    <row r="98" spans="1:21" ht="36" x14ac:dyDescent="0.25">
      <c r="A98" s="276">
        <v>2230</v>
      </c>
      <c r="B98" s="127" t="s">
        <v>114</v>
      </c>
      <c r="C98" s="128">
        <f t="shared" si="3"/>
        <v>950</v>
      </c>
      <c r="D98" s="277">
        <f>SUM(D99:D105)</f>
        <v>950</v>
      </c>
      <c r="E98" s="278">
        <f>SUM(E99:E105)</f>
        <v>0</v>
      </c>
      <c r="F98" s="279">
        <f t="shared" si="4"/>
        <v>950</v>
      </c>
      <c r="G98" s="277">
        <f>SUM(G99:G105)</f>
        <v>0</v>
      </c>
      <c r="H98" s="280">
        <f>SUM(H99:H105)</f>
        <v>0</v>
      </c>
      <c r="I98" s="136">
        <f t="shared" si="5"/>
        <v>0</v>
      </c>
      <c r="J98" s="277">
        <f>SUM(J99:J105)</f>
        <v>0</v>
      </c>
      <c r="K98" s="280">
        <f>SUM(K99:K105)</f>
        <v>0</v>
      </c>
      <c r="L98" s="136">
        <f t="shared" si="6"/>
        <v>0</v>
      </c>
      <c r="M98" s="281">
        <f>SUM(M99:M105)</f>
        <v>0</v>
      </c>
      <c r="N98" s="282">
        <f>SUM(N99:N105)</f>
        <v>0</v>
      </c>
      <c r="O98" s="136">
        <f t="shared" si="7"/>
        <v>0</v>
      </c>
      <c r="P98" s="85"/>
      <c r="R98" s="53"/>
      <c r="S98" s="53"/>
      <c r="T98" s="53"/>
      <c r="U98" s="53"/>
    </row>
    <row r="99" spans="1:21" ht="24" hidden="1" x14ac:dyDescent="0.25">
      <c r="A99" s="76">
        <v>2231</v>
      </c>
      <c r="B99" s="127" t="s">
        <v>115</v>
      </c>
      <c r="C99" s="128">
        <f t="shared" si="3"/>
        <v>0</v>
      </c>
      <c r="D99" s="134"/>
      <c r="E99" s="283"/>
      <c r="F99" s="279">
        <f t="shared" si="4"/>
        <v>0</v>
      </c>
      <c r="G99" s="134"/>
      <c r="H99" s="135"/>
      <c r="I99" s="136">
        <f t="shared" si="5"/>
        <v>0</v>
      </c>
      <c r="J99" s="134"/>
      <c r="K99" s="135"/>
      <c r="L99" s="136">
        <f t="shared" si="6"/>
        <v>0</v>
      </c>
      <c r="M99" s="284"/>
      <c r="N99" s="285"/>
      <c r="O99" s="136">
        <f t="shared" si="7"/>
        <v>0</v>
      </c>
      <c r="P99" s="85"/>
      <c r="R99" s="53"/>
      <c r="S99" s="53"/>
      <c r="T99" s="53"/>
      <c r="U99" s="53"/>
    </row>
    <row r="100" spans="1:21" ht="36" hidden="1" x14ac:dyDescent="0.25">
      <c r="A100" s="76">
        <v>2232</v>
      </c>
      <c r="B100" s="127" t="s">
        <v>116</v>
      </c>
      <c r="C100" s="128">
        <f t="shared" si="3"/>
        <v>0</v>
      </c>
      <c r="D100" s="134"/>
      <c r="E100" s="283"/>
      <c r="F100" s="279">
        <f t="shared" si="4"/>
        <v>0</v>
      </c>
      <c r="G100" s="134"/>
      <c r="H100" s="135"/>
      <c r="I100" s="136">
        <f t="shared" si="5"/>
        <v>0</v>
      </c>
      <c r="J100" s="134"/>
      <c r="K100" s="135"/>
      <c r="L100" s="136">
        <f t="shared" si="6"/>
        <v>0</v>
      </c>
      <c r="M100" s="284"/>
      <c r="N100" s="285"/>
      <c r="O100" s="136">
        <f t="shared" si="7"/>
        <v>0</v>
      </c>
      <c r="P100" s="85"/>
      <c r="R100" s="53"/>
      <c r="S100" s="53"/>
      <c r="T100" s="53"/>
      <c r="U100" s="53"/>
    </row>
    <row r="101" spans="1:21" ht="24" hidden="1" x14ac:dyDescent="0.25">
      <c r="A101" s="66">
        <v>2233</v>
      </c>
      <c r="B101" s="116" t="s">
        <v>117</v>
      </c>
      <c r="C101" s="128">
        <f t="shared" si="3"/>
        <v>0</v>
      </c>
      <c r="D101" s="123"/>
      <c r="E101" s="295"/>
      <c r="F101" s="296">
        <f t="shared" si="4"/>
        <v>0</v>
      </c>
      <c r="G101" s="123"/>
      <c r="H101" s="124"/>
      <c r="I101" s="125">
        <f t="shared" si="5"/>
        <v>0</v>
      </c>
      <c r="J101" s="123"/>
      <c r="K101" s="124"/>
      <c r="L101" s="125">
        <f t="shared" si="6"/>
        <v>0</v>
      </c>
      <c r="M101" s="264"/>
      <c r="N101" s="262"/>
      <c r="O101" s="125">
        <f t="shared" si="7"/>
        <v>0</v>
      </c>
      <c r="P101" s="74"/>
      <c r="R101" s="53"/>
      <c r="S101" s="53"/>
      <c r="T101" s="53"/>
      <c r="U101" s="53"/>
    </row>
    <row r="102" spans="1:21" ht="36" hidden="1" x14ac:dyDescent="0.25">
      <c r="A102" s="76">
        <v>2234</v>
      </c>
      <c r="B102" s="127" t="s">
        <v>118</v>
      </c>
      <c r="C102" s="128">
        <f t="shared" si="3"/>
        <v>0</v>
      </c>
      <c r="D102" s="134"/>
      <c r="E102" s="283"/>
      <c r="F102" s="279">
        <f t="shared" si="4"/>
        <v>0</v>
      </c>
      <c r="G102" s="134"/>
      <c r="H102" s="135"/>
      <c r="I102" s="136">
        <f t="shared" si="5"/>
        <v>0</v>
      </c>
      <c r="J102" s="134"/>
      <c r="K102" s="135"/>
      <c r="L102" s="136">
        <f t="shared" si="6"/>
        <v>0</v>
      </c>
      <c r="M102" s="284"/>
      <c r="N102" s="285"/>
      <c r="O102" s="136">
        <f t="shared" si="7"/>
        <v>0</v>
      </c>
      <c r="P102" s="85"/>
      <c r="R102" s="53"/>
      <c r="S102" s="53"/>
      <c r="T102" s="53"/>
      <c r="U102" s="53"/>
    </row>
    <row r="103" spans="1:21" ht="24" hidden="1" x14ac:dyDescent="0.25">
      <c r="A103" s="76">
        <v>2235</v>
      </c>
      <c r="B103" s="127" t="s">
        <v>119</v>
      </c>
      <c r="C103" s="128">
        <f t="shared" si="3"/>
        <v>0</v>
      </c>
      <c r="D103" s="134"/>
      <c r="E103" s="283"/>
      <c r="F103" s="279">
        <f t="shared" si="4"/>
        <v>0</v>
      </c>
      <c r="G103" s="134"/>
      <c r="H103" s="135"/>
      <c r="I103" s="136">
        <f t="shared" si="5"/>
        <v>0</v>
      </c>
      <c r="J103" s="134"/>
      <c r="K103" s="135"/>
      <c r="L103" s="136">
        <f t="shared" si="6"/>
        <v>0</v>
      </c>
      <c r="M103" s="284"/>
      <c r="N103" s="285"/>
      <c r="O103" s="136">
        <f t="shared" si="7"/>
        <v>0</v>
      </c>
      <c r="P103" s="85"/>
      <c r="R103" s="53"/>
      <c r="S103" s="53"/>
      <c r="T103" s="53"/>
      <c r="U103" s="53"/>
    </row>
    <row r="104" spans="1:21" hidden="1" x14ac:dyDescent="0.25">
      <c r="A104" s="76">
        <v>2236</v>
      </c>
      <c r="B104" s="127" t="s">
        <v>120</v>
      </c>
      <c r="C104" s="128">
        <f t="shared" si="3"/>
        <v>0</v>
      </c>
      <c r="D104" s="134"/>
      <c r="E104" s="283"/>
      <c r="F104" s="279">
        <f t="shared" si="4"/>
        <v>0</v>
      </c>
      <c r="G104" s="134"/>
      <c r="H104" s="135"/>
      <c r="I104" s="136">
        <f t="shared" si="5"/>
        <v>0</v>
      </c>
      <c r="J104" s="134"/>
      <c r="K104" s="135"/>
      <c r="L104" s="136">
        <f t="shared" si="6"/>
        <v>0</v>
      </c>
      <c r="M104" s="284"/>
      <c r="N104" s="285"/>
      <c r="O104" s="136">
        <f t="shared" si="7"/>
        <v>0</v>
      </c>
      <c r="P104" s="85"/>
      <c r="R104" s="53"/>
      <c r="S104" s="53"/>
      <c r="T104" s="53"/>
      <c r="U104" s="53"/>
    </row>
    <row r="105" spans="1:21" ht="24" x14ac:dyDescent="0.25">
      <c r="A105" s="76">
        <v>2239</v>
      </c>
      <c r="B105" s="127" t="s">
        <v>121</v>
      </c>
      <c r="C105" s="128">
        <f t="shared" si="3"/>
        <v>950</v>
      </c>
      <c r="D105" s="134">
        <v>950</v>
      </c>
      <c r="E105" s="283"/>
      <c r="F105" s="279">
        <f t="shared" si="4"/>
        <v>950</v>
      </c>
      <c r="G105" s="134"/>
      <c r="H105" s="135"/>
      <c r="I105" s="136">
        <f t="shared" si="5"/>
        <v>0</v>
      </c>
      <c r="J105" s="134"/>
      <c r="K105" s="135"/>
      <c r="L105" s="136">
        <f t="shared" si="6"/>
        <v>0</v>
      </c>
      <c r="M105" s="284"/>
      <c r="N105" s="285"/>
      <c r="O105" s="136">
        <f t="shared" si="7"/>
        <v>0</v>
      </c>
      <c r="P105" s="85"/>
      <c r="R105" s="53"/>
      <c r="S105" s="53"/>
      <c r="T105" s="53"/>
      <c r="U105" s="53"/>
    </row>
    <row r="106" spans="1:21" ht="36" x14ac:dyDescent="0.25">
      <c r="A106" s="276">
        <v>2240</v>
      </c>
      <c r="B106" s="127" t="s">
        <v>122</v>
      </c>
      <c r="C106" s="128">
        <f t="shared" si="3"/>
        <v>6028</v>
      </c>
      <c r="D106" s="277">
        <f>SUM(D107:D114)</f>
        <v>4028</v>
      </c>
      <c r="E106" s="278">
        <f>SUM(E107:E114)</f>
        <v>0</v>
      </c>
      <c r="F106" s="279">
        <f t="shared" si="4"/>
        <v>4028</v>
      </c>
      <c r="G106" s="277">
        <f>SUM(G107:G114)</f>
        <v>0</v>
      </c>
      <c r="H106" s="280">
        <f>SUM(H107:H114)</f>
        <v>0</v>
      </c>
      <c r="I106" s="136">
        <f t="shared" si="5"/>
        <v>0</v>
      </c>
      <c r="J106" s="277">
        <f>SUM(J107:J114)</f>
        <v>2000</v>
      </c>
      <c r="K106" s="280">
        <f>SUM(K107:K114)</f>
        <v>0</v>
      </c>
      <c r="L106" s="136">
        <f t="shared" si="6"/>
        <v>2000</v>
      </c>
      <c r="M106" s="281">
        <f>SUM(M107:M114)</f>
        <v>0</v>
      </c>
      <c r="N106" s="282">
        <f>SUM(N107:N114)</f>
        <v>0</v>
      </c>
      <c r="O106" s="136">
        <f t="shared" si="7"/>
        <v>0</v>
      </c>
      <c r="P106" s="85"/>
      <c r="R106" s="53"/>
      <c r="S106" s="53"/>
      <c r="T106" s="53"/>
      <c r="U106" s="53"/>
    </row>
    <row r="107" spans="1:21" x14ac:dyDescent="0.25">
      <c r="A107" s="76">
        <v>2241</v>
      </c>
      <c r="B107" s="127" t="s">
        <v>123</v>
      </c>
      <c r="C107" s="128">
        <f t="shared" si="3"/>
        <v>2000</v>
      </c>
      <c r="D107" s="134"/>
      <c r="E107" s="283"/>
      <c r="F107" s="279">
        <f t="shared" si="4"/>
        <v>0</v>
      </c>
      <c r="G107" s="134"/>
      <c r="H107" s="135"/>
      <c r="I107" s="136">
        <f t="shared" si="5"/>
        <v>0</v>
      </c>
      <c r="J107" s="134">
        <v>2000</v>
      </c>
      <c r="K107" s="135"/>
      <c r="L107" s="136">
        <f t="shared" si="6"/>
        <v>2000</v>
      </c>
      <c r="M107" s="284"/>
      <c r="N107" s="285"/>
      <c r="O107" s="136">
        <f t="shared" si="7"/>
        <v>0</v>
      </c>
      <c r="P107" s="85"/>
      <c r="R107" s="53"/>
      <c r="S107" s="53"/>
      <c r="T107" s="53"/>
      <c r="U107" s="53"/>
    </row>
    <row r="108" spans="1:21" ht="24" hidden="1" x14ac:dyDescent="0.25">
      <c r="A108" s="76">
        <v>2242</v>
      </c>
      <c r="B108" s="127" t="s">
        <v>124</v>
      </c>
      <c r="C108" s="128">
        <f t="shared" si="3"/>
        <v>0</v>
      </c>
      <c r="D108" s="134"/>
      <c r="E108" s="283"/>
      <c r="F108" s="279">
        <f t="shared" si="4"/>
        <v>0</v>
      </c>
      <c r="G108" s="134"/>
      <c r="H108" s="135"/>
      <c r="I108" s="136">
        <f t="shared" si="5"/>
        <v>0</v>
      </c>
      <c r="J108" s="134"/>
      <c r="K108" s="135"/>
      <c r="L108" s="136">
        <f t="shared" si="6"/>
        <v>0</v>
      </c>
      <c r="M108" s="284"/>
      <c r="N108" s="285"/>
      <c r="O108" s="136">
        <f t="shared" si="7"/>
        <v>0</v>
      </c>
      <c r="P108" s="85"/>
      <c r="R108" s="53"/>
      <c r="S108" s="53"/>
      <c r="T108" s="53"/>
      <c r="U108" s="53"/>
    </row>
    <row r="109" spans="1:21" ht="24" x14ac:dyDescent="0.25">
      <c r="A109" s="76">
        <v>2243</v>
      </c>
      <c r="B109" s="127" t="s">
        <v>125</v>
      </c>
      <c r="C109" s="128">
        <f t="shared" si="3"/>
        <v>818</v>
      </c>
      <c r="D109" s="134">
        <v>818</v>
      </c>
      <c r="E109" s="283"/>
      <c r="F109" s="279">
        <f t="shared" si="4"/>
        <v>818</v>
      </c>
      <c r="G109" s="134"/>
      <c r="H109" s="135"/>
      <c r="I109" s="136">
        <f t="shared" si="5"/>
        <v>0</v>
      </c>
      <c r="J109" s="134"/>
      <c r="K109" s="135"/>
      <c r="L109" s="136">
        <f t="shared" si="6"/>
        <v>0</v>
      </c>
      <c r="M109" s="284"/>
      <c r="N109" s="285"/>
      <c r="O109" s="136">
        <f t="shared" si="7"/>
        <v>0</v>
      </c>
      <c r="P109" s="85"/>
      <c r="R109" s="53"/>
      <c r="S109" s="53"/>
      <c r="T109" s="53"/>
      <c r="U109" s="53"/>
    </row>
    <row r="110" spans="1:21" x14ac:dyDescent="0.25">
      <c r="A110" s="76">
        <v>2244</v>
      </c>
      <c r="B110" s="127" t="s">
        <v>126</v>
      </c>
      <c r="C110" s="128">
        <f t="shared" si="3"/>
        <v>3210</v>
      </c>
      <c r="D110" s="134">
        <v>3210</v>
      </c>
      <c r="E110" s="283"/>
      <c r="F110" s="279">
        <f t="shared" si="4"/>
        <v>3210</v>
      </c>
      <c r="G110" s="134"/>
      <c r="H110" s="135"/>
      <c r="I110" s="136">
        <f t="shared" si="5"/>
        <v>0</v>
      </c>
      <c r="J110" s="134"/>
      <c r="K110" s="135"/>
      <c r="L110" s="136">
        <f t="shared" si="6"/>
        <v>0</v>
      </c>
      <c r="M110" s="284"/>
      <c r="N110" s="285"/>
      <c r="O110" s="136">
        <f t="shared" si="7"/>
        <v>0</v>
      </c>
      <c r="P110" s="85"/>
      <c r="R110" s="53"/>
      <c r="S110" s="53"/>
      <c r="T110" s="53"/>
      <c r="U110" s="53"/>
    </row>
    <row r="111" spans="1:21" ht="24" hidden="1" x14ac:dyDescent="0.25">
      <c r="A111" s="76">
        <v>2246</v>
      </c>
      <c r="B111" s="127" t="s">
        <v>127</v>
      </c>
      <c r="C111" s="128">
        <f t="shared" si="3"/>
        <v>0</v>
      </c>
      <c r="D111" s="134"/>
      <c r="E111" s="283"/>
      <c r="F111" s="279">
        <f t="shared" si="4"/>
        <v>0</v>
      </c>
      <c r="G111" s="134"/>
      <c r="H111" s="135"/>
      <c r="I111" s="136">
        <f t="shared" si="5"/>
        <v>0</v>
      </c>
      <c r="J111" s="134"/>
      <c r="K111" s="135"/>
      <c r="L111" s="136">
        <f t="shared" si="6"/>
        <v>0</v>
      </c>
      <c r="M111" s="284"/>
      <c r="N111" s="285"/>
      <c r="O111" s="136">
        <f t="shared" si="7"/>
        <v>0</v>
      </c>
      <c r="P111" s="85"/>
      <c r="R111" s="53"/>
      <c r="S111" s="53"/>
      <c r="T111" s="53"/>
      <c r="U111" s="53"/>
    </row>
    <row r="112" spans="1:21" hidden="1" x14ac:dyDescent="0.25">
      <c r="A112" s="76">
        <v>2247</v>
      </c>
      <c r="B112" s="127" t="s">
        <v>128</v>
      </c>
      <c r="C112" s="128">
        <f t="shared" si="3"/>
        <v>0</v>
      </c>
      <c r="D112" s="134"/>
      <c r="E112" s="283"/>
      <c r="F112" s="279">
        <f t="shared" si="4"/>
        <v>0</v>
      </c>
      <c r="G112" s="134"/>
      <c r="H112" s="135"/>
      <c r="I112" s="136">
        <f t="shared" si="5"/>
        <v>0</v>
      </c>
      <c r="J112" s="134"/>
      <c r="K112" s="135"/>
      <c r="L112" s="136">
        <f t="shared" si="6"/>
        <v>0</v>
      </c>
      <c r="M112" s="284"/>
      <c r="N112" s="285"/>
      <c r="O112" s="136">
        <f t="shared" si="7"/>
        <v>0</v>
      </c>
      <c r="P112" s="85"/>
      <c r="R112" s="53"/>
      <c r="S112" s="53"/>
      <c r="T112" s="53"/>
      <c r="U112" s="53"/>
    </row>
    <row r="113" spans="1:21" ht="24" hidden="1" x14ac:dyDescent="0.25">
      <c r="A113" s="76">
        <v>2248</v>
      </c>
      <c r="B113" s="127" t="s">
        <v>129</v>
      </c>
      <c r="C113" s="128">
        <f t="shared" si="3"/>
        <v>0</v>
      </c>
      <c r="D113" s="134"/>
      <c r="E113" s="283"/>
      <c r="F113" s="279">
        <f t="shared" si="4"/>
        <v>0</v>
      </c>
      <c r="G113" s="134"/>
      <c r="H113" s="135"/>
      <c r="I113" s="136">
        <f t="shared" si="5"/>
        <v>0</v>
      </c>
      <c r="J113" s="134"/>
      <c r="K113" s="135"/>
      <c r="L113" s="136">
        <f t="shared" si="6"/>
        <v>0</v>
      </c>
      <c r="M113" s="284"/>
      <c r="N113" s="285"/>
      <c r="O113" s="136">
        <f t="shared" si="7"/>
        <v>0</v>
      </c>
      <c r="P113" s="85"/>
      <c r="R113" s="53"/>
      <c r="S113" s="53"/>
      <c r="T113" s="53"/>
      <c r="U113" s="53"/>
    </row>
    <row r="114" spans="1:21" ht="24" hidden="1" x14ac:dyDescent="0.25">
      <c r="A114" s="76">
        <v>2249</v>
      </c>
      <c r="B114" s="127" t="s">
        <v>130</v>
      </c>
      <c r="C114" s="128">
        <f t="shared" si="3"/>
        <v>0</v>
      </c>
      <c r="D114" s="134"/>
      <c r="E114" s="283"/>
      <c r="F114" s="279">
        <f t="shared" si="4"/>
        <v>0</v>
      </c>
      <c r="G114" s="134"/>
      <c r="H114" s="135"/>
      <c r="I114" s="136">
        <f t="shared" si="5"/>
        <v>0</v>
      </c>
      <c r="J114" s="134"/>
      <c r="K114" s="135"/>
      <c r="L114" s="136">
        <f t="shared" si="6"/>
        <v>0</v>
      </c>
      <c r="M114" s="284"/>
      <c r="N114" s="285"/>
      <c r="O114" s="136">
        <f t="shared" si="7"/>
        <v>0</v>
      </c>
      <c r="P114" s="85"/>
      <c r="R114" s="53"/>
      <c r="S114" s="53"/>
      <c r="T114" s="53"/>
      <c r="U114" s="53"/>
    </row>
    <row r="115" spans="1:21" x14ac:dyDescent="0.25">
      <c r="A115" s="276">
        <v>2250</v>
      </c>
      <c r="B115" s="127" t="s">
        <v>131</v>
      </c>
      <c r="C115" s="128">
        <f t="shared" si="3"/>
        <v>342</v>
      </c>
      <c r="D115" s="277">
        <f>SUM(D116:D118)</f>
        <v>342</v>
      </c>
      <c r="E115" s="278">
        <f>SUM(E116:E118)</f>
        <v>0</v>
      </c>
      <c r="F115" s="279">
        <f t="shared" si="4"/>
        <v>342</v>
      </c>
      <c r="G115" s="277">
        <f>SUM(G116:G118)</f>
        <v>0</v>
      </c>
      <c r="H115" s="280">
        <f>SUM(H116:H118)</f>
        <v>0</v>
      </c>
      <c r="I115" s="136">
        <f t="shared" si="5"/>
        <v>0</v>
      </c>
      <c r="J115" s="277">
        <f>SUM(J116:J118)</f>
        <v>0</v>
      </c>
      <c r="K115" s="280">
        <f>SUM(K116:K118)</f>
        <v>0</v>
      </c>
      <c r="L115" s="136">
        <f t="shared" si="6"/>
        <v>0</v>
      </c>
      <c r="M115" s="281">
        <f>SUM(M116:M118)</f>
        <v>0</v>
      </c>
      <c r="N115" s="282">
        <f>SUM(N116:N118)</f>
        <v>0</v>
      </c>
      <c r="O115" s="136">
        <f t="shared" si="7"/>
        <v>0</v>
      </c>
      <c r="P115" s="85"/>
      <c r="R115" s="53"/>
      <c r="S115" s="53"/>
      <c r="T115" s="53"/>
      <c r="U115" s="53"/>
    </row>
    <row r="116" spans="1:21" hidden="1" x14ac:dyDescent="0.25">
      <c r="A116" s="76">
        <v>2251</v>
      </c>
      <c r="B116" s="127" t="s">
        <v>132</v>
      </c>
      <c r="C116" s="128">
        <f t="shared" si="3"/>
        <v>0</v>
      </c>
      <c r="D116" s="134"/>
      <c r="E116" s="283"/>
      <c r="F116" s="279">
        <f t="shared" si="4"/>
        <v>0</v>
      </c>
      <c r="G116" s="134"/>
      <c r="H116" s="135"/>
      <c r="I116" s="136">
        <f t="shared" si="5"/>
        <v>0</v>
      </c>
      <c r="J116" s="134"/>
      <c r="K116" s="135"/>
      <c r="L116" s="136">
        <f t="shared" si="6"/>
        <v>0</v>
      </c>
      <c r="M116" s="284"/>
      <c r="N116" s="285"/>
      <c r="O116" s="136">
        <f t="shared" si="7"/>
        <v>0</v>
      </c>
      <c r="P116" s="85"/>
      <c r="R116" s="53"/>
      <c r="S116" s="53"/>
      <c r="T116" s="53"/>
      <c r="U116" s="53"/>
    </row>
    <row r="117" spans="1:21" ht="24" hidden="1" x14ac:dyDescent="0.25">
      <c r="A117" s="76">
        <v>2252</v>
      </c>
      <c r="B117" s="127" t="s">
        <v>133</v>
      </c>
      <c r="C117" s="128">
        <f t="shared" ref="C117:C180" si="8">SUM(F117,I117,L117,O117)</f>
        <v>0</v>
      </c>
      <c r="D117" s="134"/>
      <c r="E117" s="283"/>
      <c r="F117" s="279">
        <f t="shared" ref="F117:F180" si="9">D117+E117</f>
        <v>0</v>
      </c>
      <c r="G117" s="134"/>
      <c r="H117" s="135"/>
      <c r="I117" s="136">
        <f t="shared" ref="I117:I180" si="10">G117+H117</f>
        <v>0</v>
      </c>
      <c r="J117" s="134"/>
      <c r="K117" s="135"/>
      <c r="L117" s="136">
        <f t="shared" ref="L117:L180" si="11">J117+K117</f>
        <v>0</v>
      </c>
      <c r="M117" s="284"/>
      <c r="N117" s="285"/>
      <c r="O117" s="136">
        <f t="shared" ref="O117:O180" si="12">M117+N117</f>
        <v>0</v>
      </c>
      <c r="P117" s="85"/>
      <c r="R117" s="53"/>
      <c r="S117" s="53"/>
      <c r="T117" s="53"/>
      <c r="U117" s="53"/>
    </row>
    <row r="118" spans="1:21" ht="24" x14ac:dyDescent="0.25">
      <c r="A118" s="76">
        <v>2259</v>
      </c>
      <c r="B118" s="127" t="s">
        <v>134</v>
      </c>
      <c r="C118" s="128">
        <f t="shared" si="8"/>
        <v>342</v>
      </c>
      <c r="D118" s="134">
        <v>342</v>
      </c>
      <c r="E118" s="283"/>
      <c r="F118" s="279">
        <f t="shared" si="9"/>
        <v>342</v>
      </c>
      <c r="G118" s="134"/>
      <c r="H118" s="135"/>
      <c r="I118" s="136">
        <f t="shared" si="10"/>
        <v>0</v>
      </c>
      <c r="J118" s="134"/>
      <c r="K118" s="135"/>
      <c r="L118" s="136">
        <f t="shared" si="11"/>
        <v>0</v>
      </c>
      <c r="M118" s="284"/>
      <c r="N118" s="285"/>
      <c r="O118" s="136">
        <f t="shared" si="12"/>
        <v>0</v>
      </c>
      <c r="P118" s="85"/>
      <c r="R118" s="53"/>
      <c r="S118" s="53"/>
      <c r="T118" s="53"/>
      <c r="U118" s="53"/>
    </row>
    <row r="119" spans="1:21" x14ac:dyDescent="0.25">
      <c r="A119" s="276">
        <v>2260</v>
      </c>
      <c r="B119" s="127" t="s">
        <v>135</v>
      </c>
      <c r="C119" s="128">
        <f t="shared" si="8"/>
        <v>47</v>
      </c>
      <c r="D119" s="277">
        <f>SUM(D120:D124)</f>
        <v>0</v>
      </c>
      <c r="E119" s="278">
        <f>SUM(E120:E124)</f>
        <v>0</v>
      </c>
      <c r="F119" s="279">
        <f t="shared" si="9"/>
        <v>0</v>
      </c>
      <c r="G119" s="277">
        <f>SUM(G120:G124)</f>
        <v>0</v>
      </c>
      <c r="H119" s="280">
        <f>SUM(H120:H124)</f>
        <v>0</v>
      </c>
      <c r="I119" s="136">
        <f t="shared" si="10"/>
        <v>0</v>
      </c>
      <c r="J119" s="277">
        <f>SUM(J120:J124)</f>
        <v>47</v>
      </c>
      <c r="K119" s="280">
        <f>SUM(K120:K124)</f>
        <v>0</v>
      </c>
      <c r="L119" s="136">
        <f t="shared" si="11"/>
        <v>47</v>
      </c>
      <c r="M119" s="281">
        <f>SUM(M120:M124)</f>
        <v>0</v>
      </c>
      <c r="N119" s="282">
        <f>SUM(N120:N124)</f>
        <v>0</v>
      </c>
      <c r="O119" s="136">
        <f t="shared" si="12"/>
        <v>0</v>
      </c>
      <c r="P119" s="85"/>
      <c r="R119" s="53"/>
      <c r="S119" s="53"/>
      <c r="T119" s="53"/>
      <c r="U119" s="53"/>
    </row>
    <row r="120" spans="1:21" hidden="1" x14ac:dyDescent="0.25">
      <c r="A120" s="76">
        <v>2261</v>
      </c>
      <c r="B120" s="127" t="s">
        <v>136</v>
      </c>
      <c r="C120" s="128">
        <f t="shared" si="8"/>
        <v>0</v>
      </c>
      <c r="D120" s="134"/>
      <c r="E120" s="283"/>
      <c r="F120" s="279">
        <f t="shared" si="9"/>
        <v>0</v>
      </c>
      <c r="G120" s="134"/>
      <c r="H120" s="135"/>
      <c r="I120" s="136">
        <f t="shared" si="10"/>
        <v>0</v>
      </c>
      <c r="J120" s="134"/>
      <c r="K120" s="135"/>
      <c r="L120" s="136">
        <f t="shared" si="11"/>
        <v>0</v>
      </c>
      <c r="M120" s="284"/>
      <c r="N120" s="285"/>
      <c r="O120" s="136">
        <f t="shared" si="12"/>
        <v>0</v>
      </c>
      <c r="P120" s="85"/>
      <c r="R120" s="53"/>
      <c r="S120" s="53"/>
      <c r="T120" s="53"/>
      <c r="U120" s="53"/>
    </row>
    <row r="121" spans="1:21" hidden="1" x14ac:dyDescent="0.25">
      <c r="A121" s="76">
        <v>2262</v>
      </c>
      <c r="B121" s="127" t="s">
        <v>137</v>
      </c>
      <c r="C121" s="128">
        <f t="shared" si="8"/>
        <v>0</v>
      </c>
      <c r="D121" s="134"/>
      <c r="E121" s="283"/>
      <c r="F121" s="279">
        <f t="shared" si="9"/>
        <v>0</v>
      </c>
      <c r="G121" s="134"/>
      <c r="H121" s="135"/>
      <c r="I121" s="136">
        <f t="shared" si="10"/>
        <v>0</v>
      </c>
      <c r="J121" s="134"/>
      <c r="K121" s="135"/>
      <c r="L121" s="136">
        <f t="shared" si="11"/>
        <v>0</v>
      </c>
      <c r="M121" s="284"/>
      <c r="N121" s="285"/>
      <c r="O121" s="136">
        <f t="shared" si="12"/>
        <v>0</v>
      </c>
      <c r="P121" s="85"/>
      <c r="R121" s="53"/>
      <c r="S121" s="53"/>
      <c r="T121" s="53"/>
      <c r="U121" s="53"/>
    </row>
    <row r="122" spans="1:21" hidden="1" x14ac:dyDescent="0.25">
      <c r="A122" s="76">
        <v>2263</v>
      </c>
      <c r="B122" s="127" t="s">
        <v>138</v>
      </c>
      <c r="C122" s="128">
        <f t="shared" si="8"/>
        <v>0</v>
      </c>
      <c r="D122" s="134"/>
      <c r="E122" s="283"/>
      <c r="F122" s="279">
        <f t="shared" si="9"/>
        <v>0</v>
      </c>
      <c r="G122" s="134"/>
      <c r="H122" s="135"/>
      <c r="I122" s="136">
        <f t="shared" si="10"/>
        <v>0</v>
      </c>
      <c r="J122" s="134"/>
      <c r="K122" s="135"/>
      <c r="L122" s="136">
        <f t="shared" si="11"/>
        <v>0</v>
      </c>
      <c r="M122" s="284"/>
      <c r="N122" s="285"/>
      <c r="O122" s="136">
        <f t="shared" si="12"/>
        <v>0</v>
      </c>
      <c r="P122" s="85"/>
      <c r="R122" s="53"/>
      <c r="S122" s="53"/>
      <c r="T122" s="53"/>
      <c r="U122" s="53"/>
    </row>
    <row r="123" spans="1:21" ht="24" hidden="1" x14ac:dyDescent="0.25">
      <c r="A123" s="76">
        <v>2264</v>
      </c>
      <c r="B123" s="127" t="s">
        <v>139</v>
      </c>
      <c r="C123" s="128">
        <f t="shared" si="8"/>
        <v>0</v>
      </c>
      <c r="D123" s="134"/>
      <c r="E123" s="283"/>
      <c r="F123" s="279">
        <f t="shared" si="9"/>
        <v>0</v>
      </c>
      <c r="G123" s="134"/>
      <c r="H123" s="135"/>
      <c r="I123" s="136">
        <f t="shared" si="10"/>
        <v>0</v>
      </c>
      <c r="J123" s="134"/>
      <c r="K123" s="135"/>
      <c r="L123" s="136">
        <f t="shared" si="11"/>
        <v>0</v>
      </c>
      <c r="M123" s="284"/>
      <c r="N123" s="285"/>
      <c r="O123" s="136">
        <f t="shared" si="12"/>
        <v>0</v>
      </c>
      <c r="P123" s="85"/>
      <c r="R123" s="53"/>
      <c r="S123" s="53"/>
      <c r="T123" s="53"/>
      <c r="U123" s="53"/>
    </row>
    <row r="124" spans="1:21" x14ac:dyDescent="0.25">
      <c r="A124" s="76">
        <v>2269</v>
      </c>
      <c r="B124" s="127" t="s">
        <v>140</v>
      </c>
      <c r="C124" s="128">
        <f t="shared" si="8"/>
        <v>47</v>
      </c>
      <c r="D124" s="134"/>
      <c r="E124" s="283"/>
      <c r="F124" s="279">
        <f t="shared" si="9"/>
        <v>0</v>
      </c>
      <c r="G124" s="134"/>
      <c r="H124" s="135"/>
      <c r="I124" s="136">
        <f t="shared" si="10"/>
        <v>0</v>
      </c>
      <c r="J124" s="134">
        <v>47</v>
      </c>
      <c r="K124" s="135"/>
      <c r="L124" s="136">
        <f t="shared" si="11"/>
        <v>47</v>
      </c>
      <c r="M124" s="284"/>
      <c r="N124" s="285"/>
      <c r="O124" s="136">
        <f t="shared" si="12"/>
        <v>0</v>
      </c>
      <c r="P124" s="85"/>
      <c r="R124" s="53"/>
      <c r="S124" s="53"/>
      <c r="T124" s="53"/>
      <c r="U124" s="53"/>
    </row>
    <row r="125" spans="1:21" x14ac:dyDescent="0.25">
      <c r="A125" s="276">
        <v>2270</v>
      </c>
      <c r="B125" s="127" t="s">
        <v>141</v>
      </c>
      <c r="C125" s="128">
        <f t="shared" si="8"/>
        <v>22</v>
      </c>
      <c r="D125" s="277">
        <f>SUM(D126:D130)</f>
        <v>22</v>
      </c>
      <c r="E125" s="278">
        <f>SUM(E126:E130)</f>
        <v>0</v>
      </c>
      <c r="F125" s="279">
        <f t="shared" si="9"/>
        <v>22</v>
      </c>
      <c r="G125" s="277">
        <f>SUM(G126:G130)</f>
        <v>0</v>
      </c>
      <c r="H125" s="280">
        <f>SUM(H126:H130)</f>
        <v>0</v>
      </c>
      <c r="I125" s="136">
        <f t="shared" si="10"/>
        <v>0</v>
      </c>
      <c r="J125" s="277">
        <f>SUM(J126:J130)</f>
        <v>0</v>
      </c>
      <c r="K125" s="280">
        <f>SUM(K126:K130)</f>
        <v>0</v>
      </c>
      <c r="L125" s="136">
        <f t="shared" si="11"/>
        <v>0</v>
      </c>
      <c r="M125" s="281">
        <f>SUM(M126:M130)</f>
        <v>0</v>
      </c>
      <c r="N125" s="282">
        <f>SUM(N126:N130)</f>
        <v>0</v>
      </c>
      <c r="O125" s="136">
        <f t="shared" si="12"/>
        <v>0</v>
      </c>
      <c r="P125" s="85"/>
      <c r="R125" s="53"/>
      <c r="S125" s="53"/>
      <c r="T125" s="53"/>
      <c r="U125" s="53"/>
    </row>
    <row r="126" spans="1:21" hidden="1" x14ac:dyDescent="0.25">
      <c r="A126" s="76">
        <v>2272</v>
      </c>
      <c r="B126" s="5" t="s">
        <v>142</v>
      </c>
      <c r="C126" s="128">
        <f t="shared" si="8"/>
        <v>0</v>
      </c>
      <c r="D126" s="134"/>
      <c r="E126" s="283"/>
      <c r="F126" s="279">
        <f t="shared" si="9"/>
        <v>0</v>
      </c>
      <c r="G126" s="134"/>
      <c r="H126" s="135"/>
      <c r="I126" s="136">
        <f t="shared" si="10"/>
        <v>0</v>
      </c>
      <c r="J126" s="134"/>
      <c r="K126" s="135"/>
      <c r="L126" s="136">
        <f t="shared" si="11"/>
        <v>0</v>
      </c>
      <c r="M126" s="284"/>
      <c r="N126" s="285"/>
      <c r="O126" s="136">
        <f t="shared" si="12"/>
        <v>0</v>
      </c>
      <c r="P126" s="85"/>
      <c r="R126" s="53"/>
      <c r="S126" s="53"/>
      <c r="T126" s="53"/>
      <c r="U126" s="53"/>
    </row>
    <row r="127" spans="1:21" ht="24" hidden="1" x14ac:dyDescent="0.25">
      <c r="A127" s="76">
        <v>2275</v>
      </c>
      <c r="B127" s="127" t="s">
        <v>143</v>
      </c>
      <c r="C127" s="128">
        <f t="shared" si="8"/>
        <v>0</v>
      </c>
      <c r="D127" s="134"/>
      <c r="E127" s="283"/>
      <c r="F127" s="279">
        <f t="shared" si="9"/>
        <v>0</v>
      </c>
      <c r="G127" s="134"/>
      <c r="H127" s="135"/>
      <c r="I127" s="136">
        <f t="shared" si="10"/>
        <v>0</v>
      </c>
      <c r="J127" s="134"/>
      <c r="K127" s="135"/>
      <c r="L127" s="136">
        <f t="shared" si="11"/>
        <v>0</v>
      </c>
      <c r="M127" s="284"/>
      <c r="N127" s="285"/>
      <c r="O127" s="136">
        <f t="shared" si="12"/>
        <v>0</v>
      </c>
      <c r="P127" s="85"/>
      <c r="R127" s="53"/>
      <c r="S127" s="53"/>
      <c r="T127" s="53"/>
      <c r="U127" s="53"/>
    </row>
    <row r="128" spans="1:21" ht="36" hidden="1" x14ac:dyDescent="0.25">
      <c r="A128" s="76">
        <v>2276</v>
      </c>
      <c r="B128" s="127" t="s">
        <v>144</v>
      </c>
      <c r="C128" s="128">
        <f t="shared" si="8"/>
        <v>0</v>
      </c>
      <c r="D128" s="134"/>
      <c r="E128" s="283"/>
      <c r="F128" s="279">
        <f t="shared" si="9"/>
        <v>0</v>
      </c>
      <c r="G128" s="134"/>
      <c r="H128" s="135"/>
      <c r="I128" s="136">
        <f t="shared" si="10"/>
        <v>0</v>
      </c>
      <c r="J128" s="134"/>
      <c r="K128" s="135"/>
      <c r="L128" s="136">
        <f t="shared" si="11"/>
        <v>0</v>
      </c>
      <c r="M128" s="284"/>
      <c r="N128" s="285"/>
      <c r="O128" s="136">
        <f t="shared" si="12"/>
        <v>0</v>
      </c>
      <c r="P128" s="85"/>
      <c r="R128" s="53"/>
      <c r="S128" s="53"/>
      <c r="T128" s="53"/>
      <c r="U128" s="53"/>
    </row>
    <row r="129" spans="1:21" ht="24" hidden="1" x14ac:dyDescent="0.25">
      <c r="A129" s="76">
        <v>2278</v>
      </c>
      <c r="B129" s="127" t="s">
        <v>145</v>
      </c>
      <c r="C129" s="128">
        <f t="shared" si="8"/>
        <v>0</v>
      </c>
      <c r="D129" s="134"/>
      <c r="E129" s="283"/>
      <c r="F129" s="279">
        <f t="shared" si="9"/>
        <v>0</v>
      </c>
      <c r="G129" s="134"/>
      <c r="H129" s="135"/>
      <c r="I129" s="136">
        <f t="shared" si="10"/>
        <v>0</v>
      </c>
      <c r="J129" s="134"/>
      <c r="K129" s="135"/>
      <c r="L129" s="136">
        <f t="shared" si="11"/>
        <v>0</v>
      </c>
      <c r="M129" s="284"/>
      <c r="N129" s="285"/>
      <c r="O129" s="136">
        <f t="shared" si="12"/>
        <v>0</v>
      </c>
      <c r="P129" s="85"/>
      <c r="R129" s="53"/>
      <c r="S129" s="53"/>
      <c r="T129" s="53"/>
      <c r="U129" s="53"/>
    </row>
    <row r="130" spans="1:21" ht="24" x14ac:dyDescent="0.25">
      <c r="A130" s="76">
        <v>2279</v>
      </c>
      <c r="B130" s="127" t="s">
        <v>146</v>
      </c>
      <c r="C130" s="128">
        <f t="shared" si="8"/>
        <v>22</v>
      </c>
      <c r="D130" s="134">
        <v>22</v>
      </c>
      <c r="E130" s="283"/>
      <c r="F130" s="279">
        <f t="shared" si="9"/>
        <v>22</v>
      </c>
      <c r="G130" s="134"/>
      <c r="H130" s="135"/>
      <c r="I130" s="136">
        <f t="shared" si="10"/>
        <v>0</v>
      </c>
      <c r="J130" s="134"/>
      <c r="K130" s="135"/>
      <c r="L130" s="136">
        <f t="shared" si="11"/>
        <v>0</v>
      </c>
      <c r="M130" s="284"/>
      <c r="N130" s="285"/>
      <c r="O130" s="136">
        <f t="shared" si="12"/>
        <v>0</v>
      </c>
      <c r="P130" s="85"/>
      <c r="R130" s="53"/>
      <c r="S130" s="53"/>
      <c r="T130" s="53"/>
      <c r="U130" s="53"/>
    </row>
    <row r="131" spans="1:21" ht="24" hidden="1" x14ac:dyDescent="0.25">
      <c r="A131" s="656">
        <v>2280</v>
      </c>
      <c r="B131" s="116" t="s">
        <v>147</v>
      </c>
      <c r="C131" s="128">
        <f t="shared" si="8"/>
        <v>0</v>
      </c>
      <c r="D131" s="297">
        <f>SUM(D132)</f>
        <v>0</v>
      </c>
      <c r="E131" s="298">
        <f>SUM(E132)</f>
        <v>0</v>
      </c>
      <c r="F131" s="296">
        <f t="shared" si="9"/>
        <v>0</v>
      </c>
      <c r="G131" s="297">
        <f>SUM(G132)</f>
        <v>0</v>
      </c>
      <c r="H131" s="299">
        <f>SUM(H132)</f>
        <v>0</v>
      </c>
      <c r="I131" s="125">
        <f t="shared" si="10"/>
        <v>0</v>
      </c>
      <c r="J131" s="297">
        <f>SUM(J132)</f>
        <v>0</v>
      </c>
      <c r="K131" s="299">
        <f>SUM(K132)</f>
        <v>0</v>
      </c>
      <c r="L131" s="125">
        <f t="shared" si="11"/>
        <v>0</v>
      </c>
      <c r="M131" s="281">
        <f>SUM(M132)</f>
        <v>0</v>
      </c>
      <c r="N131" s="282">
        <f>SUM(N132)</f>
        <v>0</v>
      </c>
      <c r="O131" s="136">
        <f t="shared" si="12"/>
        <v>0</v>
      </c>
      <c r="P131" s="85"/>
      <c r="R131" s="53"/>
      <c r="S131" s="53"/>
      <c r="T131" s="53"/>
      <c r="U131" s="53"/>
    </row>
    <row r="132" spans="1:21" ht="24" hidden="1" x14ac:dyDescent="0.25">
      <c r="A132" s="76">
        <v>2283</v>
      </c>
      <c r="B132" s="127" t="s">
        <v>148</v>
      </c>
      <c r="C132" s="128">
        <f t="shared" si="8"/>
        <v>0</v>
      </c>
      <c r="D132" s="134"/>
      <c r="E132" s="283"/>
      <c r="F132" s="279">
        <f t="shared" si="9"/>
        <v>0</v>
      </c>
      <c r="G132" s="134"/>
      <c r="H132" s="135"/>
      <c r="I132" s="136">
        <f t="shared" si="10"/>
        <v>0</v>
      </c>
      <c r="J132" s="134"/>
      <c r="K132" s="135"/>
      <c r="L132" s="136">
        <f t="shared" si="11"/>
        <v>0</v>
      </c>
      <c r="M132" s="284"/>
      <c r="N132" s="285"/>
      <c r="O132" s="136">
        <f t="shared" si="12"/>
        <v>0</v>
      </c>
      <c r="P132" s="85"/>
      <c r="R132" s="53"/>
      <c r="S132" s="53"/>
      <c r="T132" s="53"/>
      <c r="U132" s="53"/>
    </row>
    <row r="133" spans="1:21" ht="36" x14ac:dyDescent="0.25">
      <c r="A133" s="99">
        <v>2300</v>
      </c>
      <c r="B133" s="247" t="s">
        <v>149</v>
      </c>
      <c r="C133" s="100">
        <f t="shared" si="8"/>
        <v>23616</v>
      </c>
      <c r="D133" s="112">
        <f>SUM(D134,D139,D143,D144,D147,D154,D162,D163,D166)</f>
        <v>14307</v>
      </c>
      <c r="E133" s="248">
        <f>SUM(E134,E139,E143,E144,E147,E154,E162,E163,E166)</f>
        <v>0</v>
      </c>
      <c r="F133" s="249">
        <f t="shared" si="9"/>
        <v>14307</v>
      </c>
      <c r="G133" s="112">
        <f>SUM(G134,G139,G143,G144,G147,G154,G162,G163,G166)</f>
        <v>2500</v>
      </c>
      <c r="H133" s="113">
        <f>SUM(H134,H139,H143,H144,H147,H154,H162,H163,H166)</f>
        <v>0</v>
      </c>
      <c r="I133" s="114">
        <f t="shared" si="10"/>
        <v>2500</v>
      </c>
      <c r="J133" s="112">
        <f>SUM(J134,J139,J143,J144,J147,J154,J162,J163,J166)</f>
        <v>5504</v>
      </c>
      <c r="K133" s="113">
        <f>SUM(K134,K139,K143,K144,K147,K154,K162,K163,K166)</f>
        <v>0</v>
      </c>
      <c r="L133" s="114">
        <f t="shared" si="11"/>
        <v>5504</v>
      </c>
      <c r="M133" s="292">
        <f>SUM(M134,M139,M143,M144,M147,M154,M162,M163,M166)</f>
        <v>1305</v>
      </c>
      <c r="N133" s="293">
        <f>SUM(N134,N139,N143,N144,N147,N154,N162,N163,N166)</f>
        <v>0</v>
      </c>
      <c r="O133" s="114">
        <f t="shared" si="12"/>
        <v>1305</v>
      </c>
      <c r="P133" s="109"/>
      <c r="R133" s="53"/>
      <c r="S133" s="53"/>
      <c r="T133" s="53"/>
      <c r="U133" s="53"/>
    </row>
    <row r="134" spans="1:21" ht="24" x14ac:dyDescent="0.25">
      <c r="A134" s="656">
        <v>2310</v>
      </c>
      <c r="B134" s="116" t="s">
        <v>150</v>
      </c>
      <c r="C134" s="117">
        <f t="shared" si="8"/>
        <v>8772</v>
      </c>
      <c r="D134" s="308">
        <f>SUM(D135:D138)</f>
        <v>6018</v>
      </c>
      <c r="E134" s="300">
        <f>SUM(E135:E138)</f>
        <v>0</v>
      </c>
      <c r="F134" s="296">
        <f t="shared" si="9"/>
        <v>6018</v>
      </c>
      <c r="G134" s="297">
        <f>SUM(G135:G138)</f>
        <v>0</v>
      </c>
      <c r="H134" s="299">
        <f>SUM(H135:H138)</f>
        <v>0</v>
      </c>
      <c r="I134" s="125">
        <f t="shared" si="10"/>
        <v>0</v>
      </c>
      <c r="J134" s="297">
        <f>SUM(J135:J138)</f>
        <v>2504</v>
      </c>
      <c r="K134" s="299">
        <f>SUM(K135:K138)</f>
        <v>0</v>
      </c>
      <c r="L134" s="125">
        <f t="shared" si="11"/>
        <v>2504</v>
      </c>
      <c r="M134" s="300">
        <f>SUM(M135:M138)</f>
        <v>250</v>
      </c>
      <c r="N134" s="301">
        <f>SUM(N135:N138)</f>
        <v>0</v>
      </c>
      <c r="O134" s="125">
        <f t="shared" si="12"/>
        <v>250</v>
      </c>
      <c r="P134" s="74"/>
      <c r="R134" s="53"/>
      <c r="S134" s="53"/>
      <c r="T134" s="53"/>
      <c r="U134" s="53"/>
    </row>
    <row r="135" spans="1:21" x14ac:dyDescent="0.25">
      <c r="A135" s="76">
        <v>2311</v>
      </c>
      <c r="B135" s="127" t="s">
        <v>151</v>
      </c>
      <c r="C135" s="128">
        <f t="shared" si="8"/>
        <v>1988</v>
      </c>
      <c r="D135" s="134">
        <v>1988</v>
      </c>
      <c r="E135" s="283"/>
      <c r="F135" s="279">
        <f t="shared" si="9"/>
        <v>1988</v>
      </c>
      <c r="G135" s="134"/>
      <c r="H135" s="135"/>
      <c r="I135" s="136">
        <f t="shared" si="10"/>
        <v>0</v>
      </c>
      <c r="J135" s="134"/>
      <c r="K135" s="135"/>
      <c r="L135" s="136">
        <f t="shared" si="11"/>
        <v>0</v>
      </c>
      <c r="M135" s="284"/>
      <c r="N135" s="285"/>
      <c r="O135" s="136">
        <f t="shared" si="12"/>
        <v>0</v>
      </c>
      <c r="P135" s="85"/>
      <c r="R135" s="53"/>
      <c r="S135" s="53"/>
      <c r="T135" s="53"/>
      <c r="U135" s="53"/>
    </row>
    <row r="136" spans="1:21" x14ac:dyDescent="0.25">
      <c r="A136" s="76">
        <v>2312</v>
      </c>
      <c r="B136" s="127" t="s">
        <v>152</v>
      </c>
      <c r="C136" s="128">
        <f t="shared" si="8"/>
        <v>6534</v>
      </c>
      <c r="D136" s="134">
        <f>3080+750+200</f>
        <v>4030</v>
      </c>
      <c r="E136" s="283"/>
      <c r="F136" s="279">
        <f t="shared" si="9"/>
        <v>4030</v>
      </c>
      <c r="G136" s="134"/>
      <c r="H136" s="135"/>
      <c r="I136" s="136">
        <f t="shared" si="10"/>
        <v>0</v>
      </c>
      <c r="J136" s="134">
        <v>2504</v>
      </c>
      <c r="K136" s="135"/>
      <c r="L136" s="136">
        <f t="shared" si="11"/>
        <v>2504</v>
      </c>
      <c r="M136" s="284"/>
      <c r="N136" s="285"/>
      <c r="O136" s="136">
        <f t="shared" si="12"/>
        <v>0</v>
      </c>
      <c r="P136" s="85"/>
      <c r="R136" s="53"/>
      <c r="S136" s="53"/>
      <c r="T136" s="53"/>
      <c r="U136" s="53"/>
    </row>
    <row r="137" spans="1:21" hidden="1" x14ac:dyDescent="0.25">
      <c r="A137" s="76">
        <v>2313</v>
      </c>
      <c r="B137" s="127" t="s">
        <v>153</v>
      </c>
      <c r="C137" s="128">
        <f t="shared" si="8"/>
        <v>0</v>
      </c>
      <c r="D137" s="134"/>
      <c r="E137" s="283"/>
      <c r="F137" s="279">
        <f t="shared" si="9"/>
        <v>0</v>
      </c>
      <c r="G137" s="134"/>
      <c r="H137" s="135"/>
      <c r="I137" s="136">
        <f t="shared" si="10"/>
        <v>0</v>
      </c>
      <c r="J137" s="134">
        <v>0</v>
      </c>
      <c r="K137" s="135"/>
      <c r="L137" s="136">
        <f t="shared" si="11"/>
        <v>0</v>
      </c>
      <c r="M137" s="284"/>
      <c r="N137" s="285"/>
      <c r="O137" s="136">
        <f t="shared" si="12"/>
        <v>0</v>
      </c>
      <c r="P137" s="85"/>
      <c r="R137" s="53"/>
      <c r="S137" s="53"/>
      <c r="T137" s="53"/>
      <c r="U137" s="53"/>
    </row>
    <row r="138" spans="1:21" ht="30" customHeight="1" x14ac:dyDescent="0.25">
      <c r="A138" s="76">
        <v>2314</v>
      </c>
      <c r="B138" s="127" t="s">
        <v>154</v>
      </c>
      <c r="C138" s="128">
        <f t="shared" si="8"/>
        <v>250</v>
      </c>
      <c r="D138" s="134"/>
      <c r="E138" s="283"/>
      <c r="F138" s="279">
        <f t="shared" si="9"/>
        <v>0</v>
      </c>
      <c r="G138" s="134"/>
      <c r="H138" s="135"/>
      <c r="I138" s="136">
        <f t="shared" si="10"/>
        <v>0</v>
      </c>
      <c r="J138" s="134"/>
      <c r="K138" s="135"/>
      <c r="L138" s="136">
        <f t="shared" si="11"/>
        <v>0</v>
      </c>
      <c r="M138" s="284">
        <f>400-150</f>
        <v>250</v>
      </c>
      <c r="N138" s="285"/>
      <c r="O138" s="136">
        <f t="shared" si="12"/>
        <v>250</v>
      </c>
      <c r="P138" s="85"/>
      <c r="R138" s="53"/>
      <c r="S138" s="53"/>
      <c r="T138" s="53"/>
      <c r="U138" s="53"/>
    </row>
    <row r="139" spans="1:21" x14ac:dyDescent="0.25">
      <c r="A139" s="276">
        <v>2320</v>
      </c>
      <c r="B139" s="127" t="s">
        <v>155</v>
      </c>
      <c r="C139" s="128">
        <f t="shared" si="8"/>
        <v>1392</v>
      </c>
      <c r="D139" s="277">
        <f>SUM(D140:D142)</f>
        <v>292</v>
      </c>
      <c r="E139" s="278">
        <f>SUM(E140:E142)</f>
        <v>0</v>
      </c>
      <c r="F139" s="279">
        <f t="shared" si="9"/>
        <v>292</v>
      </c>
      <c r="G139" s="277">
        <f>SUM(G140:G142)</f>
        <v>0</v>
      </c>
      <c r="H139" s="280">
        <f>SUM(H140:H142)</f>
        <v>0</v>
      </c>
      <c r="I139" s="136">
        <f t="shared" si="10"/>
        <v>0</v>
      </c>
      <c r="J139" s="277">
        <f>SUM(J140:J142)</f>
        <v>1100</v>
      </c>
      <c r="K139" s="280">
        <f>SUM(K140:K142)</f>
        <v>0</v>
      </c>
      <c r="L139" s="136">
        <f t="shared" si="11"/>
        <v>1100</v>
      </c>
      <c r="M139" s="281">
        <f>SUM(M140:M142)</f>
        <v>0</v>
      </c>
      <c r="N139" s="282">
        <f>SUM(N140:N142)</f>
        <v>0</v>
      </c>
      <c r="O139" s="136">
        <f t="shared" si="12"/>
        <v>0</v>
      </c>
      <c r="P139" s="85"/>
      <c r="R139" s="53"/>
      <c r="S139" s="53"/>
      <c r="T139" s="53"/>
      <c r="U139" s="53"/>
    </row>
    <row r="140" spans="1:21" hidden="1" x14ac:dyDescent="0.25">
      <c r="A140" s="76">
        <v>2321</v>
      </c>
      <c r="B140" s="127" t="s">
        <v>156</v>
      </c>
      <c r="C140" s="128">
        <f t="shared" si="8"/>
        <v>0</v>
      </c>
      <c r="D140" s="134"/>
      <c r="E140" s="283"/>
      <c r="F140" s="279">
        <f t="shared" si="9"/>
        <v>0</v>
      </c>
      <c r="G140" s="134"/>
      <c r="H140" s="135"/>
      <c r="I140" s="136">
        <f t="shared" si="10"/>
        <v>0</v>
      </c>
      <c r="J140" s="134"/>
      <c r="K140" s="135"/>
      <c r="L140" s="136">
        <f t="shared" si="11"/>
        <v>0</v>
      </c>
      <c r="M140" s="284"/>
      <c r="N140" s="285"/>
      <c r="O140" s="136">
        <f t="shared" si="12"/>
        <v>0</v>
      </c>
      <c r="P140" s="85"/>
      <c r="R140" s="53"/>
      <c r="S140" s="53"/>
      <c r="T140" s="53"/>
      <c r="U140" s="53"/>
    </row>
    <row r="141" spans="1:21" x14ac:dyDescent="0.25">
      <c r="A141" s="76">
        <v>2322</v>
      </c>
      <c r="B141" s="127" t="s">
        <v>157</v>
      </c>
      <c r="C141" s="128">
        <f t="shared" si="8"/>
        <v>1392</v>
      </c>
      <c r="D141" s="134">
        <v>292</v>
      </c>
      <c r="E141" s="283"/>
      <c r="F141" s="279">
        <f t="shared" si="9"/>
        <v>292</v>
      </c>
      <c r="G141" s="134"/>
      <c r="H141" s="135"/>
      <c r="I141" s="136">
        <f t="shared" si="10"/>
        <v>0</v>
      </c>
      <c r="J141" s="134">
        <v>1100</v>
      </c>
      <c r="K141" s="135"/>
      <c r="L141" s="136">
        <f t="shared" si="11"/>
        <v>1100</v>
      </c>
      <c r="M141" s="284"/>
      <c r="N141" s="285"/>
      <c r="O141" s="136">
        <f t="shared" si="12"/>
        <v>0</v>
      </c>
      <c r="P141" s="85"/>
      <c r="R141" s="53"/>
      <c r="S141" s="53"/>
      <c r="T141" s="53"/>
      <c r="U141" s="53"/>
    </row>
    <row r="142" spans="1:21" hidden="1" x14ac:dyDescent="0.25">
      <c r="A142" s="76">
        <v>2329</v>
      </c>
      <c r="B142" s="127" t="s">
        <v>158</v>
      </c>
      <c r="C142" s="128">
        <f t="shared" si="8"/>
        <v>0</v>
      </c>
      <c r="D142" s="134"/>
      <c r="E142" s="283"/>
      <c r="F142" s="279">
        <f t="shared" si="9"/>
        <v>0</v>
      </c>
      <c r="G142" s="134"/>
      <c r="H142" s="135"/>
      <c r="I142" s="136">
        <f t="shared" si="10"/>
        <v>0</v>
      </c>
      <c r="J142" s="134"/>
      <c r="K142" s="135"/>
      <c r="L142" s="136">
        <f t="shared" si="11"/>
        <v>0</v>
      </c>
      <c r="M142" s="284"/>
      <c r="N142" s="285"/>
      <c r="O142" s="136">
        <f t="shared" si="12"/>
        <v>0</v>
      </c>
      <c r="P142" s="85"/>
      <c r="R142" s="53"/>
      <c r="S142" s="53"/>
      <c r="T142" s="53"/>
      <c r="U142" s="53"/>
    </row>
    <row r="143" spans="1:21" hidden="1" x14ac:dyDescent="0.25">
      <c r="A143" s="276">
        <v>2330</v>
      </c>
      <c r="B143" s="127" t="s">
        <v>159</v>
      </c>
      <c r="C143" s="128">
        <f t="shared" si="8"/>
        <v>0</v>
      </c>
      <c r="D143" s="134"/>
      <c r="E143" s="283"/>
      <c r="F143" s="279">
        <f t="shared" si="9"/>
        <v>0</v>
      </c>
      <c r="G143" s="134"/>
      <c r="H143" s="135"/>
      <c r="I143" s="136">
        <f t="shared" si="10"/>
        <v>0</v>
      </c>
      <c r="J143" s="134"/>
      <c r="K143" s="135"/>
      <c r="L143" s="136">
        <f t="shared" si="11"/>
        <v>0</v>
      </c>
      <c r="M143" s="284"/>
      <c r="N143" s="285"/>
      <c r="O143" s="136">
        <f t="shared" si="12"/>
        <v>0</v>
      </c>
      <c r="P143" s="85"/>
      <c r="R143" s="53"/>
      <c r="S143" s="53"/>
      <c r="T143" s="53"/>
      <c r="U143" s="53"/>
    </row>
    <row r="144" spans="1:21" ht="39.75" customHeight="1" x14ac:dyDescent="0.25">
      <c r="A144" s="276">
        <v>2340</v>
      </c>
      <c r="B144" s="127" t="s">
        <v>160</v>
      </c>
      <c r="C144" s="128">
        <f t="shared" si="8"/>
        <v>363</v>
      </c>
      <c r="D144" s="277">
        <f>SUM(D145:D146)</f>
        <v>363</v>
      </c>
      <c r="E144" s="278">
        <f>SUM(E145:E146)</f>
        <v>0</v>
      </c>
      <c r="F144" s="279">
        <f t="shared" si="9"/>
        <v>363</v>
      </c>
      <c r="G144" s="277">
        <f>SUM(G145:G146)</f>
        <v>0</v>
      </c>
      <c r="H144" s="280">
        <f>SUM(H145:H146)</f>
        <v>0</v>
      </c>
      <c r="I144" s="136">
        <f t="shared" si="10"/>
        <v>0</v>
      </c>
      <c r="J144" s="277">
        <f>SUM(J145:J146)</f>
        <v>0</v>
      </c>
      <c r="K144" s="280">
        <f>SUM(K145:K146)</f>
        <v>0</v>
      </c>
      <c r="L144" s="136">
        <f t="shared" si="11"/>
        <v>0</v>
      </c>
      <c r="M144" s="281">
        <f>SUM(M145:M146)</f>
        <v>0</v>
      </c>
      <c r="N144" s="282">
        <f>SUM(N145:N146)</f>
        <v>0</v>
      </c>
      <c r="O144" s="136">
        <f t="shared" si="12"/>
        <v>0</v>
      </c>
      <c r="P144" s="85"/>
      <c r="R144" s="53"/>
      <c r="S144" s="53"/>
      <c r="T144" s="53"/>
      <c r="U144" s="53"/>
    </row>
    <row r="145" spans="1:21" x14ac:dyDescent="0.25">
      <c r="A145" s="76">
        <v>2341</v>
      </c>
      <c r="B145" s="127" t="s">
        <v>161</v>
      </c>
      <c r="C145" s="128">
        <f t="shared" si="8"/>
        <v>363</v>
      </c>
      <c r="D145" s="134">
        <v>363</v>
      </c>
      <c r="E145" s="283"/>
      <c r="F145" s="279">
        <f t="shared" si="9"/>
        <v>363</v>
      </c>
      <c r="G145" s="134"/>
      <c r="H145" s="135"/>
      <c r="I145" s="136">
        <f t="shared" si="10"/>
        <v>0</v>
      </c>
      <c r="J145" s="134"/>
      <c r="K145" s="135"/>
      <c r="L145" s="136">
        <f t="shared" si="11"/>
        <v>0</v>
      </c>
      <c r="M145" s="284"/>
      <c r="N145" s="285"/>
      <c r="O145" s="136">
        <f t="shared" si="12"/>
        <v>0</v>
      </c>
      <c r="P145" s="85"/>
      <c r="R145" s="53"/>
      <c r="S145" s="53"/>
      <c r="T145" s="53"/>
      <c r="U145" s="53"/>
    </row>
    <row r="146" spans="1:21" ht="24" hidden="1" x14ac:dyDescent="0.25">
      <c r="A146" s="76">
        <v>2344</v>
      </c>
      <c r="B146" s="127" t="s">
        <v>162</v>
      </c>
      <c r="C146" s="128">
        <f t="shared" si="8"/>
        <v>0</v>
      </c>
      <c r="D146" s="134"/>
      <c r="E146" s="283"/>
      <c r="F146" s="279">
        <f t="shared" si="9"/>
        <v>0</v>
      </c>
      <c r="G146" s="134"/>
      <c r="H146" s="135"/>
      <c r="I146" s="136">
        <f t="shared" si="10"/>
        <v>0</v>
      </c>
      <c r="J146" s="134"/>
      <c r="K146" s="135"/>
      <c r="L146" s="136">
        <f t="shared" si="11"/>
        <v>0</v>
      </c>
      <c r="M146" s="284"/>
      <c r="N146" s="285"/>
      <c r="O146" s="136">
        <f t="shared" si="12"/>
        <v>0</v>
      </c>
      <c r="P146" s="85"/>
      <c r="R146" s="53"/>
      <c r="S146" s="53"/>
      <c r="T146" s="53"/>
      <c r="U146" s="53"/>
    </row>
    <row r="147" spans="1:21" ht="24" x14ac:dyDescent="0.25">
      <c r="A147" s="254">
        <v>2350</v>
      </c>
      <c r="B147" s="179" t="s">
        <v>163</v>
      </c>
      <c r="C147" s="128">
        <f t="shared" si="8"/>
        <v>4421</v>
      </c>
      <c r="D147" s="255">
        <f>SUM(D148:D153)</f>
        <v>2121</v>
      </c>
      <c r="E147" s="256">
        <f>SUM(E148:E153)</f>
        <v>0</v>
      </c>
      <c r="F147" s="257">
        <f t="shared" si="9"/>
        <v>2121</v>
      </c>
      <c r="G147" s="255">
        <f>SUM(G148:G153)</f>
        <v>0</v>
      </c>
      <c r="H147" s="258">
        <f>SUM(H148:H153)</f>
        <v>0</v>
      </c>
      <c r="I147" s="259">
        <f t="shared" si="10"/>
        <v>0</v>
      </c>
      <c r="J147" s="255">
        <f>SUM(J148:J153)</f>
        <v>1900</v>
      </c>
      <c r="K147" s="258">
        <f>SUM(K148:K153)</f>
        <v>0</v>
      </c>
      <c r="L147" s="259">
        <f t="shared" si="11"/>
        <v>1900</v>
      </c>
      <c r="M147" s="260">
        <f>SUM(M148:M153)</f>
        <v>400</v>
      </c>
      <c r="N147" s="261">
        <f>SUM(N148:N153)</f>
        <v>0</v>
      </c>
      <c r="O147" s="259">
        <f t="shared" si="12"/>
        <v>400</v>
      </c>
      <c r="P147" s="189"/>
      <c r="R147" s="53"/>
      <c r="S147" s="53"/>
      <c r="T147" s="53"/>
      <c r="U147" s="53"/>
    </row>
    <row r="148" spans="1:21" x14ac:dyDescent="0.25">
      <c r="A148" s="66">
        <v>2351</v>
      </c>
      <c r="B148" s="116" t="s">
        <v>164</v>
      </c>
      <c r="C148" s="128">
        <f t="shared" si="8"/>
        <v>2612</v>
      </c>
      <c r="D148" s="123">
        <v>712</v>
      </c>
      <c r="E148" s="295"/>
      <c r="F148" s="296">
        <f t="shared" si="9"/>
        <v>712</v>
      </c>
      <c r="G148" s="123"/>
      <c r="H148" s="124"/>
      <c r="I148" s="125">
        <f t="shared" si="10"/>
        <v>0</v>
      </c>
      <c r="J148" s="123">
        <f>1500+400</f>
        <v>1900</v>
      </c>
      <c r="K148" s="124"/>
      <c r="L148" s="125">
        <f t="shared" si="11"/>
        <v>1900</v>
      </c>
      <c r="M148" s="264"/>
      <c r="N148" s="262"/>
      <c r="O148" s="125">
        <f t="shared" si="12"/>
        <v>0</v>
      </c>
      <c r="P148" s="74"/>
      <c r="R148" s="53"/>
      <c r="S148" s="53"/>
      <c r="T148" s="53"/>
      <c r="U148" s="53"/>
    </row>
    <row r="149" spans="1:21" x14ac:dyDescent="0.25">
      <c r="A149" s="76">
        <v>2352</v>
      </c>
      <c r="B149" s="127" t="s">
        <v>165</v>
      </c>
      <c r="C149" s="128">
        <f t="shared" si="8"/>
        <v>1254</v>
      </c>
      <c r="D149" s="134">
        <v>854</v>
      </c>
      <c r="E149" s="283"/>
      <c r="F149" s="279">
        <f t="shared" si="9"/>
        <v>854</v>
      </c>
      <c r="G149" s="134"/>
      <c r="H149" s="135"/>
      <c r="I149" s="136">
        <f t="shared" si="10"/>
        <v>0</v>
      </c>
      <c r="J149" s="134"/>
      <c r="K149" s="135"/>
      <c r="L149" s="136">
        <f t="shared" si="11"/>
        <v>0</v>
      </c>
      <c r="M149" s="284">
        <v>400</v>
      </c>
      <c r="N149" s="285"/>
      <c r="O149" s="136">
        <f t="shared" si="12"/>
        <v>400</v>
      </c>
      <c r="P149" s="85"/>
      <c r="R149" s="53"/>
      <c r="S149" s="53"/>
      <c r="T149" s="53"/>
      <c r="U149" s="53"/>
    </row>
    <row r="150" spans="1:21" ht="24" hidden="1" x14ac:dyDescent="0.25">
      <c r="A150" s="76">
        <v>2353</v>
      </c>
      <c r="B150" s="127" t="s">
        <v>166</v>
      </c>
      <c r="C150" s="128">
        <f t="shared" si="8"/>
        <v>0</v>
      </c>
      <c r="D150" s="134"/>
      <c r="E150" s="283"/>
      <c r="F150" s="279">
        <f t="shared" si="9"/>
        <v>0</v>
      </c>
      <c r="G150" s="134"/>
      <c r="H150" s="135"/>
      <c r="I150" s="136">
        <f t="shared" si="10"/>
        <v>0</v>
      </c>
      <c r="J150" s="134"/>
      <c r="K150" s="135"/>
      <c r="L150" s="136">
        <f t="shared" si="11"/>
        <v>0</v>
      </c>
      <c r="M150" s="284"/>
      <c r="N150" s="285"/>
      <c r="O150" s="136">
        <f t="shared" si="12"/>
        <v>0</v>
      </c>
      <c r="P150" s="85"/>
      <c r="R150" s="53"/>
      <c r="S150" s="53"/>
      <c r="T150" s="53"/>
      <c r="U150" s="53"/>
    </row>
    <row r="151" spans="1:21" ht="24" hidden="1" x14ac:dyDescent="0.25">
      <c r="A151" s="76">
        <v>2354</v>
      </c>
      <c r="B151" s="127" t="s">
        <v>167</v>
      </c>
      <c r="C151" s="128">
        <f t="shared" si="8"/>
        <v>0</v>
      </c>
      <c r="D151" s="134"/>
      <c r="E151" s="283"/>
      <c r="F151" s="279">
        <f t="shared" si="9"/>
        <v>0</v>
      </c>
      <c r="G151" s="134"/>
      <c r="H151" s="135"/>
      <c r="I151" s="136">
        <f t="shared" si="10"/>
        <v>0</v>
      </c>
      <c r="J151" s="134"/>
      <c r="K151" s="135"/>
      <c r="L151" s="136">
        <f t="shared" si="11"/>
        <v>0</v>
      </c>
      <c r="M151" s="284"/>
      <c r="N151" s="285"/>
      <c r="O151" s="136">
        <f t="shared" si="12"/>
        <v>0</v>
      </c>
      <c r="P151" s="85"/>
      <c r="R151" s="53"/>
      <c r="S151" s="53"/>
      <c r="T151" s="53"/>
      <c r="U151" s="53"/>
    </row>
    <row r="152" spans="1:21" ht="24" x14ac:dyDescent="0.25">
      <c r="A152" s="76">
        <v>2355</v>
      </c>
      <c r="B152" s="127" t="s">
        <v>168</v>
      </c>
      <c r="C152" s="128">
        <f t="shared" si="8"/>
        <v>555</v>
      </c>
      <c r="D152" s="134">
        <v>555</v>
      </c>
      <c r="E152" s="283"/>
      <c r="F152" s="279">
        <f t="shared" si="9"/>
        <v>555</v>
      </c>
      <c r="G152" s="134"/>
      <c r="H152" s="135"/>
      <c r="I152" s="136">
        <f t="shared" si="10"/>
        <v>0</v>
      </c>
      <c r="J152" s="134"/>
      <c r="K152" s="135"/>
      <c r="L152" s="136">
        <f t="shared" si="11"/>
        <v>0</v>
      </c>
      <c r="M152" s="284"/>
      <c r="N152" s="285"/>
      <c r="O152" s="136">
        <f t="shared" si="12"/>
        <v>0</v>
      </c>
      <c r="P152" s="85"/>
      <c r="R152" s="53"/>
      <c r="S152" s="53"/>
      <c r="T152" s="53"/>
      <c r="U152" s="53"/>
    </row>
    <row r="153" spans="1:21" ht="24" hidden="1" x14ac:dyDescent="0.25">
      <c r="A153" s="76">
        <v>2359</v>
      </c>
      <c r="B153" s="127" t="s">
        <v>169</v>
      </c>
      <c r="C153" s="128">
        <f t="shared" si="8"/>
        <v>0</v>
      </c>
      <c r="D153" s="134"/>
      <c r="E153" s="283"/>
      <c r="F153" s="279">
        <f t="shared" si="9"/>
        <v>0</v>
      </c>
      <c r="G153" s="134"/>
      <c r="H153" s="135"/>
      <c r="I153" s="136">
        <f t="shared" si="10"/>
        <v>0</v>
      </c>
      <c r="J153" s="134"/>
      <c r="K153" s="135"/>
      <c r="L153" s="136">
        <f t="shared" si="11"/>
        <v>0</v>
      </c>
      <c r="M153" s="284"/>
      <c r="N153" s="285"/>
      <c r="O153" s="136">
        <f t="shared" si="12"/>
        <v>0</v>
      </c>
      <c r="P153" s="85"/>
      <c r="R153" s="53"/>
      <c r="S153" s="53"/>
      <c r="T153" s="53"/>
      <c r="U153" s="53"/>
    </row>
    <row r="154" spans="1:21" ht="24" hidden="1" x14ac:dyDescent="0.25">
      <c r="A154" s="276">
        <v>2360</v>
      </c>
      <c r="B154" s="127" t="s">
        <v>170</v>
      </c>
      <c r="C154" s="128">
        <f t="shared" si="8"/>
        <v>0</v>
      </c>
      <c r="D154" s="277">
        <f>SUM(D155:D161)</f>
        <v>0</v>
      </c>
      <c r="E154" s="278">
        <f>SUM(E155:E161)</f>
        <v>0</v>
      </c>
      <c r="F154" s="279">
        <f t="shared" si="9"/>
        <v>0</v>
      </c>
      <c r="G154" s="277">
        <f>SUM(G155:G161)</f>
        <v>0</v>
      </c>
      <c r="H154" s="280">
        <f>SUM(H155:H161)</f>
        <v>0</v>
      </c>
      <c r="I154" s="136">
        <f t="shared" si="10"/>
        <v>0</v>
      </c>
      <c r="J154" s="277">
        <f>SUM(J155:J161)</f>
        <v>0</v>
      </c>
      <c r="K154" s="280">
        <f>SUM(K155:K161)</f>
        <v>0</v>
      </c>
      <c r="L154" s="136">
        <f t="shared" si="11"/>
        <v>0</v>
      </c>
      <c r="M154" s="281">
        <f>SUM(M155:M161)</f>
        <v>0</v>
      </c>
      <c r="N154" s="282">
        <f>SUM(N155:N161)</f>
        <v>0</v>
      </c>
      <c r="O154" s="136">
        <f t="shared" si="12"/>
        <v>0</v>
      </c>
      <c r="P154" s="85"/>
      <c r="R154" s="53"/>
      <c r="S154" s="53"/>
      <c r="T154" s="53"/>
      <c r="U154" s="53"/>
    </row>
    <row r="155" spans="1:21" hidden="1" x14ac:dyDescent="0.25">
      <c r="A155" s="75">
        <v>2361</v>
      </c>
      <c r="B155" s="127" t="s">
        <v>171</v>
      </c>
      <c r="C155" s="128">
        <f t="shared" si="8"/>
        <v>0</v>
      </c>
      <c r="D155" s="134"/>
      <c r="E155" s="283"/>
      <c r="F155" s="279">
        <f t="shared" si="9"/>
        <v>0</v>
      </c>
      <c r="G155" s="134"/>
      <c r="H155" s="135"/>
      <c r="I155" s="136">
        <f t="shared" si="10"/>
        <v>0</v>
      </c>
      <c r="J155" s="134"/>
      <c r="K155" s="135"/>
      <c r="L155" s="136">
        <f t="shared" si="11"/>
        <v>0</v>
      </c>
      <c r="M155" s="284"/>
      <c r="N155" s="285"/>
      <c r="O155" s="136">
        <f t="shared" si="12"/>
        <v>0</v>
      </c>
      <c r="P155" s="85"/>
      <c r="R155" s="53"/>
      <c r="S155" s="53"/>
      <c r="T155" s="53"/>
      <c r="U155" s="53"/>
    </row>
    <row r="156" spans="1:21" ht="24" hidden="1" x14ac:dyDescent="0.25">
      <c r="A156" s="75">
        <v>2362</v>
      </c>
      <c r="B156" s="127" t="s">
        <v>172</v>
      </c>
      <c r="C156" s="128">
        <f t="shared" si="8"/>
        <v>0</v>
      </c>
      <c r="D156" s="134"/>
      <c r="E156" s="283"/>
      <c r="F156" s="279">
        <f t="shared" si="9"/>
        <v>0</v>
      </c>
      <c r="G156" s="134"/>
      <c r="H156" s="135"/>
      <c r="I156" s="136">
        <f t="shared" si="10"/>
        <v>0</v>
      </c>
      <c r="J156" s="134"/>
      <c r="K156" s="135"/>
      <c r="L156" s="136">
        <f t="shared" si="11"/>
        <v>0</v>
      </c>
      <c r="M156" s="284"/>
      <c r="N156" s="285"/>
      <c r="O156" s="136">
        <f t="shared" si="12"/>
        <v>0</v>
      </c>
      <c r="P156" s="85"/>
      <c r="R156" s="53"/>
      <c r="S156" s="53"/>
      <c r="T156" s="53"/>
      <c r="U156" s="53"/>
    </row>
    <row r="157" spans="1:21" hidden="1" x14ac:dyDescent="0.25">
      <c r="A157" s="75">
        <v>2363</v>
      </c>
      <c r="B157" s="127" t="s">
        <v>173</v>
      </c>
      <c r="C157" s="128">
        <f t="shared" si="8"/>
        <v>0</v>
      </c>
      <c r="D157" s="134"/>
      <c r="E157" s="283"/>
      <c r="F157" s="279">
        <f t="shared" si="9"/>
        <v>0</v>
      </c>
      <c r="G157" s="134"/>
      <c r="H157" s="135"/>
      <c r="I157" s="136">
        <f t="shared" si="10"/>
        <v>0</v>
      </c>
      <c r="J157" s="134"/>
      <c r="K157" s="135"/>
      <c r="L157" s="136">
        <f t="shared" si="11"/>
        <v>0</v>
      </c>
      <c r="M157" s="284"/>
      <c r="N157" s="285"/>
      <c r="O157" s="136">
        <f t="shared" si="12"/>
        <v>0</v>
      </c>
      <c r="P157" s="85"/>
      <c r="R157" s="53"/>
      <c r="S157" s="53"/>
      <c r="T157" s="53"/>
      <c r="U157" s="53"/>
    </row>
    <row r="158" spans="1:21" hidden="1" x14ac:dyDescent="0.25">
      <c r="A158" s="75">
        <v>2364</v>
      </c>
      <c r="B158" s="127" t="s">
        <v>174</v>
      </c>
      <c r="C158" s="128">
        <f t="shared" si="8"/>
        <v>0</v>
      </c>
      <c r="D158" s="134"/>
      <c r="E158" s="283"/>
      <c r="F158" s="279">
        <f t="shared" si="9"/>
        <v>0</v>
      </c>
      <c r="G158" s="134"/>
      <c r="H158" s="135"/>
      <c r="I158" s="136">
        <f t="shared" si="10"/>
        <v>0</v>
      </c>
      <c r="J158" s="134"/>
      <c r="K158" s="135"/>
      <c r="L158" s="136">
        <f t="shared" si="11"/>
        <v>0</v>
      </c>
      <c r="M158" s="284"/>
      <c r="N158" s="285"/>
      <c r="O158" s="136">
        <f t="shared" si="12"/>
        <v>0</v>
      </c>
      <c r="P158" s="85"/>
      <c r="R158" s="53"/>
      <c r="S158" s="53"/>
      <c r="T158" s="53"/>
      <c r="U158" s="53"/>
    </row>
    <row r="159" spans="1:21" hidden="1" x14ac:dyDescent="0.25">
      <c r="A159" s="75">
        <v>2365</v>
      </c>
      <c r="B159" s="127" t="s">
        <v>175</v>
      </c>
      <c r="C159" s="128">
        <f t="shared" si="8"/>
        <v>0</v>
      </c>
      <c r="D159" s="134"/>
      <c r="E159" s="283"/>
      <c r="F159" s="279">
        <f t="shared" si="9"/>
        <v>0</v>
      </c>
      <c r="G159" s="134"/>
      <c r="H159" s="135"/>
      <c r="I159" s="136">
        <f t="shared" si="10"/>
        <v>0</v>
      </c>
      <c r="J159" s="134"/>
      <c r="K159" s="135"/>
      <c r="L159" s="136">
        <f t="shared" si="11"/>
        <v>0</v>
      </c>
      <c r="M159" s="284"/>
      <c r="N159" s="285"/>
      <c r="O159" s="136">
        <f t="shared" si="12"/>
        <v>0</v>
      </c>
      <c r="P159" s="85"/>
      <c r="R159" s="53"/>
      <c r="S159" s="53"/>
      <c r="T159" s="53"/>
      <c r="U159" s="53"/>
    </row>
    <row r="160" spans="1:21" ht="36" hidden="1" x14ac:dyDescent="0.25">
      <c r="A160" s="75">
        <v>2366</v>
      </c>
      <c r="B160" s="127" t="s">
        <v>176</v>
      </c>
      <c r="C160" s="128">
        <f t="shared" si="8"/>
        <v>0</v>
      </c>
      <c r="D160" s="134"/>
      <c r="E160" s="283"/>
      <c r="F160" s="279">
        <f t="shared" si="9"/>
        <v>0</v>
      </c>
      <c r="G160" s="134"/>
      <c r="H160" s="135"/>
      <c r="I160" s="136">
        <f t="shared" si="10"/>
        <v>0</v>
      </c>
      <c r="J160" s="134"/>
      <c r="K160" s="135"/>
      <c r="L160" s="136">
        <f t="shared" si="11"/>
        <v>0</v>
      </c>
      <c r="M160" s="284"/>
      <c r="N160" s="285"/>
      <c r="O160" s="136">
        <f t="shared" si="12"/>
        <v>0</v>
      </c>
      <c r="P160" s="85"/>
      <c r="R160" s="53"/>
      <c r="S160" s="53"/>
      <c r="T160" s="53"/>
      <c r="U160" s="53"/>
    </row>
    <row r="161" spans="1:21" ht="48" hidden="1" x14ac:dyDescent="0.25">
      <c r="A161" s="75">
        <v>2369</v>
      </c>
      <c r="B161" s="127" t="s">
        <v>177</v>
      </c>
      <c r="C161" s="128">
        <f t="shared" si="8"/>
        <v>0</v>
      </c>
      <c r="D161" s="134"/>
      <c r="E161" s="283"/>
      <c r="F161" s="279">
        <f t="shared" si="9"/>
        <v>0</v>
      </c>
      <c r="G161" s="134"/>
      <c r="H161" s="135"/>
      <c r="I161" s="136">
        <f t="shared" si="10"/>
        <v>0</v>
      </c>
      <c r="J161" s="134"/>
      <c r="K161" s="135"/>
      <c r="L161" s="136">
        <f t="shared" si="11"/>
        <v>0</v>
      </c>
      <c r="M161" s="284"/>
      <c r="N161" s="285"/>
      <c r="O161" s="136">
        <f t="shared" si="12"/>
        <v>0</v>
      </c>
      <c r="P161" s="85"/>
      <c r="R161" s="53"/>
      <c r="S161" s="53"/>
      <c r="T161" s="53"/>
      <c r="U161" s="53"/>
    </row>
    <row r="162" spans="1:21" x14ac:dyDescent="0.25">
      <c r="A162" s="254">
        <v>2370</v>
      </c>
      <c r="B162" s="179" t="s">
        <v>178</v>
      </c>
      <c r="C162" s="128">
        <f t="shared" si="8"/>
        <v>8668</v>
      </c>
      <c r="D162" s="287">
        <v>5513</v>
      </c>
      <c r="E162" s="288"/>
      <c r="F162" s="257">
        <f t="shared" si="9"/>
        <v>5513</v>
      </c>
      <c r="G162" s="287">
        <v>2500</v>
      </c>
      <c r="H162" s="289"/>
      <c r="I162" s="259">
        <f t="shared" si="10"/>
        <v>2500</v>
      </c>
      <c r="J162" s="287"/>
      <c r="K162" s="289"/>
      <c r="L162" s="259">
        <f t="shared" si="11"/>
        <v>0</v>
      </c>
      <c r="M162" s="290">
        <f>500+150+5</f>
        <v>655</v>
      </c>
      <c r="N162" s="291"/>
      <c r="O162" s="259">
        <f t="shared" si="12"/>
        <v>655</v>
      </c>
      <c r="P162" s="189"/>
      <c r="R162" s="53"/>
      <c r="S162" s="53"/>
      <c r="T162" s="53"/>
      <c r="U162" s="53"/>
    </row>
    <row r="163" spans="1:21" hidden="1" x14ac:dyDescent="0.25">
      <c r="A163" s="254">
        <v>2380</v>
      </c>
      <c r="B163" s="179" t="s">
        <v>179</v>
      </c>
      <c r="C163" s="128">
        <f t="shared" si="8"/>
        <v>0</v>
      </c>
      <c r="D163" s="255">
        <f>SUM(D164:D165)</f>
        <v>0</v>
      </c>
      <c r="E163" s="256">
        <f>SUM(E164:E165)</f>
        <v>0</v>
      </c>
      <c r="F163" s="257">
        <f t="shared" si="9"/>
        <v>0</v>
      </c>
      <c r="G163" s="255">
        <f>SUM(G164:G165)</f>
        <v>0</v>
      </c>
      <c r="H163" s="258">
        <f>SUM(H164:H165)</f>
        <v>0</v>
      </c>
      <c r="I163" s="259">
        <f t="shared" si="10"/>
        <v>0</v>
      </c>
      <c r="J163" s="255">
        <f>SUM(J164:J165)</f>
        <v>0</v>
      </c>
      <c r="K163" s="258">
        <f>SUM(K164:K165)</f>
        <v>0</v>
      </c>
      <c r="L163" s="259">
        <f t="shared" si="11"/>
        <v>0</v>
      </c>
      <c r="M163" s="260">
        <f>SUM(M164:M165)</f>
        <v>0</v>
      </c>
      <c r="N163" s="261">
        <f>SUM(N164:N165)</f>
        <v>0</v>
      </c>
      <c r="O163" s="259">
        <f t="shared" si="12"/>
        <v>0</v>
      </c>
      <c r="P163" s="189"/>
      <c r="R163" s="53"/>
      <c r="S163" s="53"/>
      <c r="T163" s="53"/>
      <c r="U163" s="53"/>
    </row>
    <row r="164" spans="1:21" hidden="1" x14ac:dyDescent="0.25">
      <c r="A164" s="65">
        <v>2381</v>
      </c>
      <c r="B164" s="116" t="s">
        <v>180</v>
      </c>
      <c r="C164" s="128">
        <f t="shared" si="8"/>
        <v>0</v>
      </c>
      <c r="D164" s="123"/>
      <c r="E164" s="295"/>
      <c r="F164" s="296">
        <f t="shared" si="9"/>
        <v>0</v>
      </c>
      <c r="G164" s="123"/>
      <c r="H164" s="124"/>
      <c r="I164" s="125">
        <f t="shared" si="10"/>
        <v>0</v>
      </c>
      <c r="J164" s="123"/>
      <c r="K164" s="124"/>
      <c r="L164" s="125">
        <f t="shared" si="11"/>
        <v>0</v>
      </c>
      <c r="M164" s="264"/>
      <c r="N164" s="262"/>
      <c r="O164" s="125">
        <f t="shared" si="12"/>
        <v>0</v>
      </c>
      <c r="P164" s="74"/>
      <c r="R164" s="53"/>
      <c r="S164" s="53"/>
      <c r="T164" s="53"/>
      <c r="U164" s="53"/>
    </row>
    <row r="165" spans="1:21" ht="24" hidden="1" x14ac:dyDescent="0.25">
      <c r="A165" s="75">
        <v>2389</v>
      </c>
      <c r="B165" s="127" t="s">
        <v>181</v>
      </c>
      <c r="C165" s="128">
        <f t="shared" si="8"/>
        <v>0</v>
      </c>
      <c r="D165" s="134"/>
      <c r="E165" s="283"/>
      <c r="F165" s="279">
        <f t="shared" si="9"/>
        <v>0</v>
      </c>
      <c r="G165" s="134"/>
      <c r="H165" s="135"/>
      <c r="I165" s="136">
        <f t="shared" si="10"/>
        <v>0</v>
      </c>
      <c r="J165" s="134"/>
      <c r="K165" s="135"/>
      <c r="L165" s="136">
        <f t="shared" si="11"/>
        <v>0</v>
      </c>
      <c r="M165" s="284"/>
      <c r="N165" s="285"/>
      <c r="O165" s="136">
        <f t="shared" si="12"/>
        <v>0</v>
      </c>
      <c r="P165" s="85"/>
      <c r="R165" s="53"/>
      <c r="S165" s="53"/>
      <c r="T165" s="53"/>
      <c r="U165" s="53"/>
    </row>
    <row r="166" spans="1:21" hidden="1" x14ac:dyDescent="0.25">
      <c r="A166" s="254">
        <v>2390</v>
      </c>
      <c r="B166" s="179" t="s">
        <v>182</v>
      </c>
      <c r="C166" s="128">
        <f t="shared" si="8"/>
        <v>0</v>
      </c>
      <c r="D166" s="287"/>
      <c r="E166" s="288"/>
      <c r="F166" s="257">
        <f t="shared" si="9"/>
        <v>0</v>
      </c>
      <c r="G166" s="287"/>
      <c r="H166" s="289"/>
      <c r="I166" s="259">
        <f t="shared" si="10"/>
        <v>0</v>
      </c>
      <c r="J166" s="287"/>
      <c r="K166" s="289"/>
      <c r="L166" s="259">
        <f t="shared" si="11"/>
        <v>0</v>
      </c>
      <c r="M166" s="290"/>
      <c r="N166" s="291"/>
      <c r="O166" s="259">
        <f t="shared" si="12"/>
        <v>0</v>
      </c>
      <c r="P166" s="189"/>
      <c r="R166" s="53"/>
      <c r="S166" s="53"/>
      <c r="T166" s="53"/>
      <c r="U166" s="53"/>
    </row>
    <row r="167" spans="1:21" hidden="1" x14ac:dyDescent="0.25">
      <c r="A167" s="99">
        <v>2400</v>
      </c>
      <c r="B167" s="247" t="s">
        <v>183</v>
      </c>
      <c r="C167" s="100">
        <f t="shared" si="8"/>
        <v>0</v>
      </c>
      <c r="D167" s="311"/>
      <c r="E167" s="712"/>
      <c r="F167" s="249">
        <f t="shared" si="9"/>
        <v>0</v>
      </c>
      <c r="G167" s="311"/>
      <c r="H167" s="314"/>
      <c r="I167" s="114">
        <f t="shared" si="10"/>
        <v>0</v>
      </c>
      <c r="J167" s="311"/>
      <c r="K167" s="314"/>
      <c r="L167" s="114">
        <f t="shared" si="11"/>
        <v>0</v>
      </c>
      <c r="M167" s="315"/>
      <c r="N167" s="312"/>
      <c r="O167" s="114">
        <f t="shared" si="12"/>
        <v>0</v>
      </c>
      <c r="P167" s="109"/>
      <c r="R167" s="53"/>
      <c r="S167" s="53"/>
      <c r="T167" s="53"/>
      <c r="U167" s="53"/>
    </row>
    <row r="168" spans="1:21" ht="24" hidden="1" x14ac:dyDescent="0.25">
      <c r="A168" s="99">
        <v>2500</v>
      </c>
      <c r="B168" s="247" t="s">
        <v>184</v>
      </c>
      <c r="C168" s="100">
        <f t="shared" si="8"/>
        <v>0</v>
      </c>
      <c r="D168" s="112">
        <f>SUM(D169,D174)</f>
        <v>0</v>
      </c>
      <c r="E168" s="248">
        <f>SUM(E169,E174)</f>
        <v>0</v>
      </c>
      <c r="F168" s="249">
        <f t="shared" si="9"/>
        <v>0</v>
      </c>
      <c r="G168" s="112">
        <f>SUM(G169,G174)</f>
        <v>0</v>
      </c>
      <c r="H168" s="113">
        <f>SUM(H169,H174)</f>
        <v>0</v>
      </c>
      <c r="I168" s="114">
        <f t="shared" si="10"/>
        <v>0</v>
      </c>
      <c r="J168" s="112">
        <f>SUM(J169,J174)</f>
        <v>0</v>
      </c>
      <c r="K168" s="113">
        <f>SUM(K169,K174)</f>
        <v>0</v>
      </c>
      <c r="L168" s="114">
        <f t="shared" si="11"/>
        <v>0</v>
      </c>
      <c r="M168" s="250">
        <f>SUM(M169,M174)</f>
        <v>0</v>
      </c>
      <c r="N168" s="251">
        <f>SUM(N169,N174)</f>
        <v>0</v>
      </c>
      <c r="O168" s="252">
        <f t="shared" si="12"/>
        <v>0</v>
      </c>
      <c r="P168" s="253"/>
      <c r="R168" s="53"/>
      <c r="S168" s="53"/>
      <c r="T168" s="53"/>
      <c r="U168" s="53"/>
    </row>
    <row r="169" spans="1:21" hidden="1" x14ac:dyDescent="0.25">
      <c r="A169" s="656">
        <v>2510</v>
      </c>
      <c r="B169" s="116" t="s">
        <v>185</v>
      </c>
      <c r="C169" s="117">
        <f t="shared" si="8"/>
        <v>0</v>
      </c>
      <c r="D169" s="297">
        <f>SUM(D170:D173)</f>
        <v>0</v>
      </c>
      <c r="E169" s="298">
        <f>SUM(E170:E173)</f>
        <v>0</v>
      </c>
      <c r="F169" s="296">
        <f t="shared" si="9"/>
        <v>0</v>
      </c>
      <c r="G169" s="297">
        <f>SUM(G170:G173)</f>
        <v>0</v>
      </c>
      <c r="H169" s="299">
        <f>SUM(H170:H173)</f>
        <v>0</v>
      </c>
      <c r="I169" s="125">
        <f t="shared" si="10"/>
        <v>0</v>
      </c>
      <c r="J169" s="297">
        <f>SUM(J170:J173)</f>
        <v>0</v>
      </c>
      <c r="K169" s="299">
        <f>SUM(K170:K173)</f>
        <v>0</v>
      </c>
      <c r="L169" s="125">
        <f t="shared" si="11"/>
        <v>0</v>
      </c>
      <c r="M169" s="317">
        <f>SUM(M170:M173)</f>
        <v>0</v>
      </c>
      <c r="N169" s="318">
        <f>SUM(N170:N173)</f>
        <v>0</v>
      </c>
      <c r="O169" s="151">
        <f t="shared" si="12"/>
        <v>0</v>
      </c>
      <c r="P169" s="153"/>
      <c r="R169" s="53"/>
      <c r="S169" s="53"/>
      <c r="T169" s="53"/>
      <c r="U169" s="53"/>
    </row>
    <row r="170" spans="1:21" ht="24" hidden="1" x14ac:dyDescent="0.25">
      <c r="A170" s="76">
        <v>2512</v>
      </c>
      <c r="B170" s="127" t="s">
        <v>186</v>
      </c>
      <c r="C170" s="128">
        <f t="shared" si="8"/>
        <v>0</v>
      </c>
      <c r="D170" s="134"/>
      <c r="E170" s="283"/>
      <c r="F170" s="279">
        <f t="shared" si="9"/>
        <v>0</v>
      </c>
      <c r="G170" s="134"/>
      <c r="H170" s="135"/>
      <c r="I170" s="136">
        <f t="shared" si="10"/>
        <v>0</v>
      </c>
      <c r="J170" s="134"/>
      <c r="K170" s="135"/>
      <c r="L170" s="136">
        <f t="shared" si="11"/>
        <v>0</v>
      </c>
      <c r="M170" s="284"/>
      <c r="N170" s="285"/>
      <c r="O170" s="136">
        <f t="shared" si="12"/>
        <v>0</v>
      </c>
      <c r="P170" s="85"/>
      <c r="R170" s="53"/>
      <c r="S170" s="53"/>
      <c r="T170" s="53"/>
      <c r="U170" s="53"/>
    </row>
    <row r="171" spans="1:21" ht="36" hidden="1" x14ac:dyDescent="0.25">
      <c r="A171" s="76">
        <v>2513</v>
      </c>
      <c r="B171" s="127" t="s">
        <v>187</v>
      </c>
      <c r="C171" s="128">
        <f t="shared" si="8"/>
        <v>0</v>
      </c>
      <c r="D171" s="134"/>
      <c r="E171" s="283"/>
      <c r="F171" s="279">
        <f t="shared" si="9"/>
        <v>0</v>
      </c>
      <c r="G171" s="134"/>
      <c r="H171" s="135"/>
      <c r="I171" s="136">
        <f t="shared" si="10"/>
        <v>0</v>
      </c>
      <c r="J171" s="134"/>
      <c r="K171" s="135"/>
      <c r="L171" s="136">
        <f t="shared" si="11"/>
        <v>0</v>
      </c>
      <c r="M171" s="284"/>
      <c r="N171" s="285"/>
      <c r="O171" s="136">
        <f t="shared" si="12"/>
        <v>0</v>
      </c>
      <c r="P171" s="85"/>
      <c r="R171" s="53"/>
      <c r="S171" s="53"/>
      <c r="T171" s="53"/>
      <c r="U171" s="53"/>
    </row>
    <row r="172" spans="1:21" ht="24" hidden="1" x14ac:dyDescent="0.25">
      <c r="A172" s="76">
        <v>2515</v>
      </c>
      <c r="B172" s="127" t="s">
        <v>188</v>
      </c>
      <c r="C172" s="128">
        <f t="shared" si="8"/>
        <v>0</v>
      </c>
      <c r="D172" s="134"/>
      <c r="E172" s="283"/>
      <c r="F172" s="279">
        <f t="shared" si="9"/>
        <v>0</v>
      </c>
      <c r="G172" s="134"/>
      <c r="H172" s="135"/>
      <c r="I172" s="136">
        <f t="shared" si="10"/>
        <v>0</v>
      </c>
      <c r="J172" s="134"/>
      <c r="K172" s="135"/>
      <c r="L172" s="136">
        <f t="shared" si="11"/>
        <v>0</v>
      </c>
      <c r="M172" s="284"/>
      <c r="N172" s="285"/>
      <c r="O172" s="136">
        <f t="shared" si="12"/>
        <v>0</v>
      </c>
      <c r="P172" s="85"/>
      <c r="R172" s="53"/>
      <c r="S172" s="53"/>
      <c r="T172" s="53"/>
      <c r="U172" s="53"/>
    </row>
    <row r="173" spans="1:21" ht="24" hidden="1" x14ac:dyDescent="0.25">
      <c r="A173" s="76">
        <v>2519</v>
      </c>
      <c r="B173" s="127" t="s">
        <v>189</v>
      </c>
      <c r="C173" s="128">
        <f t="shared" si="8"/>
        <v>0</v>
      </c>
      <c r="D173" s="134"/>
      <c r="E173" s="283"/>
      <c r="F173" s="279">
        <f t="shared" si="9"/>
        <v>0</v>
      </c>
      <c r="G173" s="134"/>
      <c r="H173" s="135"/>
      <c r="I173" s="136">
        <f t="shared" si="10"/>
        <v>0</v>
      </c>
      <c r="J173" s="134"/>
      <c r="K173" s="135"/>
      <c r="L173" s="136">
        <f t="shared" si="11"/>
        <v>0</v>
      </c>
      <c r="M173" s="284"/>
      <c r="N173" s="285"/>
      <c r="O173" s="136">
        <f t="shared" si="12"/>
        <v>0</v>
      </c>
      <c r="P173" s="85"/>
      <c r="R173" s="53"/>
      <c r="S173" s="53"/>
      <c r="T173" s="53"/>
      <c r="U173" s="53"/>
    </row>
    <row r="174" spans="1:21" ht="24" hidden="1" x14ac:dyDescent="0.25">
      <c r="A174" s="276">
        <v>2520</v>
      </c>
      <c r="B174" s="127" t="s">
        <v>190</v>
      </c>
      <c r="C174" s="128">
        <f t="shared" si="8"/>
        <v>0</v>
      </c>
      <c r="D174" s="134"/>
      <c r="E174" s="283"/>
      <c r="F174" s="279">
        <f t="shared" si="9"/>
        <v>0</v>
      </c>
      <c r="G174" s="134"/>
      <c r="H174" s="135"/>
      <c r="I174" s="136">
        <f t="shared" si="10"/>
        <v>0</v>
      </c>
      <c r="J174" s="134"/>
      <c r="K174" s="135"/>
      <c r="L174" s="136">
        <f t="shared" si="11"/>
        <v>0</v>
      </c>
      <c r="M174" s="284"/>
      <c r="N174" s="285"/>
      <c r="O174" s="136">
        <f t="shared" si="12"/>
        <v>0</v>
      </c>
      <c r="P174" s="85"/>
      <c r="R174" s="53"/>
      <c r="S174" s="53"/>
      <c r="T174" s="53"/>
      <c r="U174" s="53"/>
    </row>
    <row r="175" spans="1:21" s="319" customFormat="1" ht="48" hidden="1" x14ac:dyDescent="0.25">
      <c r="A175" s="31">
        <v>2800</v>
      </c>
      <c r="B175" s="116" t="s">
        <v>191</v>
      </c>
      <c r="C175" s="117">
        <f t="shared" si="8"/>
        <v>0</v>
      </c>
      <c r="D175" s="68"/>
      <c r="E175" s="673"/>
      <c r="F175" s="625">
        <f t="shared" si="9"/>
        <v>0</v>
      </c>
      <c r="G175" s="68"/>
      <c r="H175" s="71"/>
      <c r="I175" s="72">
        <f t="shared" si="10"/>
        <v>0</v>
      </c>
      <c r="J175" s="68"/>
      <c r="K175" s="71"/>
      <c r="L175" s="72">
        <f t="shared" si="11"/>
        <v>0</v>
      </c>
      <c r="M175" s="73"/>
      <c r="N175" s="69"/>
      <c r="O175" s="72">
        <f t="shared" si="12"/>
        <v>0</v>
      </c>
      <c r="P175" s="74"/>
      <c r="R175" s="53"/>
      <c r="S175" s="53"/>
      <c r="T175" s="53"/>
      <c r="U175" s="53"/>
    </row>
    <row r="176" spans="1:21" hidden="1" x14ac:dyDescent="0.25">
      <c r="A176" s="237">
        <v>3000</v>
      </c>
      <c r="B176" s="237" t="s">
        <v>192</v>
      </c>
      <c r="C176" s="238">
        <f t="shared" si="8"/>
        <v>0</v>
      </c>
      <c r="D176" s="239">
        <f>SUM(D177,D187)</f>
        <v>0</v>
      </c>
      <c r="E176" s="240">
        <f>SUM(E177,E187)</f>
        <v>0</v>
      </c>
      <c r="F176" s="241">
        <f t="shared" si="9"/>
        <v>0</v>
      </c>
      <c r="G176" s="239">
        <f>SUM(G177,G187)</f>
        <v>0</v>
      </c>
      <c r="H176" s="242">
        <f>SUM(H177,H187)</f>
        <v>0</v>
      </c>
      <c r="I176" s="243">
        <f t="shared" si="10"/>
        <v>0</v>
      </c>
      <c r="J176" s="239">
        <f>SUM(J177,J187)</f>
        <v>0</v>
      </c>
      <c r="K176" s="242">
        <f>SUM(K177,K187)</f>
        <v>0</v>
      </c>
      <c r="L176" s="243">
        <f t="shared" si="11"/>
        <v>0</v>
      </c>
      <c r="M176" s="244">
        <f>SUM(M177,M187)</f>
        <v>0</v>
      </c>
      <c r="N176" s="245">
        <f>SUM(N177,N187)</f>
        <v>0</v>
      </c>
      <c r="O176" s="243">
        <f t="shared" si="12"/>
        <v>0</v>
      </c>
      <c r="P176" s="246"/>
      <c r="R176" s="53"/>
      <c r="S176" s="53"/>
      <c r="T176" s="53"/>
      <c r="U176" s="53"/>
    </row>
    <row r="177" spans="1:21" ht="24" hidden="1" x14ac:dyDescent="0.25">
      <c r="A177" s="99">
        <v>3200</v>
      </c>
      <c r="B177" s="321" t="s">
        <v>193</v>
      </c>
      <c r="C177" s="100">
        <f t="shared" si="8"/>
        <v>0</v>
      </c>
      <c r="D177" s="112">
        <f>SUM(D178,D182)</f>
        <v>0</v>
      </c>
      <c r="E177" s="248">
        <f>SUM(E178,E182)</f>
        <v>0</v>
      </c>
      <c r="F177" s="249">
        <f t="shared" si="9"/>
        <v>0</v>
      </c>
      <c r="G177" s="112">
        <f>SUM(G178,G182)</f>
        <v>0</v>
      </c>
      <c r="H177" s="113">
        <f>SUM(H178,H182)</f>
        <v>0</v>
      </c>
      <c r="I177" s="114">
        <f t="shared" si="10"/>
        <v>0</v>
      </c>
      <c r="J177" s="112">
        <f>SUM(J178,J182)</f>
        <v>0</v>
      </c>
      <c r="K177" s="113">
        <f>SUM(K178,K182)</f>
        <v>0</v>
      </c>
      <c r="L177" s="114">
        <f t="shared" si="11"/>
        <v>0</v>
      </c>
      <c r="M177" s="250">
        <f>SUM(M178,M182)</f>
        <v>0</v>
      </c>
      <c r="N177" s="251">
        <f>SUM(N178,N182)</f>
        <v>0</v>
      </c>
      <c r="O177" s="252">
        <f t="shared" si="12"/>
        <v>0</v>
      </c>
      <c r="P177" s="253"/>
      <c r="R177" s="53"/>
      <c r="S177" s="53"/>
      <c r="T177" s="53"/>
      <c r="U177" s="53"/>
    </row>
    <row r="178" spans="1:21" ht="36" hidden="1" x14ac:dyDescent="0.25">
      <c r="A178" s="656">
        <v>3260</v>
      </c>
      <c r="B178" s="116" t="s">
        <v>194</v>
      </c>
      <c r="C178" s="117">
        <f t="shared" si="8"/>
        <v>0</v>
      </c>
      <c r="D178" s="297">
        <f>SUM(D179:D181)</f>
        <v>0</v>
      </c>
      <c r="E178" s="298">
        <f>SUM(E179:E181)</f>
        <v>0</v>
      </c>
      <c r="F178" s="296">
        <f t="shared" si="9"/>
        <v>0</v>
      </c>
      <c r="G178" s="297">
        <f>SUM(G179:G181)</f>
        <v>0</v>
      </c>
      <c r="H178" s="299">
        <f>SUM(H179:H181)</f>
        <v>0</v>
      </c>
      <c r="I178" s="125">
        <f t="shared" si="10"/>
        <v>0</v>
      </c>
      <c r="J178" s="297">
        <f>SUM(J179:J181)</f>
        <v>0</v>
      </c>
      <c r="K178" s="299">
        <f>SUM(K179:K181)</f>
        <v>0</v>
      </c>
      <c r="L178" s="125">
        <f t="shared" si="11"/>
        <v>0</v>
      </c>
      <c r="M178" s="300">
        <f>SUM(M179:M181)</f>
        <v>0</v>
      </c>
      <c r="N178" s="301">
        <f>SUM(N179:N181)</f>
        <v>0</v>
      </c>
      <c r="O178" s="125">
        <f t="shared" si="12"/>
        <v>0</v>
      </c>
      <c r="P178" s="74"/>
      <c r="R178" s="53"/>
      <c r="S178" s="53"/>
      <c r="T178" s="53"/>
      <c r="U178" s="53"/>
    </row>
    <row r="179" spans="1:21" ht="24" hidden="1" x14ac:dyDescent="0.25">
      <c r="A179" s="76">
        <v>3261</v>
      </c>
      <c r="B179" s="127" t="s">
        <v>195</v>
      </c>
      <c r="C179" s="128">
        <f t="shared" si="8"/>
        <v>0</v>
      </c>
      <c r="D179" s="134"/>
      <c r="E179" s="283"/>
      <c r="F179" s="279">
        <f t="shared" si="9"/>
        <v>0</v>
      </c>
      <c r="G179" s="134"/>
      <c r="H179" s="135"/>
      <c r="I179" s="136">
        <f t="shared" si="10"/>
        <v>0</v>
      </c>
      <c r="J179" s="134"/>
      <c r="K179" s="135"/>
      <c r="L179" s="136">
        <f t="shared" si="11"/>
        <v>0</v>
      </c>
      <c r="M179" s="284"/>
      <c r="N179" s="285"/>
      <c r="O179" s="136">
        <f t="shared" si="12"/>
        <v>0</v>
      </c>
      <c r="P179" s="85"/>
      <c r="R179" s="53"/>
      <c r="S179" s="53"/>
      <c r="T179" s="53"/>
      <c r="U179" s="53"/>
    </row>
    <row r="180" spans="1:21" ht="36" hidden="1" x14ac:dyDescent="0.25">
      <c r="A180" s="76">
        <v>3262</v>
      </c>
      <c r="B180" s="127" t="s">
        <v>196</v>
      </c>
      <c r="C180" s="128">
        <f t="shared" si="8"/>
        <v>0</v>
      </c>
      <c r="D180" s="134"/>
      <c r="E180" s="283"/>
      <c r="F180" s="279">
        <f t="shared" si="9"/>
        <v>0</v>
      </c>
      <c r="G180" s="134"/>
      <c r="H180" s="135"/>
      <c r="I180" s="136">
        <f t="shared" si="10"/>
        <v>0</v>
      </c>
      <c r="J180" s="134"/>
      <c r="K180" s="135"/>
      <c r="L180" s="136">
        <f t="shared" si="11"/>
        <v>0</v>
      </c>
      <c r="M180" s="284"/>
      <c r="N180" s="285"/>
      <c r="O180" s="136">
        <f t="shared" si="12"/>
        <v>0</v>
      </c>
      <c r="P180" s="85"/>
      <c r="R180" s="53"/>
      <c r="S180" s="53"/>
      <c r="T180" s="53"/>
      <c r="U180" s="53"/>
    </row>
    <row r="181" spans="1:21" ht="24" hidden="1" x14ac:dyDescent="0.25">
      <c r="A181" s="76">
        <v>3263</v>
      </c>
      <c r="B181" s="127" t="s">
        <v>197</v>
      </c>
      <c r="C181" s="128">
        <f t="shared" ref="C181:C244" si="13">SUM(F181,I181,L181,O181)</f>
        <v>0</v>
      </c>
      <c r="D181" s="134"/>
      <c r="E181" s="283"/>
      <c r="F181" s="279">
        <f t="shared" ref="F181:F244" si="14">D181+E181</f>
        <v>0</v>
      </c>
      <c r="G181" s="134"/>
      <c r="H181" s="135"/>
      <c r="I181" s="136">
        <f t="shared" ref="I181:I244" si="15">G181+H181</f>
        <v>0</v>
      </c>
      <c r="J181" s="134"/>
      <c r="K181" s="135"/>
      <c r="L181" s="136">
        <f t="shared" ref="L181:L244" si="16">J181+K181</f>
        <v>0</v>
      </c>
      <c r="M181" s="284"/>
      <c r="N181" s="285"/>
      <c r="O181" s="136">
        <f t="shared" ref="O181:O244" si="17">M181+N181</f>
        <v>0</v>
      </c>
      <c r="P181" s="85"/>
      <c r="R181" s="53"/>
      <c r="S181" s="53"/>
      <c r="T181" s="53"/>
      <c r="U181" s="53"/>
    </row>
    <row r="182" spans="1:21" ht="84" hidden="1" x14ac:dyDescent="0.25">
      <c r="A182" s="656">
        <v>3290</v>
      </c>
      <c r="B182" s="116" t="s">
        <v>198</v>
      </c>
      <c r="C182" s="128">
        <f t="shared" si="13"/>
        <v>0</v>
      </c>
      <c r="D182" s="297">
        <f>SUM(D183:D186)</f>
        <v>0</v>
      </c>
      <c r="E182" s="298">
        <f>SUM(E183:E186)</f>
        <v>0</v>
      </c>
      <c r="F182" s="296">
        <f t="shared" si="14"/>
        <v>0</v>
      </c>
      <c r="G182" s="297">
        <f>SUM(G183:G186)</f>
        <v>0</v>
      </c>
      <c r="H182" s="299">
        <f>SUM(H183:H186)</f>
        <v>0</v>
      </c>
      <c r="I182" s="125">
        <f t="shared" si="15"/>
        <v>0</v>
      </c>
      <c r="J182" s="297">
        <f>SUM(J183:J186)</f>
        <v>0</v>
      </c>
      <c r="K182" s="299">
        <f>SUM(K183:K186)</f>
        <v>0</v>
      </c>
      <c r="L182" s="125">
        <f t="shared" si="16"/>
        <v>0</v>
      </c>
      <c r="M182" s="322">
        <f>SUM(M183:M186)</f>
        <v>0</v>
      </c>
      <c r="N182" s="323">
        <f>SUM(N183:N186)</f>
        <v>0</v>
      </c>
      <c r="O182" s="324">
        <f t="shared" si="17"/>
        <v>0</v>
      </c>
      <c r="P182" s="325"/>
      <c r="R182" s="53"/>
      <c r="S182" s="53"/>
      <c r="T182" s="53"/>
      <c r="U182" s="53"/>
    </row>
    <row r="183" spans="1:21" ht="72" hidden="1" x14ac:dyDescent="0.25">
      <c r="A183" s="76">
        <v>3291</v>
      </c>
      <c r="B183" s="127" t="s">
        <v>199</v>
      </c>
      <c r="C183" s="128">
        <f t="shared" si="13"/>
        <v>0</v>
      </c>
      <c r="D183" s="134"/>
      <c r="E183" s="283"/>
      <c r="F183" s="279">
        <f t="shared" si="14"/>
        <v>0</v>
      </c>
      <c r="G183" s="134"/>
      <c r="H183" s="135"/>
      <c r="I183" s="136">
        <f t="shared" si="15"/>
        <v>0</v>
      </c>
      <c r="J183" s="134"/>
      <c r="K183" s="135"/>
      <c r="L183" s="136">
        <f t="shared" si="16"/>
        <v>0</v>
      </c>
      <c r="M183" s="284"/>
      <c r="N183" s="285"/>
      <c r="O183" s="136">
        <f t="shared" si="17"/>
        <v>0</v>
      </c>
      <c r="P183" s="85"/>
      <c r="R183" s="53"/>
      <c r="S183" s="53"/>
      <c r="T183" s="53"/>
      <c r="U183" s="53"/>
    </row>
    <row r="184" spans="1:21" ht="72" hidden="1" x14ac:dyDescent="0.25">
      <c r="A184" s="76">
        <v>3292</v>
      </c>
      <c r="B184" s="127" t="s">
        <v>200</v>
      </c>
      <c r="C184" s="128">
        <f t="shared" si="13"/>
        <v>0</v>
      </c>
      <c r="D184" s="134"/>
      <c r="E184" s="283"/>
      <c r="F184" s="279">
        <f t="shared" si="14"/>
        <v>0</v>
      </c>
      <c r="G184" s="134"/>
      <c r="H184" s="135"/>
      <c r="I184" s="136">
        <f t="shared" si="15"/>
        <v>0</v>
      </c>
      <c r="J184" s="134"/>
      <c r="K184" s="135"/>
      <c r="L184" s="136">
        <f t="shared" si="16"/>
        <v>0</v>
      </c>
      <c r="M184" s="284"/>
      <c r="N184" s="285"/>
      <c r="O184" s="136">
        <f t="shared" si="17"/>
        <v>0</v>
      </c>
      <c r="P184" s="85"/>
      <c r="R184" s="53"/>
      <c r="S184" s="53"/>
      <c r="T184" s="53"/>
      <c r="U184" s="53"/>
    </row>
    <row r="185" spans="1:21" ht="72" hidden="1" x14ac:dyDescent="0.25">
      <c r="A185" s="76">
        <v>3293</v>
      </c>
      <c r="B185" s="127" t="s">
        <v>201</v>
      </c>
      <c r="C185" s="128">
        <f t="shared" si="13"/>
        <v>0</v>
      </c>
      <c r="D185" s="134"/>
      <c r="E185" s="283"/>
      <c r="F185" s="279">
        <f t="shared" si="14"/>
        <v>0</v>
      </c>
      <c r="G185" s="134"/>
      <c r="H185" s="135"/>
      <c r="I185" s="136">
        <f t="shared" si="15"/>
        <v>0</v>
      </c>
      <c r="J185" s="134"/>
      <c r="K185" s="135"/>
      <c r="L185" s="136">
        <f t="shared" si="16"/>
        <v>0</v>
      </c>
      <c r="M185" s="284"/>
      <c r="N185" s="285"/>
      <c r="O185" s="136">
        <f t="shared" si="17"/>
        <v>0</v>
      </c>
      <c r="P185" s="85"/>
      <c r="R185" s="53"/>
      <c r="S185" s="53"/>
      <c r="T185" s="53"/>
      <c r="U185" s="53"/>
    </row>
    <row r="186" spans="1:21" ht="60" hidden="1" x14ac:dyDescent="0.25">
      <c r="A186" s="326">
        <v>3294</v>
      </c>
      <c r="B186" s="127" t="s">
        <v>202</v>
      </c>
      <c r="C186" s="327">
        <f t="shared" si="13"/>
        <v>0</v>
      </c>
      <c r="D186" s="328"/>
      <c r="E186" s="683"/>
      <c r="F186" s="647">
        <f t="shared" si="14"/>
        <v>0</v>
      </c>
      <c r="G186" s="328"/>
      <c r="H186" s="331"/>
      <c r="I186" s="324">
        <f t="shared" si="15"/>
        <v>0</v>
      </c>
      <c r="J186" s="328"/>
      <c r="K186" s="331"/>
      <c r="L186" s="324">
        <f t="shared" si="16"/>
        <v>0</v>
      </c>
      <c r="M186" s="332"/>
      <c r="N186" s="329"/>
      <c r="O186" s="324">
        <f t="shared" si="17"/>
        <v>0</v>
      </c>
      <c r="P186" s="325"/>
      <c r="R186" s="53"/>
      <c r="S186" s="53"/>
      <c r="T186" s="53"/>
      <c r="U186" s="53"/>
    </row>
    <row r="187" spans="1:21" ht="48" hidden="1" x14ac:dyDescent="0.25">
      <c r="A187" s="160">
        <v>3300</v>
      </c>
      <c r="B187" s="321" t="s">
        <v>203</v>
      </c>
      <c r="C187" s="333">
        <f t="shared" si="13"/>
        <v>0</v>
      </c>
      <c r="D187" s="334">
        <f>SUM(D188:D189)</f>
        <v>0</v>
      </c>
      <c r="E187" s="684">
        <f>SUM(E188:E189)</f>
        <v>0</v>
      </c>
      <c r="F187" s="648">
        <f t="shared" si="14"/>
        <v>0</v>
      </c>
      <c r="G187" s="334">
        <f>SUM(G188:G189)</f>
        <v>0</v>
      </c>
      <c r="H187" s="336">
        <f>SUM(H188:H189)</f>
        <v>0</v>
      </c>
      <c r="I187" s="252">
        <f t="shared" si="15"/>
        <v>0</v>
      </c>
      <c r="J187" s="334">
        <f>SUM(J188:J189)</f>
        <v>0</v>
      </c>
      <c r="K187" s="336">
        <f>SUM(K188:K189)</f>
        <v>0</v>
      </c>
      <c r="L187" s="252">
        <f t="shared" si="16"/>
        <v>0</v>
      </c>
      <c r="M187" s="250">
        <f>SUM(M188:M189)</f>
        <v>0</v>
      </c>
      <c r="N187" s="251">
        <f>SUM(N188:N189)</f>
        <v>0</v>
      </c>
      <c r="O187" s="252">
        <f t="shared" si="17"/>
        <v>0</v>
      </c>
      <c r="P187" s="253"/>
      <c r="R187" s="53"/>
      <c r="S187" s="53"/>
      <c r="T187" s="53"/>
      <c r="U187" s="53"/>
    </row>
    <row r="188" spans="1:21" ht="48" hidden="1" x14ac:dyDescent="0.25">
      <c r="A188" s="178">
        <v>3310</v>
      </c>
      <c r="B188" s="179" t="s">
        <v>204</v>
      </c>
      <c r="C188" s="191">
        <f t="shared" si="13"/>
        <v>0</v>
      </c>
      <c r="D188" s="287"/>
      <c r="E188" s="288"/>
      <c r="F188" s="257">
        <f t="shared" si="14"/>
        <v>0</v>
      </c>
      <c r="G188" s="287"/>
      <c r="H188" s="289"/>
      <c r="I188" s="259">
        <f t="shared" si="15"/>
        <v>0</v>
      </c>
      <c r="J188" s="287"/>
      <c r="K188" s="289"/>
      <c r="L188" s="259">
        <f t="shared" si="16"/>
        <v>0</v>
      </c>
      <c r="M188" s="290"/>
      <c r="N188" s="291"/>
      <c r="O188" s="259">
        <f t="shared" si="17"/>
        <v>0</v>
      </c>
      <c r="P188" s="189"/>
      <c r="R188" s="53"/>
      <c r="S188" s="53"/>
      <c r="T188" s="53"/>
      <c r="U188" s="53"/>
    </row>
    <row r="189" spans="1:21" ht="60" hidden="1" x14ac:dyDescent="0.25">
      <c r="A189" s="66">
        <v>3320</v>
      </c>
      <c r="B189" s="116" t="s">
        <v>205</v>
      </c>
      <c r="C189" s="117">
        <f t="shared" si="13"/>
        <v>0</v>
      </c>
      <c r="D189" s="123"/>
      <c r="E189" s="295"/>
      <c r="F189" s="296">
        <f t="shared" si="14"/>
        <v>0</v>
      </c>
      <c r="G189" s="123"/>
      <c r="H189" s="124"/>
      <c r="I189" s="125">
        <f t="shared" si="15"/>
        <v>0</v>
      </c>
      <c r="J189" s="123"/>
      <c r="K189" s="124"/>
      <c r="L189" s="125">
        <f t="shared" si="16"/>
        <v>0</v>
      </c>
      <c r="M189" s="264"/>
      <c r="N189" s="262"/>
      <c r="O189" s="125">
        <f t="shared" si="17"/>
        <v>0</v>
      </c>
      <c r="P189" s="74"/>
      <c r="R189" s="53"/>
      <c r="S189" s="53"/>
      <c r="T189" s="53"/>
      <c r="U189" s="53"/>
    </row>
    <row r="190" spans="1:21" hidden="1" x14ac:dyDescent="0.25">
      <c r="A190" s="337">
        <v>4000</v>
      </c>
      <c r="B190" s="237" t="s">
        <v>206</v>
      </c>
      <c r="C190" s="238">
        <f t="shared" si="13"/>
        <v>0</v>
      </c>
      <c r="D190" s="239">
        <f>SUM(D191,D194)</f>
        <v>0</v>
      </c>
      <c r="E190" s="240">
        <f>SUM(E191,E194)</f>
        <v>0</v>
      </c>
      <c r="F190" s="241">
        <f t="shared" si="14"/>
        <v>0</v>
      </c>
      <c r="G190" s="239">
        <f>SUM(G191,G194)</f>
        <v>0</v>
      </c>
      <c r="H190" s="242">
        <f>SUM(H191,H194)</f>
        <v>0</v>
      </c>
      <c r="I190" s="243">
        <f t="shared" si="15"/>
        <v>0</v>
      </c>
      <c r="J190" s="239">
        <f>SUM(J191,J194)</f>
        <v>0</v>
      </c>
      <c r="K190" s="242">
        <f>SUM(K191,K194)</f>
        <v>0</v>
      </c>
      <c r="L190" s="243">
        <f t="shared" si="16"/>
        <v>0</v>
      </c>
      <c r="M190" s="244">
        <f>SUM(M191,M194)</f>
        <v>0</v>
      </c>
      <c r="N190" s="245">
        <f>SUM(N191,N194)</f>
        <v>0</v>
      </c>
      <c r="O190" s="243">
        <f t="shared" si="17"/>
        <v>0</v>
      </c>
      <c r="P190" s="246"/>
      <c r="R190" s="53"/>
      <c r="S190" s="53"/>
      <c r="T190" s="53"/>
      <c r="U190" s="53"/>
    </row>
    <row r="191" spans="1:21" ht="24" hidden="1" x14ac:dyDescent="0.25">
      <c r="A191" s="338">
        <v>4200</v>
      </c>
      <c r="B191" s="247" t="s">
        <v>207</v>
      </c>
      <c r="C191" s="100">
        <f t="shared" si="13"/>
        <v>0</v>
      </c>
      <c r="D191" s="112">
        <f>SUM(D192,D193)</f>
        <v>0</v>
      </c>
      <c r="E191" s="248">
        <f>SUM(E192,E193)</f>
        <v>0</v>
      </c>
      <c r="F191" s="249">
        <f t="shared" si="14"/>
        <v>0</v>
      </c>
      <c r="G191" s="112">
        <f>SUM(G192,G193)</f>
        <v>0</v>
      </c>
      <c r="H191" s="113">
        <f>SUM(H192,H193)</f>
        <v>0</v>
      </c>
      <c r="I191" s="114">
        <f t="shared" si="15"/>
        <v>0</v>
      </c>
      <c r="J191" s="112">
        <f>SUM(J192,J193)</f>
        <v>0</v>
      </c>
      <c r="K191" s="113">
        <f>SUM(K192,K193)</f>
        <v>0</v>
      </c>
      <c r="L191" s="114">
        <f t="shared" si="16"/>
        <v>0</v>
      </c>
      <c r="M191" s="292">
        <f>SUM(M192,M193)</f>
        <v>0</v>
      </c>
      <c r="N191" s="293">
        <f>SUM(N192,N193)</f>
        <v>0</v>
      </c>
      <c r="O191" s="114">
        <f t="shared" si="17"/>
        <v>0</v>
      </c>
      <c r="P191" s="109"/>
      <c r="R191" s="53"/>
      <c r="S191" s="53"/>
      <c r="T191" s="53"/>
      <c r="U191" s="53"/>
    </row>
    <row r="192" spans="1:21" ht="36" hidden="1" x14ac:dyDescent="0.25">
      <c r="A192" s="656">
        <v>4240</v>
      </c>
      <c r="B192" s="116" t="s">
        <v>208</v>
      </c>
      <c r="C192" s="117">
        <f t="shared" si="13"/>
        <v>0</v>
      </c>
      <c r="D192" s="123"/>
      <c r="E192" s="295"/>
      <c r="F192" s="296">
        <f t="shared" si="14"/>
        <v>0</v>
      </c>
      <c r="G192" s="123"/>
      <c r="H192" s="124"/>
      <c r="I192" s="125">
        <f t="shared" si="15"/>
        <v>0</v>
      </c>
      <c r="J192" s="123"/>
      <c r="K192" s="124"/>
      <c r="L192" s="125">
        <f t="shared" si="16"/>
        <v>0</v>
      </c>
      <c r="M192" s="264"/>
      <c r="N192" s="262"/>
      <c r="O192" s="125">
        <f t="shared" si="17"/>
        <v>0</v>
      </c>
      <c r="P192" s="74"/>
      <c r="R192" s="53"/>
      <c r="S192" s="53"/>
      <c r="T192" s="53"/>
      <c r="U192" s="53"/>
    </row>
    <row r="193" spans="1:21" ht="24" hidden="1" x14ac:dyDescent="0.25">
      <c r="A193" s="276">
        <v>4250</v>
      </c>
      <c r="B193" s="127" t="s">
        <v>209</v>
      </c>
      <c r="C193" s="128">
        <f t="shared" si="13"/>
        <v>0</v>
      </c>
      <c r="D193" s="134"/>
      <c r="E193" s="283"/>
      <c r="F193" s="279">
        <f t="shared" si="14"/>
        <v>0</v>
      </c>
      <c r="G193" s="134"/>
      <c r="H193" s="135"/>
      <c r="I193" s="136">
        <f t="shared" si="15"/>
        <v>0</v>
      </c>
      <c r="J193" s="134"/>
      <c r="K193" s="135"/>
      <c r="L193" s="136">
        <f t="shared" si="16"/>
        <v>0</v>
      </c>
      <c r="M193" s="284"/>
      <c r="N193" s="285"/>
      <c r="O193" s="136">
        <f t="shared" si="17"/>
        <v>0</v>
      </c>
      <c r="P193" s="85"/>
      <c r="R193" s="53"/>
      <c r="S193" s="53"/>
      <c r="T193" s="53"/>
      <c r="U193" s="53"/>
    </row>
    <row r="194" spans="1:21" hidden="1" x14ac:dyDescent="0.25">
      <c r="A194" s="99">
        <v>4300</v>
      </c>
      <c r="B194" s="247" t="s">
        <v>210</v>
      </c>
      <c r="C194" s="100">
        <f t="shared" si="13"/>
        <v>0</v>
      </c>
      <c r="D194" s="112">
        <f>SUM(D195)</f>
        <v>0</v>
      </c>
      <c r="E194" s="248">
        <f>SUM(E195)</f>
        <v>0</v>
      </c>
      <c r="F194" s="249">
        <f t="shared" si="14"/>
        <v>0</v>
      </c>
      <c r="G194" s="112">
        <f>SUM(G195)</f>
        <v>0</v>
      </c>
      <c r="H194" s="113">
        <f>SUM(H195)</f>
        <v>0</v>
      </c>
      <c r="I194" s="114">
        <f t="shared" si="15"/>
        <v>0</v>
      </c>
      <c r="J194" s="112">
        <f>SUM(J195)</f>
        <v>0</v>
      </c>
      <c r="K194" s="113">
        <f>SUM(K195)</f>
        <v>0</v>
      </c>
      <c r="L194" s="114">
        <f t="shared" si="16"/>
        <v>0</v>
      </c>
      <c r="M194" s="292">
        <f>SUM(M195)</f>
        <v>0</v>
      </c>
      <c r="N194" s="293">
        <f>SUM(N195)</f>
        <v>0</v>
      </c>
      <c r="O194" s="114">
        <f t="shared" si="17"/>
        <v>0</v>
      </c>
      <c r="P194" s="109"/>
      <c r="R194" s="53"/>
      <c r="S194" s="53"/>
      <c r="T194" s="53"/>
      <c r="U194" s="53"/>
    </row>
    <row r="195" spans="1:21" ht="24" hidden="1" x14ac:dyDescent="0.25">
      <c r="A195" s="656">
        <v>4310</v>
      </c>
      <c r="B195" s="116" t="s">
        <v>211</v>
      </c>
      <c r="C195" s="117">
        <f t="shared" si="13"/>
        <v>0</v>
      </c>
      <c r="D195" s="297">
        <f>SUM(D196:D196)</f>
        <v>0</v>
      </c>
      <c r="E195" s="298">
        <f>SUM(E196:E196)</f>
        <v>0</v>
      </c>
      <c r="F195" s="296">
        <f t="shared" si="14"/>
        <v>0</v>
      </c>
      <c r="G195" s="297">
        <f>SUM(G196:G196)</f>
        <v>0</v>
      </c>
      <c r="H195" s="299">
        <f>SUM(H196:H196)</f>
        <v>0</v>
      </c>
      <c r="I195" s="125">
        <f t="shared" si="15"/>
        <v>0</v>
      </c>
      <c r="J195" s="297">
        <f>SUM(J196:J196)</f>
        <v>0</v>
      </c>
      <c r="K195" s="299">
        <f>SUM(K196:K196)</f>
        <v>0</v>
      </c>
      <c r="L195" s="125">
        <f t="shared" si="16"/>
        <v>0</v>
      </c>
      <c r="M195" s="300">
        <f>SUM(M196:M196)</f>
        <v>0</v>
      </c>
      <c r="N195" s="301">
        <f>SUM(N196:N196)</f>
        <v>0</v>
      </c>
      <c r="O195" s="125">
        <f t="shared" si="17"/>
        <v>0</v>
      </c>
      <c r="P195" s="74"/>
      <c r="R195" s="53"/>
      <c r="S195" s="53"/>
      <c r="T195" s="53"/>
      <c r="U195" s="53"/>
    </row>
    <row r="196" spans="1:21" ht="36" hidden="1" x14ac:dyDescent="0.25">
      <c r="A196" s="76">
        <v>4311</v>
      </c>
      <c r="B196" s="127" t="s">
        <v>212</v>
      </c>
      <c r="C196" s="128">
        <f t="shared" si="13"/>
        <v>0</v>
      </c>
      <c r="D196" s="134"/>
      <c r="E196" s="283"/>
      <c r="F196" s="279">
        <f t="shared" si="14"/>
        <v>0</v>
      </c>
      <c r="G196" s="134"/>
      <c r="H196" s="135"/>
      <c r="I196" s="136">
        <f t="shared" si="15"/>
        <v>0</v>
      </c>
      <c r="J196" s="134"/>
      <c r="K196" s="135"/>
      <c r="L196" s="136">
        <f t="shared" si="16"/>
        <v>0</v>
      </c>
      <c r="M196" s="284"/>
      <c r="N196" s="285"/>
      <c r="O196" s="136">
        <f t="shared" si="17"/>
        <v>0</v>
      </c>
      <c r="P196" s="85"/>
      <c r="R196" s="53"/>
      <c r="S196" s="53"/>
      <c r="T196" s="53"/>
      <c r="U196" s="53"/>
    </row>
    <row r="197" spans="1:21" s="41" customFormat="1" ht="24" x14ac:dyDescent="0.25">
      <c r="A197" s="339"/>
      <c r="B197" s="31" t="s">
        <v>213</v>
      </c>
      <c r="C197" s="229">
        <f t="shared" si="13"/>
        <v>21764</v>
      </c>
      <c r="D197" s="230">
        <f>SUM(D198,D233,D271)</f>
        <v>18700</v>
      </c>
      <c r="E197" s="231">
        <f>SUM(E198,E233,E271)</f>
        <v>0</v>
      </c>
      <c r="F197" s="232">
        <f t="shared" si="14"/>
        <v>18700</v>
      </c>
      <c r="G197" s="230">
        <f>SUM(G198,G233,G271)</f>
        <v>3064</v>
      </c>
      <c r="H197" s="233">
        <f>SUM(H198,H233,H271)</f>
        <v>0</v>
      </c>
      <c r="I197" s="234">
        <f t="shared" si="15"/>
        <v>3064</v>
      </c>
      <c r="J197" s="230">
        <f>SUM(J198,J233,J271)</f>
        <v>0</v>
      </c>
      <c r="K197" s="233">
        <f>SUM(K198,K233,K271)</f>
        <v>0</v>
      </c>
      <c r="L197" s="234">
        <f t="shared" si="16"/>
        <v>0</v>
      </c>
      <c r="M197" s="340">
        <f>SUM(M198,M233,M271)</f>
        <v>0</v>
      </c>
      <c r="N197" s="341">
        <f>SUM(N198,N233,N271)</f>
        <v>0</v>
      </c>
      <c r="O197" s="342">
        <f t="shared" si="17"/>
        <v>0</v>
      </c>
      <c r="P197" s="343"/>
      <c r="R197" s="53"/>
      <c r="S197" s="53"/>
      <c r="T197" s="53"/>
      <c r="U197" s="53"/>
    </row>
    <row r="198" spans="1:21" x14ac:dyDescent="0.25">
      <c r="A198" s="237">
        <v>5000</v>
      </c>
      <c r="B198" s="237" t="s">
        <v>214</v>
      </c>
      <c r="C198" s="238">
        <f t="shared" si="13"/>
        <v>21764</v>
      </c>
      <c r="D198" s="239">
        <f>D199+D207</f>
        <v>18700</v>
      </c>
      <c r="E198" s="240">
        <f>E199+E207</f>
        <v>0</v>
      </c>
      <c r="F198" s="241">
        <f t="shared" si="14"/>
        <v>18700</v>
      </c>
      <c r="G198" s="239">
        <f>G199+G207</f>
        <v>3064</v>
      </c>
      <c r="H198" s="242">
        <f>H199+H207</f>
        <v>0</v>
      </c>
      <c r="I198" s="243">
        <f t="shared" si="15"/>
        <v>3064</v>
      </c>
      <c r="J198" s="239">
        <f>J199+J207</f>
        <v>0</v>
      </c>
      <c r="K198" s="242">
        <f>K199+K207</f>
        <v>0</v>
      </c>
      <c r="L198" s="243">
        <f t="shared" si="16"/>
        <v>0</v>
      </c>
      <c r="M198" s="244">
        <f>M199+M207</f>
        <v>0</v>
      </c>
      <c r="N198" s="245">
        <f>N199+N207</f>
        <v>0</v>
      </c>
      <c r="O198" s="243">
        <f t="shared" si="17"/>
        <v>0</v>
      </c>
      <c r="P198" s="246"/>
      <c r="R198" s="53"/>
      <c r="S198" s="53"/>
      <c r="T198" s="53"/>
      <c r="U198" s="53"/>
    </row>
    <row r="199" spans="1:21" x14ac:dyDescent="0.25">
      <c r="A199" s="99">
        <v>5100</v>
      </c>
      <c r="B199" s="247" t="s">
        <v>215</v>
      </c>
      <c r="C199" s="100">
        <f t="shared" si="13"/>
        <v>1375</v>
      </c>
      <c r="D199" s="112">
        <f>D200+D201+D204+D205+D206</f>
        <v>1375</v>
      </c>
      <c r="E199" s="248">
        <f>E200+E201+E204+E205+E206</f>
        <v>0</v>
      </c>
      <c r="F199" s="249">
        <f t="shared" si="14"/>
        <v>1375</v>
      </c>
      <c r="G199" s="112">
        <f>G200+G201+G204+G205+G206</f>
        <v>0</v>
      </c>
      <c r="H199" s="113">
        <f>H200+H201+H204+H205+H206</f>
        <v>0</v>
      </c>
      <c r="I199" s="114">
        <f t="shared" si="15"/>
        <v>0</v>
      </c>
      <c r="J199" s="112">
        <f>J200+J201+J204+J205+J206</f>
        <v>0</v>
      </c>
      <c r="K199" s="113">
        <f>K200+K201+K204+K205+K206</f>
        <v>0</v>
      </c>
      <c r="L199" s="114">
        <f t="shared" si="16"/>
        <v>0</v>
      </c>
      <c r="M199" s="292">
        <f>M200+M201+M204+M205+M206</f>
        <v>0</v>
      </c>
      <c r="N199" s="293">
        <f>N200+N201+N204+N205+N206</f>
        <v>0</v>
      </c>
      <c r="O199" s="114">
        <f t="shared" si="17"/>
        <v>0</v>
      </c>
      <c r="P199" s="109"/>
      <c r="R199" s="53"/>
      <c r="S199" s="53"/>
      <c r="T199" s="53"/>
      <c r="U199" s="53"/>
    </row>
    <row r="200" spans="1:21" hidden="1" x14ac:dyDescent="0.25">
      <c r="A200" s="656">
        <v>5110</v>
      </c>
      <c r="B200" s="116" t="s">
        <v>216</v>
      </c>
      <c r="C200" s="117">
        <f t="shared" si="13"/>
        <v>0</v>
      </c>
      <c r="D200" s="123"/>
      <c r="E200" s="295"/>
      <c r="F200" s="296">
        <f t="shared" si="14"/>
        <v>0</v>
      </c>
      <c r="G200" s="123"/>
      <c r="H200" s="124"/>
      <c r="I200" s="125">
        <f t="shared" si="15"/>
        <v>0</v>
      </c>
      <c r="J200" s="123"/>
      <c r="K200" s="124"/>
      <c r="L200" s="125">
        <f t="shared" si="16"/>
        <v>0</v>
      </c>
      <c r="M200" s="264"/>
      <c r="N200" s="262"/>
      <c r="O200" s="125">
        <f t="shared" si="17"/>
        <v>0</v>
      </c>
      <c r="P200" s="74"/>
      <c r="R200" s="53"/>
      <c r="S200" s="53"/>
      <c r="T200" s="53"/>
      <c r="U200" s="53"/>
    </row>
    <row r="201" spans="1:21" ht="24" x14ac:dyDescent="0.25">
      <c r="A201" s="276">
        <v>5120</v>
      </c>
      <c r="B201" s="127" t="s">
        <v>217</v>
      </c>
      <c r="C201" s="128">
        <f t="shared" si="13"/>
        <v>1375</v>
      </c>
      <c r="D201" s="277">
        <f>D202+D203</f>
        <v>1375</v>
      </c>
      <c r="E201" s="278">
        <f>E202+E203</f>
        <v>0</v>
      </c>
      <c r="F201" s="279">
        <f t="shared" si="14"/>
        <v>1375</v>
      </c>
      <c r="G201" s="277">
        <f>G202+G203</f>
        <v>0</v>
      </c>
      <c r="H201" s="280">
        <f>H202+H203</f>
        <v>0</v>
      </c>
      <c r="I201" s="136">
        <f t="shared" si="15"/>
        <v>0</v>
      </c>
      <c r="J201" s="277">
        <f>J202+J203</f>
        <v>0</v>
      </c>
      <c r="K201" s="280">
        <f>K202+K203</f>
        <v>0</v>
      </c>
      <c r="L201" s="136">
        <f t="shared" si="16"/>
        <v>0</v>
      </c>
      <c r="M201" s="281">
        <f>M202+M203</f>
        <v>0</v>
      </c>
      <c r="N201" s="282">
        <f>N202+N203</f>
        <v>0</v>
      </c>
      <c r="O201" s="136">
        <f t="shared" si="17"/>
        <v>0</v>
      </c>
      <c r="P201" s="85"/>
      <c r="R201" s="53"/>
      <c r="S201" s="53"/>
      <c r="T201" s="53"/>
      <c r="U201" s="53"/>
    </row>
    <row r="202" spans="1:21" x14ac:dyDescent="0.25">
      <c r="A202" s="76">
        <v>5121</v>
      </c>
      <c r="B202" s="127" t="s">
        <v>218</v>
      </c>
      <c r="C202" s="128">
        <f t="shared" si="13"/>
        <v>1375</v>
      </c>
      <c r="D202" s="134">
        <f>595+610+170</f>
        <v>1375</v>
      </c>
      <c r="E202" s="283"/>
      <c r="F202" s="279">
        <f t="shared" si="14"/>
        <v>1375</v>
      </c>
      <c r="G202" s="134"/>
      <c r="H202" s="135"/>
      <c r="I202" s="136">
        <f t="shared" si="15"/>
        <v>0</v>
      </c>
      <c r="J202" s="134"/>
      <c r="K202" s="135"/>
      <c r="L202" s="136">
        <f t="shared" si="16"/>
        <v>0</v>
      </c>
      <c r="M202" s="284"/>
      <c r="N202" s="285"/>
      <c r="O202" s="136">
        <f t="shared" si="17"/>
        <v>0</v>
      </c>
      <c r="P202" s="85"/>
      <c r="R202" s="53"/>
      <c r="S202" s="53"/>
      <c r="T202" s="53"/>
      <c r="U202" s="53"/>
    </row>
    <row r="203" spans="1:21" ht="24" hidden="1" x14ac:dyDescent="0.25">
      <c r="A203" s="76">
        <v>5129</v>
      </c>
      <c r="B203" s="127" t="s">
        <v>219</v>
      </c>
      <c r="C203" s="128">
        <f t="shared" si="13"/>
        <v>0</v>
      </c>
      <c r="D203" s="134"/>
      <c r="E203" s="283"/>
      <c r="F203" s="279">
        <f t="shared" si="14"/>
        <v>0</v>
      </c>
      <c r="G203" s="134"/>
      <c r="H203" s="135"/>
      <c r="I203" s="136">
        <f t="shared" si="15"/>
        <v>0</v>
      </c>
      <c r="J203" s="134"/>
      <c r="K203" s="135"/>
      <c r="L203" s="136">
        <f t="shared" si="16"/>
        <v>0</v>
      </c>
      <c r="M203" s="284"/>
      <c r="N203" s="285"/>
      <c r="O203" s="136">
        <f t="shared" si="17"/>
        <v>0</v>
      </c>
      <c r="P203" s="85"/>
      <c r="R203" s="53"/>
      <c r="S203" s="53"/>
      <c r="T203" s="53"/>
      <c r="U203" s="53"/>
    </row>
    <row r="204" spans="1:21" hidden="1" x14ac:dyDescent="0.25">
      <c r="A204" s="276">
        <v>5130</v>
      </c>
      <c r="B204" s="127" t="s">
        <v>220</v>
      </c>
      <c r="C204" s="128">
        <f t="shared" si="13"/>
        <v>0</v>
      </c>
      <c r="D204" s="134"/>
      <c r="E204" s="283"/>
      <c r="F204" s="279">
        <f t="shared" si="14"/>
        <v>0</v>
      </c>
      <c r="G204" s="134"/>
      <c r="H204" s="135"/>
      <c r="I204" s="136">
        <f t="shared" si="15"/>
        <v>0</v>
      </c>
      <c r="J204" s="134"/>
      <c r="K204" s="135"/>
      <c r="L204" s="136">
        <f t="shared" si="16"/>
        <v>0</v>
      </c>
      <c r="M204" s="284"/>
      <c r="N204" s="285"/>
      <c r="O204" s="136">
        <f t="shared" si="17"/>
        <v>0</v>
      </c>
      <c r="P204" s="85"/>
      <c r="R204" s="53"/>
      <c r="S204" s="53"/>
      <c r="T204" s="53"/>
      <c r="U204" s="53"/>
    </row>
    <row r="205" spans="1:21" hidden="1" x14ac:dyDescent="0.25">
      <c r="A205" s="276">
        <v>5140</v>
      </c>
      <c r="B205" s="127" t="s">
        <v>221</v>
      </c>
      <c r="C205" s="128">
        <f t="shared" si="13"/>
        <v>0</v>
      </c>
      <c r="D205" s="134"/>
      <c r="E205" s="283"/>
      <c r="F205" s="279">
        <f t="shared" si="14"/>
        <v>0</v>
      </c>
      <c r="G205" s="134"/>
      <c r="H205" s="135"/>
      <c r="I205" s="136">
        <f t="shared" si="15"/>
        <v>0</v>
      </c>
      <c r="J205" s="134"/>
      <c r="K205" s="135"/>
      <c r="L205" s="136">
        <f t="shared" si="16"/>
        <v>0</v>
      </c>
      <c r="M205" s="284"/>
      <c r="N205" s="285"/>
      <c r="O205" s="136">
        <f t="shared" si="17"/>
        <v>0</v>
      </c>
      <c r="P205" s="85"/>
      <c r="R205" s="53"/>
      <c r="S205" s="53"/>
      <c r="T205" s="53"/>
      <c r="U205" s="53"/>
    </row>
    <row r="206" spans="1:21" ht="24" hidden="1" x14ac:dyDescent="0.25">
      <c r="A206" s="276">
        <v>5170</v>
      </c>
      <c r="B206" s="127" t="s">
        <v>222</v>
      </c>
      <c r="C206" s="128">
        <f t="shared" si="13"/>
        <v>0</v>
      </c>
      <c r="D206" s="134"/>
      <c r="E206" s="283"/>
      <c r="F206" s="279">
        <f t="shared" si="14"/>
        <v>0</v>
      </c>
      <c r="G206" s="134"/>
      <c r="H206" s="135"/>
      <c r="I206" s="136">
        <f t="shared" si="15"/>
        <v>0</v>
      </c>
      <c r="J206" s="134"/>
      <c r="K206" s="135"/>
      <c r="L206" s="136">
        <f t="shared" si="16"/>
        <v>0</v>
      </c>
      <c r="M206" s="284"/>
      <c r="N206" s="285"/>
      <c r="O206" s="136">
        <f t="shared" si="17"/>
        <v>0</v>
      </c>
      <c r="P206" s="85"/>
      <c r="R206" s="53"/>
      <c r="S206" s="53"/>
      <c r="T206" s="53"/>
      <c r="U206" s="53"/>
    </row>
    <row r="207" spans="1:21" x14ac:dyDescent="0.25">
      <c r="A207" s="99">
        <v>5200</v>
      </c>
      <c r="B207" s="247" t="s">
        <v>223</v>
      </c>
      <c r="C207" s="100">
        <f t="shared" si="13"/>
        <v>20389</v>
      </c>
      <c r="D207" s="112">
        <f>D208+D218+D219+D228+D229+D230+D232</f>
        <v>17325</v>
      </c>
      <c r="E207" s="248">
        <f>E208+E218+E219+E228+E229+E230+E232</f>
        <v>0</v>
      </c>
      <c r="F207" s="249">
        <f t="shared" si="14"/>
        <v>17325</v>
      </c>
      <c r="G207" s="112">
        <f>G208+G218+G219+G228+G229+G230+G232</f>
        <v>3064</v>
      </c>
      <c r="H207" s="113">
        <f>H208+H218+H219+H228+H229+H230+H232</f>
        <v>0</v>
      </c>
      <c r="I207" s="114">
        <f t="shared" si="15"/>
        <v>3064</v>
      </c>
      <c r="J207" s="112">
        <f>J208+J218+J219+J228+J229+J230+J232</f>
        <v>0</v>
      </c>
      <c r="K207" s="113">
        <f>K208+K218+K219+K228+K229+K230+K232</f>
        <v>0</v>
      </c>
      <c r="L207" s="114">
        <f t="shared" si="16"/>
        <v>0</v>
      </c>
      <c r="M207" s="292">
        <f>M208+M218+M219+M228+M229+M230+M232</f>
        <v>0</v>
      </c>
      <c r="N207" s="293">
        <f>N208+N218+N219+N228+N229+N230+N232</f>
        <v>0</v>
      </c>
      <c r="O207" s="114">
        <f t="shared" si="17"/>
        <v>0</v>
      </c>
      <c r="P207" s="109"/>
      <c r="R207" s="53"/>
      <c r="S207" s="53"/>
      <c r="T207" s="53"/>
      <c r="U207" s="53"/>
    </row>
    <row r="208" spans="1:21" hidden="1" x14ac:dyDescent="0.25">
      <c r="A208" s="254">
        <v>5210</v>
      </c>
      <c r="B208" s="179" t="s">
        <v>224</v>
      </c>
      <c r="C208" s="191">
        <f t="shared" si="13"/>
        <v>0</v>
      </c>
      <c r="D208" s="255">
        <f>SUM(D209:D217)</f>
        <v>0</v>
      </c>
      <c r="E208" s="256">
        <f>SUM(E209:E217)</f>
        <v>0</v>
      </c>
      <c r="F208" s="257">
        <f t="shared" si="14"/>
        <v>0</v>
      </c>
      <c r="G208" s="255">
        <f>SUM(G209:G217)</f>
        <v>0</v>
      </c>
      <c r="H208" s="258">
        <f>SUM(H209:H217)</f>
        <v>0</v>
      </c>
      <c r="I208" s="259">
        <f t="shared" si="15"/>
        <v>0</v>
      </c>
      <c r="J208" s="255">
        <f>SUM(J209:J217)</f>
        <v>0</v>
      </c>
      <c r="K208" s="258">
        <f>SUM(K209:K217)</f>
        <v>0</v>
      </c>
      <c r="L208" s="259">
        <f t="shared" si="16"/>
        <v>0</v>
      </c>
      <c r="M208" s="260">
        <f>SUM(M209:M217)</f>
        <v>0</v>
      </c>
      <c r="N208" s="261">
        <f>SUM(N209:N217)</f>
        <v>0</v>
      </c>
      <c r="O208" s="259">
        <f t="shared" si="17"/>
        <v>0</v>
      </c>
      <c r="P208" s="189"/>
      <c r="R208" s="53"/>
      <c r="S208" s="53"/>
      <c r="T208" s="53"/>
      <c r="U208" s="53"/>
    </row>
    <row r="209" spans="1:21" hidden="1" x14ac:dyDescent="0.25">
      <c r="A209" s="66">
        <v>5211</v>
      </c>
      <c r="B209" s="116" t="s">
        <v>225</v>
      </c>
      <c r="C209" s="279">
        <f t="shared" si="13"/>
        <v>0</v>
      </c>
      <c r="D209" s="123"/>
      <c r="E209" s="295"/>
      <c r="F209" s="296">
        <f t="shared" si="14"/>
        <v>0</v>
      </c>
      <c r="G209" s="123"/>
      <c r="H209" s="124"/>
      <c r="I209" s="125">
        <f t="shared" si="15"/>
        <v>0</v>
      </c>
      <c r="J209" s="123"/>
      <c r="K209" s="124"/>
      <c r="L209" s="125">
        <f t="shared" si="16"/>
        <v>0</v>
      </c>
      <c r="M209" s="264"/>
      <c r="N209" s="262"/>
      <c r="O209" s="125">
        <f t="shared" si="17"/>
        <v>0</v>
      </c>
      <c r="P209" s="74"/>
      <c r="R209" s="53"/>
      <c r="S209" s="53"/>
      <c r="T209" s="53"/>
      <c r="U209" s="53"/>
    </row>
    <row r="210" spans="1:21" hidden="1" x14ac:dyDescent="0.25">
      <c r="A210" s="76">
        <v>5212</v>
      </c>
      <c r="B210" s="127" t="s">
        <v>226</v>
      </c>
      <c r="C210" s="279">
        <f t="shared" si="13"/>
        <v>0</v>
      </c>
      <c r="D210" s="134"/>
      <c r="E210" s="283"/>
      <c r="F210" s="279">
        <f t="shared" si="14"/>
        <v>0</v>
      </c>
      <c r="G210" s="134"/>
      <c r="H210" s="135"/>
      <c r="I210" s="136">
        <f t="shared" si="15"/>
        <v>0</v>
      </c>
      <c r="J210" s="134"/>
      <c r="K210" s="135"/>
      <c r="L210" s="136">
        <f t="shared" si="16"/>
        <v>0</v>
      </c>
      <c r="M210" s="284"/>
      <c r="N210" s="285"/>
      <c r="O210" s="136">
        <f t="shared" si="17"/>
        <v>0</v>
      </c>
      <c r="P210" s="85"/>
      <c r="R210" s="53"/>
      <c r="S210" s="53"/>
      <c r="T210" s="53"/>
      <c r="U210" s="53"/>
    </row>
    <row r="211" spans="1:21" hidden="1" x14ac:dyDescent="0.25">
      <c r="A211" s="76">
        <v>5213</v>
      </c>
      <c r="B211" s="127" t="s">
        <v>227</v>
      </c>
      <c r="C211" s="279">
        <f t="shared" si="13"/>
        <v>0</v>
      </c>
      <c r="D211" s="134"/>
      <c r="E211" s="283"/>
      <c r="F211" s="279">
        <f t="shared" si="14"/>
        <v>0</v>
      </c>
      <c r="G211" s="134"/>
      <c r="H211" s="135"/>
      <c r="I211" s="136">
        <f t="shared" si="15"/>
        <v>0</v>
      </c>
      <c r="J211" s="134"/>
      <c r="K211" s="135"/>
      <c r="L211" s="136">
        <f t="shared" si="16"/>
        <v>0</v>
      </c>
      <c r="M211" s="284"/>
      <c r="N211" s="285"/>
      <c r="O211" s="136">
        <f t="shared" si="17"/>
        <v>0</v>
      </c>
      <c r="P211" s="85"/>
      <c r="R211" s="53"/>
      <c r="S211" s="53"/>
      <c r="T211" s="53"/>
      <c r="U211" s="53"/>
    </row>
    <row r="212" spans="1:21" hidden="1" x14ac:dyDescent="0.25">
      <c r="A212" s="76">
        <v>5214</v>
      </c>
      <c r="B212" s="127" t="s">
        <v>228</v>
      </c>
      <c r="C212" s="279">
        <f t="shared" si="13"/>
        <v>0</v>
      </c>
      <c r="D212" s="134"/>
      <c r="E212" s="283"/>
      <c r="F212" s="279">
        <f t="shared" si="14"/>
        <v>0</v>
      </c>
      <c r="G212" s="134"/>
      <c r="H212" s="135"/>
      <c r="I212" s="136">
        <f t="shared" si="15"/>
        <v>0</v>
      </c>
      <c r="J212" s="134"/>
      <c r="K212" s="135"/>
      <c r="L212" s="136">
        <f t="shared" si="16"/>
        <v>0</v>
      </c>
      <c r="M212" s="284"/>
      <c r="N212" s="285"/>
      <c r="O212" s="136">
        <f t="shared" si="17"/>
        <v>0</v>
      </c>
      <c r="P212" s="85"/>
      <c r="R212" s="53"/>
      <c r="S212" s="53"/>
      <c r="T212" s="53"/>
      <c r="U212" s="53"/>
    </row>
    <row r="213" spans="1:21" hidden="1" x14ac:dyDescent="0.25">
      <c r="A213" s="76">
        <v>5215</v>
      </c>
      <c r="B213" s="127" t="s">
        <v>229</v>
      </c>
      <c r="C213" s="279">
        <f t="shared" si="13"/>
        <v>0</v>
      </c>
      <c r="D213" s="134"/>
      <c r="E213" s="283"/>
      <c r="F213" s="279">
        <f t="shared" si="14"/>
        <v>0</v>
      </c>
      <c r="G213" s="134"/>
      <c r="H213" s="135"/>
      <c r="I213" s="136">
        <f t="shared" si="15"/>
        <v>0</v>
      </c>
      <c r="J213" s="134"/>
      <c r="K213" s="135"/>
      <c r="L213" s="136">
        <f t="shared" si="16"/>
        <v>0</v>
      </c>
      <c r="M213" s="284"/>
      <c r="N213" s="285"/>
      <c r="O213" s="136">
        <f t="shared" si="17"/>
        <v>0</v>
      </c>
      <c r="P213" s="85"/>
      <c r="R213" s="53"/>
      <c r="S213" s="53"/>
      <c r="T213" s="53"/>
      <c r="U213" s="53"/>
    </row>
    <row r="214" spans="1:21" ht="24" hidden="1" x14ac:dyDescent="0.25">
      <c r="A214" s="76">
        <v>5216</v>
      </c>
      <c r="B214" s="127" t="s">
        <v>230</v>
      </c>
      <c r="C214" s="279">
        <f t="shared" si="13"/>
        <v>0</v>
      </c>
      <c r="D214" s="134"/>
      <c r="E214" s="283"/>
      <c r="F214" s="279">
        <f t="shared" si="14"/>
        <v>0</v>
      </c>
      <c r="G214" s="134"/>
      <c r="H214" s="135"/>
      <c r="I214" s="136">
        <f t="shared" si="15"/>
        <v>0</v>
      </c>
      <c r="J214" s="134"/>
      <c r="K214" s="135"/>
      <c r="L214" s="136">
        <f t="shared" si="16"/>
        <v>0</v>
      </c>
      <c r="M214" s="284"/>
      <c r="N214" s="285"/>
      <c r="O214" s="136">
        <f t="shared" si="17"/>
        <v>0</v>
      </c>
      <c r="P214" s="85"/>
      <c r="R214" s="53"/>
      <c r="S214" s="53"/>
      <c r="T214" s="53"/>
      <c r="U214" s="53"/>
    </row>
    <row r="215" spans="1:21" hidden="1" x14ac:dyDescent="0.25">
      <c r="A215" s="76">
        <v>5217</v>
      </c>
      <c r="B215" s="127" t="s">
        <v>231</v>
      </c>
      <c r="C215" s="279">
        <f t="shared" si="13"/>
        <v>0</v>
      </c>
      <c r="D215" s="134"/>
      <c r="E215" s="283"/>
      <c r="F215" s="279">
        <f t="shared" si="14"/>
        <v>0</v>
      </c>
      <c r="G215" s="134"/>
      <c r="H215" s="135"/>
      <c r="I215" s="136">
        <f t="shared" si="15"/>
        <v>0</v>
      </c>
      <c r="J215" s="134"/>
      <c r="K215" s="135"/>
      <c r="L215" s="136">
        <f t="shared" si="16"/>
        <v>0</v>
      </c>
      <c r="M215" s="284"/>
      <c r="N215" s="285"/>
      <c r="O215" s="136">
        <f t="shared" si="17"/>
        <v>0</v>
      </c>
      <c r="P215" s="85"/>
      <c r="R215" s="53"/>
      <c r="S215" s="53"/>
      <c r="T215" s="53"/>
      <c r="U215" s="53"/>
    </row>
    <row r="216" spans="1:21" hidden="1" x14ac:dyDescent="0.25">
      <c r="A216" s="76">
        <v>5218</v>
      </c>
      <c r="B216" s="127" t="s">
        <v>232</v>
      </c>
      <c r="C216" s="279">
        <f t="shared" si="13"/>
        <v>0</v>
      </c>
      <c r="D216" s="134"/>
      <c r="E216" s="283"/>
      <c r="F216" s="279">
        <f t="shared" si="14"/>
        <v>0</v>
      </c>
      <c r="G216" s="134"/>
      <c r="H216" s="135"/>
      <c r="I216" s="136">
        <f t="shared" si="15"/>
        <v>0</v>
      </c>
      <c r="J216" s="134"/>
      <c r="K216" s="135"/>
      <c r="L216" s="136">
        <f t="shared" si="16"/>
        <v>0</v>
      </c>
      <c r="M216" s="284"/>
      <c r="N216" s="285"/>
      <c r="O216" s="136">
        <f t="shared" si="17"/>
        <v>0</v>
      </c>
      <c r="P216" s="85"/>
      <c r="R216" s="53"/>
      <c r="S216" s="53"/>
      <c r="T216" s="53"/>
      <c r="U216" s="53"/>
    </row>
    <row r="217" spans="1:21" hidden="1" x14ac:dyDescent="0.25">
      <c r="A217" s="76">
        <v>5219</v>
      </c>
      <c r="B217" s="127" t="s">
        <v>233</v>
      </c>
      <c r="C217" s="279">
        <f t="shared" si="13"/>
        <v>0</v>
      </c>
      <c r="D217" s="134"/>
      <c r="E217" s="283"/>
      <c r="F217" s="279">
        <f t="shared" si="14"/>
        <v>0</v>
      </c>
      <c r="G217" s="134"/>
      <c r="H217" s="135"/>
      <c r="I217" s="136">
        <f t="shared" si="15"/>
        <v>0</v>
      </c>
      <c r="J217" s="134"/>
      <c r="K217" s="135"/>
      <c r="L217" s="136">
        <f t="shared" si="16"/>
        <v>0</v>
      </c>
      <c r="M217" s="284"/>
      <c r="N217" s="285"/>
      <c r="O217" s="136">
        <f t="shared" si="17"/>
        <v>0</v>
      </c>
      <c r="P217" s="85"/>
      <c r="R217" s="53"/>
      <c r="S217" s="53"/>
      <c r="T217" s="53"/>
      <c r="U217" s="53"/>
    </row>
    <row r="218" spans="1:21" hidden="1" x14ac:dyDescent="0.25">
      <c r="A218" s="276">
        <v>5220</v>
      </c>
      <c r="B218" s="127" t="s">
        <v>234</v>
      </c>
      <c r="C218" s="279">
        <f t="shared" si="13"/>
        <v>0</v>
      </c>
      <c r="D218" s="134"/>
      <c r="E218" s="283"/>
      <c r="F218" s="279">
        <f t="shared" si="14"/>
        <v>0</v>
      </c>
      <c r="G218" s="134"/>
      <c r="H218" s="135"/>
      <c r="I218" s="136">
        <f t="shared" si="15"/>
        <v>0</v>
      </c>
      <c r="J218" s="134"/>
      <c r="K218" s="135"/>
      <c r="L218" s="136">
        <f t="shared" si="16"/>
        <v>0</v>
      </c>
      <c r="M218" s="284"/>
      <c r="N218" s="285"/>
      <c r="O218" s="136">
        <f t="shared" si="17"/>
        <v>0</v>
      </c>
      <c r="P218" s="85"/>
      <c r="R218" s="53"/>
      <c r="S218" s="53"/>
      <c r="T218" s="53"/>
      <c r="U218" s="53"/>
    </row>
    <row r="219" spans="1:21" x14ac:dyDescent="0.25">
      <c r="A219" s="276">
        <v>5230</v>
      </c>
      <c r="B219" s="127" t="s">
        <v>235</v>
      </c>
      <c r="C219" s="279">
        <f t="shared" si="13"/>
        <v>20389</v>
      </c>
      <c r="D219" s="277">
        <f>SUM(D220:D227)</f>
        <v>17325</v>
      </c>
      <c r="E219" s="278">
        <f>SUM(E220:E227)</f>
        <v>0</v>
      </c>
      <c r="F219" s="279">
        <f t="shared" si="14"/>
        <v>17325</v>
      </c>
      <c r="G219" s="277">
        <f>SUM(G220:G227)</f>
        <v>3064</v>
      </c>
      <c r="H219" s="280">
        <f>SUM(H220:H227)</f>
        <v>0</v>
      </c>
      <c r="I219" s="136">
        <f t="shared" si="15"/>
        <v>3064</v>
      </c>
      <c r="J219" s="277">
        <f>SUM(J220:J227)</f>
        <v>0</v>
      </c>
      <c r="K219" s="280">
        <f>SUM(K220:K227)</f>
        <v>0</v>
      </c>
      <c r="L219" s="136">
        <f t="shared" si="16"/>
        <v>0</v>
      </c>
      <c r="M219" s="281">
        <f>SUM(M220:M227)</f>
        <v>0</v>
      </c>
      <c r="N219" s="282">
        <f>SUM(N220:N227)</f>
        <v>0</v>
      </c>
      <c r="O219" s="136">
        <f t="shared" si="17"/>
        <v>0</v>
      </c>
      <c r="P219" s="85"/>
      <c r="R219" s="53"/>
      <c r="S219" s="53"/>
      <c r="T219" s="53"/>
      <c r="U219" s="53"/>
    </row>
    <row r="220" spans="1:21" hidden="1" x14ac:dyDescent="0.25">
      <c r="A220" s="76">
        <v>5231</v>
      </c>
      <c r="B220" s="127" t="s">
        <v>236</v>
      </c>
      <c r="C220" s="279">
        <f t="shared" si="13"/>
        <v>0</v>
      </c>
      <c r="D220" s="134"/>
      <c r="E220" s="283"/>
      <c r="F220" s="279">
        <f t="shared" si="14"/>
        <v>0</v>
      </c>
      <c r="G220" s="134"/>
      <c r="H220" s="135"/>
      <c r="I220" s="136">
        <f t="shared" si="15"/>
        <v>0</v>
      </c>
      <c r="J220" s="134"/>
      <c r="K220" s="135"/>
      <c r="L220" s="136">
        <f t="shared" si="16"/>
        <v>0</v>
      </c>
      <c r="M220" s="284"/>
      <c r="N220" s="285"/>
      <c r="O220" s="136">
        <f t="shared" si="17"/>
        <v>0</v>
      </c>
      <c r="P220" s="85"/>
      <c r="R220" s="53"/>
      <c r="S220" s="53"/>
      <c r="T220" s="53"/>
      <c r="U220" s="53"/>
    </row>
    <row r="221" spans="1:21" hidden="1" x14ac:dyDescent="0.25">
      <c r="A221" s="76">
        <v>5232</v>
      </c>
      <c r="B221" s="127" t="s">
        <v>237</v>
      </c>
      <c r="C221" s="279">
        <f t="shared" si="13"/>
        <v>0</v>
      </c>
      <c r="D221" s="134"/>
      <c r="E221" s="283"/>
      <c r="F221" s="279">
        <f t="shared" si="14"/>
        <v>0</v>
      </c>
      <c r="G221" s="134"/>
      <c r="H221" s="135"/>
      <c r="I221" s="136">
        <f t="shared" si="15"/>
        <v>0</v>
      </c>
      <c r="J221" s="134"/>
      <c r="K221" s="135"/>
      <c r="L221" s="136">
        <f t="shared" si="16"/>
        <v>0</v>
      </c>
      <c r="M221" s="284"/>
      <c r="N221" s="285"/>
      <c r="O221" s="136">
        <f t="shared" si="17"/>
        <v>0</v>
      </c>
      <c r="P221" s="85"/>
      <c r="R221" s="53"/>
      <c r="S221" s="53"/>
      <c r="T221" s="53"/>
      <c r="U221" s="53"/>
    </row>
    <row r="222" spans="1:21" x14ac:dyDescent="0.25">
      <c r="A222" s="76">
        <v>5233</v>
      </c>
      <c r="B222" s="127" t="s">
        <v>238</v>
      </c>
      <c r="C222" s="279">
        <f t="shared" si="13"/>
        <v>7049</v>
      </c>
      <c r="D222" s="134">
        <v>3985</v>
      </c>
      <c r="E222" s="283"/>
      <c r="F222" s="279">
        <f t="shared" si="14"/>
        <v>3985</v>
      </c>
      <c r="G222" s="134">
        <v>3064</v>
      </c>
      <c r="H222" s="135"/>
      <c r="I222" s="136">
        <f t="shared" si="15"/>
        <v>3064</v>
      </c>
      <c r="J222" s="134"/>
      <c r="K222" s="135"/>
      <c r="L222" s="136">
        <f t="shared" si="16"/>
        <v>0</v>
      </c>
      <c r="M222" s="284"/>
      <c r="N222" s="285"/>
      <c r="O222" s="136">
        <f t="shared" si="17"/>
        <v>0</v>
      </c>
      <c r="P222" s="85"/>
      <c r="R222" s="53"/>
      <c r="S222" s="53"/>
      <c r="T222" s="53"/>
      <c r="U222" s="53"/>
    </row>
    <row r="223" spans="1:21" ht="24" hidden="1" x14ac:dyDescent="0.25">
      <c r="A223" s="76">
        <v>5234</v>
      </c>
      <c r="B223" s="127" t="s">
        <v>239</v>
      </c>
      <c r="C223" s="279">
        <f t="shared" si="13"/>
        <v>0</v>
      </c>
      <c r="D223" s="134"/>
      <c r="E223" s="283"/>
      <c r="F223" s="279">
        <f t="shared" si="14"/>
        <v>0</v>
      </c>
      <c r="G223" s="134"/>
      <c r="H223" s="135"/>
      <c r="I223" s="136">
        <f t="shared" si="15"/>
        <v>0</v>
      </c>
      <c r="J223" s="134"/>
      <c r="K223" s="135"/>
      <c r="L223" s="136">
        <f t="shared" si="16"/>
        <v>0</v>
      </c>
      <c r="M223" s="284"/>
      <c r="N223" s="285"/>
      <c r="O223" s="136">
        <f t="shared" si="17"/>
        <v>0</v>
      </c>
      <c r="P223" s="85"/>
      <c r="R223" s="53"/>
      <c r="S223" s="53"/>
      <c r="T223" s="53"/>
      <c r="U223" s="53"/>
    </row>
    <row r="224" spans="1:21" hidden="1" x14ac:dyDescent="0.25">
      <c r="A224" s="76">
        <v>5236</v>
      </c>
      <c r="B224" s="127" t="s">
        <v>240</v>
      </c>
      <c r="C224" s="279">
        <f t="shared" si="13"/>
        <v>0</v>
      </c>
      <c r="D224" s="134"/>
      <c r="E224" s="283"/>
      <c r="F224" s="279">
        <f t="shared" si="14"/>
        <v>0</v>
      </c>
      <c r="G224" s="134"/>
      <c r="H224" s="135"/>
      <c r="I224" s="136">
        <f t="shared" si="15"/>
        <v>0</v>
      </c>
      <c r="J224" s="134"/>
      <c r="K224" s="135"/>
      <c r="L224" s="136">
        <f t="shared" si="16"/>
        <v>0</v>
      </c>
      <c r="M224" s="284"/>
      <c r="N224" s="285"/>
      <c r="O224" s="136">
        <f t="shared" si="17"/>
        <v>0</v>
      </c>
      <c r="P224" s="85"/>
      <c r="R224" s="53"/>
      <c r="S224" s="53"/>
      <c r="T224" s="53"/>
      <c r="U224" s="53"/>
    </row>
    <row r="225" spans="1:21" hidden="1" x14ac:dyDescent="0.25">
      <c r="A225" s="76">
        <v>5237</v>
      </c>
      <c r="B225" s="127" t="s">
        <v>241</v>
      </c>
      <c r="C225" s="279">
        <f t="shared" si="13"/>
        <v>0</v>
      </c>
      <c r="D225" s="134"/>
      <c r="E225" s="283"/>
      <c r="F225" s="279">
        <f t="shared" si="14"/>
        <v>0</v>
      </c>
      <c r="G225" s="134"/>
      <c r="H225" s="135"/>
      <c r="I225" s="136">
        <f t="shared" si="15"/>
        <v>0</v>
      </c>
      <c r="J225" s="134"/>
      <c r="K225" s="135"/>
      <c r="L225" s="136">
        <f t="shared" si="16"/>
        <v>0</v>
      </c>
      <c r="M225" s="284"/>
      <c r="N225" s="285"/>
      <c r="O225" s="136">
        <f t="shared" si="17"/>
        <v>0</v>
      </c>
      <c r="P225" s="85"/>
      <c r="R225" s="53"/>
      <c r="S225" s="53"/>
      <c r="T225" s="53"/>
      <c r="U225" s="53"/>
    </row>
    <row r="226" spans="1:21" ht="24" x14ac:dyDescent="0.25">
      <c r="A226" s="76">
        <v>5238</v>
      </c>
      <c r="B226" s="127" t="s">
        <v>242</v>
      </c>
      <c r="C226" s="279">
        <f t="shared" si="13"/>
        <v>10840</v>
      </c>
      <c r="D226" s="134">
        <f>1500+3200+1600+540+500+1000+2500</f>
        <v>10840</v>
      </c>
      <c r="E226" s="283"/>
      <c r="F226" s="279">
        <f t="shared" si="14"/>
        <v>10840</v>
      </c>
      <c r="G226" s="134"/>
      <c r="H226" s="135"/>
      <c r="I226" s="136">
        <f t="shared" si="15"/>
        <v>0</v>
      </c>
      <c r="J226" s="134"/>
      <c r="K226" s="135"/>
      <c r="L226" s="136">
        <f t="shared" si="16"/>
        <v>0</v>
      </c>
      <c r="M226" s="284"/>
      <c r="N226" s="285"/>
      <c r="O226" s="136">
        <f t="shared" si="17"/>
        <v>0</v>
      </c>
      <c r="P226" s="85"/>
      <c r="R226" s="53"/>
      <c r="S226" s="53"/>
      <c r="T226" s="53"/>
      <c r="U226" s="53"/>
    </row>
    <row r="227" spans="1:21" ht="24" x14ac:dyDescent="0.25">
      <c r="A227" s="76">
        <v>5239</v>
      </c>
      <c r="B227" s="127" t="s">
        <v>243</v>
      </c>
      <c r="C227" s="279">
        <f t="shared" si="13"/>
        <v>2500</v>
      </c>
      <c r="D227" s="134">
        <v>2500</v>
      </c>
      <c r="E227" s="283"/>
      <c r="F227" s="279">
        <f t="shared" si="14"/>
        <v>2500</v>
      </c>
      <c r="G227" s="134"/>
      <c r="H227" s="135"/>
      <c r="I227" s="136">
        <f t="shared" si="15"/>
        <v>0</v>
      </c>
      <c r="J227" s="134"/>
      <c r="K227" s="135"/>
      <c r="L227" s="136">
        <f t="shared" si="16"/>
        <v>0</v>
      </c>
      <c r="M227" s="284"/>
      <c r="N227" s="285"/>
      <c r="O227" s="136">
        <f t="shared" si="17"/>
        <v>0</v>
      </c>
      <c r="P227" s="85"/>
      <c r="R227" s="53"/>
      <c r="S227" s="53"/>
      <c r="T227" s="53"/>
      <c r="U227" s="53"/>
    </row>
    <row r="228" spans="1:21" ht="24" hidden="1" x14ac:dyDescent="0.25">
      <c r="A228" s="276">
        <v>5240</v>
      </c>
      <c r="B228" s="127" t="s">
        <v>244</v>
      </c>
      <c r="C228" s="279">
        <f t="shared" si="13"/>
        <v>0</v>
      </c>
      <c r="D228" s="134"/>
      <c r="E228" s="283"/>
      <c r="F228" s="279">
        <f t="shared" si="14"/>
        <v>0</v>
      </c>
      <c r="G228" s="134"/>
      <c r="H228" s="135"/>
      <c r="I228" s="136">
        <f t="shared" si="15"/>
        <v>0</v>
      </c>
      <c r="J228" s="134"/>
      <c r="K228" s="135"/>
      <c r="L228" s="136">
        <f t="shared" si="16"/>
        <v>0</v>
      </c>
      <c r="M228" s="284"/>
      <c r="N228" s="285"/>
      <c r="O228" s="136">
        <f t="shared" si="17"/>
        <v>0</v>
      </c>
      <c r="P228" s="85"/>
      <c r="R228" s="53"/>
      <c r="S228" s="53"/>
      <c r="T228" s="53"/>
      <c r="U228" s="53"/>
    </row>
    <row r="229" spans="1:21" hidden="1" x14ac:dyDescent="0.25">
      <c r="A229" s="276">
        <v>5250</v>
      </c>
      <c r="B229" s="127" t="s">
        <v>245</v>
      </c>
      <c r="C229" s="279">
        <f t="shared" si="13"/>
        <v>0</v>
      </c>
      <c r="D229" s="134"/>
      <c r="E229" s="283"/>
      <c r="F229" s="279">
        <f t="shared" si="14"/>
        <v>0</v>
      </c>
      <c r="G229" s="134"/>
      <c r="H229" s="135"/>
      <c r="I229" s="136">
        <f t="shared" si="15"/>
        <v>0</v>
      </c>
      <c r="J229" s="134"/>
      <c r="K229" s="135"/>
      <c r="L229" s="136">
        <f t="shared" si="16"/>
        <v>0</v>
      </c>
      <c r="M229" s="284"/>
      <c r="N229" s="285"/>
      <c r="O229" s="136">
        <f t="shared" si="17"/>
        <v>0</v>
      </c>
      <c r="P229" s="85"/>
      <c r="R229" s="53"/>
      <c r="S229" s="53"/>
      <c r="T229" s="53"/>
      <c r="U229" s="53"/>
    </row>
    <row r="230" spans="1:21" hidden="1" x14ac:dyDescent="0.25">
      <c r="A230" s="276">
        <v>5260</v>
      </c>
      <c r="B230" s="127" t="s">
        <v>246</v>
      </c>
      <c r="C230" s="279">
        <f t="shared" si="13"/>
        <v>0</v>
      </c>
      <c r="D230" s="277">
        <f>SUM(D231)</f>
        <v>0</v>
      </c>
      <c r="E230" s="278">
        <f>SUM(E231)</f>
        <v>0</v>
      </c>
      <c r="F230" s="279">
        <f t="shared" si="14"/>
        <v>0</v>
      </c>
      <c r="G230" s="277">
        <f>SUM(G231)</f>
        <v>0</v>
      </c>
      <c r="H230" s="280">
        <f>SUM(H231)</f>
        <v>0</v>
      </c>
      <c r="I230" s="136">
        <f t="shared" si="15"/>
        <v>0</v>
      </c>
      <c r="J230" s="277">
        <f>SUM(J231)</f>
        <v>0</v>
      </c>
      <c r="K230" s="280">
        <f>SUM(K231)</f>
        <v>0</v>
      </c>
      <c r="L230" s="136">
        <f t="shared" si="16"/>
        <v>0</v>
      </c>
      <c r="M230" s="281">
        <f>SUM(M231)</f>
        <v>0</v>
      </c>
      <c r="N230" s="282">
        <f>SUM(N231)</f>
        <v>0</v>
      </c>
      <c r="O230" s="136">
        <f t="shared" si="17"/>
        <v>0</v>
      </c>
      <c r="P230" s="85"/>
      <c r="R230" s="53"/>
      <c r="S230" s="53"/>
      <c r="T230" s="53"/>
      <c r="U230" s="53"/>
    </row>
    <row r="231" spans="1:21" ht="24" hidden="1" x14ac:dyDescent="0.25">
      <c r="A231" s="76">
        <v>5269</v>
      </c>
      <c r="B231" s="127" t="s">
        <v>247</v>
      </c>
      <c r="C231" s="279">
        <f t="shared" si="13"/>
        <v>0</v>
      </c>
      <c r="D231" s="134"/>
      <c r="E231" s="283"/>
      <c r="F231" s="279">
        <f t="shared" si="14"/>
        <v>0</v>
      </c>
      <c r="G231" s="134"/>
      <c r="H231" s="135"/>
      <c r="I231" s="136">
        <f t="shared" si="15"/>
        <v>0</v>
      </c>
      <c r="J231" s="134"/>
      <c r="K231" s="135"/>
      <c r="L231" s="136">
        <f t="shared" si="16"/>
        <v>0</v>
      </c>
      <c r="M231" s="284"/>
      <c r="N231" s="285"/>
      <c r="O231" s="136">
        <f t="shared" si="17"/>
        <v>0</v>
      </c>
      <c r="P231" s="85"/>
      <c r="R231" s="53"/>
      <c r="S231" s="53"/>
      <c r="T231" s="53"/>
      <c r="U231" s="53"/>
    </row>
    <row r="232" spans="1:21" ht="24" hidden="1" x14ac:dyDescent="0.25">
      <c r="A232" s="254">
        <v>5270</v>
      </c>
      <c r="B232" s="179" t="s">
        <v>248</v>
      </c>
      <c r="C232" s="302">
        <f t="shared" si="13"/>
        <v>0</v>
      </c>
      <c r="D232" s="287"/>
      <c r="E232" s="288"/>
      <c r="F232" s="257">
        <f t="shared" si="14"/>
        <v>0</v>
      </c>
      <c r="G232" s="287"/>
      <c r="H232" s="289"/>
      <c r="I232" s="259">
        <f t="shared" si="15"/>
        <v>0</v>
      </c>
      <c r="J232" s="287"/>
      <c r="K232" s="289"/>
      <c r="L232" s="259">
        <f t="shared" si="16"/>
        <v>0</v>
      </c>
      <c r="M232" s="290"/>
      <c r="N232" s="291"/>
      <c r="O232" s="259">
        <f t="shared" si="17"/>
        <v>0</v>
      </c>
      <c r="P232" s="189"/>
      <c r="R232" s="53"/>
      <c r="S232" s="53"/>
      <c r="T232" s="53"/>
      <c r="U232" s="53"/>
    </row>
    <row r="233" spans="1:21" hidden="1" x14ac:dyDescent="0.25">
      <c r="A233" s="237">
        <v>6000</v>
      </c>
      <c r="B233" s="237" t="s">
        <v>249</v>
      </c>
      <c r="C233" s="238">
        <f t="shared" si="13"/>
        <v>0</v>
      </c>
      <c r="D233" s="239">
        <f>D234+D254+D261</f>
        <v>0</v>
      </c>
      <c r="E233" s="240">
        <f>E234+E254+E261</f>
        <v>0</v>
      </c>
      <c r="F233" s="241">
        <f t="shared" si="14"/>
        <v>0</v>
      </c>
      <c r="G233" s="239">
        <f>G234+G254+G261</f>
        <v>0</v>
      </c>
      <c r="H233" s="242">
        <f>H234+H254+H261</f>
        <v>0</v>
      </c>
      <c r="I233" s="243">
        <f t="shared" si="15"/>
        <v>0</v>
      </c>
      <c r="J233" s="239">
        <f>J234+J254+J261</f>
        <v>0</v>
      </c>
      <c r="K233" s="242">
        <f>K234+K254+K261</f>
        <v>0</v>
      </c>
      <c r="L233" s="243">
        <f t="shared" si="16"/>
        <v>0</v>
      </c>
      <c r="M233" s="244">
        <f>M234+M254+M261</f>
        <v>0</v>
      </c>
      <c r="N233" s="245">
        <f>N234+N254+N261</f>
        <v>0</v>
      </c>
      <c r="O233" s="243">
        <f t="shared" si="17"/>
        <v>0</v>
      </c>
      <c r="P233" s="246"/>
      <c r="R233" s="53"/>
      <c r="S233" s="53"/>
      <c r="T233" s="53"/>
      <c r="U233" s="53"/>
    </row>
    <row r="234" spans="1:21" hidden="1" x14ac:dyDescent="0.25">
      <c r="A234" s="160">
        <v>6200</v>
      </c>
      <c r="B234" s="321" t="s">
        <v>250</v>
      </c>
      <c r="C234" s="333">
        <f t="shared" si="13"/>
        <v>0</v>
      </c>
      <c r="D234" s="334">
        <f>SUM(D235,D236,D238,D241,D247,D248,D249)</f>
        <v>0</v>
      </c>
      <c r="E234" s="684">
        <f>SUM(E235,E236,E238,E241,E247,E248,E249)</f>
        <v>0</v>
      </c>
      <c r="F234" s="648">
        <f t="shared" si="14"/>
        <v>0</v>
      </c>
      <c r="G234" s="334">
        <f>SUM(G235,G236,G238,G241,G247,G248,G249)</f>
        <v>0</v>
      </c>
      <c r="H234" s="336">
        <f>SUM(H235,H236,H238,H241,H247,H248,H249)</f>
        <v>0</v>
      </c>
      <c r="I234" s="252">
        <f t="shared" si="15"/>
        <v>0</v>
      </c>
      <c r="J234" s="334">
        <f>SUM(J235,J236,J238,J241,J247,J248,J249)</f>
        <v>0</v>
      </c>
      <c r="K234" s="336">
        <f>SUM(K235,K236,K238,K241,K247,K248,K249)</f>
        <v>0</v>
      </c>
      <c r="L234" s="252">
        <f t="shared" si="16"/>
        <v>0</v>
      </c>
      <c r="M234" s="250">
        <f>SUM(M235,M236,M238,M241,M247,M248,M249)</f>
        <v>0</v>
      </c>
      <c r="N234" s="251">
        <f>SUM(N235,N236,N238,N241,N247,N248,N249)</f>
        <v>0</v>
      </c>
      <c r="O234" s="252">
        <f t="shared" si="17"/>
        <v>0</v>
      </c>
      <c r="P234" s="253"/>
      <c r="R234" s="53"/>
      <c r="S234" s="53"/>
      <c r="T234" s="53"/>
      <c r="U234" s="53"/>
    </row>
    <row r="235" spans="1:21" ht="24" hidden="1" x14ac:dyDescent="0.25">
      <c r="A235" s="656">
        <v>6220</v>
      </c>
      <c r="B235" s="116" t="s">
        <v>251</v>
      </c>
      <c r="C235" s="298">
        <f t="shared" si="13"/>
        <v>0</v>
      </c>
      <c r="D235" s="123"/>
      <c r="E235" s="295"/>
      <c r="F235" s="296">
        <f t="shared" si="14"/>
        <v>0</v>
      </c>
      <c r="G235" s="123"/>
      <c r="H235" s="124"/>
      <c r="I235" s="125">
        <f t="shared" si="15"/>
        <v>0</v>
      </c>
      <c r="J235" s="123"/>
      <c r="K235" s="124"/>
      <c r="L235" s="125">
        <f t="shared" si="16"/>
        <v>0</v>
      </c>
      <c r="M235" s="264"/>
      <c r="N235" s="262"/>
      <c r="O235" s="125">
        <f t="shared" si="17"/>
        <v>0</v>
      </c>
      <c r="P235" s="74"/>
      <c r="R235" s="53"/>
      <c r="S235" s="53"/>
      <c r="T235" s="53"/>
      <c r="U235" s="53"/>
    </row>
    <row r="236" spans="1:21" hidden="1" x14ac:dyDescent="0.25">
      <c r="A236" s="276">
        <v>6230</v>
      </c>
      <c r="B236" s="127" t="s">
        <v>252</v>
      </c>
      <c r="C236" s="278">
        <f t="shared" si="13"/>
        <v>0</v>
      </c>
      <c r="D236" s="277">
        <f>SUM(D237)</f>
        <v>0</v>
      </c>
      <c r="E236" s="281">
        <f>SUM(E237)</f>
        <v>0</v>
      </c>
      <c r="F236" s="279">
        <f t="shared" si="14"/>
        <v>0</v>
      </c>
      <c r="G236" s="277">
        <f>SUM(G237)</f>
        <v>0</v>
      </c>
      <c r="H236" s="280">
        <f>SUM(H237)</f>
        <v>0</v>
      </c>
      <c r="I236" s="136">
        <f t="shared" si="15"/>
        <v>0</v>
      </c>
      <c r="J236" s="277">
        <f>SUM(J237)</f>
        <v>0</v>
      </c>
      <c r="K236" s="280">
        <f>SUM(K237)</f>
        <v>0</v>
      </c>
      <c r="L236" s="136">
        <f t="shared" si="16"/>
        <v>0</v>
      </c>
      <c r="M236" s="277">
        <f>SUM(M237)</f>
        <v>0</v>
      </c>
      <c r="N236" s="280">
        <f>SUM(N237)</f>
        <v>0</v>
      </c>
      <c r="O236" s="136">
        <f t="shared" si="17"/>
        <v>0</v>
      </c>
      <c r="P236" s="85"/>
      <c r="R236" s="53"/>
      <c r="S236" s="53"/>
      <c r="T236" s="53"/>
      <c r="U236" s="53"/>
    </row>
    <row r="237" spans="1:21" ht="24" hidden="1" x14ac:dyDescent="0.25">
      <c r="A237" s="76">
        <v>6239</v>
      </c>
      <c r="B237" s="116" t="s">
        <v>253</v>
      </c>
      <c r="C237" s="278">
        <f t="shared" si="13"/>
        <v>0</v>
      </c>
      <c r="D237" s="134"/>
      <c r="E237" s="283"/>
      <c r="F237" s="279">
        <f t="shared" si="14"/>
        <v>0</v>
      </c>
      <c r="G237" s="134"/>
      <c r="H237" s="135"/>
      <c r="I237" s="136">
        <f t="shared" si="15"/>
        <v>0</v>
      </c>
      <c r="J237" s="134"/>
      <c r="K237" s="135"/>
      <c r="L237" s="136">
        <f t="shared" si="16"/>
        <v>0</v>
      </c>
      <c r="M237" s="284"/>
      <c r="N237" s="285"/>
      <c r="O237" s="136">
        <f t="shared" si="17"/>
        <v>0</v>
      </c>
      <c r="P237" s="85"/>
      <c r="R237" s="53"/>
      <c r="S237" s="53"/>
      <c r="T237" s="53"/>
      <c r="U237" s="53"/>
    </row>
    <row r="238" spans="1:21" ht="24" hidden="1" x14ac:dyDescent="0.25">
      <c r="A238" s="276">
        <v>6240</v>
      </c>
      <c r="B238" s="127" t="s">
        <v>254</v>
      </c>
      <c r="C238" s="278">
        <f t="shared" si="13"/>
        <v>0</v>
      </c>
      <c r="D238" s="277">
        <f>SUM(D239:D240)</f>
        <v>0</v>
      </c>
      <c r="E238" s="278">
        <f>SUM(E239:E240)</f>
        <v>0</v>
      </c>
      <c r="F238" s="279">
        <f t="shared" si="14"/>
        <v>0</v>
      </c>
      <c r="G238" s="277">
        <f>SUM(G239:G240)</f>
        <v>0</v>
      </c>
      <c r="H238" s="280">
        <f>SUM(H239:H240)</f>
        <v>0</v>
      </c>
      <c r="I238" s="136">
        <f t="shared" si="15"/>
        <v>0</v>
      </c>
      <c r="J238" s="277">
        <f>SUM(J239:J240)</f>
        <v>0</v>
      </c>
      <c r="K238" s="280">
        <f>SUM(K239:K240)</f>
        <v>0</v>
      </c>
      <c r="L238" s="136">
        <f t="shared" si="16"/>
        <v>0</v>
      </c>
      <c r="M238" s="281">
        <f>SUM(M239:M240)</f>
        <v>0</v>
      </c>
      <c r="N238" s="282">
        <f>SUM(N239:N240)</f>
        <v>0</v>
      </c>
      <c r="O238" s="136">
        <f t="shared" si="17"/>
        <v>0</v>
      </c>
      <c r="P238" s="85"/>
      <c r="R238" s="53"/>
      <c r="S238" s="53"/>
      <c r="T238" s="53"/>
      <c r="U238" s="53"/>
    </row>
    <row r="239" spans="1:21" hidden="1" x14ac:dyDescent="0.25">
      <c r="A239" s="76">
        <v>6241</v>
      </c>
      <c r="B239" s="127" t="s">
        <v>255</v>
      </c>
      <c r="C239" s="278">
        <f t="shared" si="13"/>
        <v>0</v>
      </c>
      <c r="D239" s="134"/>
      <c r="E239" s="283"/>
      <c r="F239" s="279">
        <f t="shared" si="14"/>
        <v>0</v>
      </c>
      <c r="G239" s="134"/>
      <c r="H239" s="135"/>
      <c r="I239" s="136">
        <f t="shared" si="15"/>
        <v>0</v>
      </c>
      <c r="J239" s="134"/>
      <c r="K239" s="135"/>
      <c r="L239" s="136">
        <f t="shared" si="16"/>
        <v>0</v>
      </c>
      <c r="M239" s="284"/>
      <c r="N239" s="285"/>
      <c r="O239" s="136">
        <f t="shared" si="17"/>
        <v>0</v>
      </c>
      <c r="P239" s="85"/>
      <c r="R239" s="53"/>
      <c r="S239" s="53"/>
      <c r="T239" s="53"/>
      <c r="U239" s="53"/>
    </row>
    <row r="240" spans="1:21" hidden="1" x14ac:dyDescent="0.25">
      <c r="A240" s="76">
        <v>6242</v>
      </c>
      <c r="B240" s="127" t="s">
        <v>256</v>
      </c>
      <c r="C240" s="278">
        <f t="shared" si="13"/>
        <v>0</v>
      </c>
      <c r="D240" s="134"/>
      <c r="E240" s="283"/>
      <c r="F240" s="279">
        <f t="shared" si="14"/>
        <v>0</v>
      </c>
      <c r="G240" s="134"/>
      <c r="H240" s="135"/>
      <c r="I240" s="136">
        <f t="shared" si="15"/>
        <v>0</v>
      </c>
      <c r="J240" s="134"/>
      <c r="K240" s="135"/>
      <c r="L240" s="136">
        <f t="shared" si="16"/>
        <v>0</v>
      </c>
      <c r="M240" s="284"/>
      <c r="N240" s="285"/>
      <c r="O240" s="136">
        <f t="shared" si="17"/>
        <v>0</v>
      </c>
      <c r="P240" s="85"/>
      <c r="R240" s="53"/>
      <c r="S240" s="53"/>
      <c r="T240" s="53"/>
      <c r="U240" s="53"/>
    </row>
    <row r="241" spans="1:21" ht="24" hidden="1" x14ac:dyDescent="0.25">
      <c r="A241" s="276">
        <v>6250</v>
      </c>
      <c r="B241" s="127" t="s">
        <v>257</v>
      </c>
      <c r="C241" s="278">
        <f t="shared" si="13"/>
        <v>0</v>
      </c>
      <c r="D241" s="277">
        <f>SUM(D242:D246)</f>
        <v>0</v>
      </c>
      <c r="E241" s="278">
        <f>SUM(E242:E246)</f>
        <v>0</v>
      </c>
      <c r="F241" s="279">
        <f t="shared" si="14"/>
        <v>0</v>
      </c>
      <c r="G241" s="277">
        <f>SUM(G242:G246)</f>
        <v>0</v>
      </c>
      <c r="H241" s="280">
        <f>SUM(H242:H246)</f>
        <v>0</v>
      </c>
      <c r="I241" s="136">
        <f t="shared" si="15"/>
        <v>0</v>
      </c>
      <c r="J241" s="277">
        <f>SUM(J242:J246)</f>
        <v>0</v>
      </c>
      <c r="K241" s="280">
        <f>SUM(K242:K246)</f>
        <v>0</v>
      </c>
      <c r="L241" s="136">
        <f t="shared" si="16"/>
        <v>0</v>
      </c>
      <c r="M241" s="281">
        <f>SUM(M242:M246)</f>
        <v>0</v>
      </c>
      <c r="N241" s="282">
        <f>SUM(N242:N246)</f>
        <v>0</v>
      </c>
      <c r="O241" s="136">
        <f t="shared" si="17"/>
        <v>0</v>
      </c>
      <c r="P241" s="85"/>
      <c r="R241" s="53"/>
      <c r="S241" s="53"/>
      <c r="T241" s="53"/>
      <c r="U241" s="53"/>
    </row>
    <row r="242" spans="1:21" hidden="1" x14ac:dyDescent="0.25">
      <c r="A242" s="76">
        <v>6252</v>
      </c>
      <c r="B242" s="127" t="s">
        <v>258</v>
      </c>
      <c r="C242" s="278">
        <f t="shared" si="13"/>
        <v>0</v>
      </c>
      <c r="D242" s="134"/>
      <c r="E242" s="283"/>
      <c r="F242" s="279">
        <f t="shared" si="14"/>
        <v>0</v>
      </c>
      <c r="G242" s="134"/>
      <c r="H242" s="135"/>
      <c r="I242" s="136">
        <f t="shared" si="15"/>
        <v>0</v>
      </c>
      <c r="J242" s="134"/>
      <c r="K242" s="135"/>
      <c r="L242" s="136">
        <f t="shared" si="16"/>
        <v>0</v>
      </c>
      <c r="M242" s="284"/>
      <c r="N242" s="285"/>
      <c r="O242" s="136">
        <f t="shared" si="17"/>
        <v>0</v>
      </c>
      <c r="P242" s="85"/>
      <c r="R242" s="53"/>
      <c r="S242" s="53"/>
      <c r="T242" s="53"/>
      <c r="U242" s="53"/>
    </row>
    <row r="243" spans="1:21" hidden="1" x14ac:dyDescent="0.25">
      <c r="A243" s="76">
        <v>6253</v>
      </c>
      <c r="B243" s="127" t="s">
        <v>259</v>
      </c>
      <c r="C243" s="278">
        <f t="shared" si="13"/>
        <v>0</v>
      </c>
      <c r="D243" s="134"/>
      <c r="E243" s="283"/>
      <c r="F243" s="279">
        <f t="shared" si="14"/>
        <v>0</v>
      </c>
      <c r="G243" s="134"/>
      <c r="H243" s="135"/>
      <c r="I243" s="136">
        <f t="shared" si="15"/>
        <v>0</v>
      </c>
      <c r="J243" s="134"/>
      <c r="K243" s="135"/>
      <c r="L243" s="136">
        <f t="shared" si="16"/>
        <v>0</v>
      </c>
      <c r="M243" s="284"/>
      <c r="N243" s="285"/>
      <c r="O243" s="136">
        <f t="shared" si="17"/>
        <v>0</v>
      </c>
      <c r="P243" s="85"/>
      <c r="R243" s="53"/>
      <c r="S243" s="53"/>
      <c r="T243" s="53"/>
      <c r="U243" s="53"/>
    </row>
    <row r="244" spans="1:21" ht="24" hidden="1" x14ac:dyDescent="0.25">
      <c r="A244" s="76">
        <v>6254</v>
      </c>
      <c r="B244" s="127" t="s">
        <v>260</v>
      </c>
      <c r="C244" s="278">
        <f t="shared" si="13"/>
        <v>0</v>
      </c>
      <c r="D244" s="134"/>
      <c r="E244" s="283"/>
      <c r="F244" s="279">
        <f t="shared" si="14"/>
        <v>0</v>
      </c>
      <c r="G244" s="134"/>
      <c r="H244" s="135"/>
      <c r="I244" s="136">
        <f t="shared" si="15"/>
        <v>0</v>
      </c>
      <c r="J244" s="134"/>
      <c r="K244" s="135"/>
      <c r="L244" s="136">
        <f t="shared" si="16"/>
        <v>0</v>
      </c>
      <c r="M244" s="284"/>
      <c r="N244" s="285"/>
      <c r="O244" s="136">
        <f t="shared" si="17"/>
        <v>0</v>
      </c>
      <c r="P244" s="85"/>
      <c r="R244" s="53"/>
      <c r="S244" s="53"/>
      <c r="T244" s="53"/>
      <c r="U244" s="53"/>
    </row>
    <row r="245" spans="1:21" ht="24" hidden="1" x14ac:dyDescent="0.25">
      <c r="A245" s="76">
        <v>6255</v>
      </c>
      <c r="B245" s="127" t="s">
        <v>261</v>
      </c>
      <c r="C245" s="278">
        <f t="shared" ref="C245:C299" si="18">SUM(F245,I245,L245,O245)</f>
        <v>0</v>
      </c>
      <c r="D245" s="134"/>
      <c r="E245" s="283"/>
      <c r="F245" s="279">
        <f t="shared" ref="F245:F299" si="19">D245+E245</f>
        <v>0</v>
      </c>
      <c r="G245" s="134"/>
      <c r="H245" s="135"/>
      <c r="I245" s="136">
        <f t="shared" ref="I245:I299" si="20">G245+H245</f>
        <v>0</v>
      </c>
      <c r="J245" s="134"/>
      <c r="K245" s="135"/>
      <c r="L245" s="136">
        <f t="shared" ref="L245:L299" si="21">J245+K245</f>
        <v>0</v>
      </c>
      <c r="M245" s="284"/>
      <c r="N245" s="285"/>
      <c r="O245" s="136">
        <f t="shared" ref="O245:O277" si="22">M245+N245</f>
        <v>0</v>
      </c>
      <c r="P245" s="85"/>
      <c r="R245" s="53"/>
      <c r="S245" s="53"/>
      <c r="T245" s="53"/>
      <c r="U245" s="53"/>
    </row>
    <row r="246" spans="1:21" hidden="1" x14ac:dyDescent="0.25">
      <c r="A246" s="76">
        <v>6259</v>
      </c>
      <c r="B246" s="127" t="s">
        <v>262</v>
      </c>
      <c r="C246" s="278">
        <f t="shared" si="18"/>
        <v>0</v>
      </c>
      <c r="D246" s="134"/>
      <c r="E246" s="283"/>
      <c r="F246" s="279">
        <f t="shared" si="19"/>
        <v>0</v>
      </c>
      <c r="G246" s="134"/>
      <c r="H246" s="135"/>
      <c r="I246" s="136">
        <f t="shared" si="20"/>
        <v>0</v>
      </c>
      <c r="J246" s="134"/>
      <c r="K246" s="135"/>
      <c r="L246" s="136">
        <f t="shared" si="21"/>
        <v>0</v>
      </c>
      <c r="M246" s="284"/>
      <c r="N246" s="285"/>
      <c r="O246" s="136">
        <f t="shared" si="22"/>
        <v>0</v>
      </c>
      <c r="P246" s="85"/>
      <c r="R246" s="53"/>
      <c r="S246" s="53"/>
      <c r="T246" s="53"/>
      <c r="U246" s="53"/>
    </row>
    <row r="247" spans="1:21" ht="24" hidden="1" x14ac:dyDescent="0.25">
      <c r="A247" s="276">
        <v>6260</v>
      </c>
      <c r="B247" s="127" t="s">
        <v>263</v>
      </c>
      <c r="C247" s="278">
        <f t="shared" si="18"/>
        <v>0</v>
      </c>
      <c r="D247" s="134"/>
      <c r="E247" s="283"/>
      <c r="F247" s="279">
        <f t="shared" si="19"/>
        <v>0</v>
      </c>
      <c r="G247" s="134"/>
      <c r="H247" s="135"/>
      <c r="I247" s="136">
        <f t="shared" si="20"/>
        <v>0</v>
      </c>
      <c r="J247" s="134"/>
      <c r="K247" s="135"/>
      <c r="L247" s="136">
        <f t="shared" si="21"/>
        <v>0</v>
      </c>
      <c r="M247" s="284"/>
      <c r="N247" s="285"/>
      <c r="O247" s="136">
        <f t="shared" si="22"/>
        <v>0</v>
      </c>
      <c r="P247" s="85"/>
      <c r="R247" s="53"/>
      <c r="S247" s="53"/>
      <c r="T247" s="53"/>
      <c r="U247" s="53"/>
    </row>
    <row r="248" spans="1:21" hidden="1" x14ac:dyDescent="0.25">
      <c r="A248" s="276">
        <v>6270</v>
      </c>
      <c r="B248" s="127" t="s">
        <v>264</v>
      </c>
      <c r="C248" s="278">
        <f t="shared" si="18"/>
        <v>0</v>
      </c>
      <c r="D248" s="134"/>
      <c r="E248" s="283"/>
      <c r="F248" s="279">
        <f t="shared" si="19"/>
        <v>0</v>
      </c>
      <c r="G248" s="134"/>
      <c r="H248" s="135"/>
      <c r="I248" s="136">
        <f t="shared" si="20"/>
        <v>0</v>
      </c>
      <c r="J248" s="134"/>
      <c r="K248" s="135"/>
      <c r="L248" s="136">
        <f t="shared" si="21"/>
        <v>0</v>
      </c>
      <c r="M248" s="284"/>
      <c r="N248" s="285"/>
      <c r="O248" s="136">
        <f t="shared" si="22"/>
        <v>0</v>
      </c>
      <c r="P248" s="85"/>
      <c r="R248" s="53"/>
      <c r="S248" s="53"/>
      <c r="T248" s="53"/>
      <c r="U248" s="53"/>
    </row>
    <row r="249" spans="1:21" ht="24" hidden="1" x14ac:dyDescent="0.25">
      <c r="A249" s="656">
        <v>6290</v>
      </c>
      <c r="B249" s="116" t="s">
        <v>265</v>
      </c>
      <c r="C249" s="278">
        <f t="shared" si="18"/>
        <v>0</v>
      </c>
      <c r="D249" s="297">
        <f>SUM(D250:D253)</f>
        <v>0</v>
      </c>
      <c r="E249" s="298">
        <f>SUM(E250:E253)</f>
        <v>0</v>
      </c>
      <c r="F249" s="296">
        <f t="shared" si="19"/>
        <v>0</v>
      </c>
      <c r="G249" s="297">
        <f>SUM(G250:G253)</f>
        <v>0</v>
      </c>
      <c r="H249" s="299">
        <f>SUM(H250:H253)</f>
        <v>0</v>
      </c>
      <c r="I249" s="125">
        <f t="shared" si="20"/>
        <v>0</v>
      </c>
      <c r="J249" s="297">
        <f>SUM(J250:J253)</f>
        <v>0</v>
      </c>
      <c r="K249" s="299">
        <f>SUM(K250:K253)</f>
        <v>0</v>
      </c>
      <c r="L249" s="125">
        <f t="shared" si="21"/>
        <v>0</v>
      </c>
      <c r="M249" s="322">
        <f>SUM(M250:M253)</f>
        <v>0</v>
      </c>
      <c r="N249" s="323">
        <f>SUM(N250:N253)</f>
        <v>0</v>
      </c>
      <c r="O249" s="324">
        <f t="shared" si="22"/>
        <v>0</v>
      </c>
      <c r="P249" s="325"/>
      <c r="R249" s="53"/>
      <c r="S249" s="53"/>
      <c r="T249" s="53"/>
      <c r="U249" s="53"/>
    </row>
    <row r="250" spans="1:21" hidden="1" x14ac:dyDescent="0.25">
      <c r="A250" s="76">
        <v>6291</v>
      </c>
      <c r="B250" s="127" t="s">
        <v>266</v>
      </c>
      <c r="C250" s="278">
        <f t="shared" si="18"/>
        <v>0</v>
      </c>
      <c r="D250" s="134"/>
      <c r="E250" s="283"/>
      <c r="F250" s="279">
        <f t="shared" si="19"/>
        <v>0</v>
      </c>
      <c r="G250" s="134"/>
      <c r="H250" s="135"/>
      <c r="I250" s="136">
        <f t="shared" si="20"/>
        <v>0</v>
      </c>
      <c r="J250" s="134"/>
      <c r="K250" s="135"/>
      <c r="L250" s="136">
        <f t="shared" si="21"/>
        <v>0</v>
      </c>
      <c r="M250" s="284"/>
      <c r="N250" s="285"/>
      <c r="O250" s="136">
        <f t="shared" si="22"/>
        <v>0</v>
      </c>
      <c r="P250" s="85"/>
      <c r="R250" s="53"/>
      <c r="S250" s="53"/>
      <c r="T250" s="53"/>
      <c r="U250" s="53"/>
    </row>
    <row r="251" spans="1:21" hidden="1" x14ac:dyDescent="0.25">
      <c r="A251" s="76">
        <v>6292</v>
      </c>
      <c r="B251" s="127" t="s">
        <v>267</v>
      </c>
      <c r="C251" s="278">
        <f t="shared" si="18"/>
        <v>0</v>
      </c>
      <c r="D251" s="134"/>
      <c r="E251" s="283"/>
      <c r="F251" s="279">
        <f t="shared" si="19"/>
        <v>0</v>
      </c>
      <c r="G251" s="134"/>
      <c r="H251" s="135"/>
      <c r="I251" s="136">
        <f t="shared" si="20"/>
        <v>0</v>
      </c>
      <c r="J251" s="134"/>
      <c r="K251" s="135"/>
      <c r="L251" s="136">
        <f t="shared" si="21"/>
        <v>0</v>
      </c>
      <c r="M251" s="284"/>
      <c r="N251" s="285"/>
      <c r="O251" s="136">
        <f t="shared" si="22"/>
        <v>0</v>
      </c>
      <c r="P251" s="85"/>
      <c r="R251" s="53"/>
      <c r="S251" s="53"/>
      <c r="T251" s="53"/>
      <c r="U251" s="53"/>
    </row>
    <row r="252" spans="1:21" ht="72" hidden="1" x14ac:dyDescent="0.25">
      <c r="A252" s="76">
        <v>6296</v>
      </c>
      <c r="B252" s="127" t="s">
        <v>268</v>
      </c>
      <c r="C252" s="278">
        <f t="shared" si="18"/>
        <v>0</v>
      </c>
      <c r="D252" s="134"/>
      <c r="E252" s="283"/>
      <c r="F252" s="279">
        <f t="shared" si="19"/>
        <v>0</v>
      </c>
      <c r="G252" s="134"/>
      <c r="H252" s="135"/>
      <c r="I252" s="136">
        <f t="shared" si="20"/>
        <v>0</v>
      </c>
      <c r="J252" s="134"/>
      <c r="K252" s="135"/>
      <c r="L252" s="136">
        <f t="shared" si="21"/>
        <v>0</v>
      </c>
      <c r="M252" s="284"/>
      <c r="N252" s="285"/>
      <c r="O252" s="136">
        <f t="shared" si="22"/>
        <v>0</v>
      </c>
      <c r="P252" s="85"/>
      <c r="R252" s="53"/>
      <c r="S252" s="53"/>
      <c r="T252" s="53"/>
      <c r="U252" s="53"/>
    </row>
    <row r="253" spans="1:21" ht="36" hidden="1" x14ac:dyDescent="0.25">
      <c r="A253" s="76">
        <v>6299</v>
      </c>
      <c r="B253" s="127" t="s">
        <v>269</v>
      </c>
      <c r="C253" s="278">
        <f t="shared" si="18"/>
        <v>0</v>
      </c>
      <c r="D253" s="134"/>
      <c r="E253" s="283"/>
      <c r="F253" s="279">
        <f t="shared" si="19"/>
        <v>0</v>
      </c>
      <c r="G253" s="134"/>
      <c r="H253" s="135"/>
      <c r="I253" s="136">
        <f t="shared" si="20"/>
        <v>0</v>
      </c>
      <c r="J253" s="134"/>
      <c r="K253" s="135"/>
      <c r="L253" s="136">
        <f t="shared" si="21"/>
        <v>0</v>
      </c>
      <c r="M253" s="284"/>
      <c r="N253" s="285"/>
      <c r="O253" s="136">
        <f t="shared" si="22"/>
        <v>0</v>
      </c>
      <c r="P253" s="85"/>
      <c r="R253" s="53"/>
      <c r="S253" s="53"/>
      <c r="T253" s="53"/>
      <c r="U253" s="53"/>
    </row>
    <row r="254" spans="1:21" hidden="1" x14ac:dyDescent="0.25">
      <c r="A254" s="99">
        <v>6300</v>
      </c>
      <c r="B254" s="247" t="s">
        <v>270</v>
      </c>
      <c r="C254" s="100">
        <f t="shared" si="18"/>
        <v>0</v>
      </c>
      <c r="D254" s="112">
        <f>SUM(D255,D259,D260)</f>
        <v>0</v>
      </c>
      <c r="E254" s="248">
        <f>SUM(E255,E259,E260)</f>
        <v>0</v>
      </c>
      <c r="F254" s="249">
        <f t="shared" si="19"/>
        <v>0</v>
      </c>
      <c r="G254" s="112">
        <f>SUM(G255,G259,G260)</f>
        <v>0</v>
      </c>
      <c r="H254" s="113">
        <f>SUM(H255,H259,H260)</f>
        <v>0</v>
      </c>
      <c r="I254" s="114">
        <f t="shared" si="20"/>
        <v>0</v>
      </c>
      <c r="J254" s="112">
        <f>SUM(J255,J259,J260)</f>
        <v>0</v>
      </c>
      <c r="K254" s="113">
        <f>SUM(K255,K259,K260)</f>
        <v>0</v>
      </c>
      <c r="L254" s="114">
        <f t="shared" si="21"/>
        <v>0</v>
      </c>
      <c r="M254" s="303">
        <f>SUM(M255,M259,M260)</f>
        <v>0</v>
      </c>
      <c r="N254" s="304">
        <f>SUM(N255,N259,N260)</f>
        <v>0</v>
      </c>
      <c r="O254" s="305">
        <f t="shared" si="22"/>
        <v>0</v>
      </c>
      <c r="P254" s="306"/>
      <c r="R254" s="53"/>
      <c r="S254" s="53"/>
      <c r="T254" s="53"/>
      <c r="U254" s="53"/>
    </row>
    <row r="255" spans="1:21" ht="24" hidden="1" x14ac:dyDescent="0.25">
      <c r="A255" s="656">
        <v>6320</v>
      </c>
      <c r="B255" s="116" t="s">
        <v>271</v>
      </c>
      <c r="C255" s="322">
        <f t="shared" si="18"/>
        <v>0</v>
      </c>
      <c r="D255" s="297">
        <f>SUM(D256:D258)</f>
        <v>0</v>
      </c>
      <c r="E255" s="298">
        <f>SUM(E256:E258)</f>
        <v>0</v>
      </c>
      <c r="F255" s="296">
        <f t="shared" si="19"/>
        <v>0</v>
      </c>
      <c r="G255" s="297">
        <f>SUM(G256:G258)</f>
        <v>0</v>
      </c>
      <c r="H255" s="299">
        <f>SUM(H256:H258)</f>
        <v>0</v>
      </c>
      <c r="I255" s="125">
        <f t="shared" si="20"/>
        <v>0</v>
      </c>
      <c r="J255" s="297">
        <f>SUM(J256:J258)</f>
        <v>0</v>
      </c>
      <c r="K255" s="299">
        <f>SUM(K256:K258)</f>
        <v>0</v>
      </c>
      <c r="L255" s="125">
        <f t="shared" si="21"/>
        <v>0</v>
      </c>
      <c r="M255" s="300">
        <f>SUM(M256:M258)</f>
        <v>0</v>
      </c>
      <c r="N255" s="301">
        <f>SUM(N256:N258)</f>
        <v>0</v>
      </c>
      <c r="O255" s="125">
        <f t="shared" si="22"/>
        <v>0</v>
      </c>
      <c r="P255" s="74"/>
      <c r="R255" s="53"/>
      <c r="S255" s="53"/>
      <c r="T255" s="53"/>
      <c r="U255" s="53"/>
    </row>
    <row r="256" spans="1:21" hidden="1" x14ac:dyDescent="0.25">
      <c r="A256" s="76">
        <v>6322</v>
      </c>
      <c r="B256" s="127" t="s">
        <v>272</v>
      </c>
      <c r="C256" s="281">
        <f t="shared" si="18"/>
        <v>0</v>
      </c>
      <c r="D256" s="134"/>
      <c r="E256" s="283"/>
      <c r="F256" s="279">
        <f t="shared" si="19"/>
        <v>0</v>
      </c>
      <c r="G256" s="134"/>
      <c r="H256" s="135"/>
      <c r="I256" s="136">
        <f t="shared" si="20"/>
        <v>0</v>
      </c>
      <c r="J256" s="134"/>
      <c r="K256" s="135"/>
      <c r="L256" s="136">
        <f t="shared" si="21"/>
        <v>0</v>
      </c>
      <c r="M256" s="284"/>
      <c r="N256" s="285"/>
      <c r="O256" s="136">
        <f t="shared" si="22"/>
        <v>0</v>
      </c>
      <c r="P256" s="85"/>
      <c r="R256" s="53"/>
      <c r="S256" s="53"/>
      <c r="T256" s="53"/>
      <c r="U256" s="53"/>
    </row>
    <row r="257" spans="1:21" ht="24" hidden="1" x14ac:dyDescent="0.25">
      <c r="A257" s="76">
        <v>6323</v>
      </c>
      <c r="B257" s="127" t="s">
        <v>273</v>
      </c>
      <c r="C257" s="281">
        <f t="shared" si="18"/>
        <v>0</v>
      </c>
      <c r="D257" s="134"/>
      <c r="E257" s="283"/>
      <c r="F257" s="279">
        <f t="shared" si="19"/>
        <v>0</v>
      </c>
      <c r="G257" s="134"/>
      <c r="H257" s="135"/>
      <c r="I257" s="136">
        <f t="shared" si="20"/>
        <v>0</v>
      </c>
      <c r="J257" s="134"/>
      <c r="K257" s="135"/>
      <c r="L257" s="136">
        <f t="shared" si="21"/>
        <v>0</v>
      </c>
      <c r="M257" s="284"/>
      <c r="N257" s="285"/>
      <c r="O257" s="136">
        <f t="shared" si="22"/>
        <v>0</v>
      </c>
      <c r="P257" s="85"/>
      <c r="R257" s="53"/>
      <c r="S257" s="53"/>
      <c r="T257" s="53"/>
      <c r="U257" s="53"/>
    </row>
    <row r="258" spans="1:21" ht="24" hidden="1" x14ac:dyDescent="0.25">
      <c r="A258" s="66">
        <v>6324</v>
      </c>
      <c r="B258" s="116" t="s">
        <v>274</v>
      </c>
      <c r="C258" s="281">
        <f t="shared" si="18"/>
        <v>0</v>
      </c>
      <c r="D258" s="123"/>
      <c r="E258" s="295"/>
      <c r="F258" s="296">
        <f t="shared" si="19"/>
        <v>0</v>
      </c>
      <c r="G258" s="123"/>
      <c r="H258" s="124"/>
      <c r="I258" s="125">
        <f t="shared" si="20"/>
        <v>0</v>
      </c>
      <c r="J258" s="123"/>
      <c r="K258" s="124"/>
      <c r="L258" s="125">
        <f t="shared" si="21"/>
        <v>0</v>
      </c>
      <c r="M258" s="264"/>
      <c r="N258" s="262"/>
      <c r="O258" s="125">
        <f t="shared" si="22"/>
        <v>0</v>
      </c>
      <c r="P258" s="74"/>
      <c r="R258" s="53"/>
      <c r="S258" s="53"/>
      <c r="T258" s="53"/>
      <c r="U258" s="53"/>
    </row>
    <row r="259" spans="1:21" ht="24" hidden="1" x14ac:dyDescent="0.25">
      <c r="A259" s="344">
        <v>6330</v>
      </c>
      <c r="B259" s="345" t="s">
        <v>275</v>
      </c>
      <c r="C259" s="281">
        <f t="shared" si="18"/>
        <v>0</v>
      </c>
      <c r="D259" s="328"/>
      <c r="E259" s="683"/>
      <c r="F259" s="647">
        <f t="shared" si="19"/>
        <v>0</v>
      </c>
      <c r="G259" s="328"/>
      <c r="H259" s="331"/>
      <c r="I259" s="324">
        <f t="shared" si="20"/>
        <v>0</v>
      </c>
      <c r="J259" s="328"/>
      <c r="K259" s="331"/>
      <c r="L259" s="324">
        <f t="shared" si="21"/>
        <v>0</v>
      </c>
      <c r="M259" s="332"/>
      <c r="N259" s="329"/>
      <c r="O259" s="324">
        <f t="shared" si="22"/>
        <v>0</v>
      </c>
      <c r="P259" s="325"/>
      <c r="R259" s="53"/>
      <c r="S259" s="53"/>
      <c r="T259" s="53"/>
      <c r="U259" s="53"/>
    </row>
    <row r="260" spans="1:21" hidden="1" x14ac:dyDescent="0.25">
      <c r="A260" s="276">
        <v>6360</v>
      </c>
      <c r="B260" s="127" t="s">
        <v>276</v>
      </c>
      <c r="C260" s="281">
        <f t="shared" si="18"/>
        <v>0</v>
      </c>
      <c r="D260" s="134"/>
      <c r="E260" s="283"/>
      <c r="F260" s="279">
        <f t="shared" si="19"/>
        <v>0</v>
      </c>
      <c r="G260" s="134"/>
      <c r="H260" s="135"/>
      <c r="I260" s="136">
        <f t="shared" si="20"/>
        <v>0</v>
      </c>
      <c r="J260" s="134"/>
      <c r="K260" s="135"/>
      <c r="L260" s="136">
        <f t="shared" si="21"/>
        <v>0</v>
      </c>
      <c r="M260" s="284"/>
      <c r="N260" s="285"/>
      <c r="O260" s="136">
        <f t="shared" si="22"/>
        <v>0</v>
      </c>
      <c r="P260" s="85"/>
      <c r="R260" s="53"/>
      <c r="S260" s="53"/>
      <c r="T260" s="53"/>
      <c r="U260" s="53"/>
    </row>
    <row r="261" spans="1:21" ht="36" hidden="1" x14ac:dyDescent="0.25">
      <c r="A261" s="99">
        <v>6400</v>
      </c>
      <c r="B261" s="247" t="s">
        <v>277</v>
      </c>
      <c r="C261" s="100">
        <f t="shared" si="18"/>
        <v>0</v>
      </c>
      <c r="D261" s="112">
        <f>SUM(D262,D266)</f>
        <v>0</v>
      </c>
      <c r="E261" s="248">
        <f>SUM(E262,E266)</f>
        <v>0</v>
      </c>
      <c r="F261" s="249">
        <f t="shared" si="19"/>
        <v>0</v>
      </c>
      <c r="G261" s="112">
        <f>SUM(G262,G266)</f>
        <v>0</v>
      </c>
      <c r="H261" s="113">
        <f>SUM(H262,H266)</f>
        <v>0</v>
      </c>
      <c r="I261" s="114">
        <f t="shared" si="20"/>
        <v>0</v>
      </c>
      <c r="J261" s="112">
        <f>SUM(J262,J266)</f>
        <v>0</v>
      </c>
      <c r="K261" s="113">
        <f>SUM(K262,K266)</f>
        <v>0</v>
      </c>
      <c r="L261" s="114">
        <f t="shared" si="21"/>
        <v>0</v>
      </c>
      <c r="M261" s="303">
        <f>SUM(M262,M266)</f>
        <v>0</v>
      </c>
      <c r="N261" s="304">
        <f>SUM(N262,N266)</f>
        <v>0</v>
      </c>
      <c r="O261" s="305">
        <f t="shared" si="22"/>
        <v>0</v>
      </c>
      <c r="P261" s="306"/>
      <c r="R261" s="53"/>
      <c r="S261" s="53"/>
      <c r="T261" s="53"/>
      <c r="U261" s="53"/>
    </row>
    <row r="262" spans="1:21" ht="24" hidden="1" x14ac:dyDescent="0.25">
      <c r="A262" s="656">
        <v>6410</v>
      </c>
      <c r="B262" s="116" t="s">
        <v>278</v>
      </c>
      <c r="C262" s="300">
        <f t="shared" si="18"/>
        <v>0</v>
      </c>
      <c r="D262" s="297">
        <f>SUM(D263:D265)</f>
        <v>0</v>
      </c>
      <c r="E262" s="298">
        <f>SUM(E263:E265)</f>
        <v>0</v>
      </c>
      <c r="F262" s="296">
        <f t="shared" si="19"/>
        <v>0</v>
      </c>
      <c r="G262" s="297">
        <f>SUM(G263:G265)</f>
        <v>0</v>
      </c>
      <c r="H262" s="299">
        <f>SUM(H263:H265)</f>
        <v>0</v>
      </c>
      <c r="I262" s="125">
        <f t="shared" si="20"/>
        <v>0</v>
      </c>
      <c r="J262" s="297">
        <f>SUM(J263:J265)</f>
        <v>0</v>
      </c>
      <c r="K262" s="299">
        <f>SUM(K263:K265)</f>
        <v>0</v>
      </c>
      <c r="L262" s="125">
        <f t="shared" si="21"/>
        <v>0</v>
      </c>
      <c r="M262" s="317">
        <f>SUM(M263:M265)</f>
        <v>0</v>
      </c>
      <c r="N262" s="318">
        <f>SUM(N263:N265)</f>
        <v>0</v>
      </c>
      <c r="O262" s="151">
        <f t="shared" si="22"/>
        <v>0</v>
      </c>
      <c r="P262" s="153"/>
      <c r="R262" s="53"/>
      <c r="S262" s="53"/>
      <c r="T262" s="53"/>
      <c r="U262" s="53"/>
    </row>
    <row r="263" spans="1:21" hidden="1" x14ac:dyDescent="0.25">
      <c r="A263" s="76">
        <v>6411</v>
      </c>
      <c r="B263" s="346" t="s">
        <v>279</v>
      </c>
      <c r="C263" s="278">
        <f t="shared" si="18"/>
        <v>0</v>
      </c>
      <c r="D263" s="134"/>
      <c r="E263" s="283"/>
      <c r="F263" s="279">
        <f t="shared" si="19"/>
        <v>0</v>
      </c>
      <c r="G263" s="134"/>
      <c r="H263" s="135"/>
      <c r="I263" s="136">
        <f t="shared" si="20"/>
        <v>0</v>
      </c>
      <c r="J263" s="134"/>
      <c r="K263" s="135"/>
      <c r="L263" s="136">
        <f t="shared" si="21"/>
        <v>0</v>
      </c>
      <c r="M263" s="284"/>
      <c r="N263" s="285"/>
      <c r="O263" s="136">
        <f t="shared" si="22"/>
        <v>0</v>
      </c>
      <c r="P263" s="85"/>
      <c r="R263" s="53"/>
      <c r="S263" s="53"/>
      <c r="T263" s="53"/>
      <c r="U263" s="53"/>
    </row>
    <row r="264" spans="1:21" ht="36" hidden="1" x14ac:dyDescent="0.25">
      <c r="A264" s="76">
        <v>6412</v>
      </c>
      <c r="B264" s="127" t="s">
        <v>280</v>
      </c>
      <c r="C264" s="278">
        <f t="shared" si="18"/>
        <v>0</v>
      </c>
      <c r="D264" s="134"/>
      <c r="E264" s="283"/>
      <c r="F264" s="279">
        <f t="shared" si="19"/>
        <v>0</v>
      </c>
      <c r="G264" s="134"/>
      <c r="H264" s="135"/>
      <c r="I264" s="136">
        <f t="shared" si="20"/>
        <v>0</v>
      </c>
      <c r="J264" s="134"/>
      <c r="K264" s="135"/>
      <c r="L264" s="136">
        <f t="shared" si="21"/>
        <v>0</v>
      </c>
      <c r="M264" s="284"/>
      <c r="N264" s="285"/>
      <c r="O264" s="136">
        <f t="shared" si="22"/>
        <v>0</v>
      </c>
      <c r="P264" s="85"/>
      <c r="R264" s="53"/>
      <c r="S264" s="53"/>
      <c r="T264" s="53"/>
      <c r="U264" s="53"/>
    </row>
    <row r="265" spans="1:21" ht="36" hidden="1" x14ac:dyDescent="0.25">
      <c r="A265" s="76">
        <v>6419</v>
      </c>
      <c r="B265" s="127" t="s">
        <v>281</v>
      </c>
      <c r="C265" s="278">
        <f t="shared" si="18"/>
        <v>0</v>
      </c>
      <c r="D265" s="134"/>
      <c r="E265" s="283"/>
      <c r="F265" s="279">
        <f t="shared" si="19"/>
        <v>0</v>
      </c>
      <c r="G265" s="134"/>
      <c r="H265" s="135"/>
      <c r="I265" s="136">
        <f t="shared" si="20"/>
        <v>0</v>
      </c>
      <c r="J265" s="134"/>
      <c r="K265" s="135"/>
      <c r="L265" s="136">
        <f t="shared" si="21"/>
        <v>0</v>
      </c>
      <c r="M265" s="284"/>
      <c r="N265" s="285"/>
      <c r="O265" s="136">
        <f t="shared" si="22"/>
        <v>0</v>
      </c>
      <c r="P265" s="85"/>
      <c r="R265" s="53"/>
      <c r="S265" s="53"/>
      <c r="T265" s="53"/>
      <c r="U265" s="53"/>
    </row>
    <row r="266" spans="1:21" ht="36" hidden="1" x14ac:dyDescent="0.25">
      <c r="A266" s="276">
        <v>6420</v>
      </c>
      <c r="B266" s="127" t="s">
        <v>282</v>
      </c>
      <c r="C266" s="278">
        <f t="shared" si="18"/>
        <v>0</v>
      </c>
      <c r="D266" s="277">
        <f>SUM(D267:D270)</f>
        <v>0</v>
      </c>
      <c r="E266" s="278">
        <f>SUM(E267:E270)</f>
        <v>0</v>
      </c>
      <c r="F266" s="279">
        <f t="shared" si="19"/>
        <v>0</v>
      </c>
      <c r="G266" s="277">
        <f>SUM(G267:G270)</f>
        <v>0</v>
      </c>
      <c r="H266" s="280">
        <f>SUM(H267:H270)</f>
        <v>0</v>
      </c>
      <c r="I266" s="136">
        <f t="shared" si="20"/>
        <v>0</v>
      </c>
      <c r="J266" s="277">
        <f>SUM(J267:J270)</f>
        <v>0</v>
      </c>
      <c r="K266" s="280">
        <f>SUM(K267:K270)</f>
        <v>0</v>
      </c>
      <c r="L266" s="136">
        <f t="shared" si="21"/>
        <v>0</v>
      </c>
      <c r="M266" s="281">
        <f>SUM(M267:M270)</f>
        <v>0</v>
      </c>
      <c r="N266" s="282">
        <f>SUM(N267:N270)</f>
        <v>0</v>
      </c>
      <c r="O266" s="136">
        <f t="shared" si="22"/>
        <v>0</v>
      </c>
      <c r="P266" s="85"/>
      <c r="R266" s="53"/>
      <c r="S266" s="53"/>
      <c r="T266" s="53"/>
      <c r="U266" s="53"/>
    </row>
    <row r="267" spans="1:21" hidden="1" x14ac:dyDescent="0.25">
      <c r="A267" s="76">
        <v>6421</v>
      </c>
      <c r="B267" s="127" t="s">
        <v>283</v>
      </c>
      <c r="C267" s="278">
        <f t="shared" si="18"/>
        <v>0</v>
      </c>
      <c r="D267" s="134"/>
      <c r="E267" s="283"/>
      <c r="F267" s="279">
        <f t="shared" si="19"/>
        <v>0</v>
      </c>
      <c r="G267" s="134"/>
      <c r="H267" s="135"/>
      <c r="I267" s="136">
        <f t="shared" si="20"/>
        <v>0</v>
      </c>
      <c r="J267" s="134"/>
      <c r="K267" s="135"/>
      <c r="L267" s="136">
        <f t="shared" si="21"/>
        <v>0</v>
      </c>
      <c r="M267" s="284"/>
      <c r="N267" s="285"/>
      <c r="O267" s="136">
        <f t="shared" si="22"/>
        <v>0</v>
      </c>
      <c r="P267" s="85"/>
      <c r="R267" s="53"/>
      <c r="S267" s="53"/>
      <c r="T267" s="53"/>
      <c r="U267" s="53"/>
    </row>
    <row r="268" spans="1:21" hidden="1" x14ac:dyDescent="0.25">
      <c r="A268" s="76">
        <v>6422</v>
      </c>
      <c r="B268" s="127" t="s">
        <v>284</v>
      </c>
      <c r="C268" s="278">
        <f t="shared" si="18"/>
        <v>0</v>
      </c>
      <c r="D268" s="134"/>
      <c r="E268" s="283"/>
      <c r="F268" s="279">
        <f t="shared" si="19"/>
        <v>0</v>
      </c>
      <c r="G268" s="134"/>
      <c r="H268" s="135"/>
      <c r="I268" s="136">
        <f t="shared" si="20"/>
        <v>0</v>
      </c>
      <c r="J268" s="134"/>
      <c r="K268" s="135"/>
      <c r="L268" s="136">
        <f t="shared" si="21"/>
        <v>0</v>
      </c>
      <c r="M268" s="284"/>
      <c r="N268" s="285"/>
      <c r="O268" s="136">
        <f t="shared" si="22"/>
        <v>0</v>
      </c>
      <c r="P268" s="85"/>
      <c r="R268" s="53"/>
      <c r="S268" s="53"/>
      <c r="T268" s="53"/>
      <c r="U268" s="53"/>
    </row>
    <row r="269" spans="1:21" ht="24" hidden="1" x14ac:dyDescent="0.25">
      <c r="A269" s="76">
        <v>6423</v>
      </c>
      <c r="B269" s="127" t="s">
        <v>285</v>
      </c>
      <c r="C269" s="278">
        <f t="shared" si="18"/>
        <v>0</v>
      </c>
      <c r="D269" s="134"/>
      <c r="E269" s="283"/>
      <c r="F269" s="279">
        <f t="shared" si="19"/>
        <v>0</v>
      </c>
      <c r="G269" s="134"/>
      <c r="H269" s="135"/>
      <c r="I269" s="136">
        <f t="shared" si="20"/>
        <v>0</v>
      </c>
      <c r="J269" s="134"/>
      <c r="K269" s="135"/>
      <c r="L269" s="136">
        <f t="shared" si="21"/>
        <v>0</v>
      </c>
      <c r="M269" s="284"/>
      <c r="N269" s="285"/>
      <c r="O269" s="136">
        <f t="shared" si="22"/>
        <v>0</v>
      </c>
      <c r="P269" s="85"/>
      <c r="R269" s="53"/>
      <c r="S269" s="53"/>
      <c r="T269" s="53"/>
      <c r="U269" s="53"/>
    </row>
    <row r="270" spans="1:21" ht="36" hidden="1" x14ac:dyDescent="0.25">
      <c r="A270" s="76">
        <v>6424</v>
      </c>
      <c r="B270" s="127" t="s">
        <v>286</v>
      </c>
      <c r="C270" s="278">
        <f t="shared" si="18"/>
        <v>0</v>
      </c>
      <c r="D270" s="134"/>
      <c r="E270" s="283"/>
      <c r="F270" s="279">
        <f t="shared" si="19"/>
        <v>0</v>
      </c>
      <c r="G270" s="134"/>
      <c r="H270" s="135"/>
      <c r="I270" s="136">
        <f t="shared" si="20"/>
        <v>0</v>
      </c>
      <c r="J270" s="134"/>
      <c r="K270" s="135"/>
      <c r="L270" s="136">
        <f t="shared" si="21"/>
        <v>0</v>
      </c>
      <c r="M270" s="284"/>
      <c r="N270" s="285"/>
      <c r="O270" s="136">
        <f t="shared" si="22"/>
        <v>0</v>
      </c>
      <c r="P270" s="85"/>
      <c r="R270" s="53"/>
      <c r="S270" s="53"/>
      <c r="T270" s="53"/>
      <c r="U270" s="53"/>
    </row>
    <row r="271" spans="1:21" ht="36" hidden="1" x14ac:dyDescent="0.25">
      <c r="A271" s="347">
        <v>7000</v>
      </c>
      <c r="B271" s="347" t="s">
        <v>287</v>
      </c>
      <c r="C271" s="348">
        <f t="shared" si="18"/>
        <v>0</v>
      </c>
      <c r="D271" s="349">
        <f>SUM(D272,D282)</f>
        <v>0</v>
      </c>
      <c r="E271" s="350">
        <f>SUM(E272,E282)</f>
        <v>0</v>
      </c>
      <c r="F271" s="351">
        <f t="shared" si="19"/>
        <v>0</v>
      </c>
      <c r="G271" s="349">
        <f>SUM(G272,G282)</f>
        <v>0</v>
      </c>
      <c r="H271" s="352">
        <f>SUM(H272,H282)</f>
        <v>0</v>
      </c>
      <c r="I271" s="353">
        <f t="shared" si="20"/>
        <v>0</v>
      </c>
      <c r="J271" s="349">
        <f>SUM(J272,J282)</f>
        <v>0</v>
      </c>
      <c r="K271" s="352">
        <f>SUM(K272,K282)</f>
        <v>0</v>
      </c>
      <c r="L271" s="353">
        <f t="shared" si="21"/>
        <v>0</v>
      </c>
      <c r="M271" s="354">
        <f>SUM(M272,M282)</f>
        <v>0</v>
      </c>
      <c r="N271" s="355">
        <f>SUM(N272,N282)</f>
        <v>0</v>
      </c>
      <c r="O271" s="356">
        <f t="shared" si="22"/>
        <v>0</v>
      </c>
      <c r="P271" s="357"/>
      <c r="R271" s="53"/>
      <c r="S271" s="53"/>
      <c r="T271" s="53"/>
      <c r="U271" s="53"/>
    </row>
    <row r="272" spans="1:21" ht="24" hidden="1" x14ac:dyDescent="0.25">
      <c r="A272" s="99">
        <v>7200</v>
      </c>
      <c r="B272" s="247" t="s">
        <v>288</v>
      </c>
      <c r="C272" s="100">
        <f t="shared" si="18"/>
        <v>0</v>
      </c>
      <c r="D272" s="112">
        <f>SUM(D273,D274,D277,D278,D281)</f>
        <v>0</v>
      </c>
      <c r="E272" s="248">
        <f>SUM(E273,E274,E277,E278,E281)</f>
        <v>0</v>
      </c>
      <c r="F272" s="249">
        <f t="shared" si="19"/>
        <v>0</v>
      </c>
      <c r="G272" s="112">
        <f>SUM(G273,G274,G277,G278,G281)</f>
        <v>0</v>
      </c>
      <c r="H272" s="113">
        <f>SUM(H273,H274,H277,H278,H281)</f>
        <v>0</v>
      </c>
      <c r="I272" s="114">
        <f t="shared" si="20"/>
        <v>0</v>
      </c>
      <c r="J272" s="112">
        <f>SUM(J273,J274,J277,J278,J281)</f>
        <v>0</v>
      </c>
      <c r="K272" s="113">
        <f>SUM(K273,K274,K277,K278,K281)</f>
        <v>0</v>
      </c>
      <c r="L272" s="114">
        <f t="shared" si="21"/>
        <v>0</v>
      </c>
      <c r="M272" s="250">
        <f>SUM(M273,M274,M277,M278,M281)</f>
        <v>0</v>
      </c>
      <c r="N272" s="251">
        <f>SUM(N273,N274,N277,N278,N281)</f>
        <v>0</v>
      </c>
      <c r="O272" s="252">
        <f t="shared" si="22"/>
        <v>0</v>
      </c>
      <c r="P272" s="253"/>
      <c r="R272" s="53"/>
      <c r="S272" s="53"/>
      <c r="T272" s="53"/>
      <c r="U272" s="53"/>
    </row>
    <row r="273" spans="1:21" ht="24" hidden="1" x14ac:dyDescent="0.25">
      <c r="A273" s="656">
        <v>7210</v>
      </c>
      <c r="B273" s="116" t="s">
        <v>289</v>
      </c>
      <c r="C273" s="117">
        <f t="shared" si="18"/>
        <v>0</v>
      </c>
      <c r="D273" s="123"/>
      <c r="E273" s="295"/>
      <c r="F273" s="296">
        <f t="shared" si="19"/>
        <v>0</v>
      </c>
      <c r="G273" s="123"/>
      <c r="H273" s="124"/>
      <c r="I273" s="125">
        <f t="shared" si="20"/>
        <v>0</v>
      </c>
      <c r="J273" s="123"/>
      <c r="K273" s="124"/>
      <c r="L273" s="125">
        <f t="shared" si="21"/>
        <v>0</v>
      </c>
      <c r="M273" s="264"/>
      <c r="N273" s="262"/>
      <c r="O273" s="125">
        <f t="shared" si="22"/>
        <v>0</v>
      </c>
      <c r="P273" s="74"/>
      <c r="R273" s="53"/>
      <c r="S273" s="53"/>
      <c r="T273" s="53"/>
      <c r="U273" s="53"/>
    </row>
    <row r="274" spans="1:21" s="358" customFormat="1" ht="36" hidden="1" x14ac:dyDescent="0.25">
      <c r="A274" s="276">
        <v>7220</v>
      </c>
      <c r="B274" s="127" t="s">
        <v>290</v>
      </c>
      <c r="C274" s="128">
        <f t="shared" si="18"/>
        <v>0</v>
      </c>
      <c r="D274" s="277">
        <f>SUM(D275:D276)</f>
        <v>0</v>
      </c>
      <c r="E274" s="278">
        <f>SUM(E275:E276)</f>
        <v>0</v>
      </c>
      <c r="F274" s="279">
        <f t="shared" si="19"/>
        <v>0</v>
      </c>
      <c r="G274" s="277">
        <f>SUM(G275:G276)</f>
        <v>0</v>
      </c>
      <c r="H274" s="280">
        <f>SUM(H275:H276)</f>
        <v>0</v>
      </c>
      <c r="I274" s="136">
        <f t="shared" si="20"/>
        <v>0</v>
      </c>
      <c r="J274" s="277">
        <f>SUM(J275:J276)</f>
        <v>0</v>
      </c>
      <c r="K274" s="280">
        <f>SUM(K275:K276)</f>
        <v>0</v>
      </c>
      <c r="L274" s="136">
        <f t="shared" si="21"/>
        <v>0</v>
      </c>
      <c r="M274" s="281">
        <f>SUM(M275:M276)</f>
        <v>0</v>
      </c>
      <c r="N274" s="282">
        <f>SUM(N275:N276)</f>
        <v>0</v>
      </c>
      <c r="O274" s="136">
        <f t="shared" si="22"/>
        <v>0</v>
      </c>
      <c r="P274" s="85"/>
      <c r="R274" s="53"/>
      <c r="S274" s="53"/>
      <c r="T274" s="53"/>
      <c r="U274" s="53"/>
    </row>
    <row r="275" spans="1:21" s="358" customFormat="1" ht="36" hidden="1" x14ac:dyDescent="0.25">
      <c r="A275" s="76">
        <v>7221</v>
      </c>
      <c r="B275" s="127" t="s">
        <v>291</v>
      </c>
      <c r="C275" s="128">
        <f t="shared" si="18"/>
        <v>0</v>
      </c>
      <c r="D275" s="134"/>
      <c r="E275" s="283"/>
      <c r="F275" s="279">
        <f t="shared" si="19"/>
        <v>0</v>
      </c>
      <c r="G275" s="134"/>
      <c r="H275" s="135"/>
      <c r="I275" s="136">
        <f t="shared" si="20"/>
        <v>0</v>
      </c>
      <c r="J275" s="134"/>
      <c r="K275" s="135"/>
      <c r="L275" s="136">
        <f t="shared" si="21"/>
        <v>0</v>
      </c>
      <c r="M275" s="284"/>
      <c r="N275" s="285"/>
      <c r="O275" s="136">
        <f t="shared" si="22"/>
        <v>0</v>
      </c>
      <c r="P275" s="85"/>
      <c r="R275" s="53"/>
      <c r="S275" s="53"/>
      <c r="T275" s="53"/>
      <c r="U275" s="53"/>
    </row>
    <row r="276" spans="1:21" s="358" customFormat="1" ht="36" hidden="1" x14ac:dyDescent="0.25">
      <c r="A276" s="76">
        <v>7222</v>
      </c>
      <c r="B276" s="127" t="s">
        <v>292</v>
      </c>
      <c r="C276" s="128">
        <f t="shared" si="18"/>
        <v>0</v>
      </c>
      <c r="D276" s="134"/>
      <c r="E276" s="283"/>
      <c r="F276" s="279">
        <f t="shared" si="19"/>
        <v>0</v>
      </c>
      <c r="G276" s="134"/>
      <c r="H276" s="135"/>
      <c r="I276" s="136">
        <f t="shared" si="20"/>
        <v>0</v>
      </c>
      <c r="J276" s="134"/>
      <c r="K276" s="135"/>
      <c r="L276" s="136">
        <f t="shared" si="21"/>
        <v>0</v>
      </c>
      <c r="M276" s="284"/>
      <c r="N276" s="285"/>
      <c r="O276" s="136">
        <f t="shared" si="22"/>
        <v>0</v>
      </c>
      <c r="P276" s="85"/>
      <c r="R276" s="53"/>
      <c r="S276" s="53"/>
      <c r="T276" s="53"/>
      <c r="U276" s="53"/>
    </row>
    <row r="277" spans="1:21" s="358" customFormat="1" ht="24" hidden="1" x14ac:dyDescent="0.25">
      <c r="A277" s="276">
        <v>7230</v>
      </c>
      <c r="B277" s="127" t="s">
        <v>293</v>
      </c>
      <c r="C277" s="128">
        <f t="shared" si="18"/>
        <v>0</v>
      </c>
      <c r="D277" s="134"/>
      <c r="E277" s="283"/>
      <c r="F277" s="279">
        <f t="shared" si="19"/>
        <v>0</v>
      </c>
      <c r="G277" s="134"/>
      <c r="H277" s="135"/>
      <c r="I277" s="136">
        <f t="shared" si="20"/>
        <v>0</v>
      </c>
      <c r="J277" s="134"/>
      <c r="K277" s="135"/>
      <c r="L277" s="136">
        <f t="shared" si="21"/>
        <v>0</v>
      </c>
      <c r="M277" s="284"/>
      <c r="N277" s="285"/>
      <c r="O277" s="136">
        <f t="shared" si="22"/>
        <v>0</v>
      </c>
      <c r="P277" s="85"/>
      <c r="R277" s="53"/>
      <c r="S277" s="53"/>
      <c r="T277" s="53"/>
      <c r="U277" s="53"/>
    </row>
    <row r="278" spans="1:21" ht="24" hidden="1" x14ac:dyDescent="0.25">
      <c r="A278" s="276">
        <v>7240</v>
      </c>
      <c r="B278" s="127" t="s">
        <v>294</v>
      </c>
      <c r="C278" s="128">
        <f t="shared" si="18"/>
        <v>0</v>
      </c>
      <c r="D278" s="277">
        <f>SUM(D279:D280)</f>
        <v>0</v>
      </c>
      <c r="E278" s="278">
        <f>SUM(E279:E280)</f>
        <v>0</v>
      </c>
      <c r="F278" s="279">
        <f t="shared" si="19"/>
        <v>0</v>
      </c>
      <c r="G278" s="277">
        <f>SUM(G279:G280)</f>
        <v>0</v>
      </c>
      <c r="H278" s="280">
        <f>SUM(H279:H280)</f>
        <v>0</v>
      </c>
      <c r="I278" s="136">
        <f t="shared" si="20"/>
        <v>0</v>
      </c>
      <c r="J278" s="277">
        <f>SUM(J279:J280)</f>
        <v>0</v>
      </c>
      <c r="K278" s="280">
        <f>SUM(K279:K280)</f>
        <v>0</v>
      </c>
      <c r="L278" s="136">
        <f t="shared" si="21"/>
        <v>0</v>
      </c>
      <c r="M278" s="281">
        <f>SUM(M279:M280)</f>
        <v>0</v>
      </c>
      <c r="N278" s="282">
        <f>SUM(N279:N280)</f>
        <v>0</v>
      </c>
      <c r="O278" s="136">
        <f>SUM(O279:O280)</f>
        <v>0</v>
      </c>
      <c r="P278" s="85"/>
      <c r="R278" s="53"/>
      <c r="S278" s="53"/>
      <c r="T278" s="53"/>
      <c r="U278" s="53"/>
    </row>
    <row r="279" spans="1:21" ht="48" hidden="1" x14ac:dyDescent="0.25">
      <c r="A279" s="76">
        <v>7245</v>
      </c>
      <c r="B279" s="127" t="s">
        <v>295</v>
      </c>
      <c r="C279" s="128">
        <f t="shared" si="18"/>
        <v>0</v>
      </c>
      <c r="D279" s="134"/>
      <c r="E279" s="283"/>
      <c r="F279" s="279">
        <f t="shared" si="19"/>
        <v>0</v>
      </c>
      <c r="G279" s="134"/>
      <c r="H279" s="135"/>
      <c r="I279" s="136">
        <f t="shared" si="20"/>
        <v>0</v>
      </c>
      <c r="J279" s="134"/>
      <c r="K279" s="135"/>
      <c r="L279" s="136">
        <f t="shared" si="21"/>
        <v>0</v>
      </c>
      <c r="M279" s="284"/>
      <c r="N279" s="285"/>
      <c r="O279" s="136">
        <f t="shared" ref="O279:O299" si="23">M279+N279</f>
        <v>0</v>
      </c>
      <c r="P279" s="85"/>
      <c r="R279" s="53"/>
      <c r="S279" s="53"/>
      <c r="T279" s="53"/>
      <c r="U279" s="53"/>
    </row>
    <row r="280" spans="1:21" ht="96" hidden="1" x14ac:dyDescent="0.25">
      <c r="A280" s="76">
        <v>7246</v>
      </c>
      <c r="B280" s="127" t="s">
        <v>296</v>
      </c>
      <c r="C280" s="128">
        <f t="shared" si="18"/>
        <v>0</v>
      </c>
      <c r="D280" s="134"/>
      <c r="E280" s="283"/>
      <c r="F280" s="279">
        <f t="shared" si="19"/>
        <v>0</v>
      </c>
      <c r="G280" s="134"/>
      <c r="H280" s="135"/>
      <c r="I280" s="136">
        <f t="shared" si="20"/>
        <v>0</v>
      </c>
      <c r="J280" s="134"/>
      <c r="K280" s="135"/>
      <c r="L280" s="136">
        <f t="shared" si="21"/>
        <v>0</v>
      </c>
      <c r="M280" s="284"/>
      <c r="N280" s="285"/>
      <c r="O280" s="136">
        <f t="shared" si="23"/>
        <v>0</v>
      </c>
      <c r="P280" s="85"/>
      <c r="R280" s="53"/>
      <c r="S280" s="53"/>
      <c r="T280" s="53"/>
      <c r="U280" s="53"/>
    </row>
    <row r="281" spans="1:21" ht="24" hidden="1" x14ac:dyDescent="0.25">
      <c r="A281" s="276">
        <v>7260</v>
      </c>
      <c r="B281" s="127" t="s">
        <v>297</v>
      </c>
      <c r="C281" s="128">
        <f t="shared" si="18"/>
        <v>0</v>
      </c>
      <c r="D281" s="123"/>
      <c r="E281" s="295"/>
      <c r="F281" s="296">
        <f t="shared" si="19"/>
        <v>0</v>
      </c>
      <c r="G281" s="123"/>
      <c r="H281" s="124"/>
      <c r="I281" s="125">
        <f t="shared" si="20"/>
        <v>0</v>
      </c>
      <c r="J281" s="123"/>
      <c r="K281" s="124"/>
      <c r="L281" s="125">
        <f t="shared" si="21"/>
        <v>0</v>
      </c>
      <c r="M281" s="264"/>
      <c r="N281" s="262"/>
      <c r="O281" s="125">
        <f t="shared" si="23"/>
        <v>0</v>
      </c>
      <c r="P281" s="74"/>
      <c r="R281" s="53"/>
      <c r="S281" s="53"/>
      <c r="T281" s="53"/>
      <c r="U281" s="53"/>
    </row>
    <row r="282" spans="1:21" hidden="1" x14ac:dyDescent="0.25">
      <c r="A282" s="99">
        <v>7700</v>
      </c>
      <c r="B282" s="247" t="s">
        <v>298</v>
      </c>
      <c r="C282" s="359">
        <f t="shared" si="18"/>
        <v>0</v>
      </c>
      <c r="D282" s="360">
        <f>D283</f>
        <v>0</v>
      </c>
      <c r="E282" s="679">
        <f>SUM(E283)</f>
        <v>0</v>
      </c>
      <c r="F282" s="302">
        <f t="shared" si="19"/>
        <v>0</v>
      </c>
      <c r="G282" s="360">
        <f>G283</f>
        <v>0</v>
      </c>
      <c r="H282" s="361">
        <f>SUM(H283)</f>
        <v>0</v>
      </c>
      <c r="I282" s="305">
        <f t="shared" si="20"/>
        <v>0</v>
      </c>
      <c r="J282" s="360">
        <f>J283</f>
        <v>0</v>
      </c>
      <c r="K282" s="361">
        <f>SUM(K283)</f>
        <v>0</v>
      </c>
      <c r="L282" s="305">
        <f t="shared" si="21"/>
        <v>0</v>
      </c>
      <c r="M282" s="303">
        <f>M283</f>
        <v>0</v>
      </c>
      <c r="N282" s="304">
        <f>SUM(N283)</f>
        <v>0</v>
      </c>
      <c r="O282" s="305">
        <f t="shared" si="23"/>
        <v>0</v>
      </c>
      <c r="P282" s="306"/>
      <c r="R282" s="53"/>
      <c r="S282" s="53"/>
      <c r="T282" s="53"/>
      <c r="U282" s="53"/>
    </row>
    <row r="283" spans="1:21" hidden="1" x14ac:dyDescent="0.25">
      <c r="A283" s="141">
        <v>7720</v>
      </c>
      <c r="B283" s="142" t="s">
        <v>299</v>
      </c>
      <c r="C283" s="362">
        <f t="shared" si="18"/>
        <v>0</v>
      </c>
      <c r="D283" s="149"/>
      <c r="E283" s="686"/>
      <c r="F283" s="362">
        <f t="shared" si="19"/>
        <v>0</v>
      </c>
      <c r="G283" s="149"/>
      <c r="H283" s="150"/>
      <c r="I283" s="151">
        <f t="shared" si="20"/>
        <v>0</v>
      </c>
      <c r="J283" s="149"/>
      <c r="K283" s="150"/>
      <c r="L283" s="151">
        <f t="shared" si="21"/>
        <v>0</v>
      </c>
      <c r="M283" s="365"/>
      <c r="N283" s="363"/>
      <c r="O283" s="151">
        <f t="shared" si="23"/>
        <v>0</v>
      </c>
      <c r="P283" s="153"/>
      <c r="R283" s="53"/>
      <c r="S283" s="53"/>
      <c r="T283" s="53"/>
      <c r="U283" s="53"/>
    </row>
    <row r="284" spans="1:21" hidden="1" x14ac:dyDescent="0.25">
      <c r="A284" s="366"/>
      <c r="B284" s="179" t="s">
        <v>300</v>
      </c>
      <c r="C284" s="117">
        <f t="shared" si="18"/>
        <v>0</v>
      </c>
      <c r="D284" s="255">
        <f>SUM(D285:D286)</f>
        <v>0</v>
      </c>
      <c r="E284" s="256">
        <f>SUM(E285:E286)</f>
        <v>0</v>
      </c>
      <c r="F284" s="257">
        <f t="shared" si="19"/>
        <v>0</v>
      </c>
      <c r="G284" s="255">
        <f>SUM(G285:G286)</f>
        <v>0</v>
      </c>
      <c r="H284" s="258">
        <f>SUM(H285:H286)</f>
        <v>0</v>
      </c>
      <c r="I284" s="259">
        <f t="shared" si="20"/>
        <v>0</v>
      </c>
      <c r="J284" s="255">
        <f>SUM(J285:J286)</f>
        <v>0</v>
      </c>
      <c r="K284" s="258">
        <f>SUM(K285:K286)</f>
        <v>0</v>
      </c>
      <c r="L284" s="259">
        <f t="shared" si="21"/>
        <v>0</v>
      </c>
      <c r="M284" s="260">
        <f>SUM(M285:M286)</f>
        <v>0</v>
      </c>
      <c r="N284" s="261">
        <f>SUM(N285:N286)</f>
        <v>0</v>
      </c>
      <c r="O284" s="259">
        <f t="shared" si="23"/>
        <v>0</v>
      </c>
      <c r="P284" s="189"/>
      <c r="R284" s="53"/>
      <c r="S284" s="53"/>
      <c r="T284" s="53"/>
      <c r="U284" s="53"/>
    </row>
    <row r="285" spans="1:21" hidden="1" x14ac:dyDescent="0.25">
      <c r="A285" s="346" t="s">
        <v>301</v>
      </c>
      <c r="B285" s="76" t="s">
        <v>302</v>
      </c>
      <c r="C285" s="279">
        <f t="shared" si="18"/>
        <v>0</v>
      </c>
      <c r="D285" s="134"/>
      <c r="E285" s="283"/>
      <c r="F285" s="279">
        <f t="shared" si="19"/>
        <v>0</v>
      </c>
      <c r="G285" s="134"/>
      <c r="H285" s="135"/>
      <c r="I285" s="136">
        <f t="shared" si="20"/>
        <v>0</v>
      </c>
      <c r="J285" s="134"/>
      <c r="K285" s="135"/>
      <c r="L285" s="136">
        <f t="shared" si="21"/>
        <v>0</v>
      </c>
      <c r="M285" s="284"/>
      <c r="N285" s="285"/>
      <c r="O285" s="136">
        <f t="shared" si="23"/>
        <v>0</v>
      </c>
      <c r="P285" s="85"/>
      <c r="R285" s="53"/>
      <c r="S285" s="53"/>
      <c r="T285" s="53"/>
      <c r="U285" s="53"/>
    </row>
    <row r="286" spans="1:21" ht="24" hidden="1" x14ac:dyDescent="0.25">
      <c r="A286" s="346" t="s">
        <v>303</v>
      </c>
      <c r="B286" s="367" t="s">
        <v>304</v>
      </c>
      <c r="C286" s="117">
        <f t="shared" si="18"/>
        <v>0</v>
      </c>
      <c r="D286" s="123"/>
      <c r="E286" s="295"/>
      <c r="F286" s="296">
        <f t="shared" si="19"/>
        <v>0</v>
      </c>
      <c r="G286" s="123"/>
      <c r="H286" s="124"/>
      <c r="I286" s="125">
        <f t="shared" si="20"/>
        <v>0</v>
      </c>
      <c r="J286" s="123"/>
      <c r="K286" s="124"/>
      <c r="L286" s="125">
        <f t="shared" si="21"/>
        <v>0</v>
      </c>
      <c r="M286" s="264"/>
      <c r="N286" s="262"/>
      <c r="O286" s="125">
        <f t="shared" si="23"/>
        <v>0</v>
      </c>
      <c r="P286" s="74"/>
      <c r="R286" s="53"/>
      <c r="S286" s="53"/>
      <c r="T286" s="53"/>
      <c r="U286" s="53"/>
    </row>
    <row r="287" spans="1:21" x14ac:dyDescent="0.25">
      <c r="A287" s="368"/>
      <c r="B287" s="369" t="s">
        <v>305</v>
      </c>
      <c r="C287" s="370">
        <f t="shared" si="18"/>
        <v>640619</v>
      </c>
      <c r="D287" s="371">
        <f>SUM(D284,D271,D233,D198,D190,D176,D78,D56)</f>
        <v>291614</v>
      </c>
      <c r="E287" s="372">
        <f>SUM(E284,E271,E233,E198,E190,E176,E78,E56)</f>
        <v>0</v>
      </c>
      <c r="F287" s="373">
        <f t="shared" si="19"/>
        <v>291614</v>
      </c>
      <c r="G287" s="371">
        <f>SUM(G284,G271,G233,G198,G190,G176,G78,G56)</f>
        <v>320161</v>
      </c>
      <c r="H287" s="374">
        <f>SUM(H284,H271,H233,H198,H190,H176,H78,H56)</f>
        <v>0</v>
      </c>
      <c r="I287" s="375">
        <f t="shared" si="20"/>
        <v>320161</v>
      </c>
      <c r="J287" s="371">
        <f>SUM(J284,J271,J233,J198,J190,J176,J78,J56)</f>
        <v>27539</v>
      </c>
      <c r="K287" s="374">
        <f>SUM(K284,K271,K233,K198,K190,K176,K78,K56)</f>
        <v>0</v>
      </c>
      <c r="L287" s="375">
        <f t="shared" si="21"/>
        <v>27539</v>
      </c>
      <c r="M287" s="250">
        <f>SUM(M284,M271,M233,M198,M190,M176,M78,M56)</f>
        <v>1305</v>
      </c>
      <c r="N287" s="251">
        <f>SUM(N284,N271,N233,N198,N190,N176,N78,N56)</f>
        <v>0</v>
      </c>
      <c r="O287" s="252">
        <f t="shared" si="23"/>
        <v>1305</v>
      </c>
      <c r="P287" s="253"/>
      <c r="R287" s="53"/>
      <c r="S287" s="53"/>
      <c r="T287" s="53"/>
      <c r="U287" s="53"/>
    </row>
    <row r="288" spans="1:21" x14ac:dyDescent="0.25">
      <c r="A288" s="376" t="s">
        <v>306</v>
      </c>
      <c r="B288" s="377"/>
      <c r="C288" s="378">
        <f t="shared" si="18"/>
        <v>-13444</v>
      </c>
      <c r="D288" s="379">
        <f>SUM(D28,D29,D45)-D54</f>
        <v>0</v>
      </c>
      <c r="E288" s="380">
        <f>SUM(E28,E29,E45)-E54</f>
        <v>0</v>
      </c>
      <c r="F288" s="381">
        <f t="shared" si="19"/>
        <v>0</v>
      </c>
      <c r="G288" s="379">
        <f>SUM(G28,G29,G45)-G54</f>
        <v>0</v>
      </c>
      <c r="H288" s="382">
        <f>SUM(H28,H29,H45)-H54</f>
        <v>0</v>
      </c>
      <c r="I288" s="383">
        <f t="shared" si="20"/>
        <v>0</v>
      </c>
      <c r="J288" s="379">
        <f>(J30+J46)-J54</f>
        <v>-12439</v>
      </c>
      <c r="K288" s="382">
        <f>(K30+K46)-K54</f>
        <v>0</v>
      </c>
      <c r="L288" s="383">
        <f t="shared" si="21"/>
        <v>-12439</v>
      </c>
      <c r="M288" s="378">
        <f>M48-M54</f>
        <v>-1005</v>
      </c>
      <c r="N288" s="384">
        <f>N48-N54</f>
        <v>0</v>
      </c>
      <c r="O288" s="383">
        <f t="shared" si="23"/>
        <v>-1005</v>
      </c>
      <c r="P288" s="385"/>
      <c r="R288" s="53"/>
      <c r="S288" s="53"/>
      <c r="T288" s="53"/>
      <c r="U288" s="53"/>
    </row>
    <row r="289" spans="1:21" s="41" customFormat="1" x14ac:dyDescent="0.25">
      <c r="A289" s="376" t="s">
        <v>307</v>
      </c>
      <c r="B289" s="377"/>
      <c r="C289" s="380">
        <f t="shared" si="18"/>
        <v>13444</v>
      </c>
      <c r="D289" s="379">
        <f>SUM(D290,D291)-D298+D299</f>
        <v>0</v>
      </c>
      <c r="E289" s="380">
        <f>SUM(E290,E291)-E298+E299</f>
        <v>0</v>
      </c>
      <c r="F289" s="381">
        <f t="shared" si="19"/>
        <v>0</v>
      </c>
      <c r="G289" s="379">
        <f>SUM(G290,G291)-G298+G299</f>
        <v>0</v>
      </c>
      <c r="H289" s="382">
        <f>SUM(H290,H291)-H298+H299</f>
        <v>0</v>
      </c>
      <c r="I289" s="383">
        <f t="shared" si="20"/>
        <v>0</v>
      </c>
      <c r="J289" s="379">
        <f>SUM(J290,J291)-J298+J299</f>
        <v>12439</v>
      </c>
      <c r="K289" s="382">
        <f>SUM(K290,K291)-K298+K299</f>
        <v>0</v>
      </c>
      <c r="L289" s="383">
        <f t="shared" si="21"/>
        <v>12439</v>
      </c>
      <c r="M289" s="378">
        <f>SUM(M290,M291)-M298+M299</f>
        <v>1005</v>
      </c>
      <c r="N289" s="384">
        <f>SUM(N290,N291)-N298+N299</f>
        <v>0</v>
      </c>
      <c r="O289" s="383">
        <f t="shared" si="23"/>
        <v>1005</v>
      </c>
      <c r="P289" s="385"/>
      <c r="R289" s="53"/>
      <c r="S289" s="53"/>
      <c r="T289" s="53"/>
      <c r="U289" s="53"/>
    </row>
    <row r="290" spans="1:21" s="41" customFormat="1" x14ac:dyDescent="0.25">
      <c r="A290" s="386" t="s">
        <v>308</v>
      </c>
      <c r="B290" s="386" t="s">
        <v>309</v>
      </c>
      <c r="C290" s="380">
        <f t="shared" si="18"/>
        <v>13444</v>
      </c>
      <c r="D290" s="379">
        <f>D25-D284</f>
        <v>0</v>
      </c>
      <c r="E290" s="380">
        <f>E25-E284</f>
        <v>0</v>
      </c>
      <c r="F290" s="381">
        <f t="shared" si="19"/>
        <v>0</v>
      </c>
      <c r="G290" s="379">
        <f>G25-G284</f>
        <v>0</v>
      </c>
      <c r="H290" s="382">
        <f>H25-H284</f>
        <v>0</v>
      </c>
      <c r="I290" s="383">
        <f t="shared" si="20"/>
        <v>0</v>
      </c>
      <c r="J290" s="379">
        <f>J25-J284</f>
        <v>12439</v>
      </c>
      <c r="K290" s="382">
        <f>K25-K284</f>
        <v>0</v>
      </c>
      <c r="L290" s="383">
        <f t="shared" si="21"/>
        <v>12439</v>
      </c>
      <c r="M290" s="378">
        <f>M25-M284</f>
        <v>1005</v>
      </c>
      <c r="N290" s="384">
        <f>N25-N284</f>
        <v>0</v>
      </c>
      <c r="O290" s="383">
        <f t="shared" si="23"/>
        <v>1005</v>
      </c>
      <c r="P290" s="385"/>
      <c r="R290" s="53"/>
      <c r="S290" s="53"/>
      <c r="T290" s="53"/>
      <c r="U290" s="53"/>
    </row>
    <row r="291" spans="1:21" s="41" customFormat="1" hidden="1" x14ac:dyDescent="0.25">
      <c r="A291" s="387" t="s">
        <v>310</v>
      </c>
      <c r="B291" s="387" t="s">
        <v>311</v>
      </c>
      <c r="C291" s="380">
        <f t="shared" si="18"/>
        <v>0</v>
      </c>
      <c r="D291" s="379">
        <f>SUM(D292,D294,D296)-SUM(D293,D295,D297)</f>
        <v>0</v>
      </c>
      <c r="E291" s="380">
        <f>SUM(E292,E294,E296)-SUM(E293,E295,E297)</f>
        <v>0</v>
      </c>
      <c r="F291" s="381">
        <f t="shared" si="19"/>
        <v>0</v>
      </c>
      <c r="G291" s="379">
        <f>SUM(G292,G294,G296)-SUM(G293,G295,G297)</f>
        <v>0</v>
      </c>
      <c r="H291" s="382">
        <f>SUM(H292,H294,H296)-SUM(H293,H295,H297)</f>
        <v>0</v>
      </c>
      <c r="I291" s="383">
        <f t="shared" si="20"/>
        <v>0</v>
      </c>
      <c r="J291" s="379">
        <f>SUM(J292,J294,J296)-SUM(J293,J295,J297)</f>
        <v>0</v>
      </c>
      <c r="K291" s="382">
        <f>SUM(K292,K294,K296)-SUM(K293,K295,K297)</f>
        <v>0</v>
      </c>
      <c r="L291" s="383">
        <f t="shared" si="21"/>
        <v>0</v>
      </c>
      <c r="M291" s="378">
        <f>SUM(M292,M294,M296)-SUM(M293,M295,M297)</f>
        <v>0</v>
      </c>
      <c r="N291" s="384">
        <f>SUM(N292,N294,N296)-SUM(N293,N295,N297)</f>
        <v>0</v>
      </c>
      <c r="O291" s="383">
        <f t="shared" si="23"/>
        <v>0</v>
      </c>
      <c r="P291" s="385"/>
      <c r="R291" s="53"/>
      <c r="S291" s="53"/>
      <c r="T291" s="53"/>
      <c r="U291" s="53"/>
    </row>
    <row r="292" spans="1:21" s="41" customFormat="1" hidden="1" x14ac:dyDescent="0.25">
      <c r="A292" s="366" t="s">
        <v>312</v>
      </c>
      <c r="B292" s="190" t="s">
        <v>313</v>
      </c>
      <c r="C292" s="143">
        <f t="shared" si="18"/>
        <v>0</v>
      </c>
      <c r="D292" s="149"/>
      <c r="E292" s="686"/>
      <c r="F292" s="362">
        <f t="shared" si="19"/>
        <v>0</v>
      </c>
      <c r="G292" s="149"/>
      <c r="H292" s="150"/>
      <c r="I292" s="151">
        <f t="shared" si="20"/>
        <v>0</v>
      </c>
      <c r="J292" s="149"/>
      <c r="K292" s="150"/>
      <c r="L292" s="151">
        <f t="shared" si="21"/>
        <v>0</v>
      </c>
      <c r="M292" s="365"/>
      <c r="N292" s="363"/>
      <c r="O292" s="151">
        <f t="shared" si="23"/>
        <v>0</v>
      </c>
      <c r="P292" s="153"/>
      <c r="R292" s="53"/>
      <c r="S292" s="53"/>
      <c r="T292" s="53"/>
      <c r="U292" s="53"/>
    </row>
    <row r="293" spans="1:21" ht="24" hidden="1" x14ac:dyDescent="0.25">
      <c r="A293" s="346" t="s">
        <v>314</v>
      </c>
      <c r="B293" s="75" t="s">
        <v>315</v>
      </c>
      <c r="C293" s="128">
        <f t="shared" si="18"/>
        <v>0</v>
      </c>
      <c r="D293" s="134"/>
      <c r="E293" s="283"/>
      <c r="F293" s="279">
        <f t="shared" si="19"/>
        <v>0</v>
      </c>
      <c r="G293" s="134"/>
      <c r="H293" s="135"/>
      <c r="I293" s="136">
        <f t="shared" si="20"/>
        <v>0</v>
      </c>
      <c r="J293" s="134"/>
      <c r="K293" s="135"/>
      <c r="L293" s="136">
        <f t="shared" si="21"/>
        <v>0</v>
      </c>
      <c r="M293" s="284"/>
      <c r="N293" s="285"/>
      <c r="O293" s="136">
        <f t="shared" si="23"/>
        <v>0</v>
      </c>
      <c r="P293" s="85"/>
      <c r="R293" s="53"/>
      <c r="S293" s="53"/>
      <c r="T293" s="53"/>
      <c r="U293" s="53"/>
    </row>
    <row r="294" spans="1:21" hidden="1" x14ac:dyDescent="0.25">
      <c r="A294" s="346" t="s">
        <v>316</v>
      </c>
      <c r="B294" s="75" t="s">
        <v>317</v>
      </c>
      <c r="C294" s="128">
        <f t="shared" si="18"/>
        <v>0</v>
      </c>
      <c r="D294" s="134"/>
      <c r="E294" s="283"/>
      <c r="F294" s="279">
        <f t="shared" si="19"/>
        <v>0</v>
      </c>
      <c r="G294" s="134"/>
      <c r="H294" s="135"/>
      <c r="I294" s="136">
        <f t="shared" si="20"/>
        <v>0</v>
      </c>
      <c r="J294" s="134"/>
      <c r="K294" s="135"/>
      <c r="L294" s="136">
        <f t="shared" si="21"/>
        <v>0</v>
      </c>
      <c r="M294" s="284"/>
      <c r="N294" s="285"/>
      <c r="O294" s="136">
        <f t="shared" si="23"/>
        <v>0</v>
      </c>
      <c r="P294" s="85"/>
      <c r="R294" s="53"/>
      <c r="S294" s="53"/>
      <c r="T294" s="53"/>
      <c r="U294" s="53"/>
    </row>
    <row r="295" spans="1:21" ht="24" hidden="1" x14ac:dyDescent="0.25">
      <c r="A295" s="346" t="s">
        <v>318</v>
      </c>
      <c r="B295" s="75" t="s">
        <v>319</v>
      </c>
      <c r="C295" s="128">
        <f t="shared" si="18"/>
        <v>0</v>
      </c>
      <c r="D295" s="134"/>
      <c r="E295" s="283"/>
      <c r="F295" s="279">
        <f t="shared" si="19"/>
        <v>0</v>
      </c>
      <c r="G295" s="134"/>
      <c r="H295" s="135"/>
      <c r="I295" s="136">
        <f t="shared" si="20"/>
        <v>0</v>
      </c>
      <c r="J295" s="134"/>
      <c r="K295" s="135"/>
      <c r="L295" s="136">
        <f t="shared" si="21"/>
        <v>0</v>
      </c>
      <c r="M295" s="284"/>
      <c r="N295" s="285"/>
      <c r="O295" s="136">
        <f t="shared" si="23"/>
        <v>0</v>
      </c>
      <c r="P295" s="85"/>
      <c r="R295" s="53"/>
      <c r="S295" s="53"/>
      <c r="T295" s="53"/>
      <c r="U295" s="53"/>
    </row>
    <row r="296" spans="1:21" hidden="1" x14ac:dyDescent="0.25">
      <c r="A296" s="346" t="s">
        <v>320</v>
      </c>
      <c r="B296" s="75" t="s">
        <v>321</v>
      </c>
      <c r="C296" s="128">
        <f t="shared" si="18"/>
        <v>0</v>
      </c>
      <c r="D296" s="134"/>
      <c r="E296" s="283"/>
      <c r="F296" s="279">
        <f t="shared" si="19"/>
        <v>0</v>
      </c>
      <c r="G296" s="134"/>
      <c r="H296" s="135"/>
      <c r="I296" s="136">
        <f t="shared" si="20"/>
        <v>0</v>
      </c>
      <c r="J296" s="134"/>
      <c r="K296" s="135"/>
      <c r="L296" s="136">
        <f t="shared" si="21"/>
        <v>0</v>
      </c>
      <c r="M296" s="284"/>
      <c r="N296" s="285"/>
      <c r="O296" s="136">
        <f t="shared" si="23"/>
        <v>0</v>
      </c>
      <c r="P296" s="85"/>
      <c r="R296" s="53"/>
      <c r="S296" s="53"/>
      <c r="T296" s="53"/>
      <c r="U296" s="53"/>
    </row>
    <row r="297" spans="1:21" ht="24" hidden="1" x14ac:dyDescent="0.25">
      <c r="A297" s="389" t="s">
        <v>322</v>
      </c>
      <c r="B297" s="390" t="s">
        <v>323</v>
      </c>
      <c r="C297" s="327">
        <f t="shared" si="18"/>
        <v>0</v>
      </c>
      <c r="D297" s="328"/>
      <c r="E297" s="683"/>
      <c r="F297" s="647">
        <f t="shared" si="19"/>
        <v>0</v>
      </c>
      <c r="G297" s="328"/>
      <c r="H297" s="331"/>
      <c r="I297" s="324">
        <f t="shared" si="20"/>
        <v>0</v>
      </c>
      <c r="J297" s="328"/>
      <c r="K297" s="331"/>
      <c r="L297" s="324">
        <f t="shared" si="21"/>
        <v>0</v>
      </c>
      <c r="M297" s="332"/>
      <c r="N297" s="329"/>
      <c r="O297" s="324">
        <f t="shared" si="23"/>
        <v>0</v>
      </c>
      <c r="P297" s="325"/>
      <c r="R297" s="53"/>
      <c r="S297" s="53"/>
      <c r="T297" s="53"/>
      <c r="U297" s="53"/>
    </row>
    <row r="298" spans="1:21" hidden="1" x14ac:dyDescent="0.25">
      <c r="A298" s="387" t="s">
        <v>324</v>
      </c>
      <c r="B298" s="387" t="s">
        <v>325</v>
      </c>
      <c r="C298" s="391">
        <f t="shared" si="18"/>
        <v>0</v>
      </c>
      <c r="D298" s="392"/>
      <c r="E298" s="687"/>
      <c r="F298" s="381">
        <f t="shared" si="19"/>
        <v>0</v>
      </c>
      <c r="G298" s="392"/>
      <c r="H298" s="394"/>
      <c r="I298" s="383">
        <f t="shared" si="20"/>
        <v>0</v>
      </c>
      <c r="J298" s="392"/>
      <c r="K298" s="394"/>
      <c r="L298" s="383">
        <f t="shared" si="21"/>
        <v>0</v>
      </c>
      <c r="M298" s="395"/>
      <c r="N298" s="393"/>
      <c r="O298" s="383">
        <f t="shared" si="23"/>
        <v>0</v>
      </c>
      <c r="P298" s="385"/>
      <c r="R298" s="53"/>
      <c r="S298" s="53"/>
      <c r="T298" s="53"/>
      <c r="U298" s="53"/>
    </row>
    <row r="299" spans="1:21" s="41" customFormat="1" ht="48" hidden="1" x14ac:dyDescent="0.25">
      <c r="A299" s="387" t="s">
        <v>326</v>
      </c>
      <c r="B299" s="396" t="s">
        <v>327</v>
      </c>
      <c r="C299" s="397">
        <f t="shared" si="18"/>
        <v>0</v>
      </c>
      <c r="D299" s="398"/>
      <c r="E299" s="688"/>
      <c r="F299" s="651">
        <f t="shared" si="19"/>
        <v>0</v>
      </c>
      <c r="G299" s="392"/>
      <c r="H299" s="394"/>
      <c r="I299" s="383">
        <f t="shared" si="20"/>
        <v>0</v>
      </c>
      <c r="J299" s="392"/>
      <c r="K299" s="394"/>
      <c r="L299" s="383">
        <f t="shared" si="21"/>
        <v>0</v>
      </c>
      <c r="M299" s="395"/>
      <c r="N299" s="393"/>
      <c r="O299" s="383">
        <f t="shared" si="23"/>
        <v>0</v>
      </c>
      <c r="P299" s="910"/>
      <c r="Q299" s="32"/>
      <c r="R299" s="53"/>
      <c r="S299" s="53"/>
      <c r="T299" s="53"/>
      <c r="U299" s="53"/>
    </row>
    <row r="300" spans="1:21" s="41" customFormat="1" x14ac:dyDescent="0.25">
      <c r="A300" s="1015" t="s">
        <v>328</v>
      </c>
      <c r="B300" s="1016"/>
      <c r="C300" s="1016"/>
      <c r="D300" s="1016"/>
      <c r="E300" s="1016"/>
      <c r="F300" s="1016"/>
      <c r="G300" s="1016"/>
      <c r="H300" s="1016"/>
      <c r="I300" s="1016"/>
      <c r="J300" s="1016"/>
      <c r="K300" s="1016"/>
      <c r="L300" s="1016"/>
      <c r="M300" s="1016"/>
      <c r="N300" s="1016"/>
      <c r="O300" s="1016"/>
      <c r="P300" s="1016"/>
      <c r="Q300" s="32"/>
    </row>
    <row r="301" spans="1:21" s="41" customFormat="1" x14ac:dyDescent="0.25">
      <c r="A301" s="721" t="s">
        <v>1080</v>
      </c>
      <c r="B301" s="722"/>
      <c r="C301" s="722"/>
      <c r="D301" s="722"/>
      <c r="E301" s="722"/>
      <c r="F301" s="722"/>
      <c r="G301" s="722"/>
      <c r="H301" s="722"/>
      <c r="I301" s="722"/>
      <c r="J301" s="722"/>
      <c r="K301" s="722"/>
      <c r="L301" s="722"/>
      <c r="M301" s="722"/>
      <c r="N301" s="722"/>
      <c r="O301" s="722"/>
      <c r="P301" s="722"/>
      <c r="Q301" s="32"/>
    </row>
    <row r="302" spans="1:21" ht="12.75" thickBot="1" x14ac:dyDescent="0.3">
      <c r="A302" s="404"/>
      <c r="B302" s="405"/>
      <c r="C302" s="405"/>
      <c r="D302" s="405"/>
      <c r="E302" s="405"/>
      <c r="F302" s="405"/>
      <c r="G302" s="405"/>
      <c r="H302" s="405"/>
      <c r="I302" s="405"/>
      <c r="J302" s="405"/>
      <c r="K302" s="405"/>
      <c r="L302" s="405"/>
      <c r="M302" s="405"/>
      <c r="N302" s="405"/>
      <c r="O302" s="405"/>
      <c r="P302" s="406"/>
      <c r="Q302" s="7"/>
    </row>
    <row r="303" spans="1:21" x14ac:dyDescent="0.25">
      <c r="A303" s="5"/>
      <c r="B303" s="5"/>
      <c r="C303" s="5"/>
      <c r="D303" s="5"/>
      <c r="E303" s="5"/>
      <c r="F303" s="5"/>
      <c r="G303" s="5"/>
      <c r="H303" s="5"/>
      <c r="I303" s="5"/>
      <c r="J303" s="5"/>
      <c r="K303" s="5"/>
      <c r="L303" s="5"/>
      <c r="M303" s="5"/>
      <c r="N303" s="5"/>
      <c r="O303" s="5"/>
    </row>
    <row r="304" spans="1:21"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row r="322" spans="1:15" x14ac:dyDescent="0.25">
      <c r="A322" s="5"/>
      <c r="B322" s="5"/>
      <c r="C322" s="5"/>
      <c r="D322" s="5"/>
      <c r="E322" s="5"/>
      <c r="F322" s="5"/>
      <c r="G322" s="5"/>
      <c r="H322" s="5"/>
      <c r="I322" s="5"/>
      <c r="J322" s="5"/>
      <c r="K322" s="5"/>
      <c r="L322" s="5"/>
      <c r="M322" s="5"/>
      <c r="N322" s="5"/>
      <c r="O322" s="5"/>
    </row>
  </sheetData>
  <sheetProtection algorithmName="SHA-512" hashValue="V+EkSK3CEGZWnkuTvT9QtOz0ag+TUO1R5Cx1sJ44exR1zJe08QNuap1md3NAav2B0DxlQx+Pr8x6XmWO/8I07g==" saltValue="mnP29zeRbG9MrREy4/sbYQ==" spinCount="100000" sheet="1" objects="1" scenarios="1" formatCells="0" formatColumns="0" formatRows="0"/>
  <autoFilter ref="A22:P301">
    <filterColumn colId="2">
      <filters blank="1">
        <filter val="1 000"/>
        <filter val="1 100"/>
        <filter val="1 254"/>
        <filter val="1 275"/>
        <filter val="1 375"/>
        <filter val="1 392"/>
        <filter val="1 988"/>
        <filter val="10 840"/>
        <filter val="120 043"/>
        <filter val="121 567"/>
        <filter val="13 444"/>
        <filter val="-13 444"/>
        <filter val="14 000"/>
        <filter val="15 100"/>
        <filter val="16 855"/>
        <filter val="18 153"/>
        <filter val="19 942"/>
        <filter val="2 000"/>
        <filter val="2 374"/>
        <filter val="2 500"/>
        <filter val="2 612"/>
        <filter val="2 906"/>
        <filter val="20 389"/>
        <filter val="21 764"/>
        <filter val="22"/>
        <filter val="23 616"/>
        <filter val="240"/>
        <filter val="250"/>
        <filter val="266"/>
        <filter val="27 252"/>
        <filter val="28"/>
        <filter val="3 210"/>
        <filter val="3 748"/>
        <filter val="30 557"/>
        <filter val="300"/>
        <filter val="342"/>
        <filter val="345 413"/>
        <filter val="363"/>
        <filter val="377 245"/>
        <filter val="4 421"/>
        <filter val="428"/>
        <filter val="47"/>
        <filter val="497 288"/>
        <filter val="5 466"/>
        <filter val="504"/>
        <filter val="555"/>
        <filter val="6 028"/>
        <filter val="6 468"/>
        <filter val="6 534"/>
        <filter val="61 222"/>
        <filter val="611 775"/>
        <filter val="618 855"/>
        <filter val="640 619"/>
        <filter val="7 049"/>
        <filter val="786"/>
        <filter val="8 668"/>
        <filter val="8 772"/>
        <filter val="818"/>
        <filter val="87 416"/>
        <filter val="9 969"/>
        <filter val="92 791"/>
        <filter val="922"/>
        <filter val="950"/>
        <filter val="97 711"/>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84.pielikums Jūrmalas pilsētas domes
2017.gada 30.janvāra saistošajiem noteikumiem Nr.10
(Protokols Nr.4, 1.punkts)
 </firstHeader>
    <firstFooter>&amp;L&amp;9&amp;D; &amp;T&amp;R&amp;9&amp;P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2"/>
  <sheetViews>
    <sheetView showGridLines="0" view="pageLayout" zoomScaleNormal="100" workbookViewId="0">
      <selection activeCell="S13" sqref="S13"/>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9.42578125" style="1" customWidth="1" collapsed="1"/>
    <col min="13" max="14" width="8.7109375" style="1" hidden="1" customWidth="1" outlineLevel="1"/>
    <col min="15" max="15" width="10"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1081</v>
      </c>
    </row>
    <row r="2" spans="1:17" ht="5.25" customHeight="1" x14ac:dyDescent="0.25">
      <c r="B2" s="2"/>
      <c r="C2" s="2"/>
      <c r="D2" s="2"/>
      <c r="E2" s="2"/>
      <c r="F2" s="2"/>
      <c r="G2" s="2"/>
      <c r="H2" s="2"/>
      <c r="I2" s="2"/>
      <c r="J2" s="2"/>
      <c r="K2" s="2"/>
      <c r="L2" s="2"/>
      <c r="M2" s="3"/>
      <c r="N2" s="3"/>
      <c r="O2" s="4"/>
    </row>
    <row r="3" spans="1:17" x14ac:dyDescent="0.25">
      <c r="A3" s="411"/>
      <c r="B3" s="924"/>
      <c r="C3" s="924"/>
      <c r="D3" s="924"/>
      <c r="E3" s="924"/>
      <c r="F3" s="924"/>
      <c r="G3" s="924"/>
      <c r="H3" s="924"/>
      <c r="I3" s="924"/>
      <c r="J3" s="924"/>
      <c r="K3" s="924"/>
      <c r="L3" s="924"/>
      <c r="M3" s="925"/>
      <c r="N3" s="925"/>
      <c r="O3" s="926"/>
      <c r="P3" s="927"/>
      <c r="Q3" s="7"/>
    </row>
    <row r="4" spans="1:17" ht="15.75" x14ac:dyDescent="0.25">
      <c r="A4" s="1560" t="s">
        <v>1</v>
      </c>
      <c r="B4" s="1561"/>
      <c r="C4" s="1561"/>
      <c r="D4" s="1561"/>
      <c r="E4" s="1561"/>
      <c r="F4" s="1561"/>
      <c r="G4" s="1561"/>
      <c r="H4" s="1561"/>
      <c r="I4" s="1561"/>
      <c r="J4" s="1561"/>
      <c r="K4" s="1561"/>
      <c r="L4" s="1561"/>
      <c r="M4" s="1561"/>
      <c r="N4" s="1561"/>
      <c r="O4" s="1561"/>
      <c r="P4" s="1561"/>
      <c r="Q4" s="7"/>
    </row>
    <row r="5" spans="1:17" ht="15.75" x14ac:dyDescent="0.25">
      <c r="A5" s="653"/>
      <c r="B5" s="654"/>
      <c r="C5" s="654"/>
      <c r="D5" s="654"/>
      <c r="E5" s="654"/>
      <c r="F5" s="654"/>
      <c r="G5" s="654"/>
      <c r="H5" s="654"/>
      <c r="I5" s="654"/>
      <c r="J5" s="654"/>
      <c r="K5" s="654"/>
      <c r="L5" s="654"/>
      <c r="M5" s="654"/>
      <c r="N5" s="654"/>
      <c r="O5" s="654"/>
      <c r="P5" s="654"/>
      <c r="Q5" s="7"/>
    </row>
    <row r="6" spans="1:17" ht="12.75" x14ac:dyDescent="0.25">
      <c r="A6" s="13" t="s">
        <v>2</v>
      </c>
      <c r="B6" s="14"/>
      <c r="C6" s="1555" t="s">
        <v>475</v>
      </c>
      <c r="D6" s="1555"/>
      <c r="E6" s="1555"/>
      <c r="F6" s="1555"/>
      <c r="G6" s="1555"/>
      <c r="H6" s="1555"/>
      <c r="I6" s="1555"/>
      <c r="J6" s="1555"/>
      <c r="K6" s="1555"/>
      <c r="L6" s="1555"/>
      <c r="M6" s="1555"/>
      <c r="N6" s="1555"/>
      <c r="O6" s="1555"/>
      <c r="P6" s="1555"/>
      <c r="Q6" s="7"/>
    </row>
    <row r="7" spans="1:17" ht="12.75" x14ac:dyDescent="0.25">
      <c r="A7" s="13" t="s">
        <v>4</v>
      </c>
      <c r="B7" s="14"/>
      <c r="C7" s="1555" t="s">
        <v>1082</v>
      </c>
      <c r="D7" s="1555"/>
      <c r="E7" s="1555"/>
      <c r="F7" s="1555"/>
      <c r="G7" s="1555"/>
      <c r="H7" s="1555"/>
      <c r="I7" s="1555"/>
      <c r="J7" s="1555"/>
      <c r="K7" s="1555"/>
      <c r="L7" s="1555"/>
      <c r="M7" s="1555"/>
      <c r="N7" s="1555"/>
      <c r="O7" s="1555"/>
      <c r="P7" s="1555"/>
      <c r="Q7" s="7"/>
    </row>
    <row r="8" spans="1:17" x14ac:dyDescent="0.25">
      <c r="A8" s="8" t="s">
        <v>6</v>
      </c>
      <c r="B8" s="9"/>
      <c r="C8" s="1553" t="s">
        <v>1083</v>
      </c>
      <c r="D8" s="1553"/>
      <c r="E8" s="1553"/>
      <c r="F8" s="1553"/>
      <c r="G8" s="1553"/>
      <c r="H8" s="1553"/>
      <c r="I8" s="1553"/>
      <c r="J8" s="1553"/>
      <c r="K8" s="1553"/>
      <c r="L8" s="1553"/>
      <c r="M8" s="1553"/>
      <c r="N8" s="1553"/>
      <c r="O8" s="1553"/>
      <c r="P8" s="1553"/>
      <c r="Q8" s="7"/>
    </row>
    <row r="9" spans="1:17" x14ac:dyDescent="0.25">
      <c r="A9" s="8" t="s">
        <v>8</v>
      </c>
      <c r="B9" s="9"/>
      <c r="C9" s="1553" t="s">
        <v>333</v>
      </c>
      <c r="D9" s="1553"/>
      <c r="E9" s="1553"/>
      <c r="F9" s="1553"/>
      <c r="G9" s="1553"/>
      <c r="H9" s="1553"/>
      <c r="I9" s="1553"/>
      <c r="J9" s="1553"/>
      <c r="K9" s="1553"/>
      <c r="L9" s="1553"/>
      <c r="M9" s="1553"/>
      <c r="N9" s="1553"/>
      <c r="O9" s="1553"/>
      <c r="P9" s="1553"/>
      <c r="Q9" s="7"/>
    </row>
    <row r="10" spans="1:17" ht="16.5" customHeight="1" x14ac:dyDescent="0.25">
      <c r="A10" s="8" t="s">
        <v>10</v>
      </c>
      <c r="B10" s="9"/>
      <c r="C10" s="1555" t="s">
        <v>334</v>
      </c>
      <c r="D10" s="1555"/>
      <c r="E10" s="1555"/>
      <c r="F10" s="1555"/>
      <c r="G10" s="1555"/>
      <c r="H10" s="1555"/>
      <c r="I10" s="1555"/>
      <c r="J10" s="1555"/>
      <c r="K10" s="1555"/>
      <c r="L10" s="1555"/>
      <c r="M10" s="1555"/>
      <c r="N10" s="1555"/>
      <c r="O10" s="1555"/>
      <c r="P10" s="1555"/>
      <c r="Q10" s="7"/>
    </row>
    <row r="11" spans="1:17" x14ac:dyDescent="0.25">
      <c r="A11" s="8" t="s">
        <v>12</v>
      </c>
      <c r="B11" s="9"/>
      <c r="C11" s="1555" t="s">
        <v>439</v>
      </c>
      <c r="D11" s="1555"/>
      <c r="E11" s="1555"/>
      <c r="F11" s="1555"/>
      <c r="G11" s="1555"/>
      <c r="H11" s="1555"/>
      <c r="I11" s="1555"/>
      <c r="J11" s="1555"/>
      <c r="K11" s="1555"/>
      <c r="L11" s="1555"/>
      <c r="M11" s="1555"/>
      <c r="N11" s="1555"/>
      <c r="O11" s="1555"/>
      <c r="P11" s="1555"/>
      <c r="Q11" s="7"/>
    </row>
    <row r="12" spans="1:17" x14ac:dyDescent="0.25">
      <c r="A12" s="15" t="s">
        <v>14</v>
      </c>
      <c r="B12" s="9"/>
      <c r="C12" s="16"/>
      <c r="D12" s="16"/>
      <c r="E12" s="16"/>
      <c r="F12" s="16"/>
      <c r="G12" s="16"/>
      <c r="H12" s="16"/>
      <c r="I12" s="16"/>
      <c r="J12" s="16"/>
      <c r="K12" s="16"/>
      <c r="L12" s="16"/>
      <c r="M12" s="16"/>
      <c r="N12" s="16"/>
      <c r="O12" s="16"/>
      <c r="P12" s="624"/>
      <c r="Q12" s="7"/>
    </row>
    <row r="13" spans="1:17" x14ac:dyDescent="0.25">
      <c r="A13" s="8"/>
      <c r="B13" s="9" t="s">
        <v>15</v>
      </c>
      <c r="C13" s="1553" t="s">
        <v>1084</v>
      </c>
      <c r="D13" s="1553"/>
      <c r="E13" s="1553"/>
      <c r="F13" s="1553"/>
      <c r="G13" s="1553"/>
      <c r="H13" s="1553"/>
      <c r="I13" s="1553"/>
      <c r="J13" s="1553"/>
      <c r="K13" s="1553"/>
      <c r="L13" s="1553"/>
      <c r="M13" s="1553"/>
      <c r="N13" s="1553"/>
      <c r="O13" s="1553"/>
      <c r="P13" s="1553"/>
      <c r="Q13" s="7"/>
    </row>
    <row r="14" spans="1:17" x14ac:dyDescent="0.25">
      <c r="A14" s="8"/>
      <c r="B14" s="9" t="s">
        <v>17</v>
      </c>
      <c r="C14" s="1553" t="s">
        <v>1085</v>
      </c>
      <c r="D14" s="1553"/>
      <c r="E14" s="1553"/>
      <c r="F14" s="1553"/>
      <c r="G14" s="1553"/>
      <c r="H14" s="1553"/>
      <c r="I14" s="1553"/>
      <c r="J14" s="1553"/>
      <c r="K14" s="1553"/>
      <c r="L14" s="1553"/>
      <c r="M14" s="1553"/>
      <c r="N14" s="1553"/>
      <c r="O14" s="1553"/>
      <c r="P14" s="1553"/>
      <c r="Q14" s="7"/>
    </row>
    <row r="15" spans="1:17" x14ac:dyDescent="0.25">
      <c r="A15" s="8"/>
      <c r="B15" s="9" t="s">
        <v>19</v>
      </c>
      <c r="C15" s="1553"/>
      <c r="D15" s="1553"/>
      <c r="E15" s="1553"/>
      <c r="F15" s="1553"/>
      <c r="G15" s="1553"/>
      <c r="H15" s="1553"/>
      <c r="I15" s="1553"/>
      <c r="J15" s="1553"/>
      <c r="K15" s="1553"/>
      <c r="L15" s="1553"/>
      <c r="M15" s="1553"/>
      <c r="N15" s="1553"/>
      <c r="O15" s="1553"/>
      <c r="P15" s="1553"/>
      <c r="Q15" s="7"/>
    </row>
    <row r="16" spans="1:17" x14ac:dyDescent="0.25">
      <c r="A16" s="8"/>
      <c r="B16" s="9" t="s">
        <v>20</v>
      </c>
      <c r="C16" s="1553" t="s">
        <v>1086</v>
      </c>
      <c r="D16" s="1553"/>
      <c r="E16" s="1553"/>
      <c r="F16" s="1553"/>
      <c r="G16" s="1553"/>
      <c r="H16" s="1553"/>
      <c r="I16" s="1553"/>
      <c r="J16" s="1553"/>
      <c r="K16" s="1553"/>
      <c r="L16" s="1553"/>
      <c r="M16" s="1553"/>
      <c r="N16" s="1553"/>
      <c r="O16" s="1553"/>
      <c r="P16" s="1553"/>
      <c r="Q16" s="7"/>
    </row>
    <row r="17" spans="1:20" x14ac:dyDescent="0.25">
      <c r="A17" s="8"/>
      <c r="B17" s="9" t="s">
        <v>22</v>
      </c>
      <c r="C17" s="1553"/>
      <c r="D17" s="1553"/>
      <c r="E17" s="1553"/>
      <c r="F17" s="1553"/>
      <c r="G17" s="1553"/>
      <c r="H17" s="1553"/>
      <c r="I17" s="1553"/>
      <c r="J17" s="1553"/>
      <c r="K17" s="1553"/>
      <c r="L17" s="1553"/>
      <c r="M17" s="1553"/>
      <c r="N17" s="1553"/>
      <c r="O17" s="1553"/>
      <c r="P17" s="1553"/>
      <c r="Q17" s="7"/>
    </row>
    <row r="18" spans="1:20" ht="6" customHeight="1" x14ac:dyDescent="0.25">
      <c r="A18" s="18"/>
      <c r="B18" s="19"/>
      <c r="C18" s="1569"/>
      <c r="D18" s="1569"/>
      <c r="E18" s="1569"/>
      <c r="F18" s="1569"/>
      <c r="G18" s="1569"/>
      <c r="H18" s="1569"/>
      <c r="I18" s="1569"/>
      <c r="J18" s="1569"/>
      <c r="K18" s="1569"/>
      <c r="L18" s="1569"/>
      <c r="M18" s="1569"/>
      <c r="N18" s="1569"/>
      <c r="O18" s="1569"/>
      <c r="P18" s="1569"/>
      <c r="Q18" s="7"/>
    </row>
    <row r="19" spans="1:20"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0" s="20" customFormat="1" x14ac:dyDescent="0.25">
      <c r="A20" s="1572"/>
      <c r="B20" s="1575"/>
      <c r="C20" s="1580" t="s">
        <v>27</v>
      </c>
      <c r="D20" s="1565" t="s">
        <v>28</v>
      </c>
      <c r="E20" s="1582" t="s">
        <v>29</v>
      </c>
      <c r="F20" s="1584" t="s">
        <v>30</v>
      </c>
      <c r="G20" s="1565" t="s">
        <v>31</v>
      </c>
      <c r="H20" s="1567" t="s">
        <v>32</v>
      </c>
      <c r="I20" s="1563" t="s">
        <v>33</v>
      </c>
      <c r="J20" s="1565" t="s">
        <v>34</v>
      </c>
      <c r="K20" s="1567" t="s">
        <v>35</v>
      </c>
      <c r="L20" s="1563" t="s">
        <v>36</v>
      </c>
      <c r="M20" s="1565" t="s">
        <v>37</v>
      </c>
      <c r="N20" s="1567" t="s">
        <v>38</v>
      </c>
      <c r="O20" s="1563" t="s">
        <v>39</v>
      </c>
      <c r="P20" s="1575"/>
    </row>
    <row r="21" spans="1:20" s="21" customFormat="1" ht="55.5" customHeight="1" thickBot="1" x14ac:dyDescent="0.3">
      <c r="A21" s="1573"/>
      <c r="B21" s="1576"/>
      <c r="C21" s="1581"/>
      <c r="D21" s="1566"/>
      <c r="E21" s="1583"/>
      <c r="F21" s="1585"/>
      <c r="G21" s="1566"/>
      <c r="H21" s="1568"/>
      <c r="I21" s="1564"/>
      <c r="J21" s="1566"/>
      <c r="K21" s="1568"/>
      <c r="L21" s="1564"/>
      <c r="M21" s="1566"/>
      <c r="N21" s="1568"/>
      <c r="O21" s="1564"/>
      <c r="P21" s="1576"/>
    </row>
    <row r="22" spans="1:20" s="21" customFormat="1" ht="9" thickTop="1" x14ac:dyDescent="0.25">
      <c r="A22" s="22">
        <v>1</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0" s="41" customFormat="1" x14ac:dyDescent="0.25">
      <c r="A23" s="30"/>
      <c r="B23" s="31" t="s">
        <v>41</v>
      </c>
      <c r="C23" s="32"/>
      <c r="D23" s="33"/>
      <c r="E23" s="34"/>
      <c r="F23" s="35"/>
      <c r="G23" s="33"/>
      <c r="H23" s="36"/>
      <c r="I23" s="37"/>
      <c r="J23" s="33"/>
      <c r="K23" s="38"/>
      <c r="L23" s="37"/>
      <c r="M23" s="38"/>
      <c r="N23" s="39"/>
      <c r="O23" s="37"/>
      <c r="P23" s="40"/>
      <c r="R23" s="53"/>
      <c r="S23" s="53"/>
      <c r="T23" s="53"/>
    </row>
    <row r="24" spans="1:20" s="41" customFormat="1" ht="12.75" thickBot="1" x14ac:dyDescent="0.3">
      <c r="A24" s="42"/>
      <c r="B24" s="43" t="s">
        <v>42</v>
      </c>
      <c r="C24" s="44">
        <f>SUM(F24,I24,L24,O24)</f>
        <v>831497</v>
      </c>
      <c r="D24" s="45">
        <f>SUM(D25,D28,D29,D45,D46)</f>
        <v>357431</v>
      </c>
      <c r="E24" s="46">
        <f>SUM(E25,E28,E29,E45,E46)</f>
        <v>0</v>
      </c>
      <c r="F24" s="47">
        <f t="shared" ref="F24:F29" si="0">D24+E24</f>
        <v>357431</v>
      </c>
      <c r="G24" s="45">
        <f>SUM(G25,G28,G29,G45,G46)</f>
        <v>451706</v>
      </c>
      <c r="H24" s="48">
        <f>SUM(H25,H28,H46)</f>
        <v>0</v>
      </c>
      <c r="I24" s="49">
        <f>G24+H24</f>
        <v>451706</v>
      </c>
      <c r="J24" s="45">
        <f>SUM(J25,J30,J46)</f>
        <v>22360</v>
      </c>
      <c r="K24" s="48">
        <f>SUM(K25,K30,K46)</f>
        <v>0</v>
      </c>
      <c r="L24" s="49">
        <f>J24+K24</f>
        <v>22360</v>
      </c>
      <c r="M24" s="50">
        <f>SUM(M25,M48)</f>
        <v>0</v>
      </c>
      <c r="N24" s="51">
        <f>SUM(N25,N48)</f>
        <v>0</v>
      </c>
      <c r="O24" s="49">
        <f>M24+N24</f>
        <v>0</v>
      </c>
      <c r="P24" s="52"/>
      <c r="R24" s="53"/>
      <c r="S24" s="53"/>
      <c r="T24" s="53"/>
    </row>
    <row r="25" spans="1:20" ht="12.75" thickTop="1" x14ac:dyDescent="0.25">
      <c r="A25" s="54"/>
      <c r="B25" s="55" t="s">
        <v>43</v>
      </c>
      <c r="C25" s="56">
        <f t="shared" ref="C25:C50" si="1">SUM(F25,I25,L25,O25)</f>
        <v>1902</v>
      </c>
      <c r="D25" s="57">
        <f>SUM(D26:D27)</f>
        <v>0</v>
      </c>
      <c r="E25" s="58">
        <f>SUM(E26:E27)</f>
        <v>0</v>
      </c>
      <c r="F25" s="59">
        <f t="shared" si="0"/>
        <v>0</v>
      </c>
      <c r="G25" s="57">
        <f>SUM(G26:G27)</f>
        <v>0</v>
      </c>
      <c r="H25" s="60">
        <f>SUM(H26:H27)</f>
        <v>0</v>
      </c>
      <c r="I25" s="61">
        <f>G25+H25</f>
        <v>0</v>
      </c>
      <c r="J25" s="57">
        <f>SUM(J26:J27)</f>
        <v>1902</v>
      </c>
      <c r="K25" s="60">
        <f>SUM(K26:K27)</f>
        <v>0</v>
      </c>
      <c r="L25" s="61">
        <f>J25+K25</f>
        <v>1902</v>
      </c>
      <c r="M25" s="62">
        <f>SUM(M26:M27)</f>
        <v>0</v>
      </c>
      <c r="N25" s="63">
        <f>SUM(N26:N27)</f>
        <v>0</v>
      </c>
      <c r="O25" s="61">
        <f>M25+N25</f>
        <v>0</v>
      </c>
      <c r="P25" s="64"/>
      <c r="R25" s="53"/>
      <c r="S25" s="53"/>
      <c r="T25" s="53"/>
    </row>
    <row r="26" spans="1:20" hidden="1" x14ac:dyDescent="0.25">
      <c r="A26" s="65"/>
      <c r="B26" s="66" t="s">
        <v>44</v>
      </c>
      <c r="C26" s="67">
        <f t="shared" si="1"/>
        <v>0</v>
      </c>
      <c r="D26" s="68"/>
      <c r="E26" s="673"/>
      <c r="F26" s="625">
        <f t="shared" si="0"/>
        <v>0</v>
      </c>
      <c r="G26" s="68"/>
      <c r="H26" s="71"/>
      <c r="I26" s="72">
        <f>G26+H26</f>
        <v>0</v>
      </c>
      <c r="J26" s="68"/>
      <c r="K26" s="71"/>
      <c r="L26" s="72">
        <f>J26+K26</f>
        <v>0</v>
      </c>
      <c r="M26" s="73"/>
      <c r="N26" s="69"/>
      <c r="O26" s="72">
        <f>M26+N26</f>
        <v>0</v>
      </c>
      <c r="P26" s="74"/>
      <c r="R26" s="53"/>
      <c r="S26" s="53"/>
      <c r="T26" s="53"/>
    </row>
    <row r="27" spans="1:20" x14ac:dyDescent="0.25">
      <c r="A27" s="75"/>
      <c r="B27" s="76" t="s">
        <v>45</v>
      </c>
      <c r="C27" s="77">
        <f t="shared" si="1"/>
        <v>1902</v>
      </c>
      <c r="D27" s="78"/>
      <c r="E27" s="79"/>
      <c r="F27" s="80">
        <f t="shared" si="0"/>
        <v>0</v>
      </c>
      <c r="G27" s="78"/>
      <c r="H27" s="81"/>
      <c r="I27" s="82">
        <f>G27+H27</f>
        <v>0</v>
      </c>
      <c r="J27" s="78">
        <v>1902</v>
      </c>
      <c r="K27" s="81"/>
      <c r="L27" s="82">
        <f>J27+K27</f>
        <v>1902</v>
      </c>
      <c r="M27" s="83"/>
      <c r="N27" s="84"/>
      <c r="O27" s="82">
        <f>M27+N27</f>
        <v>0</v>
      </c>
      <c r="P27" s="85"/>
      <c r="R27" s="53"/>
      <c r="S27" s="53"/>
      <c r="T27" s="53"/>
    </row>
    <row r="28" spans="1:20" s="41" customFormat="1" ht="24.75" thickBot="1" x14ac:dyDescent="0.3">
      <c r="A28" s="86">
        <v>19300</v>
      </c>
      <c r="B28" s="86" t="s">
        <v>46</v>
      </c>
      <c r="C28" s="87">
        <f t="shared" si="1"/>
        <v>809137</v>
      </c>
      <c r="D28" s="88">
        <f>356651-8757+4724+3225+1588</f>
        <v>357431</v>
      </c>
      <c r="E28" s="89"/>
      <c r="F28" s="90">
        <f t="shared" si="0"/>
        <v>357431</v>
      </c>
      <c r="G28" s="88">
        <f>424756+5696+21254</f>
        <v>451706</v>
      </c>
      <c r="H28" s="91"/>
      <c r="I28" s="92">
        <f>G28+H28</f>
        <v>451706</v>
      </c>
      <c r="J28" s="93" t="s">
        <v>47</v>
      </c>
      <c r="K28" s="94" t="s">
        <v>47</v>
      </c>
      <c r="L28" s="95" t="s">
        <v>47</v>
      </c>
      <c r="M28" s="96" t="s">
        <v>47</v>
      </c>
      <c r="N28" s="97" t="s">
        <v>47</v>
      </c>
      <c r="O28" s="95" t="s">
        <v>47</v>
      </c>
      <c r="P28" s="85"/>
      <c r="R28" s="53"/>
      <c r="S28" s="53"/>
      <c r="T28" s="53"/>
    </row>
    <row r="29" spans="1:20" s="41" customFormat="1" ht="24.75" hidden="1" thickTop="1" x14ac:dyDescent="0.25">
      <c r="A29" s="99"/>
      <c r="B29" s="99" t="s">
        <v>48</v>
      </c>
      <c r="C29" s="100">
        <f t="shared" si="1"/>
        <v>0</v>
      </c>
      <c r="D29" s="101"/>
      <c r="E29" s="665"/>
      <c r="F29" s="634">
        <f t="shared" si="0"/>
        <v>0</v>
      </c>
      <c r="G29" s="104" t="s">
        <v>47</v>
      </c>
      <c r="H29" s="105" t="s">
        <v>47</v>
      </c>
      <c r="I29" s="106" t="s">
        <v>47</v>
      </c>
      <c r="J29" s="104" t="s">
        <v>47</v>
      </c>
      <c r="K29" s="105" t="s">
        <v>47</v>
      </c>
      <c r="L29" s="106" t="s">
        <v>47</v>
      </c>
      <c r="M29" s="107" t="s">
        <v>47</v>
      </c>
      <c r="N29" s="108" t="s">
        <v>47</v>
      </c>
      <c r="O29" s="106" t="s">
        <v>47</v>
      </c>
      <c r="P29" s="109"/>
      <c r="R29" s="53"/>
      <c r="S29" s="53"/>
      <c r="T29" s="53"/>
    </row>
    <row r="30" spans="1:20" s="41" customFormat="1" ht="26.25" customHeight="1" thickTop="1" x14ac:dyDescent="0.25">
      <c r="A30" s="99">
        <v>21300</v>
      </c>
      <c r="B30" s="99" t="s">
        <v>49</v>
      </c>
      <c r="C30" s="100">
        <f t="shared" si="1"/>
        <v>20458</v>
      </c>
      <c r="D30" s="104" t="s">
        <v>47</v>
      </c>
      <c r="E30" s="110" t="s">
        <v>47</v>
      </c>
      <c r="F30" s="111" t="s">
        <v>47</v>
      </c>
      <c r="G30" s="104" t="s">
        <v>47</v>
      </c>
      <c r="H30" s="105" t="s">
        <v>47</v>
      </c>
      <c r="I30" s="106" t="s">
        <v>47</v>
      </c>
      <c r="J30" s="112">
        <f>SUM(J31,J35,J37,J40)</f>
        <v>20458</v>
      </c>
      <c r="K30" s="113">
        <f>SUM(K31,K35,K37,K40)</f>
        <v>0</v>
      </c>
      <c r="L30" s="114">
        <f t="shared" ref="L30:L44" si="2">J30+K30</f>
        <v>20458</v>
      </c>
      <c r="M30" s="107" t="s">
        <v>47</v>
      </c>
      <c r="N30" s="108" t="s">
        <v>47</v>
      </c>
      <c r="O30" s="106" t="s">
        <v>47</v>
      </c>
      <c r="P30" s="109"/>
      <c r="R30" s="53"/>
      <c r="S30" s="53"/>
      <c r="T30" s="53"/>
    </row>
    <row r="31" spans="1:20" s="41" customFormat="1" ht="24" hidden="1" x14ac:dyDescent="0.25">
      <c r="A31" s="115">
        <v>21350</v>
      </c>
      <c r="B31" s="99" t="s">
        <v>50</v>
      </c>
      <c r="C31" s="100">
        <f t="shared" si="1"/>
        <v>0</v>
      </c>
      <c r="D31" s="104" t="s">
        <v>47</v>
      </c>
      <c r="E31" s="110" t="s">
        <v>47</v>
      </c>
      <c r="F31" s="111" t="s">
        <v>47</v>
      </c>
      <c r="G31" s="104" t="s">
        <v>47</v>
      </c>
      <c r="H31" s="105" t="s">
        <v>47</v>
      </c>
      <c r="I31" s="106" t="s">
        <v>47</v>
      </c>
      <c r="J31" s="112">
        <f>SUM(J32:J34)</f>
        <v>0</v>
      </c>
      <c r="K31" s="113">
        <f>SUM(K32:K34)</f>
        <v>0</v>
      </c>
      <c r="L31" s="114">
        <f t="shared" si="2"/>
        <v>0</v>
      </c>
      <c r="M31" s="107" t="s">
        <v>47</v>
      </c>
      <c r="N31" s="108" t="s">
        <v>47</v>
      </c>
      <c r="O31" s="106" t="s">
        <v>47</v>
      </c>
      <c r="P31" s="109"/>
      <c r="R31" s="53"/>
      <c r="S31" s="53"/>
      <c r="T31" s="53"/>
    </row>
    <row r="32" spans="1:20" hidden="1" x14ac:dyDescent="0.25">
      <c r="A32" s="65">
        <v>21351</v>
      </c>
      <c r="B32" s="116" t="s">
        <v>51</v>
      </c>
      <c r="C32" s="117">
        <f t="shared" si="1"/>
        <v>0</v>
      </c>
      <c r="D32" s="118" t="s">
        <v>47</v>
      </c>
      <c r="E32" s="154" t="s">
        <v>47</v>
      </c>
      <c r="F32" s="155" t="s">
        <v>47</v>
      </c>
      <c r="G32" s="118" t="s">
        <v>47</v>
      </c>
      <c r="H32" s="121" t="s">
        <v>47</v>
      </c>
      <c r="I32" s="122" t="s">
        <v>47</v>
      </c>
      <c r="J32" s="123"/>
      <c r="K32" s="124"/>
      <c r="L32" s="125">
        <f t="shared" si="2"/>
        <v>0</v>
      </c>
      <c r="M32" s="126" t="s">
        <v>47</v>
      </c>
      <c r="N32" s="119" t="s">
        <v>47</v>
      </c>
      <c r="O32" s="122" t="s">
        <v>47</v>
      </c>
      <c r="P32" s="74"/>
      <c r="R32" s="53"/>
      <c r="S32" s="53"/>
      <c r="T32" s="53"/>
    </row>
    <row r="33" spans="1:20" hidden="1" x14ac:dyDescent="0.25">
      <c r="A33" s="75">
        <v>21352</v>
      </c>
      <c r="B33" s="127" t="s">
        <v>52</v>
      </c>
      <c r="C33" s="128">
        <f t="shared" si="1"/>
        <v>0</v>
      </c>
      <c r="D33" s="129" t="s">
        <v>47</v>
      </c>
      <c r="E33" s="130" t="s">
        <v>47</v>
      </c>
      <c r="F33" s="131" t="s">
        <v>47</v>
      </c>
      <c r="G33" s="129" t="s">
        <v>47</v>
      </c>
      <c r="H33" s="132" t="s">
        <v>47</v>
      </c>
      <c r="I33" s="133" t="s">
        <v>47</v>
      </c>
      <c r="J33" s="134"/>
      <c r="K33" s="135"/>
      <c r="L33" s="136">
        <f t="shared" si="2"/>
        <v>0</v>
      </c>
      <c r="M33" s="137" t="s">
        <v>47</v>
      </c>
      <c r="N33" s="138" t="s">
        <v>47</v>
      </c>
      <c r="O33" s="133" t="s">
        <v>47</v>
      </c>
      <c r="P33" s="85"/>
      <c r="R33" s="53"/>
      <c r="S33" s="53"/>
      <c r="T33" s="53"/>
    </row>
    <row r="34" spans="1:20" ht="24" hidden="1" x14ac:dyDescent="0.25">
      <c r="A34" s="75">
        <v>21359</v>
      </c>
      <c r="B34" s="127" t="s">
        <v>53</v>
      </c>
      <c r="C34" s="128">
        <f t="shared" si="1"/>
        <v>0</v>
      </c>
      <c r="D34" s="129" t="s">
        <v>47</v>
      </c>
      <c r="E34" s="130" t="s">
        <v>47</v>
      </c>
      <c r="F34" s="131" t="s">
        <v>47</v>
      </c>
      <c r="G34" s="129" t="s">
        <v>47</v>
      </c>
      <c r="H34" s="132" t="s">
        <v>47</v>
      </c>
      <c r="I34" s="133" t="s">
        <v>47</v>
      </c>
      <c r="J34" s="134"/>
      <c r="K34" s="135"/>
      <c r="L34" s="136">
        <f t="shared" si="2"/>
        <v>0</v>
      </c>
      <c r="M34" s="137" t="s">
        <v>47</v>
      </c>
      <c r="N34" s="138" t="s">
        <v>47</v>
      </c>
      <c r="O34" s="133" t="s">
        <v>47</v>
      </c>
      <c r="P34" s="85"/>
      <c r="R34" s="53"/>
      <c r="S34" s="53"/>
      <c r="T34" s="53"/>
    </row>
    <row r="35" spans="1:20" s="41" customFormat="1" ht="36" hidden="1" x14ac:dyDescent="0.25">
      <c r="A35" s="115">
        <v>21370</v>
      </c>
      <c r="B35" s="99" t="s">
        <v>54</v>
      </c>
      <c r="C35" s="100">
        <f t="shared" si="1"/>
        <v>0</v>
      </c>
      <c r="D35" s="104" t="s">
        <v>47</v>
      </c>
      <c r="E35" s="110" t="s">
        <v>47</v>
      </c>
      <c r="F35" s="111" t="s">
        <v>47</v>
      </c>
      <c r="G35" s="104" t="s">
        <v>47</v>
      </c>
      <c r="H35" s="105" t="s">
        <v>47</v>
      </c>
      <c r="I35" s="106" t="s">
        <v>47</v>
      </c>
      <c r="J35" s="112">
        <f>SUM(J36)</f>
        <v>0</v>
      </c>
      <c r="K35" s="113">
        <f>SUM(K36)</f>
        <v>0</v>
      </c>
      <c r="L35" s="114">
        <f t="shared" si="2"/>
        <v>0</v>
      </c>
      <c r="M35" s="107" t="s">
        <v>47</v>
      </c>
      <c r="N35" s="108" t="s">
        <v>47</v>
      </c>
      <c r="O35" s="106" t="s">
        <v>47</v>
      </c>
      <c r="P35" s="109"/>
      <c r="R35" s="53"/>
      <c r="S35" s="53"/>
      <c r="T35" s="53"/>
    </row>
    <row r="36" spans="1:20" ht="36" hidden="1" x14ac:dyDescent="0.25">
      <c r="A36" s="141">
        <v>21379</v>
      </c>
      <c r="B36" s="142" t="s">
        <v>55</v>
      </c>
      <c r="C36" s="143">
        <f t="shared" si="1"/>
        <v>0</v>
      </c>
      <c r="D36" s="144" t="s">
        <v>47</v>
      </c>
      <c r="E36" s="668" t="s">
        <v>47</v>
      </c>
      <c r="F36" s="773" t="s">
        <v>47</v>
      </c>
      <c r="G36" s="144" t="s">
        <v>47</v>
      </c>
      <c r="H36" s="147" t="s">
        <v>47</v>
      </c>
      <c r="I36" s="148" t="s">
        <v>47</v>
      </c>
      <c r="J36" s="149"/>
      <c r="K36" s="150"/>
      <c r="L36" s="151">
        <f t="shared" si="2"/>
        <v>0</v>
      </c>
      <c r="M36" s="152" t="s">
        <v>47</v>
      </c>
      <c r="N36" s="145" t="s">
        <v>47</v>
      </c>
      <c r="O36" s="148" t="s">
        <v>47</v>
      </c>
      <c r="P36" s="153"/>
      <c r="R36" s="53"/>
      <c r="S36" s="53"/>
      <c r="T36" s="53"/>
    </row>
    <row r="37" spans="1:20" s="41" customFormat="1" x14ac:dyDescent="0.25">
      <c r="A37" s="115">
        <v>21380</v>
      </c>
      <c r="B37" s="99" t="s">
        <v>56</v>
      </c>
      <c r="C37" s="100">
        <f t="shared" si="1"/>
        <v>5005</v>
      </c>
      <c r="D37" s="104" t="s">
        <v>47</v>
      </c>
      <c r="E37" s="110" t="s">
        <v>47</v>
      </c>
      <c r="F37" s="111" t="s">
        <v>47</v>
      </c>
      <c r="G37" s="104" t="s">
        <v>47</v>
      </c>
      <c r="H37" s="105" t="s">
        <v>47</v>
      </c>
      <c r="I37" s="106" t="s">
        <v>47</v>
      </c>
      <c r="J37" s="112">
        <f>SUM(J38:J39)</f>
        <v>5005</v>
      </c>
      <c r="K37" s="113">
        <f>SUM(K38:K39)</f>
        <v>0</v>
      </c>
      <c r="L37" s="114">
        <f t="shared" si="2"/>
        <v>5005</v>
      </c>
      <c r="M37" s="107" t="s">
        <v>47</v>
      </c>
      <c r="N37" s="108" t="s">
        <v>47</v>
      </c>
      <c r="O37" s="106" t="s">
        <v>47</v>
      </c>
      <c r="P37" s="109"/>
      <c r="R37" s="53"/>
      <c r="S37" s="53"/>
      <c r="T37" s="53"/>
    </row>
    <row r="38" spans="1:20" x14ac:dyDescent="0.25">
      <c r="A38" s="66">
        <v>21381</v>
      </c>
      <c r="B38" s="116" t="s">
        <v>57</v>
      </c>
      <c r="C38" s="117">
        <f t="shared" si="1"/>
        <v>5005</v>
      </c>
      <c r="D38" s="118" t="s">
        <v>47</v>
      </c>
      <c r="E38" s="154" t="s">
        <v>47</v>
      </c>
      <c r="F38" s="155" t="s">
        <v>47</v>
      </c>
      <c r="G38" s="118" t="s">
        <v>47</v>
      </c>
      <c r="H38" s="121" t="s">
        <v>47</v>
      </c>
      <c r="I38" s="122" t="s">
        <v>47</v>
      </c>
      <c r="J38" s="123">
        <v>5005</v>
      </c>
      <c r="K38" s="124"/>
      <c r="L38" s="125">
        <f t="shared" si="2"/>
        <v>5005</v>
      </c>
      <c r="M38" s="126" t="s">
        <v>47</v>
      </c>
      <c r="N38" s="119" t="s">
        <v>47</v>
      </c>
      <c r="O38" s="122" t="s">
        <v>47</v>
      </c>
      <c r="P38" s="74"/>
      <c r="R38" s="53"/>
      <c r="S38" s="53"/>
      <c r="T38" s="53"/>
    </row>
    <row r="39" spans="1:20" ht="24" hidden="1" x14ac:dyDescent="0.25">
      <c r="A39" s="76">
        <v>21383</v>
      </c>
      <c r="B39" s="127" t="s">
        <v>58</v>
      </c>
      <c r="C39" s="128">
        <f t="shared" si="1"/>
        <v>0</v>
      </c>
      <c r="D39" s="129" t="s">
        <v>47</v>
      </c>
      <c r="E39" s="130" t="s">
        <v>47</v>
      </c>
      <c r="F39" s="131" t="s">
        <v>47</v>
      </c>
      <c r="G39" s="129" t="s">
        <v>47</v>
      </c>
      <c r="H39" s="132" t="s">
        <v>47</v>
      </c>
      <c r="I39" s="133" t="s">
        <v>47</v>
      </c>
      <c r="J39" s="134"/>
      <c r="K39" s="135"/>
      <c r="L39" s="136">
        <f t="shared" si="2"/>
        <v>0</v>
      </c>
      <c r="M39" s="137" t="s">
        <v>47</v>
      </c>
      <c r="N39" s="138" t="s">
        <v>47</v>
      </c>
      <c r="O39" s="133" t="s">
        <v>47</v>
      </c>
      <c r="P39" s="85"/>
      <c r="R39" s="53"/>
      <c r="S39" s="53"/>
      <c r="T39" s="53"/>
    </row>
    <row r="40" spans="1:20" s="41" customFormat="1" ht="24" x14ac:dyDescent="0.25">
      <c r="A40" s="115">
        <v>21390</v>
      </c>
      <c r="B40" s="99" t="s">
        <v>59</v>
      </c>
      <c r="C40" s="100">
        <f t="shared" si="1"/>
        <v>15453</v>
      </c>
      <c r="D40" s="104" t="s">
        <v>47</v>
      </c>
      <c r="E40" s="110" t="s">
        <v>47</v>
      </c>
      <c r="F40" s="111" t="s">
        <v>47</v>
      </c>
      <c r="G40" s="104" t="s">
        <v>47</v>
      </c>
      <c r="H40" s="105" t="s">
        <v>47</v>
      </c>
      <c r="I40" s="106" t="s">
        <v>47</v>
      </c>
      <c r="J40" s="112">
        <f>SUM(J41:J44)</f>
        <v>15453</v>
      </c>
      <c r="K40" s="113">
        <f>SUM(K41:K44)</f>
        <v>0</v>
      </c>
      <c r="L40" s="114">
        <f t="shared" si="2"/>
        <v>15453</v>
      </c>
      <c r="M40" s="107" t="s">
        <v>47</v>
      </c>
      <c r="N40" s="108" t="s">
        <v>47</v>
      </c>
      <c r="O40" s="106" t="s">
        <v>47</v>
      </c>
      <c r="P40" s="109"/>
      <c r="R40" s="53"/>
      <c r="S40" s="53"/>
      <c r="T40" s="53"/>
    </row>
    <row r="41" spans="1:20" ht="24" hidden="1" x14ac:dyDescent="0.25">
      <c r="A41" s="66">
        <v>21391</v>
      </c>
      <c r="B41" s="116" t="s">
        <v>60</v>
      </c>
      <c r="C41" s="117">
        <f t="shared" si="1"/>
        <v>0</v>
      </c>
      <c r="D41" s="118" t="s">
        <v>47</v>
      </c>
      <c r="E41" s="154" t="s">
        <v>47</v>
      </c>
      <c r="F41" s="155" t="s">
        <v>47</v>
      </c>
      <c r="G41" s="118" t="s">
        <v>47</v>
      </c>
      <c r="H41" s="121" t="s">
        <v>47</v>
      </c>
      <c r="I41" s="122" t="s">
        <v>47</v>
      </c>
      <c r="J41" s="123"/>
      <c r="K41" s="124"/>
      <c r="L41" s="125">
        <f t="shared" si="2"/>
        <v>0</v>
      </c>
      <c r="M41" s="126" t="s">
        <v>47</v>
      </c>
      <c r="N41" s="119" t="s">
        <v>47</v>
      </c>
      <c r="O41" s="122" t="s">
        <v>47</v>
      </c>
      <c r="P41" s="74"/>
      <c r="R41" s="53"/>
      <c r="S41" s="53"/>
      <c r="T41" s="53"/>
    </row>
    <row r="42" spans="1:20" hidden="1" x14ac:dyDescent="0.25">
      <c r="A42" s="76">
        <v>21393</v>
      </c>
      <c r="B42" s="127" t="s">
        <v>61</v>
      </c>
      <c r="C42" s="128">
        <f t="shared" si="1"/>
        <v>0</v>
      </c>
      <c r="D42" s="129" t="s">
        <v>47</v>
      </c>
      <c r="E42" s="130" t="s">
        <v>47</v>
      </c>
      <c r="F42" s="131" t="s">
        <v>47</v>
      </c>
      <c r="G42" s="129" t="s">
        <v>47</v>
      </c>
      <c r="H42" s="132" t="s">
        <v>47</v>
      </c>
      <c r="I42" s="133" t="s">
        <v>47</v>
      </c>
      <c r="J42" s="134"/>
      <c r="K42" s="135"/>
      <c r="L42" s="136">
        <f t="shared" si="2"/>
        <v>0</v>
      </c>
      <c r="M42" s="137" t="s">
        <v>47</v>
      </c>
      <c r="N42" s="138" t="s">
        <v>47</v>
      </c>
      <c r="O42" s="133" t="s">
        <v>47</v>
      </c>
      <c r="P42" s="85"/>
      <c r="R42" s="53"/>
      <c r="S42" s="53"/>
      <c r="T42" s="53"/>
    </row>
    <row r="43" spans="1:20" hidden="1" x14ac:dyDescent="0.25">
      <c r="A43" s="76">
        <v>21395</v>
      </c>
      <c r="B43" s="127" t="s">
        <v>62</v>
      </c>
      <c r="C43" s="128">
        <f t="shared" si="1"/>
        <v>0</v>
      </c>
      <c r="D43" s="129" t="s">
        <v>47</v>
      </c>
      <c r="E43" s="130" t="s">
        <v>47</v>
      </c>
      <c r="F43" s="131" t="s">
        <v>47</v>
      </c>
      <c r="G43" s="129" t="s">
        <v>47</v>
      </c>
      <c r="H43" s="132" t="s">
        <v>47</v>
      </c>
      <c r="I43" s="133" t="s">
        <v>47</v>
      </c>
      <c r="J43" s="134"/>
      <c r="K43" s="135"/>
      <c r="L43" s="136">
        <f t="shared" si="2"/>
        <v>0</v>
      </c>
      <c r="M43" s="137" t="s">
        <v>47</v>
      </c>
      <c r="N43" s="138" t="s">
        <v>47</v>
      </c>
      <c r="O43" s="133" t="s">
        <v>47</v>
      </c>
      <c r="P43" s="85"/>
      <c r="R43" s="53"/>
      <c r="S43" s="53"/>
      <c r="T43" s="53"/>
    </row>
    <row r="44" spans="1:20" ht="24" x14ac:dyDescent="0.25">
      <c r="A44" s="76">
        <v>21399</v>
      </c>
      <c r="B44" s="127" t="s">
        <v>63</v>
      </c>
      <c r="C44" s="128">
        <f t="shared" si="1"/>
        <v>15453</v>
      </c>
      <c r="D44" s="129" t="s">
        <v>47</v>
      </c>
      <c r="E44" s="130" t="s">
        <v>47</v>
      </c>
      <c r="F44" s="131" t="s">
        <v>47</v>
      </c>
      <c r="G44" s="129" t="s">
        <v>47</v>
      </c>
      <c r="H44" s="132" t="s">
        <v>47</v>
      </c>
      <c r="I44" s="133" t="s">
        <v>47</v>
      </c>
      <c r="J44" s="134">
        <f>14953+500</f>
        <v>15453</v>
      </c>
      <c r="K44" s="135"/>
      <c r="L44" s="136">
        <f t="shared" si="2"/>
        <v>15453</v>
      </c>
      <c r="M44" s="137" t="s">
        <v>47</v>
      </c>
      <c r="N44" s="138" t="s">
        <v>47</v>
      </c>
      <c r="O44" s="133" t="s">
        <v>47</v>
      </c>
      <c r="P44" s="85"/>
      <c r="R44" s="53"/>
      <c r="S44" s="53"/>
      <c r="T44" s="53"/>
    </row>
    <row r="45" spans="1:20" s="41" customFormat="1" ht="24" hidden="1" x14ac:dyDescent="0.25">
      <c r="A45" s="115">
        <v>21420</v>
      </c>
      <c r="B45" s="99" t="s">
        <v>64</v>
      </c>
      <c r="C45" s="156">
        <f t="shared" si="1"/>
        <v>0</v>
      </c>
      <c r="D45" s="157"/>
      <c r="E45" s="702"/>
      <c r="F45" s="634">
        <f>D45+E45</f>
        <v>0</v>
      </c>
      <c r="G45" s="104" t="s">
        <v>47</v>
      </c>
      <c r="H45" s="105" t="s">
        <v>47</v>
      </c>
      <c r="I45" s="106" t="s">
        <v>47</v>
      </c>
      <c r="J45" s="104" t="s">
        <v>47</v>
      </c>
      <c r="K45" s="105" t="s">
        <v>47</v>
      </c>
      <c r="L45" s="106" t="s">
        <v>47</v>
      </c>
      <c r="M45" s="107" t="s">
        <v>47</v>
      </c>
      <c r="N45" s="108" t="s">
        <v>47</v>
      </c>
      <c r="O45" s="106" t="s">
        <v>47</v>
      </c>
      <c r="P45" s="109"/>
      <c r="R45" s="53"/>
      <c r="S45" s="53"/>
      <c r="T45" s="53"/>
    </row>
    <row r="46" spans="1:20" s="41" customFormat="1" ht="24" hidden="1" x14ac:dyDescent="0.25">
      <c r="A46" s="159">
        <v>21490</v>
      </c>
      <c r="B46" s="160" t="s">
        <v>65</v>
      </c>
      <c r="C46" s="156">
        <f t="shared" si="1"/>
        <v>0</v>
      </c>
      <c r="D46" s="161">
        <f>D47</f>
        <v>0</v>
      </c>
      <c r="E46" s="672">
        <f>E47</f>
        <v>0</v>
      </c>
      <c r="F46" s="774">
        <f>D46+E46</f>
        <v>0</v>
      </c>
      <c r="G46" s="161">
        <f>G47</f>
        <v>0</v>
      </c>
      <c r="H46" s="164">
        <f>H47</f>
        <v>0</v>
      </c>
      <c r="I46" s="165">
        <f>G46+H46</f>
        <v>0</v>
      </c>
      <c r="J46" s="161">
        <f>J47</f>
        <v>0</v>
      </c>
      <c r="K46" s="164">
        <f t="shared" ref="K46" si="3">K47</f>
        <v>0</v>
      </c>
      <c r="L46" s="165">
        <f>J46+K46</f>
        <v>0</v>
      </c>
      <c r="M46" s="107" t="s">
        <v>47</v>
      </c>
      <c r="N46" s="108" t="s">
        <v>47</v>
      </c>
      <c r="O46" s="106" t="s">
        <v>47</v>
      </c>
      <c r="P46" s="109"/>
      <c r="R46" s="53"/>
      <c r="S46" s="53"/>
      <c r="T46" s="53"/>
    </row>
    <row r="47" spans="1:20" s="41" customFormat="1" ht="24" hidden="1" x14ac:dyDescent="0.25">
      <c r="A47" s="76">
        <v>21499</v>
      </c>
      <c r="B47" s="127" t="s">
        <v>66</v>
      </c>
      <c r="C47" s="166">
        <f t="shared" si="1"/>
        <v>0</v>
      </c>
      <c r="D47" s="68"/>
      <c r="E47" s="673"/>
      <c r="F47" s="625">
        <f>D47+E47</f>
        <v>0</v>
      </c>
      <c r="G47" s="167"/>
      <c r="H47" s="71"/>
      <c r="I47" s="72">
        <f>G47+H47</f>
        <v>0</v>
      </c>
      <c r="J47" s="68"/>
      <c r="K47" s="71"/>
      <c r="L47" s="72">
        <f>J47+K47</f>
        <v>0</v>
      </c>
      <c r="M47" s="152" t="s">
        <v>47</v>
      </c>
      <c r="N47" s="145" t="s">
        <v>47</v>
      </c>
      <c r="O47" s="148" t="s">
        <v>47</v>
      </c>
      <c r="P47" s="153"/>
      <c r="R47" s="53"/>
      <c r="S47" s="53"/>
      <c r="T47" s="53"/>
    </row>
    <row r="48" spans="1:20" ht="24" hidden="1" x14ac:dyDescent="0.25">
      <c r="A48" s="168">
        <v>23000</v>
      </c>
      <c r="B48" s="169" t="s">
        <v>67</v>
      </c>
      <c r="C48" s="156">
        <f t="shared" si="1"/>
        <v>0</v>
      </c>
      <c r="D48" s="170" t="s">
        <v>47</v>
      </c>
      <c r="E48" s="669" t="s">
        <v>47</v>
      </c>
      <c r="F48" s="907" t="s">
        <v>47</v>
      </c>
      <c r="G48" s="170" t="s">
        <v>47</v>
      </c>
      <c r="H48" s="173" t="s">
        <v>47</v>
      </c>
      <c r="I48" s="174" t="s">
        <v>47</v>
      </c>
      <c r="J48" s="170" t="s">
        <v>47</v>
      </c>
      <c r="K48" s="173" t="s">
        <v>47</v>
      </c>
      <c r="L48" s="174" t="s">
        <v>47</v>
      </c>
      <c r="M48" s="175">
        <f>SUM(M49:M50)</f>
        <v>0</v>
      </c>
      <c r="N48" s="176">
        <f>SUM(N49:N50)</f>
        <v>0</v>
      </c>
      <c r="O48" s="177">
        <f>M48+N48</f>
        <v>0</v>
      </c>
      <c r="P48" s="109"/>
      <c r="R48" s="53"/>
      <c r="S48" s="53"/>
      <c r="T48" s="53"/>
    </row>
    <row r="49" spans="1:20" ht="24" hidden="1" x14ac:dyDescent="0.25">
      <c r="A49" s="178">
        <v>23410</v>
      </c>
      <c r="B49" s="179" t="s">
        <v>68</v>
      </c>
      <c r="C49" s="180">
        <f t="shared" si="1"/>
        <v>0</v>
      </c>
      <c r="D49" s="181" t="s">
        <v>47</v>
      </c>
      <c r="E49" s="674" t="s">
        <v>47</v>
      </c>
      <c r="F49" s="908" t="s">
        <v>47</v>
      </c>
      <c r="G49" s="181" t="s">
        <v>47</v>
      </c>
      <c r="H49" s="184" t="s">
        <v>47</v>
      </c>
      <c r="I49" s="185" t="s">
        <v>47</v>
      </c>
      <c r="J49" s="181" t="s">
        <v>47</v>
      </c>
      <c r="K49" s="184" t="s">
        <v>47</v>
      </c>
      <c r="L49" s="185" t="s">
        <v>47</v>
      </c>
      <c r="M49" s="186"/>
      <c r="N49" s="187"/>
      <c r="O49" s="188">
        <f>M49+N49</f>
        <v>0</v>
      </c>
      <c r="P49" s="189"/>
      <c r="R49" s="53"/>
      <c r="S49" s="53"/>
      <c r="T49" s="53"/>
    </row>
    <row r="50" spans="1:20" ht="24" hidden="1" x14ac:dyDescent="0.25">
      <c r="A50" s="178">
        <v>23510</v>
      </c>
      <c r="B50" s="179" t="s">
        <v>69</v>
      </c>
      <c r="C50" s="180">
        <f t="shared" si="1"/>
        <v>0</v>
      </c>
      <c r="D50" s="181" t="s">
        <v>47</v>
      </c>
      <c r="E50" s="674" t="s">
        <v>47</v>
      </c>
      <c r="F50" s="908" t="s">
        <v>47</v>
      </c>
      <c r="G50" s="181" t="s">
        <v>47</v>
      </c>
      <c r="H50" s="184" t="s">
        <v>47</v>
      </c>
      <c r="I50" s="185" t="s">
        <v>47</v>
      </c>
      <c r="J50" s="181" t="s">
        <v>47</v>
      </c>
      <c r="K50" s="184" t="s">
        <v>47</v>
      </c>
      <c r="L50" s="185" t="s">
        <v>47</v>
      </c>
      <c r="M50" s="186"/>
      <c r="N50" s="187"/>
      <c r="O50" s="188">
        <f>M50+N50</f>
        <v>0</v>
      </c>
      <c r="P50" s="189"/>
      <c r="R50" s="53"/>
      <c r="S50" s="53"/>
      <c r="T50" s="53"/>
    </row>
    <row r="51" spans="1:20" ht="6.75" customHeight="1" x14ac:dyDescent="0.25">
      <c r="A51" s="190"/>
      <c r="B51" s="179"/>
      <c r="C51" s="191"/>
      <c r="D51" s="192"/>
      <c r="E51" s="193"/>
      <c r="F51" s="194"/>
      <c r="G51" s="192"/>
      <c r="H51" s="195"/>
      <c r="I51" s="185"/>
      <c r="J51" s="196"/>
      <c r="K51" s="197"/>
      <c r="L51" s="188"/>
      <c r="M51" s="186"/>
      <c r="N51" s="187"/>
      <c r="O51" s="188"/>
      <c r="P51" s="189"/>
      <c r="R51" s="53"/>
      <c r="S51" s="53"/>
      <c r="T51" s="53"/>
    </row>
    <row r="52" spans="1:20" s="41" customFormat="1" x14ac:dyDescent="0.25">
      <c r="A52" s="198"/>
      <c r="B52" s="199" t="s">
        <v>70</v>
      </c>
      <c r="C52" s="200"/>
      <c r="D52" s="201"/>
      <c r="E52" s="202"/>
      <c r="F52" s="203"/>
      <c r="G52" s="201"/>
      <c r="H52" s="204"/>
      <c r="I52" s="205"/>
      <c r="J52" s="201"/>
      <c r="K52" s="204"/>
      <c r="L52" s="205"/>
      <c r="M52" s="206"/>
      <c r="N52" s="207"/>
      <c r="O52" s="205"/>
      <c r="P52" s="208"/>
      <c r="R52" s="53"/>
      <c r="S52" s="53"/>
      <c r="T52" s="53"/>
    </row>
    <row r="53" spans="1:20" s="41" customFormat="1" ht="12.75" thickBot="1" x14ac:dyDescent="0.3">
      <c r="A53" s="209"/>
      <c r="B53" s="42" t="s">
        <v>71</v>
      </c>
      <c r="C53" s="210">
        <f t="shared" ref="C53:C116" si="4">SUM(F53,I53,L53,O53)</f>
        <v>831497</v>
      </c>
      <c r="D53" s="211">
        <f>SUM(D54,D284)</f>
        <v>357431</v>
      </c>
      <c r="E53" s="212">
        <f>SUM(E54,E285)</f>
        <v>0</v>
      </c>
      <c r="F53" s="213">
        <f t="shared" ref="F53:F116" si="5">D53+E53</f>
        <v>357431</v>
      </c>
      <c r="G53" s="211">
        <f>SUM(G54,G284)</f>
        <v>451706</v>
      </c>
      <c r="H53" s="214">
        <f>SUM(H54,H284)</f>
        <v>0</v>
      </c>
      <c r="I53" s="215">
        <f t="shared" ref="I53:I116" si="6">G53+H53</f>
        <v>451706</v>
      </c>
      <c r="J53" s="211">
        <f>SUM(J54,J284)</f>
        <v>22360</v>
      </c>
      <c r="K53" s="214">
        <f>SUM(K54,K285)</f>
        <v>0</v>
      </c>
      <c r="L53" s="215">
        <f t="shared" ref="L53:L116" si="7">J53+K53</f>
        <v>22360</v>
      </c>
      <c r="M53" s="216">
        <f>SUM(M54,M284)</f>
        <v>0</v>
      </c>
      <c r="N53" s="217">
        <f>SUM(N54,N284)</f>
        <v>0</v>
      </c>
      <c r="O53" s="215">
        <f t="shared" ref="O53:O116" si="8">M53+N53</f>
        <v>0</v>
      </c>
      <c r="P53" s="52"/>
      <c r="R53" s="53"/>
      <c r="S53" s="53"/>
      <c r="T53" s="53"/>
    </row>
    <row r="54" spans="1:20" s="41" customFormat="1" ht="36.75" thickTop="1" x14ac:dyDescent="0.25">
      <c r="A54" s="218"/>
      <c r="B54" s="219" t="s">
        <v>72</v>
      </c>
      <c r="C54" s="220">
        <f t="shared" si="4"/>
        <v>831497</v>
      </c>
      <c r="D54" s="221">
        <f>SUM(D55,D197)</f>
        <v>357431</v>
      </c>
      <c r="E54" s="222">
        <f>SUM(E55,E197)</f>
        <v>0</v>
      </c>
      <c r="F54" s="223">
        <f t="shared" si="5"/>
        <v>357431</v>
      </c>
      <c r="G54" s="221">
        <f>SUM(G55,G197)</f>
        <v>451706</v>
      </c>
      <c r="H54" s="224">
        <f>SUM(H55,H197)</f>
        <v>0</v>
      </c>
      <c r="I54" s="225">
        <f t="shared" si="6"/>
        <v>451706</v>
      </c>
      <c r="J54" s="221">
        <f>SUM(J55,J197)</f>
        <v>22360</v>
      </c>
      <c r="K54" s="224">
        <f>SUM(K55,K197)</f>
        <v>0</v>
      </c>
      <c r="L54" s="225">
        <f t="shared" si="7"/>
        <v>22360</v>
      </c>
      <c r="M54" s="226">
        <f>SUM(M55,M197)</f>
        <v>0</v>
      </c>
      <c r="N54" s="227">
        <f>SUM(N55,N197)</f>
        <v>0</v>
      </c>
      <c r="O54" s="225">
        <f t="shared" si="8"/>
        <v>0</v>
      </c>
      <c r="P54" s="228"/>
      <c r="R54" s="53"/>
      <c r="S54" s="53"/>
      <c r="T54" s="53"/>
    </row>
    <row r="55" spans="1:20" s="41" customFormat="1" ht="24" x14ac:dyDescent="0.25">
      <c r="A55" s="35"/>
      <c r="B55" s="30" t="s">
        <v>73</v>
      </c>
      <c r="C55" s="229">
        <f t="shared" si="4"/>
        <v>808316</v>
      </c>
      <c r="D55" s="230">
        <f>SUM(D56,D78,D176,D190)</f>
        <v>338521</v>
      </c>
      <c r="E55" s="231">
        <f>SUM(E56,E78,E176,E190)</f>
        <v>0</v>
      </c>
      <c r="F55" s="232">
        <f t="shared" si="5"/>
        <v>338521</v>
      </c>
      <c r="G55" s="230">
        <f>SUM(G56,G78,G176,G190)</f>
        <v>447706</v>
      </c>
      <c r="H55" s="233">
        <f>SUM(H56,H78,H176,H190)</f>
        <v>0</v>
      </c>
      <c r="I55" s="234">
        <f t="shared" si="6"/>
        <v>447706</v>
      </c>
      <c r="J55" s="230">
        <f>SUM(J56,J78,J176,J190)</f>
        <v>22089</v>
      </c>
      <c r="K55" s="233">
        <f>SUM(K56,K78,K176,K190)</f>
        <v>0</v>
      </c>
      <c r="L55" s="234">
        <f t="shared" si="7"/>
        <v>22089</v>
      </c>
      <c r="M55" s="53">
        <f>SUM(M56,M78,M176,M190)</f>
        <v>0</v>
      </c>
      <c r="N55" s="235">
        <f>SUM(N56,N78,N176,N190)</f>
        <v>0</v>
      </c>
      <c r="O55" s="234">
        <f t="shared" si="8"/>
        <v>0</v>
      </c>
      <c r="P55" s="236"/>
      <c r="R55" s="53"/>
      <c r="S55" s="53"/>
      <c r="T55" s="53"/>
    </row>
    <row r="56" spans="1:20" s="41" customFormat="1" x14ac:dyDescent="0.25">
      <c r="A56" s="237">
        <v>1000</v>
      </c>
      <c r="B56" s="237" t="s">
        <v>74</v>
      </c>
      <c r="C56" s="238">
        <f t="shared" si="4"/>
        <v>679777</v>
      </c>
      <c r="D56" s="239">
        <f>SUM(D57,D70)</f>
        <v>233767</v>
      </c>
      <c r="E56" s="240">
        <f>SUM(E57,E70)</f>
        <v>0</v>
      </c>
      <c r="F56" s="241">
        <f t="shared" si="5"/>
        <v>233767</v>
      </c>
      <c r="G56" s="239">
        <f>SUM(G57,G70)</f>
        <v>446010</v>
      </c>
      <c r="H56" s="242">
        <f>SUM(H57,H70)</f>
        <v>0</v>
      </c>
      <c r="I56" s="243">
        <f t="shared" si="6"/>
        <v>446010</v>
      </c>
      <c r="J56" s="239">
        <f>SUM(J57,J70)</f>
        <v>0</v>
      </c>
      <c r="K56" s="242">
        <f>SUM(K57,K70)</f>
        <v>0</v>
      </c>
      <c r="L56" s="243">
        <f t="shared" si="7"/>
        <v>0</v>
      </c>
      <c r="M56" s="244">
        <f>SUM(M57,M70)</f>
        <v>0</v>
      </c>
      <c r="N56" s="245">
        <f>SUM(N57,N70)</f>
        <v>0</v>
      </c>
      <c r="O56" s="243">
        <f t="shared" si="8"/>
        <v>0</v>
      </c>
      <c r="P56" s="246"/>
      <c r="R56" s="53"/>
      <c r="S56" s="53"/>
      <c r="T56" s="53"/>
    </row>
    <row r="57" spans="1:20" x14ac:dyDescent="0.25">
      <c r="A57" s="99">
        <v>1100</v>
      </c>
      <c r="B57" s="247" t="s">
        <v>75</v>
      </c>
      <c r="C57" s="100">
        <f t="shared" si="4"/>
        <v>520557</v>
      </c>
      <c r="D57" s="112">
        <f>SUM(D58,D61,D69)</f>
        <v>160539</v>
      </c>
      <c r="E57" s="248">
        <f>SUM(E58,E61,E69)</f>
        <v>0</v>
      </c>
      <c r="F57" s="249">
        <f t="shared" si="5"/>
        <v>160539</v>
      </c>
      <c r="G57" s="112">
        <f>SUM(G58,G61,G69)</f>
        <v>357688</v>
      </c>
      <c r="H57" s="113">
        <f>SUM(H58,H61,H69)</f>
        <v>2330</v>
      </c>
      <c r="I57" s="114">
        <f t="shared" si="6"/>
        <v>360018</v>
      </c>
      <c r="J57" s="112">
        <f>SUM(J58,J61,J69)</f>
        <v>0</v>
      </c>
      <c r="K57" s="113">
        <f>SUM(K58,K61,K69)</f>
        <v>0</v>
      </c>
      <c r="L57" s="114">
        <f t="shared" si="7"/>
        <v>0</v>
      </c>
      <c r="M57" s="250">
        <f>SUM(M58,M61,M69)</f>
        <v>0</v>
      </c>
      <c r="N57" s="251">
        <f>SUM(N58,N61,N69)</f>
        <v>0</v>
      </c>
      <c r="O57" s="252">
        <f t="shared" si="8"/>
        <v>0</v>
      </c>
      <c r="P57" s="253"/>
      <c r="R57" s="53"/>
      <c r="S57" s="53"/>
      <c r="T57" s="53"/>
    </row>
    <row r="58" spans="1:20" ht="48" x14ac:dyDescent="0.25">
      <c r="A58" s="254">
        <v>1110</v>
      </c>
      <c r="B58" s="179" t="s">
        <v>76</v>
      </c>
      <c r="C58" s="191">
        <f t="shared" si="4"/>
        <v>448401</v>
      </c>
      <c r="D58" s="255">
        <f>SUM(D59:D60)</f>
        <v>135203</v>
      </c>
      <c r="E58" s="256">
        <f>SUM(E59:E60)</f>
        <v>0</v>
      </c>
      <c r="F58" s="257">
        <f t="shared" si="5"/>
        <v>135203</v>
      </c>
      <c r="G58" s="255">
        <f>SUM(G59:G60)</f>
        <v>312248</v>
      </c>
      <c r="H58" s="258">
        <f>SUM(H59:H60)</f>
        <v>950</v>
      </c>
      <c r="I58" s="259">
        <f t="shared" si="6"/>
        <v>313198</v>
      </c>
      <c r="J58" s="255">
        <f>SUM(J59:J60)</f>
        <v>0</v>
      </c>
      <c r="K58" s="258">
        <f>SUM(K59:K60)</f>
        <v>0</v>
      </c>
      <c r="L58" s="259">
        <f t="shared" si="7"/>
        <v>0</v>
      </c>
      <c r="M58" s="260">
        <f>SUM(M59:M60)</f>
        <v>0</v>
      </c>
      <c r="N58" s="261">
        <f>SUM(N59:N60)</f>
        <v>0</v>
      </c>
      <c r="O58" s="259">
        <f t="shared" si="8"/>
        <v>0</v>
      </c>
      <c r="P58" s="189" t="s">
        <v>1087</v>
      </c>
      <c r="R58" s="53"/>
      <c r="S58" s="53"/>
      <c r="T58" s="53"/>
    </row>
    <row r="59" spans="1:20" hidden="1" x14ac:dyDescent="0.25">
      <c r="A59" s="66">
        <v>1111</v>
      </c>
      <c r="B59" s="116" t="s">
        <v>77</v>
      </c>
      <c r="C59" s="117">
        <f t="shared" si="4"/>
        <v>0</v>
      </c>
      <c r="D59" s="123"/>
      <c r="E59" s="295"/>
      <c r="F59" s="296">
        <f t="shared" si="5"/>
        <v>0</v>
      </c>
      <c r="G59" s="123"/>
      <c r="H59" s="124"/>
      <c r="I59" s="125">
        <f t="shared" si="6"/>
        <v>0</v>
      </c>
      <c r="J59" s="123"/>
      <c r="K59" s="124"/>
      <c r="L59" s="125">
        <f t="shared" si="7"/>
        <v>0</v>
      </c>
      <c r="M59" s="264"/>
      <c r="N59" s="262"/>
      <c r="O59" s="125">
        <f t="shared" si="8"/>
        <v>0</v>
      </c>
      <c r="P59" s="189"/>
      <c r="R59" s="53"/>
      <c r="S59" s="53"/>
      <c r="T59" s="53"/>
    </row>
    <row r="60" spans="1:20" ht="24" x14ac:dyDescent="0.25">
      <c r="A60" s="76">
        <v>1119</v>
      </c>
      <c r="B60" s="127" t="s">
        <v>78</v>
      </c>
      <c r="C60" s="128">
        <f t="shared" si="4"/>
        <v>448401</v>
      </c>
      <c r="D60" s="134">
        <f>130929+466+3808</f>
        <v>135203</v>
      </c>
      <c r="E60" s="283"/>
      <c r="F60" s="279">
        <f t="shared" si="5"/>
        <v>135203</v>
      </c>
      <c r="G60" s="134">
        <f>293650-190+18788</f>
        <v>312248</v>
      </c>
      <c r="H60" s="135">
        <v>950</v>
      </c>
      <c r="I60" s="136">
        <f t="shared" si="6"/>
        <v>313198</v>
      </c>
      <c r="J60" s="134"/>
      <c r="K60" s="135"/>
      <c r="L60" s="136">
        <f t="shared" si="7"/>
        <v>0</v>
      </c>
      <c r="M60" s="284"/>
      <c r="N60" s="285"/>
      <c r="O60" s="136">
        <f t="shared" si="8"/>
        <v>0</v>
      </c>
      <c r="P60" s="74"/>
      <c r="R60" s="53"/>
      <c r="S60" s="53"/>
      <c r="T60" s="53"/>
    </row>
    <row r="61" spans="1:20" ht="24" x14ac:dyDescent="0.25">
      <c r="A61" s="276">
        <v>1140</v>
      </c>
      <c r="B61" s="127" t="s">
        <v>79</v>
      </c>
      <c r="C61" s="128">
        <f t="shared" si="4"/>
        <v>70881</v>
      </c>
      <c r="D61" s="277">
        <f>SUM(D62:D68)</f>
        <v>24061</v>
      </c>
      <c r="E61" s="278">
        <f>SUM(E62:E68)</f>
        <v>0</v>
      </c>
      <c r="F61" s="279">
        <f t="shared" si="5"/>
        <v>24061</v>
      </c>
      <c r="G61" s="277">
        <f>SUM(G62:G68)</f>
        <v>45440</v>
      </c>
      <c r="H61" s="280">
        <f>SUM(H62:H68)</f>
        <v>1380</v>
      </c>
      <c r="I61" s="136">
        <f t="shared" si="6"/>
        <v>46820</v>
      </c>
      <c r="J61" s="277">
        <f>SUM(J62:J68)</f>
        <v>0</v>
      </c>
      <c r="K61" s="280">
        <f>SUM(K62:K68)</f>
        <v>0</v>
      </c>
      <c r="L61" s="136">
        <f t="shared" si="7"/>
        <v>0</v>
      </c>
      <c r="M61" s="281">
        <f>SUM(M62:M68)</f>
        <v>0</v>
      </c>
      <c r="N61" s="282">
        <f>SUM(N62:N68)</f>
        <v>0</v>
      </c>
      <c r="O61" s="136">
        <f t="shared" si="8"/>
        <v>0</v>
      </c>
      <c r="P61" s="85"/>
      <c r="R61" s="53"/>
      <c r="S61" s="53"/>
      <c r="T61" s="53"/>
    </row>
    <row r="62" spans="1:20" x14ac:dyDescent="0.25">
      <c r="A62" s="76">
        <v>1141</v>
      </c>
      <c r="B62" s="127" t="s">
        <v>80</v>
      </c>
      <c r="C62" s="128">
        <f t="shared" si="4"/>
        <v>3758</v>
      </c>
      <c r="D62" s="134">
        <v>3758</v>
      </c>
      <c r="E62" s="283"/>
      <c r="F62" s="279">
        <f t="shared" si="5"/>
        <v>3758</v>
      </c>
      <c r="G62" s="134"/>
      <c r="H62" s="135"/>
      <c r="I62" s="136">
        <f t="shared" si="6"/>
        <v>0</v>
      </c>
      <c r="J62" s="134"/>
      <c r="K62" s="135"/>
      <c r="L62" s="136">
        <f t="shared" si="7"/>
        <v>0</v>
      </c>
      <c r="M62" s="284"/>
      <c r="N62" s="285"/>
      <c r="O62" s="136">
        <f t="shared" si="8"/>
        <v>0</v>
      </c>
      <c r="P62" s="85"/>
      <c r="R62" s="53"/>
      <c r="S62" s="53"/>
      <c r="T62" s="53"/>
    </row>
    <row r="63" spans="1:20" ht="24" x14ac:dyDescent="0.25">
      <c r="A63" s="76">
        <v>1142</v>
      </c>
      <c r="B63" s="127" t="s">
        <v>81</v>
      </c>
      <c r="C63" s="128">
        <f t="shared" si="4"/>
        <v>972</v>
      </c>
      <c r="D63" s="134">
        <v>972</v>
      </c>
      <c r="E63" s="283"/>
      <c r="F63" s="279">
        <f t="shared" si="5"/>
        <v>972</v>
      </c>
      <c r="G63" s="134"/>
      <c r="H63" s="135"/>
      <c r="I63" s="136">
        <f t="shared" si="6"/>
        <v>0</v>
      </c>
      <c r="J63" s="134"/>
      <c r="K63" s="135"/>
      <c r="L63" s="136">
        <f t="shared" si="7"/>
        <v>0</v>
      </c>
      <c r="M63" s="284"/>
      <c r="N63" s="285"/>
      <c r="O63" s="136">
        <f t="shared" si="8"/>
        <v>0</v>
      </c>
      <c r="P63" s="85"/>
      <c r="R63" s="53"/>
      <c r="S63" s="53"/>
      <c r="T63" s="53"/>
    </row>
    <row r="64" spans="1:20" ht="24" hidden="1" x14ac:dyDescent="0.25">
      <c r="A64" s="76">
        <v>1145</v>
      </c>
      <c r="B64" s="127" t="s">
        <v>82</v>
      </c>
      <c r="C64" s="128">
        <f t="shared" si="4"/>
        <v>0</v>
      </c>
      <c r="D64" s="134"/>
      <c r="E64" s="283"/>
      <c r="F64" s="279">
        <f t="shared" si="5"/>
        <v>0</v>
      </c>
      <c r="G64" s="134"/>
      <c r="H64" s="135"/>
      <c r="I64" s="136">
        <f t="shared" si="6"/>
        <v>0</v>
      </c>
      <c r="J64" s="134"/>
      <c r="K64" s="135"/>
      <c r="L64" s="136">
        <f t="shared" si="7"/>
        <v>0</v>
      </c>
      <c r="M64" s="284"/>
      <c r="N64" s="285"/>
      <c r="O64" s="136">
        <f t="shared" si="8"/>
        <v>0</v>
      </c>
      <c r="P64" s="85"/>
      <c r="R64" s="53"/>
      <c r="S64" s="53"/>
      <c r="T64" s="53"/>
    </row>
    <row r="65" spans="1:20" ht="24" hidden="1" x14ac:dyDescent="0.25">
      <c r="A65" s="76">
        <v>1146</v>
      </c>
      <c r="B65" s="127" t="s">
        <v>83</v>
      </c>
      <c r="C65" s="128">
        <f t="shared" si="4"/>
        <v>0</v>
      </c>
      <c r="D65" s="134">
        <v>0</v>
      </c>
      <c r="E65" s="283"/>
      <c r="F65" s="279">
        <f t="shared" si="5"/>
        <v>0</v>
      </c>
      <c r="G65" s="134"/>
      <c r="H65" s="135"/>
      <c r="I65" s="136">
        <f t="shared" si="6"/>
        <v>0</v>
      </c>
      <c r="J65" s="134"/>
      <c r="K65" s="135"/>
      <c r="L65" s="136">
        <f t="shared" si="7"/>
        <v>0</v>
      </c>
      <c r="M65" s="284"/>
      <c r="N65" s="285"/>
      <c r="O65" s="136">
        <f t="shared" si="8"/>
        <v>0</v>
      </c>
      <c r="P65" s="85"/>
      <c r="R65" s="53"/>
      <c r="S65" s="53"/>
      <c r="T65" s="53"/>
    </row>
    <row r="66" spans="1:20" x14ac:dyDescent="0.25">
      <c r="A66" s="76">
        <v>1147</v>
      </c>
      <c r="B66" s="127" t="s">
        <v>84</v>
      </c>
      <c r="C66" s="128">
        <f t="shared" si="4"/>
        <v>3136</v>
      </c>
      <c r="D66" s="134">
        <v>3136</v>
      </c>
      <c r="E66" s="283"/>
      <c r="F66" s="279">
        <f t="shared" si="5"/>
        <v>3136</v>
      </c>
      <c r="G66" s="134"/>
      <c r="H66" s="135"/>
      <c r="I66" s="136">
        <f t="shared" si="6"/>
        <v>0</v>
      </c>
      <c r="J66" s="134"/>
      <c r="K66" s="135"/>
      <c r="L66" s="136">
        <f t="shared" si="7"/>
        <v>0</v>
      </c>
      <c r="M66" s="284"/>
      <c r="N66" s="285"/>
      <c r="O66" s="136">
        <f t="shared" si="8"/>
        <v>0</v>
      </c>
      <c r="P66" s="85"/>
      <c r="R66" s="53"/>
      <c r="S66" s="53"/>
      <c r="T66" s="53"/>
    </row>
    <row r="67" spans="1:20" ht="36" x14ac:dyDescent="0.25">
      <c r="A67" s="76">
        <v>1148</v>
      </c>
      <c r="B67" s="127" t="s">
        <v>85</v>
      </c>
      <c r="C67" s="128">
        <f t="shared" si="4"/>
        <v>21075</v>
      </c>
      <c r="D67" s="134">
        <f>14699+1396</f>
        <v>16095</v>
      </c>
      <c r="E67" s="283"/>
      <c r="F67" s="279">
        <f t="shared" si="5"/>
        <v>16095</v>
      </c>
      <c r="G67" s="134"/>
      <c r="H67" s="135">
        <v>4980</v>
      </c>
      <c r="I67" s="136">
        <f t="shared" si="6"/>
        <v>4980</v>
      </c>
      <c r="J67" s="134"/>
      <c r="K67" s="135"/>
      <c r="L67" s="136">
        <f t="shared" si="7"/>
        <v>0</v>
      </c>
      <c r="M67" s="284"/>
      <c r="N67" s="285"/>
      <c r="O67" s="136">
        <f t="shared" si="8"/>
        <v>0</v>
      </c>
      <c r="P67" s="85" t="s">
        <v>1088</v>
      </c>
      <c r="R67" s="53"/>
      <c r="S67" s="53"/>
      <c r="T67" s="53"/>
    </row>
    <row r="68" spans="1:20" ht="96" x14ac:dyDescent="0.25">
      <c r="A68" s="76">
        <v>1149</v>
      </c>
      <c r="B68" s="127" t="s">
        <v>86</v>
      </c>
      <c r="C68" s="128">
        <f t="shared" si="4"/>
        <v>41940</v>
      </c>
      <c r="D68" s="134">
        <f>86+14</f>
        <v>100</v>
      </c>
      <c r="E68" s="283"/>
      <c r="F68" s="279">
        <f t="shared" si="5"/>
        <v>100</v>
      </c>
      <c r="G68" s="134">
        <f>47031-1591</f>
        <v>45440</v>
      </c>
      <c r="H68" s="135">
        <v>-3600</v>
      </c>
      <c r="I68" s="136">
        <f t="shared" si="6"/>
        <v>41840</v>
      </c>
      <c r="J68" s="134"/>
      <c r="K68" s="135"/>
      <c r="L68" s="136">
        <f t="shared" si="7"/>
        <v>0</v>
      </c>
      <c r="M68" s="284"/>
      <c r="N68" s="285"/>
      <c r="O68" s="136">
        <f t="shared" si="8"/>
        <v>0</v>
      </c>
      <c r="P68" s="85" t="s">
        <v>1089</v>
      </c>
      <c r="R68" s="53"/>
      <c r="S68" s="53"/>
      <c r="T68" s="53"/>
    </row>
    <row r="69" spans="1:20" ht="36" x14ac:dyDescent="0.25">
      <c r="A69" s="254">
        <v>1150</v>
      </c>
      <c r="B69" s="179" t="s">
        <v>87</v>
      </c>
      <c r="C69" s="128">
        <f t="shared" si="4"/>
        <v>1275</v>
      </c>
      <c r="D69" s="287">
        <v>1275</v>
      </c>
      <c r="E69" s="288"/>
      <c r="F69" s="257">
        <f t="shared" si="5"/>
        <v>1275</v>
      </c>
      <c r="G69" s="287"/>
      <c r="H69" s="289"/>
      <c r="I69" s="259">
        <f t="shared" si="6"/>
        <v>0</v>
      </c>
      <c r="J69" s="287"/>
      <c r="K69" s="289"/>
      <c r="L69" s="259">
        <f t="shared" si="7"/>
        <v>0</v>
      </c>
      <c r="M69" s="290"/>
      <c r="N69" s="291"/>
      <c r="O69" s="259">
        <f t="shared" si="8"/>
        <v>0</v>
      </c>
      <c r="P69" s="85"/>
      <c r="R69" s="53"/>
      <c r="S69" s="53"/>
      <c r="T69" s="53"/>
    </row>
    <row r="70" spans="1:20" ht="36" x14ac:dyDescent="0.25">
      <c r="A70" s="99">
        <v>1200</v>
      </c>
      <c r="B70" s="247" t="s">
        <v>88</v>
      </c>
      <c r="C70" s="100">
        <f t="shared" si="4"/>
        <v>159220</v>
      </c>
      <c r="D70" s="112">
        <f>SUM(D71:D72)</f>
        <v>73228</v>
      </c>
      <c r="E70" s="248">
        <f>SUM(E71:E72)</f>
        <v>0</v>
      </c>
      <c r="F70" s="249">
        <f t="shared" si="5"/>
        <v>73228</v>
      </c>
      <c r="G70" s="112">
        <f>SUM(G71:G72)</f>
        <v>88322</v>
      </c>
      <c r="H70" s="113">
        <f>SUM(H71:H72)</f>
        <v>-2330</v>
      </c>
      <c r="I70" s="114">
        <f t="shared" si="6"/>
        <v>85992</v>
      </c>
      <c r="J70" s="112">
        <f>SUM(J71:J72)</f>
        <v>0</v>
      </c>
      <c r="K70" s="113">
        <f>SUM(K71:K72)</f>
        <v>0</v>
      </c>
      <c r="L70" s="114">
        <f t="shared" si="7"/>
        <v>0</v>
      </c>
      <c r="M70" s="292">
        <f>SUM(M71:M72)</f>
        <v>0</v>
      </c>
      <c r="N70" s="293">
        <f>SUM(N71:N72)</f>
        <v>0</v>
      </c>
      <c r="O70" s="114">
        <f t="shared" si="8"/>
        <v>0</v>
      </c>
      <c r="P70" s="189"/>
      <c r="R70" s="53"/>
      <c r="S70" s="53"/>
      <c r="T70" s="53"/>
    </row>
    <row r="71" spans="1:20" ht="84" x14ac:dyDescent="0.25">
      <c r="A71" s="656">
        <v>1210</v>
      </c>
      <c r="B71" s="116" t="s">
        <v>89</v>
      </c>
      <c r="C71" s="117">
        <f t="shared" si="4"/>
        <v>124016</v>
      </c>
      <c r="D71" s="123">
        <f>39170+110-1310+902+192</f>
        <v>39064</v>
      </c>
      <c r="E71" s="295">
        <v>1200</v>
      </c>
      <c r="F71" s="296">
        <f t="shared" si="5"/>
        <v>40264</v>
      </c>
      <c r="G71" s="123">
        <f>81075+4057</f>
        <v>85132</v>
      </c>
      <c r="H71" s="124">
        <v>-1380</v>
      </c>
      <c r="I71" s="125">
        <f t="shared" si="6"/>
        <v>83752</v>
      </c>
      <c r="J71" s="123"/>
      <c r="K71" s="124"/>
      <c r="L71" s="125">
        <f t="shared" si="7"/>
        <v>0</v>
      </c>
      <c r="M71" s="264"/>
      <c r="N71" s="262"/>
      <c r="O71" s="125">
        <f t="shared" si="8"/>
        <v>0</v>
      </c>
      <c r="P71" s="74" t="s">
        <v>1090</v>
      </c>
      <c r="R71" s="53"/>
      <c r="S71" s="53"/>
      <c r="T71" s="53"/>
    </row>
    <row r="72" spans="1:20" ht="24" x14ac:dyDescent="0.25">
      <c r="A72" s="276">
        <v>1220</v>
      </c>
      <c r="B72" s="127" t="s">
        <v>90</v>
      </c>
      <c r="C72" s="128">
        <f t="shared" si="4"/>
        <v>35204</v>
      </c>
      <c r="D72" s="277">
        <f>SUM(D73:D77)</f>
        <v>34164</v>
      </c>
      <c r="E72" s="278">
        <f>SUM(E73:E77)</f>
        <v>-1200</v>
      </c>
      <c r="F72" s="279">
        <f t="shared" si="5"/>
        <v>32964</v>
      </c>
      <c r="G72" s="277">
        <f>SUM(G73:G77)</f>
        <v>3190</v>
      </c>
      <c r="H72" s="280">
        <f>SUM(H73:H77)</f>
        <v>-950</v>
      </c>
      <c r="I72" s="136">
        <f t="shared" si="6"/>
        <v>2240</v>
      </c>
      <c r="J72" s="277">
        <f>SUM(J73:J77)</f>
        <v>0</v>
      </c>
      <c r="K72" s="280">
        <f>SUM(K73:K77)</f>
        <v>0</v>
      </c>
      <c r="L72" s="136">
        <f t="shared" si="7"/>
        <v>0</v>
      </c>
      <c r="M72" s="281">
        <f>SUM(M73:M77)</f>
        <v>0</v>
      </c>
      <c r="N72" s="282">
        <f>SUM(N73:N77)</f>
        <v>0</v>
      </c>
      <c r="O72" s="136">
        <f t="shared" si="8"/>
        <v>0</v>
      </c>
      <c r="P72" s="74"/>
      <c r="R72" s="53"/>
      <c r="S72" s="53"/>
      <c r="T72" s="53"/>
    </row>
    <row r="73" spans="1:20" ht="120" x14ac:dyDescent="0.25">
      <c r="A73" s="76">
        <v>1221</v>
      </c>
      <c r="B73" s="127" t="s">
        <v>91</v>
      </c>
      <c r="C73" s="128">
        <f t="shared" si="4"/>
        <v>21377</v>
      </c>
      <c r="D73" s="134">
        <v>20337</v>
      </c>
      <c r="E73" s="283">
        <v>-1200</v>
      </c>
      <c r="F73" s="279">
        <f t="shared" si="5"/>
        <v>19137</v>
      </c>
      <c r="G73" s="134">
        <f>3000+190</f>
        <v>3190</v>
      </c>
      <c r="H73" s="135">
        <v>-950</v>
      </c>
      <c r="I73" s="136">
        <f t="shared" si="6"/>
        <v>2240</v>
      </c>
      <c r="J73" s="134"/>
      <c r="K73" s="135"/>
      <c r="L73" s="136">
        <f t="shared" si="7"/>
        <v>0</v>
      </c>
      <c r="M73" s="284"/>
      <c r="N73" s="285"/>
      <c r="O73" s="136">
        <f t="shared" si="8"/>
        <v>0</v>
      </c>
      <c r="P73" s="85" t="s">
        <v>1091</v>
      </c>
      <c r="R73" s="53"/>
      <c r="S73" s="53"/>
      <c r="T73" s="53"/>
    </row>
    <row r="74" spans="1:20" hidden="1" x14ac:dyDescent="0.25">
      <c r="A74" s="76">
        <v>1223</v>
      </c>
      <c r="B74" s="127" t="s">
        <v>92</v>
      </c>
      <c r="C74" s="128">
        <f t="shared" si="4"/>
        <v>0</v>
      </c>
      <c r="D74" s="134"/>
      <c r="E74" s="283"/>
      <c r="F74" s="279">
        <f t="shared" si="5"/>
        <v>0</v>
      </c>
      <c r="G74" s="134"/>
      <c r="H74" s="135"/>
      <c r="I74" s="136">
        <f t="shared" si="6"/>
        <v>0</v>
      </c>
      <c r="J74" s="134"/>
      <c r="K74" s="135"/>
      <c r="L74" s="136">
        <f t="shared" si="7"/>
        <v>0</v>
      </c>
      <c r="M74" s="284"/>
      <c r="N74" s="285"/>
      <c r="O74" s="136">
        <f t="shared" si="8"/>
        <v>0</v>
      </c>
      <c r="P74" s="85"/>
      <c r="R74" s="53"/>
      <c r="S74" s="53"/>
      <c r="T74" s="53"/>
    </row>
    <row r="75" spans="1:20" hidden="1" x14ac:dyDescent="0.25">
      <c r="A75" s="76">
        <v>1225</v>
      </c>
      <c r="B75" s="127" t="s">
        <v>93</v>
      </c>
      <c r="C75" s="128">
        <f t="shared" si="4"/>
        <v>0</v>
      </c>
      <c r="D75" s="134"/>
      <c r="E75" s="283"/>
      <c r="F75" s="279">
        <f t="shared" si="5"/>
        <v>0</v>
      </c>
      <c r="G75" s="134"/>
      <c r="H75" s="135"/>
      <c r="I75" s="136">
        <f t="shared" si="6"/>
        <v>0</v>
      </c>
      <c r="J75" s="134"/>
      <c r="K75" s="135"/>
      <c r="L75" s="136">
        <f t="shared" si="7"/>
        <v>0</v>
      </c>
      <c r="M75" s="284"/>
      <c r="N75" s="285"/>
      <c r="O75" s="136">
        <f t="shared" si="8"/>
        <v>0</v>
      </c>
      <c r="P75" s="85"/>
      <c r="R75" s="53"/>
      <c r="S75" s="53"/>
      <c r="T75" s="53"/>
    </row>
    <row r="76" spans="1:20" ht="36" x14ac:dyDescent="0.25">
      <c r="A76" s="76">
        <v>1227</v>
      </c>
      <c r="B76" s="127" t="s">
        <v>94</v>
      </c>
      <c r="C76" s="128">
        <f t="shared" si="4"/>
        <v>13333</v>
      </c>
      <c r="D76" s="134">
        <v>13333</v>
      </c>
      <c r="E76" s="283"/>
      <c r="F76" s="279">
        <f t="shared" si="5"/>
        <v>13333</v>
      </c>
      <c r="G76" s="134"/>
      <c r="H76" s="135"/>
      <c r="I76" s="136">
        <f t="shared" si="6"/>
        <v>0</v>
      </c>
      <c r="J76" s="134"/>
      <c r="K76" s="135"/>
      <c r="L76" s="136">
        <f t="shared" si="7"/>
        <v>0</v>
      </c>
      <c r="M76" s="284"/>
      <c r="N76" s="285"/>
      <c r="O76" s="136">
        <f t="shared" si="8"/>
        <v>0</v>
      </c>
      <c r="P76" s="85"/>
      <c r="R76" s="53"/>
      <c r="S76" s="53"/>
      <c r="T76" s="53"/>
    </row>
    <row r="77" spans="1:20" ht="60" x14ac:dyDescent="0.25">
      <c r="A77" s="76">
        <v>1228</v>
      </c>
      <c r="B77" s="127" t="s">
        <v>95</v>
      </c>
      <c r="C77" s="128">
        <f t="shared" si="4"/>
        <v>494</v>
      </c>
      <c r="D77" s="134">
        <f>66+428</f>
        <v>494</v>
      </c>
      <c r="E77" s="283"/>
      <c r="F77" s="279">
        <f t="shared" si="5"/>
        <v>494</v>
      </c>
      <c r="G77" s="134"/>
      <c r="H77" s="135"/>
      <c r="I77" s="136">
        <f t="shared" si="6"/>
        <v>0</v>
      </c>
      <c r="J77" s="134"/>
      <c r="K77" s="135"/>
      <c r="L77" s="136">
        <f t="shared" si="7"/>
        <v>0</v>
      </c>
      <c r="M77" s="284"/>
      <c r="N77" s="285"/>
      <c r="O77" s="136">
        <f t="shared" si="8"/>
        <v>0</v>
      </c>
      <c r="P77" s="85"/>
      <c r="R77" s="53"/>
      <c r="S77" s="53"/>
      <c r="T77" s="53"/>
    </row>
    <row r="78" spans="1:20" x14ac:dyDescent="0.25">
      <c r="A78" s="237">
        <v>2000</v>
      </c>
      <c r="B78" s="237" t="s">
        <v>96</v>
      </c>
      <c r="C78" s="238">
        <f t="shared" si="4"/>
        <v>128539</v>
      </c>
      <c r="D78" s="239">
        <f>SUM(D79,D86,D133,D167,D168,D175)</f>
        <v>104754</v>
      </c>
      <c r="E78" s="240">
        <f>SUM(E79,E86,E133,E167,E168,E175)</f>
        <v>0</v>
      </c>
      <c r="F78" s="241">
        <f t="shared" si="5"/>
        <v>104754</v>
      </c>
      <c r="G78" s="239">
        <f>SUM(G79,G86,G133,G167,G168,G175)</f>
        <v>1696</v>
      </c>
      <c r="H78" s="242">
        <f>SUM(H79,H86,H133,H167,H168,H175)</f>
        <v>0</v>
      </c>
      <c r="I78" s="243">
        <f t="shared" si="6"/>
        <v>1696</v>
      </c>
      <c r="J78" s="239">
        <f>SUM(J79,J86,J133,J167,J168,J175)</f>
        <v>22089</v>
      </c>
      <c r="K78" s="242">
        <f>SUM(K79,K86,K133,K167,K168,K175)</f>
        <v>0</v>
      </c>
      <c r="L78" s="243">
        <f t="shared" si="7"/>
        <v>22089</v>
      </c>
      <c r="M78" s="244">
        <f>SUM(M79,M86,M133,M167,M168,M175)</f>
        <v>0</v>
      </c>
      <c r="N78" s="245">
        <f>SUM(N79,N86,N133,N167,N168,N175)</f>
        <v>0</v>
      </c>
      <c r="O78" s="243">
        <f t="shared" si="8"/>
        <v>0</v>
      </c>
      <c r="P78" s="246"/>
      <c r="R78" s="53"/>
      <c r="S78" s="53"/>
      <c r="T78" s="53"/>
    </row>
    <row r="79" spans="1:20" ht="24" x14ac:dyDescent="0.25">
      <c r="A79" s="99">
        <v>2100</v>
      </c>
      <c r="B79" s="247" t="s">
        <v>97</v>
      </c>
      <c r="C79" s="100">
        <f t="shared" si="4"/>
        <v>621</v>
      </c>
      <c r="D79" s="112">
        <f>SUM(D80,D83)</f>
        <v>170</v>
      </c>
      <c r="E79" s="248">
        <f>SUM(E80,E83)</f>
        <v>0</v>
      </c>
      <c r="F79" s="249">
        <f t="shared" si="5"/>
        <v>170</v>
      </c>
      <c r="G79" s="112">
        <f>SUM(G80,G83)</f>
        <v>0</v>
      </c>
      <c r="H79" s="113">
        <f>SUM(H80,H83)</f>
        <v>0</v>
      </c>
      <c r="I79" s="114">
        <f t="shared" si="6"/>
        <v>0</v>
      </c>
      <c r="J79" s="112">
        <f>SUM(J80,J83)</f>
        <v>451</v>
      </c>
      <c r="K79" s="113">
        <f>SUM(K80,K83)</f>
        <v>0</v>
      </c>
      <c r="L79" s="114">
        <f t="shared" si="7"/>
        <v>451</v>
      </c>
      <c r="M79" s="292">
        <f>SUM(M80,M83)</f>
        <v>0</v>
      </c>
      <c r="N79" s="293">
        <f>SUM(N80,N83)</f>
        <v>0</v>
      </c>
      <c r="O79" s="114">
        <f t="shared" si="8"/>
        <v>0</v>
      </c>
      <c r="P79" s="109"/>
      <c r="R79" s="53"/>
      <c r="S79" s="53"/>
      <c r="T79" s="53"/>
    </row>
    <row r="80" spans="1:20" ht="24" x14ac:dyDescent="0.25">
      <c r="A80" s="656">
        <v>2110</v>
      </c>
      <c r="B80" s="116" t="s">
        <v>98</v>
      </c>
      <c r="C80" s="117">
        <f t="shared" si="4"/>
        <v>186</v>
      </c>
      <c r="D80" s="297">
        <f>SUM(D81:D82)</f>
        <v>170</v>
      </c>
      <c r="E80" s="298">
        <f>SUM(E81:E82)</f>
        <v>0</v>
      </c>
      <c r="F80" s="296">
        <f t="shared" si="5"/>
        <v>170</v>
      </c>
      <c r="G80" s="297">
        <f>SUM(G81:G82)</f>
        <v>0</v>
      </c>
      <c r="H80" s="299">
        <f>SUM(H81:H82)</f>
        <v>0</v>
      </c>
      <c r="I80" s="125">
        <f t="shared" si="6"/>
        <v>0</v>
      </c>
      <c r="J80" s="297">
        <f>SUM(J81:J82)</f>
        <v>16</v>
      </c>
      <c r="K80" s="299">
        <f>SUM(K81:K82)</f>
        <v>0</v>
      </c>
      <c r="L80" s="125">
        <f t="shared" si="7"/>
        <v>16</v>
      </c>
      <c r="M80" s="300">
        <f>SUM(M81:M82)</f>
        <v>0</v>
      </c>
      <c r="N80" s="301">
        <f>SUM(N81:N82)</f>
        <v>0</v>
      </c>
      <c r="O80" s="125">
        <f t="shared" si="8"/>
        <v>0</v>
      </c>
      <c r="P80" s="74"/>
      <c r="R80" s="53"/>
      <c r="S80" s="53"/>
      <c r="T80" s="53"/>
    </row>
    <row r="81" spans="1:20" hidden="1" x14ac:dyDescent="0.25">
      <c r="A81" s="76">
        <v>2111</v>
      </c>
      <c r="B81" s="127" t="s">
        <v>99</v>
      </c>
      <c r="C81" s="128">
        <f t="shared" si="4"/>
        <v>0</v>
      </c>
      <c r="D81" s="134"/>
      <c r="E81" s="283"/>
      <c r="F81" s="279">
        <f t="shared" si="5"/>
        <v>0</v>
      </c>
      <c r="G81" s="134"/>
      <c r="H81" s="135"/>
      <c r="I81" s="136">
        <f t="shared" si="6"/>
        <v>0</v>
      </c>
      <c r="J81" s="134"/>
      <c r="K81" s="135"/>
      <c r="L81" s="136">
        <f t="shared" si="7"/>
        <v>0</v>
      </c>
      <c r="M81" s="284"/>
      <c r="N81" s="285"/>
      <c r="O81" s="136">
        <f t="shared" si="8"/>
        <v>0</v>
      </c>
      <c r="P81" s="85"/>
      <c r="R81" s="53"/>
      <c r="S81" s="53"/>
      <c r="T81" s="53"/>
    </row>
    <row r="82" spans="1:20" ht="24" x14ac:dyDescent="0.25">
      <c r="A82" s="76">
        <v>2112</v>
      </c>
      <c r="B82" s="127" t="s">
        <v>100</v>
      </c>
      <c r="C82" s="128">
        <f t="shared" si="4"/>
        <v>186</v>
      </c>
      <c r="D82" s="134">
        <v>170</v>
      </c>
      <c r="E82" s="283"/>
      <c r="F82" s="279">
        <f t="shared" si="5"/>
        <v>170</v>
      </c>
      <c r="G82" s="134"/>
      <c r="H82" s="135"/>
      <c r="I82" s="136">
        <f t="shared" si="6"/>
        <v>0</v>
      </c>
      <c r="J82" s="134">
        <f>86-70</f>
        <v>16</v>
      </c>
      <c r="K82" s="135"/>
      <c r="L82" s="136">
        <f t="shared" si="7"/>
        <v>16</v>
      </c>
      <c r="M82" s="284"/>
      <c r="N82" s="285"/>
      <c r="O82" s="136">
        <f t="shared" si="8"/>
        <v>0</v>
      </c>
      <c r="P82" s="85"/>
      <c r="R82" s="53"/>
      <c r="S82" s="53"/>
      <c r="T82" s="53"/>
    </row>
    <row r="83" spans="1:20" ht="24" x14ac:dyDescent="0.25">
      <c r="A83" s="276">
        <v>2120</v>
      </c>
      <c r="B83" s="127" t="s">
        <v>101</v>
      </c>
      <c r="C83" s="128">
        <f t="shared" si="4"/>
        <v>435</v>
      </c>
      <c r="D83" s="277">
        <f>SUM(D84:D85)</f>
        <v>0</v>
      </c>
      <c r="E83" s="278">
        <f>SUM(E84:E85)</f>
        <v>0</v>
      </c>
      <c r="F83" s="279">
        <f t="shared" si="5"/>
        <v>0</v>
      </c>
      <c r="G83" s="277">
        <f>SUM(G84:G85)</f>
        <v>0</v>
      </c>
      <c r="H83" s="280">
        <f>SUM(H84:H85)</f>
        <v>0</v>
      </c>
      <c r="I83" s="136">
        <f t="shared" si="6"/>
        <v>0</v>
      </c>
      <c r="J83" s="277">
        <f>SUM(J84:J85)</f>
        <v>435</v>
      </c>
      <c r="K83" s="280">
        <f>SUM(K84:K85)</f>
        <v>0</v>
      </c>
      <c r="L83" s="136">
        <f t="shared" si="7"/>
        <v>435</v>
      </c>
      <c r="M83" s="281">
        <f>SUM(M84:M85)</f>
        <v>0</v>
      </c>
      <c r="N83" s="282">
        <f>SUM(N84:N85)</f>
        <v>0</v>
      </c>
      <c r="O83" s="136">
        <f t="shared" si="8"/>
        <v>0</v>
      </c>
      <c r="P83" s="85"/>
      <c r="R83" s="53"/>
      <c r="S83" s="53"/>
      <c r="T83" s="53"/>
    </row>
    <row r="84" spans="1:20" x14ac:dyDescent="0.25">
      <c r="A84" s="76">
        <v>2121</v>
      </c>
      <c r="B84" s="127" t="s">
        <v>99</v>
      </c>
      <c r="C84" s="128">
        <f t="shared" si="4"/>
        <v>435</v>
      </c>
      <c r="D84" s="134"/>
      <c r="E84" s="283"/>
      <c r="F84" s="279">
        <f t="shared" si="5"/>
        <v>0</v>
      </c>
      <c r="G84" s="134"/>
      <c r="H84" s="135"/>
      <c r="I84" s="136">
        <f t="shared" si="6"/>
        <v>0</v>
      </c>
      <c r="J84" s="134">
        <v>435</v>
      </c>
      <c r="K84" s="135"/>
      <c r="L84" s="136">
        <f t="shared" si="7"/>
        <v>435</v>
      </c>
      <c r="M84" s="284"/>
      <c r="N84" s="285"/>
      <c r="O84" s="136">
        <f t="shared" si="8"/>
        <v>0</v>
      </c>
      <c r="P84" s="85"/>
      <c r="R84" s="53"/>
      <c r="S84" s="53"/>
      <c r="T84" s="53"/>
    </row>
    <row r="85" spans="1:20" ht="24" hidden="1" x14ac:dyDescent="0.25">
      <c r="A85" s="76">
        <v>2122</v>
      </c>
      <c r="B85" s="127" t="s">
        <v>100</v>
      </c>
      <c r="C85" s="128">
        <f t="shared" si="4"/>
        <v>0</v>
      </c>
      <c r="D85" s="134"/>
      <c r="E85" s="283"/>
      <c r="F85" s="279">
        <f t="shared" si="5"/>
        <v>0</v>
      </c>
      <c r="G85" s="134"/>
      <c r="H85" s="135"/>
      <c r="I85" s="136">
        <f t="shared" si="6"/>
        <v>0</v>
      </c>
      <c r="J85" s="134"/>
      <c r="K85" s="135"/>
      <c r="L85" s="136">
        <f t="shared" si="7"/>
        <v>0</v>
      </c>
      <c r="M85" s="284"/>
      <c r="N85" s="285"/>
      <c r="O85" s="136">
        <f t="shared" si="8"/>
        <v>0</v>
      </c>
      <c r="P85" s="85"/>
      <c r="R85" s="53"/>
      <c r="S85" s="53"/>
      <c r="T85" s="53"/>
    </row>
    <row r="86" spans="1:20" x14ac:dyDescent="0.25">
      <c r="A86" s="99">
        <v>2200</v>
      </c>
      <c r="B86" s="247" t="s">
        <v>102</v>
      </c>
      <c r="C86" s="302">
        <f t="shared" si="4"/>
        <v>103106</v>
      </c>
      <c r="D86" s="112">
        <f>SUM(D87,D92,D98,D106,D115,D119,D125,D131)</f>
        <v>83837</v>
      </c>
      <c r="E86" s="248">
        <f>SUM(E87,E92,E98,E106,E115,E119,E125,E131)</f>
        <v>0</v>
      </c>
      <c r="F86" s="249">
        <f t="shared" si="5"/>
        <v>83837</v>
      </c>
      <c r="G86" s="112">
        <f>SUM(G87,G92,G98,G106,G115,G119,G125,G131)</f>
        <v>0</v>
      </c>
      <c r="H86" s="113">
        <f>SUM(H87,H92,H98,H106,H115,H119,H125,H131)</f>
        <v>0</v>
      </c>
      <c r="I86" s="114">
        <f t="shared" si="6"/>
        <v>0</v>
      </c>
      <c r="J86" s="112">
        <f>SUM(J87,J92,J98,J106,J115,J119,J125,J131)</f>
        <v>19269</v>
      </c>
      <c r="K86" s="113">
        <f>SUM(K87,K92,K98,K106,K115,K119,K125,K131)</f>
        <v>0</v>
      </c>
      <c r="L86" s="114">
        <f t="shared" si="7"/>
        <v>19269</v>
      </c>
      <c r="M86" s="303">
        <f>SUM(M87,M92,M98,M106,M115,M119,M125,M131)</f>
        <v>0</v>
      </c>
      <c r="N86" s="304">
        <f>SUM(N87,N92,N98,N106,N115,N119,N125,N131)</f>
        <v>0</v>
      </c>
      <c r="O86" s="305">
        <f t="shared" si="8"/>
        <v>0</v>
      </c>
      <c r="P86" s="306"/>
      <c r="R86" s="53"/>
      <c r="S86" s="53"/>
      <c r="T86" s="53"/>
    </row>
    <row r="87" spans="1:20" ht="24" x14ac:dyDescent="0.25">
      <c r="A87" s="254">
        <v>2210</v>
      </c>
      <c r="B87" s="179" t="s">
        <v>103</v>
      </c>
      <c r="C87" s="191">
        <f t="shared" si="4"/>
        <v>2172</v>
      </c>
      <c r="D87" s="255">
        <f>SUM(D88:D91)</f>
        <v>2150</v>
      </c>
      <c r="E87" s="256">
        <f>SUM(E88:E91)</f>
        <v>0</v>
      </c>
      <c r="F87" s="257">
        <f t="shared" si="5"/>
        <v>2150</v>
      </c>
      <c r="G87" s="255">
        <f>SUM(G88:G91)</f>
        <v>0</v>
      </c>
      <c r="H87" s="258">
        <f>SUM(H88:H91)</f>
        <v>0</v>
      </c>
      <c r="I87" s="259">
        <f t="shared" si="6"/>
        <v>0</v>
      </c>
      <c r="J87" s="255">
        <f>SUM(J88:J91)</f>
        <v>22</v>
      </c>
      <c r="K87" s="258">
        <f>SUM(K88:K91)</f>
        <v>0</v>
      </c>
      <c r="L87" s="259">
        <f t="shared" si="7"/>
        <v>22</v>
      </c>
      <c r="M87" s="260">
        <f>SUM(M88:M91)</f>
        <v>0</v>
      </c>
      <c r="N87" s="261">
        <f>SUM(N88:N91)</f>
        <v>0</v>
      </c>
      <c r="O87" s="259">
        <f t="shared" si="8"/>
        <v>0</v>
      </c>
      <c r="P87" s="189"/>
      <c r="R87" s="53"/>
      <c r="S87" s="53"/>
      <c r="T87" s="53"/>
    </row>
    <row r="88" spans="1:20" ht="24" hidden="1" x14ac:dyDescent="0.25">
      <c r="A88" s="66">
        <v>2211</v>
      </c>
      <c r="B88" s="116" t="s">
        <v>104</v>
      </c>
      <c r="C88" s="128">
        <f t="shared" si="4"/>
        <v>0</v>
      </c>
      <c r="D88" s="123"/>
      <c r="E88" s="295"/>
      <c r="F88" s="296">
        <f t="shared" si="5"/>
        <v>0</v>
      </c>
      <c r="G88" s="123"/>
      <c r="H88" s="124"/>
      <c r="I88" s="125">
        <f t="shared" si="6"/>
        <v>0</v>
      </c>
      <c r="J88" s="123"/>
      <c r="K88" s="124"/>
      <c r="L88" s="125">
        <f t="shared" si="7"/>
        <v>0</v>
      </c>
      <c r="M88" s="264"/>
      <c r="N88" s="262"/>
      <c r="O88" s="125">
        <f t="shared" si="8"/>
        <v>0</v>
      </c>
      <c r="P88" s="74"/>
      <c r="R88" s="53"/>
      <c r="S88" s="53"/>
      <c r="T88" s="53"/>
    </row>
    <row r="89" spans="1:20" ht="36" x14ac:dyDescent="0.25">
      <c r="A89" s="76">
        <v>2212</v>
      </c>
      <c r="B89" s="127" t="s">
        <v>105</v>
      </c>
      <c r="C89" s="128">
        <f t="shared" si="4"/>
        <v>1709</v>
      </c>
      <c r="D89" s="134">
        <f>1759-50</f>
        <v>1709</v>
      </c>
      <c r="E89" s="283"/>
      <c r="F89" s="279">
        <f t="shared" si="5"/>
        <v>1709</v>
      </c>
      <c r="G89" s="134"/>
      <c r="H89" s="135"/>
      <c r="I89" s="136">
        <f t="shared" si="6"/>
        <v>0</v>
      </c>
      <c r="J89" s="134"/>
      <c r="K89" s="135"/>
      <c r="L89" s="136">
        <f t="shared" si="7"/>
        <v>0</v>
      </c>
      <c r="M89" s="284"/>
      <c r="N89" s="285"/>
      <c r="O89" s="136">
        <f t="shared" si="8"/>
        <v>0</v>
      </c>
      <c r="P89" s="85"/>
      <c r="R89" s="53"/>
      <c r="S89" s="53"/>
      <c r="T89" s="53"/>
    </row>
    <row r="90" spans="1:20" ht="24" x14ac:dyDescent="0.25">
      <c r="A90" s="76">
        <v>2214</v>
      </c>
      <c r="B90" s="127" t="s">
        <v>106</v>
      </c>
      <c r="C90" s="128">
        <f t="shared" si="4"/>
        <v>394</v>
      </c>
      <c r="D90" s="134">
        <v>394</v>
      </c>
      <c r="E90" s="283"/>
      <c r="F90" s="279">
        <f t="shared" si="5"/>
        <v>394</v>
      </c>
      <c r="G90" s="134"/>
      <c r="H90" s="135"/>
      <c r="I90" s="136">
        <f t="shared" si="6"/>
        <v>0</v>
      </c>
      <c r="J90" s="134">
        <v>0</v>
      </c>
      <c r="K90" s="135"/>
      <c r="L90" s="136">
        <f t="shared" si="7"/>
        <v>0</v>
      </c>
      <c r="M90" s="284"/>
      <c r="N90" s="285"/>
      <c r="O90" s="136">
        <f t="shared" si="8"/>
        <v>0</v>
      </c>
      <c r="P90" s="85"/>
      <c r="R90" s="53"/>
      <c r="S90" s="53"/>
      <c r="T90" s="53"/>
    </row>
    <row r="91" spans="1:20" x14ac:dyDescent="0.25">
      <c r="A91" s="76">
        <v>2219</v>
      </c>
      <c r="B91" s="127" t="s">
        <v>107</v>
      </c>
      <c r="C91" s="128">
        <f t="shared" si="4"/>
        <v>69</v>
      </c>
      <c r="D91" s="134">
        <v>47</v>
      </c>
      <c r="E91" s="283"/>
      <c r="F91" s="279">
        <f t="shared" si="5"/>
        <v>47</v>
      </c>
      <c r="G91" s="134"/>
      <c r="H91" s="135"/>
      <c r="I91" s="136">
        <f t="shared" si="6"/>
        <v>0</v>
      </c>
      <c r="J91" s="134">
        <v>22</v>
      </c>
      <c r="K91" s="135"/>
      <c r="L91" s="136">
        <f t="shared" si="7"/>
        <v>22</v>
      </c>
      <c r="M91" s="284"/>
      <c r="N91" s="285"/>
      <c r="O91" s="136">
        <f t="shared" si="8"/>
        <v>0</v>
      </c>
      <c r="P91" s="85"/>
      <c r="R91" s="53"/>
      <c r="S91" s="53"/>
      <c r="T91" s="53"/>
    </row>
    <row r="92" spans="1:20" ht="24" x14ac:dyDescent="0.25">
      <c r="A92" s="276">
        <v>2220</v>
      </c>
      <c r="B92" s="127" t="s">
        <v>108</v>
      </c>
      <c r="C92" s="128">
        <f t="shared" si="4"/>
        <v>90444</v>
      </c>
      <c r="D92" s="277">
        <f>SUM(D93:D97)</f>
        <v>72197</v>
      </c>
      <c r="E92" s="278">
        <f>SUM(E93:E97)</f>
        <v>0</v>
      </c>
      <c r="F92" s="279">
        <f t="shared" si="5"/>
        <v>72197</v>
      </c>
      <c r="G92" s="277">
        <f>SUM(G93:G97)</f>
        <v>0</v>
      </c>
      <c r="H92" s="280">
        <f>SUM(H93:H97)</f>
        <v>0</v>
      </c>
      <c r="I92" s="136">
        <f t="shared" si="6"/>
        <v>0</v>
      </c>
      <c r="J92" s="277">
        <f>SUM(J93:J97)</f>
        <v>18247</v>
      </c>
      <c r="K92" s="280">
        <f>SUM(K93:K97)</f>
        <v>0</v>
      </c>
      <c r="L92" s="136">
        <f t="shared" si="7"/>
        <v>18247</v>
      </c>
      <c r="M92" s="281">
        <f>SUM(M93:M97)</f>
        <v>0</v>
      </c>
      <c r="N92" s="282">
        <f>SUM(N93:N97)</f>
        <v>0</v>
      </c>
      <c r="O92" s="136">
        <f t="shared" si="8"/>
        <v>0</v>
      </c>
      <c r="P92" s="85"/>
      <c r="R92" s="53"/>
      <c r="S92" s="53"/>
      <c r="T92" s="53"/>
    </row>
    <row r="93" spans="1:20" x14ac:dyDescent="0.25">
      <c r="A93" s="76">
        <v>2221</v>
      </c>
      <c r="B93" s="127" t="s">
        <v>109</v>
      </c>
      <c r="C93" s="128">
        <f t="shared" si="4"/>
        <v>57207</v>
      </c>
      <c r="D93" s="134">
        <v>55857</v>
      </c>
      <c r="E93" s="283"/>
      <c r="F93" s="279">
        <f t="shared" si="5"/>
        <v>55857</v>
      </c>
      <c r="G93" s="134"/>
      <c r="H93" s="135"/>
      <c r="I93" s="136">
        <f t="shared" si="6"/>
        <v>0</v>
      </c>
      <c r="J93" s="134">
        <v>1350</v>
      </c>
      <c r="K93" s="135"/>
      <c r="L93" s="136">
        <f t="shared" si="7"/>
        <v>1350</v>
      </c>
      <c r="M93" s="284"/>
      <c r="N93" s="285"/>
      <c r="O93" s="136">
        <f t="shared" si="8"/>
        <v>0</v>
      </c>
      <c r="P93" s="85"/>
      <c r="R93" s="53"/>
      <c r="S93" s="53"/>
      <c r="T93" s="53"/>
    </row>
    <row r="94" spans="1:20" x14ac:dyDescent="0.25">
      <c r="A94" s="76">
        <v>2222</v>
      </c>
      <c r="B94" s="127" t="s">
        <v>110</v>
      </c>
      <c r="C94" s="128">
        <f t="shared" si="4"/>
        <v>5497</v>
      </c>
      <c r="D94" s="134">
        <v>3465</v>
      </c>
      <c r="E94" s="283"/>
      <c r="F94" s="279">
        <f t="shared" si="5"/>
        <v>3465</v>
      </c>
      <c r="G94" s="134"/>
      <c r="H94" s="135"/>
      <c r="I94" s="136">
        <f t="shared" si="6"/>
        <v>0</v>
      </c>
      <c r="J94" s="134">
        <v>2032</v>
      </c>
      <c r="K94" s="135"/>
      <c r="L94" s="136">
        <f t="shared" si="7"/>
        <v>2032</v>
      </c>
      <c r="M94" s="284"/>
      <c r="N94" s="285"/>
      <c r="O94" s="136">
        <f t="shared" si="8"/>
        <v>0</v>
      </c>
      <c r="P94" s="85"/>
      <c r="R94" s="53"/>
      <c r="S94" s="53"/>
      <c r="T94" s="53"/>
    </row>
    <row r="95" spans="1:20" x14ac:dyDescent="0.25">
      <c r="A95" s="76">
        <v>2223</v>
      </c>
      <c r="B95" s="127" t="s">
        <v>111</v>
      </c>
      <c r="C95" s="128">
        <f t="shared" si="4"/>
        <v>26894</v>
      </c>
      <c r="D95" s="134">
        <f>13973-1894</f>
        <v>12079</v>
      </c>
      <c r="E95" s="283"/>
      <c r="F95" s="279">
        <f t="shared" si="5"/>
        <v>12079</v>
      </c>
      <c r="G95" s="134"/>
      <c r="H95" s="135"/>
      <c r="I95" s="136">
        <f t="shared" si="6"/>
        <v>0</v>
      </c>
      <c r="J95" s="134">
        <v>14815</v>
      </c>
      <c r="K95" s="135"/>
      <c r="L95" s="136">
        <f t="shared" si="7"/>
        <v>14815</v>
      </c>
      <c r="M95" s="284"/>
      <c r="N95" s="285"/>
      <c r="O95" s="136">
        <f t="shared" si="8"/>
        <v>0</v>
      </c>
      <c r="P95" s="85"/>
      <c r="R95" s="53"/>
      <c r="S95" s="53"/>
      <c r="T95" s="53"/>
    </row>
    <row r="96" spans="1:20" ht="48" x14ac:dyDescent="0.25">
      <c r="A96" s="76">
        <v>2224</v>
      </c>
      <c r="B96" s="127" t="s">
        <v>112</v>
      </c>
      <c r="C96" s="128">
        <f t="shared" si="4"/>
        <v>846</v>
      </c>
      <c r="D96" s="134">
        <v>796</v>
      </c>
      <c r="E96" s="283"/>
      <c r="F96" s="279">
        <f t="shared" si="5"/>
        <v>796</v>
      </c>
      <c r="G96" s="134"/>
      <c r="H96" s="135"/>
      <c r="I96" s="136">
        <f t="shared" si="6"/>
        <v>0</v>
      </c>
      <c r="J96" s="134">
        <v>50</v>
      </c>
      <c r="K96" s="135"/>
      <c r="L96" s="136">
        <f t="shared" si="7"/>
        <v>50</v>
      </c>
      <c r="M96" s="284"/>
      <c r="N96" s="285"/>
      <c r="O96" s="136">
        <f t="shared" si="8"/>
        <v>0</v>
      </c>
      <c r="P96" s="85"/>
      <c r="R96" s="53"/>
      <c r="S96" s="53"/>
      <c r="T96" s="53"/>
    </row>
    <row r="97" spans="1:20" ht="24" hidden="1" x14ac:dyDescent="0.25">
      <c r="A97" s="76">
        <v>2229</v>
      </c>
      <c r="B97" s="127" t="s">
        <v>113</v>
      </c>
      <c r="C97" s="128">
        <f t="shared" si="4"/>
        <v>0</v>
      </c>
      <c r="D97" s="134"/>
      <c r="E97" s="283"/>
      <c r="F97" s="279">
        <f t="shared" si="5"/>
        <v>0</v>
      </c>
      <c r="G97" s="134"/>
      <c r="H97" s="135"/>
      <c r="I97" s="136">
        <f t="shared" si="6"/>
        <v>0</v>
      </c>
      <c r="J97" s="134"/>
      <c r="K97" s="135"/>
      <c r="L97" s="136">
        <f t="shared" si="7"/>
        <v>0</v>
      </c>
      <c r="M97" s="284"/>
      <c r="N97" s="285"/>
      <c r="O97" s="136">
        <f t="shared" si="8"/>
        <v>0</v>
      </c>
      <c r="P97" s="85"/>
      <c r="R97" s="53"/>
      <c r="S97" s="53"/>
      <c r="T97" s="53"/>
    </row>
    <row r="98" spans="1:20" ht="36" x14ac:dyDescent="0.25">
      <c r="A98" s="276">
        <v>2230</v>
      </c>
      <c r="B98" s="127" t="s">
        <v>114</v>
      </c>
      <c r="C98" s="128">
        <f t="shared" si="4"/>
        <v>2292</v>
      </c>
      <c r="D98" s="277">
        <f>SUM(D99:D105)</f>
        <v>1544</v>
      </c>
      <c r="E98" s="278">
        <f>SUM(E99:E105)</f>
        <v>0</v>
      </c>
      <c r="F98" s="279">
        <f t="shared" si="5"/>
        <v>1544</v>
      </c>
      <c r="G98" s="277">
        <f>SUM(G99:G105)</f>
        <v>0</v>
      </c>
      <c r="H98" s="280">
        <f>SUM(H99:H105)</f>
        <v>0</v>
      </c>
      <c r="I98" s="136">
        <f t="shared" si="6"/>
        <v>0</v>
      </c>
      <c r="J98" s="277">
        <f>SUM(J99:J105)</f>
        <v>748</v>
      </c>
      <c r="K98" s="280">
        <f>SUM(K99:K105)</f>
        <v>0</v>
      </c>
      <c r="L98" s="136">
        <f t="shared" si="7"/>
        <v>748</v>
      </c>
      <c r="M98" s="281">
        <f>SUM(M99:M105)</f>
        <v>0</v>
      </c>
      <c r="N98" s="282">
        <f>SUM(N99:N105)</f>
        <v>0</v>
      </c>
      <c r="O98" s="136">
        <f t="shared" si="8"/>
        <v>0</v>
      </c>
      <c r="P98" s="85"/>
      <c r="R98" s="53"/>
      <c r="S98" s="53"/>
      <c r="T98" s="53"/>
    </row>
    <row r="99" spans="1:20" ht="24" x14ac:dyDescent="0.25">
      <c r="A99" s="76">
        <v>2231</v>
      </c>
      <c r="B99" s="127" t="s">
        <v>115</v>
      </c>
      <c r="C99" s="128">
        <f t="shared" si="4"/>
        <v>500</v>
      </c>
      <c r="D99" s="134"/>
      <c r="E99" s="283"/>
      <c r="F99" s="279">
        <f t="shared" si="5"/>
        <v>0</v>
      </c>
      <c r="G99" s="134"/>
      <c r="H99" s="135"/>
      <c r="I99" s="136">
        <f t="shared" si="6"/>
        <v>0</v>
      </c>
      <c r="J99" s="134">
        <v>500</v>
      </c>
      <c r="K99" s="135"/>
      <c r="L99" s="136">
        <f t="shared" si="7"/>
        <v>500</v>
      </c>
      <c r="M99" s="284"/>
      <c r="N99" s="285"/>
      <c r="O99" s="136">
        <f t="shared" si="8"/>
        <v>0</v>
      </c>
      <c r="P99" s="85"/>
      <c r="R99" s="53"/>
      <c r="S99" s="53"/>
      <c r="T99" s="53"/>
    </row>
    <row r="100" spans="1:20" ht="36" hidden="1" x14ac:dyDescent="0.25">
      <c r="A100" s="76">
        <v>2232</v>
      </c>
      <c r="B100" s="127" t="s">
        <v>116</v>
      </c>
      <c r="C100" s="128">
        <f t="shared" si="4"/>
        <v>0</v>
      </c>
      <c r="D100" s="134"/>
      <c r="E100" s="283"/>
      <c r="F100" s="279">
        <f t="shared" si="5"/>
        <v>0</v>
      </c>
      <c r="G100" s="134"/>
      <c r="H100" s="135"/>
      <c r="I100" s="136">
        <f t="shared" si="6"/>
        <v>0</v>
      </c>
      <c r="J100" s="134"/>
      <c r="K100" s="135"/>
      <c r="L100" s="136">
        <f t="shared" si="7"/>
        <v>0</v>
      </c>
      <c r="M100" s="284"/>
      <c r="N100" s="285"/>
      <c r="O100" s="136">
        <f t="shared" si="8"/>
        <v>0</v>
      </c>
      <c r="P100" s="85"/>
      <c r="R100" s="53"/>
      <c r="S100" s="53"/>
      <c r="T100" s="53"/>
    </row>
    <row r="101" spans="1:20" ht="24" hidden="1" x14ac:dyDescent="0.25">
      <c r="A101" s="66">
        <v>2233</v>
      </c>
      <c r="B101" s="116" t="s">
        <v>117</v>
      </c>
      <c r="C101" s="128">
        <f t="shared" si="4"/>
        <v>0</v>
      </c>
      <c r="D101" s="123"/>
      <c r="E101" s="295"/>
      <c r="F101" s="296">
        <f t="shared" si="5"/>
        <v>0</v>
      </c>
      <c r="G101" s="123"/>
      <c r="H101" s="124"/>
      <c r="I101" s="125">
        <f t="shared" si="6"/>
        <v>0</v>
      </c>
      <c r="J101" s="123"/>
      <c r="K101" s="124"/>
      <c r="L101" s="125">
        <f t="shared" si="7"/>
        <v>0</v>
      </c>
      <c r="M101" s="264"/>
      <c r="N101" s="262"/>
      <c r="O101" s="125">
        <f t="shared" si="8"/>
        <v>0</v>
      </c>
      <c r="P101" s="74"/>
      <c r="R101" s="53"/>
      <c r="S101" s="53"/>
      <c r="T101" s="53"/>
    </row>
    <row r="102" spans="1:20" ht="36" x14ac:dyDescent="0.25">
      <c r="A102" s="76">
        <v>2234</v>
      </c>
      <c r="B102" s="127" t="s">
        <v>118</v>
      </c>
      <c r="C102" s="128">
        <f t="shared" si="4"/>
        <v>100</v>
      </c>
      <c r="D102" s="134"/>
      <c r="E102" s="283"/>
      <c r="F102" s="279">
        <f t="shared" si="5"/>
        <v>0</v>
      </c>
      <c r="G102" s="134"/>
      <c r="H102" s="135"/>
      <c r="I102" s="136">
        <f t="shared" si="6"/>
        <v>0</v>
      </c>
      <c r="J102" s="134">
        <v>100</v>
      </c>
      <c r="K102" s="135"/>
      <c r="L102" s="136">
        <f t="shared" si="7"/>
        <v>100</v>
      </c>
      <c r="M102" s="284"/>
      <c r="N102" s="285"/>
      <c r="O102" s="136">
        <f t="shared" si="8"/>
        <v>0</v>
      </c>
      <c r="P102" s="85"/>
      <c r="R102" s="53"/>
      <c r="S102" s="53"/>
      <c r="T102" s="53"/>
    </row>
    <row r="103" spans="1:20" ht="24" x14ac:dyDescent="0.25">
      <c r="A103" s="76">
        <v>2235</v>
      </c>
      <c r="B103" s="127" t="s">
        <v>119</v>
      </c>
      <c r="C103" s="128">
        <f t="shared" si="4"/>
        <v>148</v>
      </c>
      <c r="D103" s="134"/>
      <c r="E103" s="283"/>
      <c r="F103" s="279">
        <f t="shared" si="5"/>
        <v>0</v>
      </c>
      <c r="G103" s="134"/>
      <c r="H103" s="135"/>
      <c r="I103" s="136">
        <f t="shared" si="6"/>
        <v>0</v>
      </c>
      <c r="J103" s="134">
        <v>148</v>
      </c>
      <c r="K103" s="135"/>
      <c r="L103" s="136">
        <f t="shared" si="7"/>
        <v>148</v>
      </c>
      <c r="M103" s="284"/>
      <c r="N103" s="285"/>
      <c r="O103" s="136">
        <f t="shared" si="8"/>
        <v>0</v>
      </c>
      <c r="P103" s="85"/>
      <c r="R103" s="53"/>
      <c r="S103" s="53"/>
      <c r="T103" s="53"/>
    </row>
    <row r="104" spans="1:20" hidden="1" x14ac:dyDescent="0.25">
      <c r="A104" s="76">
        <v>2236</v>
      </c>
      <c r="B104" s="127" t="s">
        <v>120</v>
      </c>
      <c r="C104" s="128">
        <f t="shared" si="4"/>
        <v>0</v>
      </c>
      <c r="D104" s="134"/>
      <c r="E104" s="283"/>
      <c r="F104" s="279">
        <f t="shared" si="5"/>
        <v>0</v>
      </c>
      <c r="G104" s="134"/>
      <c r="H104" s="135"/>
      <c r="I104" s="136">
        <f t="shared" si="6"/>
        <v>0</v>
      </c>
      <c r="J104" s="134"/>
      <c r="K104" s="135"/>
      <c r="L104" s="136">
        <f t="shared" si="7"/>
        <v>0</v>
      </c>
      <c r="M104" s="284"/>
      <c r="N104" s="285"/>
      <c r="O104" s="136">
        <f t="shared" si="8"/>
        <v>0</v>
      </c>
      <c r="P104" s="85"/>
      <c r="R104" s="53"/>
      <c r="S104" s="53"/>
      <c r="T104" s="53"/>
    </row>
    <row r="105" spans="1:20" ht="24" x14ac:dyDescent="0.25">
      <c r="A105" s="76">
        <v>2239</v>
      </c>
      <c r="B105" s="127" t="s">
        <v>121</v>
      </c>
      <c r="C105" s="128">
        <f t="shared" si="4"/>
        <v>1544</v>
      </c>
      <c r="D105" s="134">
        <v>1544</v>
      </c>
      <c r="E105" s="283"/>
      <c r="F105" s="279">
        <f t="shared" si="5"/>
        <v>1544</v>
      </c>
      <c r="G105" s="134"/>
      <c r="H105" s="135"/>
      <c r="I105" s="136">
        <f t="shared" si="6"/>
        <v>0</v>
      </c>
      <c r="J105" s="134"/>
      <c r="K105" s="135"/>
      <c r="L105" s="136">
        <f t="shared" si="7"/>
        <v>0</v>
      </c>
      <c r="M105" s="284"/>
      <c r="N105" s="285"/>
      <c r="O105" s="136">
        <f t="shared" si="8"/>
        <v>0</v>
      </c>
      <c r="P105" s="85"/>
      <c r="R105" s="53"/>
      <c r="S105" s="53"/>
      <c r="T105" s="53"/>
    </row>
    <row r="106" spans="1:20" ht="36" x14ac:dyDescent="0.25">
      <c r="A106" s="276">
        <v>2240</v>
      </c>
      <c r="B106" s="127" t="s">
        <v>122</v>
      </c>
      <c r="C106" s="128">
        <f t="shared" si="4"/>
        <v>7332</v>
      </c>
      <c r="D106" s="277">
        <f>SUM(D107:D114)</f>
        <v>7080</v>
      </c>
      <c r="E106" s="278">
        <f>SUM(E107:E114)</f>
        <v>0</v>
      </c>
      <c r="F106" s="279">
        <f t="shared" si="5"/>
        <v>7080</v>
      </c>
      <c r="G106" s="277">
        <f>SUM(G107:G114)</f>
        <v>0</v>
      </c>
      <c r="H106" s="280">
        <f>SUM(H107:H114)</f>
        <v>0</v>
      </c>
      <c r="I106" s="136">
        <f t="shared" si="6"/>
        <v>0</v>
      </c>
      <c r="J106" s="277">
        <f>SUM(J107:J114)</f>
        <v>252</v>
      </c>
      <c r="K106" s="280">
        <f>SUM(K107:K114)</f>
        <v>0</v>
      </c>
      <c r="L106" s="136">
        <f t="shared" si="7"/>
        <v>252</v>
      </c>
      <c r="M106" s="281">
        <f>SUM(M107:M114)</f>
        <v>0</v>
      </c>
      <c r="N106" s="282">
        <f>SUM(N107:N114)</f>
        <v>0</v>
      </c>
      <c r="O106" s="136">
        <f t="shared" si="8"/>
        <v>0</v>
      </c>
      <c r="P106" s="85"/>
      <c r="R106" s="53"/>
      <c r="S106" s="53"/>
      <c r="T106" s="53"/>
    </row>
    <row r="107" spans="1:20" hidden="1" x14ac:dyDescent="0.25">
      <c r="A107" s="76">
        <v>2241</v>
      </c>
      <c r="B107" s="127" t="s">
        <v>123</v>
      </c>
      <c r="C107" s="128">
        <f t="shared" si="4"/>
        <v>0</v>
      </c>
      <c r="D107" s="134"/>
      <c r="E107" s="283"/>
      <c r="F107" s="279">
        <f t="shared" si="5"/>
        <v>0</v>
      </c>
      <c r="G107" s="134"/>
      <c r="H107" s="135"/>
      <c r="I107" s="136">
        <f t="shared" si="6"/>
        <v>0</v>
      </c>
      <c r="J107" s="134"/>
      <c r="K107" s="135"/>
      <c r="L107" s="136">
        <f t="shared" si="7"/>
        <v>0</v>
      </c>
      <c r="M107" s="284"/>
      <c r="N107" s="285"/>
      <c r="O107" s="136">
        <f t="shared" si="8"/>
        <v>0</v>
      </c>
      <c r="P107" s="85"/>
      <c r="R107" s="53"/>
      <c r="S107" s="53"/>
      <c r="T107" s="53"/>
    </row>
    <row r="108" spans="1:20" ht="24" x14ac:dyDescent="0.25">
      <c r="A108" s="76">
        <v>2242</v>
      </c>
      <c r="B108" s="127" t="s">
        <v>124</v>
      </c>
      <c r="C108" s="128">
        <f t="shared" si="4"/>
        <v>1385</v>
      </c>
      <c r="D108" s="134">
        <v>1385</v>
      </c>
      <c r="E108" s="283"/>
      <c r="F108" s="279">
        <f t="shared" si="5"/>
        <v>1385</v>
      </c>
      <c r="G108" s="134"/>
      <c r="H108" s="135"/>
      <c r="I108" s="136">
        <f t="shared" si="6"/>
        <v>0</v>
      </c>
      <c r="J108" s="134"/>
      <c r="K108" s="135"/>
      <c r="L108" s="136">
        <f t="shared" si="7"/>
        <v>0</v>
      </c>
      <c r="M108" s="284"/>
      <c r="N108" s="285"/>
      <c r="O108" s="136">
        <f t="shared" si="8"/>
        <v>0</v>
      </c>
      <c r="P108" s="85"/>
      <c r="R108" s="53"/>
      <c r="S108" s="53"/>
      <c r="T108" s="53"/>
    </row>
    <row r="109" spans="1:20" ht="24" x14ac:dyDescent="0.25">
      <c r="A109" s="76">
        <v>2243</v>
      </c>
      <c r="B109" s="127" t="s">
        <v>125</v>
      </c>
      <c r="C109" s="128">
        <f t="shared" si="4"/>
        <v>816</v>
      </c>
      <c r="D109" s="134">
        <v>816</v>
      </c>
      <c r="E109" s="283"/>
      <c r="F109" s="279">
        <f t="shared" si="5"/>
        <v>816</v>
      </c>
      <c r="G109" s="134"/>
      <c r="H109" s="135"/>
      <c r="I109" s="136">
        <f t="shared" si="6"/>
        <v>0</v>
      </c>
      <c r="J109" s="134"/>
      <c r="K109" s="135"/>
      <c r="L109" s="136">
        <f t="shared" si="7"/>
        <v>0</v>
      </c>
      <c r="M109" s="284"/>
      <c r="N109" s="285"/>
      <c r="O109" s="136">
        <f t="shared" si="8"/>
        <v>0</v>
      </c>
      <c r="P109" s="85"/>
      <c r="R109" s="53"/>
      <c r="S109" s="53"/>
      <c r="T109" s="53"/>
    </row>
    <row r="110" spans="1:20" x14ac:dyDescent="0.25">
      <c r="A110" s="76">
        <v>2244</v>
      </c>
      <c r="B110" s="127" t="s">
        <v>126</v>
      </c>
      <c r="C110" s="128">
        <f t="shared" si="4"/>
        <v>4643</v>
      </c>
      <c r="D110" s="134">
        <v>4643</v>
      </c>
      <c r="E110" s="283"/>
      <c r="F110" s="279">
        <f t="shared" si="5"/>
        <v>4643</v>
      </c>
      <c r="G110" s="134"/>
      <c r="H110" s="135"/>
      <c r="I110" s="136">
        <f t="shared" si="6"/>
        <v>0</v>
      </c>
      <c r="J110" s="134"/>
      <c r="K110" s="135"/>
      <c r="L110" s="136">
        <f t="shared" si="7"/>
        <v>0</v>
      </c>
      <c r="M110" s="284"/>
      <c r="N110" s="285"/>
      <c r="O110" s="136">
        <f t="shared" si="8"/>
        <v>0</v>
      </c>
      <c r="P110" s="85"/>
      <c r="R110" s="53"/>
      <c r="S110" s="53"/>
      <c r="T110" s="53"/>
    </row>
    <row r="111" spans="1:20" ht="24" hidden="1" x14ac:dyDescent="0.25">
      <c r="A111" s="76">
        <v>2246</v>
      </c>
      <c r="B111" s="127" t="s">
        <v>127</v>
      </c>
      <c r="C111" s="128">
        <f t="shared" si="4"/>
        <v>0</v>
      </c>
      <c r="D111" s="134"/>
      <c r="E111" s="283"/>
      <c r="F111" s="279">
        <f t="shared" si="5"/>
        <v>0</v>
      </c>
      <c r="G111" s="134"/>
      <c r="H111" s="135"/>
      <c r="I111" s="136">
        <f t="shared" si="6"/>
        <v>0</v>
      </c>
      <c r="J111" s="134"/>
      <c r="K111" s="135"/>
      <c r="L111" s="136">
        <f t="shared" si="7"/>
        <v>0</v>
      </c>
      <c r="M111" s="284"/>
      <c r="N111" s="285"/>
      <c r="O111" s="136">
        <f t="shared" si="8"/>
        <v>0</v>
      </c>
      <c r="P111" s="85"/>
      <c r="R111" s="53"/>
      <c r="S111" s="53"/>
      <c r="T111" s="53"/>
    </row>
    <row r="112" spans="1:20" x14ac:dyDescent="0.25">
      <c r="A112" s="76">
        <v>2247</v>
      </c>
      <c r="B112" s="127" t="s">
        <v>128</v>
      </c>
      <c r="C112" s="128">
        <f t="shared" si="4"/>
        <v>236</v>
      </c>
      <c r="D112" s="134">
        <v>236</v>
      </c>
      <c r="E112" s="283"/>
      <c r="F112" s="279">
        <f t="shared" si="5"/>
        <v>236</v>
      </c>
      <c r="G112" s="134"/>
      <c r="H112" s="135"/>
      <c r="I112" s="136">
        <f t="shared" si="6"/>
        <v>0</v>
      </c>
      <c r="J112" s="134"/>
      <c r="K112" s="135"/>
      <c r="L112" s="136">
        <f t="shared" si="7"/>
        <v>0</v>
      </c>
      <c r="M112" s="284"/>
      <c r="N112" s="285"/>
      <c r="O112" s="136">
        <f t="shared" si="8"/>
        <v>0</v>
      </c>
      <c r="P112" s="85"/>
      <c r="R112" s="53"/>
      <c r="S112" s="53"/>
      <c r="T112" s="53"/>
    </row>
    <row r="113" spans="1:20" ht="24" hidden="1" x14ac:dyDescent="0.25">
      <c r="A113" s="76">
        <v>2248</v>
      </c>
      <c r="B113" s="127" t="s">
        <v>129</v>
      </c>
      <c r="C113" s="128">
        <f t="shared" si="4"/>
        <v>0</v>
      </c>
      <c r="D113" s="134"/>
      <c r="E113" s="283"/>
      <c r="F113" s="279">
        <f t="shared" si="5"/>
        <v>0</v>
      </c>
      <c r="G113" s="134"/>
      <c r="H113" s="135"/>
      <c r="I113" s="136">
        <f t="shared" si="6"/>
        <v>0</v>
      </c>
      <c r="J113" s="134"/>
      <c r="K113" s="135"/>
      <c r="L113" s="136">
        <f t="shared" si="7"/>
        <v>0</v>
      </c>
      <c r="M113" s="284"/>
      <c r="N113" s="285"/>
      <c r="O113" s="136">
        <f t="shared" si="8"/>
        <v>0</v>
      </c>
      <c r="P113" s="85"/>
      <c r="R113" s="53"/>
      <c r="S113" s="53"/>
      <c r="T113" s="53"/>
    </row>
    <row r="114" spans="1:20" ht="24" x14ac:dyDescent="0.25">
      <c r="A114" s="76">
        <v>2249</v>
      </c>
      <c r="B114" s="127" t="s">
        <v>130</v>
      </c>
      <c r="C114" s="128">
        <f t="shared" si="4"/>
        <v>252</v>
      </c>
      <c r="D114" s="134"/>
      <c r="E114" s="283"/>
      <c r="F114" s="279">
        <f t="shared" si="5"/>
        <v>0</v>
      </c>
      <c r="G114" s="134"/>
      <c r="H114" s="135"/>
      <c r="I114" s="136">
        <f t="shared" si="6"/>
        <v>0</v>
      </c>
      <c r="J114" s="134">
        <f>310-58</f>
        <v>252</v>
      </c>
      <c r="K114" s="135"/>
      <c r="L114" s="136">
        <f t="shared" si="7"/>
        <v>252</v>
      </c>
      <c r="M114" s="284"/>
      <c r="N114" s="285"/>
      <c r="O114" s="136">
        <f t="shared" si="8"/>
        <v>0</v>
      </c>
      <c r="P114" s="85"/>
      <c r="R114" s="53"/>
      <c r="S114" s="53"/>
      <c r="T114" s="53"/>
    </row>
    <row r="115" spans="1:20" x14ac:dyDescent="0.25">
      <c r="A115" s="276">
        <v>2250</v>
      </c>
      <c r="B115" s="127" t="s">
        <v>131</v>
      </c>
      <c r="C115" s="128">
        <f t="shared" si="4"/>
        <v>564</v>
      </c>
      <c r="D115" s="277">
        <f>SUM(D116:D118)</f>
        <v>564</v>
      </c>
      <c r="E115" s="278">
        <f>SUM(E116:E118)</f>
        <v>0</v>
      </c>
      <c r="F115" s="279">
        <f t="shared" si="5"/>
        <v>564</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c r="R115" s="53"/>
      <c r="S115" s="53"/>
      <c r="T115" s="53"/>
    </row>
    <row r="116" spans="1:20" hidden="1" x14ac:dyDescent="0.25">
      <c r="A116" s="76">
        <v>2251</v>
      </c>
      <c r="B116" s="127" t="s">
        <v>132</v>
      </c>
      <c r="C116" s="128">
        <f t="shared" si="4"/>
        <v>0</v>
      </c>
      <c r="D116" s="134"/>
      <c r="E116" s="283"/>
      <c r="F116" s="279">
        <f t="shared" si="5"/>
        <v>0</v>
      </c>
      <c r="G116" s="134"/>
      <c r="H116" s="135"/>
      <c r="I116" s="136">
        <f t="shared" si="6"/>
        <v>0</v>
      </c>
      <c r="J116" s="134"/>
      <c r="K116" s="135"/>
      <c r="L116" s="136">
        <f t="shared" si="7"/>
        <v>0</v>
      </c>
      <c r="M116" s="284"/>
      <c r="N116" s="285"/>
      <c r="O116" s="136">
        <f t="shared" si="8"/>
        <v>0</v>
      </c>
      <c r="P116" s="85"/>
      <c r="R116" s="53"/>
      <c r="S116" s="53"/>
      <c r="T116" s="53"/>
    </row>
    <row r="117" spans="1:20" ht="24" hidden="1" x14ac:dyDescent="0.25">
      <c r="A117" s="76">
        <v>2252</v>
      </c>
      <c r="B117" s="127" t="s">
        <v>133</v>
      </c>
      <c r="C117" s="128">
        <f t="shared" ref="C117:C180" si="9">SUM(F117,I117,L117,O117)</f>
        <v>0</v>
      </c>
      <c r="D117" s="134"/>
      <c r="E117" s="283"/>
      <c r="F117" s="279">
        <f t="shared" ref="F117:F180" si="10">D117+E117</f>
        <v>0</v>
      </c>
      <c r="G117" s="134"/>
      <c r="H117" s="135"/>
      <c r="I117" s="136">
        <f t="shared" ref="I117:I180" si="11">G117+H117</f>
        <v>0</v>
      </c>
      <c r="J117" s="134"/>
      <c r="K117" s="135"/>
      <c r="L117" s="136">
        <f t="shared" ref="L117:L180" si="12">J117+K117</f>
        <v>0</v>
      </c>
      <c r="M117" s="284"/>
      <c r="N117" s="285"/>
      <c r="O117" s="136">
        <f t="shared" ref="O117:O180" si="13">M117+N117</f>
        <v>0</v>
      </c>
      <c r="P117" s="85"/>
      <c r="R117" s="53"/>
      <c r="S117" s="53"/>
      <c r="T117" s="53"/>
    </row>
    <row r="118" spans="1:20" ht="24" x14ac:dyDescent="0.25">
      <c r="A118" s="76">
        <v>2259</v>
      </c>
      <c r="B118" s="127" t="s">
        <v>134</v>
      </c>
      <c r="C118" s="128">
        <f t="shared" si="9"/>
        <v>564</v>
      </c>
      <c r="D118" s="134">
        <v>564</v>
      </c>
      <c r="E118" s="283"/>
      <c r="F118" s="279">
        <f t="shared" si="10"/>
        <v>564</v>
      </c>
      <c r="G118" s="134"/>
      <c r="H118" s="135"/>
      <c r="I118" s="136">
        <f t="shared" si="11"/>
        <v>0</v>
      </c>
      <c r="J118" s="134"/>
      <c r="K118" s="135"/>
      <c r="L118" s="136">
        <f t="shared" si="12"/>
        <v>0</v>
      </c>
      <c r="M118" s="284"/>
      <c r="N118" s="285"/>
      <c r="O118" s="136">
        <f t="shared" si="13"/>
        <v>0</v>
      </c>
      <c r="P118" s="85"/>
      <c r="R118" s="53"/>
      <c r="S118" s="53"/>
      <c r="T118" s="53"/>
    </row>
    <row r="119" spans="1:20" x14ac:dyDescent="0.25">
      <c r="A119" s="276">
        <v>2260</v>
      </c>
      <c r="B119" s="127" t="s">
        <v>135</v>
      </c>
      <c r="C119" s="128">
        <f t="shared" si="9"/>
        <v>182</v>
      </c>
      <c r="D119" s="277">
        <f>SUM(D120:D124)</f>
        <v>182</v>
      </c>
      <c r="E119" s="278">
        <f>SUM(E120:E124)</f>
        <v>0</v>
      </c>
      <c r="F119" s="279">
        <f t="shared" si="10"/>
        <v>182</v>
      </c>
      <c r="G119" s="277">
        <f>SUM(G120:G124)</f>
        <v>0</v>
      </c>
      <c r="H119" s="280">
        <f>SUM(H120:H124)</f>
        <v>0</v>
      </c>
      <c r="I119" s="136">
        <f t="shared" si="11"/>
        <v>0</v>
      </c>
      <c r="J119" s="277">
        <f>SUM(J120:J124)</f>
        <v>0</v>
      </c>
      <c r="K119" s="280">
        <f>SUM(K120:K124)</f>
        <v>0</v>
      </c>
      <c r="L119" s="136">
        <f t="shared" si="12"/>
        <v>0</v>
      </c>
      <c r="M119" s="281">
        <f>SUM(M120:M124)</f>
        <v>0</v>
      </c>
      <c r="N119" s="282">
        <f>SUM(N120:N124)</f>
        <v>0</v>
      </c>
      <c r="O119" s="136">
        <f t="shared" si="13"/>
        <v>0</v>
      </c>
      <c r="P119" s="85"/>
      <c r="R119" s="53"/>
      <c r="S119" s="53"/>
      <c r="T119" s="53"/>
    </row>
    <row r="120" spans="1:20" hidden="1" x14ac:dyDescent="0.25">
      <c r="A120" s="76">
        <v>2261</v>
      </c>
      <c r="B120" s="127" t="s">
        <v>136</v>
      </c>
      <c r="C120" s="128">
        <f t="shared" si="9"/>
        <v>0</v>
      </c>
      <c r="D120" s="134"/>
      <c r="E120" s="283"/>
      <c r="F120" s="279">
        <f t="shared" si="10"/>
        <v>0</v>
      </c>
      <c r="G120" s="134"/>
      <c r="H120" s="135"/>
      <c r="I120" s="136">
        <f t="shared" si="11"/>
        <v>0</v>
      </c>
      <c r="J120" s="134"/>
      <c r="K120" s="135"/>
      <c r="L120" s="136">
        <f t="shared" si="12"/>
        <v>0</v>
      </c>
      <c r="M120" s="284"/>
      <c r="N120" s="285"/>
      <c r="O120" s="136">
        <f t="shared" si="13"/>
        <v>0</v>
      </c>
      <c r="P120" s="85"/>
      <c r="R120" s="53"/>
      <c r="S120" s="53"/>
      <c r="T120" s="53"/>
    </row>
    <row r="121" spans="1:20" hidden="1" x14ac:dyDescent="0.25">
      <c r="A121" s="76">
        <v>2262</v>
      </c>
      <c r="B121" s="127" t="s">
        <v>137</v>
      </c>
      <c r="C121" s="128">
        <f t="shared" si="9"/>
        <v>0</v>
      </c>
      <c r="D121" s="134"/>
      <c r="E121" s="283"/>
      <c r="F121" s="279">
        <f t="shared" si="10"/>
        <v>0</v>
      </c>
      <c r="G121" s="134"/>
      <c r="H121" s="135"/>
      <c r="I121" s="136">
        <f t="shared" si="11"/>
        <v>0</v>
      </c>
      <c r="J121" s="134"/>
      <c r="K121" s="135"/>
      <c r="L121" s="136">
        <f t="shared" si="12"/>
        <v>0</v>
      </c>
      <c r="M121" s="284"/>
      <c r="N121" s="285"/>
      <c r="O121" s="136">
        <f t="shared" si="13"/>
        <v>0</v>
      </c>
      <c r="P121" s="85"/>
      <c r="R121" s="53"/>
      <c r="S121" s="53"/>
      <c r="T121" s="53"/>
    </row>
    <row r="122" spans="1:20" hidden="1" x14ac:dyDescent="0.25">
      <c r="A122" s="76">
        <v>2263</v>
      </c>
      <c r="B122" s="127" t="s">
        <v>138</v>
      </c>
      <c r="C122" s="128">
        <f t="shared" si="9"/>
        <v>0</v>
      </c>
      <c r="D122" s="134"/>
      <c r="E122" s="283"/>
      <c r="F122" s="279">
        <f t="shared" si="10"/>
        <v>0</v>
      </c>
      <c r="G122" s="134"/>
      <c r="H122" s="135"/>
      <c r="I122" s="136">
        <f t="shared" si="11"/>
        <v>0</v>
      </c>
      <c r="J122" s="134"/>
      <c r="K122" s="135"/>
      <c r="L122" s="136">
        <f t="shared" si="12"/>
        <v>0</v>
      </c>
      <c r="M122" s="284"/>
      <c r="N122" s="285"/>
      <c r="O122" s="136">
        <f t="shared" si="13"/>
        <v>0</v>
      </c>
      <c r="P122" s="85"/>
      <c r="R122" s="53"/>
      <c r="S122" s="53"/>
      <c r="T122" s="53"/>
    </row>
    <row r="123" spans="1:20" ht="24" x14ac:dyDescent="0.25">
      <c r="A123" s="76">
        <v>2264</v>
      </c>
      <c r="B123" s="127" t="s">
        <v>139</v>
      </c>
      <c r="C123" s="128">
        <f t="shared" si="9"/>
        <v>182</v>
      </c>
      <c r="D123" s="134">
        <v>182</v>
      </c>
      <c r="E123" s="283"/>
      <c r="F123" s="279">
        <f t="shared" si="10"/>
        <v>182</v>
      </c>
      <c r="G123" s="134"/>
      <c r="H123" s="135"/>
      <c r="I123" s="136">
        <f t="shared" si="11"/>
        <v>0</v>
      </c>
      <c r="J123" s="134"/>
      <c r="K123" s="135"/>
      <c r="L123" s="136">
        <f t="shared" si="12"/>
        <v>0</v>
      </c>
      <c r="M123" s="284"/>
      <c r="N123" s="285"/>
      <c r="O123" s="136">
        <f t="shared" si="13"/>
        <v>0</v>
      </c>
      <c r="P123" s="85"/>
      <c r="R123" s="53"/>
      <c r="S123" s="53"/>
      <c r="T123" s="53"/>
    </row>
    <row r="124" spans="1:20" hidden="1" x14ac:dyDescent="0.25">
      <c r="A124" s="76">
        <v>2269</v>
      </c>
      <c r="B124" s="127" t="s">
        <v>140</v>
      </c>
      <c r="C124" s="128">
        <f t="shared" si="9"/>
        <v>0</v>
      </c>
      <c r="D124" s="134"/>
      <c r="E124" s="283"/>
      <c r="F124" s="279">
        <f t="shared" si="10"/>
        <v>0</v>
      </c>
      <c r="G124" s="134"/>
      <c r="H124" s="135"/>
      <c r="I124" s="136">
        <f t="shared" si="11"/>
        <v>0</v>
      </c>
      <c r="J124" s="134"/>
      <c r="K124" s="135"/>
      <c r="L124" s="136">
        <f t="shared" si="12"/>
        <v>0</v>
      </c>
      <c r="M124" s="284"/>
      <c r="N124" s="285"/>
      <c r="O124" s="136">
        <f t="shared" si="13"/>
        <v>0</v>
      </c>
      <c r="P124" s="85"/>
      <c r="R124" s="53"/>
      <c r="S124" s="53"/>
      <c r="T124" s="53"/>
    </row>
    <row r="125" spans="1:20" x14ac:dyDescent="0.25">
      <c r="A125" s="276">
        <v>2270</v>
      </c>
      <c r="B125" s="127" t="s">
        <v>141</v>
      </c>
      <c r="C125" s="128">
        <f t="shared" si="9"/>
        <v>120</v>
      </c>
      <c r="D125" s="277">
        <f>SUM(D126:D130)</f>
        <v>120</v>
      </c>
      <c r="E125" s="278">
        <f>SUM(E126:E130)</f>
        <v>0</v>
      </c>
      <c r="F125" s="279">
        <f t="shared" si="10"/>
        <v>120</v>
      </c>
      <c r="G125" s="277">
        <f>SUM(G126:G130)</f>
        <v>0</v>
      </c>
      <c r="H125" s="280">
        <f>SUM(H126:H130)</f>
        <v>0</v>
      </c>
      <c r="I125" s="136">
        <f t="shared" si="11"/>
        <v>0</v>
      </c>
      <c r="J125" s="277">
        <f>SUM(J126:J130)</f>
        <v>0</v>
      </c>
      <c r="K125" s="280">
        <f>SUM(K126:K130)</f>
        <v>0</v>
      </c>
      <c r="L125" s="136">
        <f t="shared" si="12"/>
        <v>0</v>
      </c>
      <c r="M125" s="281">
        <f>SUM(M126:M130)</f>
        <v>0</v>
      </c>
      <c r="N125" s="282">
        <f>SUM(N126:N130)</f>
        <v>0</v>
      </c>
      <c r="O125" s="136">
        <f t="shared" si="13"/>
        <v>0</v>
      </c>
      <c r="P125" s="85"/>
      <c r="R125" s="53"/>
      <c r="S125" s="53"/>
      <c r="T125" s="53"/>
    </row>
    <row r="126" spans="1:20" hidden="1" x14ac:dyDescent="0.25">
      <c r="A126" s="76">
        <v>2272</v>
      </c>
      <c r="B126" s="5" t="s">
        <v>142</v>
      </c>
      <c r="C126" s="128">
        <f t="shared" si="9"/>
        <v>0</v>
      </c>
      <c r="D126" s="134"/>
      <c r="E126" s="283"/>
      <c r="F126" s="279">
        <f t="shared" si="10"/>
        <v>0</v>
      </c>
      <c r="G126" s="134"/>
      <c r="H126" s="135"/>
      <c r="I126" s="136">
        <f t="shared" si="11"/>
        <v>0</v>
      </c>
      <c r="J126" s="134"/>
      <c r="K126" s="135"/>
      <c r="L126" s="136">
        <f t="shared" si="12"/>
        <v>0</v>
      </c>
      <c r="M126" s="284"/>
      <c r="N126" s="285"/>
      <c r="O126" s="136">
        <f t="shared" si="13"/>
        <v>0</v>
      </c>
      <c r="P126" s="85"/>
      <c r="R126" s="53"/>
      <c r="S126" s="53"/>
      <c r="T126" s="53"/>
    </row>
    <row r="127" spans="1:20" ht="24" hidden="1" x14ac:dyDescent="0.25">
      <c r="A127" s="76">
        <v>2275</v>
      </c>
      <c r="B127" s="127" t="s">
        <v>143</v>
      </c>
      <c r="C127" s="128">
        <f t="shared" si="9"/>
        <v>0</v>
      </c>
      <c r="D127" s="134">
        <v>0</v>
      </c>
      <c r="E127" s="283"/>
      <c r="F127" s="279">
        <f t="shared" si="10"/>
        <v>0</v>
      </c>
      <c r="G127" s="134"/>
      <c r="H127" s="135"/>
      <c r="I127" s="136">
        <f t="shared" si="11"/>
        <v>0</v>
      </c>
      <c r="J127" s="134">
        <v>0</v>
      </c>
      <c r="K127" s="135"/>
      <c r="L127" s="136">
        <f t="shared" si="12"/>
        <v>0</v>
      </c>
      <c r="M127" s="284"/>
      <c r="N127" s="285"/>
      <c r="O127" s="136">
        <f t="shared" si="13"/>
        <v>0</v>
      </c>
      <c r="P127" s="85"/>
      <c r="R127" s="53"/>
      <c r="S127" s="53"/>
      <c r="T127" s="53"/>
    </row>
    <row r="128" spans="1:20" ht="36" hidden="1" x14ac:dyDescent="0.25">
      <c r="A128" s="76">
        <v>2276</v>
      </c>
      <c r="B128" s="127" t="s">
        <v>144</v>
      </c>
      <c r="C128" s="128">
        <f t="shared" si="9"/>
        <v>0</v>
      </c>
      <c r="D128" s="134"/>
      <c r="E128" s="283"/>
      <c r="F128" s="279">
        <f t="shared" si="10"/>
        <v>0</v>
      </c>
      <c r="G128" s="134"/>
      <c r="H128" s="135"/>
      <c r="I128" s="136">
        <f t="shared" si="11"/>
        <v>0</v>
      </c>
      <c r="J128" s="134"/>
      <c r="K128" s="135"/>
      <c r="L128" s="136">
        <f t="shared" si="12"/>
        <v>0</v>
      </c>
      <c r="M128" s="284"/>
      <c r="N128" s="285"/>
      <c r="O128" s="136">
        <f t="shared" si="13"/>
        <v>0</v>
      </c>
      <c r="P128" s="85"/>
      <c r="R128" s="53"/>
      <c r="S128" s="53"/>
      <c r="T128" s="53"/>
    </row>
    <row r="129" spans="1:20" ht="24" hidden="1" x14ac:dyDescent="0.25">
      <c r="A129" s="76">
        <v>2278</v>
      </c>
      <c r="B129" s="127" t="s">
        <v>145</v>
      </c>
      <c r="C129" s="128">
        <f t="shared" si="9"/>
        <v>0</v>
      </c>
      <c r="D129" s="134"/>
      <c r="E129" s="283"/>
      <c r="F129" s="279">
        <f t="shared" si="10"/>
        <v>0</v>
      </c>
      <c r="G129" s="134"/>
      <c r="H129" s="135"/>
      <c r="I129" s="136">
        <f t="shared" si="11"/>
        <v>0</v>
      </c>
      <c r="J129" s="134"/>
      <c r="K129" s="135"/>
      <c r="L129" s="136">
        <f t="shared" si="12"/>
        <v>0</v>
      </c>
      <c r="M129" s="284"/>
      <c r="N129" s="285"/>
      <c r="O129" s="136">
        <f t="shared" si="13"/>
        <v>0</v>
      </c>
      <c r="P129" s="85"/>
      <c r="R129" s="53"/>
      <c r="S129" s="53"/>
      <c r="T129" s="53"/>
    </row>
    <row r="130" spans="1:20" ht="24" x14ac:dyDescent="0.25">
      <c r="A130" s="76">
        <v>2279</v>
      </c>
      <c r="B130" s="127" t="s">
        <v>146</v>
      </c>
      <c r="C130" s="128">
        <f t="shared" si="9"/>
        <v>120</v>
      </c>
      <c r="D130" s="134">
        <v>120</v>
      </c>
      <c r="E130" s="283"/>
      <c r="F130" s="279">
        <f t="shared" si="10"/>
        <v>120</v>
      </c>
      <c r="G130" s="134"/>
      <c r="H130" s="135"/>
      <c r="I130" s="136">
        <f t="shared" si="11"/>
        <v>0</v>
      </c>
      <c r="J130" s="134"/>
      <c r="K130" s="135"/>
      <c r="L130" s="136">
        <f t="shared" si="12"/>
        <v>0</v>
      </c>
      <c r="M130" s="284"/>
      <c r="N130" s="285"/>
      <c r="O130" s="136">
        <f t="shared" si="13"/>
        <v>0</v>
      </c>
      <c r="P130" s="85"/>
      <c r="R130" s="53"/>
      <c r="S130" s="53"/>
      <c r="T130" s="53"/>
    </row>
    <row r="131" spans="1:20" ht="24" hidden="1" x14ac:dyDescent="0.25">
      <c r="A131" s="656">
        <v>2280</v>
      </c>
      <c r="B131" s="116" t="s">
        <v>147</v>
      </c>
      <c r="C131" s="128">
        <f t="shared" si="9"/>
        <v>0</v>
      </c>
      <c r="D131" s="297">
        <f>SUM(D132)</f>
        <v>0</v>
      </c>
      <c r="E131" s="298">
        <f t="shared" ref="E131" si="14">SUM(E132)</f>
        <v>0</v>
      </c>
      <c r="F131" s="296">
        <f t="shared" si="10"/>
        <v>0</v>
      </c>
      <c r="G131" s="297">
        <f>SUM(G132)</f>
        <v>0</v>
      </c>
      <c r="H131" s="299">
        <f>SUM(H132)</f>
        <v>0</v>
      </c>
      <c r="I131" s="125">
        <f t="shared" si="11"/>
        <v>0</v>
      </c>
      <c r="J131" s="297">
        <f>SUM(J132)</f>
        <v>0</v>
      </c>
      <c r="K131" s="299">
        <f t="shared" ref="K131" si="15">SUM(K132)</f>
        <v>0</v>
      </c>
      <c r="L131" s="125">
        <f t="shared" si="12"/>
        <v>0</v>
      </c>
      <c r="M131" s="281">
        <f>SUM(M132)</f>
        <v>0</v>
      </c>
      <c r="N131" s="282">
        <f>SUM(N132)</f>
        <v>0</v>
      </c>
      <c r="O131" s="136">
        <f t="shared" si="13"/>
        <v>0</v>
      </c>
      <c r="P131" s="85"/>
      <c r="R131" s="53"/>
      <c r="S131" s="53"/>
      <c r="T131" s="53"/>
    </row>
    <row r="132" spans="1:20" ht="24" hidden="1" x14ac:dyDescent="0.25">
      <c r="A132" s="76">
        <v>2283</v>
      </c>
      <c r="B132" s="127" t="s">
        <v>148</v>
      </c>
      <c r="C132" s="128">
        <f t="shared" si="9"/>
        <v>0</v>
      </c>
      <c r="D132" s="134"/>
      <c r="E132" s="283"/>
      <c r="F132" s="279">
        <f t="shared" si="10"/>
        <v>0</v>
      </c>
      <c r="G132" s="134"/>
      <c r="H132" s="135"/>
      <c r="I132" s="136">
        <f t="shared" si="11"/>
        <v>0</v>
      </c>
      <c r="J132" s="134"/>
      <c r="K132" s="135"/>
      <c r="L132" s="136">
        <f t="shared" si="12"/>
        <v>0</v>
      </c>
      <c r="M132" s="284"/>
      <c r="N132" s="285"/>
      <c r="O132" s="136">
        <f t="shared" si="13"/>
        <v>0</v>
      </c>
      <c r="P132" s="85"/>
      <c r="R132" s="53"/>
      <c r="S132" s="53"/>
      <c r="T132" s="53"/>
    </row>
    <row r="133" spans="1:20" ht="36" x14ac:dyDescent="0.25">
      <c r="A133" s="99">
        <v>2300</v>
      </c>
      <c r="B133" s="247" t="s">
        <v>149</v>
      </c>
      <c r="C133" s="100">
        <f t="shared" si="9"/>
        <v>24527</v>
      </c>
      <c r="D133" s="112">
        <f>SUM(D134,D139,D143,D144,D147,D154,D162,D163,D166)</f>
        <v>20462</v>
      </c>
      <c r="E133" s="248">
        <f>SUM(E134,E139,E143,E144,E147,E154,E162,E163,E166)</f>
        <v>0</v>
      </c>
      <c r="F133" s="249">
        <f t="shared" si="10"/>
        <v>20462</v>
      </c>
      <c r="G133" s="112">
        <f>SUM(G134,G139,G143,G144,G147,G154,G162,G163,G166)</f>
        <v>1696</v>
      </c>
      <c r="H133" s="113">
        <f>SUM(H134,H139,H143,H144,H147,H154,H162,H163,H166)</f>
        <v>0</v>
      </c>
      <c r="I133" s="114">
        <f t="shared" si="11"/>
        <v>1696</v>
      </c>
      <c r="J133" s="112">
        <f>SUM(J134,J139,J143,J144,J147,J154,J162,J163,J166)</f>
        <v>2369</v>
      </c>
      <c r="K133" s="113">
        <f>SUM(K134,K139,K143,K144,K147,K154,K162,K163,K166)</f>
        <v>0</v>
      </c>
      <c r="L133" s="114">
        <f t="shared" si="12"/>
        <v>2369</v>
      </c>
      <c r="M133" s="292">
        <f>SUM(M134,M139,M143,M144,M147,M154,M162,M163,M166)</f>
        <v>0</v>
      </c>
      <c r="N133" s="293">
        <f>SUM(N134,N139,N143,N144,N147,N154,N162,N163,N166)</f>
        <v>0</v>
      </c>
      <c r="O133" s="114">
        <f t="shared" si="13"/>
        <v>0</v>
      </c>
      <c r="P133" s="109"/>
      <c r="R133" s="53"/>
      <c r="S133" s="53"/>
      <c r="T133" s="53"/>
    </row>
    <row r="134" spans="1:20" ht="24" x14ac:dyDescent="0.25">
      <c r="A134" s="656">
        <v>2310</v>
      </c>
      <c r="B134" s="116" t="s">
        <v>150</v>
      </c>
      <c r="C134" s="117">
        <f t="shared" si="9"/>
        <v>10723</v>
      </c>
      <c r="D134" s="308">
        <f>SUM(D135:D138)</f>
        <v>10483</v>
      </c>
      <c r="E134" s="300">
        <f>SUM(E135:E138)</f>
        <v>0</v>
      </c>
      <c r="F134" s="296">
        <f t="shared" si="10"/>
        <v>10483</v>
      </c>
      <c r="G134" s="297">
        <f>SUM(G135:G138)</f>
        <v>0</v>
      </c>
      <c r="H134" s="299">
        <f>SUM(H135:H138)</f>
        <v>0</v>
      </c>
      <c r="I134" s="125">
        <f t="shared" si="11"/>
        <v>0</v>
      </c>
      <c r="J134" s="297">
        <f>SUM(J135:J138)</f>
        <v>240</v>
      </c>
      <c r="K134" s="299">
        <f>SUM(K135:K138)</f>
        <v>0</v>
      </c>
      <c r="L134" s="125">
        <f t="shared" si="12"/>
        <v>240</v>
      </c>
      <c r="M134" s="300">
        <f>SUM(M135:M138)</f>
        <v>0</v>
      </c>
      <c r="N134" s="301">
        <f>SUM(N135:N138)</f>
        <v>0</v>
      </c>
      <c r="O134" s="125">
        <f t="shared" si="13"/>
        <v>0</v>
      </c>
      <c r="P134" s="74"/>
      <c r="R134" s="53"/>
      <c r="S134" s="53"/>
      <c r="T134" s="53"/>
    </row>
    <row r="135" spans="1:20" x14ac:dyDescent="0.25">
      <c r="A135" s="76">
        <v>2311</v>
      </c>
      <c r="B135" s="127" t="s">
        <v>151</v>
      </c>
      <c r="C135" s="128">
        <f t="shared" si="9"/>
        <v>1614</v>
      </c>
      <c r="D135" s="134">
        <v>1614</v>
      </c>
      <c r="E135" s="283"/>
      <c r="F135" s="279">
        <f t="shared" si="10"/>
        <v>1614</v>
      </c>
      <c r="G135" s="134"/>
      <c r="H135" s="135"/>
      <c r="I135" s="136">
        <f t="shared" si="11"/>
        <v>0</v>
      </c>
      <c r="J135" s="134"/>
      <c r="K135" s="135"/>
      <c r="L135" s="136">
        <f t="shared" si="12"/>
        <v>0</v>
      </c>
      <c r="M135" s="284"/>
      <c r="N135" s="285"/>
      <c r="O135" s="136">
        <f t="shared" si="13"/>
        <v>0</v>
      </c>
      <c r="P135" s="85"/>
      <c r="R135" s="53"/>
      <c r="S135" s="53"/>
      <c r="T135" s="53"/>
    </row>
    <row r="136" spans="1:20" x14ac:dyDescent="0.25">
      <c r="A136" s="76">
        <v>2312</v>
      </c>
      <c r="B136" s="127" t="s">
        <v>152</v>
      </c>
      <c r="C136" s="128">
        <f t="shared" si="9"/>
        <v>8629</v>
      </c>
      <c r="D136" s="134">
        <f>7550+450+200+429</f>
        <v>8629</v>
      </c>
      <c r="E136" s="283"/>
      <c r="F136" s="279">
        <f t="shared" si="10"/>
        <v>8629</v>
      </c>
      <c r="G136" s="134"/>
      <c r="H136" s="135"/>
      <c r="I136" s="136">
        <f t="shared" si="11"/>
        <v>0</v>
      </c>
      <c r="J136" s="134"/>
      <c r="K136" s="135"/>
      <c r="L136" s="136">
        <f t="shared" si="12"/>
        <v>0</v>
      </c>
      <c r="M136" s="284"/>
      <c r="N136" s="285"/>
      <c r="O136" s="136">
        <f t="shared" si="13"/>
        <v>0</v>
      </c>
      <c r="P136" s="85"/>
      <c r="R136" s="53"/>
      <c r="S136" s="53"/>
      <c r="T136" s="53"/>
    </row>
    <row r="137" spans="1:20" hidden="1" x14ac:dyDescent="0.25">
      <c r="A137" s="76">
        <v>2313</v>
      </c>
      <c r="B137" s="127" t="s">
        <v>153</v>
      </c>
      <c r="C137" s="128">
        <f t="shared" si="9"/>
        <v>0</v>
      </c>
      <c r="D137" s="134"/>
      <c r="E137" s="283"/>
      <c r="F137" s="279">
        <f t="shared" si="10"/>
        <v>0</v>
      </c>
      <c r="G137" s="134"/>
      <c r="H137" s="135"/>
      <c r="I137" s="136">
        <f t="shared" si="11"/>
        <v>0</v>
      </c>
      <c r="J137" s="134"/>
      <c r="K137" s="135"/>
      <c r="L137" s="136">
        <f t="shared" si="12"/>
        <v>0</v>
      </c>
      <c r="M137" s="284"/>
      <c r="N137" s="285"/>
      <c r="O137" s="136">
        <f t="shared" si="13"/>
        <v>0</v>
      </c>
      <c r="P137" s="85"/>
      <c r="R137" s="53"/>
      <c r="S137" s="53"/>
      <c r="T137" s="53"/>
    </row>
    <row r="138" spans="1:20" ht="24.75" customHeight="1" x14ac:dyDescent="0.25">
      <c r="A138" s="76">
        <v>2314</v>
      </c>
      <c r="B138" s="127" t="s">
        <v>154</v>
      </c>
      <c r="C138" s="128">
        <f t="shared" si="9"/>
        <v>480</v>
      </c>
      <c r="D138" s="134">
        <v>240</v>
      </c>
      <c r="E138" s="283"/>
      <c r="F138" s="279">
        <f t="shared" si="10"/>
        <v>240</v>
      </c>
      <c r="G138" s="134"/>
      <c r="H138" s="135"/>
      <c r="I138" s="136">
        <f t="shared" si="11"/>
        <v>0</v>
      </c>
      <c r="J138" s="134">
        <v>240</v>
      </c>
      <c r="K138" s="135"/>
      <c r="L138" s="136">
        <f t="shared" si="12"/>
        <v>240</v>
      </c>
      <c r="M138" s="284"/>
      <c r="N138" s="285"/>
      <c r="O138" s="136">
        <f t="shared" si="13"/>
        <v>0</v>
      </c>
      <c r="P138" s="85"/>
      <c r="R138" s="53"/>
      <c r="S138" s="53"/>
      <c r="T138" s="53"/>
    </row>
    <row r="139" spans="1:20" x14ac:dyDescent="0.25">
      <c r="A139" s="276">
        <v>2320</v>
      </c>
      <c r="B139" s="127" t="s">
        <v>155</v>
      </c>
      <c r="C139" s="128">
        <f t="shared" si="9"/>
        <v>4316</v>
      </c>
      <c r="D139" s="277">
        <f>SUM(D140:D142)</f>
        <v>2506</v>
      </c>
      <c r="E139" s="278">
        <f>SUM(E140:E142)</f>
        <v>0</v>
      </c>
      <c r="F139" s="279">
        <f t="shared" si="10"/>
        <v>2506</v>
      </c>
      <c r="G139" s="277">
        <f>SUM(G140:G142)</f>
        <v>0</v>
      </c>
      <c r="H139" s="280">
        <f>SUM(H140:H142)</f>
        <v>0</v>
      </c>
      <c r="I139" s="136">
        <f t="shared" si="11"/>
        <v>0</v>
      </c>
      <c r="J139" s="277">
        <f>SUM(J140:J142)</f>
        <v>1810</v>
      </c>
      <c r="K139" s="280">
        <f>SUM(K140:K142)</f>
        <v>0</v>
      </c>
      <c r="L139" s="136">
        <f t="shared" si="12"/>
        <v>1810</v>
      </c>
      <c r="M139" s="281">
        <f>SUM(M140:M142)</f>
        <v>0</v>
      </c>
      <c r="N139" s="282">
        <f>SUM(N140:N142)</f>
        <v>0</v>
      </c>
      <c r="O139" s="136">
        <f t="shared" si="13"/>
        <v>0</v>
      </c>
      <c r="P139" s="85"/>
      <c r="R139" s="53"/>
      <c r="S139" s="53"/>
      <c r="T139" s="53"/>
    </row>
    <row r="140" spans="1:20" hidden="1" x14ac:dyDescent="0.25">
      <c r="A140" s="76">
        <v>2321</v>
      </c>
      <c r="B140" s="127" t="s">
        <v>156</v>
      </c>
      <c r="C140" s="128">
        <f t="shared" si="9"/>
        <v>0</v>
      </c>
      <c r="D140" s="134"/>
      <c r="E140" s="283"/>
      <c r="F140" s="279">
        <f t="shared" si="10"/>
        <v>0</v>
      </c>
      <c r="G140" s="134"/>
      <c r="H140" s="135"/>
      <c r="I140" s="136">
        <f t="shared" si="11"/>
        <v>0</v>
      </c>
      <c r="J140" s="134"/>
      <c r="K140" s="135"/>
      <c r="L140" s="136">
        <f t="shared" si="12"/>
        <v>0</v>
      </c>
      <c r="M140" s="284"/>
      <c r="N140" s="285"/>
      <c r="O140" s="136">
        <f t="shared" si="13"/>
        <v>0</v>
      </c>
      <c r="P140" s="85"/>
      <c r="R140" s="53"/>
      <c r="S140" s="53"/>
      <c r="T140" s="53"/>
    </row>
    <row r="141" spans="1:20" x14ac:dyDescent="0.25">
      <c r="A141" s="76">
        <v>2322</v>
      </c>
      <c r="B141" s="127" t="s">
        <v>157</v>
      </c>
      <c r="C141" s="128">
        <f t="shared" si="9"/>
        <v>4316</v>
      </c>
      <c r="D141" s="134">
        <f>2456+50</f>
        <v>2506</v>
      </c>
      <c r="E141" s="283"/>
      <c r="F141" s="279">
        <f t="shared" si="10"/>
        <v>2506</v>
      </c>
      <c r="G141" s="134"/>
      <c r="H141" s="135"/>
      <c r="I141" s="136">
        <f t="shared" si="11"/>
        <v>0</v>
      </c>
      <c r="J141" s="134">
        <f>1310+500</f>
        <v>1810</v>
      </c>
      <c r="K141" s="135"/>
      <c r="L141" s="136">
        <f t="shared" si="12"/>
        <v>1810</v>
      </c>
      <c r="M141" s="284"/>
      <c r="N141" s="285"/>
      <c r="O141" s="136">
        <f t="shared" si="13"/>
        <v>0</v>
      </c>
      <c r="P141" s="85"/>
      <c r="R141" s="53"/>
      <c r="S141" s="53"/>
      <c r="T141" s="53"/>
    </row>
    <row r="142" spans="1:20" hidden="1" x14ac:dyDescent="0.25">
      <c r="A142" s="76">
        <v>2329</v>
      </c>
      <c r="B142" s="127" t="s">
        <v>158</v>
      </c>
      <c r="C142" s="128">
        <f t="shared" si="9"/>
        <v>0</v>
      </c>
      <c r="D142" s="134"/>
      <c r="E142" s="283"/>
      <c r="F142" s="279">
        <f t="shared" si="10"/>
        <v>0</v>
      </c>
      <c r="G142" s="134"/>
      <c r="H142" s="135"/>
      <c r="I142" s="136">
        <f t="shared" si="11"/>
        <v>0</v>
      </c>
      <c r="J142" s="134"/>
      <c r="K142" s="135"/>
      <c r="L142" s="136">
        <f t="shared" si="12"/>
        <v>0</v>
      </c>
      <c r="M142" s="284"/>
      <c r="N142" s="285"/>
      <c r="O142" s="136">
        <f t="shared" si="13"/>
        <v>0</v>
      </c>
      <c r="P142" s="85"/>
      <c r="R142" s="53"/>
      <c r="S142" s="53"/>
      <c r="T142" s="53"/>
    </row>
    <row r="143" spans="1:20" hidden="1" x14ac:dyDescent="0.25">
      <c r="A143" s="276">
        <v>2330</v>
      </c>
      <c r="B143" s="127" t="s">
        <v>159</v>
      </c>
      <c r="C143" s="128">
        <f t="shared" si="9"/>
        <v>0</v>
      </c>
      <c r="D143" s="134"/>
      <c r="E143" s="283"/>
      <c r="F143" s="279">
        <f t="shared" si="10"/>
        <v>0</v>
      </c>
      <c r="G143" s="134"/>
      <c r="H143" s="135"/>
      <c r="I143" s="136">
        <f t="shared" si="11"/>
        <v>0</v>
      </c>
      <c r="J143" s="134"/>
      <c r="K143" s="135"/>
      <c r="L143" s="136">
        <f t="shared" si="12"/>
        <v>0</v>
      </c>
      <c r="M143" s="284"/>
      <c r="N143" s="285"/>
      <c r="O143" s="136">
        <f t="shared" si="13"/>
        <v>0</v>
      </c>
      <c r="P143" s="85"/>
      <c r="R143" s="53"/>
      <c r="S143" s="53"/>
      <c r="T143" s="53"/>
    </row>
    <row r="144" spans="1:20" ht="38.25" customHeight="1" x14ac:dyDescent="0.25">
      <c r="A144" s="276">
        <v>2340</v>
      </c>
      <c r="B144" s="127" t="s">
        <v>160</v>
      </c>
      <c r="C144" s="128">
        <f t="shared" si="9"/>
        <v>315</v>
      </c>
      <c r="D144" s="277">
        <f>SUM(D145:D146)</f>
        <v>315</v>
      </c>
      <c r="E144" s="278">
        <f>SUM(E145:E146)</f>
        <v>0</v>
      </c>
      <c r="F144" s="279">
        <f t="shared" si="10"/>
        <v>315</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c r="R144" s="53"/>
      <c r="S144" s="53"/>
      <c r="T144" s="53"/>
    </row>
    <row r="145" spans="1:20" x14ac:dyDescent="0.25">
      <c r="A145" s="76">
        <v>2341</v>
      </c>
      <c r="B145" s="127" t="s">
        <v>161</v>
      </c>
      <c r="C145" s="128">
        <f t="shared" si="9"/>
        <v>315</v>
      </c>
      <c r="D145" s="134">
        <v>315</v>
      </c>
      <c r="E145" s="283"/>
      <c r="F145" s="279">
        <f t="shared" si="10"/>
        <v>315</v>
      </c>
      <c r="G145" s="134"/>
      <c r="H145" s="135"/>
      <c r="I145" s="136">
        <f t="shared" si="11"/>
        <v>0</v>
      </c>
      <c r="J145" s="134"/>
      <c r="K145" s="135"/>
      <c r="L145" s="136">
        <f t="shared" si="12"/>
        <v>0</v>
      </c>
      <c r="M145" s="284"/>
      <c r="N145" s="285"/>
      <c r="O145" s="136">
        <f t="shared" si="13"/>
        <v>0</v>
      </c>
      <c r="P145" s="85"/>
      <c r="R145" s="53"/>
      <c r="S145" s="53"/>
      <c r="T145" s="53"/>
    </row>
    <row r="146" spans="1:20" ht="24" hidden="1" x14ac:dyDescent="0.25">
      <c r="A146" s="76">
        <v>2344</v>
      </c>
      <c r="B146" s="127" t="s">
        <v>162</v>
      </c>
      <c r="C146" s="128">
        <f t="shared" si="9"/>
        <v>0</v>
      </c>
      <c r="D146" s="134"/>
      <c r="E146" s="283"/>
      <c r="F146" s="279">
        <f t="shared" si="10"/>
        <v>0</v>
      </c>
      <c r="G146" s="134"/>
      <c r="H146" s="135"/>
      <c r="I146" s="136">
        <f t="shared" si="11"/>
        <v>0</v>
      </c>
      <c r="J146" s="134"/>
      <c r="K146" s="135"/>
      <c r="L146" s="136">
        <f t="shared" si="12"/>
        <v>0</v>
      </c>
      <c r="M146" s="284"/>
      <c r="N146" s="285"/>
      <c r="O146" s="136">
        <f t="shared" si="13"/>
        <v>0</v>
      </c>
      <c r="P146" s="85"/>
      <c r="R146" s="53"/>
      <c r="S146" s="53"/>
      <c r="T146" s="53"/>
    </row>
    <row r="147" spans="1:20" ht="24" x14ac:dyDescent="0.25">
      <c r="A147" s="254">
        <v>2350</v>
      </c>
      <c r="B147" s="179" t="s">
        <v>163</v>
      </c>
      <c r="C147" s="128">
        <f t="shared" si="9"/>
        <v>3329</v>
      </c>
      <c r="D147" s="255">
        <f>SUM(D148:D153)</f>
        <v>3010</v>
      </c>
      <c r="E147" s="256">
        <f>SUM(E148:E153)</f>
        <v>0</v>
      </c>
      <c r="F147" s="257">
        <f t="shared" si="10"/>
        <v>3010</v>
      </c>
      <c r="G147" s="255">
        <f>SUM(G148:G153)</f>
        <v>0</v>
      </c>
      <c r="H147" s="258">
        <f>SUM(H148:H153)</f>
        <v>0</v>
      </c>
      <c r="I147" s="259">
        <f t="shared" si="11"/>
        <v>0</v>
      </c>
      <c r="J147" s="255">
        <f>SUM(J148:J153)</f>
        <v>319</v>
      </c>
      <c r="K147" s="258">
        <f>SUM(K148:K153)</f>
        <v>0</v>
      </c>
      <c r="L147" s="259">
        <f t="shared" si="12"/>
        <v>319</v>
      </c>
      <c r="M147" s="260">
        <f>SUM(M148:M153)</f>
        <v>0</v>
      </c>
      <c r="N147" s="261">
        <f>SUM(N148:N153)</f>
        <v>0</v>
      </c>
      <c r="O147" s="259">
        <f t="shared" si="13"/>
        <v>0</v>
      </c>
      <c r="P147" s="189"/>
      <c r="R147" s="53"/>
      <c r="S147" s="53"/>
      <c r="T147" s="53"/>
    </row>
    <row r="148" spans="1:20" x14ac:dyDescent="0.25">
      <c r="A148" s="66">
        <v>2351</v>
      </c>
      <c r="B148" s="116" t="s">
        <v>164</v>
      </c>
      <c r="C148" s="128">
        <f t="shared" si="9"/>
        <v>904</v>
      </c>
      <c r="D148" s="123">
        <v>650</v>
      </c>
      <c r="E148" s="295"/>
      <c r="F148" s="296">
        <f t="shared" si="10"/>
        <v>650</v>
      </c>
      <c r="G148" s="123"/>
      <c r="H148" s="124"/>
      <c r="I148" s="125">
        <f t="shared" si="11"/>
        <v>0</v>
      </c>
      <c r="J148" s="123">
        <v>254</v>
      </c>
      <c r="K148" s="124"/>
      <c r="L148" s="125">
        <f t="shared" si="12"/>
        <v>254</v>
      </c>
      <c r="M148" s="264"/>
      <c r="N148" s="262"/>
      <c r="O148" s="125">
        <f t="shared" si="13"/>
        <v>0</v>
      </c>
      <c r="P148" s="74"/>
      <c r="R148" s="53"/>
      <c r="S148" s="53"/>
      <c r="T148" s="53"/>
    </row>
    <row r="149" spans="1:20" x14ac:dyDescent="0.25">
      <c r="A149" s="76">
        <v>2352</v>
      </c>
      <c r="B149" s="127" t="s">
        <v>165</v>
      </c>
      <c r="C149" s="128">
        <f t="shared" si="9"/>
        <v>1720</v>
      </c>
      <c r="D149" s="134">
        <v>1720</v>
      </c>
      <c r="E149" s="283"/>
      <c r="F149" s="279">
        <f t="shared" si="10"/>
        <v>1720</v>
      </c>
      <c r="G149" s="134"/>
      <c r="H149" s="135"/>
      <c r="I149" s="136">
        <f t="shared" si="11"/>
        <v>0</v>
      </c>
      <c r="J149" s="134"/>
      <c r="K149" s="135"/>
      <c r="L149" s="136">
        <f t="shared" si="12"/>
        <v>0</v>
      </c>
      <c r="M149" s="284"/>
      <c r="N149" s="285"/>
      <c r="O149" s="136">
        <f t="shared" si="13"/>
        <v>0</v>
      </c>
      <c r="P149" s="85"/>
      <c r="R149" s="53"/>
      <c r="S149" s="53"/>
      <c r="T149" s="53"/>
    </row>
    <row r="150" spans="1:20" ht="24" hidden="1" x14ac:dyDescent="0.25">
      <c r="A150" s="76">
        <v>2353</v>
      </c>
      <c r="B150" s="127" t="s">
        <v>166</v>
      </c>
      <c r="C150" s="128">
        <f t="shared" si="9"/>
        <v>0</v>
      </c>
      <c r="D150" s="134"/>
      <c r="E150" s="283"/>
      <c r="F150" s="279">
        <f t="shared" si="10"/>
        <v>0</v>
      </c>
      <c r="G150" s="134"/>
      <c r="H150" s="135"/>
      <c r="I150" s="136">
        <f t="shared" si="11"/>
        <v>0</v>
      </c>
      <c r="J150" s="134"/>
      <c r="K150" s="135"/>
      <c r="L150" s="136">
        <f t="shared" si="12"/>
        <v>0</v>
      </c>
      <c r="M150" s="284"/>
      <c r="N150" s="285"/>
      <c r="O150" s="136">
        <f t="shared" si="13"/>
        <v>0</v>
      </c>
      <c r="P150" s="85"/>
      <c r="R150" s="53"/>
      <c r="S150" s="53"/>
      <c r="T150" s="53"/>
    </row>
    <row r="151" spans="1:20" ht="24" x14ac:dyDescent="0.25">
      <c r="A151" s="76">
        <v>2354</v>
      </c>
      <c r="B151" s="127" t="s">
        <v>167</v>
      </c>
      <c r="C151" s="128">
        <f t="shared" si="9"/>
        <v>65</v>
      </c>
      <c r="D151" s="134"/>
      <c r="E151" s="283"/>
      <c r="F151" s="279">
        <f t="shared" si="10"/>
        <v>0</v>
      </c>
      <c r="G151" s="134"/>
      <c r="H151" s="135"/>
      <c r="I151" s="136">
        <f t="shared" si="11"/>
        <v>0</v>
      </c>
      <c r="J151" s="134">
        <v>65</v>
      </c>
      <c r="K151" s="135"/>
      <c r="L151" s="136">
        <f t="shared" si="12"/>
        <v>65</v>
      </c>
      <c r="M151" s="284"/>
      <c r="N151" s="285"/>
      <c r="O151" s="136">
        <f t="shared" si="13"/>
        <v>0</v>
      </c>
      <c r="P151" s="85"/>
      <c r="R151" s="53"/>
      <c r="S151" s="53"/>
      <c r="T151" s="53"/>
    </row>
    <row r="152" spans="1:20" ht="24" x14ac:dyDescent="0.25">
      <c r="A152" s="76">
        <v>2355</v>
      </c>
      <c r="B152" s="127" t="s">
        <v>168</v>
      </c>
      <c r="C152" s="128">
        <f t="shared" si="9"/>
        <v>640</v>
      </c>
      <c r="D152" s="134">
        <v>640</v>
      </c>
      <c r="E152" s="283"/>
      <c r="F152" s="279">
        <f t="shared" si="10"/>
        <v>640</v>
      </c>
      <c r="G152" s="134"/>
      <c r="H152" s="135"/>
      <c r="I152" s="136">
        <f t="shared" si="11"/>
        <v>0</v>
      </c>
      <c r="J152" s="134"/>
      <c r="K152" s="135"/>
      <c r="L152" s="136">
        <f t="shared" si="12"/>
        <v>0</v>
      </c>
      <c r="M152" s="284"/>
      <c r="N152" s="285"/>
      <c r="O152" s="136">
        <f t="shared" si="13"/>
        <v>0</v>
      </c>
      <c r="P152" s="85"/>
      <c r="R152" s="53"/>
      <c r="S152" s="53"/>
      <c r="T152" s="53"/>
    </row>
    <row r="153" spans="1:20" ht="24" hidden="1" x14ac:dyDescent="0.25">
      <c r="A153" s="76">
        <v>2359</v>
      </c>
      <c r="B153" s="127" t="s">
        <v>169</v>
      </c>
      <c r="C153" s="128">
        <f t="shared" si="9"/>
        <v>0</v>
      </c>
      <c r="D153" s="134"/>
      <c r="E153" s="283"/>
      <c r="F153" s="279">
        <f t="shared" si="10"/>
        <v>0</v>
      </c>
      <c r="G153" s="134"/>
      <c r="H153" s="135"/>
      <c r="I153" s="136">
        <f t="shared" si="11"/>
        <v>0</v>
      </c>
      <c r="J153" s="134"/>
      <c r="K153" s="135"/>
      <c r="L153" s="136">
        <f t="shared" si="12"/>
        <v>0</v>
      </c>
      <c r="M153" s="284"/>
      <c r="N153" s="285"/>
      <c r="O153" s="136">
        <f t="shared" si="13"/>
        <v>0</v>
      </c>
      <c r="P153" s="85"/>
      <c r="R153" s="53"/>
      <c r="S153" s="53"/>
      <c r="T153" s="53"/>
    </row>
    <row r="154" spans="1:20" ht="24" x14ac:dyDescent="0.25">
      <c r="A154" s="276">
        <v>2360</v>
      </c>
      <c r="B154" s="127" t="s">
        <v>170</v>
      </c>
      <c r="C154" s="128">
        <f t="shared" si="9"/>
        <v>525</v>
      </c>
      <c r="D154" s="277">
        <f>SUM(D155:D161)</f>
        <v>525</v>
      </c>
      <c r="E154" s="278">
        <f>SUM(E155:E161)</f>
        <v>0</v>
      </c>
      <c r="F154" s="279">
        <f t="shared" si="10"/>
        <v>525</v>
      </c>
      <c r="G154" s="277">
        <f>SUM(G155:G161)</f>
        <v>0</v>
      </c>
      <c r="H154" s="280">
        <f>SUM(H155:H161)</f>
        <v>0</v>
      </c>
      <c r="I154" s="136">
        <f t="shared" si="11"/>
        <v>0</v>
      </c>
      <c r="J154" s="277">
        <f>SUM(J155:J161)</f>
        <v>0</v>
      </c>
      <c r="K154" s="280">
        <f>SUM(K155:K161)</f>
        <v>0</v>
      </c>
      <c r="L154" s="136">
        <f t="shared" si="12"/>
        <v>0</v>
      </c>
      <c r="M154" s="281">
        <f>SUM(M155:M161)</f>
        <v>0</v>
      </c>
      <c r="N154" s="282">
        <f>SUM(N155:N161)</f>
        <v>0</v>
      </c>
      <c r="O154" s="136">
        <f t="shared" si="13"/>
        <v>0</v>
      </c>
      <c r="P154" s="85"/>
      <c r="R154" s="53"/>
      <c r="S154" s="53"/>
      <c r="T154" s="53"/>
    </row>
    <row r="155" spans="1:20" hidden="1" x14ac:dyDescent="0.25">
      <c r="A155" s="75">
        <v>2361</v>
      </c>
      <c r="B155" s="127" t="s">
        <v>171</v>
      </c>
      <c r="C155" s="128">
        <f t="shared" si="9"/>
        <v>0</v>
      </c>
      <c r="D155" s="134"/>
      <c r="E155" s="283"/>
      <c r="F155" s="279">
        <f t="shared" si="10"/>
        <v>0</v>
      </c>
      <c r="G155" s="134"/>
      <c r="H155" s="135"/>
      <c r="I155" s="136">
        <f t="shared" si="11"/>
        <v>0</v>
      </c>
      <c r="J155" s="134"/>
      <c r="K155" s="135"/>
      <c r="L155" s="136">
        <f t="shared" si="12"/>
        <v>0</v>
      </c>
      <c r="M155" s="284"/>
      <c r="N155" s="285"/>
      <c r="O155" s="136">
        <f t="shared" si="13"/>
        <v>0</v>
      </c>
      <c r="P155" s="85"/>
      <c r="R155" s="53"/>
      <c r="S155" s="53"/>
      <c r="T155" s="53"/>
    </row>
    <row r="156" spans="1:20" ht="24" hidden="1" x14ac:dyDescent="0.25">
      <c r="A156" s="75">
        <v>2362</v>
      </c>
      <c r="B156" s="127" t="s">
        <v>172</v>
      </c>
      <c r="C156" s="128">
        <f t="shared" si="9"/>
        <v>0</v>
      </c>
      <c r="D156" s="134"/>
      <c r="E156" s="283"/>
      <c r="F156" s="279">
        <f t="shared" si="10"/>
        <v>0</v>
      </c>
      <c r="G156" s="134"/>
      <c r="H156" s="135"/>
      <c r="I156" s="136">
        <f t="shared" si="11"/>
        <v>0</v>
      </c>
      <c r="J156" s="134"/>
      <c r="K156" s="135"/>
      <c r="L156" s="136">
        <f t="shared" si="12"/>
        <v>0</v>
      </c>
      <c r="M156" s="284"/>
      <c r="N156" s="285"/>
      <c r="O156" s="136">
        <f t="shared" si="13"/>
        <v>0</v>
      </c>
      <c r="P156" s="85"/>
      <c r="R156" s="53"/>
      <c r="S156" s="53"/>
      <c r="T156" s="53"/>
    </row>
    <row r="157" spans="1:20" x14ac:dyDescent="0.25">
      <c r="A157" s="75">
        <v>2363</v>
      </c>
      <c r="B157" s="127" t="s">
        <v>173</v>
      </c>
      <c r="C157" s="128">
        <f t="shared" si="9"/>
        <v>525</v>
      </c>
      <c r="D157" s="134">
        <v>525</v>
      </c>
      <c r="E157" s="283"/>
      <c r="F157" s="279">
        <f t="shared" si="10"/>
        <v>525</v>
      </c>
      <c r="G157" s="134"/>
      <c r="H157" s="135"/>
      <c r="I157" s="136">
        <f t="shared" si="11"/>
        <v>0</v>
      </c>
      <c r="J157" s="134"/>
      <c r="K157" s="135"/>
      <c r="L157" s="136">
        <f t="shared" si="12"/>
        <v>0</v>
      </c>
      <c r="M157" s="284"/>
      <c r="N157" s="285"/>
      <c r="O157" s="136">
        <f t="shared" si="13"/>
        <v>0</v>
      </c>
      <c r="P157" s="85"/>
      <c r="R157" s="53"/>
      <c r="S157" s="53"/>
      <c r="T157" s="53"/>
    </row>
    <row r="158" spans="1:20" hidden="1" x14ac:dyDescent="0.25">
      <c r="A158" s="75">
        <v>2364</v>
      </c>
      <c r="B158" s="127" t="s">
        <v>174</v>
      </c>
      <c r="C158" s="128">
        <f t="shared" si="9"/>
        <v>0</v>
      </c>
      <c r="D158" s="134"/>
      <c r="E158" s="283"/>
      <c r="F158" s="279">
        <f t="shared" si="10"/>
        <v>0</v>
      </c>
      <c r="G158" s="134"/>
      <c r="H158" s="135"/>
      <c r="I158" s="136">
        <f t="shared" si="11"/>
        <v>0</v>
      </c>
      <c r="J158" s="134"/>
      <c r="K158" s="135"/>
      <c r="L158" s="136">
        <f t="shared" si="12"/>
        <v>0</v>
      </c>
      <c r="M158" s="284"/>
      <c r="N158" s="285"/>
      <c r="O158" s="136">
        <f t="shared" si="13"/>
        <v>0</v>
      </c>
      <c r="P158" s="85"/>
      <c r="R158" s="53"/>
      <c r="S158" s="53"/>
      <c r="T158" s="53"/>
    </row>
    <row r="159" spans="1:20" hidden="1" x14ac:dyDescent="0.25">
      <c r="A159" s="75">
        <v>2365</v>
      </c>
      <c r="B159" s="127" t="s">
        <v>175</v>
      </c>
      <c r="C159" s="128">
        <f t="shared" si="9"/>
        <v>0</v>
      </c>
      <c r="D159" s="134"/>
      <c r="E159" s="283"/>
      <c r="F159" s="279">
        <f t="shared" si="10"/>
        <v>0</v>
      </c>
      <c r="G159" s="134"/>
      <c r="H159" s="135"/>
      <c r="I159" s="136">
        <f t="shared" si="11"/>
        <v>0</v>
      </c>
      <c r="J159" s="134"/>
      <c r="K159" s="135"/>
      <c r="L159" s="136">
        <f t="shared" si="12"/>
        <v>0</v>
      </c>
      <c r="M159" s="284"/>
      <c r="N159" s="285"/>
      <c r="O159" s="136">
        <f t="shared" si="13"/>
        <v>0</v>
      </c>
      <c r="P159" s="85"/>
      <c r="R159" s="53"/>
      <c r="S159" s="53"/>
      <c r="T159" s="53"/>
    </row>
    <row r="160" spans="1:20" ht="36" hidden="1" x14ac:dyDescent="0.25">
      <c r="A160" s="75">
        <v>2366</v>
      </c>
      <c r="B160" s="127" t="s">
        <v>176</v>
      </c>
      <c r="C160" s="128">
        <f t="shared" si="9"/>
        <v>0</v>
      </c>
      <c r="D160" s="134"/>
      <c r="E160" s="283"/>
      <c r="F160" s="279">
        <f t="shared" si="10"/>
        <v>0</v>
      </c>
      <c r="G160" s="134"/>
      <c r="H160" s="135"/>
      <c r="I160" s="136">
        <f t="shared" si="11"/>
        <v>0</v>
      </c>
      <c r="J160" s="134"/>
      <c r="K160" s="135"/>
      <c r="L160" s="136">
        <f t="shared" si="12"/>
        <v>0</v>
      </c>
      <c r="M160" s="284"/>
      <c r="N160" s="285"/>
      <c r="O160" s="136">
        <f t="shared" si="13"/>
        <v>0</v>
      </c>
      <c r="P160" s="85"/>
      <c r="R160" s="53"/>
      <c r="S160" s="53"/>
      <c r="T160" s="53"/>
    </row>
    <row r="161" spans="1:20" ht="48" hidden="1" x14ac:dyDescent="0.25">
      <c r="A161" s="75">
        <v>2369</v>
      </c>
      <c r="B161" s="127" t="s">
        <v>177</v>
      </c>
      <c r="C161" s="128">
        <f t="shared" si="9"/>
        <v>0</v>
      </c>
      <c r="D161" s="134"/>
      <c r="E161" s="283"/>
      <c r="F161" s="279">
        <f t="shared" si="10"/>
        <v>0</v>
      </c>
      <c r="G161" s="134"/>
      <c r="H161" s="135"/>
      <c r="I161" s="136">
        <f t="shared" si="11"/>
        <v>0</v>
      </c>
      <c r="J161" s="134"/>
      <c r="K161" s="135"/>
      <c r="L161" s="136">
        <f t="shared" si="12"/>
        <v>0</v>
      </c>
      <c r="M161" s="284"/>
      <c r="N161" s="285"/>
      <c r="O161" s="136">
        <f t="shared" si="13"/>
        <v>0</v>
      </c>
      <c r="P161" s="85"/>
      <c r="R161" s="53"/>
      <c r="S161" s="53"/>
      <c r="T161" s="53"/>
    </row>
    <row r="162" spans="1:20" x14ac:dyDescent="0.25">
      <c r="A162" s="254">
        <v>2370</v>
      </c>
      <c r="B162" s="179" t="s">
        <v>178</v>
      </c>
      <c r="C162" s="128">
        <f t="shared" si="9"/>
        <v>5319</v>
      </c>
      <c r="D162" s="287">
        <v>3623</v>
      </c>
      <c r="E162" s="288"/>
      <c r="F162" s="257">
        <f t="shared" si="10"/>
        <v>3623</v>
      </c>
      <c r="G162" s="287">
        <v>1696</v>
      </c>
      <c r="H162" s="289"/>
      <c r="I162" s="259">
        <f t="shared" si="11"/>
        <v>1696</v>
      </c>
      <c r="J162" s="287"/>
      <c r="K162" s="289"/>
      <c r="L162" s="259">
        <f t="shared" si="12"/>
        <v>0</v>
      </c>
      <c r="M162" s="290"/>
      <c r="N162" s="291"/>
      <c r="O162" s="259">
        <f t="shared" si="13"/>
        <v>0</v>
      </c>
      <c r="P162" s="189"/>
      <c r="R162" s="53"/>
      <c r="S162" s="53"/>
      <c r="T162" s="53"/>
    </row>
    <row r="163" spans="1:20" hidden="1" x14ac:dyDescent="0.25">
      <c r="A163" s="254">
        <v>2380</v>
      </c>
      <c r="B163" s="179" t="s">
        <v>179</v>
      </c>
      <c r="C163" s="128">
        <f t="shared" si="9"/>
        <v>0</v>
      </c>
      <c r="D163" s="255">
        <f>SUM(D164:D165)</f>
        <v>0</v>
      </c>
      <c r="E163" s="256">
        <f>SUM(E164:E165)</f>
        <v>0</v>
      </c>
      <c r="F163" s="257">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c r="S163" s="53"/>
      <c r="T163" s="53"/>
    </row>
    <row r="164" spans="1:20" hidden="1" x14ac:dyDescent="0.25">
      <c r="A164" s="65">
        <v>2381</v>
      </c>
      <c r="B164" s="116" t="s">
        <v>180</v>
      </c>
      <c r="C164" s="128">
        <f t="shared" si="9"/>
        <v>0</v>
      </c>
      <c r="D164" s="123"/>
      <c r="E164" s="295"/>
      <c r="F164" s="296">
        <f t="shared" si="10"/>
        <v>0</v>
      </c>
      <c r="G164" s="123"/>
      <c r="H164" s="124"/>
      <c r="I164" s="125">
        <f t="shared" si="11"/>
        <v>0</v>
      </c>
      <c r="J164" s="123"/>
      <c r="K164" s="124"/>
      <c r="L164" s="125">
        <f t="shared" si="12"/>
        <v>0</v>
      </c>
      <c r="M164" s="264"/>
      <c r="N164" s="262"/>
      <c r="O164" s="125">
        <f t="shared" si="13"/>
        <v>0</v>
      </c>
      <c r="P164" s="74"/>
      <c r="R164" s="53"/>
      <c r="S164" s="53"/>
      <c r="T164" s="53"/>
    </row>
    <row r="165" spans="1:20" ht="24" hidden="1" x14ac:dyDescent="0.25">
      <c r="A165" s="75">
        <v>2389</v>
      </c>
      <c r="B165" s="127" t="s">
        <v>181</v>
      </c>
      <c r="C165" s="128">
        <f t="shared" si="9"/>
        <v>0</v>
      </c>
      <c r="D165" s="134"/>
      <c r="E165" s="283"/>
      <c r="F165" s="279">
        <f t="shared" si="10"/>
        <v>0</v>
      </c>
      <c r="G165" s="134"/>
      <c r="H165" s="135"/>
      <c r="I165" s="136">
        <f t="shared" si="11"/>
        <v>0</v>
      </c>
      <c r="J165" s="134"/>
      <c r="K165" s="135"/>
      <c r="L165" s="136">
        <f t="shared" si="12"/>
        <v>0</v>
      </c>
      <c r="M165" s="284"/>
      <c r="N165" s="285"/>
      <c r="O165" s="136">
        <f t="shared" si="13"/>
        <v>0</v>
      </c>
      <c r="P165" s="85"/>
      <c r="R165" s="53"/>
      <c r="S165" s="53"/>
      <c r="T165" s="53"/>
    </row>
    <row r="166" spans="1:20" hidden="1" x14ac:dyDescent="0.25">
      <c r="A166" s="254">
        <v>2390</v>
      </c>
      <c r="B166" s="179" t="s">
        <v>182</v>
      </c>
      <c r="C166" s="128">
        <f t="shared" si="9"/>
        <v>0</v>
      </c>
      <c r="D166" s="287"/>
      <c r="E166" s="288"/>
      <c r="F166" s="257">
        <f t="shared" si="10"/>
        <v>0</v>
      </c>
      <c r="G166" s="287"/>
      <c r="H166" s="289"/>
      <c r="I166" s="259">
        <f t="shared" si="11"/>
        <v>0</v>
      </c>
      <c r="J166" s="287"/>
      <c r="K166" s="289"/>
      <c r="L166" s="259">
        <f t="shared" si="12"/>
        <v>0</v>
      </c>
      <c r="M166" s="290"/>
      <c r="N166" s="291"/>
      <c r="O166" s="259">
        <f t="shared" si="13"/>
        <v>0</v>
      </c>
      <c r="P166" s="189"/>
      <c r="R166" s="53"/>
      <c r="S166" s="53"/>
      <c r="T166" s="53"/>
    </row>
    <row r="167" spans="1:20" x14ac:dyDescent="0.25">
      <c r="A167" s="99">
        <v>2400</v>
      </c>
      <c r="B167" s="247" t="s">
        <v>183</v>
      </c>
      <c r="C167" s="100">
        <f t="shared" si="9"/>
        <v>174</v>
      </c>
      <c r="D167" s="311">
        <v>174</v>
      </c>
      <c r="E167" s="712"/>
      <c r="F167" s="249">
        <f t="shared" si="10"/>
        <v>174</v>
      </c>
      <c r="G167" s="311"/>
      <c r="H167" s="314"/>
      <c r="I167" s="114">
        <f t="shared" si="11"/>
        <v>0</v>
      </c>
      <c r="J167" s="311"/>
      <c r="K167" s="314"/>
      <c r="L167" s="114">
        <f t="shared" si="12"/>
        <v>0</v>
      </c>
      <c r="M167" s="315"/>
      <c r="N167" s="312"/>
      <c r="O167" s="114">
        <f t="shared" si="13"/>
        <v>0</v>
      </c>
      <c r="P167" s="109"/>
      <c r="R167" s="53"/>
      <c r="S167" s="53"/>
      <c r="T167" s="53"/>
    </row>
    <row r="168" spans="1:20" ht="24" x14ac:dyDescent="0.25">
      <c r="A168" s="99">
        <v>2500</v>
      </c>
      <c r="B168" s="247" t="s">
        <v>184</v>
      </c>
      <c r="C168" s="100">
        <f t="shared" si="9"/>
        <v>111</v>
      </c>
      <c r="D168" s="112">
        <f>SUM(D169,D174)</f>
        <v>111</v>
      </c>
      <c r="E168" s="248">
        <f>SUM(E169,E174)</f>
        <v>0</v>
      </c>
      <c r="F168" s="249">
        <f t="shared" si="10"/>
        <v>111</v>
      </c>
      <c r="G168" s="112">
        <f>SUM(G169,G174)</f>
        <v>0</v>
      </c>
      <c r="H168" s="113">
        <f>SUM(H169,H174)</f>
        <v>0</v>
      </c>
      <c r="I168" s="114">
        <f t="shared" si="11"/>
        <v>0</v>
      </c>
      <c r="J168" s="112">
        <f>SUM(J169,J174)</f>
        <v>0</v>
      </c>
      <c r="K168" s="113">
        <f t="shared" ref="K168" si="16">SUM(K169,K174)</f>
        <v>0</v>
      </c>
      <c r="L168" s="114">
        <f t="shared" si="12"/>
        <v>0</v>
      </c>
      <c r="M168" s="250">
        <f>SUM(M169,M174)</f>
        <v>0</v>
      </c>
      <c r="N168" s="251">
        <f>SUM(N169,N174)</f>
        <v>0</v>
      </c>
      <c r="O168" s="252">
        <f t="shared" si="13"/>
        <v>0</v>
      </c>
      <c r="P168" s="253"/>
      <c r="R168" s="53"/>
      <c r="S168" s="53"/>
      <c r="T168" s="53"/>
    </row>
    <row r="169" spans="1:20" x14ac:dyDescent="0.25">
      <c r="A169" s="656">
        <v>2510</v>
      </c>
      <c r="B169" s="116" t="s">
        <v>185</v>
      </c>
      <c r="C169" s="117">
        <f t="shared" si="9"/>
        <v>111</v>
      </c>
      <c r="D169" s="297">
        <f>SUM(D170:D173)</f>
        <v>111</v>
      </c>
      <c r="E169" s="298">
        <f>SUM(E170:E173)</f>
        <v>0</v>
      </c>
      <c r="F169" s="296">
        <f t="shared" si="10"/>
        <v>111</v>
      </c>
      <c r="G169" s="297">
        <f>SUM(G170:G173)</f>
        <v>0</v>
      </c>
      <c r="H169" s="299">
        <f>SUM(H170:H173)</f>
        <v>0</v>
      </c>
      <c r="I169" s="125">
        <f t="shared" si="11"/>
        <v>0</v>
      </c>
      <c r="J169" s="297">
        <f>SUM(J170:J173)</f>
        <v>0</v>
      </c>
      <c r="K169" s="299">
        <f t="shared" ref="K169" si="17">SUM(K170:K173)</f>
        <v>0</v>
      </c>
      <c r="L169" s="125">
        <f t="shared" si="12"/>
        <v>0</v>
      </c>
      <c r="M169" s="317">
        <f>SUM(M170:M173)</f>
        <v>0</v>
      </c>
      <c r="N169" s="318">
        <f>SUM(N170:N173)</f>
        <v>0</v>
      </c>
      <c r="O169" s="151">
        <f t="shared" si="13"/>
        <v>0</v>
      </c>
      <c r="P169" s="153"/>
      <c r="R169" s="53"/>
      <c r="S169" s="53"/>
      <c r="T169" s="53"/>
    </row>
    <row r="170" spans="1:20" ht="24" hidden="1" x14ac:dyDescent="0.25">
      <c r="A170" s="76">
        <v>2512</v>
      </c>
      <c r="B170" s="127" t="s">
        <v>186</v>
      </c>
      <c r="C170" s="128">
        <f t="shared" si="9"/>
        <v>0</v>
      </c>
      <c r="D170" s="134"/>
      <c r="E170" s="283"/>
      <c r="F170" s="279">
        <f t="shared" si="10"/>
        <v>0</v>
      </c>
      <c r="G170" s="134"/>
      <c r="H170" s="135"/>
      <c r="I170" s="136">
        <f t="shared" si="11"/>
        <v>0</v>
      </c>
      <c r="J170" s="134"/>
      <c r="K170" s="135"/>
      <c r="L170" s="136">
        <f t="shared" si="12"/>
        <v>0</v>
      </c>
      <c r="M170" s="284"/>
      <c r="N170" s="285"/>
      <c r="O170" s="136">
        <f t="shared" si="13"/>
        <v>0</v>
      </c>
      <c r="P170" s="85"/>
      <c r="R170" s="53"/>
      <c r="S170" s="53"/>
      <c r="T170" s="53"/>
    </row>
    <row r="171" spans="1:20" ht="36" hidden="1" x14ac:dyDescent="0.25">
      <c r="A171" s="76">
        <v>2513</v>
      </c>
      <c r="B171" s="127" t="s">
        <v>187</v>
      </c>
      <c r="C171" s="128">
        <f t="shared" si="9"/>
        <v>0</v>
      </c>
      <c r="D171" s="134"/>
      <c r="E171" s="283"/>
      <c r="F171" s="279">
        <f t="shared" si="10"/>
        <v>0</v>
      </c>
      <c r="G171" s="134"/>
      <c r="H171" s="135"/>
      <c r="I171" s="136">
        <f t="shared" si="11"/>
        <v>0</v>
      </c>
      <c r="J171" s="134"/>
      <c r="K171" s="135"/>
      <c r="L171" s="136">
        <f t="shared" si="12"/>
        <v>0</v>
      </c>
      <c r="M171" s="284"/>
      <c r="N171" s="285"/>
      <c r="O171" s="136">
        <f t="shared" si="13"/>
        <v>0</v>
      </c>
      <c r="P171" s="85"/>
      <c r="R171" s="53"/>
      <c r="S171" s="53"/>
      <c r="T171" s="53"/>
    </row>
    <row r="172" spans="1:20" ht="24" hidden="1" x14ac:dyDescent="0.25">
      <c r="A172" s="76">
        <v>2515</v>
      </c>
      <c r="B172" s="127" t="s">
        <v>188</v>
      </c>
      <c r="C172" s="128">
        <f t="shared" si="9"/>
        <v>0</v>
      </c>
      <c r="D172" s="134"/>
      <c r="E172" s="283"/>
      <c r="F172" s="279">
        <f t="shared" si="10"/>
        <v>0</v>
      </c>
      <c r="G172" s="134"/>
      <c r="H172" s="135"/>
      <c r="I172" s="136">
        <f t="shared" si="11"/>
        <v>0</v>
      </c>
      <c r="J172" s="134"/>
      <c r="K172" s="135"/>
      <c r="L172" s="136">
        <f t="shared" si="12"/>
        <v>0</v>
      </c>
      <c r="M172" s="284"/>
      <c r="N172" s="285"/>
      <c r="O172" s="136">
        <f t="shared" si="13"/>
        <v>0</v>
      </c>
      <c r="P172" s="85"/>
      <c r="R172" s="53"/>
      <c r="S172" s="53"/>
      <c r="T172" s="53"/>
    </row>
    <row r="173" spans="1:20" ht="24" x14ac:dyDescent="0.25">
      <c r="A173" s="76">
        <v>2519</v>
      </c>
      <c r="B173" s="127" t="s">
        <v>189</v>
      </c>
      <c r="C173" s="128">
        <f t="shared" si="9"/>
        <v>111</v>
      </c>
      <c r="D173" s="134">
        <v>111</v>
      </c>
      <c r="E173" s="283"/>
      <c r="F173" s="279">
        <f t="shared" si="10"/>
        <v>111</v>
      </c>
      <c r="G173" s="134"/>
      <c r="H173" s="135"/>
      <c r="I173" s="136">
        <f t="shared" si="11"/>
        <v>0</v>
      </c>
      <c r="J173" s="134"/>
      <c r="K173" s="135"/>
      <c r="L173" s="136">
        <f t="shared" si="12"/>
        <v>0</v>
      </c>
      <c r="M173" s="284"/>
      <c r="N173" s="285"/>
      <c r="O173" s="136">
        <f t="shared" si="13"/>
        <v>0</v>
      </c>
      <c r="P173" s="85"/>
      <c r="R173" s="53"/>
      <c r="S173" s="53"/>
      <c r="T173" s="53"/>
    </row>
    <row r="174" spans="1:20" ht="24" hidden="1" x14ac:dyDescent="0.25">
      <c r="A174" s="276">
        <v>2520</v>
      </c>
      <c r="B174" s="127" t="s">
        <v>190</v>
      </c>
      <c r="C174" s="128">
        <f t="shared" si="9"/>
        <v>0</v>
      </c>
      <c r="D174" s="134"/>
      <c r="E174" s="283"/>
      <c r="F174" s="279">
        <f t="shared" si="10"/>
        <v>0</v>
      </c>
      <c r="G174" s="134"/>
      <c r="H174" s="135"/>
      <c r="I174" s="136">
        <f t="shared" si="11"/>
        <v>0</v>
      </c>
      <c r="J174" s="134"/>
      <c r="K174" s="135"/>
      <c r="L174" s="136">
        <f t="shared" si="12"/>
        <v>0</v>
      </c>
      <c r="M174" s="284"/>
      <c r="N174" s="285"/>
      <c r="O174" s="136">
        <f t="shared" si="13"/>
        <v>0</v>
      </c>
      <c r="P174" s="85"/>
      <c r="R174" s="53"/>
      <c r="S174" s="53"/>
      <c r="T174" s="53"/>
    </row>
    <row r="175" spans="1:20" s="319" customFormat="1" ht="48" hidden="1" x14ac:dyDescent="0.25">
      <c r="A175" s="31">
        <v>2800</v>
      </c>
      <c r="B175" s="116" t="s">
        <v>191</v>
      </c>
      <c r="C175" s="117">
        <f t="shared" si="9"/>
        <v>0</v>
      </c>
      <c r="D175" s="68"/>
      <c r="E175" s="673"/>
      <c r="F175" s="625">
        <f t="shared" si="10"/>
        <v>0</v>
      </c>
      <c r="G175" s="68"/>
      <c r="H175" s="71"/>
      <c r="I175" s="72">
        <f t="shared" si="11"/>
        <v>0</v>
      </c>
      <c r="J175" s="68"/>
      <c r="K175" s="71"/>
      <c r="L175" s="72">
        <f t="shared" si="12"/>
        <v>0</v>
      </c>
      <c r="M175" s="73"/>
      <c r="N175" s="69"/>
      <c r="O175" s="72">
        <f t="shared" si="13"/>
        <v>0</v>
      </c>
      <c r="P175" s="74"/>
      <c r="R175" s="53"/>
      <c r="S175" s="53"/>
      <c r="T175" s="53"/>
    </row>
    <row r="176" spans="1:20" hidden="1" x14ac:dyDescent="0.25">
      <c r="A176" s="237">
        <v>3000</v>
      </c>
      <c r="B176" s="237" t="s">
        <v>192</v>
      </c>
      <c r="C176" s="238">
        <f t="shared" si="9"/>
        <v>0</v>
      </c>
      <c r="D176" s="239">
        <f>SUM(D177,D187)</f>
        <v>0</v>
      </c>
      <c r="E176" s="240">
        <f>SUM(E177,E187)</f>
        <v>0</v>
      </c>
      <c r="F176" s="241">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c r="S176" s="53"/>
      <c r="T176" s="53"/>
    </row>
    <row r="177" spans="1:20" ht="24" hidden="1" x14ac:dyDescent="0.25">
      <c r="A177" s="99">
        <v>3200</v>
      </c>
      <c r="B177" s="321" t="s">
        <v>193</v>
      </c>
      <c r="C177" s="100">
        <f t="shared" si="9"/>
        <v>0</v>
      </c>
      <c r="D177" s="112">
        <f>SUM(D178,D182)</f>
        <v>0</v>
      </c>
      <c r="E177" s="248">
        <f>SUM(E178,E182)</f>
        <v>0</v>
      </c>
      <c r="F177" s="249">
        <f t="shared" si="10"/>
        <v>0</v>
      </c>
      <c r="G177" s="112">
        <f>SUM(G178,G182)</f>
        <v>0</v>
      </c>
      <c r="H177" s="113">
        <f>SUM(H178,H182)</f>
        <v>0</v>
      </c>
      <c r="I177" s="114">
        <f t="shared" si="11"/>
        <v>0</v>
      </c>
      <c r="J177" s="112">
        <f>SUM(J178,J182)</f>
        <v>0</v>
      </c>
      <c r="K177" s="113">
        <f t="shared" ref="K177" si="18">SUM(K178,K182)</f>
        <v>0</v>
      </c>
      <c r="L177" s="114">
        <f t="shared" si="12"/>
        <v>0</v>
      </c>
      <c r="M177" s="250">
        <f>SUM(M178,M182)</f>
        <v>0</v>
      </c>
      <c r="N177" s="251">
        <f>SUM(N178,N182)</f>
        <v>0</v>
      </c>
      <c r="O177" s="252">
        <f t="shared" si="13"/>
        <v>0</v>
      </c>
      <c r="P177" s="253"/>
      <c r="R177" s="53"/>
      <c r="S177" s="53"/>
      <c r="T177" s="53"/>
    </row>
    <row r="178" spans="1:20" ht="36" hidden="1" x14ac:dyDescent="0.25">
      <c r="A178" s="656">
        <v>3260</v>
      </c>
      <c r="B178" s="116" t="s">
        <v>194</v>
      </c>
      <c r="C178" s="117">
        <f t="shared" si="9"/>
        <v>0</v>
      </c>
      <c r="D178" s="297">
        <f>SUM(D179:D181)</f>
        <v>0</v>
      </c>
      <c r="E178" s="298">
        <f>SUM(E179:E181)</f>
        <v>0</v>
      </c>
      <c r="F178" s="296">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c r="S178" s="53"/>
      <c r="T178" s="53"/>
    </row>
    <row r="179" spans="1:20" ht="24" hidden="1" x14ac:dyDescent="0.25">
      <c r="A179" s="76">
        <v>3261</v>
      </c>
      <c r="B179" s="127" t="s">
        <v>195</v>
      </c>
      <c r="C179" s="128">
        <f t="shared" si="9"/>
        <v>0</v>
      </c>
      <c r="D179" s="134"/>
      <c r="E179" s="283"/>
      <c r="F179" s="279">
        <f t="shared" si="10"/>
        <v>0</v>
      </c>
      <c r="G179" s="134"/>
      <c r="H179" s="135"/>
      <c r="I179" s="136">
        <f t="shared" si="11"/>
        <v>0</v>
      </c>
      <c r="J179" s="134"/>
      <c r="K179" s="135"/>
      <c r="L179" s="136">
        <f t="shared" si="12"/>
        <v>0</v>
      </c>
      <c r="M179" s="284"/>
      <c r="N179" s="285"/>
      <c r="O179" s="136">
        <f t="shared" si="13"/>
        <v>0</v>
      </c>
      <c r="P179" s="85"/>
      <c r="R179" s="53"/>
      <c r="S179" s="53"/>
      <c r="T179" s="53"/>
    </row>
    <row r="180" spans="1:20" ht="36" hidden="1" x14ac:dyDescent="0.25">
      <c r="A180" s="76">
        <v>3262</v>
      </c>
      <c r="B180" s="127" t="s">
        <v>196</v>
      </c>
      <c r="C180" s="128">
        <f t="shared" si="9"/>
        <v>0</v>
      </c>
      <c r="D180" s="134"/>
      <c r="E180" s="283"/>
      <c r="F180" s="279">
        <f t="shared" si="10"/>
        <v>0</v>
      </c>
      <c r="G180" s="134"/>
      <c r="H180" s="135"/>
      <c r="I180" s="136">
        <f t="shared" si="11"/>
        <v>0</v>
      </c>
      <c r="J180" s="134"/>
      <c r="K180" s="135"/>
      <c r="L180" s="136">
        <f t="shared" si="12"/>
        <v>0</v>
      </c>
      <c r="M180" s="284"/>
      <c r="N180" s="285"/>
      <c r="O180" s="136">
        <f t="shared" si="13"/>
        <v>0</v>
      </c>
      <c r="P180" s="85"/>
      <c r="R180" s="53"/>
      <c r="S180" s="53"/>
      <c r="T180" s="53"/>
    </row>
    <row r="181" spans="1:20" ht="24" hidden="1" x14ac:dyDescent="0.25">
      <c r="A181" s="76">
        <v>3263</v>
      </c>
      <c r="B181" s="127" t="s">
        <v>197</v>
      </c>
      <c r="C181" s="128">
        <f t="shared" ref="C181:C244" si="19">SUM(F181,I181,L181,O181)</f>
        <v>0</v>
      </c>
      <c r="D181" s="134"/>
      <c r="E181" s="283"/>
      <c r="F181" s="279">
        <f t="shared" ref="F181:F244" si="20">D181+E181</f>
        <v>0</v>
      </c>
      <c r="G181" s="134"/>
      <c r="H181" s="135"/>
      <c r="I181" s="136">
        <f t="shared" ref="I181:I244" si="21">G181+H181</f>
        <v>0</v>
      </c>
      <c r="J181" s="134"/>
      <c r="K181" s="135"/>
      <c r="L181" s="136">
        <f t="shared" ref="L181:L244" si="22">J181+K181</f>
        <v>0</v>
      </c>
      <c r="M181" s="284"/>
      <c r="N181" s="285"/>
      <c r="O181" s="136">
        <f t="shared" ref="O181:O244" si="23">M181+N181</f>
        <v>0</v>
      </c>
      <c r="P181" s="85"/>
      <c r="R181" s="53"/>
      <c r="S181" s="53"/>
      <c r="T181" s="53"/>
    </row>
    <row r="182" spans="1:20" ht="84" hidden="1" x14ac:dyDescent="0.25">
      <c r="A182" s="656">
        <v>3290</v>
      </c>
      <c r="B182" s="116" t="s">
        <v>198</v>
      </c>
      <c r="C182" s="128">
        <f t="shared" si="19"/>
        <v>0</v>
      </c>
      <c r="D182" s="297">
        <f>SUM(D183:D186)</f>
        <v>0</v>
      </c>
      <c r="E182" s="298">
        <f>SUM(E183:E186)</f>
        <v>0</v>
      </c>
      <c r="F182" s="296">
        <f t="shared" si="20"/>
        <v>0</v>
      </c>
      <c r="G182" s="297">
        <f>SUM(G183:G186)</f>
        <v>0</v>
      </c>
      <c r="H182" s="299">
        <f>SUM(H183:H186)</f>
        <v>0</v>
      </c>
      <c r="I182" s="125">
        <f t="shared" si="21"/>
        <v>0</v>
      </c>
      <c r="J182" s="297">
        <f>SUM(J183:J186)</f>
        <v>0</v>
      </c>
      <c r="K182" s="299">
        <f t="shared" ref="K182" si="24">SUM(K183:K186)</f>
        <v>0</v>
      </c>
      <c r="L182" s="125">
        <f t="shared" si="22"/>
        <v>0</v>
      </c>
      <c r="M182" s="322">
        <f>SUM(M183:M186)</f>
        <v>0</v>
      </c>
      <c r="N182" s="323">
        <f>SUM(N183:N186)</f>
        <v>0</v>
      </c>
      <c r="O182" s="324">
        <f t="shared" si="23"/>
        <v>0</v>
      </c>
      <c r="P182" s="325"/>
      <c r="R182" s="53"/>
      <c r="S182" s="53"/>
      <c r="T182" s="53"/>
    </row>
    <row r="183" spans="1:20" ht="72" hidden="1" x14ac:dyDescent="0.25">
      <c r="A183" s="76">
        <v>3291</v>
      </c>
      <c r="B183" s="127" t="s">
        <v>199</v>
      </c>
      <c r="C183" s="128">
        <f t="shared" si="19"/>
        <v>0</v>
      </c>
      <c r="D183" s="134"/>
      <c r="E183" s="283"/>
      <c r="F183" s="279">
        <f t="shared" si="20"/>
        <v>0</v>
      </c>
      <c r="G183" s="134"/>
      <c r="H183" s="135"/>
      <c r="I183" s="136">
        <f t="shared" si="21"/>
        <v>0</v>
      </c>
      <c r="J183" s="134"/>
      <c r="K183" s="135"/>
      <c r="L183" s="136">
        <f t="shared" si="22"/>
        <v>0</v>
      </c>
      <c r="M183" s="284"/>
      <c r="N183" s="285"/>
      <c r="O183" s="136">
        <f t="shared" si="23"/>
        <v>0</v>
      </c>
      <c r="P183" s="85"/>
      <c r="R183" s="53"/>
      <c r="S183" s="53"/>
      <c r="T183" s="53"/>
    </row>
    <row r="184" spans="1:20" ht="72" hidden="1" x14ac:dyDescent="0.25">
      <c r="A184" s="76">
        <v>3292</v>
      </c>
      <c r="B184" s="127" t="s">
        <v>200</v>
      </c>
      <c r="C184" s="128">
        <f t="shared" si="19"/>
        <v>0</v>
      </c>
      <c r="D184" s="134"/>
      <c r="E184" s="283"/>
      <c r="F184" s="279">
        <f t="shared" si="20"/>
        <v>0</v>
      </c>
      <c r="G184" s="134"/>
      <c r="H184" s="135"/>
      <c r="I184" s="136">
        <f t="shared" si="21"/>
        <v>0</v>
      </c>
      <c r="J184" s="134"/>
      <c r="K184" s="135"/>
      <c r="L184" s="136">
        <f t="shared" si="22"/>
        <v>0</v>
      </c>
      <c r="M184" s="284"/>
      <c r="N184" s="285"/>
      <c r="O184" s="136">
        <f t="shared" si="23"/>
        <v>0</v>
      </c>
      <c r="P184" s="85"/>
      <c r="R184" s="53"/>
      <c r="S184" s="53"/>
      <c r="T184" s="53"/>
    </row>
    <row r="185" spans="1:20" ht="72" hidden="1" x14ac:dyDescent="0.25">
      <c r="A185" s="76">
        <v>3293</v>
      </c>
      <c r="B185" s="127" t="s">
        <v>201</v>
      </c>
      <c r="C185" s="128">
        <f t="shared" si="19"/>
        <v>0</v>
      </c>
      <c r="D185" s="134"/>
      <c r="E185" s="283"/>
      <c r="F185" s="279">
        <f t="shared" si="20"/>
        <v>0</v>
      </c>
      <c r="G185" s="134"/>
      <c r="H185" s="135"/>
      <c r="I185" s="136">
        <f t="shared" si="21"/>
        <v>0</v>
      </c>
      <c r="J185" s="134"/>
      <c r="K185" s="135"/>
      <c r="L185" s="136">
        <f t="shared" si="22"/>
        <v>0</v>
      </c>
      <c r="M185" s="284"/>
      <c r="N185" s="285"/>
      <c r="O185" s="136">
        <f t="shared" si="23"/>
        <v>0</v>
      </c>
      <c r="P185" s="85"/>
      <c r="R185" s="53"/>
      <c r="S185" s="53"/>
      <c r="T185" s="53"/>
    </row>
    <row r="186" spans="1:20" ht="60" hidden="1" x14ac:dyDescent="0.25">
      <c r="A186" s="326">
        <v>3294</v>
      </c>
      <c r="B186" s="127" t="s">
        <v>202</v>
      </c>
      <c r="C186" s="327">
        <f t="shared" si="19"/>
        <v>0</v>
      </c>
      <c r="D186" s="328"/>
      <c r="E186" s="683"/>
      <c r="F186" s="647">
        <f t="shared" si="20"/>
        <v>0</v>
      </c>
      <c r="G186" s="328"/>
      <c r="H186" s="331"/>
      <c r="I186" s="324">
        <f t="shared" si="21"/>
        <v>0</v>
      </c>
      <c r="J186" s="328"/>
      <c r="K186" s="331"/>
      <c r="L186" s="324">
        <f t="shared" si="22"/>
        <v>0</v>
      </c>
      <c r="M186" s="332"/>
      <c r="N186" s="329"/>
      <c r="O186" s="324">
        <f t="shared" si="23"/>
        <v>0</v>
      </c>
      <c r="P186" s="325"/>
      <c r="R186" s="53"/>
      <c r="S186" s="53"/>
      <c r="T186" s="53"/>
    </row>
    <row r="187" spans="1:20" ht="48" hidden="1" x14ac:dyDescent="0.25">
      <c r="A187" s="160">
        <v>3300</v>
      </c>
      <c r="B187" s="321" t="s">
        <v>203</v>
      </c>
      <c r="C187" s="333">
        <f t="shared" si="19"/>
        <v>0</v>
      </c>
      <c r="D187" s="334">
        <f>SUM(D188:D189)</f>
        <v>0</v>
      </c>
      <c r="E187" s="684">
        <f>SUM(E188:E189)</f>
        <v>0</v>
      </c>
      <c r="F187" s="648">
        <f t="shared" si="20"/>
        <v>0</v>
      </c>
      <c r="G187" s="334">
        <f>SUM(G188:G189)</f>
        <v>0</v>
      </c>
      <c r="H187" s="336">
        <f>SUM(H188:H189)</f>
        <v>0</v>
      </c>
      <c r="I187" s="252">
        <f t="shared" si="21"/>
        <v>0</v>
      </c>
      <c r="J187" s="334">
        <f>SUM(J188:J189)</f>
        <v>0</v>
      </c>
      <c r="K187" s="336">
        <f t="shared" ref="K187" si="25">SUM(K188:K189)</f>
        <v>0</v>
      </c>
      <c r="L187" s="252">
        <f t="shared" si="22"/>
        <v>0</v>
      </c>
      <c r="M187" s="250">
        <f>SUM(M188:M189)</f>
        <v>0</v>
      </c>
      <c r="N187" s="251">
        <f>SUM(N188:N189)</f>
        <v>0</v>
      </c>
      <c r="O187" s="252">
        <f t="shared" si="23"/>
        <v>0</v>
      </c>
      <c r="P187" s="253"/>
      <c r="R187" s="53"/>
      <c r="S187" s="53"/>
      <c r="T187" s="53"/>
    </row>
    <row r="188" spans="1:20" ht="48" hidden="1" x14ac:dyDescent="0.25">
      <c r="A188" s="178">
        <v>3310</v>
      </c>
      <c r="B188" s="179" t="s">
        <v>204</v>
      </c>
      <c r="C188" s="191">
        <f t="shared" si="19"/>
        <v>0</v>
      </c>
      <c r="D188" s="287"/>
      <c r="E188" s="288"/>
      <c r="F188" s="257">
        <f t="shared" si="20"/>
        <v>0</v>
      </c>
      <c r="G188" s="287"/>
      <c r="H188" s="289"/>
      <c r="I188" s="259">
        <f t="shared" si="21"/>
        <v>0</v>
      </c>
      <c r="J188" s="287"/>
      <c r="K188" s="289"/>
      <c r="L188" s="259">
        <f t="shared" si="22"/>
        <v>0</v>
      </c>
      <c r="M188" s="290"/>
      <c r="N188" s="291"/>
      <c r="O188" s="259">
        <f t="shared" si="23"/>
        <v>0</v>
      </c>
      <c r="P188" s="189"/>
      <c r="R188" s="53"/>
      <c r="S188" s="53"/>
      <c r="T188" s="53"/>
    </row>
    <row r="189" spans="1:20" ht="60" hidden="1" x14ac:dyDescent="0.25">
      <c r="A189" s="66">
        <v>3320</v>
      </c>
      <c r="B189" s="116" t="s">
        <v>205</v>
      </c>
      <c r="C189" s="117">
        <f t="shared" si="19"/>
        <v>0</v>
      </c>
      <c r="D189" s="123"/>
      <c r="E189" s="295"/>
      <c r="F189" s="296">
        <f t="shared" si="20"/>
        <v>0</v>
      </c>
      <c r="G189" s="123"/>
      <c r="H189" s="124"/>
      <c r="I189" s="125">
        <f t="shared" si="21"/>
        <v>0</v>
      </c>
      <c r="J189" s="123"/>
      <c r="K189" s="124"/>
      <c r="L189" s="125">
        <f t="shared" si="22"/>
        <v>0</v>
      </c>
      <c r="M189" s="264"/>
      <c r="N189" s="262"/>
      <c r="O189" s="125">
        <f t="shared" si="23"/>
        <v>0</v>
      </c>
      <c r="P189" s="74"/>
      <c r="R189" s="53"/>
      <c r="S189" s="53"/>
      <c r="T189" s="53"/>
    </row>
    <row r="190" spans="1:20" hidden="1" x14ac:dyDescent="0.25">
      <c r="A190" s="337">
        <v>4000</v>
      </c>
      <c r="B190" s="237" t="s">
        <v>206</v>
      </c>
      <c r="C190" s="238">
        <f t="shared" si="19"/>
        <v>0</v>
      </c>
      <c r="D190" s="239">
        <f>SUM(D191,D194)</f>
        <v>0</v>
      </c>
      <c r="E190" s="240">
        <f>SUM(E191,E194)</f>
        <v>0</v>
      </c>
      <c r="F190" s="241">
        <f t="shared" si="20"/>
        <v>0</v>
      </c>
      <c r="G190" s="239">
        <f>SUM(G191,G194)</f>
        <v>0</v>
      </c>
      <c r="H190" s="242">
        <f>SUM(H191,H194)</f>
        <v>0</v>
      </c>
      <c r="I190" s="243">
        <f t="shared" si="21"/>
        <v>0</v>
      </c>
      <c r="J190" s="239">
        <f>SUM(J191,J194)</f>
        <v>0</v>
      </c>
      <c r="K190" s="242">
        <f>SUM(K191,K194)</f>
        <v>0</v>
      </c>
      <c r="L190" s="243">
        <f t="shared" si="22"/>
        <v>0</v>
      </c>
      <c r="M190" s="244">
        <f>SUM(M191,M194)</f>
        <v>0</v>
      </c>
      <c r="N190" s="245">
        <f>SUM(N191,N194)</f>
        <v>0</v>
      </c>
      <c r="O190" s="243">
        <f t="shared" si="23"/>
        <v>0</v>
      </c>
      <c r="P190" s="246"/>
      <c r="R190" s="53"/>
      <c r="S190" s="53"/>
      <c r="T190" s="53"/>
    </row>
    <row r="191" spans="1:20" ht="24" hidden="1" x14ac:dyDescent="0.25">
      <c r="A191" s="338">
        <v>4200</v>
      </c>
      <c r="B191" s="247" t="s">
        <v>207</v>
      </c>
      <c r="C191" s="100">
        <f t="shared" si="19"/>
        <v>0</v>
      </c>
      <c r="D191" s="112">
        <f>SUM(D192,D193)</f>
        <v>0</v>
      </c>
      <c r="E191" s="248">
        <f>SUM(E192,E193)</f>
        <v>0</v>
      </c>
      <c r="F191" s="249">
        <f t="shared" si="20"/>
        <v>0</v>
      </c>
      <c r="G191" s="112">
        <f>SUM(G192,G193)</f>
        <v>0</v>
      </c>
      <c r="H191" s="113">
        <f>SUM(H192,H193)</f>
        <v>0</v>
      </c>
      <c r="I191" s="114">
        <f t="shared" si="21"/>
        <v>0</v>
      </c>
      <c r="J191" s="112">
        <f>SUM(J192,J193)</f>
        <v>0</v>
      </c>
      <c r="K191" s="113">
        <f>SUM(K192,K193)</f>
        <v>0</v>
      </c>
      <c r="L191" s="114">
        <f t="shared" si="22"/>
        <v>0</v>
      </c>
      <c r="M191" s="292">
        <f>SUM(M192,M193)</f>
        <v>0</v>
      </c>
      <c r="N191" s="293">
        <f>SUM(N192,N193)</f>
        <v>0</v>
      </c>
      <c r="O191" s="114">
        <f t="shared" si="23"/>
        <v>0</v>
      </c>
      <c r="P191" s="109"/>
      <c r="R191" s="53"/>
      <c r="S191" s="53"/>
      <c r="T191" s="53"/>
    </row>
    <row r="192" spans="1:20" ht="36" hidden="1" x14ac:dyDescent="0.25">
      <c r="A192" s="656">
        <v>4240</v>
      </c>
      <c r="B192" s="116" t="s">
        <v>208</v>
      </c>
      <c r="C192" s="117">
        <f t="shared" si="19"/>
        <v>0</v>
      </c>
      <c r="D192" s="123"/>
      <c r="E192" s="295"/>
      <c r="F192" s="296">
        <f t="shared" si="20"/>
        <v>0</v>
      </c>
      <c r="G192" s="123"/>
      <c r="H192" s="124"/>
      <c r="I192" s="125">
        <f t="shared" si="21"/>
        <v>0</v>
      </c>
      <c r="J192" s="123"/>
      <c r="K192" s="124"/>
      <c r="L192" s="125">
        <f t="shared" si="22"/>
        <v>0</v>
      </c>
      <c r="M192" s="264"/>
      <c r="N192" s="262"/>
      <c r="O192" s="125">
        <f t="shared" si="23"/>
        <v>0</v>
      </c>
      <c r="P192" s="74"/>
      <c r="R192" s="53"/>
      <c r="S192" s="53"/>
      <c r="T192" s="53"/>
    </row>
    <row r="193" spans="1:20" ht="24" hidden="1" x14ac:dyDescent="0.25">
      <c r="A193" s="276">
        <v>4250</v>
      </c>
      <c r="B193" s="127" t="s">
        <v>209</v>
      </c>
      <c r="C193" s="128">
        <f t="shared" si="19"/>
        <v>0</v>
      </c>
      <c r="D193" s="134"/>
      <c r="E193" s="283"/>
      <c r="F193" s="279">
        <f t="shared" si="20"/>
        <v>0</v>
      </c>
      <c r="G193" s="134"/>
      <c r="H193" s="135"/>
      <c r="I193" s="136">
        <f t="shared" si="21"/>
        <v>0</v>
      </c>
      <c r="J193" s="134"/>
      <c r="K193" s="135"/>
      <c r="L193" s="136">
        <f t="shared" si="22"/>
        <v>0</v>
      </c>
      <c r="M193" s="284"/>
      <c r="N193" s="285"/>
      <c r="O193" s="136">
        <f t="shared" si="23"/>
        <v>0</v>
      </c>
      <c r="P193" s="85"/>
      <c r="R193" s="53"/>
      <c r="S193" s="53"/>
      <c r="T193" s="53"/>
    </row>
    <row r="194" spans="1:20" hidden="1" x14ac:dyDescent="0.25">
      <c r="A194" s="99">
        <v>4300</v>
      </c>
      <c r="B194" s="247" t="s">
        <v>210</v>
      </c>
      <c r="C194" s="100">
        <f t="shared" si="19"/>
        <v>0</v>
      </c>
      <c r="D194" s="112">
        <f>SUM(D195)</f>
        <v>0</v>
      </c>
      <c r="E194" s="248">
        <f>SUM(E195)</f>
        <v>0</v>
      </c>
      <c r="F194" s="249">
        <f t="shared" si="20"/>
        <v>0</v>
      </c>
      <c r="G194" s="112">
        <f>SUM(G195)</f>
        <v>0</v>
      </c>
      <c r="H194" s="113">
        <f>SUM(H195)</f>
        <v>0</v>
      </c>
      <c r="I194" s="114">
        <f t="shared" si="21"/>
        <v>0</v>
      </c>
      <c r="J194" s="112">
        <f>SUM(J195)</f>
        <v>0</v>
      </c>
      <c r="K194" s="113">
        <f>SUM(K195)</f>
        <v>0</v>
      </c>
      <c r="L194" s="114">
        <f t="shared" si="22"/>
        <v>0</v>
      </c>
      <c r="M194" s="292">
        <f>SUM(M195)</f>
        <v>0</v>
      </c>
      <c r="N194" s="293">
        <f>SUM(N195)</f>
        <v>0</v>
      </c>
      <c r="O194" s="114">
        <f t="shared" si="23"/>
        <v>0</v>
      </c>
      <c r="P194" s="109"/>
      <c r="R194" s="53"/>
      <c r="S194" s="53"/>
      <c r="T194" s="53"/>
    </row>
    <row r="195" spans="1:20" ht="24" hidden="1" x14ac:dyDescent="0.25">
      <c r="A195" s="656">
        <v>4310</v>
      </c>
      <c r="B195" s="116" t="s">
        <v>211</v>
      </c>
      <c r="C195" s="117">
        <f t="shared" si="19"/>
        <v>0</v>
      </c>
      <c r="D195" s="297">
        <f>SUM(D196:D196)</f>
        <v>0</v>
      </c>
      <c r="E195" s="298">
        <f>SUM(E196:E196)</f>
        <v>0</v>
      </c>
      <c r="F195" s="296">
        <f t="shared" si="20"/>
        <v>0</v>
      </c>
      <c r="G195" s="297">
        <f>SUM(G196:G196)</f>
        <v>0</v>
      </c>
      <c r="H195" s="299">
        <f>SUM(H196:H196)</f>
        <v>0</v>
      </c>
      <c r="I195" s="125">
        <f t="shared" si="21"/>
        <v>0</v>
      </c>
      <c r="J195" s="297">
        <f>SUM(J196:J196)</f>
        <v>0</v>
      </c>
      <c r="K195" s="299">
        <f>SUM(K196:K196)</f>
        <v>0</v>
      </c>
      <c r="L195" s="125">
        <f t="shared" si="22"/>
        <v>0</v>
      </c>
      <c r="M195" s="300">
        <f>SUM(M196:M196)</f>
        <v>0</v>
      </c>
      <c r="N195" s="301">
        <f>SUM(N196:N196)</f>
        <v>0</v>
      </c>
      <c r="O195" s="125">
        <f t="shared" si="23"/>
        <v>0</v>
      </c>
      <c r="P195" s="74"/>
      <c r="R195" s="53"/>
      <c r="S195" s="53"/>
      <c r="T195" s="53"/>
    </row>
    <row r="196" spans="1:20" ht="36" hidden="1" x14ac:dyDescent="0.25">
      <c r="A196" s="76">
        <v>4311</v>
      </c>
      <c r="B196" s="127" t="s">
        <v>212</v>
      </c>
      <c r="C196" s="128">
        <f t="shared" si="19"/>
        <v>0</v>
      </c>
      <c r="D196" s="134"/>
      <c r="E196" s="283"/>
      <c r="F196" s="279">
        <f t="shared" si="20"/>
        <v>0</v>
      </c>
      <c r="G196" s="134"/>
      <c r="H196" s="135"/>
      <c r="I196" s="136">
        <f t="shared" si="21"/>
        <v>0</v>
      </c>
      <c r="J196" s="134"/>
      <c r="K196" s="135"/>
      <c r="L196" s="136">
        <f t="shared" si="22"/>
        <v>0</v>
      </c>
      <c r="M196" s="284"/>
      <c r="N196" s="285"/>
      <c r="O196" s="136">
        <f t="shared" si="23"/>
        <v>0</v>
      </c>
      <c r="P196" s="85"/>
      <c r="R196" s="53"/>
      <c r="S196" s="53"/>
      <c r="T196" s="53"/>
    </row>
    <row r="197" spans="1:20" s="41" customFormat="1" ht="24" x14ac:dyDescent="0.25">
      <c r="A197" s="339"/>
      <c r="B197" s="31" t="s">
        <v>213</v>
      </c>
      <c r="C197" s="229">
        <f t="shared" si="19"/>
        <v>23181</v>
      </c>
      <c r="D197" s="230">
        <f>SUM(D198,D233,D271)</f>
        <v>18910</v>
      </c>
      <c r="E197" s="231">
        <f>SUM(E198,E233,E271)</f>
        <v>0</v>
      </c>
      <c r="F197" s="232">
        <f t="shared" si="20"/>
        <v>18910</v>
      </c>
      <c r="G197" s="230">
        <f>SUM(G198,G233,G271)</f>
        <v>4000</v>
      </c>
      <c r="H197" s="233">
        <f>SUM(H198,H233,H271)</f>
        <v>0</v>
      </c>
      <c r="I197" s="234">
        <f t="shared" si="21"/>
        <v>4000</v>
      </c>
      <c r="J197" s="230">
        <f>SUM(J198,J233,J271)</f>
        <v>271</v>
      </c>
      <c r="K197" s="233">
        <f>SUM(K198,K233,K271)</f>
        <v>0</v>
      </c>
      <c r="L197" s="234">
        <f t="shared" si="22"/>
        <v>271</v>
      </c>
      <c r="M197" s="340">
        <f>SUM(M198,M233,M271)</f>
        <v>0</v>
      </c>
      <c r="N197" s="341">
        <f>SUM(N198,N233,N271)</f>
        <v>0</v>
      </c>
      <c r="O197" s="342">
        <f t="shared" si="23"/>
        <v>0</v>
      </c>
      <c r="P197" s="343"/>
      <c r="R197" s="53"/>
      <c r="S197" s="53"/>
      <c r="T197" s="53"/>
    </row>
    <row r="198" spans="1:20" x14ac:dyDescent="0.25">
      <c r="A198" s="237">
        <v>5000</v>
      </c>
      <c r="B198" s="237" t="s">
        <v>214</v>
      </c>
      <c r="C198" s="238">
        <f t="shared" si="19"/>
        <v>23181</v>
      </c>
      <c r="D198" s="239">
        <f>D199+D207</f>
        <v>18910</v>
      </c>
      <c r="E198" s="240">
        <f>E199+E207</f>
        <v>0</v>
      </c>
      <c r="F198" s="241">
        <f t="shared" si="20"/>
        <v>18910</v>
      </c>
      <c r="G198" s="239">
        <f>G199+G207</f>
        <v>4000</v>
      </c>
      <c r="H198" s="242">
        <f>H199+H207</f>
        <v>0</v>
      </c>
      <c r="I198" s="243">
        <f t="shared" si="21"/>
        <v>4000</v>
      </c>
      <c r="J198" s="239">
        <f>J199+J207</f>
        <v>271</v>
      </c>
      <c r="K198" s="242">
        <f>K199+K207</f>
        <v>0</v>
      </c>
      <c r="L198" s="243">
        <f t="shared" si="22"/>
        <v>271</v>
      </c>
      <c r="M198" s="244">
        <f>M199+M207</f>
        <v>0</v>
      </c>
      <c r="N198" s="245">
        <f>N199+N207</f>
        <v>0</v>
      </c>
      <c r="O198" s="243">
        <f t="shared" si="23"/>
        <v>0</v>
      </c>
      <c r="P198" s="246"/>
      <c r="R198" s="53"/>
      <c r="S198" s="53"/>
      <c r="T198" s="53"/>
    </row>
    <row r="199" spans="1:20" x14ac:dyDescent="0.25">
      <c r="A199" s="99">
        <v>5100</v>
      </c>
      <c r="B199" s="247" t="s">
        <v>215</v>
      </c>
      <c r="C199" s="100">
        <f t="shared" si="19"/>
        <v>865</v>
      </c>
      <c r="D199" s="112">
        <f>D200+D201+D204+D205+D206</f>
        <v>865</v>
      </c>
      <c r="E199" s="248">
        <f>E200+E201+E204+E205+E206</f>
        <v>0</v>
      </c>
      <c r="F199" s="249">
        <f t="shared" si="20"/>
        <v>865</v>
      </c>
      <c r="G199" s="112">
        <f>G200+G201+G204+G205+G206</f>
        <v>0</v>
      </c>
      <c r="H199" s="113">
        <f>H200+H201+H204+H205+H206</f>
        <v>0</v>
      </c>
      <c r="I199" s="114">
        <f t="shared" si="21"/>
        <v>0</v>
      </c>
      <c r="J199" s="112">
        <f>J200+J201+J204+J205+J206</f>
        <v>0</v>
      </c>
      <c r="K199" s="113">
        <f>K200+K201+K204+K205+K206</f>
        <v>0</v>
      </c>
      <c r="L199" s="114">
        <f t="shared" si="22"/>
        <v>0</v>
      </c>
      <c r="M199" s="292">
        <f>M200+M201+M204+M205+M206</f>
        <v>0</v>
      </c>
      <c r="N199" s="293">
        <f>N200+N201+N204+N205+N206</f>
        <v>0</v>
      </c>
      <c r="O199" s="114">
        <f t="shared" si="23"/>
        <v>0</v>
      </c>
      <c r="P199" s="109"/>
      <c r="R199" s="53"/>
      <c r="S199" s="53"/>
      <c r="T199" s="53"/>
    </row>
    <row r="200" spans="1:20" hidden="1" x14ac:dyDescent="0.25">
      <c r="A200" s="656">
        <v>5110</v>
      </c>
      <c r="B200" s="116" t="s">
        <v>216</v>
      </c>
      <c r="C200" s="117">
        <f t="shared" si="19"/>
        <v>0</v>
      </c>
      <c r="D200" s="123"/>
      <c r="E200" s="295"/>
      <c r="F200" s="296">
        <f t="shared" si="20"/>
        <v>0</v>
      </c>
      <c r="G200" s="123"/>
      <c r="H200" s="124"/>
      <c r="I200" s="125">
        <f t="shared" si="21"/>
        <v>0</v>
      </c>
      <c r="J200" s="123"/>
      <c r="K200" s="124"/>
      <c r="L200" s="125">
        <f t="shared" si="22"/>
        <v>0</v>
      </c>
      <c r="M200" s="264"/>
      <c r="N200" s="262"/>
      <c r="O200" s="125">
        <f t="shared" si="23"/>
        <v>0</v>
      </c>
      <c r="P200" s="74"/>
      <c r="R200" s="53"/>
      <c r="S200" s="53"/>
      <c r="T200" s="53"/>
    </row>
    <row r="201" spans="1:20" ht="24" x14ac:dyDescent="0.25">
      <c r="A201" s="276">
        <v>5120</v>
      </c>
      <c r="B201" s="127" t="s">
        <v>217</v>
      </c>
      <c r="C201" s="128">
        <f t="shared" si="19"/>
        <v>865</v>
      </c>
      <c r="D201" s="277">
        <f>D202+D203</f>
        <v>865</v>
      </c>
      <c r="E201" s="278">
        <f>E202+E203</f>
        <v>0</v>
      </c>
      <c r="F201" s="279">
        <f t="shared" si="20"/>
        <v>865</v>
      </c>
      <c r="G201" s="277">
        <f>G202+G203</f>
        <v>0</v>
      </c>
      <c r="H201" s="280">
        <f>H202+H203</f>
        <v>0</v>
      </c>
      <c r="I201" s="136">
        <f t="shared" si="21"/>
        <v>0</v>
      </c>
      <c r="J201" s="277">
        <f>J202+J203</f>
        <v>0</v>
      </c>
      <c r="K201" s="280">
        <f>K202+K203</f>
        <v>0</v>
      </c>
      <c r="L201" s="136">
        <f t="shared" si="22"/>
        <v>0</v>
      </c>
      <c r="M201" s="281">
        <f>M202+M203</f>
        <v>0</v>
      </c>
      <c r="N201" s="282">
        <f>N202+N203</f>
        <v>0</v>
      </c>
      <c r="O201" s="136">
        <f t="shared" si="23"/>
        <v>0</v>
      </c>
      <c r="P201" s="85"/>
      <c r="R201" s="53"/>
      <c r="S201" s="53"/>
      <c r="T201" s="53"/>
    </row>
    <row r="202" spans="1:20" x14ac:dyDescent="0.25">
      <c r="A202" s="76">
        <v>5121</v>
      </c>
      <c r="B202" s="127" t="s">
        <v>218</v>
      </c>
      <c r="C202" s="128">
        <f t="shared" si="19"/>
        <v>865</v>
      </c>
      <c r="D202" s="134">
        <f>255+610</f>
        <v>865</v>
      </c>
      <c r="E202" s="283"/>
      <c r="F202" s="279">
        <f t="shared" si="20"/>
        <v>865</v>
      </c>
      <c r="G202" s="134"/>
      <c r="H202" s="135"/>
      <c r="I202" s="136">
        <f t="shared" si="21"/>
        <v>0</v>
      </c>
      <c r="J202" s="134"/>
      <c r="K202" s="135"/>
      <c r="L202" s="136">
        <f t="shared" si="22"/>
        <v>0</v>
      </c>
      <c r="M202" s="284"/>
      <c r="N202" s="285"/>
      <c r="O202" s="136">
        <f t="shared" si="23"/>
        <v>0</v>
      </c>
      <c r="P202" s="85"/>
      <c r="R202" s="53"/>
      <c r="S202" s="53"/>
      <c r="T202" s="53"/>
    </row>
    <row r="203" spans="1:20" ht="24" hidden="1" x14ac:dyDescent="0.25">
      <c r="A203" s="76">
        <v>5129</v>
      </c>
      <c r="B203" s="127" t="s">
        <v>219</v>
      </c>
      <c r="C203" s="128">
        <f t="shared" si="19"/>
        <v>0</v>
      </c>
      <c r="D203" s="134"/>
      <c r="E203" s="283"/>
      <c r="F203" s="279">
        <f t="shared" si="20"/>
        <v>0</v>
      </c>
      <c r="G203" s="134"/>
      <c r="H203" s="135"/>
      <c r="I203" s="136">
        <f t="shared" si="21"/>
        <v>0</v>
      </c>
      <c r="J203" s="134"/>
      <c r="K203" s="135"/>
      <c r="L203" s="136">
        <f t="shared" si="22"/>
        <v>0</v>
      </c>
      <c r="M203" s="284"/>
      <c r="N203" s="285"/>
      <c r="O203" s="136">
        <f t="shared" si="23"/>
        <v>0</v>
      </c>
      <c r="P203" s="85"/>
      <c r="R203" s="53"/>
      <c r="S203" s="53"/>
      <c r="T203" s="53"/>
    </row>
    <row r="204" spans="1:20" hidden="1" x14ac:dyDescent="0.25">
      <c r="A204" s="276">
        <v>5130</v>
      </c>
      <c r="B204" s="127" t="s">
        <v>220</v>
      </c>
      <c r="C204" s="128">
        <f t="shared" si="19"/>
        <v>0</v>
      </c>
      <c r="D204" s="134"/>
      <c r="E204" s="283"/>
      <c r="F204" s="279">
        <f t="shared" si="20"/>
        <v>0</v>
      </c>
      <c r="G204" s="134"/>
      <c r="H204" s="135"/>
      <c r="I204" s="136">
        <f t="shared" si="21"/>
        <v>0</v>
      </c>
      <c r="J204" s="134"/>
      <c r="K204" s="135"/>
      <c r="L204" s="136">
        <f t="shared" si="22"/>
        <v>0</v>
      </c>
      <c r="M204" s="284"/>
      <c r="N204" s="285"/>
      <c r="O204" s="136">
        <f t="shared" si="23"/>
        <v>0</v>
      </c>
      <c r="P204" s="85"/>
      <c r="R204" s="53"/>
      <c r="S204" s="53"/>
      <c r="T204" s="53"/>
    </row>
    <row r="205" spans="1:20" hidden="1" x14ac:dyDescent="0.25">
      <c r="A205" s="276">
        <v>5140</v>
      </c>
      <c r="B205" s="127" t="s">
        <v>221</v>
      </c>
      <c r="C205" s="128">
        <f t="shared" si="19"/>
        <v>0</v>
      </c>
      <c r="D205" s="134"/>
      <c r="E205" s="283"/>
      <c r="F205" s="279">
        <f t="shared" si="20"/>
        <v>0</v>
      </c>
      <c r="G205" s="134"/>
      <c r="H205" s="135"/>
      <c r="I205" s="136">
        <f t="shared" si="21"/>
        <v>0</v>
      </c>
      <c r="J205" s="134"/>
      <c r="K205" s="135"/>
      <c r="L205" s="136">
        <f t="shared" si="22"/>
        <v>0</v>
      </c>
      <c r="M205" s="284"/>
      <c r="N205" s="285"/>
      <c r="O205" s="136">
        <f t="shared" si="23"/>
        <v>0</v>
      </c>
      <c r="P205" s="85"/>
      <c r="R205" s="53"/>
      <c r="S205" s="53"/>
      <c r="T205" s="53"/>
    </row>
    <row r="206" spans="1:20" ht="24" hidden="1" x14ac:dyDescent="0.25">
      <c r="A206" s="276">
        <v>5170</v>
      </c>
      <c r="B206" s="127" t="s">
        <v>222</v>
      </c>
      <c r="C206" s="128">
        <f t="shared" si="19"/>
        <v>0</v>
      </c>
      <c r="D206" s="134"/>
      <c r="E206" s="283"/>
      <c r="F206" s="279">
        <f t="shared" si="20"/>
        <v>0</v>
      </c>
      <c r="G206" s="134"/>
      <c r="H206" s="135"/>
      <c r="I206" s="136">
        <f t="shared" si="21"/>
        <v>0</v>
      </c>
      <c r="J206" s="134"/>
      <c r="K206" s="135"/>
      <c r="L206" s="136">
        <f t="shared" si="22"/>
        <v>0</v>
      </c>
      <c r="M206" s="284"/>
      <c r="N206" s="285"/>
      <c r="O206" s="136">
        <f t="shared" si="23"/>
        <v>0</v>
      </c>
      <c r="P206" s="85"/>
      <c r="R206" s="53"/>
      <c r="S206" s="53"/>
      <c r="T206" s="53"/>
    </row>
    <row r="207" spans="1:20" x14ac:dyDescent="0.25">
      <c r="A207" s="99">
        <v>5200</v>
      </c>
      <c r="B207" s="247" t="s">
        <v>223</v>
      </c>
      <c r="C207" s="100">
        <f t="shared" si="19"/>
        <v>22316</v>
      </c>
      <c r="D207" s="112">
        <f>D208+D218+D219+D228+D229+D230+D232</f>
        <v>18045</v>
      </c>
      <c r="E207" s="248">
        <f>E208+E218+E219+E228+E229+E230+E232</f>
        <v>0</v>
      </c>
      <c r="F207" s="249">
        <f t="shared" si="20"/>
        <v>18045</v>
      </c>
      <c r="G207" s="112">
        <f>G208+G218+G219+G228+G229+G230+G232</f>
        <v>4000</v>
      </c>
      <c r="H207" s="113">
        <f>H208+H218+H219+H228+H229+H230+H232</f>
        <v>0</v>
      </c>
      <c r="I207" s="114">
        <f t="shared" si="21"/>
        <v>4000</v>
      </c>
      <c r="J207" s="112">
        <f>J208+J218+J219+J228+J229+J230+J232</f>
        <v>271</v>
      </c>
      <c r="K207" s="113">
        <f>K208+K218+K219+K228+K229+K230+K232</f>
        <v>0</v>
      </c>
      <c r="L207" s="114">
        <f t="shared" si="22"/>
        <v>271</v>
      </c>
      <c r="M207" s="292">
        <f>M208+M218+M219+M228+M229+M230+M232</f>
        <v>0</v>
      </c>
      <c r="N207" s="293">
        <f>N208+N218+N219+N228+N229+N230+N232</f>
        <v>0</v>
      </c>
      <c r="O207" s="114">
        <f t="shared" si="23"/>
        <v>0</v>
      </c>
      <c r="P207" s="109"/>
      <c r="R207" s="53"/>
      <c r="S207" s="53"/>
      <c r="T207" s="53"/>
    </row>
    <row r="208" spans="1:20" hidden="1" x14ac:dyDescent="0.25">
      <c r="A208" s="254">
        <v>5210</v>
      </c>
      <c r="B208" s="179" t="s">
        <v>224</v>
      </c>
      <c r="C208" s="191">
        <f t="shared" si="19"/>
        <v>0</v>
      </c>
      <c r="D208" s="255">
        <f>SUM(D209:D217)</f>
        <v>0</v>
      </c>
      <c r="E208" s="256">
        <f>SUM(E209:E217)</f>
        <v>0</v>
      </c>
      <c r="F208" s="257">
        <f t="shared" si="20"/>
        <v>0</v>
      </c>
      <c r="G208" s="255">
        <f>SUM(G209:G217)</f>
        <v>0</v>
      </c>
      <c r="H208" s="258">
        <f>SUM(H209:H217)</f>
        <v>0</v>
      </c>
      <c r="I208" s="259">
        <f t="shared" si="21"/>
        <v>0</v>
      </c>
      <c r="J208" s="255">
        <f>SUM(J209:J217)</f>
        <v>0</v>
      </c>
      <c r="K208" s="258">
        <f>SUM(K209:K217)</f>
        <v>0</v>
      </c>
      <c r="L208" s="259">
        <f t="shared" si="22"/>
        <v>0</v>
      </c>
      <c r="M208" s="260">
        <f>SUM(M209:M217)</f>
        <v>0</v>
      </c>
      <c r="N208" s="261">
        <f>SUM(N209:N217)</f>
        <v>0</v>
      </c>
      <c r="O208" s="259">
        <f t="shared" si="23"/>
        <v>0</v>
      </c>
      <c r="P208" s="189"/>
      <c r="R208" s="53"/>
      <c r="S208" s="53"/>
      <c r="T208" s="53"/>
    </row>
    <row r="209" spans="1:20" hidden="1" x14ac:dyDescent="0.25">
      <c r="A209" s="66">
        <v>5211</v>
      </c>
      <c r="B209" s="116" t="s">
        <v>225</v>
      </c>
      <c r="C209" s="279">
        <f t="shared" si="19"/>
        <v>0</v>
      </c>
      <c r="D209" s="123"/>
      <c r="E209" s="295"/>
      <c r="F209" s="296">
        <f t="shared" si="20"/>
        <v>0</v>
      </c>
      <c r="G209" s="123"/>
      <c r="H209" s="124"/>
      <c r="I209" s="125">
        <f t="shared" si="21"/>
        <v>0</v>
      </c>
      <c r="J209" s="123"/>
      <c r="K209" s="124"/>
      <c r="L209" s="125">
        <f t="shared" si="22"/>
        <v>0</v>
      </c>
      <c r="M209" s="264"/>
      <c r="N209" s="262"/>
      <c r="O209" s="125">
        <f t="shared" si="23"/>
        <v>0</v>
      </c>
      <c r="P209" s="74"/>
      <c r="R209" s="53"/>
      <c r="S209" s="53"/>
      <c r="T209" s="53"/>
    </row>
    <row r="210" spans="1:20" hidden="1" x14ac:dyDescent="0.25">
      <c r="A210" s="76">
        <v>5212</v>
      </c>
      <c r="B210" s="127" t="s">
        <v>226</v>
      </c>
      <c r="C210" s="279">
        <f t="shared" si="19"/>
        <v>0</v>
      </c>
      <c r="D210" s="134"/>
      <c r="E210" s="283"/>
      <c r="F210" s="279">
        <f t="shared" si="20"/>
        <v>0</v>
      </c>
      <c r="G210" s="134"/>
      <c r="H210" s="135"/>
      <c r="I210" s="136">
        <f t="shared" si="21"/>
        <v>0</v>
      </c>
      <c r="J210" s="134"/>
      <c r="K210" s="135"/>
      <c r="L210" s="136">
        <f t="shared" si="22"/>
        <v>0</v>
      </c>
      <c r="M210" s="284"/>
      <c r="N210" s="285"/>
      <c r="O210" s="136">
        <f t="shared" si="23"/>
        <v>0</v>
      </c>
      <c r="P210" s="85"/>
      <c r="R210" s="53"/>
      <c r="S210" s="53"/>
      <c r="T210" s="53"/>
    </row>
    <row r="211" spans="1:20" hidden="1" x14ac:dyDescent="0.25">
      <c r="A211" s="76">
        <v>5213</v>
      </c>
      <c r="B211" s="127" t="s">
        <v>227</v>
      </c>
      <c r="C211" s="279">
        <f t="shared" si="19"/>
        <v>0</v>
      </c>
      <c r="D211" s="134"/>
      <c r="E211" s="283"/>
      <c r="F211" s="279">
        <f t="shared" si="20"/>
        <v>0</v>
      </c>
      <c r="G211" s="134"/>
      <c r="H211" s="135"/>
      <c r="I211" s="136">
        <f t="shared" si="21"/>
        <v>0</v>
      </c>
      <c r="J211" s="134"/>
      <c r="K211" s="135"/>
      <c r="L211" s="136">
        <f t="shared" si="22"/>
        <v>0</v>
      </c>
      <c r="M211" s="284"/>
      <c r="N211" s="285"/>
      <c r="O211" s="136">
        <f t="shared" si="23"/>
        <v>0</v>
      </c>
      <c r="P211" s="85"/>
      <c r="R211" s="53"/>
      <c r="S211" s="53"/>
      <c r="T211" s="53"/>
    </row>
    <row r="212" spans="1:20" hidden="1" x14ac:dyDescent="0.25">
      <c r="A212" s="76">
        <v>5214</v>
      </c>
      <c r="B212" s="127" t="s">
        <v>228</v>
      </c>
      <c r="C212" s="279">
        <f t="shared" si="19"/>
        <v>0</v>
      </c>
      <c r="D212" s="134"/>
      <c r="E212" s="283"/>
      <c r="F212" s="279">
        <f t="shared" si="20"/>
        <v>0</v>
      </c>
      <c r="G212" s="134"/>
      <c r="H212" s="135"/>
      <c r="I212" s="136">
        <f t="shared" si="21"/>
        <v>0</v>
      </c>
      <c r="J212" s="134"/>
      <c r="K212" s="135"/>
      <c r="L212" s="136">
        <f t="shared" si="22"/>
        <v>0</v>
      </c>
      <c r="M212" s="284"/>
      <c r="N212" s="285"/>
      <c r="O212" s="136">
        <f t="shared" si="23"/>
        <v>0</v>
      </c>
      <c r="P212" s="85"/>
      <c r="R212" s="53"/>
      <c r="S212" s="53"/>
      <c r="T212" s="53"/>
    </row>
    <row r="213" spans="1:20" hidden="1" x14ac:dyDescent="0.25">
      <c r="A213" s="76">
        <v>5215</v>
      </c>
      <c r="B213" s="127" t="s">
        <v>229</v>
      </c>
      <c r="C213" s="279">
        <f t="shared" si="19"/>
        <v>0</v>
      </c>
      <c r="D213" s="134"/>
      <c r="E213" s="283"/>
      <c r="F213" s="279">
        <f t="shared" si="20"/>
        <v>0</v>
      </c>
      <c r="G213" s="134"/>
      <c r="H213" s="135"/>
      <c r="I213" s="136">
        <f t="shared" si="21"/>
        <v>0</v>
      </c>
      <c r="J213" s="134"/>
      <c r="K213" s="135"/>
      <c r="L213" s="136">
        <f t="shared" si="22"/>
        <v>0</v>
      </c>
      <c r="M213" s="284"/>
      <c r="N213" s="285"/>
      <c r="O213" s="136">
        <f t="shared" si="23"/>
        <v>0</v>
      </c>
      <c r="P213" s="85"/>
      <c r="R213" s="53"/>
      <c r="S213" s="53"/>
      <c r="T213" s="53"/>
    </row>
    <row r="214" spans="1:20" ht="24" hidden="1" x14ac:dyDescent="0.25">
      <c r="A214" s="76">
        <v>5216</v>
      </c>
      <c r="B214" s="127" t="s">
        <v>230</v>
      </c>
      <c r="C214" s="279">
        <f t="shared" si="19"/>
        <v>0</v>
      </c>
      <c r="D214" s="134"/>
      <c r="E214" s="283"/>
      <c r="F214" s="279">
        <f t="shared" si="20"/>
        <v>0</v>
      </c>
      <c r="G214" s="134"/>
      <c r="H214" s="135"/>
      <c r="I214" s="136">
        <f t="shared" si="21"/>
        <v>0</v>
      </c>
      <c r="J214" s="134"/>
      <c r="K214" s="135"/>
      <c r="L214" s="136">
        <f t="shared" si="22"/>
        <v>0</v>
      </c>
      <c r="M214" s="284"/>
      <c r="N214" s="285"/>
      <c r="O214" s="136">
        <f t="shared" si="23"/>
        <v>0</v>
      </c>
      <c r="P214" s="85"/>
      <c r="R214" s="53"/>
      <c r="S214" s="53"/>
      <c r="T214" s="53"/>
    </row>
    <row r="215" spans="1:20" hidden="1" x14ac:dyDescent="0.25">
      <c r="A215" s="76">
        <v>5217</v>
      </c>
      <c r="B215" s="127" t="s">
        <v>231</v>
      </c>
      <c r="C215" s="279">
        <f t="shared" si="19"/>
        <v>0</v>
      </c>
      <c r="D215" s="134"/>
      <c r="E215" s="283"/>
      <c r="F215" s="279">
        <f t="shared" si="20"/>
        <v>0</v>
      </c>
      <c r="G215" s="134"/>
      <c r="H215" s="135"/>
      <c r="I215" s="136">
        <f t="shared" si="21"/>
        <v>0</v>
      </c>
      <c r="J215" s="134"/>
      <c r="K215" s="135"/>
      <c r="L215" s="136">
        <f t="shared" si="22"/>
        <v>0</v>
      </c>
      <c r="M215" s="284"/>
      <c r="N215" s="285"/>
      <c r="O215" s="136">
        <f t="shared" si="23"/>
        <v>0</v>
      </c>
      <c r="P215" s="85"/>
      <c r="R215" s="53"/>
      <c r="S215" s="53"/>
      <c r="T215" s="53"/>
    </row>
    <row r="216" spans="1:20" hidden="1" x14ac:dyDescent="0.25">
      <c r="A216" s="76">
        <v>5218</v>
      </c>
      <c r="B216" s="127" t="s">
        <v>232</v>
      </c>
      <c r="C216" s="279">
        <f t="shared" si="19"/>
        <v>0</v>
      </c>
      <c r="D216" s="134"/>
      <c r="E216" s="283"/>
      <c r="F216" s="279">
        <f t="shared" si="20"/>
        <v>0</v>
      </c>
      <c r="G216" s="134"/>
      <c r="H216" s="135"/>
      <c r="I216" s="136">
        <f t="shared" si="21"/>
        <v>0</v>
      </c>
      <c r="J216" s="134"/>
      <c r="K216" s="135"/>
      <c r="L216" s="136">
        <f t="shared" si="22"/>
        <v>0</v>
      </c>
      <c r="M216" s="284"/>
      <c r="N216" s="285"/>
      <c r="O216" s="136">
        <f t="shared" si="23"/>
        <v>0</v>
      </c>
      <c r="P216" s="85"/>
      <c r="R216" s="53"/>
      <c r="S216" s="53"/>
      <c r="T216" s="53"/>
    </row>
    <row r="217" spans="1:20" hidden="1" x14ac:dyDescent="0.25">
      <c r="A217" s="76">
        <v>5219</v>
      </c>
      <c r="B217" s="127" t="s">
        <v>233</v>
      </c>
      <c r="C217" s="279">
        <f t="shared" si="19"/>
        <v>0</v>
      </c>
      <c r="D217" s="134"/>
      <c r="E217" s="283"/>
      <c r="F217" s="279">
        <f t="shared" si="20"/>
        <v>0</v>
      </c>
      <c r="G217" s="134"/>
      <c r="H217" s="135"/>
      <c r="I217" s="136">
        <f t="shared" si="21"/>
        <v>0</v>
      </c>
      <c r="J217" s="134"/>
      <c r="K217" s="135"/>
      <c r="L217" s="136">
        <f t="shared" si="22"/>
        <v>0</v>
      </c>
      <c r="M217" s="284"/>
      <c r="N217" s="285"/>
      <c r="O217" s="136">
        <f t="shared" si="23"/>
        <v>0</v>
      </c>
      <c r="P217" s="85"/>
      <c r="R217" s="53"/>
      <c r="S217" s="53"/>
      <c r="T217" s="53"/>
    </row>
    <row r="218" spans="1:20" hidden="1" x14ac:dyDescent="0.25">
      <c r="A218" s="276">
        <v>5220</v>
      </c>
      <c r="B218" s="127" t="s">
        <v>234</v>
      </c>
      <c r="C218" s="279">
        <f t="shared" si="19"/>
        <v>0</v>
      </c>
      <c r="D218" s="134"/>
      <c r="E218" s="283"/>
      <c r="F218" s="279">
        <f t="shared" si="20"/>
        <v>0</v>
      </c>
      <c r="G218" s="134"/>
      <c r="H218" s="135"/>
      <c r="I218" s="136">
        <f t="shared" si="21"/>
        <v>0</v>
      </c>
      <c r="J218" s="134"/>
      <c r="K218" s="135"/>
      <c r="L218" s="136">
        <f t="shared" si="22"/>
        <v>0</v>
      </c>
      <c r="M218" s="284"/>
      <c r="N218" s="285"/>
      <c r="O218" s="136">
        <f t="shared" si="23"/>
        <v>0</v>
      </c>
      <c r="P218" s="85"/>
      <c r="R218" s="53"/>
      <c r="S218" s="53"/>
      <c r="T218" s="53"/>
    </row>
    <row r="219" spans="1:20" x14ac:dyDescent="0.25">
      <c r="A219" s="276">
        <v>5230</v>
      </c>
      <c r="B219" s="127" t="s">
        <v>235</v>
      </c>
      <c r="C219" s="279">
        <f t="shared" si="19"/>
        <v>22316</v>
      </c>
      <c r="D219" s="277">
        <f>SUM(D220:D227)</f>
        <v>18045</v>
      </c>
      <c r="E219" s="278">
        <f>SUM(E220:E227)</f>
        <v>0</v>
      </c>
      <c r="F219" s="279">
        <f t="shared" si="20"/>
        <v>18045</v>
      </c>
      <c r="G219" s="277">
        <f>SUM(G220:G227)</f>
        <v>4000</v>
      </c>
      <c r="H219" s="280">
        <f>SUM(H220:H227)</f>
        <v>0</v>
      </c>
      <c r="I219" s="136">
        <f t="shared" si="21"/>
        <v>4000</v>
      </c>
      <c r="J219" s="277">
        <f>SUM(J220:J227)</f>
        <v>271</v>
      </c>
      <c r="K219" s="280">
        <f>SUM(K220:K227)</f>
        <v>0</v>
      </c>
      <c r="L219" s="136">
        <f t="shared" si="22"/>
        <v>271</v>
      </c>
      <c r="M219" s="281">
        <f>SUM(M220:M227)</f>
        <v>0</v>
      </c>
      <c r="N219" s="282">
        <f>SUM(N220:N227)</f>
        <v>0</v>
      </c>
      <c r="O219" s="136">
        <f t="shared" si="23"/>
        <v>0</v>
      </c>
      <c r="P219" s="85"/>
      <c r="R219" s="53"/>
      <c r="S219" s="53"/>
      <c r="T219" s="53"/>
    </row>
    <row r="220" spans="1:20" hidden="1" x14ac:dyDescent="0.25">
      <c r="A220" s="76">
        <v>5231</v>
      </c>
      <c r="B220" s="127" t="s">
        <v>236</v>
      </c>
      <c r="C220" s="279">
        <f t="shared" si="19"/>
        <v>0</v>
      </c>
      <c r="D220" s="134"/>
      <c r="E220" s="283"/>
      <c r="F220" s="279">
        <f t="shared" si="20"/>
        <v>0</v>
      </c>
      <c r="G220" s="134"/>
      <c r="H220" s="135"/>
      <c r="I220" s="136">
        <f t="shared" si="21"/>
        <v>0</v>
      </c>
      <c r="J220" s="134"/>
      <c r="K220" s="135"/>
      <c r="L220" s="136">
        <f t="shared" si="22"/>
        <v>0</v>
      </c>
      <c r="M220" s="284"/>
      <c r="N220" s="285"/>
      <c r="O220" s="136">
        <f t="shared" si="23"/>
        <v>0</v>
      </c>
      <c r="P220" s="85"/>
      <c r="R220" s="53"/>
      <c r="S220" s="53"/>
      <c r="T220" s="53"/>
    </row>
    <row r="221" spans="1:20" x14ac:dyDescent="0.25">
      <c r="A221" s="76">
        <v>5232</v>
      </c>
      <c r="B221" s="127" t="s">
        <v>237</v>
      </c>
      <c r="C221" s="279">
        <f t="shared" si="19"/>
        <v>4609</v>
      </c>
      <c r="D221" s="134">
        <f>3589+749</f>
        <v>4338</v>
      </c>
      <c r="E221" s="283"/>
      <c r="F221" s="279">
        <f t="shared" si="20"/>
        <v>4338</v>
      </c>
      <c r="G221" s="134"/>
      <c r="H221" s="135"/>
      <c r="I221" s="136">
        <f t="shared" si="21"/>
        <v>0</v>
      </c>
      <c r="J221" s="134">
        <v>271</v>
      </c>
      <c r="K221" s="135"/>
      <c r="L221" s="136">
        <f t="shared" si="22"/>
        <v>271</v>
      </c>
      <c r="M221" s="284"/>
      <c r="N221" s="285"/>
      <c r="O221" s="136">
        <f t="shared" si="23"/>
        <v>0</v>
      </c>
      <c r="P221" s="85"/>
      <c r="R221" s="53"/>
      <c r="S221" s="53"/>
      <c r="T221" s="53"/>
    </row>
    <row r="222" spans="1:20" x14ac:dyDescent="0.25">
      <c r="A222" s="76">
        <v>5233</v>
      </c>
      <c r="B222" s="127" t="s">
        <v>238</v>
      </c>
      <c r="C222" s="279">
        <f t="shared" si="19"/>
        <v>6500</v>
      </c>
      <c r="D222" s="134">
        <v>2500</v>
      </c>
      <c r="E222" s="283"/>
      <c r="F222" s="279">
        <f t="shared" si="20"/>
        <v>2500</v>
      </c>
      <c r="G222" s="134">
        <v>4000</v>
      </c>
      <c r="H222" s="135"/>
      <c r="I222" s="136">
        <f t="shared" si="21"/>
        <v>4000</v>
      </c>
      <c r="J222" s="134">
        <v>0</v>
      </c>
      <c r="K222" s="135"/>
      <c r="L222" s="136">
        <f t="shared" si="22"/>
        <v>0</v>
      </c>
      <c r="M222" s="284"/>
      <c r="N222" s="285"/>
      <c r="O222" s="136">
        <f t="shared" si="23"/>
        <v>0</v>
      </c>
      <c r="P222" s="85"/>
      <c r="R222" s="53"/>
      <c r="S222" s="53"/>
      <c r="T222" s="53"/>
    </row>
    <row r="223" spans="1:20" ht="24" hidden="1" x14ac:dyDescent="0.25">
      <c r="A223" s="76">
        <v>5234</v>
      </c>
      <c r="B223" s="127" t="s">
        <v>239</v>
      </c>
      <c r="C223" s="279">
        <f t="shared" si="19"/>
        <v>0</v>
      </c>
      <c r="D223" s="134"/>
      <c r="E223" s="283"/>
      <c r="F223" s="279">
        <f t="shared" si="20"/>
        <v>0</v>
      </c>
      <c r="G223" s="134"/>
      <c r="H223" s="135"/>
      <c r="I223" s="136">
        <f t="shared" si="21"/>
        <v>0</v>
      </c>
      <c r="J223" s="134"/>
      <c r="K223" s="135"/>
      <c r="L223" s="136">
        <f t="shared" si="22"/>
        <v>0</v>
      </c>
      <c r="M223" s="284"/>
      <c r="N223" s="285"/>
      <c r="O223" s="136">
        <f t="shared" si="23"/>
        <v>0</v>
      </c>
      <c r="P223" s="85"/>
      <c r="R223" s="53"/>
      <c r="S223" s="53"/>
      <c r="T223" s="53"/>
    </row>
    <row r="224" spans="1:20" hidden="1" x14ac:dyDescent="0.25">
      <c r="A224" s="76">
        <v>5236</v>
      </c>
      <c r="B224" s="127" t="s">
        <v>240</v>
      </c>
      <c r="C224" s="279">
        <f t="shared" si="19"/>
        <v>0</v>
      </c>
      <c r="D224" s="134"/>
      <c r="E224" s="283"/>
      <c r="F224" s="279">
        <f t="shared" si="20"/>
        <v>0</v>
      </c>
      <c r="G224" s="134"/>
      <c r="H224" s="135"/>
      <c r="I224" s="136">
        <f t="shared" si="21"/>
        <v>0</v>
      </c>
      <c r="J224" s="134"/>
      <c r="K224" s="135"/>
      <c r="L224" s="136">
        <f t="shared" si="22"/>
        <v>0</v>
      </c>
      <c r="M224" s="284"/>
      <c r="N224" s="285"/>
      <c r="O224" s="136">
        <f t="shared" si="23"/>
        <v>0</v>
      </c>
      <c r="P224" s="85"/>
      <c r="R224" s="53"/>
      <c r="S224" s="53"/>
      <c r="T224" s="53"/>
    </row>
    <row r="225" spans="1:20" hidden="1" x14ac:dyDescent="0.25">
      <c r="A225" s="76">
        <v>5237</v>
      </c>
      <c r="B225" s="127" t="s">
        <v>241</v>
      </c>
      <c r="C225" s="279">
        <f t="shared" si="19"/>
        <v>0</v>
      </c>
      <c r="D225" s="134"/>
      <c r="E225" s="283"/>
      <c r="F225" s="279">
        <f t="shared" si="20"/>
        <v>0</v>
      </c>
      <c r="G225" s="134"/>
      <c r="H225" s="135"/>
      <c r="I225" s="136">
        <f t="shared" si="21"/>
        <v>0</v>
      </c>
      <c r="J225" s="134"/>
      <c r="K225" s="135"/>
      <c r="L225" s="136">
        <f t="shared" si="22"/>
        <v>0</v>
      </c>
      <c r="M225" s="284"/>
      <c r="N225" s="285"/>
      <c r="O225" s="136">
        <f t="shared" si="23"/>
        <v>0</v>
      </c>
      <c r="P225" s="85"/>
      <c r="R225" s="53"/>
      <c r="S225" s="53"/>
      <c r="T225" s="53"/>
    </row>
    <row r="226" spans="1:20" ht="24" x14ac:dyDescent="0.25">
      <c r="A226" s="76">
        <v>5238</v>
      </c>
      <c r="B226" s="127" t="s">
        <v>242</v>
      </c>
      <c r="C226" s="279">
        <f t="shared" si="19"/>
        <v>11207</v>
      </c>
      <c r="D226" s="134">
        <f>1920+540+500+1200+5000+2796-749</f>
        <v>11207</v>
      </c>
      <c r="E226" s="283"/>
      <c r="F226" s="279">
        <f t="shared" si="20"/>
        <v>11207</v>
      </c>
      <c r="G226" s="134"/>
      <c r="H226" s="135"/>
      <c r="I226" s="136">
        <f t="shared" si="21"/>
        <v>0</v>
      </c>
      <c r="J226" s="134"/>
      <c r="K226" s="135"/>
      <c r="L226" s="136">
        <f t="shared" si="22"/>
        <v>0</v>
      </c>
      <c r="M226" s="284"/>
      <c r="N226" s="285"/>
      <c r="O226" s="136">
        <f t="shared" si="23"/>
        <v>0</v>
      </c>
      <c r="P226" s="85"/>
      <c r="R226" s="53"/>
      <c r="S226" s="53"/>
      <c r="T226" s="53"/>
    </row>
    <row r="227" spans="1:20" ht="24" hidden="1" x14ac:dyDescent="0.25">
      <c r="A227" s="76">
        <v>5239</v>
      </c>
      <c r="B227" s="127" t="s">
        <v>243</v>
      </c>
      <c r="C227" s="279">
        <f t="shared" si="19"/>
        <v>0</v>
      </c>
      <c r="D227" s="134">
        <f>3612-3612</f>
        <v>0</v>
      </c>
      <c r="E227" s="283"/>
      <c r="F227" s="279">
        <f t="shared" si="20"/>
        <v>0</v>
      </c>
      <c r="G227" s="134"/>
      <c r="H227" s="135"/>
      <c r="I227" s="136">
        <f t="shared" si="21"/>
        <v>0</v>
      </c>
      <c r="J227" s="134">
        <f>248-248</f>
        <v>0</v>
      </c>
      <c r="K227" s="135"/>
      <c r="L227" s="136">
        <f t="shared" si="22"/>
        <v>0</v>
      </c>
      <c r="M227" s="284"/>
      <c r="N227" s="285"/>
      <c r="O227" s="136">
        <f t="shared" si="23"/>
        <v>0</v>
      </c>
      <c r="P227" s="85"/>
      <c r="R227" s="53"/>
      <c r="S227" s="53"/>
      <c r="T227" s="53"/>
    </row>
    <row r="228" spans="1:20" ht="24" hidden="1" x14ac:dyDescent="0.25">
      <c r="A228" s="276">
        <v>5240</v>
      </c>
      <c r="B228" s="127" t="s">
        <v>244</v>
      </c>
      <c r="C228" s="279">
        <f t="shared" si="19"/>
        <v>0</v>
      </c>
      <c r="D228" s="134"/>
      <c r="E228" s="283"/>
      <c r="F228" s="279">
        <f t="shared" si="20"/>
        <v>0</v>
      </c>
      <c r="G228" s="134"/>
      <c r="H228" s="135"/>
      <c r="I228" s="136">
        <f t="shared" si="21"/>
        <v>0</v>
      </c>
      <c r="J228" s="134"/>
      <c r="K228" s="135"/>
      <c r="L228" s="136">
        <f t="shared" si="22"/>
        <v>0</v>
      </c>
      <c r="M228" s="284"/>
      <c r="N228" s="285"/>
      <c r="O228" s="136">
        <f t="shared" si="23"/>
        <v>0</v>
      </c>
      <c r="P228" s="85"/>
      <c r="R228" s="53"/>
      <c r="S228" s="53"/>
      <c r="T228" s="53"/>
    </row>
    <row r="229" spans="1:20" hidden="1" x14ac:dyDescent="0.25">
      <c r="A229" s="276">
        <v>5250</v>
      </c>
      <c r="B229" s="127" t="s">
        <v>245</v>
      </c>
      <c r="C229" s="279">
        <f t="shared" si="19"/>
        <v>0</v>
      </c>
      <c r="D229" s="134"/>
      <c r="E229" s="283"/>
      <c r="F229" s="279">
        <f t="shared" si="20"/>
        <v>0</v>
      </c>
      <c r="G229" s="134"/>
      <c r="H229" s="135"/>
      <c r="I229" s="136">
        <f t="shared" si="21"/>
        <v>0</v>
      </c>
      <c r="J229" s="134"/>
      <c r="K229" s="135"/>
      <c r="L229" s="136">
        <f t="shared" si="22"/>
        <v>0</v>
      </c>
      <c r="M229" s="284"/>
      <c r="N229" s="285"/>
      <c r="O229" s="136">
        <f t="shared" si="23"/>
        <v>0</v>
      </c>
      <c r="P229" s="85"/>
      <c r="R229" s="53"/>
      <c r="S229" s="53"/>
      <c r="T229" s="53"/>
    </row>
    <row r="230" spans="1:20" hidden="1" x14ac:dyDescent="0.25">
      <c r="A230" s="276">
        <v>5260</v>
      </c>
      <c r="B230" s="127" t="s">
        <v>246</v>
      </c>
      <c r="C230" s="279">
        <f t="shared" si="19"/>
        <v>0</v>
      </c>
      <c r="D230" s="277">
        <f>SUM(D231)</f>
        <v>0</v>
      </c>
      <c r="E230" s="278">
        <f>SUM(E231)</f>
        <v>0</v>
      </c>
      <c r="F230" s="279">
        <f t="shared" si="20"/>
        <v>0</v>
      </c>
      <c r="G230" s="277">
        <f>SUM(G231)</f>
        <v>0</v>
      </c>
      <c r="H230" s="280">
        <f>SUM(H231)</f>
        <v>0</v>
      </c>
      <c r="I230" s="136">
        <f t="shared" si="21"/>
        <v>0</v>
      </c>
      <c r="J230" s="277">
        <f>SUM(J231)</f>
        <v>0</v>
      </c>
      <c r="K230" s="280">
        <f>SUM(K231)</f>
        <v>0</v>
      </c>
      <c r="L230" s="136">
        <f t="shared" si="22"/>
        <v>0</v>
      </c>
      <c r="M230" s="281">
        <f>SUM(M231)</f>
        <v>0</v>
      </c>
      <c r="N230" s="282">
        <f>SUM(N231)</f>
        <v>0</v>
      </c>
      <c r="O230" s="136">
        <f t="shared" si="23"/>
        <v>0</v>
      </c>
      <c r="P230" s="85"/>
      <c r="R230" s="53"/>
      <c r="S230" s="53"/>
      <c r="T230" s="53"/>
    </row>
    <row r="231" spans="1:20" ht="24" hidden="1" x14ac:dyDescent="0.25">
      <c r="A231" s="76">
        <v>5269</v>
      </c>
      <c r="B231" s="127" t="s">
        <v>247</v>
      </c>
      <c r="C231" s="279">
        <f t="shared" si="19"/>
        <v>0</v>
      </c>
      <c r="D231" s="134"/>
      <c r="E231" s="283"/>
      <c r="F231" s="279">
        <f t="shared" si="20"/>
        <v>0</v>
      </c>
      <c r="G231" s="134"/>
      <c r="H231" s="135"/>
      <c r="I231" s="136">
        <f t="shared" si="21"/>
        <v>0</v>
      </c>
      <c r="J231" s="134"/>
      <c r="K231" s="135"/>
      <c r="L231" s="136">
        <f t="shared" si="22"/>
        <v>0</v>
      </c>
      <c r="M231" s="284"/>
      <c r="N231" s="285"/>
      <c r="O231" s="136">
        <f t="shared" si="23"/>
        <v>0</v>
      </c>
      <c r="P231" s="85"/>
      <c r="R231" s="53"/>
      <c r="S231" s="53"/>
      <c r="T231" s="53"/>
    </row>
    <row r="232" spans="1:20" ht="24" hidden="1" x14ac:dyDescent="0.25">
      <c r="A232" s="254">
        <v>5270</v>
      </c>
      <c r="B232" s="179" t="s">
        <v>248</v>
      </c>
      <c r="C232" s="302">
        <f t="shared" si="19"/>
        <v>0</v>
      </c>
      <c r="D232" s="287"/>
      <c r="E232" s="288"/>
      <c r="F232" s="257">
        <f t="shared" si="20"/>
        <v>0</v>
      </c>
      <c r="G232" s="287"/>
      <c r="H232" s="289"/>
      <c r="I232" s="259">
        <f t="shared" si="21"/>
        <v>0</v>
      </c>
      <c r="J232" s="287"/>
      <c r="K232" s="289"/>
      <c r="L232" s="259">
        <f t="shared" si="22"/>
        <v>0</v>
      </c>
      <c r="M232" s="290"/>
      <c r="N232" s="291"/>
      <c r="O232" s="259">
        <f t="shared" si="23"/>
        <v>0</v>
      </c>
      <c r="P232" s="189"/>
      <c r="R232" s="53"/>
      <c r="S232" s="53"/>
      <c r="T232" s="53"/>
    </row>
    <row r="233" spans="1:20" hidden="1" x14ac:dyDescent="0.25">
      <c r="A233" s="237">
        <v>6000</v>
      </c>
      <c r="B233" s="237" t="s">
        <v>249</v>
      </c>
      <c r="C233" s="238">
        <f t="shared" si="19"/>
        <v>0</v>
      </c>
      <c r="D233" s="239">
        <f>D234+D254+D261</f>
        <v>0</v>
      </c>
      <c r="E233" s="240">
        <f>E234+E254+E261</f>
        <v>0</v>
      </c>
      <c r="F233" s="241">
        <f t="shared" si="20"/>
        <v>0</v>
      </c>
      <c r="G233" s="239">
        <f>G234+G254+G261</f>
        <v>0</v>
      </c>
      <c r="H233" s="242">
        <f>H234+H254+H261</f>
        <v>0</v>
      </c>
      <c r="I233" s="243">
        <f t="shared" si="21"/>
        <v>0</v>
      </c>
      <c r="J233" s="239">
        <f>J234+J254+J261</f>
        <v>0</v>
      </c>
      <c r="K233" s="242">
        <f>K234+K254+K261</f>
        <v>0</v>
      </c>
      <c r="L233" s="243">
        <f t="shared" si="22"/>
        <v>0</v>
      </c>
      <c r="M233" s="244">
        <f>M234+M254+M261</f>
        <v>0</v>
      </c>
      <c r="N233" s="245">
        <f>N234+N254+N261</f>
        <v>0</v>
      </c>
      <c r="O233" s="243">
        <f t="shared" si="23"/>
        <v>0</v>
      </c>
      <c r="P233" s="246"/>
      <c r="R233" s="53"/>
      <c r="S233" s="53"/>
      <c r="T233" s="53"/>
    </row>
    <row r="234" spans="1:20" hidden="1" x14ac:dyDescent="0.25">
      <c r="A234" s="160">
        <v>6200</v>
      </c>
      <c r="B234" s="321" t="s">
        <v>250</v>
      </c>
      <c r="C234" s="333">
        <f t="shared" si="19"/>
        <v>0</v>
      </c>
      <c r="D234" s="334">
        <f>SUM(D235,D236,D238,D241,D247,D248,D249)</f>
        <v>0</v>
      </c>
      <c r="E234" s="684">
        <f>SUM(E235,E236,E238,E241,E247,E248,E249)</f>
        <v>0</v>
      </c>
      <c r="F234" s="648">
        <f t="shared" si="20"/>
        <v>0</v>
      </c>
      <c r="G234" s="334">
        <f>SUM(G235,G236,G238,G241,G247,G248,G249)</f>
        <v>0</v>
      </c>
      <c r="H234" s="336">
        <f>SUM(H235,H236,H238,H241,H247,H248,H249)</f>
        <v>0</v>
      </c>
      <c r="I234" s="252">
        <f t="shared" si="21"/>
        <v>0</v>
      </c>
      <c r="J234" s="334">
        <f>SUM(J235,J236,J238,J241,J247,J248,J249)</f>
        <v>0</v>
      </c>
      <c r="K234" s="336">
        <f>SUM(K235,K236,K238,K241,K247,K248,K249)</f>
        <v>0</v>
      </c>
      <c r="L234" s="252">
        <f t="shared" si="22"/>
        <v>0</v>
      </c>
      <c r="M234" s="250">
        <f>SUM(M235,M236,M238,M241,M247,M248,M249)</f>
        <v>0</v>
      </c>
      <c r="N234" s="251">
        <f>SUM(N235,N236,N238,N241,N247,N248,N249)</f>
        <v>0</v>
      </c>
      <c r="O234" s="252">
        <f t="shared" si="23"/>
        <v>0</v>
      </c>
      <c r="P234" s="253"/>
      <c r="R234" s="53"/>
      <c r="S234" s="53"/>
      <c r="T234" s="53"/>
    </row>
    <row r="235" spans="1:20" ht="24" hidden="1" x14ac:dyDescent="0.25">
      <c r="A235" s="656">
        <v>6220</v>
      </c>
      <c r="B235" s="116" t="s">
        <v>251</v>
      </c>
      <c r="C235" s="298">
        <f t="shared" si="19"/>
        <v>0</v>
      </c>
      <c r="D235" s="123"/>
      <c r="E235" s="295"/>
      <c r="F235" s="296">
        <f t="shared" si="20"/>
        <v>0</v>
      </c>
      <c r="G235" s="123"/>
      <c r="H235" s="124"/>
      <c r="I235" s="125">
        <f t="shared" si="21"/>
        <v>0</v>
      </c>
      <c r="J235" s="123"/>
      <c r="K235" s="124"/>
      <c r="L235" s="125">
        <f t="shared" si="22"/>
        <v>0</v>
      </c>
      <c r="M235" s="264"/>
      <c r="N235" s="262"/>
      <c r="O235" s="125">
        <f t="shared" si="23"/>
        <v>0</v>
      </c>
      <c r="P235" s="74"/>
      <c r="R235" s="53"/>
      <c r="S235" s="53"/>
      <c r="T235" s="53"/>
    </row>
    <row r="236" spans="1:20" hidden="1" x14ac:dyDescent="0.25">
      <c r="A236" s="276">
        <v>6230</v>
      </c>
      <c r="B236" s="127" t="s">
        <v>252</v>
      </c>
      <c r="C236" s="278">
        <f t="shared" si="19"/>
        <v>0</v>
      </c>
      <c r="D236" s="277">
        <f>SUM(D237)</f>
        <v>0</v>
      </c>
      <c r="E236" s="281">
        <f>SUM(E237)</f>
        <v>0</v>
      </c>
      <c r="F236" s="279">
        <f t="shared" si="20"/>
        <v>0</v>
      </c>
      <c r="G236" s="277">
        <f>SUM(G237)</f>
        <v>0</v>
      </c>
      <c r="H236" s="280">
        <f>SUM(H237)</f>
        <v>0</v>
      </c>
      <c r="I236" s="136">
        <f t="shared" si="21"/>
        <v>0</v>
      </c>
      <c r="J236" s="277">
        <f>SUM(J237)</f>
        <v>0</v>
      </c>
      <c r="K236" s="280">
        <f>SUM(K237)</f>
        <v>0</v>
      </c>
      <c r="L236" s="136">
        <f t="shared" si="22"/>
        <v>0</v>
      </c>
      <c r="M236" s="277">
        <f>SUM(M237)</f>
        <v>0</v>
      </c>
      <c r="N236" s="280">
        <f>SUM(N237)</f>
        <v>0</v>
      </c>
      <c r="O236" s="136">
        <f t="shared" si="23"/>
        <v>0</v>
      </c>
      <c r="P236" s="85"/>
      <c r="R236" s="53"/>
      <c r="S236" s="53"/>
      <c r="T236" s="53"/>
    </row>
    <row r="237" spans="1:20" ht="24" hidden="1" x14ac:dyDescent="0.25">
      <c r="A237" s="76">
        <v>6239</v>
      </c>
      <c r="B237" s="116" t="s">
        <v>253</v>
      </c>
      <c r="C237" s="278">
        <f t="shared" si="19"/>
        <v>0</v>
      </c>
      <c r="D237" s="134"/>
      <c r="E237" s="283"/>
      <c r="F237" s="279">
        <f t="shared" si="20"/>
        <v>0</v>
      </c>
      <c r="G237" s="134"/>
      <c r="H237" s="135"/>
      <c r="I237" s="136">
        <f t="shared" si="21"/>
        <v>0</v>
      </c>
      <c r="J237" s="134"/>
      <c r="K237" s="135"/>
      <c r="L237" s="136">
        <f t="shared" si="22"/>
        <v>0</v>
      </c>
      <c r="M237" s="284"/>
      <c r="N237" s="285"/>
      <c r="O237" s="136">
        <f t="shared" si="23"/>
        <v>0</v>
      </c>
      <c r="P237" s="85"/>
      <c r="R237" s="53"/>
      <c r="S237" s="53"/>
      <c r="T237" s="53"/>
    </row>
    <row r="238" spans="1:20" ht="24" hidden="1" x14ac:dyDescent="0.25">
      <c r="A238" s="276">
        <v>6240</v>
      </c>
      <c r="B238" s="127" t="s">
        <v>254</v>
      </c>
      <c r="C238" s="278">
        <f t="shared" si="19"/>
        <v>0</v>
      </c>
      <c r="D238" s="277">
        <f>SUM(D239:D240)</f>
        <v>0</v>
      </c>
      <c r="E238" s="278">
        <f>SUM(E239:E240)</f>
        <v>0</v>
      </c>
      <c r="F238" s="279">
        <f t="shared" si="20"/>
        <v>0</v>
      </c>
      <c r="G238" s="277">
        <f>SUM(G239:G240)</f>
        <v>0</v>
      </c>
      <c r="H238" s="280">
        <f>SUM(H239:H240)</f>
        <v>0</v>
      </c>
      <c r="I238" s="136">
        <f t="shared" si="21"/>
        <v>0</v>
      </c>
      <c r="J238" s="277">
        <f>SUM(J239:J240)</f>
        <v>0</v>
      </c>
      <c r="K238" s="280">
        <f>SUM(K239:K240)</f>
        <v>0</v>
      </c>
      <c r="L238" s="136">
        <f t="shared" si="22"/>
        <v>0</v>
      </c>
      <c r="M238" s="281">
        <f>SUM(M239:M240)</f>
        <v>0</v>
      </c>
      <c r="N238" s="282">
        <f>SUM(N239:N240)</f>
        <v>0</v>
      </c>
      <c r="O238" s="136">
        <f t="shared" si="23"/>
        <v>0</v>
      </c>
      <c r="P238" s="85"/>
      <c r="R238" s="53"/>
      <c r="S238" s="53"/>
      <c r="T238" s="53"/>
    </row>
    <row r="239" spans="1:20" hidden="1" x14ac:dyDescent="0.25">
      <c r="A239" s="76">
        <v>6241</v>
      </c>
      <c r="B239" s="127" t="s">
        <v>255</v>
      </c>
      <c r="C239" s="278">
        <f t="shared" si="19"/>
        <v>0</v>
      </c>
      <c r="D239" s="134"/>
      <c r="E239" s="283"/>
      <c r="F239" s="279">
        <f t="shared" si="20"/>
        <v>0</v>
      </c>
      <c r="G239" s="134"/>
      <c r="H239" s="135"/>
      <c r="I239" s="136">
        <f t="shared" si="21"/>
        <v>0</v>
      </c>
      <c r="J239" s="134"/>
      <c r="K239" s="135"/>
      <c r="L239" s="136">
        <f t="shared" si="22"/>
        <v>0</v>
      </c>
      <c r="M239" s="284"/>
      <c r="N239" s="285"/>
      <c r="O239" s="136">
        <f t="shared" si="23"/>
        <v>0</v>
      </c>
      <c r="P239" s="85"/>
      <c r="R239" s="53"/>
      <c r="S239" s="53"/>
      <c r="T239" s="53"/>
    </row>
    <row r="240" spans="1:20" hidden="1" x14ac:dyDescent="0.25">
      <c r="A240" s="76">
        <v>6242</v>
      </c>
      <c r="B240" s="127" t="s">
        <v>256</v>
      </c>
      <c r="C240" s="278">
        <f t="shared" si="19"/>
        <v>0</v>
      </c>
      <c r="D240" s="134"/>
      <c r="E240" s="283"/>
      <c r="F240" s="279">
        <f t="shared" si="20"/>
        <v>0</v>
      </c>
      <c r="G240" s="134"/>
      <c r="H240" s="135"/>
      <c r="I240" s="136">
        <f t="shared" si="21"/>
        <v>0</v>
      </c>
      <c r="J240" s="134"/>
      <c r="K240" s="135"/>
      <c r="L240" s="136">
        <f t="shared" si="22"/>
        <v>0</v>
      </c>
      <c r="M240" s="284"/>
      <c r="N240" s="285"/>
      <c r="O240" s="136">
        <f t="shared" si="23"/>
        <v>0</v>
      </c>
      <c r="P240" s="85"/>
      <c r="R240" s="53"/>
      <c r="S240" s="53"/>
      <c r="T240" s="53"/>
    </row>
    <row r="241" spans="1:20" ht="24" hidden="1" x14ac:dyDescent="0.25">
      <c r="A241" s="276">
        <v>6250</v>
      </c>
      <c r="B241" s="127" t="s">
        <v>257</v>
      </c>
      <c r="C241" s="278">
        <f t="shared" si="19"/>
        <v>0</v>
      </c>
      <c r="D241" s="277">
        <f>SUM(D242:D246)</f>
        <v>0</v>
      </c>
      <c r="E241" s="278">
        <f>SUM(E242:E246)</f>
        <v>0</v>
      </c>
      <c r="F241" s="279">
        <f t="shared" si="20"/>
        <v>0</v>
      </c>
      <c r="G241" s="277">
        <f>SUM(G242:G246)</f>
        <v>0</v>
      </c>
      <c r="H241" s="280">
        <f>SUM(H242:H246)</f>
        <v>0</v>
      </c>
      <c r="I241" s="136">
        <f t="shared" si="21"/>
        <v>0</v>
      </c>
      <c r="J241" s="277">
        <f>SUM(J242:J246)</f>
        <v>0</v>
      </c>
      <c r="K241" s="280">
        <f>SUM(K242:K246)</f>
        <v>0</v>
      </c>
      <c r="L241" s="136">
        <f t="shared" si="22"/>
        <v>0</v>
      </c>
      <c r="M241" s="281">
        <f>SUM(M242:M246)</f>
        <v>0</v>
      </c>
      <c r="N241" s="282">
        <f>SUM(N242:N246)</f>
        <v>0</v>
      </c>
      <c r="O241" s="136">
        <f t="shared" si="23"/>
        <v>0</v>
      </c>
      <c r="P241" s="85"/>
      <c r="R241" s="53"/>
      <c r="S241" s="53"/>
      <c r="T241" s="53"/>
    </row>
    <row r="242" spans="1:20" hidden="1" x14ac:dyDescent="0.25">
      <c r="A242" s="76">
        <v>6252</v>
      </c>
      <c r="B242" s="127" t="s">
        <v>258</v>
      </c>
      <c r="C242" s="278">
        <f t="shared" si="19"/>
        <v>0</v>
      </c>
      <c r="D242" s="134"/>
      <c r="E242" s="283"/>
      <c r="F242" s="279">
        <f t="shared" si="20"/>
        <v>0</v>
      </c>
      <c r="G242" s="134"/>
      <c r="H242" s="135"/>
      <c r="I242" s="136">
        <f t="shared" si="21"/>
        <v>0</v>
      </c>
      <c r="J242" s="134"/>
      <c r="K242" s="135"/>
      <c r="L242" s="136">
        <f t="shared" si="22"/>
        <v>0</v>
      </c>
      <c r="M242" s="284"/>
      <c r="N242" s="285"/>
      <c r="O242" s="136">
        <f t="shared" si="23"/>
        <v>0</v>
      </c>
      <c r="P242" s="85"/>
      <c r="R242" s="53"/>
      <c r="S242" s="53"/>
      <c r="T242" s="53"/>
    </row>
    <row r="243" spans="1:20" hidden="1" x14ac:dyDescent="0.25">
      <c r="A243" s="76">
        <v>6253</v>
      </c>
      <c r="B243" s="127" t="s">
        <v>259</v>
      </c>
      <c r="C243" s="278">
        <f t="shared" si="19"/>
        <v>0</v>
      </c>
      <c r="D243" s="134"/>
      <c r="E243" s="283"/>
      <c r="F243" s="279">
        <f t="shared" si="20"/>
        <v>0</v>
      </c>
      <c r="G243" s="134"/>
      <c r="H243" s="135"/>
      <c r="I243" s="136">
        <f t="shared" si="21"/>
        <v>0</v>
      </c>
      <c r="J243" s="134"/>
      <c r="K243" s="135"/>
      <c r="L243" s="136">
        <f t="shared" si="22"/>
        <v>0</v>
      </c>
      <c r="M243" s="284"/>
      <c r="N243" s="285"/>
      <c r="O243" s="136">
        <f t="shared" si="23"/>
        <v>0</v>
      </c>
      <c r="P243" s="85"/>
      <c r="R243" s="53"/>
      <c r="S243" s="53"/>
      <c r="T243" s="53"/>
    </row>
    <row r="244" spans="1:20" ht="24" hidden="1" x14ac:dyDescent="0.25">
      <c r="A244" s="76">
        <v>6254</v>
      </c>
      <c r="B244" s="127" t="s">
        <v>260</v>
      </c>
      <c r="C244" s="278">
        <f t="shared" si="19"/>
        <v>0</v>
      </c>
      <c r="D244" s="134"/>
      <c r="E244" s="283"/>
      <c r="F244" s="279">
        <f t="shared" si="20"/>
        <v>0</v>
      </c>
      <c r="G244" s="134"/>
      <c r="H244" s="135"/>
      <c r="I244" s="136">
        <f t="shared" si="21"/>
        <v>0</v>
      </c>
      <c r="J244" s="134"/>
      <c r="K244" s="135"/>
      <c r="L244" s="136">
        <f t="shared" si="22"/>
        <v>0</v>
      </c>
      <c r="M244" s="284"/>
      <c r="N244" s="285"/>
      <c r="O244" s="136">
        <f t="shared" si="23"/>
        <v>0</v>
      </c>
      <c r="P244" s="85"/>
      <c r="R244" s="53"/>
      <c r="S244" s="53"/>
      <c r="T244" s="53"/>
    </row>
    <row r="245" spans="1:20" ht="24" hidden="1" x14ac:dyDescent="0.25">
      <c r="A245" s="76">
        <v>6255</v>
      </c>
      <c r="B245" s="127" t="s">
        <v>261</v>
      </c>
      <c r="C245" s="278">
        <f t="shared" ref="C245:C299" si="26">SUM(F245,I245,L245,O245)</f>
        <v>0</v>
      </c>
      <c r="D245" s="134"/>
      <c r="E245" s="283"/>
      <c r="F245" s="279">
        <f t="shared" ref="F245:F299" si="27">D245+E245</f>
        <v>0</v>
      </c>
      <c r="G245" s="134"/>
      <c r="H245" s="135"/>
      <c r="I245" s="136">
        <f t="shared" ref="I245:I299" si="28">G245+H245</f>
        <v>0</v>
      </c>
      <c r="J245" s="134"/>
      <c r="K245" s="135"/>
      <c r="L245" s="136">
        <f t="shared" ref="L245:L299" si="29">J245+K245</f>
        <v>0</v>
      </c>
      <c r="M245" s="284"/>
      <c r="N245" s="285"/>
      <c r="O245" s="136">
        <f t="shared" ref="O245:O277" si="30">M245+N245</f>
        <v>0</v>
      </c>
      <c r="P245" s="85"/>
      <c r="R245" s="53"/>
      <c r="S245" s="53"/>
      <c r="T245" s="53"/>
    </row>
    <row r="246" spans="1:20" hidden="1" x14ac:dyDescent="0.25">
      <c r="A246" s="76">
        <v>6259</v>
      </c>
      <c r="B246" s="127" t="s">
        <v>262</v>
      </c>
      <c r="C246" s="278">
        <f t="shared" si="26"/>
        <v>0</v>
      </c>
      <c r="D246" s="134"/>
      <c r="E246" s="283"/>
      <c r="F246" s="279">
        <f t="shared" si="27"/>
        <v>0</v>
      </c>
      <c r="G246" s="134"/>
      <c r="H246" s="135"/>
      <c r="I246" s="136">
        <f t="shared" si="28"/>
        <v>0</v>
      </c>
      <c r="J246" s="134"/>
      <c r="K246" s="135"/>
      <c r="L246" s="136">
        <f t="shared" si="29"/>
        <v>0</v>
      </c>
      <c r="M246" s="284"/>
      <c r="N246" s="285"/>
      <c r="O246" s="136">
        <f t="shared" si="30"/>
        <v>0</v>
      </c>
      <c r="P246" s="85"/>
      <c r="R246" s="53"/>
      <c r="S246" s="53"/>
      <c r="T246" s="53"/>
    </row>
    <row r="247" spans="1:20" ht="24" hidden="1" x14ac:dyDescent="0.25">
      <c r="A247" s="276">
        <v>6260</v>
      </c>
      <c r="B247" s="127" t="s">
        <v>263</v>
      </c>
      <c r="C247" s="278">
        <f t="shared" si="26"/>
        <v>0</v>
      </c>
      <c r="D247" s="134"/>
      <c r="E247" s="283"/>
      <c r="F247" s="279">
        <f t="shared" si="27"/>
        <v>0</v>
      </c>
      <c r="G247" s="134"/>
      <c r="H247" s="135"/>
      <c r="I247" s="136">
        <f t="shared" si="28"/>
        <v>0</v>
      </c>
      <c r="J247" s="134"/>
      <c r="K247" s="135"/>
      <c r="L247" s="136">
        <f t="shared" si="29"/>
        <v>0</v>
      </c>
      <c r="M247" s="284"/>
      <c r="N247" s="285"/>
      <c r="O247" s="136">
        <f t="shared" si="30"/>
        <v>0</v>
      </c>
      <c r="P247" s="85"/>
      <c r="R247" s="53"/>
      <c r="S247" s="53"/>
      <c r="T247" s="53"/>
    </row>
    <row r="248" spans="1:20" hidden="1" x14ac:dyDescent="0.25">
      <c r="A248" s="276">
        <v>6270</v>
      </c>
      <c r="B248" s="127" t="s">
        <v>264</v>
      </c>
      <c r="C248" s="278">
        <f t="shared" si="26"/>
        <v>0</v>
      </c>
      <c r="D248" s="134"/>
      <c r="E248" s="283"/>
      <c r="F248" s="279">
        <f t="shared" si="27"/>
        <v>0</v>
      </c>
      <c r="G248" s="134"/>
      <c r="H248" s="135"/>
      <c r="I248" s="136">
        <f t="shared" si="28"/>
        <v>0</v>
      </c>
      <c r="J248" s="134"/>
      <c r="K248" s="135"/>
      <c r="L248" s="136">
        <f t="shared" si="29"/>
        <v>0</v>
      </c>
      <c r="M248" s="284"/>
      <c r="N248" s="285"/>
      <c r="O248" s="136">
        <f t="shared" si="30"/>
        <v>0</v>
      </c>
      <c r="P248" s="85"/>
      <c r="R248" s="53"/>
      <c r="S248" s="53"/>
      <c r="T248" s="53"/>
    </row>
    <row r="249" spans="1:20" ht="24" hidden="1" x14ac:dyDescent="0.25">
      <c r="A249" s="656">
        <v>6290</v>
      </c>
      <c r="B249" s="116" t="s">
        <v>265</v>
      </c>
      <c r="C249" s="278">
        <f t="shared" si="26"/>
        <v>0</v>
      </c>
      <c r="D249" s="297">
        <f>SUM(D250:D253)</f>
        <v>0</v>
      </c>
      <c r="E249" s="298">
        <f>SUM(E250:E253)</f>
        <v>0</v>
      </c>
      <c r="F249" s="296">
        <f t="shared" si="27"/>
        <v>0</v>
      </c>
      <c r="G249" s="297">
        <f>SUM(G250:G253)</f>
        <v>0</v>
      </c>
      <c r="H249" s="299">
        <f>SUM(H250:H253)</f>
        <v>0</v>
      </c>
      <c r="I249" s="125">
        <f t="shared" si="28"/>
        <v>0</v>
      </c>
      <c r="J249" s="297">
        <f>SUM(J250:J253)</f>
        <v>0</v>
      </c>
      <c r="K249" s="299">
        <f t="shared" ref="K249" si="31">SUM(K250:K253)</f>
        <v>0</v>
      </c>
      <c r="L249" s="125">
        <f t="shared" si="29"/>
        <v>0</v>
      </c>
      <c r="M249" s="322">
        <f>SUM(M250:M253)</f>
        <v>0</v>
      </c>
      <c r="N249" s="323">
        <f>SUM(N250:N253)</f>
        <v>0</v>
      </c>
      <c r="O249" s="324">
        <f t="shared" si="30"/>
        <v>0</v>
      </c>
      <c r="P249" s="325"/>
      <c r="R249" s="53"/>
      <c r="S249" s="53"/>
      <c r="T249" s="53"/>
    </row>
    <row r="250" spans="1:20" hidden="1" x14ac:dyDescent="0.25">
      <c r="A250" s="76">
        <v>6291</v>
      </c>
      <c r="B250" s="127" t="s">
        <v>266</v>
      </c>
      <c r="C250" s="278">
        <f t="shared" si="26"/>
        <v>0</v>
      </c>
      <c r="D250" s="134"/>
      <c r="E250" s="283"/>
      <c r="F250" s="279">
        <f t="shared" si="27"/>
        <v>0</v>
      </c>
      <c r="G250" s="134"/>
      <c r="H250" s="135"/>
      <c r="I250" s="136">
        <f t="shared" si="28"/>
        <v>0</v>
      </c>
      <c r="J250" s="134"/>
      <c r="K250" s="135"/>
      <c r="L250" s="136">
        <f t="shared" si="29"/>
        <v>0</v>
      </c>
      <c r="M250" s="284"/>
      <c r="N250" s="285"/>
      <c r="O250" s="136">
        <f t="shared" si="30"/>
        <v>0</v>
      </c>
      <c r="P250" s="85"/>
      <c r="R250" s="53"/>
      <c r="S250" s="53"/>
      <c r="T250" s="53"/>
    </row>
    <row r="251" spans="1:20" hidden="1" x14ac:dyDescent="0.25">
      <c r="A251" s="76">
        <v>6292</v>
      </c>
      <c r="B251" s="127" t="s">
        <v>267</v>
      </c>
      <c r="C251" s="278">
        <f t="shared" si="26"/>
        <v>0</v>
      </c>
      <c r="D251" s="134"/>
      <c r="E251" s="283"/>
      <c r="F251" s="279">
        <f t="shared" si="27"/>
        <v>0</v>
      </c>
      <c r="G251" s="134"/>
      <c r="H251" s="135"/>
      <c r="I251" s="136">
        <f t="shared" si="28"/>
        <v>0</v>
      </c>
      <c r="J251" s="134"/>
      <c r="K251" s="135"/>
      <c r="L251" s="136">
        <f t="shared" si="29"/>
        <v>0</v>
      </c>
      <c r="M251" s="284"/>
      <c r="N251" s="285"/>
      <c r="O251" s="136">
        <f t="shared" si="30"/>
        <v>0</v>
      </c>
      <c r="P251" s="85"/>
      <c r="R251" s="53"/>
      <c r="S251" s="53"/>
      <c r="T251" s="53"/>
    </row>
    <row r="252" spans="1:20" ht="72" hidden="1" x14ac:dyDescent="0.25">
      <c r="A252" s="76">
        <v>6296</v>
      </c>
      <c r="B252" s="127" t="s">
        <v>268</v>
      </c>
      <c r="C252" s="278">
        <f t="shared" si="26"/>
        <v>0</v>
      </c>
      <c r="D252" s="134"/>
      <c r="E252" s="283"/>
      <c r="F252" s="279">
        <f t="shared" si="27"/>
        <v>0</v>
      </c>
      <c r="G252" s="134"/>
      <c r="H252" s="135"/>
      <c r="I252" s="136">
        <f t="shared" si="28"/>
        <v>0</v>
      </c>
      <c r="J252" s="134"/>
      <c r="K252" s="135"/>
      <c r="L252" s="136">
        <f t="shared" si="29"/>
        <v>0</v>
      </c>
      <c r="M252" s="284"/>
      <c r="N252" s="285"/>
      <c r="O252" s="136">
        <f t="shared" si="30"/>
        <v>0</v>
      </c>
      <c r="P252" s="85"/>
      <c r="R252" s="53"/>
      <c r="S252" s="53"/>
      <c r="T252" s="53"/>
    </row>
    <row r="253" spans="1:20" ht="36" hidden="1" x14ac:dyDescent="0.25">
      <c r="A253" s="76">
        <v>6299</v>
      </c>
      <c r="B253" s="127" t="s">
        <v>269</v>
      </c>
      <c r="C253" s="278">
        <f t="shared" si="26"/>
        <v>0</v>
      </c>
      <c r="D253" s="134"/>
      <c r="E253" s="283"/>
      <c r="F253" s="279">
        <f t="shared" si="27"/>
        <v>0</v>
      </c>
      <c r="G253" s="134"/>
      <c r="H253" s="135"/>
      <c r="I253" s="136">
        <f t="shared" si="28"/>
        <v>0</v>
      </c>
      <c r="J253" s="134"/>
      <c r="K253" s="135"/>
      <c r="L253" s="136">
        <f t="shared" si="29"/>
        <v>0</v>
      </c>
      <c r="M253" s="284"/>
      <c r="N253" s="285"/>
      <c r="O253" s="136">
        <f t="shared" si="30"/>
        <v>0</v>
      </c>
      <c r="P253" s="85"/>
      <c r="R253" s="53"/>
      <c r="S253" s="53"/>
      <c r="T253" s="53"/>
    </row>
    <row r="254" spans="1:20" hidden="1" x14ac:dyDescent="0.25">
      <c r="A254" s="99">
        <v>6300</v>
      </c>
      <c r="B254" s="247" t="s">
        <v>270</v>
      </c>
      <c r="C254" s="100">
        <f t="shared" si="26"/>
        <v>0</v>
      </c>
      <c r="D254" s="112">
        <f>SUM(D255,D259,D260)</f>
        <v>0</v>
      </c>
      <c r="E254" s="248">
        <f>SUM(E255,E259,E260)</f>
        <v>0</v>
      </c>
      <c r="F254" s="249">
        <f t="shared" si="27"/>
        <v>0</v>
      </c>
      <c r="G254" s="112">
        <f>SUM(G255,G259,G260)</f>
        <v>0</v>
      </c>
      <c r="H254" s="113">
        <f>SUM(H255,H259,H260)</f>
        <v>0</v>
      </c>
      <c r="I254" s="114">
        <f t="shared" si="28"/>
        <v>0</v>
      </c>
      <c r="J254" s="112">
        <f>SUM(J255,J259,J260)</f>
        <v>0</v>
      </c>
      <c r="K254" s="113">
        <f t="shared" ref="K254" si="32">SUM(K255,K259,K260)</f>
        <v>0</v>
      </c>
      <c r="L254" s="114">
        <f t="shared" si="29"/>
        <v>0</v>
      </c>
      <c r="M254" s="303">
        <f>SUM(M255,M259,M260)</f>
        <v>0</v>
      </c>
      <c r="N254" s="304">
        <f>SUM(N255,N259,N260)</f>
        <v>0</v>
      </c>
      <c r="O254" s="305">
        <f t="shared" si="30"/>
        <v>0</v>
      </c>
      <c r="P254" s="306"/>
      <c r="R254" s="53"/>
      <c r="S254" s="53"/>
      <c r="T254" s="53"/>
    </row>
    <row r="255" spans="1:20" ht="24" hidden="1" x14ac:dyDescent="0.25">
      <c r="A255" s="656">
        <v>6320</v>
      </c>
      <c r="B255" s="116" t="s">
        <v>271</v>
      </c>
      <c r="C255" s="322">
        <f t="shared" si="26"/>
        <v>0</v>
      </c>
      <c r="D255" s="297">
        <f>SUM(D256:D258)</f>
        <v>0</v>
      </c>
      <c r="E255" s="298">
        <f>SUM(E256:E258)</f>
        <v>0</v>
      </c>
      <c r="F255" s="296">
        <f t="shared" si="27"/>
        <v>0</v>
      </c>
      <c r="G255" s="297">
        <f>SUM(G256:G258)</f>
        <v>0</v>
      </c>
      <c r="H255" s="299">
        <f>SUM(H256:H258)</f>
        <v>0</v>
      </c>
      <c r="I255" s="125">
        <f t="shared" si="28"/>
        <v>0</v>
      </c>
      <c r="J255" s="297">
        <f>SUM(J256:J258)</f>
        <v>0</v>
      </c>
      <c r="K255" s="299">
        <f t="shared" ref="K255" si="33">SUM(K256:K258)</f>
        <v>0</v>
      </c>
      <c r="L255" s="125">
        <f t="shared" si="29"/>
        <v>0</v>
      </c>
      <c r="M255" s="300">
        <f>SUM(M256:M258)</f>
        <v>0</v>
      </c>
      <c r="N255" s="301">
        <f>SUM(N256:N258)</f>
        <v>0</v>
      </c>
      <c r="O255" s="125">
        <f t="shared" si="30"/>
        <v>0</v>
      </c>
      <c r="P255" s="74"/>
      <c r="R255" s="53"/>
      <c r="S255" s="53"/>
      <c r="T255" s="53"/>
    </row>
    <row r="256" spans="1:20" hidden="1" x14ac:dyDescent="0.25">
      <c r="A256" s="76">
        <v>6322</v>
      </c>
      <c r="B256" s="127" t="s">
        <v>272</v>
      </c>
      <c r="C256" s="281">
        <f t="shared" si="26"/>
        <v>0</v>
      </c>
      <c r="D256" s="134"/>
      <c r="E256" s="283"/>
      <c r="F256" s="279">
        <f t="shared" si="27"/>
        <v>0</v>
      </c>
      <c r="G256" s="134"/>
      <c r="H256" s="135"/>
      <c r="I256" s="136">
        <f t="shared" si="28"/>
        <v>0</v>
      </c>
      <c r="J256" s="134"/>
      <c r="K256" s="135"/>
      <c r="L256" s="136">
        <f t="shared" si="29"/>
        <v>0</v>
      </c>
      <c r="M256" s="284"/>
      <c r="N256" s="285"/>
      <c r="O256" s="136">
        <f t="shared" si="30"/>
        <v>0</v>
      </c>
      <c r="P256" s="85"/>
      <c r="R256" s="53"/>
      <c r="S256" s="53"/>
      <c r="T256" s="53"/>
    </row>
    <row r="257" spans="1:20" ht="24" hidden="1" x14ac:dyDescent="0.25">
      <c r="A257" s="76">
        <v>6323</v>
      </c>
      <c r="B257" s="127" t="s">
        <v>273</v>
      </c>
      <c r="C257" s="281">
        <f t="shared" si="26"/>
        <v>0</v>
      </c>
      <c r="D257" s="134"/>
      <c r="E257" s="283"/>
      <c r="F257" s="279">
        <f t="shared" si="27"/>
        <v>0</v>
      </c>
      <c r="G257" s="134"/>
      <c r="H257" s="135"/>
      <c r="I257" s="136">
        <f t="shared" si="28"/>
        <v>0</v>
      </c>
      <c r="J257" s="134"/>
      <c r="K257" s="135"/>
      <c r="L257" s="136">
        <f t="shared" si="29"/>
        <v>0</v>
      </c>
      <c r="M257" s="284"/>
      <c r="N257" s="285"/>
      <c r="O257" s="136">
        <f t="shared" si="30"/>
        <v>0</v>
      </c>
      <c r="P257" s="85"/>
      <c r="R257" s="53"/>
      <c r="S257" s="53"/>
      <c r="T257" s="53"/>
    </row>
    <row r="258" spans="1:20" ht="24" hidden="1" x14ac:dyDescent="0.25">
      <c r="A258" s="66">
        <v>6324</v>
      </c>
      <c r="B258" s="116" t="s">
        <v>274</v>
      </c>
      <c r="C258" s="281">
        <f t="shared" si="26"/>
        <v>0</v>
      </c>
      <c r="D258" s="123"/>
      <c r="E258" s="295"/>
      <c r="F258" s="296">
        <f t="shared" si="27"/>
        <v>0</v>
      </c>
      <c r="G258" s="123"/>
      <c r="H258" s="124"/>
      <c r="I258" s="125">
        <f t="shared" si="28"/>
        <v>0</v>
      </c>
      <c r="J258" s="123"/>
      <c r="K258" s="124"/>
      <c r="L258" s="125">
        <f t="shared" si="29"/>
        <v>0</v>
      </c>
      <c r="M258" s="264"/>
      <c r="N258" s="262"/>
      <c r="O258" s="125">
        <f t="shared" si="30"/>
        <v>0</v>
      </c>
      <c r="P258" s="74"/>
      <c r="R258" s="53"/>
      <c r="S258" s="53"/>
      <c r="T258" s="53"/>
    </row>
    <row r="259" spans="1:20" ht="24" hidden="1" x14ac:dyDescent="0.25">
      <c r="A259" s="344">
        <v>6330</v>
      </c>
      <c r="B259" s="345" t="s">
        <v>275</v>
      </c>
      <c r="C259" s="281">
        <f t="shared" si="26"/>
        <v>0</v>
      </c>
      <c r="D259" s="328"/>
      <c r="E259" s="683"/>
      <c r="F259" s="647">
        <f t="shared" si="27"/>
        <v>0</v>
      </c>
      <c r="G259" s="328"/>
      <c r="H259" s="331"/>
      <c r="I259" s="324">
        <f t="shared" si="28"/>
        <v>0</v>
      </c>
      <c r="J259" s="328"/>
      <c r="K259" s="331"/>
      <c r="L259" s="324">
        <f t="shared" si="29"/>
        <v>0</v>
      </c>
      <c r="M259" s="332"/>
      <c r="N259" s="329"/>
      <c r="O259" s="324">
        <f t="shared" si="30"/>
        <v>0</v>
      </c>
      <c r="P259" s="325"/>
      <c r="R259" s="53"/>
      <c r="S259" s="53"/>
      <c r="T259" s="53"/>
    </row>
    <row r="260" spans="1:20" hidden="1" x14ac:dyDescent="0.25">
      <c r="A260" s="276">
        <v>6360</v>
      </c>
      <c r="B260" s="127" t="s">
        <v>276</v>
      </c>
      <c r="C260" s="281">
        <f t="shared" si="26"/>
        <v>0</v>
      </c>
      <c r="D260" s="134"/>
      <c r="E260" s="283"/>
      <c r="F260" s="279">
        <f t="shared" si="27"/>
        <v>0</v>
      </c>
      <c r="G260" s="134"/>
      <c r="H260" s="135"/>
      <c r="I260" s="136">
        <f t="shared" si="28"/>
        <v>0</v>
      </c>
      <c r="J260" s="134"/>
      <c r="K260" s="135"/>
      <c r="L260" s="136">
        <f t="shared" si="29"/>
        <v>0</v>
      </c>
      <c r="M260" s="284"/>
      <c r="N260" s="285"/>
      <c r="O260" s="136">
        <f t="shared" si="30"/>
        <v>0</v>
      </c>
      <c r="P260" s="85"/>
      <c r="R260" s="53"/>
      <c r="S260" s="53"/>
      <c r="T260" s="53"/>
    </row>
    <row r="261" spans="1:20" ht="36" hidden="1" x14ac:dyDescent="0.25">
      <c r="A261" s="99">
        <v>6400</v>
      </c>
      <c r="B261" s="247" t="s">
        <v>277</v>
      </c>
      <c r="C261" s="100">
        <f t="shared" si="26"/>
        <v>0</v>
      </c>
      <c r="D261" s="112">
        <f>SUM(D262,D266)</f>
        <v>0</v>
      </c>
      <c r="E261" s="248">
        <f>SUM(E262,E266)</f>
        <v>0</v>
      </c>
      <c r="F261" s="249">
        <f t="shared" si="27"/>
        <v>0</v>
      </c>
      <c r="G261" s="112">
        <f>SUM(G262,G266)</f>
        <v>0</v>
      </c>
      <c r="H261" s="113">
        <f>SUM(H262,H266)</f>
        <v>0</v>
      </c>
      <c r="I261" s="114">
        <f t="shared" si="28"/>
        <v>0</v>
      </c>
      <c r="J261" s="112">
        <f>SUM(J262,J266)</f>
        <v>0</v>
      </c>
      <c r="K261" s="113">
        <f t="shared" ref="K261" si="34">SUM(K262,K266)</f>
        <v>0</v>
      </c>
      <c r="L261" s="114">
        <f t="shared" si="29"/>
        <v>0</v>
      </c>
      <c r="M261" s="303">
        <f>SUM(M262,M266)</f>
        <v>0</v>
      </c>
      <c r="N261" s="304">
        <f>SUM(N262,N266)</f>
        <v>0</v>
      </c>
      <c r="O261" s="305">
        <f t="shared" si="30"/>
        <v>0</v>
      </c>
      <c r="P261" s="306"/>
      <c r="R261" s="53"/>
      <c r="S261" s="53"/>
      <c r="T261" s="53"/>
    </row>
    <row r="262" spans="1:20" ht="24" hidden="1" x14ac:dyDescent="0.25">
      <c r="A262" s="656">
        <v>6410</v>
      </c>
      <c r="B262" s="116" t="s">
        <v>278</v>
      </c>
      <c r="C262" s="300">
        <f t="shared" si="26"/>
        <v>0</v>
      </c>
      <c r="D262" s="297">
        <f>SUM(D263:D265)</f>
        <v>0</v>
      </c>
      <c r="E262" s="298">
        <f>SUM(E263:E265)</f>
        <v>0</v>
      </c>
      <c r="F262" s="296">
        <f t="shared" si="27"/>
        <v>0</v>
      </c>
      <c r="G262" s="297">
        <f>SUM(G263:G265)</f>
        <v>0</v>
      </c>
      <c r="H262" s="299">
        <f>SUM(H263:H265)</f>
        <v>0</v>
      </c>
      <c r="I262" s="125">
        <f t="shared" si="28"/>
        <v>0</v>
      </c>
      <c r="J262" s="297">
        <f>SUM(J263:J265)</f>
        <v>0</v>
      </c>
      <c r="K262" s="299">
        <f t="shared" ref="K262" si="35">SUM(K263:K265)</f>
        <v>0</v>
      </c>
      <c r="L262" s="125">
        <f t="shared" si="29"/>
        <v>0</v>
      </c>
      <c r="M262" s="317">
        <f>SUM(M263:M265)</f>
        <v>0</v>
      </c>
      <c r="N262" s="318">
        <f>SUM(N263:N265)</f>
        <v>0</v>
      </c>
      <c r="O262" s="151">
        <f t="shared" si="30"/>
        <v>0</v>
      </c>
      <c r="P262" s="153"/>
      <c r="R262" s="53"/>
      <c r="S262" s="53"/>
      <c r="T262" s="53"/>
    </row>
    <row r="263" spans="1:20" hidden="1" x14ac:dyDescent="0.25">
      <c r="A263" s="76">
        <v>6411</v>
      </c>
      <c r="B263" s="346" t="s">
        <v>279</v>
      </c>
      <c r="C263" s="278">
        <f t="shared" si="26"/>
        <v>0</v>
      </c>
      <c r="D263" s="134"/>
      <c r="E263" s="283"/>
      <c r="F263" s="279">
        <f t="shared" si="27"/>
        <v>0</v>
      </c>
      <c r="G263" s="134"/>
      <c r="H263" s="135"/>
      <c r="I263" s="136">
        <f t="shared" si="28"/>
        <v>0</v>
      </c>
      <c r="J263" s="134"/>
      <c r="K263" s="135"/>
      <c r="L263" s="136">
        <f t="shared" si="29"/>
        <v>0</v>
      </c>
      <c r="M263" s="284"/>
      <c r="N263" s="285"/>
      <c r="O263" s="136">
        <f t="shared" si="30"/>
        <v>0</v>
      </c>
      <c r="P263" s="85"/>
      <c r="R263" s="53"/>
      <c r="S263" s="53"/>
      <c r="T263" s="53"/>
    </row>
    <row r="264" spans="1:20" ht="36" hidden="1" x14ac:dyDescent="0.25">
      <c r="A264" s="76">
        <v>6412</v>
      </c>
      <c r="B264" s="127" t="s">
        <v>280</v>
      </c>
      <c r="C264" s="278">
        <f t="shared" si="26"/>
        <v>0</v>
      </c>
      <c r="D264" s="134"/>
      <c r="E264" s="283"/>
      <c r="F264" s="279">
        <f t="shared" si="27"/>
        <v>0</v>
      </c>
      <c r="G264" s="134"/>
      <c r="H264" s="135"/>
      <c r="I264" s="136">
        <f t="shared" si="28"/>
        <v>0</v>
      </c>
      <c r="J264" s="134"/>
      <c r="K264" s="135"/>
      <c r="L264" s="136">
        <f t="shared" si="29"/>
        <v>0</v>
      </c>
      <c r="M264" s="284"/>
      <c r="N264" s="285"/>
      <c r="O264" s="136">
        <f t="shared" si="30"/>
        <v>0</v>
      </c>
      <c r="P264" s="85"/>
      <c r="R264" s="53"/>
      <c r="S264" s="53"/>
      <c r="T264" s="53"/>
    </row>
    <row r="265" spans="1:20" ht="36" hidden="1" x14ac:dyDescent="0.25">
      <c r="A265" s="76">
        <v>6419</v>
      </c>
      <c r="B265" s="127" t="s">
        <v>281</v>
      </c>
      <c r="C265" s="278">
        <f t="shared" si="26"/>
        <v>0</v>
      </c>
      <c r="D265" s="134"/>
      <c r="E265" s="283"/>
      <c r="F265" s="279">
        <f t="shared" si="27"/>
        <v>0</v>
      </c>
      <c r="G265" s="134"/>
      <c r="H265" s="135"/>
      <c r="I265" s="136">
        <f t="shared" si="28"/>
        <v>0</v>
      </c>
      <c r="J265" s="134"/>
      <c r="K265" s="135"/>
      <c r="L265" s="136">
        <f t="shared" si="29"/>
        <v>0</v>
      </c>
      <c r="M265" s="284"/>
      <c r="N265" s="285"/>
      <c r="O265" s="136">
        <f t="shared" si="30"/>
        <v>0</v>
      </c>
      <c r="P265" s="85"/>
      <c r="R265" s="53"/>
      <c r="S265" s="53"/>
      <c r="T265" s="53"/>
    </row>
    <row r="266" spans="1:20" ht="36" hidden="1" x14ac:dyDescent="0.25">
      <c r="A266" s="276">
        <v>6420</v>
      </c>
      <c r="B266" s="127" t="s">
        <v>282</v>
      </c>
      <c r="C266" s="278">
        <f t="shared" si="26"/>
        <v>0</v>
      </c>
      <c r="D266" s="277">
        <f>SUM(D267:D270)</f>
        <v>0</v>
      </c>
      <c r="E266" s="278">
        <f>SUM(E267:E270)</f>
        <v>0</v>
      </c>
      <c r="F266" s="279">
        <f t="shared" si="27"/>
        <v>0</v>
      </c>
      <c r="G266" s="277">
        <f>SUM(G267:G270)</f>
        <v>0</v>
      </c>
      <c r="H266" s="280">
        <f>SUM(H267:H270)</f>
        <v>0</v>
      </c>
      <c r="I266" s="136">
        <f t="shared" si="28"/>
        <v>0</v>
      </c>
      <c r="J266" s="277">
        <f>SUM(J267:J270)</f>
        <v>0</v>
      </c>
      <c r="K266" s="280">
        <f>SUM(K267:K270)</f>
        <v>0</v>
      </c>
      <c r="L266" s="136">
        <f t="shared" si="29"/>
        <v>0</v>
      </c>
      <c r="M266" s="281">
        <f>SUM(M267:M270)</f>
        <v>0</v>
      </c>
      <c r="N266" s="282">
        <f>SUM(N267:N270)</f>
        <v>0</v>
      </c>
      <c r="O266" s="136">
        <f t="shared" si="30"/>
        <v>0</v>
      </c>
      <c r="P266" s="85"/>
      <c r="R266" s="53"/>
      <c r="S266" s="53"/>
      <c r="T266" s="53"/>
    </row>
    <row r="267" spans="1:20" hidden="1" x14ac:dyDescent="0.25">
      <c r="A267" s="76">
        <v>6421</v>
      </c>
      <c r="B267" s="127" t="s">
        <v>283</v>
      </c>
      <c r="C267" s="278">
        <f t="shared" si="26"/>
        <v>0</v>
      </c>
      <c r="D267" s="134"/>
      <c r="E267" s="283"/>
      <c r="F267" s="279">
        <f t="shared" si="27"/>
        <v>0</v>
      </c>
      <c r="G267" s="134"/>
      <c r="H267" s="135"/>
      <c r="I267" s="136">
        <f t="shared" si="28"/>
        <v>0</v>
      </c>
      <c r="J267" s="134"/>
      <c r="K267" s="135"/>
      <c r="L267" s="136">
        <f t="shared" si="29"/>
        <v>0</v>
      </c>
      <c r="M267" s="284"/>
      <c r="N267" s="285"/>
      <c r="O267" s="136">
        <f t="shared" si="30"/>
        <v>0</v>
      </c>
      <c r="P267" s="85"/>
      <c r="R267" s="53"/>
      <c r="S267" s="53"/>
      <c r="T267" s="53"/>
    </row>
    <row r="268" spans="1:20" hidden="1" x14ac:dyDescent="0.25">
      <c r="A268" s="76">
        <v>6422</v>
      </c>
      <c r="B268" s="127" t="s">
        <v>284</v>
      </c>
      <c r="C268" s="278">
        <f t="shared" si="26"/>
        <v>0</v>
      </c>
      <c r="D268" s="134"/>
      <c r="E268" s="283"/>
      <c r="F268" s="279">
        <f t="shared" si="27"/>
        <v>0</v>
      </c>
      <c r="G268" s="134"/>
      <c r="H268" s="135"/>
      <c r="I268" s="136">
        <f t="shared" si="28"/>
        <v>0</v>
      </c>
      <c r="J268" s="134"/>
      <c r="K268" s="135"/>
      <c r="L268" s="136">
        <f t="shared" si="29"/>
        <v>0</v>
      </c>
      <c r="M268" s="284"/>
      <c r="N268" s="285"/>
      <c r="O268" s="136">
        <f t="shared" si="30"/>
        <v>0</v>
      </c>
      <c r="P268" s="85"/>
      <c r="R268" s="53"/>
      <c r="S268" s="53"/>
      <c r="T268" s="53"/>
    </row>
    <row r="269" spans="1:20" ht="24" hidden="1" x14ac:dyDescent="0.25">
      <c r="A269" s="76">
        <v>6423</v>
      </c>
      <c r="B269" s="127" t="s">
        <v>285</v>
      </c>
      <c r="C269" s="278">
        <f t="shared" si="26"/>
        <v>0</v>
      </c>
      <c r="D269" s="134"/>
      <c r="E269" s="283"/>
      <c r="F269" s="279">
        <f t="shared" si="27"/>
        <v>0</v>
      </c>
      <c r="G269" s="134"/>
      <c r="H269" s="135"/>
      <c r="I269" s="136">
        <f t="shared" si="28"/>
        <v>0</v>
      </c>
      <c r="J269" s="134"/>
      <c r="K269" s="135"/>
      <c r="L269" s="136">
        <f t="shared" si="29"/>
        <v>0</v>
      </c>
      <c r="M269" s="284"/>
      <c r="N269" s="285"/>
      <c r="O269" s="136">
        <f t="shared" si="30"/>
        <v>0</v>
      </c>
      <c r="P269" s="85"/>
      <c r="R269" s="53"/>
      <c r="S269" s="53"/>
      <c r="T269" s="53"/>
    </row>
    <row r="270" spans="1:20" ht="36" hidden="1" x14ac:dyDescent="0.25">
      <c r="A270" s="76">
        <v>6424</v>
      </c>
      <c r="B270" s="127" t="s">
        <v>286</v>
      </c>
      <c r="C270" s="278">
        <f t="shared" si="26"/>
        <v>0</v>
      </c>
      <c r="D270" s="134"/>
      <c r="E270" s="283"/>
      <c r="F270" s="279">
        <f t="shared" si="27"/>
        <v>0</v>
      </c>
      <c r="G270" s="134"/>
      <c r="H270" s="135"/>
      <c r="I270" s="136">
        <f t="shared" si="28"/>
        <v>0</v>
      </c>
      <c r="J270" s="134"/>
      <c r="K270" s="135"/>
      <c r="L270" s="136">
        <f t="shared" si="29"/>
        <v>0</v>
      </c>
      <c r="M270" s="284"/>
      <c r="N270" s="285"/>
      <c r="O270" s="136">
        <f t="shared" si="30"/>
        <v>0</v>
      </c>
      <c r="P270" s="85"/>
      <c r="R270" s="53"/>
      <c r="S270" s="53"/>
      <c r="T270" s="53"/>
    </row>
    <row r="271" spans="1:20" ht="36" hidden="1" x14ac:dyDescent="0.25">
      <c r="A271" s="347">
        <v>7000</v>
      </c>
      <c r="B271" s="347" t="s">
        <v>287</v>
      </c>
      <c r="C271" s="348">
        <f t="shared" si="26"/>
        <v>0</v>
      </c>
      <c r="D271" s="349">
        <f>SUM(D272,D282)</f>
        <v>0</v>
      </c>
      <c r="E271" s="350">
        <f>SUM(E272,E283)</f>
        <v>0</v>
      </c>
      <c r="F271" s="351">
        <f t="shared" si="27"/>
        <v>0</v>
      </c>
      <c r="G271" s="349">
        <f>SUM(G272,G282)</f>
        <v>0</v>
      </c>
      <c r="H271" s="352">
        <f>SUM(H272,H282)</f>
        <v>0</v>
      </c>
      <c r="I271" s="353">
        <f t="shared" si="28"/>
        <v>0</v>
      </c>
      <c r="J271" s="349">
        <f>SUM(J272,J282)</f>
        <v>0</v>
      </c>
      <c r="K271" s="352">
        <f t="shared" ref="K271" si="36">SUM(K272,K283)</f>
        <v>0</v>
      </c>
      <c r="L271" s="353">
        <f t="shared" si="29"/>
        <v>0</v>
      </c>
      <c r="M271" s="354">
        <f>SUM(M272,M282)</f>
        <v>0</v>
      </c>
      <c r="N271" s="355">
        <f>SUM(N272,N282)</f>
        <v>0</v>
      </c>
      <c r="O271" s="356">
        <f t="shared" si="30"/>
        <v>0</v>
      </c>
      <c r="P271" s="357"/>
      <c r="R271" s="53"/>
      <c r="S271" s="53"/>
      <c r="T271" s="53"/>
    </row>
    <row r="272" spans="1:20" ht="24" hidden="1" x14ac:dyDescent="0.25">
      <c r="A272" s="99">
        <v>7200</v>
      </c>
      <c r="B272" s="247" t="s">
        <v>288</v>
      </c>
      <c r="C272" s="100">
        <f t="shared" si="26"/>
        <v>0</v>
      </c>
      <c r="D272" s="112">
        <f>SUM(D273,D274,D277,D278,D281)</f>
        <v>0</v>
      </c>
      <c r="E272" s="248">
        <f>SUM(E273,E274,E278,E279,E282)</f>
        <v>0</v>
      </c>
      <c r="F272" s="249">
        <f t="shared" si="27"/>
        <v>0</v>
      </c>
      <c r="G272" s="112">
        <f>SUM(G273,G274,G277,G278,G281)</f>
        <v>0</v>
      </c>
      <c r="H272" s="113">
        <f>SUM(H273,H274,H277,H278,H281)</f>
        <v>0</v>
      </c>
      <c r="I272" s="114">
        <f t="shared" si="28"/>
        <v>0</v>
      </c>
      <c r="J272" s="112">
        <f>SUM(J273,J274,J277,J278,J281)</f>
        <v>0</v>
      </c>
      <c r="K272" s="113">
        <f t="shared" ref="K272" si="37">SUM(K273,K274,K278,K279,K282)</f>
        <v>0</v>
      </c>
      <c r="L272" s="114">
        <f t="shared" si="29"/>
        <v>0</v>
      </c>
      <c r="M272" s="250">
        <f>SUM(M273,M274,M277,M278,M281)</f>
        <v>0</v>
      </c>
      <c r="N272" s="251">
        <f>SUM(N273,N274,N277,N278,N281)</f>
        <v>0</v>
      </c>
      <c r="O272" s="252">
        <f t="shared" si="30"/>
        <v>0</v>
      </c>
      <c r="P272" s="253"/>
      <c r="R272" s="53"/>
      <c r="S272" s="53"/>
      <c r="T272" s="53"/>
    </row>
    <row r="273" spans="1:20" ht="24" hidden="1" x14ac:dyDescent="0.25">
      <c r="A273" s="656">
        <v>7210</v>
      </c>
      <c r="B273" s="116" t="s">
        <v>289</v>
      </c>
      <c r="C273" s="117">
        <f t="shared" si="26"/>
        <v>0</v>
      </c>
      <c r="D273" s="123"/>
      <c r="E273" s="295"/>
      <c r="F273" s="296">
        <f t="shared" si="27"/>
        <v>0</v>
      </c>
      <c r="G273" s="123"/>
      <c r="H273" s="124"/>
      <c r="I273" s="125">
        <f t="shared" si="28"/>
        <v>0</v>
      </c>
      <c r="J273" s="123"/>
      <c r="K273" s="124"/>
      <c r="L273" s="125">
        <f t="shared" si="29"/>
        <v>0</v>
      </c>
      <c r="M273" s="264"/>
      <c r="N273" s="262"/>
      <c r="O273" s="125">
        <f t="shared" si="30"/>
        <v>0</v>
      </c>
      <c r="P273" s="74"/>
      <c r="R273" s="53"/>
      <c r="S273" s="53"/>
      <c r="T273" s="53"/>
    </row>
    <row r="274" spans="1:20" s="358" customFormat="1" ht="36" hidden="1" x14ac:dyDescent="0.25">
      <c r="A274" s="276">
        <v>7220</v>
      </c>
      <c r="B274" s="127" t="s">
        <v>290</v>
      </c>
      <c r="C274" s="128">
        <f t="shared" si="26"/>
        <v>0</v>
      </c>
      <c r="D274" s="277">
        <f>SUM(D275:D276)</f>
        <v>0</v>
      </c>
      <c r="E274" s="278">
        <f>SUM(E275:E277)</f>
        <v>0</v>
      </c>
      <c r="F274" s="279">
        <f t="shared" si="27"/>
        <v>0</v>
      </c>
      <c r="G274" s="277">
        <f>SUM(G275:G276)</f>
        <v>0</v>
      </c>
      <c r="H274" s="280">
        <f>SUM(H275:H276)</f>
        <v>0</v>
      </c>
      <c r="I274" s="136">
        <f t="shared" si="28"/>
        <v>0</v>
      </c>
      <c r="J274" s="277">
        <f>SUM(J275:J276)</f>
        <v>0</v>
      </c>
      <c r="K274" s="280">
        <f>SUM(K275:K277)</f>
        <v>0</v>
      </c>
      <c r="L274" s="136">
        <f t="shared" si="29"/>
        <v>0</v>
      </c>
      <c r="M274" s="281">
        <f>SUM(M275:M276)</f>
        <v>0</v>
      </c>
      <c r="N274" s="282">
        <f>SUM(N275:N276)</f>
        <v>0</v>
      </c>
      <c r="O274" s="136">
        <f t="shared" si="30"/>
        <v>0</v>
      </c>
      <c r="P274" s="85"/>
      <c r="R274" s="53"/>
      <c r="S274" s="53"/>
      <c r="T274" s="53"/>
    </row>
    <row r="275" spans="1:20" s="358" customFormat="1" ht="36" hidden="1" x14ac:dyDescent="0.25">
      <c r="A275" s="76">
        <v>7221</v>
      </c>
      <c r="B275" s="127" t="s">
        <v>291</v>
      </c>
      <c r="C275" s="128">
        <f t="shared" si="26"/>
        <v>0</v>
      </c>
      <c r="D275" s="134"/>
      <c r="E275" s="283"/>
      <c r="F275" s="279">
        <f t="shared" si="27"/>
        <v>0</v>
      </c>
      <c r="G275" s="134"/>
      <c r="H275" s="135"/>
      <c r="I275" s="136">
        <f t="shared" si="28"/>
        <v>0</v>
      </c>
      <c r="J275" s="134"/>
      <c r="K275" s="135"/>
      <c r="L275" s="136">
        <f t="shared" si="29"/>
        <v>0</v>
      </c>
      <c r="M275" s="284"/>
      <c r="N275" s="285"/>
      <c r="O275" s="136">
        <f t="shared" si="30"/>
        <v>0</v>
      </c>
      <c r="P275" s="85"/>
      <c r="R275" s="53"/>
      <c r="S275" s="53"/>
      <c r="T275" s="53"/>
    </row>
    <row r="276" spans="1:20" s="358" customFormat="1" ht="36" hidden="1" x14ac:dyDescent="0.25">
      <c r="A276" s="76">
        <v>7222</v>
      </c>
      <c r="B276" s="127" t="s">
        <v>292</v>
      </c>
      <c r="C276" s="128">
        <f t="shared" si="26"/>
        <v>0</v>
      </c>
      <c r="D276" s="134"/>
      <c r="E276" s="283"/>
      <c r="F276" s="279">
        <f t="shared" si="27"/>
        <v>0</v>
      </c>
      <c r="G276" s="134"/>
      <c r="H276" s="135"/>
      <c r="I276" s="136">
        <f t="shared" si="28"/>
        <v>0</v>
      </c>
      <c r="J276" s="134"/>
      <c r="K276" s="135"/>
      <c r="L276" s="136">
        <f t="shared" si="29"/>
        <v>0</v>
      </c>
      <c r="M276" s="284"/>
      <c r="N276" s="285"/>
      <c r="O276" s="136">
        <f t="shared" si="30"/>
        <v>0</v>
      </c>
      <c r="P276" s="85"/>
      <c r="R276" s="53"/>
      <c r="S276" s="53"/>
      <c r="T276" s="53"/>
    </row>
    <row r="277" spans="1:20" s="358" customFormat="1" ht="24" hidden="1" x14ac:dyDescent="0.25">
      <c r="A277" s="276">
        <v>7230</v>
      </c>
      <c r="B277" s="127" t="s">
        <v>293</v>
      </c>
      <c r="C277" s="128">
        <f t="shared" si="26"/>
        <v>0</v>
      </c>
      <c r="D277" s="134"/>
      <c r="E277" s="283"/>
      <c r="F277" s="279">
        <f t="shared" si="27"/>
        <v>0</v>
      </c>
      <c r="G277" s="134"/>
      <c r="H277" s="135"/>
      <c r="I277" s="136">
        <f t="shared" si="28"/>
        <v>0</v>
      </c>
      <c r="J277" s="134"/>
      <c r="K277" s="135"/>
      <c r="L277" s="136">
        <f t="shared" si="29"/>
        <v>0</v>
      </c>
      <c r="M277" s="284"/>
      <c r="N277" s="285"/>
      <c r="O277" s="136">
        <f t="shared" si="30"/>
        <v>0</v>
      </c>
      <c r="P277" s="85"/>
      <c r="R277" s="53"/>
      <c r="S277" s="53"/>
      <c r="T277" s="53"/>
    </row>
    <row r="278" spans="1:20" ht="24" hidden="1" x14ac:dyDescent="0.25">
      <c r="A278" s="276">
        <v>7240</v>
      </c>
      <c r="B278" s="127" t="s">
        <v>294</v>
      </c>
      <c r="C278" s="128">
        <f t="shared" si="26"/>
        <v>0</v>
      </c>
      <c r="D278" s="277">
        <f>SUM(D279:D280)</f>
        <v>0</v>
      </c>
      <c r="E278" s="278"/>
      <c r="F278" s="279">
        <f t="shared" si="27"/>
        <v>0</v>
      </c>
      <c r="G278" s="277">
        <f>SUM(G279:G280)</f>
        <v>0</v>
      </c>
      <c r="H278" s="280">
        <f>SUM(H279:H280)</f>
        <v>0</v>
      </c>
      <c r="I278" s="136">
        <f t="shared" si="28"/>
        <v>0</v>
      </c>
      <c r="J278" s="277">
        <f>SUM(J279:J280)</f>
        <v>0</v>
      </c>
      <c r="K278" s="280"/>
      <c r="L278" s="136">
        <f t="shared" si="29"/>
        <v>0</v>
      </c>
      <c r="M278" s="281">
        <f>SUM(M279:M280)</f>
        <v>0</v>
      </c>
      <c r="N278" s="282">
        <f>SUM(N279:N280)</f>
        <v>0</v>
      </c>
      <c r="O278" s="136">
        <f>SUM(O279:O280)</f>
        <v>0</v>
      </c>
      <c r="P278" s="85"/>
      <c r="R278" s="53"/>
      <c r="S278" s="53"/>
      <c r="T278" s="53"/>
    </row>
    <row r="279" spans="1:20" ht="48" hidden="1" x14ac:dyDescent="0.25">
      <c r="A279" s="76">
        <v>7245</v>
      </c>
      <c r="B279" s="127" t="s">
        <v>295</v>
      </c>
      <c r="C279" s="128">
        <f t="shared" si="26"/>
        <v>0</v>
      </c>
      <c r="D279" s="134"/>
      <c r="E279" s="283">
        <f>SUM(E280:E281)</f>
        <v>0</v>
      </c>
      <c r="F279" s="279">
        <f t="shared" si="27"/>
        <v>0</v>
      </c>
      <c r="G279" s="134"/>
      <c r="H279" s="135"/>
      <c r="I279" s="136">
        <f t="shared" si="28"/>
        <v>0</v>
      </c>
      <c r="J279" s="134"/>
      <c r="K279" s="135">
        <f>SUM(K280:K281)</f>
        <v>0</v>
      </c>
      <c r="L279" s="136">
        <f t="shared" si="29"/>
        <v>0</v>
      </c>
      <c r="M279" s="284"/>
      <c r="N279" s="285"/>
      <c r="O279" s="136">
        <f t="shared" ref="O279:O299" si="38">M279+N279</f>
        <v>0</v>
      </c>
      <c r="P279" s="85"/>
      <c r="R279" s="53"/>
      <c r="S279" s="53"/>
      <c r="T279" s="53"/>
    </row>
    <row r="280" spans="1:20" ht="96" hidden="1" x14ac:dyDescent="0.25">
      <c r="A280" s="76">
        <v>7246</v>
      </c>
      <c r="B280" s="127" t="s">
        <v>296</v>
      </c>
      <c r="C280" s="128">
        <f t="shared" si="26"/>
        <v>0</v>
      </c>
      <c r="D280" s="134"/>
      <c r="E280" s="283"/>
      <c r="F280" s="279">
        <f t="shared" si="27"/>
        <v>0</v>
      </c>
      <c r="G280" s="134"/>
      <c r="H280" s="135"/>
      <c r="I280" s="136">
        <f t="shared" si="28"/>
        <v>0</v>
      </c>
      <c r="J280" s="134"/>
      <c r="K280" s="135"/>
      <c r="L280" s="136">
        <f t="shared" si="29"/>
        <v>0</v>
      </c>
      <c r="M280" s="284"/>
      <c r="N280" s="285"/>
      <c r="O280" s="136">
        <f t="shared" si="38"/>
        <v>0</v>
      </c>
      <c r="P280" s="85"/>
      <c r="R280" s="53"/>
      <c r="S280" s="53"/>
      <c r="T280" s="53"/>
    </row>
    <row r="281" spans="1:20" ht="24" hidden="1" x14ac:dyDescent="0.25">
      <c r="A281" s="276">
        <v>7260</v>
      </c>
      <c r="B281" s="127" t="s">
        <v>297</v>
      </c>
      <c r="C281" s="128">
        <f t="shared" si="26"/>
        <v>0</v>
      </c>
      <c r="D281" s="123"/>
      <c r="E281" s="295"/>
      <c r="F281" s="296">
        <f t="shared" si="27"/>
        <v>0</v>
      </c>
      <c r="G281" s="123"/>
      <c r="H281" s="124"/>
      <c r="I281" s="125">
        <f t="shared" si="28"/>
        <v>0</v>
      </c>
      <c r="J281" s="123"/>
      <c r="K281" s="124"/>
      <c r="L281" s="125">
        <f t="shared" si="29"/>
        <v>0</v>
      </c>
      <c r="M281" s="264"/>
      <c r="N281" s="262"/>
      <c r="O281" s="125">
        <f t="shared" si="38"/>
        <v>0</v>
      </c>
      <c r="P281" s="74"/>
      <c r="R281" s="53"/>
      <c r="S281" s="53"/>
      <c r="T281" s="53"/>
    </row>
    <row r="282" spans="1:20" hidden="1" x14ac:dyDescent="0.25">
      <c r="A282" s="99">
        <v>7700</v>
      </c>
      <c r="B282" s="247" t="s">
        <v>298</v>
      </c>
      <c r="C282" s="359">
        <f t="shared" si="26"/>
        <v>0</v>
      </c>
      <c r="D282" s="360">
        <f>D283</f>
        <v>0</v>
      </c>
      <c r="E282" s="679"/>
      <c r="F282" s="302">
        <f t="shared" si="27"/>
        <v>0</v>
      </c>
      <c r="G282" s="360">
        <f>G283</f>
        <v>0</v>
      </c>
      <c r="H282" s="361">
        <f>SUM(H283)</f>
        <v>0</v>
      </c>
      <c r="I282" s="305">
        <f t="shared" si="28"/>
        <v>0</v>
      </c>
      <c r="J282" s="360">
        <f>J283</f>
        <v>0</v>
      </c>
      <c r="K282" s="361"/>
      <c r="L282" s="305">
        <f t="shared" si="29"/>
        <v>0</v>
      </c>
      <c r="M282" s="303">
        <f>SUM(M283)</f>
        <v>0</v>
      </c>
      <c r="N282" s="304">
        <f>SUM(N283)</f>
        <v>0</v>
      </c>
      <c r="O282" s="305">
        <f t="shared" si="38"/>
        <v>0</v>
      </c>
      <c r="P282" s="306"/>
      <c r="R282" s="53"/>
      <c r="S282" s="53"/>
      <c r="T282" s="53"/>
    </row>
    <row r="283" spans="1:20" hidden="1" x14ac:dyDescent="0.25">
      <c r="A283" s="141">
        <v>7720</v>
      </c>
      <c r="B283" s="142" t="s">
        <v>299</v>
      </c>
      <c r="C283" s="362">
        <f t="shared" si="26"/>
        <v>0</v>
      </c>
      <c r="D283" s="149"/>
      <c r="E283" s="686">
        <f>SUM(E284)</f>
        <v>0</v>
      </c>
      <c r="F283" s="362">
        <f t="shared" si="27"/>
        <v>0</v>
      </c>
      <c r="G283" s="149"/>
      <c r="H283" s="150"/>
      <c r="I283" s="151">
        <f t="shared" si="28"/>
        <v>0</v>
      </c>
      <c r="J283" s="149"/>
      <c r="K283" s="150">
        <f>SUM(K284)</f>
        <v>0</v>
      </c>
      <c r="L283" s="151">
        <f t="shared" si="29"/>
        <v>0</v>
      </c>
      <c r="M283" s="365"/>
      <c r="N283" s="363"/>
      <c r="O283" s="151">
        <f t="shared" si="38"/>
        <v>0</v>
      </c>
      <c r="P283" s="153"/>
      <c r="R283" s="53"/>
      <c r="S283" s="53"/>
      <c r="T283" s="53"/>
    </row>
    <row r="284" spans="1:20" hidden="1" x14ac:dyDescent="0.25">
      <c r="A284" s="366"/>
      <c r="B284" s="179" t="s">
        <v>300</v>
      </c>
      <c r="C284" s="117">
        <f t="shared" si="26"/>
        <v>0</v>
      </c>
      <c r="D284" s="255">
        <f>SUM(D285:D286)</f>
        <v>0</v>
      </c>
      <c r="E284" s="256"/>
      <c r="F284" s="257">
        <f t="shared" si="27"/>
        <v>0</v>
      </c>
      <c r="G284" s="255">
        <f>SUM(G285:G286)</f>
        <v>0</v>
      </c>
      <c r="H284" s="258">
        <f>SUM(H285:H286)</f>
        <v>0</v>
      </c>
      <c r="I284" s="259">
        <f t="shared" si="28"/>
        <v>0</v>
      </c>
      <c r="J284" s="255">
        <f>SUM(J285:J286)</f>
        <v>0</v>
      </c>
      <c r="K284" s="258"/>
      <c r="L284" s="259">
        <f t="shared" si="29"/>
        <v>0</v>
      </c>
      <c r="M284" s="260">
        <f>SUM(M285:M286)</f>
        <v>0</v>
      </c>
      <c r="N284" s="261">
        <f>SUM(N285:N286)</f>
        <v>0</v>
      </c>
      <c r="O284" s="259">
        <f t="shared" si="38"/>
        <v>0</v>
      </c>
      <c r="P284" s="189"/>
      <c r="R284" s="53"/>
      <c r="S284" s="53"/>
      <c r="T284" s="53"/>
    </row>
    <row r="285" spans="1:20" hidden="1" x14ac:dyDescent="0.25">
      <c r="A285" s="346" t="s">
        <v>301</v>
      </c>
      <c r="B285" s="76" t="s">
        <v>302</v>
      </c>
      <c r="C285" s="279">
        <f t="shared" si="26"/>
        <v>0</v>
      </c>
      <c r="D285" s="134"/>
      <c r="E285" s="283">
        <f>SUM(E286:E287)</f>
        <v>0</v>
      </c>
      <c r="F285" s="279">
        <f t="shared" si="27"/>
        <v>0</v>
      </c>
      <c r="G285" s="134"/>
      <c r="H285" s="135"/>
      <c r="I285" s="136">
        <f t="shared" si="28"/>
        <v>0</v>
      </c>
      <c r="J285" s="134"/>
      <c r="K285" s="135">
        <f>SUM(K286:K287)</f>
        <v>0</v>
      </c>
      <c r="L285" s="136">
        <f t="shared" si="29"/>
        <v>0</v>
      </c>
      <c r="M285" s="284"/>
      <c r="N285" s="285"/>
      <c r="O285" s="136">
        <f t="shared" si="38"/>
        <v>0</v>
      </c>
      <c r="P285" s="85"/>
      <c r="R285" s="53"/>
      <c r="S285" s="53"/>
      <c r="T285" s="53"/>
    </row>
    <row r="286" spans="1:20" ht="24" hidden="1" x14ac:dyDescent="0.25">
      <c r="A286" s="346" t="s">
        <v>303</v>
      </c>
      <c r="B286" s="367" t="s">
        <v>304</v>
      </c>
      <c r="C286" s="117">
        <f t="shared" si="26"/>
        <v>0</v>
      </c>
      <c r="D286" s="123"/>
      <c r="E286" s="295"/>
      <c r="F286" s="296">
        <f t="shared" si="27"/>
        <v>0</v>
      </c>
      <c r="G286" s="123"/>
      <c r="H286" s="124"/>
      <c r="I286" s="125">
        <f t="shared" si="28"/>
        <v>0</v>
      </c>
      <c r="J286" s="123"/>
      <c r="K286" s="124"/>
      <c r="L286" s="125">
        <f t="shared" si="29"/>
        <v>0</v>
      </c>
      <c r="M286" s="264"/>
      <c r="N286" s="262"/>
      <c r="O286" s="125">
        <f t="shared" si="38"/>
        <v>0</v>
      </c>
      <c r="P286" s="74"/>
      <c r="R286" s="53"/>
      <c r="S286" s="53"/>
      <c r="T286" s="53"/>
    </row>
    <row r="287" spans="1:20" x14ac:dyDescent="0.25">
      <c r="A287" s="368"/>
      <c r="B287" s="369" t="s">
        <v>305</v>
      </c>
      <c r="C287" s="370">
        <f t="shared" si="26"/>
        <v>831497</v>
      </c>
      <c r="D287" s="371">
        <f>SUM(D284,D271,D233,D198,D190,D176,D78,D56)</f>
        <v>357431</v>
      </c>
      <c r="E287" s="372"/>
      <c r="F287" s="373">
        <f t="shared" si="27"/>
        <v>357431</v>
      </c>
      <c r="G287" s="371">
        <f>SUM(G284,G271,G233,G198,G190,G176,G78,G56)</f>
        <v>451706</v>
      </c>
      <c r="H287" s="374">
        <f>SUM(H284,H271,H233,H198,H190,H176,H78,H56)</f>
        <v>0</v>
      </c>
      <c r="I287" s="375">
        <f t="shared" si="28"/>
        <v>451706</v>
      </c>
      <c r="J287" s="371">
        <f>SUM(J284,J271,J233,J198,J190,J176,J78,J56)</f>
        <v>22360</v>
      </c>
      <c r="K287" s="374"/>
      <c r="L287" s="375">
        <f t="shared" si="29"/>
        <v>22360</v>
      </c>
      <c r="M287" s="250">
        <f>SUM(M284,M271,M233,M198,M190,M176,M78,M56)</f>
        <v>0</v>
      </c>
      <c r="N287" s="251">
        <f>SUM(N284,N271,N233,N198,N190,N176,N78,N56)</f>
        <v>0</v>
      </c>
      <c r="O287" s="252">
        <f t="shared" si="38"/>
        <v>0</v>
      </c>
      <c r="P287" s="253"/>
      <c r="R287" s="53"/>
      <c r="S287" s="53"/>
      <c r="T287" s="53"/>
    </row>
    <row r="288" spans="1:20" x14ac:dyDescent="0.25">
      <c r="A288" s="376" t="s">
        <v>306</v>
      </c>
      <c r="B288" s="377"/>
      <c r="C288" s="378">
        <f t="shared" si="26"/>
        <v>-1902</v>
      </c>
      <c r="D288" s="379">
        <f>SUM(D28,D29,D45)-D54</f>
        <v>0</v>
      </c>
      <c r="E288" s="380">
        <f>SUM(E285,E271,E233,E198,E190,E176,E78,E56)</f>
        <v>0</v>
      </c>
      <c r="F288" s="381">
        <f t="shared" si="27"/>
        <v>0</v>
      </c>
      <c r="G288" s="379">
        <f>SUM(G28,G29,G45)-G54</f>
        <v>0</v>
      </c>
      <c r="H288" s="382">
        <f>SUM(H28,H29,H45)-H54</f>
        <v>0</v>
      </c>
      <c r="I288" s="383">
        <f t="shared" si="28"/>
        <v>0</v>
      </c>
      <c r="J288" s="379">
        <f>(J30+J46)-J54</f>
        <v>-1902</v>
      </c>
      <c r="K288" s="382">
        <f>SUM(K285,K271,K233,K198,K190,K176,K78,K56)</f>
        <v>0</v>
      </c>
      <c r="L288" s="383">
        <f t="shared" si="29"/>
        <v>-1902</v>
      </c>
      <c r="M288" s="378">
        <f>M48-M54</f>
        <v>0</v>
      </c>
      <c r="N288" s="384">
        <f>N48-N54</f>
        <v>0</v>
      </c>
      <c r="O288" s="383">
        <f t="shared" si="38"/>
        <v>0</v>
      </c>
      <c r="P288" s="385"/>
      <c r="R288" s="53"/>
      <c r="S288" s="53"/>
      <c r="T288" s="53"/>
    </row>
    <row r="289" spans="1:20" s="41" customFormat="1" x14ac:dyDescent="0.25">
      <c r="A289" s="376" t="s">
        <v>307</v>
      </c>
      <c r="B289" s="377"/>
      <c r="C289" s="380">
        <f t="shared" si="26"/>
        <v>1902</v>
      </c>
      <c r="D289" s="379">
        <f>SUM(D290,D291)-D298+D299</f>
        <v>0</v>
      </c>
      <c r="E289" s="380"/>
      <c r="F289" s="381">
        <f t="shared" si="27"/>
        <v>0</v>
      </c>
      <c r="G289" s="379">
        <f>SUM(G290,G291)-G298+G299</f>
        <v>0</v>
      </c>
      <c r="H289" s="382">
        <f>SUM(H290,H291)-H298+H299</f>
        <v>0</v>
      </c>
      <c r="I289" s="383">
        <f t="shared" si="28"/>
        <v>0</v>
      </c>
      <c r="J289" s="379">
        <f>SUM(J290,J291)-J298+J299</f>
        <v>1902</v>
      </c>
      <c r="K289" s="382"/>
      <c r="L289" s="383">
        <f t="shared" si="29"/>
        <v>1902</v>
      </c>
      <c r="M289" s="378">
        <f>SUM(M290,M291)-M298+M299</f>
        <v>0</v>
      </c>
      <c r="N289" s="384">
        <f>SUM(N290,N291)-N298+N299</f>
        <v>0</v>
      </c>
      <c r="O289" s="383">
        <f t="shared" si="38"/>
        <v>0</v>
      </c>
      <c r="P289" s="385"/>
      <c r="R289" s="53"/>
      <c r="S289" s="53"/>
      <c r="T289" s="53"/>
    </row>
    <row r="290" spans="1:20" s="41" customFormat="1" x14ac:dyDescent="0.25">
      <c r="A290" s="386" t="s">
        <v>308</v>
      </c>
      <c r="B290" s="386" t="s">
        <v>309</v>
      </c>
      <c r="C290" s="380">
        <f t="shared" si="26"/>
        <v>1902</v>
      </c>
      <c r="D290" s="379">
        <f>D25-D284</f>
        <v>0</v>
      </c>
      <c r="E290" s="380">
        <f>SUM(E28,E29,E45)-E54</f>
        <v>0</v>
      </c>
      <c r="F290" s="381">
        <f t="shared" si="27"/>
        <v>0</v>
      </c>
      <c r="G290" s="379">
        <f>G25-G284</f>
        <v>0</v>
      </c>
      <c r="H290" s="382">
        <f>H25-H284</f>
        <v>0</v>
      </c>
      <c r="I290" s="383">
        <f t="shared" si="28"/>
        <v>0</v>
      </c>
      <c r="J290" s="379">
        <f>J25-J284</f>
        <v>1902</v>
      </c>
      <c r="K290" s="382">
        <f>(K30+K46)-K54</f>
        <v>0</v>
      </c>
      <c r="L290" s="383">
        <f t="shared" si="29"/>
        <v>1902</v>
      </c>
      <c r="M290" s="378">
        <f>M25-M284</f>
        <v>0</v>
      </c>
      <c r="N290" s="384">
        <f>N25-N284</f>
        <v>0</v>
      </c>
      <c r="O290" s="383">
        <f t="shared" si="38"/>
        <v>0</v>
      </c>
      <c r="P290" s="385"/>
      <c r="R290" s="53"/>
      <c r="S290" s="53"/>
      <c r="T290" s="53"/>
    </row>
    <row r="291" spans="1:20" s="41" customFormat="1" hidden="1" x14ac:dyDescent="0.25">
      <c r="A291" s="387" t="s">
        <v>310</v>
      </c>
      <c r="B291" s="387" t="s">
        <v>311</v>
      </c>
      <c r="C291" s="380">
        <f t="shared" si="26"/>
        <v>0</v>
      </c>
      <c r="D291" s="379">
        <f>SUM(D292,D294,D296)-SUM(D293,D295,D297)</f>
        <v>0</v>
      </c>
      <c r="E291" s="380"/>
      <c r="F291" s="381">
        <f t="shared" si="27"/>
        <v>0</v>
      </c>
      <c r="G291" s="379">
        <f>SUM(G292,G294,G296)-SUM(G293,G295,G297)</f>
        <v>0</v>
      </c>
      <c r="H291" s="382">
        <f>SUM(H292,H294,H296)-SUM(H293,H295,H297)</f>
        <v>0</v>
      </c>
      <c r="I291" s="383">
        <f t="shared" si="28"/>
        <v>0</v>
      </c>
      <c r="J291" s="379">
        <f>SUM(J292,J294,J296)-SUM(J293,J295,J297)</f>
        <v>0</v>
      </c>
      <c r="K291" s="382"/>
      <c r="L291" s="383">
        <f t="shared" si="29"/>
        <v>0</v>
      </c>
      <c r="M291" s="378">
        <f>SUM(M292,M294,M296)-SUM(M293,M295,M297)</f>
        <v>0</v>
      </c>
      <c r="N291" s="384">
        <f>SUM(N292,N294,N296)-SUM(N293,N295,N297)</f>
        <v>0</v>
      </c>
      <c r="O291" s="383">
        <f t="shared" si="38"/>
        <v>0</v>
      </c>
      <c r="P291" s="385"/>
      <c r="R291" s="53"/>
      <c r="S291" s="53"/>
      <c r="T291" s="53"/>
    </row>
    <row r="292" spans="1:20" s="41" customFormat="1" hidden="1" x14ac:dyDescent="0.25">
      <c r="A292" s="366" t="s">
        <v>312</v>
      </c>
      <c r="B292" s="190" t="s">
        <v>313</v>
      </c>
      <c r="C292" s="143">
        <f t="shared" si="26"/>
        <v>0</v>
      </c>
      <c r="D292" s="149"/>
      <c r="E292" s="686">
        <f t="shared" ref="E292" si="39">SUM(E293,E295)-E303+E305</f>
        <v>0</v>
      </c>
      <c r="F292" s="362">
        <f t="shared" si="27"/>
        <v>0</v>
      </c>
      <c r="G292" s="149"/>
      <c r="H292" s="150"/>
      <c r="I292" s="151">
        <f t="shared" si="28"/>
        <v>0</v>
      </c>
      <c r="J292" s="149"/>
      <c r="K292" s="150">
        <f t="shared" ref="K292" si="40">SUM(K293,K295)-K303+K305</f>
        <v>0</v>
      </c>
      <c r="L292" s="151">
        <f t="shared" si="29"/>
        <v>0</v>
      </c>
      <c r="M292" s="365"/>
      <c r="N292" s="363"/>
      <c r="O292" s="151">
        <f t="shared" si="38"/>
        <v>0</v>
      </c>
      <c r="P292" s="153"/>
      <c r="R292" s="53"/>
      <c r="S292" s="53"/>
      <c r="T292" s="53"/>
    </row>
    <row r="293" spans="1:20" ht="24" hidden="1" x14ac:dyDescent="0.25">
      <c r="A293" s="346" t="s">
        <v>314</v>
      </c>
      <c r="B293" s="75" t="s">
        <v>315</v>
      </c>
      <c r="C293" s="128">
        <f t="shared" si="26"/>
        <v>0</v>
      </c>
      <c r="D293" s="134"/>
      <c r="E293" s="283">
        <f>E25-E285</f>
        <v>0</v>
      </c>
      <c r="F293" s="279">
        <f t="shared" si="27"/>
        <v>0</v>
      </c>
      <c r="G293" s="134"/>
      <c r="H293" s="135"/>
      <c r="I293" s="136">
        <f t="shared" si="28"/>
        <v>0</v>
      </c>
      <c r="J293" s="134"/>
      <c r="K293" s="135">
        <f>K25-K285</f>
        <v>0</v>
      </c>
      <c r="L293" s="136">
        <f t="shared" si="29"/>
        <v>0</v>
      </c>
      <c r="M293" s="284"/>
      <c r="N293" s="285"/>
      <c r="O293" s="136">
        <f t="shared" si="38"/>
        <v>0</v>
      </c>
      <c r="P293" s="85"/>
      <c r="R293" s="53"/>
      <c r="S293" s="53"/>
      <c r="T293" s="53"/>
    </row>
    <row r="294" spans="1:20" hidden="1" x14ac:dyDescent="0.25">
      <c r="A294" s="346" t="s">
        <v>316</v>
      </c>
      <c r="B294" s="75" t="s">
        <v>317</v>
      </c>
      <c r="C294" s="128">
        <f t="shared" si="26"/>
        <v>0</v>
      </c>
      <c r="D294" s="134"/>
      <c r="E294" s="283"/>
      <c r="F294" s="279">
        <f t="shared" si="27"/>
        <v>0</v>
      </c>
      <c r="G294" s="134"/>
      <c r="H294" s="135"/>
      <c r="I294" s="136">
        <f t="shared" si="28"/>
        <v>0</v>
      </c>
      <c r="J294" s="134"/>
      <c r="K294" s="135"/>
      <c r="L294" s="136">
        <f t="shared" si="29"/>
        <v>0</v>
      </c>
      <c r="M294" s="284"/>
      <c r="N294" s="285"/>
      <c r="O294" s="136">
        <f t="shared" si="38"/>
        <v>0</v>
      </c>
      <c r="P294" s="85"/>
      <c r="R294" s="53"/>
      <c r="S294" s="53"/>
      <c r="T294" s="53"/>
    </row>
    <row r="295" spans="1:20" ht="24" hidden="1" x14ac:dyDescent="0.25">
      <c r="A295" s="346" t="s">
        <v>318</v>
      </c>
      <c r="B295" s="75" t="s">
        <v>319</v>
      </c>
      <c r="C295" s="128">
        <f t="shared" si="26"/>
        <v>0</v>
      </c>
      <c r="D295" s="134"/>
      <c r="E295" s="283">
        <f t="shared" ref="E295" si="41">SUM(E296,E298,E300)-SUM(E297,E299,E301)</f>
        <v>0</v>
      </c>
      <c r="F295" s="279">
        <f t="shared" si="27"/>
        <v>0</v>
      </c>
      <c r="G295" s="134"/>
      <c r="H295" s="135"/>
      <c r="I295" s="136">
        <f t="shared" si="28"/>
        <v>0</v>
      </c>
      <c r="J295" s="134"/>
      <c r="K295" s="135">
        <f t="shared" ref="K295" si="42">SUM(K296,K298,K300)-SUM(K297,K299,K301)</f>
        <v>0</v>
      </c>
      <c r="L295" s="136">
        <f t="shared" si="29"/>
        <v>0</v>
      </c>
      <c r="M295" s="284"/>
      <c r="N295" s="285"/>
      <c r="O295" s="136">
        <f t="shared" si="38"/>
        <v>0</v>
      </c>
      <c r="P295" s="85"/>
      <c r="R295" s="53"/>
      <c r="S295" s="53"/>
      <c r="T295" s="53"/>
    </row>
    <row r="296" spans="1:20" hidden="1" x14ac:dyDescent="0.25">
      <c r="A296" s="346" t="s">
        <v>320</v>
      </c>
      <c r="B296" s="75" t="s">
        <v>321</v>
      </c>
      <c r="C296" s="128">
        <f t="shared" si="26"/>
        <v>0</v>
      </c>
      <c r="D296" s="134"/>
      <c r="E296" s="283"/>
      <c r="F296" s="279">
        <f t="shared" si="27"/>
        <v>0</v>
      </c>
      <c r="G296" s="134"/>
      <c r="H296" s="135"/>
      <c r="I296" s="136">
        <f t="shared" si="28"/>
        <v>0</v>
      </c>
      <c r="J296" s="134"/>
      <c r="K296" s="135"/>
      <c r="L296" s="136">
        <f t="shared" si="29"/>
        <v>0</v>
      </c>
      <c r="M296" s="284"/>
      <c r="N296" s="285"/>
      <c r="O296" s="136">
        <f t="shared" si="38"/>
        <v>0</v>
      </c>
      <c r="P296" s="85"/>
      <c r="R296" s="53"/>
      <c r="S296" s="53"/>
      <c r="T296" s="53"/>
    </row>
    <row r="297" spans="1:20" ht="24" hidden="1" x14ac:dyDescent="0.25">
      <c r="A297" s="389" t="s">
        <v>322</v>
      </c>
      <c r="B297" s="390" t="s">
        <v>323</v>
      </c>
      <c r="C297" s="327">
        <f t="shared" si="26"/>
        <v>0</v>
      </c>
      <c r="D297" s="328"/>
      <c r="E297" s="683"/>
      <c r="F297" s="647">
        <f t="shared" si="27"/>
        <v>0</v>
      </c>
      <c r="G297" s="328"/>
      <c r="H297" s="331"/>
      <c r="I297" s="324">
        <f t="shared" si="28"/>
        <v>0</v>
      </c>
      <c r="J297" s="328"/>
      <c r="K297" s="331"/>
      <c r="L297" s="324">
        <f t="shared" si="29"/>
        <v>0</v>
      </c>
      <c r="M297" s="332"/>
      <c r="N297" s="329"/>
      <c r="O297" s="324">
        <f t="shared" si="38"/>
        <v>0</v>
      </c>
      <c r="P297" s="325"/>
      <c r="R297" s="53"/>
      <c r="S297" s="53"/>
      <c r="T297" s="53"/>
    </row>
    <row r="298" spans="1:20" hidden="1" x14ac:dyDescent="0.25">
      <c r="A298" s="387" t="s">
        <v>324</v>
      </c>
      <c r="B298" s="387" t="s">
        <v>325</v>
      </c>
      <c r="C298" s="391">
        <f t="shared" si="26"/>
        <v>0</v>
      </c>
      <c r="D298" s="392"/>
      <c r="E298" s="687"/>
      <c r="F298" s="381">
        <f t="shared" si="27"/>
        <v>0</v>
      </c>
      <c r="G298" s="392"/>
      <c r="H298" s="394"/>
      <c r="I298" s="383">
        <f t="shared" si="28"/>
        <v>0</v>
      </c>
      <c r="J298" s="392"/>
      <c r="K298" s="394"/>
      <c r="L298" s="383">
        <f t="shared" si="29"/>
        <v>0</v>
      </c>
      <c r="M298" s="395"/>
      <c r="N298" s="393"/>
      <c r="O298" s="383">
        <f t="shared" si="38"/>
        <v>0</v>
      </c>
      <c r="P298" s="385"/>
      <c r="R298" s="53"/>
      <c r="S298" s="53"/>
      <c r="T298" s="53"/>
    </row>
    <row r="299" spans="1:20" s="41" customFormat="1" ht="48" hidden="1" x14ac:dyDescent="0.25">
      <c r="A299" s="387" t="s">
        <v>326</v>
      </c>
      <c r="B299" s="396" t="s">
        <v>327</v>
      </c>
      <c r="C299" s="397">
        <f t="shared" si="26"/>
        <v>0</v>
      </c>
      <c r="D299" s="398"/>
      <c r="E299" s="688"/>
      <c r="F299" s="651">
        <f t="shared" si="27"/>
        <v>0</v>
      </c>
      <c r="G299" s="392"/>
      <c r="H299" s="394"/>
      <c r="I299" s="383">
        <f t="shared" si="28"/>
        <v>0</v>
      </c>
      <c r="J299" s="392"/>
      <c r="K299" s="394"/>
      <c r="L299" s="383">
        <f t="shared" si="29"/>
        <v>0</v>
      </c>
      <c r="M299" s="395"/>
      <c r="N299" s="393"/>
      <c r="O299" s="383">
        <f t="shared" si="38"/>
        <v>0</v>
      </c>
      <c r="P299" s="910"/>
      <c r="Q299" s="32"/>
      <c r="R299" s="53"/>
      <c r="S299" s="53"/>
      <c r="T299" s="53"/>
    </row>
    <row r="300" spans="1:20" s="41" customFormat="1" x14ac:dyDescent="0.25">
      <c r="A300" s="401" t="s">
        <v>328</v>
      </c>
      <c r="B300" s="402"/>
      <c r="C300" s="402"/>
      <c r="D300" s="402"/>
      <c r="E300" s="402"/>
      <c r="F300" s="402"/>
      <c r="G300" s="402"/>
      <c r="H300" s="402"/>
      <c r="I300" s="402"/>
      <c r="J300" s="402"/>
      <c r="K300" s="402"/>
      <c r="L300" s="402"/>
      <c r="M300" s="402"/>
      <c r="N300" s="402"/>
      <c r="O300" s="402"/>
      <c r="P300" s="402"/>
      <c r="Q300" s="32"/>
    </row>
    <row r="301" spans="1:20" s="41" customFormat="1" x14ac:dyDescent="0.25">
      <c r="A301" s="721" t="s">
        <v>1080</v>
      </c>
      <c r="B301" s="722"/>
      <c r="C301" s="722"/>
      <c r="D301" s="722"/>
      <c r="E301" s="722"/>
      <c r="F301" s="722"/>
      <c r="G301" s="722"/>
      <c r="H301" s="722"/>
      <c r="I301" s="722"/>
      <c r="J301" s="722"/>
      <c r="K301" s="722"/>
      <c r="L301" s="722"/>
      <c r="M301" s="722"/>
      <c r="N301" s="722"/>
      <c r="O301" s="722"/>
      <c r="P301" s="722"/>
      <c r="Q301" s="32"/>
    </row>
    <row r="302" spans="1:20" ht="6" customHeight="1" thickBot="1" x14ac:dyDescent="0.3">
      <c r="A302" s="404"/>
      <c r="B302" s="405"/>
      <c r="C302" s="405"/>
      <c r="D302" s="405"/>
      <c r="E302" s="405"/>
      <c r="F302" s="405"/>
      <c r="G302" s="405"/>
      <c r="H302" s="405"/>
      <c r="I302" s="405"/>
      <c r="J302" s="405"/>
      <c r="K302" s="405"/>
      <c r="L302" s="405"/>
      <c r="M302" s="405"/>
      <c r="N302" s="405"/>
      <c r="O302" s="405"/>
      <c r="P302" s="406"/>
      <c r="Q302" s="7"/>
    </row>
    <row r="303" spans="1:20" x14ac:dyDescent="0.25">
      <c r="A303" s="5"/>
      <c r="B303" s="5"/>
      <c r="C303" s="5"/>
      <c r="D303" s="5"/>
      <c r="E303" s="5"/>
      <c r="F303" s="5"/>
      <c r="G303" s="5"/>
      <c r="H303" s="5"/>
      <c r="I303" s="5"/>
      <c r="J303" s="5"/>
      <c r="K303" s="5"/>
      <c r="L303" s="5"/>
      <c r="M303" s="5"/>
      <c r="N303" s="5"/>
      <c r="O303" s="5"/>
    </row>
    <row r="304" spans="1:20"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row r="322" spans="1:15" x14ac:dyDescent="0.25">
      <c r="A322" s="5"/>
      <c r="B322" s="5"/>
      <c r="C322" s="5"/>
      <c r="D322" s="5"/>
      <c r="E322" s="5"/>
      <c r="F322" s="5"/>
      <c r="G322" s="5"/>
      <c r="H322" s="5"/>
      <c r="I322" s="5"/>
      <c r="J322" s="5"/>
      <c r="K322" s="5"/>
      <c r="L322" s="5"/>
      <c r="M322" s="5"/>
      <c r="N322" s="5"/>
      <c r="O322" s="5"/>
    </row>
  </sheetData>
  <sheetProtection algorithmName="SHA-512" hashValue="iArC4cKP2NSP0x1X8mHOExEd0zne2mZnTLdQIhN2H5uNhBN11qYMQRIpnP87Mi9oBD4YgwrjVUBWZiVMQu/Wtg==" saltValue="CrG9Lilg7AjAOgbDleKekQ==" spinCount="100000" sheet="1" objects="1" scenarios="1" selectLockedCells="1" selectUnlockedCells="1"/>
  <autoFilter ref="A22:P301">
    <filterColumn colId="2">
      <filters blank="1">
        <filter val="1 275"/>
        <filter val="1 385"/>
        <filter val="1 544"/>
        <filter val="1 614"/>
        <filter val="1 709"/>
        <filter val="1 720"/>
        <filter val="1 902"/>
        <filter val="-1 902"/>
        <filter val="10 723"/>
        <filter val="100"/>
        <filter val="103 106"/>
        <filter val="11 207"/>
        <filter val="111"/>
        <filter val="120"/>
        <filter val="124 016"/>
        <filter val="128 539"/>
        <filter val="13 333"/>
        <filter val="148"/>
        <filter val="15 453"/>
        <filter val="159 220"/>
        <filter val="174"/>
        <filter val="182"/>
        <filter val="186"/>
        <filter val="2 172"/>
        <filter val="2 292"/>
        <filter val="20 458"/>
        <filter val="21 075"/>
        <filter val="21 377"/>
        <filter val="22 316"/>
        <filter val="23 181"/>
        <filter val="236"/>
        <filter val="24 527"/>
        <filter val="252"/>
        <filter val="26 894"/>
        <filter val="3 136"/>
        <filter val="3 329"/>
        <filter val="3 758"/>
        <filter val="315"/>
        <filter val="35 204"/>
        <filter val="394"/>
        <filter val="4 316"/>
        <filter val="4 609"/>
        <filter val="4 643"/>
        <filter val="41 940"/>
        <filter val="435"/>
        <filter val="448 401"/>
        <filter val="480"/>
        <filter val="494"/>
        <filter val="5 005"/>
        <filter val="5 319"/>
        <filter val="5 497"/>
        <filter val="500"/>
        <filter val="520 557"/>
        <filter val="525"/>
        <filter val="564"/>
        <filter val="57 207"/>
        <filter val="6 500"/>
        <filter val="621"/>
        <filter val="640"/>
        <filter val="65"/>
        <filter val="679 777"/>
        <filter val="69"/>
        <filter val="7 332"/>
        <filter val="70 881"/>
        <filter val="8 629"/>
        <filter val="808 316"/>
        <filter val="809 137"/>
        <filter val="816"/>
        <filter val="831 497"/>
        <filter val="846"/>
        <filter val="865"/>
        <filter val="90 444"/>
        <filter val="904"/>
        <filter val="972"/>
      </filters>
    </filterColumn>
  </autoFilter>
  <mergeCells count="30">
    <mergeCell ref="B19:B21"/>
    <mergeCell ref="C19:O19"/>
    <mergeCell ref="P19:P21"/>
    <mergeCell ref="C20:C21"/>
    <mergeCell ref="D20:D21"/>
    <mergeCell ref="E20:E21"/>
    <mergeCell ref="F20:F21"/>
    <mergeCell ref="G20:G21"/>
    <mergeCell ref="N20:N21"/>
    <mergeCell ref="O20:O21"/>
    <mergeCell ref="H20:H21"/>
    <mergeCell ref="I20:I21"/>
    <mergeCell ref="J20:J21"/>
    <mergeCell ref="K20:K21"/>
    <mergeCell ref="L20:L21"/>
    <mergeCell ref="M20:M21"/>
    <mergeCell ref="C17:P17"/>
    <mergeCell ref="A4:P4"/>
    <mergeCell ref="C6:P6"/>
    <mergeCell ref="C7:P7"/>
    <mergeCell ref="C8:P8"/>
    <mergeCell ref="C9:P9"/>
    <mergeCell ref="C10:P10"/>
    <mergeCell ref="C11:P11"/>
    <mergeCell ref="C13:P13"/>
    <mergeCell ref="C14:P14"/>
    <mergeCell ref="C15:P15"/>
    <mergeCell ref="C16:P16"/>
    <mergeCell ref="C18:P18"/>
    <mergeCell ref="A19:A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85.pielikums Jūrmalas pilsētas domes
2017.gada 30.janvāra saistošajiem noteikumiem Nr.10
(Protokols Nr.4, 1.punkts)
 </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1"/>
  <sheetViews>
    <sheetView view="pageLayout" zoomScaleNormal="90" workbookViewId="0">
      <selection activeCell="T13" sqref="T13"/>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880</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7"/>
    </row>
    <row r="4" spans="1:17" ht="15.75"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465</v>
      </c>
      <c r="D6" s="1555"/>
      <c r="E6" s="1555"/>
      <c r="F6" s="1555"/>
      <c r="G6" s="1555"/>
      <c r="H6" s="1555"/>
      <c r="I6" s="1555"/>
      <c r="J6" s="1555"/>
      <c r="K6" s="1555"/>
      <c r="L6" s="1555"/>
      <c r="M6" s="1555"/>
      <c r="N6" s="1555"/>
      <c r="O6" s="1555"/>
      <c r="P6" s="1556"/>
      <c r="Q6" s="7"/>
    </row>
    <row r="7" spans="1:17" ht="12.75" x14ac:dyDescent="0.25">
      <c r="A7" s="13" t="s">
        <v>4</v>
      </c>
      <c r="B7" s="14"/>
      <c r="C7" s="1555" t="s">
        <v>881</v>
      </c>
      <c r="D7" s="1555"/>
      <c r="E7" s="1555"/>
      <c r="F7" s="1555"/>
      <c r="G7" s="1555"/>
      <c r="H7" s="1555"/>
      <c r="I7" s="1555"/>
      <c r="J7" s="1555"/>
      <c r="K7" s="1555"/>
      <c r="L7" s="1555"/>
      <c r="M7" s="1555"/>
      <c r="N7" s="1555"/>
      <c r="O7" s="1555"/>
      <c r="P7" s="1556"/>
      <c r="Q7" s="7"/>
    </row>
    <row r="8" spans="1:17" x14ac:dyDescent="0.25">
      <c r="A8" s="8" t="s">
        <v>6</v>
      </c>
      <c r="B8" s="9"/>
      <c r="C8" s="1553" t="s">
        <v>882</v>
      </c>
      <c r="D8" s="1553"/>
      <c r="E8" s="1553"/>
      <c r="F8" s="1553"/>
      <c r="G8" s="1553"/>
      <c r="H8" s="1553"/>
      <c r="I8" s="1553"/>
      <c r="J8" s="1553"/>
      <c r="K8" s="1553"/>
      <c r="L8" s="1553"/>
      <c r="M8" s="1553"/>
      <c r="N8" s="1553"/>
      <c r="O8" s="1553"/>
      <c r="P8" s="1554"/>
      <c r="Q8" s="7"/>
    </row>
    <row r="9" spans="1:17" x14ac:dyDescent="0.25">
      <c r="A9" s="8" t="s">
        <v>8</v>
      </c>
      <c r="B9" s="9"/>
      <c r="C9" s="1553" t="s">
        <v>333</v>
      </c>
      <c r="D9" s="1553"/>
      <c r="E9" s="1553"/>
      <c r="F9" s="1553"/>
      <c r="G9" s="1553"/>
      <c r="H9" s="1553"/>
      <c r="I9" s="1553"/>
      <c r="J9" s="1553"/>
      <c r="K9" s="1553"/>
      <c r="L9" s="1553"/>
      <c r="M9" s="1553"/>
      <c r="N9" s="1553"/>
      <c r="O9" s="1553"/>
      <c r="P9" s="1554"/>
      <c r="Q9" s="7"/>
    </row>
    <row r="10" spans="1:17" x14ac:dyDescent="0.25">
      <c r="A10" s="8" t="s">
        <v>10</v>
      </c>
      <c r="B10" s="9"/>
      <c r="C10" s="1555" t="s">
        <v>334</v>
      </c>
      <c r="D10" s="1555"/>
      <c r="E10" s="1555"/>
      <c r="F10" s="1555"/>
      <c r="G10" s="1555"/>
      <c r="H10" s="1555"/>
      <c r="I10" s="1555"/>
      <c r="J10" s="1555"/>
      <c r="K10" s="1555"/>
      <c r="L10" s="1555"/>
      <c r="M10" s="1555"/>
      <c r="N10" s="1555"/>
      <c r="O10" s="1555"/>
      <c r="P10" s="1556"/>
      <c r="Q10" s="7"/>
    </row>
    <row r="11" spans="1:17" x14ac:dyDescent="0.25">
      <c r="A11" s="8" t="s">
        <v>12</v>
      </c>
      <c r="B11" s="9"/>
      <c r="C11" s="1555" t="s">
        <v>439</v>
      </c>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883</v>
      </c>
      <c r="D13" s="1553"/>
      <c r="E13" s="1553"/>
      <c r="F13" s="1553"/>
      <c r="G13" s="1553"/>
      <c r="H13" s="1553"/>
      <c r="I13" s="1553"/>
      <c r="J13" s="1553"/>
      <c r="K13" s="1553"/>
      <c r="L13" s="1553"/>
      <c r="M13" s="1553"/>
      <c r="N13" s="1553"/>
      <c r="O13" s="1553"/>
      <c r="P13" s="1554"/>
      <c r="Q13" s="7"/>
    </row>
    <row r="14" spans="1:17" x14ac:dyDescent="0.25">
      <c r="A14" s="8"/>
      <c r="B14" s="9" t="s">
        <v>17</v>
      </c>
      <c r="C14" s="1553" t="s">
        <v>884</v>
      </c>
      <c r="D14" s="1553"/>
      <c r="E14" s="1553"/>
      <c r="F14" s="1553"/>
      <c r="G14" s="1553"/>
      <c r="H14" s="1553"/>
      <c r="I14" s="1553"/>
      <c r="J14" s="1553"/>
      <c r="K14" s="1553"/>
      <c r="L14" s="1553"/>
      <c r="M14" s="1553"/>
      <c r="N14" s="1553"/>
      <c r="O14" s="1553"/>
      <c r="P14" s="1554"/>
      <c r="Q14" s="7"/>
    </row>
    <row r="15" spans="1:17" x14ac:dyDescent="0.25">
      <c r="A15" s="8"/>
      <c r="B15" s="9" t="s">
        <v>19</v>
      </c>
      <c r="C15" s="1553"/>
      <c r="D15" s="1553"/>
      <c r="E15" s="1553"/>
      <c r="F15" s="1553"/>
      <c r="G15" s="1553"/>
      <c r="H15" s="1553"/>
      <c r="I15" s="1553"/>
      <c r="J15" s="1553"/>
      <c r="K15" s="1553"/>
      <c r="L15" s="1553"/>
      <c r="M15" s="1553"/>
      <c r="N15" s="1553"/>
      <c r="O15" s="1553"/>
      <c r="P15" s="1554"/>
      <c r="Q15" s="7"/>
    </row>
    <row r="16" spans="1:17" x14ac:dyDescent="0.25">
      <c r="A16" s="8"/>
      <c r="B16" s="9" t="s">
        <v>20</v>
      </c>
      <c r="C16" s="1553" t="s">
        <v>885</v>
      </c>
      <c r="D16" s="1553"/>
      <c r="E16" s="1553"/>
      <c r="F16" s="1553"/>
      <c r="G16" s="1553"/>
      <c r="H16" s="1553"/>
      <c r="I16" s="1553"/>
      <c r="J16" s="1553"/>
      <c r="K16" s="1553"/>
      <c r="L16" s="1553"/>
      <c r="M16" s="1553"/>
      <c r="N16" s="1553"/>
      <c r="O16" s="1553"/>
      <c r="P16" s="1554"/>
      <c r="Q16" s="7"/>
    </row>
    <row r="17" spans="1:20" x14ac:dyDescent="0.25">
      <c r="A17" s="8"/>
      <c r="B17" s="9" t="s">
        <v>22</v>
      </c>
      <c r="C17" s="1553" t="s">
        <v>886</v>
      </c>
      <c r="D17" s="1553"/>
      <c r="E17" s="1553"/>
      <c r="F17" s="1553"/>
      <c r="G17" s="1553"/>
      <c r="H17" s="1553"/>
      <c r="I17" s="1553"/>
      <c r="J17" s="1553"/>
      <c r="K17" s="1553"/>
      <c r="L17" s="1553"/>
      <c r="M17" s="1553"/>
      <c r="N17" s="1553"/>
      <c r="O17" s="1553"/>
      <c r="P17" s="1554"/>
      <c r="Q17" s="7"/>
    </row>
    <row r="18" spans="1:20" x14ac:dyDescent="0.25">
      <c r="A18" s="18"/>
      <c r="B18" s="19"/>
      <c r="C18" s="1569"/>
      <c r="D18" s="1569"/>
      <c r="E18" s="1569"/>
      <c r="F18" s="1569"/>
      <c r="G18" s="1569"/>
      <c r="H18" s="1569"/>
      <c r="I18" s="1569"/>
      <c r="J18" s="1569"/>
      <c r="K18" s="1569"/>
      <c r="L18" s="1569"/>
      <c r="M18" s="1569"/>
      <c r="N18" s="1569"/>
      <c r="O18" s="1569"/>
      <c r="P18" s="1570"/>
      <c r="Q18" s="7"/>
    </row>
    <row r="19" spans="1:20"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0"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20" s="21" customFormat="1" ht="70.5" customHeight="1" thickBot="1" x14ac:dyDescent="0.3">
      <c r="A21" s="1573"/>
      <c r="B21" s="1576"/>
      <c r="C21" s="1581"/>
      <c r="D21" s="1566"/>
      <c r="E21" s="1568"/>
      <c r="F21" s="1564"/>
      <c r="G21" s="1566"/>
      <c r="H21" s="1568"/>
      <c r="I21" s="1564"/>
      <c r="J21" s="1566"/>
      <c r="K21" s="1568"/>
      <c r="L21" s="1564"/>
      <c r="M21" s="1566"/>
      <c r="N21" s="1568"/>
      <c r="O21" s="1564"/>
      <c r="P21" s="1576"/>
    </row>
    <row r="22" spans="1:20"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0" s="41" customFormat="1" x14ac:dyDescent="0.25">
      <c r="A23" s="30"/>
      <c r="B23" s="31" t="s">
        <v>41</v>
      </c>
      <c r="C23" s="32"/>
      <c r="D23" s="33"/>
      <c r="E23" s="34"/>
      <c r="F23" s="35"/>
      <c r="G23" s="33"/>
      <c r="H23" s="36"/>
      <c r="I23" s="37"/>
      <c r="J23" s="33"/>
      <c r="K23" s="38"/>
      <c r="L23" s="37"/>
      <c r="M23" s="38"/>
      <c r="N23" s="39"/>
      <c r="O23" s="37"/>
      <c r="P23" s="40"/>
    </row>
    <row r="24" spans="1:20" s="41" customFormat="1" ht="12.75" thickBot="1" x14ac:dyDescent="0.3">
      <c r="A24" s="42"/>
      <c r="B24" s="43" t="s">
        <v>42</v>
      </c>
      <c r="C24" s="44">
        <f>F24+I24+L24+O24</f>
        <v>1375381</v>
      </c>
      <c r="D24" s="45">
        <f>SUM(D25,D28,D29,D45,D46)</f>
        <v>595067</v>
      </c>
      <c r="E24" s="46">
        <f>SUM(E25,E28,E29,E45,E46)</f>
        <v>0</v>
      </c>
      <c r="F24" s="47">
        <f t="shared" ref="F24:F29" si="0">D24+E24</f>
        <v>595067</v>
      </c>
      <c r="G24" s="45">
        <f>SUM(G25,G28,G46)</f>
        <v>757368</v>
      </c>
      <c r="H24" s="48">
        <f>SUM(H25,H28,H46)</f>
        <v>0</v>
      </c>
      <c r="I24" s="49">
        <f>G24+H24</f>
        <v>757368</v>
      </c>
      <c r="J24" s="45">
        <f>SUM(J25,J30,J46)</f>
        <v>22946</v>
      </c>
      <c r="K24" s="48">
        <f>SUM(K25,K30,K46)</f>
        <v>0</v>
      </c>
      <c r="L24" s="49">
        <f>J24+K24</f>
        <v>22946</v>
      </c>
      <c r="M24" s="50">
        <f>SUM(M25,M48)</f>
        <v>0</v>
      </c>
      <c r="N24" s="51">
        <f>SUM(N25,N48)</f>
        <v>0</v>
      </c>
      <c r="O24" s="49">
        <f>M24+N24</f>
        <v>0</v>
      </c>
      <c r="P24" s="52"/>
      <c r="R24" s="53"/>
      <c r="S24" s="53"/>
      <c r="T24" s="53"/>
    </row>
    <row r="25" spans="1:20" ht="12.75" thickTop="1" x14ac:dyDescent="0.25">
      <c r="A25" s="54"/>
      <c r="B25" s="55" t="s">
        <v>43</v>
      </c>
      <c r="C25" s="56">
        <f>F25+I25+L25+O25</f>
        <v>10601</v>
      </c>
      <c r="D25" s="57">
        <f>SUM(D26:D27)</f>
        <v>0</v>
      </c>
      <c r="E25" s="58">
        <f>SUM(E26:E27)</f>
        <v>0</v>
      </c>
      <c r="F25" s="59">
        <f t="shared" si="0"/>
        <v>0</v>
      </c>
      <c r="G25" s="57">
        <f>SUM(G26:G27)</f>
        <v>0</v>
      </c>
      <c r="H25" s="60">
        <f>SUM(H26:H27)</f>
        <v>0</v>
      </c>
      <c r="I25" s="61">
        <f>G25+H25</f>
        <v>0</v>
      </c>
      <c r="J25" s="57">
        <f>SUM(J26:J27)</f>
        <v>10601</v>
      </c>
      <c r="K25" s="60">
        <f>SUM(K26:K27)</f>
        <v>0</v>
      </c>
      <c r="L25" s="61">
        <f>J25+K25</f>
        <v>10601</v>
      </c>
      <c r="M25" s="62">
        <f>SUM(M26:M27)</f>
        <v>0</v>
      </c>
      <c r="N25" s="63">
        <f>SUM(N26:N27)</f>
        <v>0</v>
      </c>
      <c r="O25" s="61">
        <f>M25+N25</f>
        <v>0</v>
      </c>
      <c r="P25" s="64"/>
      <c r="R25" s="53"/>
      <c r="S25" s="53"/>
      <c r="T25" s="53"/>
    </row>
    <row r="26" spans="1:20" hidden="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c r="R26" s="53"/>
      <c r="S26" s="53"/>
      <c r="T26" s="53"/>
    </row>
    <row r="27" spans="1:20" x14ac:dyDescent="0.25">
      <c r="A27" s="75"/>
      <c r="B27" s="76" t="s">
        <v>45</v>
      </c>
      <c r="C27" s="77">
        <f>F27+I27+L27+O27</f>
        <v>10601</v>
      </c>
      <c r="D27" s="78"/>
      <c r="E27" s="79"/>
      <c r="F27" s="80">
        <f t="shared" si="0"/>
        <v>0</v>
      </c>
      <c r="G27" s="78"/>
      <c r="H27" s="81"/>
      <c r="I27" s="82">
        <f>G27+H27</f>
        <v>0</v>
      </c>
      <c r="J27" s="78">
        <v>10601</v>
      </c>
      <c r="K27" s="81"/>
      <c r="L27" s="82">
        <f>J27+K27</f>
        <v>10601</v>
      </c>
      <c r="M27" s="83"/>
      <c r="N27" s="84"/>
      <c r="O27" s="82">
        <f>M27+N27</f>
        <v>0</v>
      </c>
      <c r="P27" s="85"/>
      <c r="R27" s="53"/>
      <c r="S27" s="53"/>
      <c r="T27" s="53"/>
    </row>
    <row r="28" spans="1:20" s="41" customFormat="1" ht="24.75" thickBot="1" x14ac:dyDescent="0.3">
      <c r="A28" s="86">
        <v>19300</v>
      </c>
      <c r="B28" s="86" t="s">
        <v>46</v>
      </c>
      <c r="C28" s="87">
        <f>SUM(F28,I28)</f>
        <v>1352435</v>
      </c>
      <c r="D28" s="88">
        <v>595067</v>
      </c>
      <c r="E28" s="89"/>
      <c r="F28" s="90">
        <f t="shared" si="0"/>
        <v>595067</v>
      </c>
      <c r="G28" s="88">
        <v>757368</v>
      </c>
      <c r="H28" s="91"/>
      <c r="I28" s="92">
        <f>G28+H28</f>
        <v>757368</v>
      </c>
      <c r="J28" s="93" t="s">
        <v>47</v>
      </c>
      <c r="K28" s="94" t="s">
        <v>47</v>
      </c>
      <c r="L28" s="95" t="s">
        <v>47</v>
      </c>
      <c r="M28" s="96" t="s">
        <v>47</v>
      </c>
      <c r="N28" s="97" t="s">
        <v>47</v>
      </c>
      <c r="O28" s="95" t="s">
        <v>47</v>
      </c>
      <c r="P28" s="98"/>
      <c r="R28" s="53"/>
      <c r="S28" s="53"/>
      <c r="T28" s="53"/>
    </row>
    <row r="29" spans="1:20" s="41" customFormat="1" ht="24.75" hidden="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c r="R29" s="53"/>
      <c r="S29" s="53"/>
      <c r="T29" s="53"/>
    </row>
    <row r="30" spans="1:20" s="41" customFormat="1" ht="36.75" thickTop="1" x14ac:dyDescent="0.25">
      <c r="A30" s="99">
        <v>21300</v>
      </c>
      <c r="B30" s="99" t="s">
        <v>49</v>
      </c>
      <c r="C30" s="100">
        <f t="shared" ref="C30:C44" si="1">L30</f>
        <v>12345</v>
      </c>
      <c r="D30" s="104" t="s">
        <v>47</v>
      </c>
      <c r="E30" s="110" t="s">
        <v>47</v>
      </c>
      <c r="F30" s="111" t="s">
        <v>47</v>
      </c>
      <c r="G30" s="104" t="s">
        <v>47</v>
      </c>
      <c r="H30" s="105" t="s">
        <v>47</v>
      </c>
      <c r="I30" s="106" t="s">
        <v>47</v>
      </c>
      <c r="J30" s="112">
        <f>SUM(J31,J35,J37,J40)</f>
        <v>12345</v>
      </c>
      <c r="K30" s="113">
        <f>SUM(K31,K35,K37,K40)</f>
        <v>0</v>
      </c>
      <c r="L30" s="114">
        <f t="shared" ref="L30:L44" si="2">J30+K30</f>
        <v>12345</v>
      </c>
      <c r="M30" s="107" t="s">
        <v>47</v>
      </c>
      <c r="N30" s="108" t="s">
        <v>47</v>
      </c>
      <c r="O30" s="106" t="s">
        <v>47</v>
      </c>
      <c r="P30" s="109"/>
      <c r="R30" s="53"/>
      <c r="S30" s="53"/>
      <c r="T30" s="53"/>
    </row>
    <row r="31" spans="1:20" s="41" customFormat="1" ht="24" hidden="1" x14ac:dyDescent="0.25">
      <c r="A31" s="115">
        <v>21350</v>
      </c>
      <c r="B31" s="99" t="s">
        <v>50</v>
      </c>
      <c r="C31" s="100">
        <f t="shared" si="1"/>
        <v>0</v>
      </c>
      <c r="D31" s="104" t="s">
        <v>47</v>
      </c>
      <c r="E31" s="108" t="s">
        <v>47</v>
      </c>
      <c r="F31" s="140" t="s">
        <v>47</v>
      </c>
      <c r="G31" s="104" t="s">
        <v>47</v>
      </c>
      <c r="H31" s="105" t="s">
        <v>47</v>
      </c>
      <c r="I31" s="106" t="s">
        <v>47</v>
      </c>
      <c r="J31" s="112">
        <f>SUM(J32:J34)</f>
        <v>0</v>
      </c>
      <c r="K31" s="113">
        <f>SUM(K32:K34)</f>
        <v>0</v>
      </c>
      <c r="L31" s="114">
        <f t="shared" si="2"/>
        <v>0</v>
      </c>
      <c r="M31" s="107" t="s">
        <v>47</v>
      </c>
      <c r="N31" s="108" t="s">
        <v>47</v>
      </c>
      <c r="O31" s="106" t="s">
        <v>47</v>
      </c>
      <c r="P31" s="109"/>
      <c r="R31" s="53"/>
      <c r="S31" s="53"/>
      <c r="T31" s="53"/>
    </row>
    <row r="32" spans="1:20" hidden="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c r="R32" s="53"/>
      <c r="S32" s="53"/>
      <c r="T32" s="53"/>
    </row>
    <row r="33" spans="1:20" hidden="1" x14ac:dyDescent="0.25">
      <c r="A33" s="75">
        <v>21352</v>
      </c>
      <c r="B33" s="127" t="s">
        <v>52</v>
      </c>
      <c r="C33" s="128">
        <f t="shared" si="1"/>
        <v>0</v>
      </c>
      <c r="D33" s="129" t="s">
        <v>47</v>
      </c>
      <c r="E33" s="138" t="s">
        <v>47</v>
      </c>
      <c r="F33" s="139" t="s">
        <v>47</v>
      </c>
      <c r="G33" s="129" t="s">
        <v>47</v>
      </c>
      <c r="H33" s="132" t="s">
        <v>47</v>
      </c>
      <c r="I33" s="133" t="s">
        <v>47</v>
      </c>
      <c r="J33" s="134"/>
      <c r="K33" s="135"/>
      <c r="L33" s="136">
        <f t="shared" si="2"/>
        <v>0</v>
      </c>
      <c r="M33" s="137" t="s">
        <v>47</v>
      </c>
      <c r="N33" s="138" t="s">
        <v>47</v>
      </c>
      <c r="O33" s="133" t="s">
        <v>47</v>
      </c>
      <c r="P33" s="85"/>
      <c r="R33" s="53"/>
      <c r="S33" s="53"/>
      <c r="T33" s="53"/>
    </row>
    <row r="34" spans="1:20" ht="24" hidden="1" x14ac:dyDescent="0.25">
      <c r="A34" s="75">
        <v>21359</v>
      </c>
      <c r="B34" s="127" t="s">
        <v>53</v>
      </c>
      <c r="C34" s="128">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c r="R34" s="53"/>
      <c r="S34" s="53"/>
      <c r="T34" s="53"/>
    </row>
    <row r="35" spans="1:20" s="41" customFormat="1" ht="36" hidden="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c r="R35" s="53"/>
      <c r="S35" s="53"/>
      <c r="T35" s="53"/>
    </row>
    <row r="36" spans="1:20" ht="36" hidden="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c r="R36" s="53"/>
      <c r="S36" s="53"/>
      <c r="T36" s="53"/>
    </row>
    <row r="37" spans="1:20" s="41" customFormat="1" x14ac:dyDescent="0.25">
      <c r="A37" s="115">
        <v>21380</v>
      </c>
      <c r="B37" s="99" t="s">
        <v>56</v>
      </c>
      <c r="C37" s="100">
        <f t="shared" si="1"/>
        <v>9500</v>
      </c>
      <c r="D37" s="104" t="s">
        <v>47</v>
      </c>
      <c r="E37" s="110" t="s">
        <v>47</v>
      </c>
      <c r="F37" s="111" t="s">
        <v>47</v>
      </c>
      <c r="G37" s="104" t="s">
        <v>47</v>
      </c>
      <c r="H37" s="105" t="s">
        <v>47</v>
      </c>
      <c r="I37" s="106" t="s">
        <v>47</v>
      </c>
      <c r="J37" s="112">
        <f>SUM(J38:J39)</f>
        <v>9500</v>
      </c>
      <c r="K37" s="113">
        <f>SUM(K38:K39)</f>
        <v>0</v>
      </c>
      <c r="L37" s="114">
        <f t="shared" si="2"/>
        <v>9500</v>
      </c>
      <c r="M37" s="107" t="s">
        <v>47</v>
      </c>
      <c r="N37" s="108" t="s">
        <v>47</v>
      </c>
      <c r="O37" s="106" t="s">
        <v>47</v>
      </c>
      <c r="P37" s="109"/>
      <c r="R37" s="53"/>
      <c r="S37" s="53"/>
      <c r="T37" s="53"/>
    </row>
    <row r="38" spans="1:20" x14ac:dyDescent="0.25">
      <c r="A38" s="66">
        <v>21381</v>
      </c>
      <c r="B38" s="116" t="s">
        <v>57</v>
      </c>
      <c r="C38" s="117">
        <f t="shared" si="1"/>
        <v>9500</v>
      </c>
      <c r="D38" s="118" t="s">
        <v>47</v>
      </c>
      <c r="E38" s="154" t="s">
        <v>47</v>
      </c>
      <c r="F38" s="155" t="s">
        <v>47</v>
      </c>
      <c r="G38" s="118" t="s">
        <v>47</v>
      </c>
      <c r="H38" s="121" t="s">
        <v>47</v>
      </c>
      <c r="I38" s="122" t="s">
        <v>47</v>
      </c>
      <c r="J38" s="123">
        <v>9500</v>
      </c>
      <c r="K38" s="124"/>
      <c r="L38" s="125">
        <f t="shared" si="2"/>
        <v>9500</v>
      </c>
      <c r="M38" s="126" t="s">
        <v>47</v>
      </c>
      <c r="N38" s="119" t="s">
        <v>47</v>
      </c>
      <c r="O38" s="122" t="s">
        <v>47</v>
      </c>
      <c r="P38" s="74"/>
      <c r="R38" s="53"/>
      <c r="S38" s="53"/>
      <c r="T38" s="53"/>
    </row>
    <row r="39" spans="1:20" ht="24" hidden="1" x14ac:dyDescent="0.25">
      <c r="A39" s="76">
        <v>21383</v>
      </c>
      <c r="B39" s="127" t="s">
        <v>58</v>
      </c>
      <c r="C39" s="128">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c r="R39" s="53"/>
      <c r="S39" s="53"/>
      <c r="T39" s="53"/>
    </row>
    <row r="40" spans="1:20" s="41" customFormat="1" ht="24" x14ac:dyDescent="0.25">
      <c r="A40" s="115">
        <v>21390</v>
      </c>
      <c r="B40" s="99" t="s">
        <v>59</v>
      </c>
      <c r="C40" s="100">
        <f t="shared" si="1"/>
        <v>2845</v>
      </c>
      <c r="D40" s="104" t="s">
        <v>47</v>
      </c>
      <c r="E40" s="110" t="s">
        <v>47</v>
      </c>
      <c r="F40" s="111" t="s">
        <v>47</v>
      </c>
      <c r="G40" s="104" t="s">
        <v>47</v>
      </c>
      <c r="H40" s="105" t="s">
        <v>47</v>
      </c>
      <c r="I40" s="106" t="s">
        <v>47</v>
      </c>
      <c r="J40" s="112">
        <f>SUM(J41:J44)</f>
        <v>2845</v>
      </c>
      <c r="K40" s="113">
        <f>SUM(K41:K44)</f>
        <v>0</v>
      </c>
      <c r="L40" s="114">
        <f t="shared" si="2"/>
        <v>2845</v>
      </c>
      <c r="M40" s="107" t="s">
        <v>47</v>
      </c>
      <c r="N40" s="108" t="s">
        <v>47</v>
      </c>
      <c r="O40" s="106" t="s">
        <v>47</v>
      </c>
      <c r="P40" s="109"/>
      <c r="R40" s="53"/>
      <c r="S40" s="53"/>
      <c r="T40" s="53"/>
    </row>
    <row r="41" spans="1:20" ht="24" hidden="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c r="R41" s="53"/>
      <c r="S41" s="53"/>
      <c r="T41" s="53"/>
    </row>
    <row r="42" spans="1:20" hidden="1" x14ac:dyDescent="0.25">
      <c r="A42" s="76">
        <v>21393</v>
      </c>
      <c r="B42" s="127" t="s">
        <v>61</v>
      </c>
      <c r="C42" s="128">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c r="R42" s="53"/>
      <c r="S42" s="53"/>
      <c r="T42" s="53"/>
    </row>
    <row r="43" spans="1:20" hidden="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c r="R43" s="53"/>
      <c r="S43" s="53"/>
      <c r="T43" s="53"/>
    </row>
    <row r="44" spans="1:20" ht="24" x14ac:dyDescent="0.25">
      <c r="A44" s="76">
        <v>21399</v>
      </c>
      <c r="B44" s="127" t="s">
        <v>63</v>
      </c>
      <c r="C44" s="128">
        <f t="shared" si="1"/>
        <v>2845</v>
      </c>
      <c r="D44" s="129" t="s">
        <v>47</v>
      </c>
      <c r="E44" s="130" t="s">
        <v>47</v>
      </c>
      <c r="F44" s="131" t="s">
        <v>47</v>
      </c>
      <c r="G44" s="129" t="s">
        <v>47</v>
      </c>
      <c r="H44" s="132" t="s">
        <v>47</v>
      </c>
      <c r="I44" s="133" t="s">
        <v>47</v>
      </c>
      <c r="J44" s="134">
        <v>2845</v>
      </c>
      <c r="K44" s="135"/>
      <c r="L44" s="136">
        <f t="shared" si="2"/>
        <v>2845</v>
      </c>
      <c r="M44" s="137" t="s">
        <v>47</v>
      </c>
      <c r="N44" s="138" t="s">
        <v>47</v>
      </c>
      <c r="O44" s="133" t="s">
        <v>47</v>
      </c>
      <c r="P44" s="85"/>
      <c r="R44" s="53"/>
      <c r="S44" s="53"/>
      <c r="T44" s="53"/>
    </row>
    <row r="45" spans="1:20" s="41" customFormat="1" ht="24" hidden="1" x14ac:dyDescent="0.25">
      <c r="A45" s="115">
        <v>21420</v>
      </c>
      <c r="B45" s="99" t="s">
        <v>64</v>
      </c>
      <c r="C45" s="156">
        <f>F45</f>
        <v>0</v>
      </c>
      <c r="D45" s="157"/>
      <c r="E45" s="158"/>
      <c r="F45" s="103">
        <f>D45+E45</f>
        <v>0</v>
      </c>
      <c r="G45" s="104" t="s">
        <v>47</v>
      </c>
      <c r="H45" s="105" t="s">
        <v>47</v>
      </c>
      <c r="I45" s="106" t="s">
        <v>47</v>
      </c>
      <c r="J45" s="104" t="s">
        <v>47</v>
      </c>
      <c r="K45" s="105" t="s">
        <v>47</v>
      </c>
      <c r="L45" s="106" t="s">
        <v>47</v>
      </c>
      <c r="M45" s="107" t="s">
        <v>47</v>
      </c>
      <c r="N45" s="108" t="s">
        <v>47</v>
      </c>
      <c r="O45" s="106" t="s">
        <v>47</v>
      </c>
      <c r="P45" s="109"/>
      <c r="R45" s="53"/>
      <c r="S45" s="53"/>
      <c r="T45" s="53"/>
    </row>
    <row r="46" spans="1:20" s="41" customFormat="1" ht="24" hidden="1" x14ac:dyDescent="0.25">
      <c r="A46" s="159">
        <v>21490</v>
      </c>
      <c r="B46" s="160" t="s">
        <v>65</v>
      </c>
      <c r="C46" s="156">
        <f>F46+I46+L46</f>
        <v>0</v>
      </c>
      <c r="D46" s="161">
        <f>D47</f>
        <v>0</v>
      </c>
      <c r="E46" s="162">
        <f>E47</f>
        <v>0</v>
      </c>
      <c r="F46" s="163">
        <f>D46+E46</f>
        <v>0</v>
      </c>
      <c r="G46" s="161">
        <f>G47</f>
        <v>0</v>
      </c>
      <c r="H46" s="164">
        <f t="shared" ref="H46:K46" si="3">H47</f>
        <v>0</v>
      </c>
      <c r="I46" s="165">
        <f>G46+H46</f>
        <v>0</v>
      </c>
      <c r="J46" s="161">
        <f>J47</f>
        <v>0</v>
      </c>
      <c r="K46" s="164">
        <f t="shared" si="3"/>
        <v>0</v>
      </c>
      <c r="L46" s="165">
        <f>J46+K46</f>
        <v>0</v>
      </c>
      <c r="M46" s="107" t="s">
        <v>47</v>
      </c>
      <c r="N46" s="108" t="s">
        <v>47</v>
      </c>
      <c r="O46" s="106" t="s">
        <v>47</v>
      </c>
      <c r="P46" s="109"/>
      <c r="R46" s="53"/>
      <c r="S46" s="53"/>
      <c r="T46" s="53"/>
    </row>
    <row r="47" spans="1:20" s="41" customFormat="1" ht="24" hidden="1" x14ac:dyDescent="0.25">
      <c r="A47" s="76">
        <v>21499</v>
      </c>
      <c r="B47" s="127" t="s">
        <v>66</v>
      </c>
      <c r="C47" s="166">
        <f>F47+I47+L47</f>
        <v>0</v>
      </c>
      <c r="D47" s="68"/>
      <c r="E47" s="69"/>
      <c r="F47" s="70">
        <f>D47+E47</f>
        <v>0</v>
      </c>
      <c r="G47" s="167"/>
      <c r="H47" s="71"/>
      <c r="I47" s="72">
        <f>G47+H47</f>
        <v>0</v>
      </c>
      <c r="J47" s="68"/>
      <c r="K47" s="71"/>
      <c r="L47" s="72">
        <f>J47+K47</f>
        <v>0</v>
      </c>
      <c r="M47" s="152" t="s">
        <v>47</v>
      </c>
      <c r="N47" s="145" t="s">
        <v>47</v>
      </c>
      <c r="O47" s="148" t="s">
        <v>47</v>
      </c>
      <c r="P47" s="153"/>
      <c r="R47" s="53"/>
      <c r="S47" s="53"/>
      <c r="T47" s="53"/>
    </row>
    <row r="48" spans="1:20" ht="24" hidden="1" x14ac:dyDescent="0.25">
      <c r="A48" s="168">
        <v>23000</v>
      </c>
      <c r="B48" s="169" t="s">
        <v>67</v>
      </c>
      <c r="C48" s="156">
        <f>O48</f>
        <v>0</v>
      </c>
      <c r="D48" s="170" t="s">
        <v>47</v>
      </c>
      <c r="E48" s="171" t="s">
        <v>47</v>
      </c>
      <c r="F48" s="172" t="s">
        <v>47</v>
      </c>
      <c r="G48" s="170" t="s">
        <v>47</v>
      </c>
      <c r="H48" s="173" t="s">
        <v>47</v>
      </c>
      <c r="I48" s="174" t="s">
        <v>47</v>
      </c>
      <c r="J48" s="170" t="s">
        <v>47</v>
      </c>
      <c r="K48" s="173" t="s">
        <v>47</v>
      </c>
      <c r="L48" s="174" t="s">
        <v>47</v>
      </c>
      <c r="M48" s="175">
        <f>SUM(M49:M50)</f>
        <v>0</v>
      </c>
      <c r="N48" s="176">
        <f>SUM(N49:N50)</f>
        <v>0</v>
      </c>
      <c r="O48" s="177">
        <f>M48+N48</f>
        <v>0</v>
      </c>
      <c r="P48" s="109"/>
      <c r="R48" s="53"/>
      <c r="S48" s="53"/>
      <c r="T48" s="53"/>
    </row>
    <row r="49" spans="1:20" ht="24" hidden="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c r="R49" s="53"/>
      <c r="S49" s="53"/>
      <c r="T49" s="53"/>
    </row>
    <row r="50" spans="1:20" ht="24" hidden="1" x14ac:dyDescent="0.25">
      <c r="A50" s="178">
        <v>23510</v>
      </c>
      <c r="B50" s="179" t="s">
        <v>69</v>
      </c>
      <c r="C50" s="180">
        <f>O50</f>
        <v>0</v>
      </c>
      <c r="D50" s="181" t="s">
        <v>47</v>
      </c>
      <c r="E50" s="182" t="s">
        <v>47</v>
      </c>
      <c r="F50" s="183" t="s">
        <v>47</v>
      </c>
      <c r="G50" s="181" t="s">
        <v>47</v>
      </c>
      <c r="H50" s="184" t="s">
        <v>47</v>
      </c>
      <c r="I50" s="185" t="s">
        <v>47</v>
      </c>
      <c r="J50" s="181" t="s">
        <v>47</v>
      </c>
      <c r="K50" s="184" t="s">
        <v>47</v>
      </c>
      <c r="L50" s="185" t="s">
        <v>47</v>
      </c>
      <c r="M50" s="186"/>
      <c r="N50" s="187"/>
      <c r="O50" s="188">
        <f>M50+N50</f>
        <v>0</v>
      </c>
      <c r="P50" s="189"/>
      <c r="R50" s="53"/>
      <c r="S50" s="53"/>
      <c r="T50" s="53"/>
    </row>
    <row r="51" spans="1:20" x14ac:dyDescent="0.25">
      <c r="A51" s="190"/>
      <c r="B51" s="179"/>
      <c r="C51" s="191"/>
      <c r="D51" s="192"/>
      <c r="E51" s="193"/>
      <c r="F51" s="194"/>
      <c r="G51" s="192"/>
      <c r="H51" s="195"/>
      <c r="I51" s="185"/>
      <c r="J51" s="196"/>
      <c r="K51" s="197"/>
      <c r="L51" s="188"/>
      <c r="M51" s="186"/>
      <c r="N51" s="187"/>
      <c r="O51" s="188"/>
      <c r="P51" s="189"/>
      <c r="R51" s="53"/>
      <c r="S51" s="53"/>
      <c r="T51" s="53"/>
    </row>
    <row r="52" spans="1:20" s="41" customFormat="1" x14ac:dyDescent="0.25">
      <c r="A52" s="198"/>
      <c r="B52" s="199" t="s">
        <v>70</v>
      </c>
      <c r="C52" s="200"/>
      <c r="D52" s="201"/>
      <c r="E52" s="202"/>
      <c r="F52" s="203"/>
      <c r="G52" s="201"/>
      <c r="H52" s="204"/>
      <c r="I52" s="205"/>
      <c r="J52" s="201"/>
      <c r="K52" s="204"/>
      <c r="L52" s="205"/>
      <c r="M52" s="206"/>
      <c r="N52" s="207"/>
      <c r="O52" s="205"/>
      <c r="P52" s="208"/>
      <c r="R52" s="53"/>
      <c r="S52" s="53"/>
      <c r="T52" s="53"/>
    </row>
    <row r="53" spans="1:20" s="41" customFormat="1" ht="12.75" thickBot="1" x14ac:dyDescent="0.3">
      <c r="A53" s="209"/>
      <c r="B53" s="42" t="s">
        <v>71</v>
      </c>
      <c r="C53" s="210">
        <f t="shared" ref="C53:C116" si="4">F53+I53+L53+O53</f>
        <v>1375381</v>
      </c>
      <c r="D53" s="211">
        <f>SUM(D54,D284)</f>
        <v>595067</v>
      </c>
      <c r="E53" s="212">
        <f>SUM(E54,E284)</f>
        <v>0</v>
      </c>
      <c r="F53" s="213">
        <f t="shared" ref="F53:F117" si="5">D53+E53</f>
        <v>595067</v>
      </c>
      <c r="G53" s="211">
        <f>SUM(G54,G284)</f>
        <v>757368</v>
      </c>
      <c r="H53" s="214">
        <f>SUM(H54,H284)</f>
        <v>0</v>
      </c>
      <c r="I53" s="215">
        <f t="shared" ref="I53:I117" si="6">G53+H53</f>
        <v>757368</v>
      </c>
      <c r="J53" s="211">
        <f>SUM(J54,J284)</f>
        <v>22946</v>
      </c>
      <c r="K53" s="214">
        <f>SUM(K54,K284)</f>
        <v>0</v>
      </c>
      <c r="L53" s="215">
        <f t="shared" ref="L53:L117" si="7">J53+K53</f>
        <v>22946</v>
      </c>
      <c r="M53" s="216">
        <f>SUM(M54,M284)</f>
        <v>0</v>
      </c>
      <c r="N53" s="217">
        <f>SUM(N54,N284)</f>
        <v>0</v>
      </c>
      <c r="O53" s="215">
        <f t="shared" ref="O53:O117" si="8">M53+N53</f>
        <v>0</v>
      </c>
      <c r="P53" s="52"/>
      <c r="R53" s="53"/>
      <c r="S53" s="53"/>
      <c r="T53" s="53"/>
    </row>
    <row r="54" spans="1:20" s="41" customFormat="1" ht="36.75" thickTop="1" x14ac:dyDescent="0.25">
      <c r="A54" s="218"/>
      <c r="B54" s="219" t="s">
        <v>72</v>
      </c>
      <c r="C54" s="220">
        <f t="shared" si="4"/>
        <v>1375381</v>
      </c>
      <c r="D54" s="221">
        <f>SUM(D55,D197)</f>
        <v>595067</v>
      </c>
      <c r="E54" s="222">
        <f>SUM(E55,E197)</f>
        <v>0</v>
      </c>
      <c r="F54" s="223">
        <f t="shared" si="5"/>
        <v>595067</v>
      </c>
      <c r="G54" s="221">
        <f>SUM(G55,G197)</f>
        <v>757368</v>
      </c>
      <c r="H54" s="224">
        <f>SUM(H55,H197)</f>
        <v>0</v>
      </c>
      <c r="I54" s="225">
        <f t="shared" si="6"/>
        <v>757368</v>
      </c>
      <c r="J54" s="221">
        <f>SUM(J55,J197)</f>
        <v>22946</v>
      </c>
      <c r="K54" s="224">
        <f>SUM(K55,K197)</f>
        <v>0</v>
      </c>
      <c r="L54" s="225">
        <f t="shared" si="7"/>
        <v>22946</v>
      </c>
      <c r="M54" s="226">
        <f>SUM(M55,M197)</f>
        <v>0</v>
      </c>
      <c r="N54" s="227">
        <f>SUM(N55,N197)</f>
        <v>0</v>
      </c>
      <c r="O54" s="225">
        <f t="shared" si="8"/>
        <v>0</v>
      </c>
      <c r="P54" s="228"/>
      <c r="R54" s="53"/>
      <c r="S54" s="53"/>
      <c r="T54" s="53"/>
    </row>
    <row r="55" spans="1:20" s="41" customFormat="1" ht="24" x14ac:dyDescent="0.25">
      <c r="A55" s="35"/>
      <c r="B55" s="30" t="s">
        <v>73</v>
      </c>
      <c r="C55" s="229">
        <f t="shared" si="4"/>
        <v>1348193</v>
      </c>
      <c r="D55" s="230">
        <f>SUM(D56,D78,D176,D190)</f>
        <v>573238</v>
      </c>
      <c r="E55" s="231">
        <f>SUM(E56,E78,E176,E190)</f>
        <v>0</v>
      </c>
      <c r="F55" s="232">
        <f t="shared" si="5"/>
        <v>573238</v>
      </c>
      <c r="G55" s="230">
        <f>SUM(G56,G78,G176,G190)</f>
        <v>752009</v>
      </c>
      <c r="H55" s="233">
        <f>SUM(H56,H78,H176,H190)</f>
        <v>0</v>
      </c>
      <c r="I55" s="234">
        <f t="shared" si="6"/>
        <v>752009</v>
      </c>
      <c r="J55" s="230">
        <f>SUM(J56,J78,J176,J190)</f>
        <v>22946</v>
      </c>
      <c r="K55" s="233">
        <f>SUM(K56,K78,K176,K190)</f>
        <v>0</v>
      </c>
      <c r="L55" s="234">
        <f t="shared" si="7"/>
        <v>22946</v>
      </c>
      <c r="M55" s="53">
        <f>SUM(M56,M78,M176,M190)</f>
        <v>0</v>
      </c>
      <c r="N55" s="235">
        <f>SUM(N56,N78,N176,N190)</f>
        <v>0</v>
      </c>
      <c r="O55" s="234">
        <f t="shared" si="8"/>
        <v>0</v>
      </c>
      <c r="P55" s="236"/>
      <c r="R55" s="53"/>
      <c r="S55" s="53"/>
      <c r="T55" s="53"/>
    </row>
    <row r="56" spans="1:20" s="41" customFormat="1" x14ac:dyDescent="0.25">
      <c r="A56" s="237">
        <v>1000</v>
      </c>
      <c r="B56" s="237" t="s">
        <v>74</v>
      </c>
      <c r="C56" s="238">
        <f t="shared" si="4"/>
        <v>1137304</v>
      </c>
      <c r="D56" s="239">
        <f>SUM(D57,D70)</f>
        <v>393295</v>
      </c>
      <c r="E56" s="240">
        <f>SUM(E57,E70)</f>
        <v>0</v>
      </c>
      <c r="F56" s="241">
        <f t="shared" si="5"/>
        <v>393295</v>
      </c>
      <c r="G56" s="239">
        <f>SUM(G57,G70)</f>
        <v>744009</v>
      </c>
      <c r="H56" s="242">
        <f>SUM(H57,H70)</f>
        <v>0</v>
      </c>
      <c r="I56" s="243">
        <f t="shared" si="6"/>
        <v>744009</v>
      </c>
      <c r="J56" s="239">
        <f>SUM(J57,J70)</f>
        <v>0</v>
      </c>
      <c r="K56" s="242">
        <f>SUM(K57,K70)</f>
        <v>0</v>
      </c>
      <c r="L56" s="243">
        <f t="shared" si="7"/>
        <v>0</v>
      </c>
      <c r="M56" s="244">
        <f>SUM(M57,M70)</f>
        <v>0</v>
      </c>
      <c r="N56" s="245">
        <f>SUM(N57,N70)</f>
        <v>0</v>
      </c>
      <c r="O56" s="243">
        <f t="shared" si="8"/>
        <v>0</v>
      </c>
      <c r="P56" s="246"/>
      <c r="R56" s="53"/>
      <c r="S56" s="53"/>
      <c r="T56" s="53"/>
    </row>
    <row r="57" spans="1:20" x14ac:dyDescent="0.25">
      <c r="A57" s="99">
        <v>1100</v>
      </c>
      <c r="B57" s="247" t="s">
        <v>75</v>
      </c>
      <c r="C57" s="100">
        <f t="shared" si="4"/>
        <v>866999</v>
      </c>
      <c r="D57" s="112">
        <f>SUM(D58,D61,D69)</f>
        <v>269681</v>
      </c>
      <c r="E57" s="248">
        <f>SUM(E58,E61,E69)</f>
        <v>0</v>
      </c>
      <c r="F57" s="249">
        <f t="shared" si="5"/>
        <v>269681</v>
      </c>
      <c r="G57" s="112">
        <f>SUM(G58,G61,G69)</f>
        <v>597318</v>
      </c>
      <c r="H57" s="113">
        <f>SUM(H58,H61,H69)</f>
        <v>0</v>
      </c>
      <c r="I57" s="114">
        <f t="shared" si="6"/>
        <v>597318</v>
      </c>
      <c r="J57" s="112">
        <f>SUM(J58,J61,J69)</f>
        <v>0</v>
      </c>
      <c r="K57" s="113">
        <f>SUM(K58,K61,K69)</f>
        <v>0</v>
      </c>
      <c r="L57" s="114">
        <f t="shared" si="7"/>
        <v>0</v>
      </c>
      <c r="M57" s="250">
        <f>SUM(M58,M61,M69)</f>
        <v>0</v>
      </c>
      <c r="N57" s="251">
        <f>SUM(N58,N61,N69)</f>
        <v>0</v>
      </c>
      <c r="O57" s="252">
        <f t="shared" si="8"/>
        <v>0</v>
      </c>
      <c r="P57" s="253"/>
      <c r="R57" s="53"/>
      <c r="S57" s="53"/>
      <c r="T57" s="53"/>
    </row>
    <row r="58" spans="1:20" x14ac:dyDescent="0.25">
      <c r="A58" s="254">
        <v>1110</v>
      </c>
      <c r="B58" s="179" t="s">
        <v>76</v>
      </c>
      <c r="C58" s="191">
        <f t="shared" si="4"/>
        <v>792546</v>
      </c>
      <c r="D58" s="255">
        <f>SUM(D59:D60)</f>
        <v>232355</v>
      </c>
      <c r="E58" s="256">
        <f>SUM(E59:E60)</f>
        <v>0</v>
      </c>
      <c r="F58" s="257">
        <f t="shared" si="5"/>
        <v>232355</v>
      </c>
      <c r="G58" s="255">
        <f>SUM(G59:G60)</f>
        <v>560191</v>
      </c>
      <c r="H58" s="258">
        <f>SUM(H59:H60)</f>
        <v>0</v>
      </c>
      <c r="I58" s="259">
        <f t="shared" si="6"/>
        <v>560191</v>
      </c>
      <c r="J58" s="255">
        <f>SUM(J59:J60)</f>
        <v>0</v>
      </c>
      <c r="K58" s="258">
        <f>SUM(K59:K60)</f>
        <v>0</v>
      </c>
      <c r="L58" s="259">
        <f t="shared" si="7"/>
        <v>0</v>
      </c>
      <c r="M58" s="260">
        <f>SUM(M59:M60)</f>
        <v>0</v>
      </c>
      <c r="N58" s="261">
        <f>SUM(N59:N60)</f>
        <v>0</v>
      </c>
      <c r="O58" s="259">
        <f t="shared" si="8"/>
        <v>0</v>
      </c>
      <c r="P58" s="189"/>
      <c r="R58" s="53"/>
      <c r="S58" s="53"/>
      <c r="T58" s="53"/>
    </row>
    <row r="59" spans="1:20" hidden="1" x14ac:dyDescent="0.25">
      <c r="A59" s="66">
        <v>1111</v>
      </c>
      <c r="B59" s="116" t="s">
        <v>77</v>
      </c>
      <c r="C59" s="117">
        <f t="shared" si="4"/>
        <v>0</v>
      </c>
      <c r="D59" s="123"/>
      <c r="E59" s="262"/>
      <c r="F59" s="263">
        <f t="shared" si="5"/>
        <v>0</v>
      </c>
      <c r="G59" s="123"/>
      <c r="H59" s="124"/>
      <c r="I59" s="125">
        <f t="shared" si="6"/>
        <v>0</v>
      </c>
      <c r="J59" s="123"/>
      <c r="K59" s="124"/>
      <c r="L59" s="125">
        <f t="shared" si="7"/>
        <v>0</v>
      </c>
      <c r="M59" s="264"/>
      <c r="N59" s="262"/>
      <c r="O59" s="125">
        <f t="shared" si="8"/>
        <v>0</v>
      </c>
      <c r="P59" s="74"/>
      <c r="R59" s="53"/>
      <c r="S59" s="53"/>
      <c r="T59" s="53"/>
    </row>
    <row r="60" spans="1:20" ht="24" x14ac:dyDescent="0.25">
      <c r="A60" s="76">
        <v>1119</v>
      </c>
      <c r="B60" s="127" t="s">
        <v>78</v>
      </c>
      <c r="C60" s="128">
        <f t="shared" si="4"/>
        <v>792546</v>
      </c>
      <c r="D60" s="134">
        <v>232355</v>
      </c>
      <c r="E60" s="283"/>
      <c r="F60" s="279">
        <f t="shared" si="5"/>
        <v>232355</v>
      </c>
      <c r="G60" s="134">
        <v>560191</v>
      </c>
      <c r="H60" s="135"/>
      <c r="I60" s="136">
        <f t="shared" si="6"/>
        <v>560191</v>
      </c>
      <c r="J60" s="134"/>
      <c r="K60" s="135"/>
      <c r="L60" s="136">
        <f t="shared" si="7"/>
        <v>0</v>
      </c>
      <c r="M60" s="284"/>
      <c r="N60" s="285"/>
      <c r="O60" s="136">
        <f t="shared" si="8"/>
        <v>0</v>
      </c>
      <c r="P60" s="85"/>
      <c r="R60" s="53"/>
      <c r="S60" s="53"/>
      <c r="T60" s="53"/>
    </row>
    <row r="61" spans="1:20" ht="24" x14ac:dyDescent="0.25">
      <c r="A61" s="276">
        <v>1140</v>
      </c>
      <c r="B61" s="127" t="s">
        <v>79</v>
      </c>
      <c r="C61" s="128">
        <f t="shared" si="4"/>
        <v>70628</v>
      </c>
      <c r="D61" s="277">
        <f>SUM(D62:D68)</f>
        <v>33501</v>
      </c>
      <c r="E61" s="278">
        <f>SUM(E62:E68)</f>
        <v>0</v>
      </c>
      <c r="F61" s="279">
        <f>D61+E61</f>
        <v>33501</v>
      </c>
      <c r="G61" s="277">
        <f>SUM(G62:G68)</f>
        <v>37127</v>
      </c>
      <c r="H61" s="280">
        <f>SUM(H62:H68)</f>
        <v>0</v>
      </c>
      <c r="I61" s="136">
        <f t="shared" si="6"/>
        <v>37127</v>
      </c>
      <c r="J61" s="277">
        <f>SUM(J62:J68)</f>
        <v>0</v>
      </c>
      <c r="K61" s="280">
        <f>SUM(K62:K68)</f>
        <v>0</v>
      </c>
      <c r="L61" s="136">
        <f t="shared" si="7"/>
        <v>0</v>
      </c>
      <c r="M61" s="281">
        <f>SUM(M62:M68)</f>
        <v>0</v>
      </c>
      <c r="N61" s="282">
        <f>SUM(N62:N68)</f>
        <v>0</v>
      </c>
      <c r="O61" s="136">
        <f t="shared" si="8"/>
        <v>0</v>
      </c>
      <c r="P61" s="85"/>
      <c r="R61" s="53"/>
      <c r="S61" s="53"/>
      <c r="T61" s="53"/>
    </row>
    <row r="62" spans="1:20" x14ac:dyDescent="0.25">
      <c r="A62" s="76">
        <v>1141</v>
      </c>
      <c r="B62" s="127" t="s">
        <v>80</v>
      </c>
      <c r="C62" s="128">
        <f t="shared" si="4"/>
        <v>7496</v>
      </c>
      <c r="D62" s="134">
        <v>7496</v>
      </c>
      <c r="E62" s="283"/>
      <c r="F62" s="279">
        <f t="shared" si="5"/>
        <v>7496</v>
      </c>
      <c r="G62" s="134"/>
      <c r="H62" s="135"/>
      <c r="I62" s="136">
        <f t="shared" si="6"/>
        <v>0</v>
      </c>
      <c r="J62" s="134"/>
      <c r="K62" s="135"/>
      <c r="L62" s="136">
        <f t="shared" si="7"/>
        <v>0</v>
      </c>
      <c r="M62" s="284"/>
      <c r="N62" s="285"/>
      <c r="O62" s="136">
        <f t="shared" si="8"/>
        <v>0</v>
      </c>
      <c r="P62" s="85"/>
      <c r="R62" s="53"/>
      <c r="S62" s="53"/>
      <c r="T62" s="53"/>
    </row>
    <row r="63" spans="1:20" ht="24" x14ac:dyDescent="0.25">
      <c r="A63" s="76">
        <v>1142</v>
      </c>
      <c r="B63" s="127" t="s">
        <v>81</v>
      </c>
      <c r="C63" s="128">
        <f t="shared" si="4"/>
        <v>1844</v>
      </c>
      <c r="D63" s="134">
        <v>1844</v>
      </c>
      <c r="E63" s="283"/>
      <c r="F63" s="279">
        <f t="shared" si="5"/>
        <v>1844</v>
      </c>
      <c r="G63" s="134"/>
      <c r="H63" s="135"/>
      <c r="I63" s="136">
        <f t="shared" si="6"/>
        <v>0</v>
      </c>
      <c r="J63" s="134"/>
      <c r="K63" s="135"/>
      <c r="L63" s="136">
        <f t="shared" si="7"/>
        <v>0</v>
      </c>
      <c r="M63" s="284"/>
      <c r="N63" s="285"/>
      <c r="O63" s="136">
        <f t="shared" si="8"/>
        <v>0</v>
      </c>
      <c r="P63" s="85"/>
      <c r="R63" s="53"/>
      <c r="S63" s="53"/>
      <c r="T63" s="53"/>
    </row>
    <row r="64" spans="1:20" ht="24" x14ac:dyDescent="0.25">
      <c r="A64" s="76">
        <v>1145</v>
      </c>
      <c r="B64" s="127" t="s">
        <v>82</v>
      </c>
      <c r="C64" s="128">
        <f t="shared" si="4"/>
        <v>1189</v>
      </c>
      <c r="D64" s="134"/>
      <c r="E64" s="283"/>
      <c r="F64" s="279">
        <f t="shared" si="5"/>
        <v>0</v>
      </c>
      <c r="G64" s="134">
        <v>1189</v>
      </c>
      <c r="H64" s="135"/>
      <c r="I64" s="136">
        <f t="shared" si="6"/>
        <v>1189</v>
      </c>
      <c r="J64" s="134"/>
      <c r="K64" s="135"/>
      <c r="L64" s="136">
        <f t="shared" si="7"/>
        <v>0</v>
      </c>
      <c r="M64" s="284"/>
      <c r="N64" s="285"/>
      <c r="O64" s="136">
        <f t="shared" si="8"/>
        <v>0</v>
      </c>
      <c r="P64" s="85"/>
      <c r="R64" s="53"/>
      <c r="S64" s="53"/>
      <c r="T64" s="53"/>
    </row>
    <row r="65" spans="1:20" ht="24" hidden="1" x14ac:dyDescent="0.25">
      <c r="A65" s="76">
        <v>1146</v>
      </c>
      <c r="B65" s="127" t="s">
        <v>83</v>
      </c>
      <c r="C65" s="128">
        <f t="shared" si="4"/>
        <v>0</v>
      </c>
      <c r="D65" s="134"/>
      <c r="E65" s="285"/>
      <c r="F65" s="286">
        <f t="shared" si="5"/>
        <v>0</v>
      </c>
      <c r="G65" s="134"/>
      <c r="H65" s="135"/>
      <c r="I65" s="136">
        <f t="shared" si="6"/>
        <v>0</v>
      </c>
      <c r="J65" s="134"/>
      <c r="K65" s="135"/>
      <c r="L65" s="136">
        <f t="shared" si="7"/>
        <v>0</v>
      </c>
      <c r="M65" s="284"/>
      <c r="N65" s="285"/>
      <c r="O65" s="136">
        <f t="shared" si="8"/>
        <v>0</v>
      </c>
      <c r="P65" s="85"/>
      <c r="R65" s="53"/>
      <c r="S65" s="53"/>
      <c r="T65" s="53"/>
    </row>
    <row r="66" spans="1:20" x14ac:dyDescent="0.25">
      <c r="A66" s="76">
        <v>1147</v>
      </c>
      <c r="B66" s="127" t="s">
        <v>84</v>
      </c>
      <c r="C66" s="128">
        <f t="shared" si="4"/>
        <v>2554</v>
      </c>
      <c r="D66" s="134">
        <v>2554</v>
      </c>
      <c r="E66" s="283"/>
      <c r="F66" s="279">
        <f t="shared" si="5"/>
        <v>2554</v>
      </c>
      <c r="G66" s="134"/>
      <c r="H66" s="135"/>
      <c r="I66" s="136">
        <f t="shared" si="6"/>
        <v>0</v>
      </c>
      <c r="J66" s="134"/>
      <c r="K66" s="135"/>
      <c r="L66" s="136">
        <f t="shared" si="7"/>
        <v>0</v>
      </c>
      <c r="M66" s="284"/>
      <c r="N66" s="285"/>
      <c r="O66" s="136">
        <f t="shared" si="8"/>
        <v>0</v>
      </c>
      <c r="P66" s="85"/>
      <c r="R66" s="53"/>
      <c r="S66" s="53"/>
      <c r="T66" s="53"/>
    </row>
    <row r="67" spans="1:20" ht="84" x14ac:dyDescent="0.25">
      <c r="A67" s="76">
        <v>1148</v>
      </c>
      <c r="B67" s="127" t="s">
        <v>85</v>
      </c>
      <c r="C67" s="128">
        <f t="shared" si="4"/>
        <v>38651</v>
      </c>
      <c r="D67" s="134">
        <v>20651</v>
      </c>
      <c r="E67" s="283"/>
      <c r="F67" s="279">
        <f t="shared" si="5"/>
        <v>20651</v>
      </c>
      <c r="G67" s="134">
        <v>12400</v>
      </c>
      <c r="H67" s="135">
        <v>5600</v>
      </c>
      <c r="I67" s="136">
        <f t="shared" si="6"/>
        <v>18000</v>
      </c>
      <c r="J67" s="134"/>
      <c r="K67" s="135"/>
      <c r="L67" s="136">
        <f t="shared" si="7"/>
        <v>0</v>
      </c>
      <c r="M67" s="284"/>
      <c r="N67" s="285"/>
      <c r="O67" s="136">
        <f t="shared" si="8"/>
        <v>0</v>
      </c>
      <c r="P67" s="85" t="s">
        <v>887</v>
      </c>
      <c r="R67" s="53"/>
      <c r="S67" s="53"/>
      <c r="T67" s="53"/>
    </row>
    <row r="68" spans="1:20" ht="108" x14ac:dyDescent="0.25">
      <c r="A68" s="76">
        <v>1149</v>
      </c>
      <c r="B68" s="127" t="s">
        <v>86</v>
      </c>
      <c r="C68" s="128">
        <f t="shared" si="4"/>
        <v>18894</v>
      </c>
      <c r="D68" s="134">
        <v>956</v>
      </c>
      <c r="E68" s="283"/>
      <c r="F68" s="279">
        <f t="shared" si="5"/>
        <v>956</v>
      </c>
      <c r="G68" s="134">
        <v>23538</v>
      </c>
      <c r="H68" s="135">
        <v>-5600</v>
      </c>
      <c r="I68" s="136">
        <f t="shared" si="6"/>
        <v>17938</v>
      </c>
      <c r="J68" s="134"/>
      <c r="K68" s="135"/>
      <c r="L68" s="136">
        <f t="shared" si="7"/>
        <v>0</v>
      </c>
      <c r="M68" s="284"/>
      <c r="N68" s="285"/>
      <c r="O68" s="136">
        <f t="shared" si="8"/>
        <v>0</v>
      </c>
      <c r="P68" s="85" t="s">
        <v>888</v>
      </c>
      <c r="R68" s="53"/>
      <c r="S68" s="53"/>
      <c r="T68" s="53"/>
    </row>
    <row r="69" spans="1:20" ht="36" x14ac:dyDescent="0.25">
      <c r="A69" s="254">
        <v>1150</v>
      </c>
      <c r="B69" s="179" t="s">
        <v>87</v>
      </c>
      <c r="C69" s="128">
        <f t="shared" si="4"/>
        <v>3825</v>
      </c>
      <c r="D69" s="287">
        <v>3825</v>
      </c>
      <c r="E69" s="288"/>
      <c r="F69" s="257">
        <f t="shared" si="5"/>
        <v>3825</v>
      </c>
      <c r="G69" s="287"/>
      <c r="H69" s="289"/>
      <c r="I69" s="259">
        <f t="shared" si="6"/>
        <v>0</v>
      </c>
      <c r="J69" s="287"/>
      <c r="K69" s="289"/>
      <c r="L69" s="259">
        <f t="shared" si="7"/>
        <v>0</v>
      </c>
      <c r="M69" s="290"/>
      <c r="N69" s="291"/>
      <c r="O69" s="259">
        <f t="shared" si="8"/>
        <v>0</v>
      </c>
      <c r="P69" s="189"/>
      <c r="R69" s="53"/>
      <c r="S69" s="53"/>
      <c r="T69" s="53"/>
    </row>
    <row r="70" spans="1:20" ht="36" x14ac:dyDescent="0.25">
      <c r="A70" s="99">
        <v>1200</v>
      </c>
      <c r="B70" s="247" t="s">
        <v>88</v>
      </c>
      <c r="C70" s="100">
        <f t="shared" si="4"/>
        <v>270305</v>
      </c>
      <c r="D70" s="112">
        <f>SUM(D71:D72)</f>
        <v>123614</v>
      </c>
      <c r="E70" s="248">
        <f>SUM(E71:E72)</f>
        <v>0</v>
      </c>
      <c r="F70" s="249">
        <f>D70+E70</f>
        <v>123614</v>
      </c>
      <c r="G70" s="112">
        <f>SUM(G71:G72)</f>
        <v>146691</v>
      </c>
      <c r="H70" s="113">
        <f>SUM(H71:H72)</f>
        <v>0</v>
      </c>
      <c r="I70" s="114">
        <f t="shared" si="6"/>
        <v>146691</v>
      </c>
      <c r="J70" s="112">
        <f>SUM(J71:J72)</f>
        <v>0</v>
      </c>
      <c r="K70" s="113">
        <f>SUM(K71:K72)</f>
        <v>0</v>
      </c>
      <c r="L70" s="114">
        <f t="shared" si="7"/>
        <v>0</v>
      </c>
      <c r="M70" s="292">
        <f>SUM(M71:M72)</f>
        <v>0</v>
      </c>
      <c r="N70" s="293">
        <f>SUM(N71:N72)</f>
        <v>0</v>
      </c>
      <c r="O70" s="114">
        <f t="shared" si="8"/>
        <v>0</v>
      </c>
      <c r="P70" s="109"/>
      <c r="R70" s="53"/>
      <c r="S70" s="53"/>
      <c r="T70" s="53"/>
    </row>
    <row r="71" spans="1:20" ht="24" x14ac:dyDescent="0.25">
      <c r="A71" s="656">
        <v>1210</v>
      </c>
      <c r="B71" s="116" t="s">
        <v>89</v>
      </c>
      <c r="C71" s="117">
        <f t="shared" si="4"/>
        <v>212760</v>
      </c>
      <c r="D71" s="123">
        <v>70769</v>
      </c>
      <c r="E71" s="295"/>
      <c r="F71" s="296">
        <f t="shared" si="5"/>
        <v>70769</v>
      </c>
      <c r="G71" s="123">
        <v>141991</v>
      </c>
      <c r="H71" s="124"/>
      <c r="I71" s="125">
        <f t="shared" si="6"/>
        <v>141991</v>
      </c>
      <c r="J71" s="123"/>
      <c r="K71" s="124"/>
      <c r="L71" s="125">
        <f t="shared" si="7"/>
        <v>0</v>
      </c>
      <c r="M71" s="264"/>
      <c r="N71" s="262"/>
      <c r="O71" s="125">
        <f t="shared" si="8"/>
        <v>0</v>
      </c>
      <c r="P71" s="74"/>
      <c r="R71" s="53"/>
      <c r="S71" s="53"/>
      <c r="T71" s="53"/>
    </row>
    <row r="72" spans="1:20" ht="24" x14ac:dyDescent="0.25">
      <c r="A72" s="276">
        <v>1220</v>
      </c>
      <c r="B72" s="127" t="s">
        <v>90</v>
      </c>
      <c r="C72" s="128">
        <f t="shared" si="4"/>
        <v>57545</v>
      </c>
      <c r="D72" s="277">
        <f>SUM(D73:D77)</f>
        <v>52845</v>
      </c>
      <c r="E72" s="278">
        <f>SUM(E73:E77)</f>
        <v>0</v>
      </c>
      <c r="F72" s="279">
        <f t="shared" si="5"/>
        <v>52845</v>
      </c>
      <c r="G72" s="277">
        <f>SUM(G73:G77)</f>
        <v>4700</v>
      </c>
      <c r="H72" s="280">
        <f>SUM(H73:H77)</f>
        <v>0</v>
      </c>
      <c r="I72" s="136">
        <f t="shared" si="6"/>
        <v>4700</v>
      </c>
      <c r="J72" s="277">
        <f>SUM(J73:J77)</f>
        <v>0</v>
      </c>
      <c r="K72" s="280">
        <f>SUM(K73:K77)</f>
        <v>0</v>
      </c>
      <c r="L72" s="136">
        <f t="shared" si="7"/>
        <v>0</v>
      </c>
      <c r="M72" s="281">
        <f>SUM(M73:M77)</f>
        <v>0</v>
      </c>
      <c r="N72" s="282">
        <f>SUM(N73:N77)</f>
        <v>0</v>
      </c>
      <c r="O72" s="136">
        <f t="shared" si="8"/>
        <v>0</v>
      </c>
      <c r="P72" s="85"/>
      <c r="R72" s="53"/>
      <c r="S72" s="53"/>
      <c r="T72" s="53"/>
    </row>
    <row r="73" spans="1:20" ht="60" x14ac:dyDescent="0.25">
      <c r="A73" s="76">
        <v>1221</v>
      </c>
      <c r="B73" s="127" t="s">
        <v>91</v>
      </c>
      <c r="C73" s="128">
        <f t="shared" si="4"/>
        <v>34862</v>
      </c>
      <c r="D73" s="134">
        <v>30162</v>
      </c>
      <c r="E73" s="283"/>
      <c r="F73" s="279">
        <f t="shared" si="5"/>
        <v>30162</v>
      </c>
      <c r="G73" s="134">
        <v>4700</v>
      </c>
      <c r="H73" s="135"/>
      <c r="I73" s="136">
        <f t="shared" si="6"/>
        <v>4700</v>
      </c>
      <c r="J73" s="134"/>
      <c r="K73" s="135"/>
      <c r="L73" s="136">
        <f t="shared" si="7"/>
        <v>0</v>
      </c>
      <c r="M73" s="284"/>
      <c r="N73" s="285"/>
      <c r="O73" s="136">
        <f t="shared" si="8"/>
        <v>0</v>
      </c>
      <c r="P73" s="85"/>
      <c r="R73" s="53"/>
      <c r="S73" s="53"/>
      <c r="T73" s="53"/>
    </row>
    <row r="74" spans="1:20" hidden="1" x14ac:dyDescent="0.25">
      <c r="A74" s="76">
        <v>1223</v>
      </c>
      <c r="B74" s="127" t="s">
        <v>92</v>
      </c>
      <c r="C74" s="128">
        <f t="shared" si="4"/>
        <v>0</v>
      </c>
      <c r="D74" s="134"/>
      <c r="E74" s="285"/>
      <c r="F74" s="286">
        <f t="shared" si="5"/>
        <v>0</v>
      </c>
      <c r="G74" s="134"/>
      <c r="H74" s="135"/>
      <c r="I74" s="136">
        <f t="shared" si="6"/>
        <v>0</v>
      </c>
      <c r="J74" s="134"/>
      <c r="K74" s="135"/>
      <c r="L74" s="136">
        <f t="shared" si="7"/>
        <v>0</v>
      </c>
      <c r="M74" s="284"/>
      <c r="N74" s="285"/>
      <c r="O74" s="136">
        <f t="shared" si="8"/>
        <v>0</v>
      </c>
      <c r="P74" s="85"/>
      <c r="R74" s="53"/>
      <c r="S74" s="53"/>
      <c r="T74" s="53"/>
    </row>
    <row r="75" spans="1:20" hidden="1" x14ac:dyDescent="0.25">
      <c r="A75" s="76">
        <v>1225</v>
      </c>
      <c r="B75" s="127" t="s">
        <v>93</v>
      </c>
      <c r="C75" s="128">
        <f t="shared" si="4"/>
        <v>0</v>
      </c>
      <c r="D75" s="134"/>
      <c r="E75" s="285"/>
      <c r="F75" s="286">
        <f t="shared" si="5"/>
        <v>0</v>
      </c>
      <c r="G75" s="134"/>
      <c r="H75" s="135"/>
      <c r="I75" s="136">
        <f t="shared" si="6"/>
        <v>0</v>
      </c>
      <c r="J75" s="134"/>
      <c r="K75" s="135"/>
      <c r="L75" s="136">
        <f t="shared" si="7"/>
        <v>0</v>
      </c>
      <c r="M75" s="284"/>
      <c r="N75" s="285"/>
      <c r="O75" s="136">
        <f t="shared" si="8"/>
        <v>0</v>
      </c>
      <c r="P75" s="85"/>
      <c r="R75" s="53"/>
      <c r="S75" s="53"/>
      <c r="T75" s="53"/>
    </row>
    <row r="76" spans="1:20" ht="36" x14ac:dyDescent="0.25">
      <c r="A76" s="76">
        <v>1227</v>
      </c>
      <c r="B76" s="127" t="s">
        <v>94</v>
      </c>
      <c r="C76" s="128">
        <f t="shared" si="4"/>
        <v>21343</v>
      </c>
      <c r="D76" s="134">
        <v>21343</v>
      </c>
      <c r="E76" s="283"/>
      <c r="F76" s="279">
        <f t="shared" si="5"/>
        <v>21343</v>
      </c>
      <c r="G76" s="134"/>
      <c r="H76" s="135"/>
      <c r="I76" s="136">
        <f t="shared" si="6"/>
        <v>0</v>
      </c>
      <c r="J76" s="134"/>
      <c r="K76" s="135"/>
      <c r="L76" s="136">
        <f t="shared" si="7"/>
        <v>0</v>
      </c>
      <c r="M76" s="284"/>
      <c r="N76" s="285"/>
      <c r="O76" s="136">
        <f t="shared" si="8"/>
        <v>0</v>
      </c>
      <c r="P76" s="85"/>
      <c r="R76" s="53"/>
      <c r="S76" s="53"/>
      <c r="T76" s="53"/>
    </row>
    <row r="77" spans="1:20" ht="60" x14ac:dyDescent="0.25">
      <c r="A77" s="76">
        <v>1228</v>
      </c>
      <c r="B77" s="127" t="s">
        <v>95</v>
      </c>
      <c r="C77" s="128">
        <f t="shared" si="4"/>
        <v>1340</v>
      </c>
      <c r="D77" s="134">
        <v>1340</v>
      </c>
      <c r="E77" s="283"/>
      <c r="F77" s="279">
        <f t="shared" si="5"/>
        <v>1340</v>
      </c>
      <c r="G77" s="134"/>
      <c r="H77" s="135"/>
      <c r="I77" s="136">
        <f t="shared" si="6"/>
        <v>0</v>
      </c>
      <c r="J77" s="134"/>
      <c r="K77" s="135"/>
      <c r="L77" s="136">
        <f t="shared" si="7"/>
        <v>0</v>
      </c>
      <c r="M77" s="284"/>
      <c r="N77" s="285"/>
      <c r="O77" s="136">
        <f t="shared" si="8"/>
        <v>0</v>
      </c>
      <c r="P77" s="85"/>
      <c r="R77" s="53"/>
      <c r="S77" s="53"/>
      <c r="T77" s="53"/>
    </row>
    <row r="78" spans="1:20" x14ac:dyDescent="0.25">
      <c r="A78" s="237">
        <v>2000</v>
      </c>
      <c r="B78" s="237" t="s">
        <v>96</v>
      </c>
      <c r="C78" s="238">
        <f t="shared" si="4"/>
        <v>210889</v>
      </c>
      <c r="D78" s="239">
        <f>SUM(D79,D86,D133,D167,D168,D175)</f>
        <v>179943</v>
      </c>
      <c r="E78" s="240">
        <f>SUM(E79,E86,E133,E167,E168,E175)</f>
        <v>0</v>
      </c>
      <c r="F78" s="241">
        <f t="shared" si="5"/>
        <v>179943</v>
      </c>
      <c r="G78" s="239">
        <f>SUM(G79,G86,G133,G167,G168,G175)</f>
        <v>8000</v>
      </c>
      <c r="H78" s="242">
        <f>SUM(H79,H86,H133,H167,H168,H175)</f>
        <v>0</v>
      </c>
      <c r="I78" s="243">
        <f t="shared" si="6"/>
        <v>8000</v>
      </c>
      <c r="J78" s="239">
        <f>SUM(J79,J86,J133,J167,J168,J175)</f>
        <v>22946</v>
      </c>
      <c r="K78" s="242">
        <f>SUM(K79,K86,K133,K167,K168,K175)</f>
        <v>0</v>
      </c>
      <c r="L78" s="243">
        <f t="shared" si="7"/>
        <v>22946</v>
      </c>
      <c r="M78" s="244">
        <f>SUM(M79,M86,M133,M167,M168,M175)</f>
        <v>0</v>
      </c>
      <c r="N78" s="245">
        <f>SUM(N79,N86,N133,N167,N168,N175)</f>
        <v>0</v>
      </c>
      <c r="O78" s="243">
        <f t="shared" si="8"/>
        <v>0</v>
      </c>
      <c r="P78" s="246"/>
      <c r="R78" s="53"/>
      <c r="S78" s="53"/>
      <c r="T78" s="53"/>
    </row>
    <row r="79" spans="1:20" ht="24" x14ac:dyDescent="0.25">
      <c r="A79" s="99">
        <v>2100</v>
      </c>
      <c r="B79" s="247" t="s">
        <v>97</v>
      </c>
      <c r="C79" s="100">
        <f t="shared" si="4"/>
        <v>234</v>
      </c>
      <c r="D79" s="112">
        <f>SUM(D80,D83)</f>
        <v>234</v>
      </c>
      <c r="E79" s="248">
        <f>SUM(E80,E83)</f>
        <v>0</v>
      </c>
      <c r="F79" s="249">
        <f t="shared" si="5"/>
        <v>234</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c r="R79" s="53"/>
      <c r="S79" s="53"/>
      <c r="T79" s="53"/>
    </row>
    <row r="80" spans="1:20" ht="24" x14ac:dyDescent="0.25">
      <c r="A80" s="656">
        <v>2110</v>
      </c>
      <c r="B80" s="116" t="s">
        <v>98</v>
      </c>
      <c r="C80" s="117">
        <f t="shared" si="4"/>
        <v>234</v>
      </c>
      <c r="D80" s="297">
        <f>SUM(D81:D82)</f>
        <v>234</v>
      </c>
      <c r="E80" s="298">
        <f>SUM(E81:E82)</f>
        <v>0</v>
      </c>
      <c r="F80" s="296">
        <f t="shared" si="5"/>
        <v>234</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c r="R80" s="53"/>
      <c r="S80" s="53"/>
      <c r="T80" s="53"/>
    </row>
    <row r="81" spans="1:20" hidden="1" x14ac:dyDescent="0.25">
      <c r="A81" s="76">
        <v>2111</v>
      </c>
      <c r="B81" s="127" t="s">
        <v>99</v>
      </c>
      <c r="C81" s="128">
        <f t="shared" si="4"/>
        <v>0</v>
      </c>
      <c r="D81" s="134"/>
      <c r="E81" s="285"/>
      <c r="F81" s="286">
        <f t="shared" si="5"/>
        <v>0</v>
      </c>
      <c r="G81" s="134"/>
      <c r="H81" s="135"/>
      <c r="I81" s="136">
        <f t="shared" si="6"/>
        <v>0</v>
      </c>
      <c r="J81" s="134"/>
      <c r="K81" s="135"/>
      <c r="L81" s="136">
        <f t="shared" si="7"/>
        <v>0</v>
      </c>
      <c r="M81" s="284"/>
      <c r="N81" s="285"/>
      <c r="O81" s="136">
        <f t="shared" si="8"/>
        <v>0</v>
      </c>
      <c r="P81" s="85"/>
      <c r="R81" s="53"/>
      <c r="S81" s="53"/>
      <c r="T81" s="53"/>
    </row>
    <row r="82" spans="1:20" ht="24" x14ac:dyDescent="0.25">
      <c r="A82" s="76">
        <v>2112</v>
      </c>
      <c r="B82" s="127" t="s">
        <v>100</v>
      </c>
      <c r="C82" s="128">
        <f t="shared" si="4"/>
        <v>234</v>
      </c>
      <c r="D82" s="134">
        <v>234</v>
      </c>
      <c r="E82" s="283"/>
      <c r="F82" s="279">
        <f t="shared" si="5"/>
        <v>234</v>
      </c>
      <c r="G82" s="134"/>
      <c r="H82" s="135"/>
      <c r="I82" s="136">
        <f t="shared" si="6"/>
        <v>0</v>
      </c>
      <c r="J82" s="134"/>
      <c r="K82" s="135"/>
      <c r="L82" s="136">
        <f t="shared" si="7"/>
        <v>0</v>
      </c>
      <c r="M82" s="284"/>
      <c r="N82" s="285"/>
      <c r="O82" s="136">
        <f t="shared" si="8"/>
        <v>0</v>
      </c>
      <c r="P82" s="85"/>
      <c r="R82" s="53"/>
      <c r="S82" s="53"/>
      <c r="T82" s="53"/>
    </row>
    <row r="83" spans="1:20" ht="24" hidden="1" x14ac:dyDescent="0.25">
      <c r="A83" s="276">
        <v>2120</v>
      </c>
      <c r="B83" s="127" t="s">
        <v>101</v>
      </c>
      <c r="C83" s="128">
        <f t="shared" si="4"/>
        <v>0</v>
      </c>
      <c r="D83" s="277">
        <f>SUM(D84:D85)</f>
        <v>0</v>
      </c>
      <c r="E83" s="282">
        <f>SUM(E84:E85)</f>
        <v>0</v>
      </c>
      <c r="F83" s="28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c r="R83" s="53"/>
      <c r="S83" s="53"/>
      <c r="T83" s="53"/>
    </row>
    <row r="84" spans="1:20" hidden="1" x14ac:dyDescent="0.25">
      <c r="A84" s="76">
        <v>2121</v>
      </c>
      <c r="B84" s="127" t="s">
        <v>99</v>
      </c>
      <c r="C84" s="128">
        <f t="shared" si="4"/>
        <v>0</v>
      </c>
      <c r="D84" s="134"/>
      <c r="E84" s="285"/>
      <c r="F84" s="286">
        <f t="shared" si="5"/>
        <v>0</v>
      </c>
      <c r="G84" s="134"/>
      <c r="H84" s="135"/>
      <c r="I84" s="136">
        <f t="shared" si="6"/>
        <v>0</v>
      </c>
      <c r="J84" s="134"/>
      <c r="K84" s="135"/>
      <c r="L84" s="136">
        <f t="shared" si="7"/>
        <v>0</v>
      </c>
      <c r="M84" s="284"/>
      <c r="N84" s="285"/>
      <c r="O84" s="136">
        <f t="shared" si="8"/>
        <v>0</v>
      </c>
      <c r="P84" s="85"/>
      <c r="R84" s="53"/>
      <c r="S84" s="53"/>
      <c r="T84" s="53"/>
    </row>
    <row r="85" spans="1:20" ht="24" hidden="1" x14ac:dyDescent="0.25">
      <c r="A85" s="76">
        <v>2122</v>
      </c>
      <c r="B85" s="127" t="s">
        <v>100</v>
      </c>
      <c r="C85" s="128">
        <f t="shared" si="4"/>
        <v>0</v>
      </c>
      <c r="D85" s="134"/>
      <c r="E85" s="285"/>
      <c r="F85" s="286">
        <f t="shared" si="5"/>
        <v>0</v>
      </c>
      <c r="G85" s="134"/>
      <c r="H85" s="135"/>
      <c r="I85" s="136">
        <f t="shared" si="6"/>
        <v>0</v>
      </c>
      <c r="J85" s="134"/>
      <c r="K85" s="135"/>
      <c r="L85" s="136">
        <f t="shared" si="7"/>
        <v>0</v>
      </c>
      <c r="M85" s="284"/>
      <c r="N85" s="285"/>
      <c r="O85" s="136">
        <f t="shared" si="8"/>
        <v>0</v>
      </c>
      <c r="P85" s="85"/>
      <c r="R85" s="53"/>
      <c r="S85" s="53"/>
      <c r="T85" s="53"/>
    </row>
    <row r="86" spans="1:20" x14ac:dyDescent="0.25">
      <c r="A86" s="99">
        <v>2200</v>
      </c>
      <c r="B86" s="247" t="s">
        <v>102</v>
      </c>
      <c r="C86" s="302">
        <f t="shared" si="4"/>
        <v>145358</v>
      </c>
      <c r="D86" s="112">
        <f>SUM(D87,D92,D98,D106,D115,D119,D125,D131)</f>
        <v>132515</v>
      </c>
      <c r="E86" s="248">
        <f>SUM(E87,E92,E98,E106,E115,E119,E125,E131)</f>
        <v>0</v>
      </c>
      <c r="F86" s="249">
        <f t="shared" si="5"/>
        <v>132515</v>
      </c>
      <c r="G86" s="112">
        <f>SUM(G87,G92,G98,G106,G115,G119,G125,G131)</f>
        <v>0</v>
      </c>
      <c r="H86" s="113">
        <f>SUM(H87,H92,H98,H106,H115,H119,H125,H131)</f>
        <v>0</v>
      </c>
      <c r="I86" s="114">
        <f t="shared" si="6"/>
        <v>0</v>
      </c>
      <c r="J86" s="112">
        <f>SUM(J87,J92,J98,J106,J115,J119,J125,J131)</f>
        <v>12843</v>
      </c>
      <c r="K86" s="113">
        <f>SUM(K87,K92,K98,K106,K115,K119,K125,K131)</f>
        <v>0</v>
      </c>
      <c r="L86" s="114">
        <f t="shared" si="7"/>
        <v>12843</v>
      </c>
      <c r="M86" s="303">
        <f>SUM(M87,M92,M98,M106,M115,M119,M125,M131)</f>
        <v>0</v>
      </c>
      <c r="N86" s="304">
        <f>SUM(N87,N92,N98,N106,N115,N119,N125,N131)</f>
        <v>0</v>
      </c>
      <c r="O86" s="305">
        <f t="shared" si="8"/>
        <v>0</v>
      </c>
      <c r="P86" s="306"/>
      <c r="R86" s="53"/>
      <c r="S86" s="53"/>
      <c r="T86" s="53"/>
    </row>
    <row r="87" spans="1:20" ht="24" x14ac:dyDescent="0.25">
      <c r="A87" s="254">
        <v>2210</v>
      </c>
      <c r="B87" s="179" t="s">
        <v>103</v>
      </c>
      <c r="C87" s="191">
        <f t="shared" si="4"/>
        <v>2527</v>
      </c>
      <c r="D87" s="255">
        <f>SUM(D88:D91)</f>
        <v>2482</v>
      </c>
      <c r="E87" s="256">
        <f>SUM(E88:E91)</f>
        <v>0</v>
      </c>
      <c r="F87" s="257">
        <f t="shared" si="5"/>
        <v>2482</v>
      </c>
      <c r="G87" s="255">
        <f>SUM(G88:G91)</f>
        <v>0</v>
      </c>
      <c r="H87" s="258">
        <f>SUM(H88:H91)</f>
        <v>0</v>
      </c>
      <c r="I87" s="259">
        <f t="shared" si="6"/>
        <v>0</v>
      </c>
      <c r="J87" s="255">
        <f>SUM(J88:J91)</f>
        <v>45</v>
      </c>
      <c r="K87" s="258">
        <f>SUM(K88:K91)</f>
        <v>0</v>
      </c>
      <c r="L87" s="259">
        <f t="shared" si="7"/>
        <v>45</v>
      </c>
      <c r="M87" s="260">
        <f>SUM(M88:M91)</f>
        <v>0</v>
      </c>
      <c r="N87" s="261">
        <f>SUM(N88:N91)</f>
        <v>0</v>
      </c>
      <c r="O87" s="259">
        <f t="shared" si="8"/>
        <v>0</v>
      </c>
      <c r="P87" s="189"/>
      <c r="R87" s="53"/>
      <c r="S87" s="53"/>
      <c r="T87" s="53"/>
    </row>
    <row r="88" spans="1:20" ht="24" hidden="1" x14ac:dyDescent="0.25">
      <c r="A88" s="66">
        <v>2211</v>
      </c>
      <c r="B88" s="116" t="s">
        <v>104</v>
      </c>
      <c r="C88" s="128">
        <f t="shared" si="4"/>
        <v>0</v>
      </c>
      <c r="D88" s="123"/>
      <c r="E88" s="262"/>
      <c r="F88" s="263">
        <f t="shared" si="5"/>
        <v>0</v>
      </c>
      <c r="G88" s="123"/>
      <c r="H88" s="124"/>
      <c r="I88" s="125">
        <f t="shared" si="6"/>
        <v>0</v>
      </c>
      <c r="J88" s="123"/>
      <c r="K88" s="124"/>
      <c r="L88" s="125">
        <f t="shared" si="7"/>
        <v>0</v>
      </c>
      <c r="M88" s="264"/>
      <c r="N88" s="262"/>
      <c r="O88" s="125">
        <f t="shared" si="8"/>
        <v>0</v>
      </c>
      <c r="P88" s="74"/>
      <c r="R88" s="53"/>
      <c r="S88" s="53"/>
      <c r="T88" s="53"/>
    </row>
    <row r="89" spans="1:20" ht="36" x14ac:dyDescent="0.25">
      <c r="A89" s="76">
        <v>2212</v>
      </c>
      <c r="B89" s="127" t="s">
        <v>105</v>
      </c>
      <c r="C89" s="128">
        <f t="shared" si="4"/>
        <v>1906</v>
      </c>
      <c r="D89" s="134">
        <v>1906</v>
      </c>
      <c r="E89" s="283"/>
      <c r="F89" s="279">
        <f t="shared" si="5"/>
        <v>1906</v>
      </c>
      <c r="G89" s="134"/>
      <c r="H89" s="135"/>
      <c r="I89" s="136">
        <f t="shared" si="6"/>
        <v>0</v>
      </c>
      <c r="J89" s="134"/>
      <c r="K89" s="135"/>
      <c r="L89" s="136">
        <f t="shared" si="7"/>
        <v>0</v>
      </c>
      <c r="M89" s="284"/>
      <c r="N89" s="285"/>
      <c r="O89" s="136">
        <f t="shared" si="8"/>
        <v>0</v>
      </c>
      <c r="P89" s="85"/>
      <c r="R89" s="53"/>
      <c r="S89" s="53"/>
      <c r="T89" s="53"/>
    </row>
    <row r="90" spans="1:20" ht="24" x14ac:dyDescent="0.25">
      <c r="A90" s="76">
        <v>2214</v>
      </c>
      <c r="B90" s="127" t="s">
        <v>106</v>
      </c>
      <c r="C90" s="128">
        <f t="shared" si="4"/>
        <v>576</v>
      </c>
      <c r="D90" s="134">
        <v>576</v>
      </c>
      <c r="E90" s="283"/>
      <c r="F90" s="279">
        <f t="shared" si="5"/>
        <v>576</v>
      </c>
      <c r="G90" s="134"/>
      <c r="H90" s="135"/>
      <c r="I90" s="136">
        <f t="shared" si="6"/>
        <v>0</v>
      </c>
      <c r="J90" s="134"/>
      <c r="K90" s="135"/>
      <c r="L90" s="136">
        <f t="shared" si="7"/>
        <v>0</v>
      </c>
      <c r="M90" s="284"/>
      <c r="N90" s="285"/>
      <c r="O90" s="136">
        <f t="shared" si="8"/>
        <v>0</v>
      </c>
      <c r="P90" s="85"/>
      <c r="R90" s="53"/>
      <c r="S90" s="53"/>
      <c r="T90" s="53"/>
    </row>
    <row r="91" spans="1:20" x14ac:dyDescent="0.25">
      <c r="A91" s="76">
        <v>2219</v>
      </c>
      <c r="B91" s="127" t="s">
        <v>107</v>
      </c>
      <c r="C91" s="128">
        <f t="shared" si="4"/>
        <v>45</v>
      </c>
      <c r="D91" s="134"/>
      <c r="E91" s="283"/>
      <c r="F91" s="279">
        <f t="shared" si="5"/>
        <v>0</v>
      </c>
      <c r="G91" s="134"/>
      <c r="H91" s="135"/>
      <c r="I91" s="136">
        <f t="shared" si="6"/>
        <v>0</v>
      </c>
      <c r="J91" s="134">
        <v>45</v>
      </c>
      <c r="K91" s="135"/>
      <c r="L91" s="136">
        <f t="shared" si="7"/>
        <v>45</v>
      </c>
      <c r="M91" s="284"/>
      <c r="N91" s="285"/>
      <c r="O91" s="136">
        <f t="shared" si="8"/>
        <v>0</v>
      </c>
      <c r="P91" s="85"/>
      <c r="R91" s="53"/>
      <c r="S91" s="53"/>
      <c r="T91" s="53"/>
    </row>
    <row r="92" spans="1:20" ht="24" x14ac:dyDescent="0.25">
      <c r="A92" s="276">
        <v>2220</v>
      </c>
      <c r="B92" s="127" t="s">
        <v>108</v>
      </c>
      <c r="C92" s="128">
        <f t="shared" si="4"/>
        <v>119718</v>
      </c>
      <c r="D92" s="277">
        <f>SUM(D93:D97)</f>
        <v>111419</v>
      </c>
      <c r="E92" s="278">
        <f>SUM(E93:E97)</f>
        <v>0</v>
      </c>
      <c r="F92" s="279">
        <f t="shared" si="5"/>
        <v>111419</v>
      </c>
      <c r="G92" s="277">
        <f>SUM(G93:G97)</f>
        <v>0</v>
      </c>
      <c r="H92" s="280">
        <f>SUM(H93:H97)</f>
        <v>0</v>
      </c>
      <c r="I92" s="136">
        <f t="shared" si="6"/>
        <v>0</v>
      </c>
      <c r="J92" s="277">
        <f>SUM(J93:J97)</f>
        <v>8299</v>
      </c>
      <c r="K92" s="280">
        <f>SUM(K93:K97)</f>
        <v>0</v>
      </c>
      <c r="L92" s="136">
        <f t="shared" si="7"/>
        <v>8299</v>
      </c>
      <c r="M92" s="281">
        <f>SUM(M93:M97)</f>
        <v>0</v>
      </c>
      <c r="N92" s="282">
        <f>SUM(N93:N97)</f>
        <v>0</v>
      </c>
      <c r="O92" s="136">
        <f t="shared" si="8"/>
        <v>0</v>
      </c>
      <c r="P92" s="85"/>
      <c r="R92" s="53"/>
      <c r="S92" s="53"/>
      <c r="T92" s="53"/>
    </row>
    <row r="93" spans="1:20" ht="24" x14ac:dyDescent="0.25">
      <c r="A93" s="76">
        <v>2221</v>
      </c>
      <c r="B93" s="127" t="s">
        <v>109</v>
      </c>
      <c r="C93" s="128">
        <f t="shared" si="4"/>
        <v>79082</v>
      </c>
      <c r="D93" s="134">
        <v>75224</v>
      </c>
      <c r="E93" s="283">
        <v>-20</v>
      </c>
      <c r="F93" s="279">
        <f t="shared" si="5"/>
        <v>75204</v>
      </c>
      <c r="G93" s="134"/>
      <c r="H93" s="135"/>
      <c r="I93" s="136">
        <f t="shared" si="6"/>
        <v>0</v>
      </c>
      <c r="J93" s="134">
        <v>3878</v>
      </c>
      <c r="K93" s="135"/>
      <c r="L93" s="136">
        <f t="shared" si="7"/>
        <v>3878</v>
      </c>
      <c r="M93" s="284"/>
      <c r="N93" s="285"/>
      <c r="O93" s="136">
        <f t="shared" si="8"/>
        <v>0</v>
      </c>
      <c r="P93" s="85" t="s">
        <v>889</v>
      </c>
      <c r="R93" s="53"/>
      <c r="S93" s="53"/>
      <c r="T93" s="53"/>
    </row>
    <row r="94" spans="1:20" x14ac:dyDescent="0.25">
      <c r="A94" s="76">
        <v>2222</v>
      </c>
      <c r="B94" s="127" t="s">
        <v>110</v>
      </c>
      <c r="C94" s="128">
        <f t="shared" si="4"/>
        <v>11667</v>
      </c>
      <c r="D94" s="134">
        <v>10667</v>
      </c>
      <c r="E94" s="283"/>
      <c r="F94" s="279">
        <f t="shared" si="5"/>
        <v>10667</v>
      </c>
      <c r="G94" s="134"/>
      <c r="H94" s="135"/>
      <c r="I94" s="136">
        <f t="shared" si="6"/>
        <v>0</v>
      </c>
      <c r="J94" s="134">
        <v>1000</v>
      </c>
      <c r="K94" s="135"/>
      <c r="L94" s="136">
        <f t="shared" si="7"/>
        <v>1000</v>
      </c>
      <c r="M94" s="284"/>
      <c r="N94" s="285"/>
      <c r="O94" s="136">
        <f t="shared" si="8"/>
        <v>0</v>
      </c>
      <c r="P94" s="85"/>
      <c r="R94" s="53"/>
      <c r="S94" s="53"/>
      <c r="T94" s="53"/>
    </row>
    <row r="95" spans="1:20" x14ac:dyDescent="0.25">
      <c r="A95" s="76">
        <v>2223</v>
      </c>
      <c r="B95" s="127" t="s">
        <v>111</v>
      </c>
      <c r="C95" s="128">
        <f t="shared" si="4"/>
        <v>27340</v>
      </c>
      <c r="D95" s="134">
        <v>24019</v>
      </c>
      <c r="E95" s="283"/>
      <c r="F95" s="279">
        <f t="shared" si="5"/>
        <v>24019</v>
      </c>
      <c r="G95" s="134"/>
      <c r="H95" s="135"/>
      <c r="I95" s="136">
        <f t="shared" si="6"/>
        <v>0</v>
      </c>
      <c r="J95" s="134">
        <v>3321</v>
      </c>
      <c r="K95" s="135"/>
      <c r="L95" s="136">
        <f t="shared" si="7"/>
        <v>3321</v>
      </c>
      <c r="M95" s="284"/>
      <c r="N95" s="285"/>
      <c r="O95" s="136">
        <f t="shared" si="8"/>
        <v>0</v>
      </c>
      <c r="P95" s="85"/>
      <c r="R95" s="53"/>
      <c r="S95" s="53"/>
      <c r="T95" s="53"/>
    </row>
    <row r="96" spans="1:20" ht="48" x14ac:dyDescent="0.25">
      <c r="A96" s="76">
        <v>2224</v>
      </c>
      <c r="B96" s="127" t="s">
        <v>112</v>
      </c>
      <c r="C96" s="128">
        <f t="shared" si="4"/>
        <v>1629</v>
      </c>
      <c r="D96" s="134">
        <v>1509</v>
      </c>
      <c r="E96" s="283">
        <v>20</v>
      </c>
      <c r="F96" s="279">
        <f t="shared" si="5"/>
        <v>1529</v>
      </c>
      <c r="G96" s="134"/>
      <c r="H96" s="135"/>
      <c r="I96" s="136">
        <f t="shared" si="6"/>
        <v>0</v>
      </c>
      <c r="J96" s="134">
        <v>100</v>
      </c>
      <c r="K96" s="135"/>
      <c r="L96" s="136">
        <f t="shared" si="7"/>
        <v>100</v>
      </c>
      <c r="M96" s="284"/>
      <c r="N96" s="285"/>
      <c r="O96" s="136">
        <f t="shared" si="8"/>
        <v>0</v>
      </c>
      <c r="P96" s="85" t="s">
        <v>890</v>
      </c>
      <c r="R96" s="53"/>
      <c r="S96" s="53"/>
      <c r="T96" s="53"/>
    </row>
    <row r="97" spans="1:20" ht="24" hidden="1" x14ac:dyDescent="0.25">
      <c r="A97" s="76">
        <v>2229</v>
      </c>
      <c r="B97" s="127" t="s">
        <v>113</v>
      </c>
      <c r="C97" s="128">
        <f t="shared" si="4"/>
        <v>0</v>
      </c>
      <c r="D97" s="134"/>
      <c r="E97" s="285"/>
      <c r="F97" s="286">
        <f t="shared" si="5"/>
        <v>0</v>
      </c>
      <c r="G97" s="134"/>
      <c r="H97" s="135"/>
      <c r="I97" s="136">
        <f t="shared" si="6"/>
        <v>0</v>
      </c>
      <c r="J97" s="134"/>
      <c r="K97" s="135"/>
      <c r="L97" s="136">
        <f t="shared" si="7"/>
        <v>0</v>
      </c>
      <c r="M97" s="284"/>
      <c r="N97" s="285"/>
      <c r="O97" s="136">
        <f t="shared" si="8"/>
        <v>0</v>
      </c>
      <c r="P97" s="85"/>
      <c r="R97" s="53"/>
      <c r="S97" s="53"/>
      <c r="T97" s="53"/>
    </row>
    <row r="98" spans="1:20" ht="36" x14ac:dyDescent="0.25">
      <c r="A98" s="276">
        <v>2230</v>
      </c>
      <c r="B98" s="127" t="s">
        <v>114</v>
      </c>
      <c r="C98" s="128">
        <f t="shared" si="4"/>
        <v>2135</v>
      </c>
      <c r="D98" s="277">
        <f>SUM(D99:D105)</f>
        <v>2135</v>
      </c>
      <c r="E98" s="278">
        <f>SUM(E99:E105)</f>
        <v>0</v>
      </c>
      <c r="F98" s="279">
        <f t="shared" si="5"/>
        <v>2135</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c r="R98" s="53"/>
      <c r="S98" s="53"/>
      <c r="T98" s="53"/>
    </row>
    <row r="99" spans="1:20" ht="24" hidden="1" x14ac:dyDescent="0.25">
      <c r="A99" s="76">
        <v>2231</v>
      </c>
      <c r="B99" s="127" t="s">
        <v>115</v>
      </c>
      <c r="C99" s="128">
        <f t="shared" si="4"/>
        <v>0</v>
      </c>
      <c r="D99" s="134"/>
      <c r="E99" s="285"/>
      <c r="F99" s="286">
        <f t="shared" si="5"/>
        <v>0</v>
      </c>
      <c r="G99" s="134"/>
      <c r="H99" s="135"/>
      <c r="I99" s="136">
        <f t="shared" si="6"/>
        <v>0</v>
      </c>
      <c r="J99" s="134"/>
      <c r="K99" s="135"/>
      <c r="L99" s="136">
        <f t="shared" si="7"/>
        <v>0</v>
      </c>
      <c r="M99" s="284"/>
      <c r="N99" s="285"/>
      <c r="O99" s="136">
        <f t="shared" si="8"/>
        <v>0</v>
      </c>
      <c r="P99" s="85"/>
      <c r="R99" s="53"/>
      <c r="S99" s="53"/>
      <c r="T99" s="53"/>
    </row>
    <row r="100" spans="1:20" ht="36" hidden="1" x14ac:dyDescent="0.25">
      <c r="A100" s="76">
        <v>2232</v>
      </c>
      <c r="B100" s="127" t="s">
        <v>116</v>
      </c>
      <c r="C100" s="128">
        <f t="shared" si="4"/>
        <v>0</v>
      </c>
      <c r="D100" s="134"/>
      <c r="E100" s="285"/>
      <c r="F100" s="286">
        <f t="shared" si="5"/>
        <v>0</v>
      </c>
      <c r="G100" s="134"/>
      <c r="H100" s="135"/>
      <c r="I100" s="136">
        <f t="shared" si="6"/>
        <v>0</v>
      </c>
      <c r="J100" s="134"/>
      <c r="K100" s="135"/>
      <c r="L100" s="136">
        <f t="shared" si="7"/>
        <v>0</v>
      </c>
      <c r="M100" s="284"/>
      <c r="N100" s="285"/>
      <c r="O100" s="136">
        <f t="shared" si="8"/>
        <v>0</v>
      </c>
      <c r="P100" s="85"/>
      <c r="R100" s="53"/>
      <c r="S100" s="53"/>
      <c r="T100" s="53"/>
    </row>
    <row r="101" spans="1:20" ht="24" hidden="1" x14ac:dyDescent="0.25">
      <c r="A101" s="66">
        <v>2233</v>
      </c>
      <c r="B101" s="116" t="s">
        <v>117</v>
      </c>
      <c r="C101" s="128">
        <f t="shared" si="4"/>
        <v>0</v>
      </c>
      <c r="D101" s="123"/>
      <c r="E101" s="262"/>
      <c r="F101" s="263">
        <f t="shared" si="5"/>
        <v>0</v>
      </c>
      <c r="G101" s="123"/>
      <c r="H101" s="124"/>
      <c r="I101" s="125">
        <f t="shared" si="6"/>
        <v>0</v>
      </c>
      <c r="J101" s="123"/>
      <c r="K101" s="124"/>
      <c r="L101" s="125">
        <f t="shared" si="7"/>
        <v>0</v>
      </c>
      <c r="M101" s="264"/>
      <c r="N101" s="262"/>
      <c r="O101" s="125">
        <f t="shared" si="8"/>
        <v>0</v>
      </c>
      <c r="P101" s="74"/>
      <c r="R101" s="53"/>
      <c r="S101" s="53"/>
      <c r="T101" s="53"/>
    </row>
    <row r="102" spans="1:20" ht="36" hidden="1" x14ac:dyDescent="0.25">
      <c r="A102" s="76">
        <v>2234</v>
      </c>
      <c r="B102" s="127" t="s">
        <v>118</v>
      </c>
      <c r="C102" s="128">
        <f t="shared" si="4"/>
        <v>0</v>
      </c>
      <c r="D102" s="134"/>
      <c r="E102" s="285"/>
      <c r="F102" s="286">
        <f t="shared" si="5"/>
        <v>0</v>
      </c>
      <c r="G102" s="134"/>
      <c r="H102" s="135"/>
      <c r="I102" s="136">
        <f t="shared" si="6"/>
        <v>0</v>
      </c>
      <c r="J102" s="134"/>
      <c r="K102" s="135"/>
      <c r="L102" s="136">
        <f t="shared" si="7"/>
        <v>0</v>
      </c>
      <c r="M102" s="284"/>
      <c r="N102" s="285"/>
      <c r="O102" s="136">
        <f t="shared" si="8"/>
        <v>0</v>
      </c>
      <c r="P102" s="85"/>
      <c r="R102" s="53"/>
      <c r="S102" s="53"/>
      <c r="T102" s="53"/>
    </row>
    <row r="103" spans="1:20" ht="24" hidden="1" x14ac:dyDescent="0.25">
      <c r="A103" s="76">
        <v>2235</v>
      </c>
      <c r="B103" s="127" t="s">
        <v>119</v>
      </c>
      <c r="C103" s="128">
        <f t="shared" si="4"/>
        <v>0</v>
      </c>
      <c r="D103" s="134"/>
      <c r="E103" s="285"/>
      <c r="F103" s="286">
        <f t="shared" si="5"/>
        <v>0</v>
      </c>
      <c r="G103" s="134"/>
      <c r="H103" s="135"/>
      <c r="I103" s="136">
        <f t="shared" si="6"/>
        <v>0</v>
      </c>
      <c r="J103" s="134"/>
      <c r="K103" s="135"/>
      <c r="L103" s="136">
        <f t="shared" si="7"/>
        <v>0</v>
      </c>
      <c r="M103" s="284"/>
      <c r="N103" s="285"/>
      <c r="O103" s="136">
        <f t="shared" si="8"/>
        <v>0</v>
      </c>
      <c r="P103" s="85"/>
      <c r="R103" s="53"/>
      <c r="S103" s="53"/>
      <c r="T103" s="53"/>
    </row>
    <row r="104" spans="1:20" hidden="1" x14ac:dyDescent="0.25">
      <c r="A104" s="76">
        <v>2236</v>
      </c>
      <c r="B104" s="127" t="s">
        <v>120</v>
      </c>
      <c r="C104" s="128">
        <f t="shared" si="4"/>
        <v>0</v>
      </c>
      <c r="D104" s="134"/>
      <c r="E104" s="285"/>
      <c r="F104" s="286">
        <f t="shared" si="5"/>
        <v>0</v>
      </c>
      <c r="G104" s="134"/>
      <c r="H104" s="135"/>
      <c r="I104" s="136">
        <f t="shared" si="6"/>
        <v>0</v>
      </c>
      <c r="J104" s="134"/>
      <c r="K104" s="135"/>
      <c r="L104" s="136">
        <f t="shared" si="7"/>
        <v>0</v>
      </c>
      <c r="M104" s="284"/>
      <c r="N104" s="285"/>
      <c r="O104" s="136">
        <f t="shared" si="8"/>
        <v>0</v>
      </c>
      <c r="P104" s="85"/>
      <c r="R104" s="53"/>
      <c r="S104" s="53"/>
      <c r="T104" s="53"/>
    </row>
    <row r="105" spans="1:20" ht="24" x14ac:dyDescent="0.25">
      <c r="A105" s="76">
        <v>2239</v>
      </c>
      <c r="B105" s="127" t="s">
        <v>121</v>
      </c>
      <c r="C105" s="128">
        <f t="shared" si="4"/>
        <v>2135</v>
      </c>
      <c r="D105" s="134">
        <v>2135</v>
      </c>
      <c r="E105" s="283"/>
      <c r="F105" s="279">
        <f t="shared" si="5"/>
        <v>2135</v>
      </c>
      <c r="G105" s="134"/>
      <c r="H105" s="135"/>
      <c r="I105" s="136">
        <f t="shared" si="6"/>
        <v>0</v>
      </c>
      <c r="J105" s="134"/>
      <c r="K105" s="135"/>
      <c r="L105" s="136">
        <f t="shared" si="7"/>
        <v>0</v>
      </c>
      <c r="M105" s="284"/>
      <c r="N105" s="285"/>
      <c r="O105" s="136">
        <f t="shared" si="8"/>
        <v>0</v>
      </c>
      <c r="P105" s="85"/>
      <c r="R105" s="53"/>
      <c r="S105" s="53"/>
      <c r="T105" s="53"/>
    </row>
    <row r="106" spans="1:20" ht="36" x14ac:dyDescent="0.25">
      <c r="A106" s="276">
        <v>2240</v>
      </c>
      <c r="B106" s="127" t="s">
        <v>122</v>
      </c>
      <c r="C106" s="128">
        <f t="shared" si="4"/>
        <v>5904</v>
      </c>
      <c r="D106" s="277">
        <f>SUM(D107:D114)</f>
        <v>5062</v>
      </c>
      <c r="E106" s="278">
        <f>SUM(E107:E114)</f>
        <v>0</v>
      </c>
      <c r="F106" s="279">
        <f t="shared" si="5"/>
        <v>5062</v>
      </c>
      <c r="G106" s="277">
        <f>SUM(G107:G114)</f>
        <v>0</v>
      </c>
      <c r="H106" s="280">
        <f>SUM(H107:H114)</f>
        <v>0</v>
      </c>
      <c r="I106" s="136">
        <f t="shared" si="6"/>
        <v>0</v>
      </c>
      <c r="J106" s="277">
        <f>SUM(J107:J114)</f>
        <v>842</v>
      </c>
      <c r="K106" s="280">
        <f>SUM(K107:K114)</f>
        <v>0</v>
      </c>
      <c r="L106" s="136">
        <f t="shared" si="7"/>
        <v>842</v>
      </c>
      <c r="M106" s="281">
        <f>SUM(M107:M114)</f>
        <v>0</v>
      </c>
      <c r="N106" s="282">
        <f>SUM(N107:N114)</f>
        <v>0</v>
      </c>
      <c r="O106" s="136">
        <f t="shared" si="8"/>
        <v>0</v>
      </c>
      <c r="P106" s="85"/>
      <c r="R106" s="53"/>
      <c r="S106" s="53"/>
      <c r="T106" s="53"/>
    </row>
    <row r="107" spans="1:20" hidden="1" x14ac:dyDescent="0.25">
      <c r="A107" s="76">
        <v>2241</v>
      </c>
      <c r="B107" s="127" t="s">
        <v>123</v>
      </c>
      <c r="C107" s="128">
        <f t="shared" si="4"/>
        <v>0</v>
      </c>
      <c r="D107" s="134"/>
      <c r="E107" s="285"/>
      <c r="F107" s="286">
        <f t="shared" si="5"/>
        <v>0</v>
      </c>
      <c r="G107" s="134"/>
      <c r="H107" s="135"/>
      <c r="I107" s="136">
        <f t="shared" si="6"/>
        <v>0</v>
      </c>
      <c r="J107" s="134"/>
      <c r="K107" s="135"/>
      <c r="L107" s="136">
        <f t="shared" si="7"/>
        <v>0</v>
      </c>
      <c r="M107" s="284"/>
      <c r="N107" s="285"/>
      <c r="O107" s="136">
        <f t="shared" si="8"/>
        <v>0</v>
      </c>
      <c r="P107" s="85"/>
      <c r="R107" s="53"/>
      <c r="S107" s="53"/>
      <c r="T107" s="53"/>
    </row>
    <row r="108" spans="1:20" ht="24" hidden="1" x14ac:dyDescent="0.25">
      <c r="A108" s="76">
        <v>2242</v>
      </c>
      <c r="B108" s="127" t="s">
        <v>124</v>
      </c>
      <c r="C108" s="128">
        <f t="shared" si="4"/>
        <v>0</v>
      </c>
      <c r="D108" s="134"/>
      <c r="E108" s="285"/>
      <c r="F108" s="286">
        <f t="shared" si="5"/>
        <v>0</v>
      </c>
      <c r="G108" s="134"/>
      <c r="H108" s="135"/>
      <c r="I108" s="136">
        <f t="shared" si="6"/>
        <v>0</v>
      </c>
      <c r="J108" s="134"/>
      <c r="K108" s="135"/>
      <c r="L108" s="136">
        <f t="shared" si="7"/>
        <v>0</v>
      </c>
      <c r="M108" s="284"/>
      <c r="N108" s="285"/>
      <c r="O108" s="136">
        <f t="shared" si="8"/>
        <v>0</v>
      </c>
      <c r="P108" s="85"/>
      <c r="R108" s="53"/>
      <c r="S108" s="53"/>
      <c r="T108" s="53"/>
    </row>
    <row r="109" spans="1:20" ht="24" x14ac:dyDescent="0.25">
      <c r="A109" s="76">
        <v>2243</v>
      </c>
      <c r="B109" s="127" t="s">
        <v>125</v>
      </c>
      <c r="C109" s="128">
        <f t="shared" si="4"/>
        <v>1412</v>
      </c>
      <c r="D109" s="134">
        <v>812</v>
      </c>
      <c r="E109" s="283"/>
      <c r="F109" s="279">
        <f t="shared" si="5"/>
        <v>812</v>
      </c>
      <c r="G109" s="134"/>
      <c r="H109" s="135"/>
      <c r="I109" s="136">
        <f t="shared" si="6"/>
        <v>0</v>
      </c>
      <c r="J109" s="134">
        <v>600</v>
      </c>
      <c r="K109" s="135"/>
      <c r="L109" s="136">
        <f t="shared" si="7"/>
        <v>600</v>
      </c>
      <c r="M109" s="284"/>
      <c r="N109" s="285"/>
      <c r="O109" s="136">
        <f t="shared" si="8"/>
        <v>0</v>
      </c>
      <c r="P109" s="85"/>
      <c r="R109" s="53"/>
      <c r="S109" s="53"/>
      <c r="T109" s="53"/>
    </row>
    <row r="110" spans="1:20" x14ac:dyDescent="0.25">
      <c r="A110" s="76">
        <v>2244</v>
      </c>
      <c r="B110" s="127" t="s">
        <v>126</v>
      </c>
      <c r="C110" s="128">
        <f t="shared" si="4"/>
        <v>4492</v>
      </c>
      <c r="D110" s="134">
        <v>4250</v>
      </c>
      <c r="E110" s="283"/>
      <c r="F110" s="279">
        <f t="shared" si="5"/>
        <v>4250</v>
      </c>
      <c r="G110" s="134"/>
      <c r="H110" s="135"/>
      <c r="I110" s="136">
        <f t="shared" si="6"/>
        <v>0</v>
      </c>
      <c r="J110" s="134">
        <v>242</v>
      </c>
      <c r="K110" s="135"/>
      <c r="L110" s="136">
        <f t="shared" si="7"/>
        <v>242</v>
      </c>
      <c r="M110" s="284"/>
      <c r="N110" s="285"/>
      <c r="O110" s="136">
        <f t="shared" si="8"/>
        <v>0</v>
      </c>
      <c r="P110" s="85"/>
      <c r="R110" s="53"/>
      <c r="S110" s="53"/>
      <c r="T110" s="53"/>
    </row>
    <row r="111" spans="1:20" ht="24" hidden="1" x14ac:dyDescent="0.25">
      <c r="A111" s="76">
        <v>2246</v>
      </c>
      <c r="B111" s="127" t="s">
        <v>127</v>
      </c>
      <c r="C111" s="128">
        <f t="shared" si="4"/>
        <v>0</v>
      </c>
      <c r="D111" s="134"/>
      <c r="E111" s="285"/>
      <c r="F111" s="286">
        <f t="shared" si="5"/>
        <v>0</v>
      </c>
      <c r="G111" s="134"/>
      <c r="H111" s="135"/>
      <c r="I111" s="136">
        <f t="shared" si="6"/>
        <v>0</v>
      </c>
      <c r="J111" s="134"/>
      <c r="K111" s="135"/>
      <c r="L111" s="136">
        <f t="shared" si="7"/>
        <v>0</v>
      </c>
      <c r="M111" s="284"/>
      <c r="N111" s="285"/>
      <c r="O111" s="136">
        <f t="shared" si="8"/>
        <v>0</v>
      </c>
      <c r="P111" s="85"/>
      <c r="R111" s="53"/>
      <c r="S111" s="53"/>
      <c r="T111" s="53"/>
    </row>
    <row r="112" spans="1:20" hidden="1" x14ac:dyDescent="0.25">
      <c r="A112" s="76">
        <v>2247</v>
      </c>
      <c r="B112" s="127" t="s">
        <v>128</v>
      </c>
      <c r="C112" s="128">
        <f t="shared" si="4"/>
        <v>0</v>
      </c>
      <c r="D112" s="134"/>
      <c r="E112" s="285"/>
      <c r="F112" s="286">
        <f t="shared" si="5"/>
        <v>0</v>
      </c>
      <c r="G112" s="134"/>
      <c r="H112" s="135"/>
      <c r="I112" s="136">
        <f t="shared" si="6"/>
        <v>0</v>
      </c>
      <c r="J112" s="134"/>
      <c r="K112" s="135"/>
      <c r="L112" s="136">
        <f t="shared" si="7"/>
        <v>0</v>
      </c>
      <c r="M112" s="284"/>
      <c r="N112" s="285"/>
      <c r="O112" s="136">
        <f t="shared" si="8"/>
        <v>0</v>
      </c>
      <c r="P112" s="85"/>
      <c r="R112" s="53"/>
      <c r="S112" s="53"/>
      <c r="T112" s="53"/>
    </row>
    <row r="113" spans="1:20" ht="24" hidden="1" x14ac:dyDescent="0.25">
      <c r="A113" s="76">
        <v>2248</v>
      </c>
      <c r="B113" s="127" t="s">
        <v>129</v>
      </c>
      <c r="C113" s="128">
        <f t="shared" si="4"/>
        <v>0</v>
      </c>
      <c r="D113" s="134"/>
      <c r="E113" s="285"/>
      <c r="F113" s="286">
        <f t="shared" si="5"/>
        <v>0</v>
      </c>
      <c r="G113" s="134"/>
      <c r="H113" s="135"/>
      <c r="I113" s="136">
        <f t="shared" si="6"/>
        <v>0</v>
      </c>
      <c r="J113" s="134"/>
      <c r="K113" s="135"/>
      <c r="L113" s="136">
        <f t="shared" si="7"/>
        <v>0</v>
      </c>
      <c r="M113" s="284"/>
      <c r="N113" s="285"/>
      <c r="O113" s="136">
        <f t="shared" si="8"/>
        <v>0</v>
      </c>
      <c r="P113" s="85"/>
      <c r="R113" s="53"/>
      <c r="S113" s="53"/>
      <c r="T113" s="53"/>
    </row>
    <row r="114" spans="1:20" ht="24" hidden="1" x14ac:dyDescent="0.25">
      <c r="A114" s="76">
        <v>2249</v>
      </c>
      <c r="B114" s="127" t="s">
        <v>130</v>
      </c>
      <c r="C114" s="128">
        <f t="shared" si="4"/>
        <v>0</v>
      </c>
      <c r="D114" s="134"/>
      <c r="E114" s="285"/>
      <c r="F114" s="286">
        <f t="shared" si="5"/>
        <v>0</v>
      </c>
      <c r="G114" s="134"/>
      <c r="H114" s="135"/>
      <c r="I114" s="136">
        <f t="shared" si="6"/>
        <v>0</v>
      </c>
      <c r="J114" s="134"/>
      <c r="K114" s="135"/>
      <c r="L114" s="136">
        <f t="shared" si="7"/>
        <v>0</v>
      </c>
      <c r="M114" s="284"/>
      <c r="N114" s="285"/>
      <c r="O114" s="136">
        <f t="shared" si="8"/>
        <v>0</v>
      </c>
      <c r="P114" s="85"/>
      <c r="R114" s="53"/>
      <c r="S114" s="53"/>
      <c r="T114" s="53"/>
    </row>
    <row r="115" spans="1:20" x14ac:dyDescent="0.25">
      <c r="A115" s="276">
        <v>2250</v>
      </c>
      <c r="B115" s="127" t="s">
        <v>131</v>
      </c>
      <c r="C115" s="128">
        <f t="shared" si="4"/>
        <v>417</v>
      </c>
      <c r="D115" s="277">
        <f>SUM(D116:D118)</f>
        <v>417</v>
      </c>
      <c r="E115" s="278">
        <f>SUM(E116:E118)</f>
        <v>0</v>
      </c>
      <c r="F115" s="279">
        <f t="shared" si="5"/>
        <v>417</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c r="R115" s="53"/>
      <c r="S115" s="53"/>
      <c r="T115" s="53"/>
    </row>
    <row r="116" spans="1:20" hidden="1" x14ac:dyDescent="0.25">
      <c r="A116" s="76">
        <v>2251</v>
      </c>
      <c r="B116" s="127" t="s">
        <v>132</v>
      </c>
      <c r="C116" s="128">
        <f t="shared" si="4"/>
        <v>0</v>
      </c>
      <c r="D116" s="134"/>
      <c r="E116" s="285"/>
      <c r="F116" s="286">
        <f t="shared" si="5"/>
        <v>0</v>
      </c>
      <c r="G116" s="134"/>
      <c r="H116" s="135"/>
      <c r="I116" s="136">
        <f t="shared" si="6"/>
        <v>0</v>
      </c>
      <c r="J116" s="134"/>
      <c r="K116" s="135"/>
      <c r="L116" s="136">
        <f t="shared" si="7"/>
        <v>0</v>
      </c>
      <c r="M116" s="284"/>
      <c r="N116" s="285"/>
      <c r="O116" s="136">
        <f t="shared" si="8"/>
        <v>0</v>
      </c>
      <c r="P116" s="85"/>
      <c r="R116" s="53"/>
      <c r="S116" s="53"/>
      <c r="T116" s="53"/>
    </row>
    <row r="117" spans="1:20" ht="24" hidden="1" x14ac:dyDescent="0.25">
      <c r="A117" s="76">
        <v>2252</v>
      </c>
      <c r="B117" s="127" t="s">
        <v>133</v>
      </c>
      <c r="C117" s="128">
        <f t="shared" ref="C117:C181" si="9">F117+I117+L117+O117</f>
        <v>0</v>
      </c>
      <c r="D117" s="134"/>
      <c r="E117" s="285"/>
      <c r="F117" s="286">
        <f t="shared" si="5"/>
        <v>0</v>
      </c>
      <c r="G117" s="134"/>
      <c r="H117" s="135"/>
      <c r="I117" s="136">
        <f t="shared" si="6"/>
        <v>0</v>
      </c>
      <c r="J117" s="134"/>
      <c r="K117" s="135"/>
      <c r="L117" s="136">
        <f t="shared" si="7"/>
        <v>0</v>
      </c>
      <c r="M117" s="284"/>
      <c r="N117" s="285"/>
      <c r="O117" s="136">
        <f t="shared" si="8"/>
        <v>0</v>
      </c>
      <c r="P117" s="85"/>
      <c r="R117" s="53"/>
      <c r="S117" s="53"/>
      <c r="T117" s="53"/>
    </row>
    <row r="118" spans="1:20" ht="24" x14ac:dyDescent="0.25">
      <c r="A118" s="76">
        <v>2259</v>
      </c>
      <c r="B118" s="127" t="s">
        <v>134</v>
      </c>
      <c r="C118" s="128">
        <f t="shared" si="9"/>
        <v>417</v>
      </c>
      <c r="D118" s="134">
        <v>417</v>
      </c>
      <c r="E118" s="283"/>
      <c r="F118" s="279">
        <f t="shared" ref="F118:F182" si="10">D118+E118</f>
        <v>417</v>
      </c>
      <c r="G118" s="134"/>
      <c r="H118" s="135"/>
      <c r="I118" s="136">
        <f t="shared" ref="I118:I182" si="11">G118+H118</f>
        <v>0</v>
      </c>
      <c r="J118" s="134"/>
      <c r="K118" s="135"/>
      <c r="L118" s="136">
        <f t="shared" ref="L118:L182" si="12">J118+K118</f>
        <v>0</v>
      </c>
      <c r="M118" s="284"/>
      <c r="N118" s="285"/>
      <c r="O118" s="136">
        <f t="shared" ref="O118:O182" si="13">M118+N118</f>
        <v>0</v>
      </c>
      <c r="P118" s="85"/>
      <c r="R118" s="53"/>
      <c r="S118" s="53"/>
      <c r="T118" s="53"/>
    </row>
    <row r="119" spans="1:20" x14ac:dyDescent="0.25">
      <c r="A119" s="276">
        <v>2260</v>
      </c>
      <c r="B119" s="127" t="s">
        <v>135</v>
      </c>
      <c r="C119" s="128">
        <f t="shared" si="9"/>
        <v>13631</v>
      </c>
      <c r="D119" s="277">
        <f>SUM(D120:D124)</f>
        <v>10400</v>
      </c>
      <c r="E119" s="278">
        <f>SUM(E120:E124)</f>
        <v>0</v>
      </c>
      <c r="F119" s="279">
        <f t="shared" si="10"/>
        <v>10400</v>
      </c>
      <c r="G119" s="277">
        <f>SUM(G120:G124)</f>
        <v>0</v>
      </c>
      <c r="H119" s="280">
        <f>SUM(H120:H124)</f>
        <v>0</v>
      </c>
      <c r="I119" s="136">
        <f t="shared" si="11"/>
        <v>0</v>
      </c>
      <c r="J119" s="277">
        <f>SUM(J120:J124)</f>
        <v>3231</v>
      </c>
      <c r="K119" s="280">
        <f>SUM(K120:K124)</f>
        <v>0</v>
      </c>
      <c r="L119" s="136">
        <f t="shared" si="12"/>
        <v>3231</v>
      </c>
      <c r="M119" s="281">
        <f>SUM(M120:M124)</f>
        <v>0</v>
      </c>
      <c r="N119" s="282">
        <f>SUM(N120:N124)</f>
        <v>0</v>
      </c>
      <c r="O119" s="136">
        <f t="shared" si="13"/>
        <v>0</v>
      </c>
      <c r="P119" s="85"/>
      <c r="R119" s="53"/>
      <c r="S119" s="53"/>
      <c r="T119" s="53"/>
    </row>
    <row r="120" spans="1:20" hidden="1" x14ac:dyDescent="0.25">
      <c r="A120" s="76">
        <v>2261</v>
      </c>
      <c r="B120" s="127" t="s">
        <v>136</v>
      </c>
      <c r="C120" s="128">
        <f t="shared" si="9"/>
        <v>0</v>
      </c>
      <c r="D120" s="134"/>
      <c r="E120" s="285"/>
      <c r="F120" s="286">
        <f t="shared" si="10"/>
        <v>0</v>
      </c>
      <c r="G120" s="134"/>
      <c r="H120" s="135"/>
      <c r="I120" s="136">
        <f t="shared" si="11"/>
        <v>0</v>
      </c>
      <c r="J120" s="134"/>
      <c r="K120" s="135"/>
      <c r="L120" s="136">
        <f t="shared" si="12"/>
        <v>0</v>
      </c>
      <c r="M120" s="284"/>
      <c r="N120" s="285"/>
      <c r="O120" s="136">
        <f t="shared" si="13"/>
        <v>0</v>
      </c>
      <c r="P120" s="85"/>
      <c r="R120" s="53"/>
      <c r="S120" s="53"/>
      <c r="T120" s="53"/>
    </row>
    <row r="121" spans="1:20" x14ac:dyDescent="0.25">
      <c r="A121" s="76">
        <v>2262</v>
      </c>
      <c r="B121" s="127" t="s">
        <v>137</v>
      </c>
      <c r="C121" s="128">
        <f t="shared" si="9"/>
        <v>1000</v>
      </c>
      <c r="D121" s="134">
        <v>1000</v>
      </c>
      <c r="E121" s="283"/>
      <c r="F121" s="279">
        <f t="shared" si="10"/>
        <v>1000</v>
      </c>
      <c r="G121" s="134"/>
      <c r="H121" s="135"/>
      <c r="I121" s="136">
        <f t="shared" si="11"/>
        <v>0</v>
      </c>
      <c r="J121" s="134"/>
      <c r="K121" s="135"/>
      <c r="L121" s="136">
        <f t="shared" si="12"/>
        <v>0</v>
      </c>
      <c r="M121" s="284"/>
      <c r="N121" s="285"/>
      <c r="O121" s="136">
        <f t="shared" si="13"/>
        <v>0</v>
      </c>
      <c r="P121" s="85"/>
      <c r="R121" s="53"/>
      <c r="S121" s="53"/>
      <c r="T121" s="53"/>
    </row>
    <row r="122" spans="1:20" x14ac:dyDescent="0.25">
      <c r="A122" s="76">
        <v>2263</v>
      </c>
      <c r="B122" s="127" t="s">
        <v>138</v>
      </c>
      <c r="C122" s="128">
        <f t="shared" si="9"/>
        <v>9400</v>
      </c>
      <c r="D122" s="134">
        <v>9400</v>
      </c>
      <c r="E122" s="283"/>
      <c r="F122" s="279">
        <f t="shared" si="10"/>
        <v>9400</v>
      </c>
      <c r="G122" s="134"/>
      <c r="H122" s="135"/>
      <c r="I122" s="136">
        <f t="shared" si="11"/>
        <v>0</v>
      </c>
      <c r="J122" s="134"/>
      <c r="K122" s="135"/>
      <c r="L122" s="136">
        <f t="shared" si="12"/>
        <v>0</v>
      </c>
      <c r="M122" s="284"/>
      <c r="N122" s="285"/>
      <c r="O122" s="136">
        <f t="shared" si="13"/>
        <v>0</v>
      </c>
      <c r="P122" s="85"/>
      <c r="R122" s="53"/>
      <c r="S122" s="53"/>
      <c r="T122" s="53"/>
    </row>
    <row r="123" spans="1:20" ht="24" x14ac:dyDescent="0.25">
      <c r="A123" s="76">
        <v>2264</v>
      </c>
      <c r="B123" s="127" t="s">
        <v>139</v>
      </c>
      <c r="C123" s="128">
        <f t="shared" si="9"/>
        <v>3111</v>
      </c>
      <c r="D123" s="134"/>
      <c r="E123" s="283"/>
      <c r="F123" s="279">
        <f t="shared" si="10"/>
        <v>0</v>
      </c>
      <c r="G123" s="134"/>
      <c r="H123" s="135"/>
      <c r="I123" s="136">
        <f t="shared" si="11"/>
        <v>0</v>
      </c>
      <c r="J123" s="134">
        <v>3111</v>
      </c>
      <c r="K123" s="135"/>
      <c r="L123" s="136">
        <f t="shared" si="12"/>
        <v>3111</v>
      </c>
      <c r="M123" s="284"/>
      <c r="N123" s="285"/>
      <c r="O123" s="136">
        <f t="shared" si="13"/>
        <v>0</v>
      </c>
      <c r="P123" s="85"/>
      <c r="R123" s="53"/>
      <c r="S123" s="53"/>
      <c r="T123" s="53"/>
    </row>
    <row r="124" spans="1:20" x14ac:dyDescent="0.25">
      <c r="A124" s="76">
        <v>2269</v>
      </c>
      <c r="B124" s="127" t="s">
        <v>140</v>
      </c>
      <c r="C124" s="128">
        <f t="shared" si="9"/>
        <v>120</v>
      </c>
      <c r="D124" s="134"/>
      <c r="E124" s="283"/>
      <c r="F124" s="279">
        <f t="shared" si="10"/>
        <v>0</v>
      </c>
      <c r="G124" s="134"/>
      <c r="H124" s="135"/>
      <c r="I124" s="136">
        <f t="shared" si="11"/>
        <v>0</v>
      </c>
      <c r="J124" s="134">
        <v>120</v>
      </c>
      <c r="K124" s="135"/>
      <c r="L124" s="136">
        <f t="shared" si="12"/>
        <v>120</v>
      </c>
      <c r="M124" s="284"/>
      <c r="N124" s="285"/>
      <c r="O124" s="136">
        <f t="shared" si="13"/>
        <v>0</v>
      </c>
      <c r="P124" s="85"/>
      <c r="R124" s="53"/>
      <c r="S124" s="53"/>
      <c r="T124" s="53"/>
    </row>
    <row r="125" spans="1:20" x14ac:dyDescent="0.25">
      <c r="A125" s="276">
        <v>2270</v>
      </c>
      <c r="B125" s="127" t="s">
        <v>141</v>
      </c>
      <c r="C125" s="128">
        <f t="shared" si="9"/>
        <v>1026</v>
      </c>
      <c r="D125" s="277">
        <f>SUM(D126:D130)</f>
        <v>600</v>
      </c>
      <c r="E125" s="278">
        <f>SUM(E126:E130)</f>
        <v>0</v>
      </c>
      <c r="F125" s="279">
        <f t="shared" si="10"/>
        <v>600</v>
      </c>
      <c r="G125" s="277">
        <f>SUM(G126:G130)</f>
        <v>0</v>
      </c>
      <c r="H125" s="280">
        <f>SUM(H126:H130)</f>
        <v>0</v>
      </c>
      <c r="I125" s="136">
        <f t="shared" si="11"/>
        <v>0</v>
      </c>
      <c r="J125" s="277">
        <f>SUM(J126:J130)</f>
        <v>426</v>
      </c>
      <c r="K125" s="280">
        <f>SUM(K126:K130)</f>
        <v>0</v>
      </c>
      <c r="L125" s="136">
        <f t="shared" si="12"/>
        <v>426</v>
      </c>
      <c r="M125" s="281">
        <f>SUM(M126:M130)</f>
        <v>0</v>
      </c>
      <c r="N125" s="282">
        <f>SUM(N126:N130)</f>
        <v>0</v>
      </c>
      <c r="O125" s="136">
        <f t="shared" si="13"/>
        <v>0</v>
      </c>
      <c r="P125" s="85"/>
      <c r="R125" s="53"/>
      <c r="S125" s="53"/>
      <c r="T125" s="53"/>
    </row>
    <row r="126" spans="1:20" hidden="1" x14ac:dyDescent="0.25">
      <c r="A126" s="76">
        <v>2272</v>
      </c>
      <c r="B126" s="5" t="s">
        <v>142</v>
      </c>
      <c r="C126" s="128">
        <f t="shared" si="9"/>
        <v>0</v>
      </c>
      <c r="D126" s="134"/>
      <c r="E126" s="285"/>
      <c r="F126" s="286">
        <f t="shared" si="10"/>
        <v>0</v>
      </c>
      <c r="G126" s="134"/>
      <c r="H126" s="135"/>
      <c r="I126" s="136">
        <f t="shared" si="11"/>
        <v>0</v>
      </c>
      <c r="J126" s="134"/>
      <c r="K126" s="135"/>
      <c r="L126" s="136">
        <f t="shared" si="12"/>
        <v>0</v>
      </c>
      <c r="M126" s="284"/>
      <c r="N126" s="285"/>
      <c r="O126" s="136">
        <f t="shared" si="13"/>
        <v>0</v>
      </c>
      <c r="P126" s="85"/>
      <c r="R126" s="53"/>
      <c r="S126" s="53"/>
      <c r="T126" s="53"/>
    </row>
    <row r="127" spans="1:20" ht="24" x14ac:dyDescent="0.25">
      <c r="A127" s="76">
        <v>2275</v>
      </c>
      <c r="B127" s="127" t="s">
        <v>143</v>
      </c>
      <c r="C127" s="128">
        <f t="shared" si="9"/>
        <v>426</v>
      </c>
      <c r="D127" s="134"/>
      <c r="E127" s="283"/>
      <c r="F127" s="279">
        <f t="shared" si="10"/>
        <v>0</v>
      </c>
      <c r="G127" s="134"/>
      <c r="H127" s="135"/>
      <c r="I127" s="136">
        <f t="shared" si="11"/>
        <v>0</v>
      </c>
      <c r="J127" s="134">
        <v>426</v>
      </c>
      <c r="K127" s="135"/>
      <c r="L127" s="136">
        <f t="shared" si="12"/>
        <v>426</v>
      </c>
      <c r="M127" s="284"/>
      <c r="N127" s="285"/>
      <c r="O127" s="136">
        <f t="shared" si="13"/>
        <v>0</v>
      </c>
      <c r="P127" s="85"/>
      <c r="R127" s="53"/>
      <c r="S127" s="53"/>
      <c r="T127" s="53"/>
    </row>
    <row r="128" spans="1:20" ht="36" hidden="1" x14ac:dyDescent="0.25">
      <c r="A128" s="76">
        <v>2276</v>
      </c>
      <c r="B128" s="127" t="s">
        <v>144</v>
      </c>
      <c r="C128" s="128">
        <f t="shared" si="9"/>
        <v>0</v>
      </c>
      <c r="D128" s="134"/>
      <c r="E128" s="285"/>
      <c r="F128" s="286">
        <f t="shared" si="10"/>
        <v>0</v>
      </c>
      <c r="G128" s="134"/>
      <c r="H128" s="135"/>
      <c r="I128" s="136">
        <f t="shared" si="11"/>
        <v>0</v>
      </c>
      <c r="J128" s="134"/>
      <c r="K128" s="135"/>
      <c r="L128" s="136">
        <f t="shared" si="12"/>
        <v>0</v>
      </c>
      <c r="M128" s="284"/>
      <c r="N128" s="285"/>
      <c r="O128" s="136">
        <f t="shared" si="13"/>
        <v>0</v>
      </c>
      <c r="P128" s="85"/>
      <c r="R128" s="53"/>
      <c r="S128" s="53"/>
      <c r="T128" s="53"/>
    </row>
    <row r="129" spans="1:20" ht="24" hidden="1" x14ac:dyDescent="0.25">
      <c r="A129" s="76">
        <v>2278</v>
      </c>
      <c r="B129" s="127" t="s">
        <v>145</v>
      </c>
      <c r="C129" s="128">
        <f t="shared" si="9"/>
        <v>0</v>
      </c>
      <c r="D129" s="134"/>
      <c r="E129" s="285"/>
      <c r="F129" s="286">
        <f t="shared" si="10"/>
        <v>0</v>
      </c>
      <c r="G129" s="134"/>
      <c r="H129" s="135"/>
      <c r="I129" s="136">
        <f t="shared" si="11"/>
        <v>0</v>
      </c>
      <c r="J129" s="134"/>
      <c r="K129" s="135"/>
      <c r="L129" s="136">
        <f t="shared" si="12"/>
        <v>0</v>
      </c>
      <c r="M129" s="284"/>
      <c r="N129" s="285"/>
      <c r="O129" s="136">
        <f t="shared" si="13"/>
        <v>0</v>
      </c>
      <c r="P129" s="85"/>
      <c r="R129" s="53"/>
      <c r="S129" s="53"/>
      <c r="T129" s="53"/>
    </row>
    <row r="130" spans="1:20" ht="24" x14ac:dyDescent="0.25">
      <c r="A130" s="76">
        <v>2279</v>
      </c>
      <c r="B130" s="127" t="s">
        <v>146</v>
      </c>
      <c r="C130" s="128">
        <f t="shared" si="9"/>
        <v>600</v>
      </c>
      <c r="D130" s="134">
        <v>600</v>
      </c>
      <c r="E130" s="283"/>
      <c r="F130" s="279">
        <f t="shared" si="10"/>
        <v>600</v>
      </c>
      <c r="G130" s="134"/>
      <c r="H130" s="135"/>
      <c r="I130" s="136">
        <f t="shared" si="11"/>
        <v>0</v>
      </c>
      <c r="J130" s="134"/>
      <c r="K130" s="135"/>
      <c r="L130" s="136">
        <f t="shared" si="12"/>
        <v>0</v>
      </c>
      <c r="M130" s="284"/>
      <c r="N130" s="285"/>
      <c r="O130" s="136">
        <f t="shared" si="13"/>
        <v>0</v>
      </c>
      <c r="P130" s="85"/>
      <c r="R130" s="53"/>
      <c r="S130" s="53"/>
      <c r="T130" s="53"/>
    </row>
    <row r="131" spans="1:20" ht="24" hidden="1" x14ac:dyDescent="0.25">
      <c r="A131" s="656">
        <v>2280</v>
      </c>
      <c r="B131" s="116" t="s">
        <v>147</v>
      </c>
      <c r="C131" s="128">
        <f t="shared" si="9"/>
        <v>0</v>
      </c>
      <c r="D131" s="297">
        <f t="shared" ref="D131:N131" si="14">SUM(D132)</f>
        <v>0</v>
      </c>
      <c r="E131" s="301">
        <f t="shared" si="14"/>
        <v>0</v>
      </c>
      <c r="F131" s="263">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c r="R131" s="53"/>
      <c r="S131" s="53"/>
      <c r="T131" s="53"/>
    </row>
    <row r="132" spans="1:20" ht="24" hidden="1" x14ac:dyDescent="0.25">
      <c r="A132" s="76">
        <v>2283</v>
      </c>
      <c r="B132" s="127" t="s">
        <v>148</v>
      </c>
      <c r="C132" s="128">
        <f t="shared" si="9"/>
        <v>0</v>
      </c>
      <c r="D132" s="134"/>
      <c r="E132" s="285"/>
      <c r="F132" s="286">
        <f t="shared" si="10"/>
        <v>0</v>
      </c>
      <c r="G132" s="134"/>
      <c r="H132" s="135"/>
      <c r="I132" s="136">
        <f t="shared" si="11"/>
        <v>0</v>
      </c>
      <c r="J132" s="134"/>
      <c r="K132" s="135"/>
      <c r="L132" s="136">
        <f t="shared" si="12"/>
        <v>0</v>
      </c>
      <c r="M132" s="284"/>
      <c r="N132" s="285"/>
      <c r="O132" s="136">
        <f t="shared" si="13"/>
        <v>0</v>
      </c>
      <c r="P132" s="85"/>
      <c r="R132" s="53"/>
      <c r="S132" s="53"/>
      <c r="T132" s="53"/>
    </row>
    <row r="133" spans="1:20" ht="36" x14ac:dyDescent="0.25">
      <c r="A133" s="99">
        <v>2300</v>
      </c>
      <c r="B133" s="247" t="s">
        <v>149</v>
      </c>
      <c r="C133" s="100">
        <f t="shared" si="9"/>
        <v>65060</v>
      </c>
      <c r="D133" s="112">
        <f>SUM(D134,D139,D143,D144,D147,D154,D162,D163,D166)</f>
        <v>46957</v>
      </c>
      <c r="E133" s="248">
        <f>SUM(E134,E139,E143,E144,E147,E154,E162,E163,E166)</f>
        <v>0</v>
      </c>
      <c r="F133" s="249">
        <f t="shared" si="10"/>
        <v>46957</v>
      </c>
      <c r="G133" s="112">
        <f>SUM(G134,G139,G143,G144,G147,G154,G162,G163,G166)</f>
        <v>8000</v>
      </c>
      <c r="H133" s="113">
        <f>SUM(H134,H139,H143,H144,H147,H154,H162,H163,H166)</f>
        <v>0</v>
      </c>
      <c r="I133" s="114">
        <f t="shared" si="11"/>
        <v>8000</v>
      </c>
      <c r="J133" s="112">
        <f>SUM(J134,J139,J143,J144,J147,J154,J162,J163,J166)</f>
        <v>10103</v>
      </c>
      <c r="K133" s="113">
        <f>SUM(K134,K139,K143,K144,K147,K154,K162,K163,K166)</f>
        <v>0</v>
      </c>
      <c r="L133" s="114">
        <f t="shared" si="12"/>
        <v>10103</v>
      </c>
      <c r="M133" s="292">
        <f>SUM(M134,M139,M143,M144,M147,M154,M162,M163,M166)</f>
        <v>0</v>
      </c>
      <c r="N133" s="293">
        <f>SUM(N134,N139,N143,N144,N147,N154,N162,N163,N166)</f>
        <v>0</v>
      </c>
      <c r="O133" s="114">
        <f t="shared" si="13"/>
        <v>0</v>
      </c>
      <c r="P133" s="109"/>
      <c r="R133" s="53"/>
      <c r="S133" s="53"/>
      <c r="T133" s="53"/>
    </row>
    <row r="134" spans="1:20" ht="24" x14ac:dyDescent="0.25">
      <c r="A134" s="656">
        <v>2310</v>
      </c>
      <c r="B134" s="116" t="s">
        <v>150</v>
      </c>
      <c r="C134" s="117">
        <f t="shared" si="9"/>
        <v>20292</v>
      </c>
      <c r="D134" s="308">
        <f>SUM(D135:D138)</f>
        <v>19492</v>
      </c>
      <c r="E134" s="300">
        <f>SUM(E135:E138)</f>
        <v>0</v>
      </c>
      <c r="F134" s="296">
        <f t="shared" si="10"/>
        <v>19492</v>
      </c>
      <c r="G134" s="297">
        <f>SUM(G135:G138)</f>
        <v>0</v>
      </c>
      <c r="H134" s="299">
        <f>SUM(H135:H138)</f>
        <v>0</v>
      </c>
      <c r="I134" s="125">
        <f t="shared" si="11"/>
        <v>0</v>
      </c>
      <c r="J134" s="297">
        <f>SUM(J135:J138)</f>
        <v>800</v>
      </c>
      <c r="K134" s="299">
        <f>SUM(K135:K138)</f>
        <v>0</v>
      </c>
      <c r="L134" s="125">
        <f t="shared" si="12"/>
        <v>800</v>
      </c>
      <c r="M134" s="300">
        <f>SUM(M135:M138)</f>
        <v>0</v>
      </c>
      <c r="N134" s="301">
        <f>SUM(N135:N138)</f>
        <v>0</v>
      </c>
      <c r="O134" s="125">
        <f t="shared" si="13"/>
        <v>0</v>
      </c>
      <c r="P134" s="74"/>
      <c r="R134" s="53"/>
      <c r="S134" s="53"/>
      <c r="T134" s="53"/>
    </row>
    <row r="135" spans="1:20" x14ac:dyDescent="0.25">
      <c r="A135" s="76">
        <v>2311</v>
      </c>
      <c r="B135" s="127" t="s">
        <v>151</v>
      </c>
      <c r="C135" s="128">
        <f t="shared" si="9"/>
        <v>5142</v>
      </c>
      <c r="D135" s="134">
        <v>5142</v>
      </c>
      <c r="E135" s="283"/>
      <c r="F135" s="279">
        <f t="shared" si="10"/>
        <v>5142</v>
      </c>
      <c r="G135" s="134"/>
      <c r="H135" s="135"/>
      <c r="I135" s="136">
        <f t="shared" si="11"/>
        <v>0</v>
      </c>
      <c r="J135" s="134"/>
      <c r="K135" s="135"/>
      <c r="L135" s="136">
        <f t="shared" si="12"/>
        <v>0</v>
      </c>
      <c r="M135" s="284"/>
      <c r="N135" s="285"/>
      <c r="O135" s="136">
        <f t="shared" si="13"/>
        <v>0</v>
      </c>
      <c r="P135" s="85"/>
      <c r="R135" s="53"/>
      <c r="S135" s="53"/>
      <c r="T135" s="53"/>
    </row>
    <row r="136" spans="1:20" x14ac:dyDescent="0.25">
      <c r="A136" s="76">
        <v>2312</v>
      </c>
      <c r="B136" s="127" t="s">
        <v>152</v>
      </c>
      <c r="C136" s="128">
        <f t="shared" si="9"/>
        <v>14650</v>
      </c>
      <c r="D136" s="134">
        <v>13850</v>
      </c>
      <c r="E136" s="283"/>
      <c r="F136" s="279">
        <f t="shared" si="10"/>
        <v>13850</v>
      </c>
      <c r="G136" s="134"/>
      <c r="H136" s="135"/>
      <c r="I136" s="136">
        <f t="shared" si="11"/>
        <v>0</v>
      </c>
      <c r="J136" s="134">
        <v>800</v>
      </c>
      <c r="K136" s="135"/>
      <c r="L136" s="136">
        <f t="shared" si="12"/>
        <v>800</v>
      </c>
      <c r="M136" s="284"/>
      <c r="N136" s="285"/>
      <c r="O136" s="136">
        <f t="shared" si="13"/>
        <v>0</v>
      </c>
      <c r="P136" s="85"/>
      <c r="R136" s="53"/>
      <c r="S136" s="53"/>
      <c r="T136" s="53"/>
    </row>
    <row r="137" spans="1:20" hidden="1" x14ac:dyDescent="0.25">
      <c r="A137" s="76">
        <v>2313</v>
      </c>
      <c r="B137" s="127" t="s">
        <v>153</v>
      </c>
      <c r="C137" s="128">
        <f t="shared" si="9"/>
        <v>0</v>
      </c>
      <c r="D137" s="134"/>
      <c r="E137" s="285"/>
      <c r="F137" s="286">
        <f t="shared" si="10"/>
        <v>0</v>
      </c>
      <c r="G137" s="134"/>
      <c r="H137" s="135"/>
      <c r="I137" s="136">
        <f t="shared" si="11"/>
        <v>0</v>
      </c>
      <c r="J137" s="134"/>
      <c r="K137" s="135"/>
      <c r="L137" s="136">
        <f t="shared" si="12"/>
        <v>0</v>
      </c>
      <c r="M137" s="284"/>
      <c r="N137" s="285"/>
      <c r="O137" s="136">
        <f t="shared" si="13"/>
        <v>0</v>
      </c>
      <c r="P137" s="85"/>
      <c r="R137" s="53"/>
      <c r="S137" s="53"/>
      <c r="T137" s="53"/>
    </row>
    <row r="138" spans="1:20" ht="36" x14ac:dyDescent="0.25">
      <c r="A138" s="76">
        <v>2314</v>
      </c>
      <c r="B138" s="127" t="s">
        <v>154</v>
      </c>
      <c r="C138" s="128">
        <f t="shared" si="9"/>
        <v>500</v>
      </c>
      <c r="D138" s="134">
        <v>500</v>
      </c>
      <c r="E138" s="283"/>
      <c r="F138" s="279">
        <f t="shared" si="10"/>
        <v>500</v>
      </c>
      <c r="G138" s="134"/>
      <c r="H138" s="135"/>
      <c r="I138" s="136">
        <f t="shared" si="11"/>
        <v>0</v>
      </c>
      <c r="J138" s="134"/>
      <c r="K138" s="135"/>
      <c r="L138" s="136">
        <f t="shared" si="12"/>
        <v>0</v>
      </c>
      <c r="M138" s="284"/>
      <c r="N138" s="285"/>
      <c r="O138" s="136">
        <f t="shared" si="13"/>
        <v>0</v>
      </c>
      <c r="P138" s="85"/>
      <c r="R138" s="53"/>
      <c r="S138" s="53"/>
      <c r="T138" s="53"/>
    </row>
    <row r="139" spans="1:20" x14ac:dyDescent="0.25">
      <c r="A139" s="276">
        <v>2320</v>
      </c>
      <c r="B139" s="127" t="s">
        <v>155</v>
      </c>
      <c r="C139" s="128">
        <f t="shared" si="9"/>
        <v>3282</v>
      </c>
      <c r="D139" s="277">
        <f>SUM(D140:D142)</f>
        <v>292</v>
      </c>
      <c r="E139" s="278">
        <f>SUM(E140:E142)</f>
        <v>0</v>
      </c>
      <c r="F139" s="279">
        <f t="shared" si="10"/>
        <v>292</v>
      </c>
      <c r="G139" s="277">
        <f>SUM(G140:G142)</f>
        <v>0</v>
      </c>
      <c r="H139" s="280">
        <f>SUM(H140:H142)</f>
        <v>0</v>
      </c>
      <c r="I139" s="136">
        <f t="shared" si="11"/>
        <v>0</v>
      </c>
      <c r="J139" s="277">
        <f>SUM(J140:J142)</f>
        <v>2990</v>
      </c>
      <c r="K139" s="280">
        <f>SUM(K140:K142)</f>
        <v>0</v>
      </c>
      <c r="L139" s="136">
        <f t="shared" si="12"/>
        <v>2990</v>
      </c>
      <c r="M139" s="281">
        <f>SUM(M140:M142)</f>
        <v>0</v>
      </c>
      <c r="N139" s="282">
        <f>SUM(N140:N142)</f>
        <v>0</v>
      </c>
      <c r="O139" s="136">
        <f t="shared" si="13"/>
        <v>0</v>
      </c>
      <c r="P139" s="85"/>
      <c r="R139" s="53"/>
      <c r="S139" s="53"/>
      <c r="T139" s="53"/>
    </row>
    <row r="140" spans="1:20" hidden="1" x14ac:dyDescent="0.25">
      <c r="A140" s="76">
        <v>2321</v>
      </c>
      <c r="B140" s="127" t="s">
        <v>156</v>
      </c>
      <c r="C140" s="128">
        <f t="shared" si="9"/>
        <v>0</v>
      </c>
      <c r="D140" s="134"/>
      <c r="E140" s="285"/>
      <c r="F140" s="286">
        <f t="shared" si="10"/>
        <v>0</v>
      </c>
      <c r="G140" s="134"/>
      <c r="H140" s="135"/>
      <c r="I140" s="136">
        <f t="shared" si="11"/>
        <v>0</v>
      </c>
      <c r="J140" s="134"/>
      <c r="K140" s="135"/>
      <c r="L140" s="136">
        <f t="shared" si="12"/>
        <v>0</v>
      </c>
      <c r="M140" s="284"/>
      <c r="N140" s="285"/>
      <c r="O140" s="136">
        <f t="shared" si="13"/>
        <v>0</v>
      </c>
      <c r="P140" s="85"/>
      <c r="R140" s="53"/>
      <c r="S140" s="53"/>
      <c r="T140" s="53"/>
    </row>
    <row r="141" spans="1:20" x14ac:dyDescent="0.25">
      <c r="A141" s="76">
        <v>2322</v>
      </c>
      <c r="B141" s="127" t="s">
        <v>157</v>
      </c>
      <c r="C141" s="128">
        <f t="shared" si="9"/>
        <v>3282</v>
      </c>
      <c r="D141" s="134">
        <v>292</v>
      </c>
      <c r="E141" s="283"/>
      <c r="F141" s="279">
        <f t="shared" si="10"/>
        <v>292</v>
      </c>
      <c r="G141" s="134"/>
      <c r="H141" s="135"/>
      <c r="I141" s="136">
        <f t="shared" si="11"/>
        <v>0</v>
      </c>
      <c r="J141" s="134">
        <v>2990</v>
      </c>
      <c r="K141" s="135"/>
      <c r="L141" s="136">
        <f t="shared" si="12"/>
        <v>2990</v>
      </c>
      <c r="M141" s="284"/>
      <c r="N141" s="285"/>
      <c r="O141" s="136">
        <f t="shared" si="13"/>
        <v>0</v>
      </c>
      <c r="P141" s="85"/>
      <c r="R141" s="53"/>
      <c r="S141" s="53"/>
      <c r="T141" s="53"/>
    </row>
    <row r="142" spans="1:20" hidden="1" x14ac:dyDescent="0.25">
      <c r="A142" s="76">
        <v>2329</v>
      </c>
      <c r="B142" s="127" t="s">
        <v>158</v>
      </c>
      <c r="C142" s="128">
        <f t="shared" si="9"/>
        <v>0</v>
      </c>
      <c r="D142" s="134"/>
      <c r="E142" s="285"/>
      <c r="F142" s="286">
        <f t="shared" si="10"/>
        <v>0</v>
      </c>
      <c r="G142" s="134"/>
      <c r="H142" s="135"/>
      <c r="I142" s="136">
        <f t="shared" si="11"/>
        <v>0</v>
      </c>
      <c r="J142" s="134"/>
      <c r="K142" s="135"/>
      <c r="L142" s="136">
        <f t="shared" si="12"/>
        <v>0</v>
      </c>
      <c r="M142" s="284"/>
      <c r="N142" s="285"/>
      <c r="O142" s="136">
        <f t="shared" si="13"/>
        <v>0</v>
      </c>
      <c r="P142" s="85"/>
      <c r="R142" s="53"/>
      <c r="S142" s="53"/>
      <c r="T142" s="53"/>
    </row>
    <row r="143" spans="1:20" hidden="1" x14ac:dyDescent="0.25">
      <c r="A143" s="276">
        <v>2330</v>
      </c>
      <c r="B143" s="127" t="s">
        <v>159</v>
      </c>
      <c r="C143" s="128">
        <f t="shared" si="9"/>
        <v>0</v>
      </c>
      <c r="D143" s="134"/>
      <c r="E143" s="285"/>
      <c r="F143" s="286">
        <f t="shared" si="10"/>
        <v>0</v>
      </c>
      <c r="G143" s="134"/>
      <c r="H143" s="135"/>
      <c r="I143" s="136">
        <f t="shared" si="11"/>
        <v>0</v>
      </c>
      <c r="J143" s="134"/>
      <c r="K143" s="135"/>
      <c r="L143" s="136">
        <f t="shared" si="12"/>
        <v>0</v>
      </c>
      <c r="M143" s="284"/>
      <c r="N143" s="285"/>
      <c r="O143" s="136">
        <f t="shared" si="13"/>
        <v>0</v>
      </c>
      <c r="P143" s="85"/>
      <c r="R143" s="53"/>
      <c r="S143" s="53"/>
      <c r="T143" s="53"/>
    </row>
    <row r="144" spans="1:20" ht="48" x14ac:dyDescent="0.25">
      <c r="A144" s="276">
        <v>2340</v>
      </c>
      <c r="B144" s="127" t="s">
        <v>160</v>
      </c>
      <c r="C144" s="128">
        <f t="shared" si="9"/>
        <v>356</v>
      </c>
      <c r="D144" s="277">
        <f>SUM(D145:D146)</f>
        <v>356</v>
      </c>
      <c r="E144" s="278">
        <f>SUM(E145:E146)</f>
        <v>0</v>
      </c>
      <c r="F144" s="279">
        <f t="shared" si="10"/>
        <v>356</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c r="R144" s="53"/>
      <c r="S144" s="53"/>
      <c r="T144" s="53"/>
    </row>
    <row r="145" spans="1:20" x14ac:dyDescent="0.25">
      <c r="A145" s="76">
        <v>2341</v>
      </c>
      <c r="B145" s="127" t="s">
        <v>161</v>
      </c>
      <c r="C145" s="128">
        <f t="shared" si="9"/>
        <v>356</v>
      </c>
      <c r="D145" s="134">
        <v>356</v>
      </c>
      <c r="E145" s="283"/>
      <c r="F145" s="279">
        <f t="shared" si="10"/>
        <v>356</v>
      </c>
      <c r="G145" s="134"/>
      <c r="H145" s="135"/>
      <c r="I145" s="136">
        <f t="shared" si="11"/>
        <v>0</v>
      </c>
      <c r="J145" s="134"/>
      <c r="K145" s="135"/>
      <c r="L145" s="136">
        <f t="shared" si="12"/>
        <v>0</v>
      </c>
      <c r="M145" s="284"/>
      <c r="N145" s="285"/>
      <c r="O145" s="136">
        <f t="shared" si="13"/>
        <v>0</v>
      </c>
      <c r="P145" s="85"/>
      <c r="R145" s="53"/>
      <c r="S145" s="53"/>
      <c r="T145" s="53"/>
    </row>
    <row r="146" spans="1:20" ht="24" hidden="1" x14ac:dyDescent="0.25">
      <c r="A146" s="76">
        <v>2344</v>
      </c>
      <c r="B146" s="127" t="s">
        <v>162</v>
      </c>
      <c r="C146" s="128">
        <f t="shared" si="9"/>
        <v>0</v>
      </c>
      <c r="D146" s="134"/>
      <c r="E146" s="285"/>
      <c r="F146" s="286">
        <f t="shared" si="10"/>
        <v>0</v>
      </c>
      <c r="G146" s="134"/>
      <c r="H146" s="135"/>
      <c r="I146" s="136">
        <f t="shared" si="11"/>
        <v>0</v>
      </c>
      <c r="J146" s="134"/>
      <c r="K146" s="135"/>
      <c r="L146" s="136">
        <f t="shared" si="12"/>
        <v>0</v>
      </c>
      <c r="M146" s="284"/>
      <c r="N146" s="285"/>
      <c r="O146" s="136">
        <f t="shared" si="13"/>
        <v>0</v>
      </c>
      <c r="P146" s="85"/>
      <c r="R146" s="53"/>
      <c r="S146" s="53"/>
      <c r="T146" s="53"/>
    </row>
    <row r="147" spans="1:20" ht="24" x14ac:dyDescent="0.25">
      <c r="A147" s="254">
        <v>2350</v>
      </c>
      <c r="B147" s="179" t="s">
        <v>163</v>
      </c>
      <c r="C147" s="128">
        <f t="shared" si="9"/>
        <v>9539</v>
      </c>
      <c r="D147" s="255">
        <f>SUM(D148:D153)</f>
        <v>3932</v>
      </c>
      <c r="E147" s="256">
        <f>SUM(E148:E153)</f>
        <v>0</v>
      </c>
      <c r="F147" s="257">
        <f t="shared" si="10"/>
        <v>3932</v>
      </c>
      <c r="G147" s="255">
        <f>SUM(G148:G153)</f>
        <v>0</v>
      </c>
      <c r="H147" s="258">
        <f>SUM(H148:H153)</f>
        <v>0</v>
      </c>
      <c r="I147" s="259">
        <f t="shared" si="11"/>
        <v>0</v>
      </c>
      <c r="J147" s="255">
        <f>SUM(J148:J153)</f>
        <v>5607</v>
      </c>
      <c r="K147" s="258">
        <f>SUM(K148:K153)</f>
        <v>0</v>
      </c>
      <c r="L147" s="259">
        <f t="shared" si="12"/>
        <v>5607</v>
      </c>
      <c r="M147" s="260">
        <f>SUM(M148:M153)</f>
        <v>0</v>
      </c>
      <c r="N147" s="261">
        <f>SUM(N148:N153)</f>
        <v>0</v>
      </c>
      <c r="O147" s="259">
        <f t="shared" si="13"/>
        <v>0</v>
      </c>
      <c r="P147" s="189"/>
      <c r="R147" s="53"/>
      <c r="S147" s="53"/>
      <c r="T147" s="53"/>
    </row>
    <row r="148" spans="1:20" x14ac:dyDescent="0.25">
      <c r="A148" s="66">
        <v>2351</v>
      </c>
      <c r="B148" s="116" t="s">
        <v>164</v>
      </c>
      <c r="C148" s="128">
        <f t="shared" si="9"/>
        <v>1997</v>
      </c>
      <c r="D148" s="123">
        <v>997</v>
      </c>
      <c r="E148" s="295"/>
      <c r="F148" s="296">
        <f t="shared" si="10"/>
        <v>997</v>
      </c>
      <c r="G148" s="123"/>
      <c r="H148" s="124"/>
      <c r="I148" s="125">
        <f t="shared" si="11"/>
        <v>0</v>
      </c>
      <c r="J148" s="123">
        <v>1000</v>
      </c>
      <c r="K148" s="124"/>
      <c r="L148" s="125">
        <f t="shared" si="12"/>
        <v>1000</v>
      </c>
      <c r="M148" s="264"/>
      <c r="N148" s="262"/>
      <c r="O148" s="125">
        <f t="shared" si="13"/>
        <v>0</v>
      </c>
      <c r="P148" s="74"/>
      <c r="R148" s="53"/>
      <c r="S148" s="53"/>
      <c r="T148" s="53"/>
    </row>
    <row r="149" spans="1:20" x14ac:dyDescent="0.25">
      <c r="A149" s="76">
        <v>2352</v>
      </c>
      <c r="B149" s="127" t="s">
        <v>165</v>
      </c>
      <c r="C149" s="128">
        <f t="shared" si="9"/>
        <v>5481</v>
      </c>
      <c r="D149" s="134">
        <v>1781</v>
      </c>
      <c r="E149" s="283"/>
      <c r="F149" s="279">
        <f t="shared" si="10"/>
        <v>1781</v>
      </c>
      <c r="G149" s="134"/>
      <c r="H149" s="135"/>
      <c r="I149" s="136">
        <f t="shared" si="11"/>
        <v>0</v>
      </c>
      <c r="J149" s="134">
        <v>3700</v>
      </c>
      <c r="K149" s="135"/>
      <c r="L149" s="136">
        <f t="shared" si="12"/>
        <v>3700</v>
      </c>
      <c r="M149" s="284"/>
      <c r="N149" s="285"/>
      <c r="O149" s="136">
        <f t="shared" si="13"/>
        <v>0</v>
      </c>
      <c r="P149" s="85"/>
      <c r="R149" s="53"/>
      <c r="S149" s="53"/>
      <c r="T149" s="53"/>
    </row>
    <row r="150" spans="1:20" ht="24" x14ac:dyDescent="0.25">
      <c r="A150" s="76">
        <v>2353</v>
      </c>
      <c r="B150" s="127" t="s">
        <v>166</v>
      </c>
      <c r="C150" s="128">
        <f t="shared" si="9"/>
        <v>1761</v>
      </c>
      <c r="D150" s="134">
        <v>854</v>
      </c>
      <c r="E150" s="283"/>
      <c r="F150" s="279">
        <f t="shared" si="10"/>
        <v>854</v>
      </c>
      <c r="G150" s="134"/>
      <c r="H150" s="135"/>
      <c r="I150" s="136">
        <f t="shared" si="11"/>
        <v>0</v>
      </c>
      <c r="J150" s="134">
        <v>907</v>
      </c>
      <c r="K150" s="135"/>
      <c r="L150" s="136">
        <f t="shared" si="12"/>
        <v>907</v>
      </c>
      <c r="M150" s="284"/>
      <c r="N150" s="285"/>
      <c r="O150" s="136">
        <f t="shared" si="13"/>
        <v>0</v>
      </c>
      <c r="P150" s="85"/>
      <c r="R150" s="53"/>
      <c r="S150" s="53"/>
      <c r="T150" s="53"/>
    </row>
    <row r="151" spans="1:20" ht="24" hidden="1" x14ac:dyDescent="0.25">
      <c r="A151" s="76">
        <v>2354</v>
      </c>
      <c r="B151" s="127" t="s">
        <v>167</v>
      </c>
      <c r="C151" s="128">
        <f t="shared" si="9"/>
        <v>0</v>
      </c>
      <c r="D151" s="134"/>
      <c r="E151" s="285"/>
      <c r="F151" s="286">
        <f t="shared" si="10"/>
        <v>0</v>
      </c>
      <c r="G151" s="134"/>
      <c r="H151" s="135"/>
      <c r="I151" s="136">
        <f t="shared" si="11"/>
        <v>0</v>
      </c>
      <c r="J151" s="134"/>
      <c r="K151" s="135"/>
      <c r="L151" s="136">
        <f t="shared" si="12"/>
        <v>0</v>
      </c>
      <c r="M151" s="284"/>
      <c r="N151" s="285"/>
      <c r="O151" s="136">
        <f t="shared" si="13"/>
        <v>0</v>
      </c>
      <c r="P151" s="85"/>
      <c r="R151" s="53"/>
      <c r="S151" s="53"/>
      <c r="T151" s="53"/>
    </row>
    <row r="152" spans="1:20" ht="24" x14ac:dyDescent="0.25">
      <c r="A152" s="76">
        <v>2355</v>
      </c>
      <c r="B152" s="127" t="s">
        <v>168</v>
      </c>
      <c r="C152" s="128">
        <f t="shared" si="9"/>
        <v>300</v>
      </c>
      <c r="D152" s="134">
        <v>300</v>
      </c>
      <c r="E152" s="283"/>
      <c r="F152" s="279">
        <f t="shared" si="10"/>
        <v>300</v>
      </c>
      <c r="G152" s="134"/>
      <c r="H152" s="135"/>
      <c r="I152" s="136">
        <f t="shared" si="11"/>
        <v>0</v>
      </c>
      <c r="J152" s="134"/>
      <c r="K152" s="135"/>
      <c r="L152" s="136">
        <f t="shared" si="12"/>
        <v>0</v>
      </c>
      <c r="M152" s="284"/>
      <c r="N152" s="285"/>
      <c r="O152" s="136">
        <f t="shared" si="13"/>
        <v>0</v>
      </c>
      <c r="P152" s="85"/>
      <c r="R152" s="53"/>
      <c r="S152" s="53"/>
      <c r="T152" s="53"/>
    </row>
    <row r="153" spans="1:20" ht="24" hidden="1" x14ac:dyDescent="0.25">
      <c r="A153" s="76">
        <v>2359</v>
      </c>
      <c r="B153" s="127" t="s">
        <v>169</v>
      </c>
      <c r="C153" s="128">
        <f t="shared" si="9"/>
        <v>0</v>
      </c>
      <c r="D153" s="134"/>
      <c r="E153" s="285"/>
      <c r="F153" s="286">
        <f t="shared" si="10"/>
        <v>0</v>
      </c>
      <c r="G153" s="134"/>
      <c r="H153" s="135"/>
      <c r="I153" s="136">
        <f t="shared" si="11"/>
        <v>0</v>
      </c>
      <c r="J153" s="134"/>
      <c r="K153" s="135"/>
      <c r="L153" s="136">
        <f t="shared" si="12"/>
        <v>0</v>
      </c>
      <c r="M153" s="284"/>
      <c r="N153" s="285"/>
      <c r="O153" s="136">
        <f t="shared" si="13"/>
        <v>0</v>
      </c>
      <c r="P153" s="85"/>
      <c r="R153" s="53"/>
      <c r="S153" s="53"/>
      <c r="T153" s="53"/>
    </row>
    <row r="154" spans="1:20" ht="24" x14ac:dyDescent="0.25">
      <c r="A154" s="276">
        <v>2360</v>
      </c>
      <c r="B154" s="127" t="s">
        <v>170</v>
      </c>
      <c r="C154" s="128">
        <f t="shared" si="9"/>
        <v>11400</v>
      </c>
      <c r="D154" s="277">
        <f>SUM(D155:D161)</f>
        <v>10694</v>
      </c>
      <c r="E154" s="278">
        <f>SUM(E155:E161)</f>
        <v>0</v>
      </c>
      <c r="F154" s="279">
        <f t="shared" si="10"/>
        <v>10694</v>
      </c>
      <c r="G154" s="277">
        <f>SUM(G155:G161)</f>
        <v>0</v>
      </c>
      <c r="H154" s="280">
        <f>SUM(H155:H161)</f>
        <v>0</v>
      </c>
      <c r="I154" s="136">
        <f t="shared" si="11"/>
        <v>0</v>
      </c>
      <c r="J154" s="277">
        <f>SUM(J155:J161)</f>
        <v>706</v>
      </c>
      <c r="K154" s="280">
        <f>SUM(K155:K161)</f>
        <v>0</v>
      </c>
      <c r="L154" s="136">
        <f t="shared" si="12"/>
        <v>706</v>
      </c>
      <c r="M154" s="281">
        <f>SUM(M155:M161)</f>
        <v>0</v>
      </c>
      <c r="N154" s="282">
        <f>SUM(N155:N161)</f>
        <v>0</v>
      </c>
      <c r="O154" s="136">
        <f t="shared" si="13"/>
        <v>0</v>
      </c>
      <c r="P154" s="85"/>
      <c r="R154" s="53"/>
      <c r="S154" s="53"/>
      <c r="T154" s="53"/>
    </row>
    <row r="155" spans="1:20" x14ac:dyDescent="0.25">
      <c r="A155" s="75">
        <v>2361</v>
      </c>
      <c r="B155" s="127" t="s">
        <v>171</v>
      </c>
      <c r="C155" s="128">
        <f t="shared" si="9"/>
        <v>3000</v>
      </c>
      <c r="D155" s="134">
        <v>2294</v>
      </c>
      <c r="E155" s="283"/>
      <c r="F155" s="279">
        <f t="shared" si="10"/>
        <v>2294</v>
      </c>
      <c r="G155" s="134"/>
      <c r="H155" s="135"/>
      <c r="I155" s="136">
        <f t="shared" si="11"/>
        <v>0</v>
      </c>
      <c r="J155" s="134">
        <v>706</v>
      </c>
      <c r="K155" s="135"/>
      <c r="L155" s="136">
        <f t="shared" si="12"/>
        <v>706</v>
      </c>
      <c r="M155" s="284"/>
      <c r="N155" s="285"/>
      <c r="O155" s="136">
        <f t="shared" si="13"/>
        <v>0</v>
      </c>
      <c r="P155" s="85"/>
      <c r="R155" s="53"/>
      <c r="S155" s="53"/>
      <c r="T155" s="53"/>
    </row>
    <row r="156" spans="1:20" ht="24" hidden="1" x14ac:dyDescent="0.25">
      <c r="A156" s="75">
        <v>2362</v>
      </c>
      <c r="B156" s="127" t="s">
        <v>172</v>
      </c>
      <c r="C156" s="128">
        <f t="shared" si="9"/>
        <v>0</v>
      </c>
      <c r="D156" s="134"/>
      <c r="E156" s="285"/>
      <c r="F156" s="286">
        <f t="shared" si="10"/>
        <v>0</v>
      </c>
      <c r="G156" s="134"/>
      <c r="H156" s="135"/>
      <c r="I156" s="136">
        <f t="shared" si="11"/>
        <v>0</v>
      </c>
      <c r="J156" s="134"/>
      <c r="K156" s="135"/>
      <c r="L156" s="136">
        <f t="shared" si="12"/>
        <v>0</v>
      </c>
      <c r="M156" s="284"/>
      <c r="N156" s="285"/>
      <c r="O156" s="136">
        <f t="shared" si="13"/>
        <v>0</v>
      </c>
      <c r="P156" s="85"/>
      <c r="R156" s="53"/>
      <c r="S156" s="53"/>
      <c r="T156" s="53"/>
    </row>
    <row r="157" spans="1:20" x14ac:dyDescent="0.25">
      <c r="A157" s="75">
        <v>2363</v>
      </c>
      <c r="B157" s="127" t="s">
        <v>173</v>
      </c>
      <c r="C157" s="128">
        <f t="shared" si="9"/>
        <v>8400</v>
      </c>
      <c r="D157" s="134">
        <v>8400</v>
      </c>
      <c r="E157" s="283"/>
      <c r="F157" s="279">
        <f t="shared" si="10"/>
        <v>8400</v>
      </c>
      <c r="G157" s="134"/>
      <c r="H157" s="135"/>
      <c r="I157" s="136">
        <f t="shared" si="11"/>
        <v>0</v>
      </c>
      <c r="J157" s="134"/>
      <c r="K157" s="135"/>
      <c r="L157" s="136">
        <f t="shared" si="12"/>
        <v>0</v>
      </c>
      <c r="M157" s="284"/>
      <c r="N157" s="285"/>
      <c r="O157" s="136">
        <f t="shared" si="13"/>
        <v>0</v>
      </c>
      <c r="P157" s="85"/>
      <c r="R157" s="53"/>
      <c r="S157" s="53"/>
      <c r="T157" s="53"/>
    </row>
    <row r="158" spans="1:20" hidden="1" x14ac:dyDescent="0.25">
      <c r="A158" s="75">
        <v>2364</v>
      </c>
      <c r="B158" s="127" t="s">
        <v>174</v>
      </c>
      <c r="C158" s="128">
        <f t="shared" si="9"/>
        <v>0</v>
      </c>
      <c r="D158" s="134"/>
      <c r="E158" s="285"/>
      <c r="F158" s="286">
        <f t="shared" si="10"/>
        <v>0</v>
      </c>
      <c r="G158" s="134"/>
      <c r="H158" s="135"/>
      <c r="I158" s="136">
        <f t="shared" si="11"/>
        <v>0</v>
      </c>
      <c r="J158" s="134"/>
      <c r="K158" s="135"/>
      <c r="L158" s="136">
        <f t="shared" si="12"/>
        <v>0</v>
      </c>
      <c r="M158" s="284"/>
      <c r="N158" s="285"/>
      <c r="O158" s="136">
        <f t="shared" si="13"/>
        <v>0</v>
      </c>
      <c r="P158" s="85"/>
      <c r="R158" s="53"/>
      <c r="S158" s="53"/>
      <c r="T158" s="53"/>
    </row>
    <row r="159" spans="1:20" hidden="1" x14ac:dyDescent="0.25">
      <c r="A159" s="75">
        <v>2365</v>
      </c>
      <c r="B159" s="127" t="s">
        <v>175</v>
      </c>
      <c r="C159" s="128">
        <f t="shared" si="9"/>
        <v>0</v>
      </c>
      <c r="D159" s="134"/>
      <c r="E159" s="285"/>
      <c r="F159" s="286">
        <f t="shared" si="10"/>
        <v>0</v>
      </c>
      <c r="G159" s="134"/>
      <c r="H159" s="135"/>
      <c r="I159" s="136">
        <f t="shared" si="11"/>
        <v>0</v>
      </c>
      <c r="J159" s="134"/>
      <c r="K159" s="135"/>
      <c r="L159" s="136">
        <f t="shared" si="12"/>
        <v>0</v>
      </c>
      <c r="M159" s="284"/>
      <c r="N159" s="285"/>
      <c r="O159" s="136">
        <f t="shared" si="13"/>
        <v>0</v>
      </c>
      <c r="P159" s="85"/>
      <c r="R159" s="53"/>
      <c r="S159" s="53"/>
      <c r="T159" s="53"/>
    </row>
    <row r="160" spans="1:20" ht="36" hidden="1" x14ac:dyDescent="0.25">
      <c r="A160" s="75">
        <v>2366</v>
      </c>
      <c r="B160" s="127" t="s">
        <v>176</v>
      </c>
      <c r="C160" s="128">
        <f t="shared" si="9"/>
        <v>0</v>
      </c>
      <c r="D160" s="134"/>
      <c r="E160" s="285"/>
      <c r="F160" s="286">
        <f t="shared" si="10"/>
        <v>0</v>
      </c>
      <c r="G160" s="134"/>
      <c r="H160" s="135"/>
      <c r="I160" s="136">
        <f t="shared" si="11"/>
        <v>0</v>
      </c>
      <c r="J160" s="134"/>
      <c r="K160" s="135"/>
      <c r="L160" s="136">
        <f t="shared" si="12"/>
        <v>0</v>
      </c>
      <c r="M160" s="284"/>
      <c r="N160" s="285"/>
      <c r="O160" s="136">
        <f t="shared" si="13"/>
        <v>0</v>
      </c>
      <c r="P160" s="85"/>
      <c r="R160" s="53"/>
      <c r="S160" s="53"/>
      <c r="T160" s="53"/>
    </row>
    <row r="161" spans="1:20" ht="48" hidden="1" x14ac:dyDescent="0.25">
      <c r="A161" s="75">
        <v>2369</v>
      </c>
      <c r="B161" s="127" t="s">
        <v>177</v>
      </c>
      <c r="C161" s="128">
        <f t="shared" si="9"/>
        <v>0</v>
      </c>
      <c r="D161" s="134"/>
      <c r="E161" s="285"/>
      <c r="F161" s="286">
        <f t="shared" si="10"/>
        <v>0</v>
      </c>
      <c r="G161" s="134"/>
      <c r="H161" s="135"/>
      <c r="I161" s="136">
        <f t="shared" si="11"/>
        <v>0</v>
      </c>
      <c r="J161" s="134"/>
      <c r="K161" s="135"/>
      <c r="L161" s="136">
        <f t="shared" si="12"/>
        <v>0</v>
      </c>
      <c r="M161" s="284"/>
      <c r="N161" s="285"/>
      <c r="O161" s="136">
        <f t="shared" si="13"/>
        <v>0</v>
      </c>
      <c r="P161" s="85"/>
      <c r="R161" s="53"/>
      <c r="S161" s="53"/>
      <c r="T161" s="53"/>
    </row>
    <row r="162" spans="1:20" x14ac:dyDescent="0.25">
      <c r="A162" s="254">
        <v>2370</v>
      </c>
      <c r="B162" s="179" t="s">
        <v>178</v>
      </c>
      <c r="C162" s="128">
        <f t="shared" si="9"/>
        <v>20191</v>
      </c>
      <c r="D162" s="287">
        <v>12191</v>
      </c>
      <c r="E162" s="288"/>
      <c r="F162" s="257">
        <f t="shared" si="10"/>
        <v>12191</v>
      </c>
      <c r="G162" s="287">
        <v>8000</v>
      </c>
      <c r="H162" s="289"/>
      <c r="I162" s="259">
        <f t="shared" si="11"/>
        <v>8000</v>
      </c>
      <c r="J162" s="287"/>
      <c r="K162" s="289"/>
      <c r="L162" s="259">
        <f t="shared" si="12"/>
        <v>0</v>
      </c>
      <c r="M162" s="290"/>
      <c r="N162" s="291"/>
      <c r="O162" s="259">
        <f t="shared" si="13"/>
        <v>0</v>
      </c>
      <c r="P162" s="189"/>
      <c r="R162" s="53"/>
      <c r="S162" s="53"/>
      <c r="T162" s="53"/>
    </row>
    <row r="163" spans="1:20" hidden="1" x14ac:dyDescent="0.25">
      <c r="A163" s="254">
        <v>2380</v>
      </c>
      <c r="B163" s="179" t="s">
        <v>179</v>
      </c>
      <c r="C163" s="128">
        <f t="shared" si="9"/>
        <v>0</v>
      </c>
      <c r="D163" s="255">
        <f>SUM(D164:D165)</f>
        <v>0</v>
      </c>
      <c r="E163" s="261">
        <f>SUM(E164:E165)</f>
        <v>0</v>
      </c>
      <c r="F163" s="310">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c r="S163" s="53"/>
      <c r="T163" s="53"/>
    </row>
    <row r="164" spans="1:20" hidden="1" x14ac:dyDescent="0.25">
      <c r="A164" s="65">
        <v>2381</v>
      </c>
      <c r="B164" s="116" t="s">
        <v>180</v>
      </c>
      <c r="C164" s="128">
        <f t="shared" si="9"/>
        <v>0</v>
      </c>
      <c r="D164" s="123"/>
      <c r="E164" s="262"/>
      <c r="F164" s="263">
        <f t="shared" si="10"/>
        <v>0</v>
      </c>
      <c r="G164" s="123"/>
      <c r="H164" s="124"/>
      <c r="I164" s="125">
        <f t="shared" si="11"/>
        <v>0</v>
      </c>
      <c r="J164" s="123"/>
      <c r="K164" s="124"/>
      <c r="L164" s="125">
        <f t="shared" si="12"/>
        <v>0</v>
      </c>
      <c r="M164" s="264"/>
      <c r="N164" s="262"/>
      <c r="O164" s="125">
        <f t="shared" si="13"/>
        <v>0</v>
      </c>
      <c r="P164" s="74"/>
      <c r="R164" s="53"/>
      <c r="S164" s="53"/>
      <c r="T164" s="53"/>
    </row>
    <row r="165" spans="1:20" ht="24" hidden="1" x14ac:dyDescent="0.25">
      <c r="A165" s="75">
        <v>2389</v>
      </c>
      <c r="B165" s="127" t="s">
        <v>181</v>
      </c>
      <c r="C165" s="128">
        <f t="shared" si="9"/>
        <v>0</v>
      </c>
      <c r="D165" s="134"/>
      <c r="E165" s="285"/>
      <c r="F165" s="286">
        <f t="shared" si="10"/>
        <v>0</v>
      </c>
      <c r="G165" s="134"/>
      <c r="H165" s="135"/>
      <c r="I165" s="136">
        <f t="shared" si="11"/>
        <v>0</v>
      </c>
      <c r="J165" s="134"/>
      <c r="K165" s="135"/>
      <c r="L165" s="136">
        <f t="shared" si="12"/>
        <v>0</v>
      </c>
      <c r="M165" s="284"/>
      <c r="N165" s="285"/>
      <c r="O165" s="136">
        <f t="shared" si="13"/>
        <v>0</v>
      </c>
      <c r="P165" s="85"/>
      <c r="R165" s="53"/>
      <c r="S165" s="53"/>
      <c r="T165" s="53"/>
    </row>
    <row r="166" spans="1:20" hidden="1" x14ac:dyDescent="0.25">
      <c r="A166" s="254">
        <v>2390</v>
      </c>
      <c r="B166" s="179" t="s">
        <v>182</v>
      </c>
      <c r="C166" s="128">
        <f t="shared" si="9"/>
        <v>0</v>
      </c>
      <c r="D166" s="287"/>
      <c r="E166" s="291"/>
      <c r="F166" s="310">
        <f t="shared" si="10"/>
        <v>0</v>
      </c>
      <c r="G166" s="287"/>
      <c r="H166" s="289"/>
      <c r="I166" s="259">
        <f t="shared" si="11"/>
        <v>0</v>
      </c>
      <c r="J166" s="287"/>
      <c r="K166" s="289"/>
      <c r="L166" s="259">
        <f t="shared" si="12"/>
        <v>0</v>
      </c>
      <c r="M166" s="290"/>
      <c r="N166" s="291"/>
      <c r="O166" s="259">
        <f t="shared" si="13"/>
        <v>0</v>
      </c>
      <c r="P166" s="189"/>
      <c r="R166" s="53"/>
      <c r="S166" s="53"/>
      <c r="T166" s="53"/>
    </row>
    <row r="167" spans="1:20" hidden="1" x14ac:dyDescent="0.25">
      <c r="A167" s="99">
        <v>2400</v>
      </c>
      <c r="B167" s="247" t="s">
        <v>183</v>
      </c>
      <c r="C167" s="100">
        <f t="shared" si="9"/>
        <v>0</v>
      </c>
      <c r="D167" s="311"/>
      <c r="E167" s="312"/>
      <c r="F167" s="313">
        <f t="shared" si="10"/>
        <v>0</v>
      </c>
      <c r="G167" s="311"/>
      <c r="H167" s="314"/>
      <c r="I167" s="114">
        <f t="shared" si="11"/>
        <v>0</v>
      </c>
      <c r="J167" s="311"/>
      <c r="K167" s="314"/>
      <c r="L167" s="114">
        <f t="shared" si="12"/>
        <v>0</v>
      </c>
      <c r="M167" s="315"/>
      <c r="N167" s="312"/>
      <c r="O167" s="125">
        <f t="shared" si="13"/>
        <v>0</v>
      </c>
      <c r="P167" s="109"/>
      <c r="R167" s="53"/>
      <c r="S167" s="53"/>
      <c r="T167" s="53"/>
    </row>
    <row r="168" spans="1:20" ht="24" x14ac:dyDescent="0.25">
      <c r="A168" s="99">
        <v>2500</v>
      </c>
      <c r="B168" s="247" t="s">
        <v>184</v>
      </c>
      <c r="C168" s="100">
        <f t="shared" si="9"/>
        <v>237</v>
      </c>
      <c r="D168" s="112">
        <f>SUM(D169,D174)</f>
        <v>237</v>
      </c>
      <c r="E168" s="248">
        <f>SUM(E169,E174)</f>
        <v>0</v>
      </c>
      <c r="F168" s="249">
        <f t="shared" si="10"/>
        <v>237</v>
      </c>
      <c r="G168" s="112">
        <f>SUM(G169,G174)</f>
        <v>0</v>
      </c>
      <c r="H168" s="113">
        <f t="shared" ref="H168" si="17">SUM(H169,H174)</f>
        <v>0</v>
      </c>
      <c r="I168" s="114">
        <f t="shared" si="11"/>
        <v>0</v>
      </c>
      <c r="J168" s="112">
        <f>SUM(J169,J174)</f>
        <v>0</v>
      </c>
      <c r="K168" s="113">
        <f t="shared" ref="K168" si="18">SUM(K169,K174)</f>
        <v>0</v>
      </c>
      <c r="L168" s="114">
        <f t="shared" si="12"/>
        <v>0</v>
      </c>
      <c r="M168" s="250">
        <f t="shared" ref="M168:N168" si="19">SUM(M169,M174)</f>
        <v>0</v>
      </c>
      <c r="N168" s="251">
        <f t="shared" si="19"/>
        <v>0</v>
      </c>
      <c r="O168" s="316">
        <f t="shared" si="13"/>
        <v>0</v>
      </c>
      <c r="P168" s="253"/>
      <c r="R168" s="53"/>
      <c r="S168" s="53"/>
      <c r="T168" s="53"/>
    </row>
    <row r="169" spans="1:20" x14ac:dyDescent="0.25">
      <c r="A169" s="656">
        <v>2510</v>
      </c>
      <c r="B169" s="116" t="s">
        <v>185</v>
      </c>
      <c r="C169" s="117">
        <f t="shared" si="9"/>
        <v>237</v>
      </c>
      <c r="D169" s="297">
        <f>SUM(D170:D173)</f>
        <v>237</v>
      </c>
      <c r="E169" s="298">
        <f>SUM(E170:E173)</f>
        <v>0</v>
      </c>
      <c r="F169" s="296">
        <f t="shared" si="10"/>
        <v>237</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c r="R169" s="53"/>
      <c r="S169" s="53"/>
      <c r="T169" s="53"/>
    </row>
    <row r="170" spans="1:20" ht="24" hidden="1" x14ac:dyDescent="0.25">
      <c r="A170" s="76">
        <v>2512</v>
      </c>
      <c r="B170" s="127" t="s">
        <v>186</v>
      </c>
      <c r="C170" s="128">
        <f t="shared" si="9"/>
        <v>0</v>
      </c>
      <c r="D170" s="134"/>
      <c r="E170" s="285"/>
      <c r="F170" s="286">
        <f t="shared" si="10"/>
        <v>0</v>
      </c>
      <c r="G170" s="134"/>
      <c r="H170" s="135"/>
      <c r="I170" s="136">
        <f t="shared" si="11"/>
        <v>0</v>
      </c>
      <c r="J170" s="134"/>
      <c r="K170" s="135"/>
      <c r="L170" s="136">
        <f t="shared" si="12"/>
        <v>0</v>
      </c>
      <c r="M170" s="284"/>
      <c r="N170" s="285"/>
      <c r="O170" s="136">
        <f t="shared" si="13"/>
        <v>0</v>
      </c>
      <c r="P170" s="85"/>
      <c r="R170" s="53"/>
      <c r="S170" s="53"/>
      <c r="T170" s="53"/>
    </row>
    <row r="171" spans="1:20" ht="36" x14ac:dyDescent="0.25">
      <c r="A171" s="76">
        <v>2513</v>
      </c>
      <c r="B171" s="127" t="s">
        <v>187</v>
      </c>
      <c r="C171" s="128">
        <f t="shared" si="9"/>
        <v>237</v>
      </c>
      <c r="D171" s="134">
        <v>237</v>
      </c>
      <c r="E171" s="283"/>
      <c r="F171" s="279">
        <f t="shared" si="10"/>
        <v>237</v>
      </c>
      <c r="G171" s="134"/>
      <c r="H171" s="135"/>
      <c r="I171" s="136">
        <f t="shared" si="11"/>
        <v>0</v>
      </c>
      <c r="J171" s="134"/>
      <c r="K171" s="135"/>
      <c r="L171" s="136">
        <f t="shared" si="12"/>
        <v>0</v>
      </c>
      <c r="M171" s="284"/>
      <c r="N171" s="285"/>
      <c r="O171" s="136">
        <f t="shared" si="13"/>
        <v>0</v>
      </c>
      <c r="P171" s="85"/>
      <c r="R171" s="53"/>
      <c r="S171" s="53"/>
      <c r="T171" s="53"/>
    </row>
    <row r="172" spans="1:20" ht="24" hidden="1" x14ac:dyDescent="0.25">
      <c r="A172" s="76">
        <v>2515</v>
      </c>
      <c r="B172" s="127" t="s">
        <v>188</v>
      </c>
      <c r="C172" s="128">
        <f t="shared" si="9"/>
        <v>0</v>
      </c>
      <c r="D172" s="134"/>
      <c r="E172" s="285"/>
      <c r="F172" s="286">
        <f t="shared" si="10"/>
        <v>0</v>
      </c>
      <c r="G172" s="134"/>
      <c r="H172" s="135"/>
      <c r="I172" s="136">
        <f t="shared" si="11"/>
        <v>0</v>
      </c>
      <c r="J172" s="134"/>
      <c r="K172" s="135"/>
      <c r="L172" s="136">
        <f t="shared" si="12"/>
        <v>0</v>
      </c>
      <c r="M172" s="284"/>
      <c r="N172" s="285"/>
      <c r="O172" s="136">
        <f t="shared" si="13"/>
        <v>0</v>
      </c>
      <c r="P172" s="85"/>
      <c r="R172" s="53"/>
      <c r="S172" s="53"/>
      <c r="T172" s="53"/>
    </row>
    <row r="173" spans="1:20" ht="24" hidden="1" x14ac:dyDescent="0.25">
      <c r="A173" s="76">
        <v>2519</v>
      </c>
      <c r="B173" s="127" t="s">
        <v>189</v>
      </c>
      <c r="C173" s="128">
        <f t="shared" si="9"/>
        <v>0</v>
      </c>
      <c r="D173" s="134"/>
      <c r="E173" s="285"/>
      <c r="F173" s="286">
        <f t="shared" si="10"/>
        <v>0</v>
      </c>
      <c r="G173" s="134"/>
      <c r="H173" s="135"/>
      <c r="I173" s="136">
        <f t="shared" si="11"/>
        <v>0</v>
      </c>
      <c r="J173" s="134"/>
      <c r="K173" s="135"/>
      <c r="L173" s="136">
        <f t="shared" si="12"/>
        <v>0</v>
      </c>
      <c r="M173" s="284"/>
      <c r="N173" s="285"/>
      <c r="O173" s="136">
        <f t="shared" si="13"/>
        <v>0</v>
      </c>
      <c r="P173" s="85"/>
      <c r="R173" s="53"/>
      <c r="S173" s="53"/>
      <c r="T173" s="53"/>
    </row>
    <row r="174" spans="1:20" ht="24" hidden="1" x14ac:dyDescent="0.25">
      <c r="A174" s="276">
        <v>2520</v>
      </c>
      <c r="B174" s="127" t="s">
        <v>190</v>
      </c>
      <c r="C174" s="128">
        <f t="shared" si="9"/>
        <v>0</v>
      </c>
      <c r="D174" s="134"/>
      <c r="E174" s="285"/>
      <c r="F174" s="286">
        <f t="shared" si="10"/>
        <v>0</v>
      </c>
      <c r="G174" s="134"/>
      <c r="H174" s="135"/>
      <c r="I174" s="136">
        <f t="shared" si="11"/>
        <v>0</v>
      </c>
      <c r="J174" s="134"/>
      <c r="K174" s="135"/>
      <c r="L174" s="136">
        <f t="shared" si="12"/>
        <v>0</v>
      </c>
      <c r="M174" s="284"/>
      <c r="N174" s="285"/>
      <c r="O174" s="136">
        <f t="shared" si="13"/>
        <v>0</v>
      </c>
      <c r="P174" s="85"/>
      <c r="R174" s="53"/>
      <c r="S174" s="53"/>
      <c r="T174" s="53"/>
    </row>
    <row r="175" spans="1:20" s="319" customFormat="1" ht="48" hidden="1" x14ac:dyDescent="0.25">
      <c r="A175" s="31">
        <v>2800</v>
      </c>
      <c r="B175" s="116" t="s">
        <v>191</v>
      </c>
      <c r="C175" s="117">
        <f t="shared" si="9"/>
        <v>0</v>
      </c>
      <c r="D175" s="68"/>
      <c r="E175" s="69"/>
      <c r="F175" s="70">
        <f t="shared" si="10"/>
        <v>0</v>
      </c>
      <c r="G175" s="68"/>
      <c r="H175" s="71"/>
      <c r="I175" s="72">
        <f t="shared" si="11"/>
        <v>0</v>
      </c>
      <c r="J175" s="68"/>
      <c r="K175" s="71"/>
      <c r="L175" s="72">
        <f t="shared" si="12"/>
        <v>0</v>
      </c>
      <c r="M175" s="73"/>
      <c r="N175" s="69"/>
      <c r="O175" s="72">
        <f t="shared" si="13"/>
        <v>0</v>
      </c>
      <c r="P175" s="74"/>
      <c r="R175" s="53"/>
      <c r="S175" s="53"/>
      <c r="T175" s="53"/>
    </row>
    <row r="176" spans="1:20" hidden="1" x14ac:dyDescent="0.25">
      <c r="A176" s="237">
        <v>3000</v>
      </c>
      <c r="B176" s="237" t="s">
        <v>192</v>
      </c>
      <c r="C176" s="238">
        <f t="shared" si="9"/>
        <v>0</v>
      </c>
      <c r="D176" s="239">
        <f>SUM(D177,D187)</f>
        <v>0</v>
      </c>
      <c r="E176" s="245">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c r="S176" s="53"/>
      <c r="T176" s="53"/>
    </row>
    <row r="177" spans="1:20" ht="24" hidden="1" x14ac:dyDescent="0.25">
      <c r="A177" s="99">
        <v>3200</v>
      </c>
      <c r="B177" s="321" t="s">
        <v>193</v>
      </c>
      <c r="C177" s="100">
        <f t="shared" si="9"/>
        <v>0</v>
      </c>
      <c r="D177" s="112">
        <f>SUM(D178,D182)</f>
        <v>0</v>
      </c>
      <c r="E177" s="293">
        <f>SUM(E178,E182)</f>
        <v>0</v>
      </c>
      <c r="F177" s="313">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c r="R177" s="53"/>
      <c r="S177" s="53"/>
      <c r="T177" s="53"/>
    </row>
    <row r="178" spans="1:20" ht="36" hidden="1" x14ac:dyDescent="0.25">
      <c r="A178" s="656">
        <v>3260</v>
      </c>
      <c r="B178" s="116" t="s">
        <v>194</v>
      </c>
      <c r="C178" s="117">
        <f t="shared" si="9"/>
        <v>0</v>
      </c>
      <c r="D178" s="297">
        <f>SUM(D179:D181)</f>
        <v>0</v>
      </c>
      <c r="E178" s="301">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c r="S178" s="53"/>
      <c r="T178" s="53"/>
    </row>
    <row r="179" spans="1:20" ht="24" hidden="1" x14ac:dyDescent="0.25">
      <c r="A179" s="76">
        <v>3261</v>
      </c>
      <c r="B179" s="127" t="s">
        <v>195</v>
      </c>
      <c r="C179" s="128">
        <f t="shared" si="9"/>
        <v>0</v>
      </c>
      <c r="D179" s="134"/>
      <c r="E179" s="285"/>
      <c r="F179" s="286">
        <f t="shared" si="10"/>
        <v>0</v>
      </c>
      <c r="G179" s="134"/>
      <c r="H179" s="135"/>
      <c r="I179" s="136">
        <f t="shared" si="11"/>
        <v>0</v>
      </c>
      <c r="J179" s="134"/>
      <c r="K179" s="135"/>
      <c r="L179" s="136">
        <f t="shared" si="12"/>
        <v>0</v>
      </c>
      <c r="M179" s="284"/>
      <c r="N179" s="285"/>
      <c r="O179" s="136">
        <f t="shared" si="13"/>
        <v>0</v>
      </c>
      <c r="P179" s="85"/>
      <c r="R179" s="53"/>
      <c r="S179" s="53"/>
      <c r="T179" s="53"/>
    </row>
    <row r="180" spans="1:20" ht="36" hidden="1" x14ac:dyDescent="0.25">
      <c r="A180" s="76">
        <v>3262</v>
      </c>
      <c r="B180" s="127" t="s">
        <v>196</v>
      </c>
      <c r="C180" s="128">
        <f t="shared" si="9"/>
        <v>0</v>
      </c>
      <c r="D180" s="134"/>
      <c r="E180" s="285"/>
      <c r="F180" s="286">
        <f t="shared" si="10"/>
        <v>0</v>
      </c>
      <c r="G180" s="134"/>
      <c r="H180" s="135"/>
      <c r="I180" s="136">
        <f t="shared" si="11"/>
        <v>0</v>
      </c>
      <c r="J180" s="134"/>
      <c r="K180" s="135"/>
      <c r="L180" s="136">
        <f t="shared" si="12"/>
        <v>0</v>
      </c>
      <c r="M180" s="284"/>
      <c r="N180" s="285"/>
      <c r="O180" s="136">
        <f t="shared" si="13"/>
        <v>0</v>
      </c>
      <c r="P180" s="85"/>
      <c r="R180" s="53"/>
      <c r="S180" s="53"/>
      <c r="T180" s="53"/>
    </row>
    <row r="181" spans="1:20" ht="24" hidden="1" x14ac:dyDescent="0.25">
      <c r="A181" s="76">
        <v>3263</v>
      </c>
      <c r="B181" s="127" t="s">
        <v>197</v>
      </c>
      <c r="C181" s="128">
        <f t="shared" si="9"/>
        <v>0</v>
      </c>
      <c r="D181" s="134"/>
      <c r="E181" s="285"/>
      <c r="F181" s="286">
        <f t="shared" si="10"/>
        <v>0</v>
      </c>
      <c r="G181" s="134"/>
      <c r="H181" s="135"/>
      <c r="I181" s="136">
        <f t="shared" si="11"/>
        <v>0</v>
      </c>
      <c r="J181" s="134"/>
      <c r="K181" s="135"/>
      <c r="L181" s="136">
        <f t="shared" si="12"/>
        <v>0</v>
      </c>
      <c r="M181" s="284"/>
      <c r="N181" s="285"/>
      <c r="O181" s="136">
        <f t="shared" si="13"/>
        <v>0</v>
      </c>
      <c r="P181" s="85"/>
      <c r="R181" s="53"/>
      <c r="S181" s="53"/>
      <c r="T181" s="53"/>
    </row>
    <row r="182" spans="1:20" ht="84" hidden="1" x14ac:dyDescent="0.25">
      <c r="A182" s="656">
        <v>3290</v>
      </c>
      <c r="B182" s="116" t="s">
        <v>198</v>
      </c>
      <c r="C182" s="128">
        <f t="shared" ref="C182:C258" si="26">F182+I182+L182+O182</f>
        <v>0</v>
      </c>
      <c r="D182" s="297">
        <f>SUM(D183:D186)</f>
        <v>0</v>
      </c>
      <c r="E182" s="301">
        <f>SUM(E183:E186)</f>
        <v>0</v>
      </c>
      <c r="F182" s="263">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c r="R182" s="53"/>
      <c r="S182" s="53"/>
      <c r="T182" s="53"/>
    </row>
    <row r="183" spans="1:20" ht="72" hidden="1" x14ac:dyDescent="0.25">
      <c r="A183" s="76">
        <v>3291</v>
      </c>
      <c r="B183" s="127" t="s">
        <v>199</v>
      </c>
      <c r="C183" s="128">
        <f t="shared" si="26"/>
        <v>0</v>
      </c>
      <c r="D183" s="134"/>
      <c r="E183" s="285"/>
      <c r="F183" s="286">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c r="R183" s="53"/>
      <c r="S183" s="53"/>
      <c r="T183" s="53"/>
    </row>
    <row r="184" spans="1:20" ht="72" hidden="1" x14ac:dyDescent="0.25">
      <c r="A184" s="76">
        <v>3292</v>
      </c>
      <c r="B184" s="127" t="s">
        <v>200</v>
      </c>
      <c r="C184" s="128">
        <f t="shared" si="26"/>
        <v>0</v>
      </c>
      <c r="D184" s="134"/>
      <c r="E184" s="285"/>
      <c r="F184" s="286">
        <f t="shared" si="30"/>
        <v>0</v>
      </c>
      <c r="G184" s="134"/>
      <c r="H184" s="135"/>
      <c r="I184" s="136">
        <f t="shared" si="31"/>
        <v>0</v>
      </c>
      <c r="J184" s="134"/>
      <c r="K184" s="135"/>
      <c r="L184" s="136">
        <f t="shared" si="32"/>
        <v>0</v>
      </c>
      <c r="M184" s="284"/>
      <c r="N184" s="285"/>
      <c r="O184" s="136">
        <f t="shared" si="33"/>
        <v>0</v>
      </c>
      <c r="P184" s="85"/>
      <c r="R184" s="53"/>
      <c r="S184" s="53"/>
      <c r="T184" s="53"/>
    </row>
    <row r="185" spans="1:20" ht="72" hidden="1" x14ac:dyDescent="0.25">
      <c r="A185" s="76">
        <v>3293</v>
      </c>
      <c r="B185" s="127" t="s">
        <v>201</v>
      </c>
      <c r="C185" s="128">
        <f t="shared" si="26"/>
        <v>0</v>
      </c>
      <c r="D185" s="134"/>
      <c r="E185" s="285"/>
      <c r="F185" s="286">
        <f t="shared" si="30"/>
        <v>0</v>
      </c>
      <c r="G185" s="134"/>
      <c r="H185" s="135"/>
      <c r="I185" s="136">
        <f t="shared" si="31"/>
        <v>0</v>
      </c>
      <c r="J185" s="134"/>
      <c r="K185" s="135"/>
      <c r="L185" s="136">
        <f t="shared" si="32"/>
        <v>0</v>
      </c>
      <c r="M185" s="284"/>
      <c r="N185" s="285"/>
      <c r="O185" s="136">
        <f t="shared" si="33"/>
        <v>0</v>
      </c>
      <c r="P185" s="85"/>
      <c r="R185" s="53"/>
      <c r="S185" s="53"/>
      <c r="T185" s="53"/>
    </row>
    <row r="186" spans="1:20" ht="60" hidden="1" x14ac:dyDescent="0.25">
      <c r="A186" s="326">
        <v>3294</v>
      </c>
      <c r="B186" s="127" t="s">
        <v>202</v>
      </c>
      <c r="C186" s="327">
        <f t="shared" si="26"/>
        <v>0</v>
      </c>
      <c r="D186" s="328"/>
      <c r="E186" s="329"/>
      <c r="F186" s="330">
        <f t="shared" si="30"/>
        <v>0</v>
      </c>
      <c r="G186" s="328"/>
      <c r="H186" s="331"/>
      <c r="I186" s="324">
        <f t="shared" si="31"/>
        <v>0</v>
      </c>
      <c r="J186" s="328"/>
      <c r="K186" s="331"/>
      <c r="L186" s="324">
        <f t="shared" si="32"/>
        <v>0</v>
      </c>
      <c r="M186" s="332"/>
      <c r="N186" s="329"/>
      <c r="O186" s="324">
        <f t="shared" si="33"/>
        <v>0</v>
      </c>
      <c r="P186" s="325"/>
      <c r="R186" s="53"/>
      <c r="S186" s="53"/>
      <c r="T186" s="53"/>
    </row>
    <row r="187" spans="1:20" ht="48" hidden="1" x14ac:dyDescent="0.25">
      <c r="A187" s="160">
        <v>3300</v>
      </c>
      <c r="B187" s="321" t="s">
        <v>203</v>
      </c>
      <c r="C187" s="333">
        <f t="shared" si="26"/>
        <v>0</v>
      </c>
      <c r="D187" s="334">
        <f>SUM(D188:D189)</f>
        <v>0</v>
      </c>
      <c r="E187" s="251">
        <f>SUM(E188:E189)</f>
        <v>0</v>
      </c>
      <c r="F187" s="335">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c r="R187" s="53"/>
      <c r="S187" s="53"/>
      <c r="T187" s="53"/>
    </row>
    <row r="188" spans="1:20" ht="48" hidden="1" x14ac:dyDescent="0.25">
      <c r="A188" s="178">
        <v>3310</v>
      </c>
      <c r="B188" s="179" t="s">
        <v>204</v>
      </c>
      <c r="C188" s="191">
        <f t="shared" si="26"/>
        <v>0</v>
      </c>
      <c r="D188" s="287"/>
      <c r="E188" s="291"/>
      <c r="F188" s="310">
        <f t="shared" si="30"/>
        <v>0</v>
      </c>
      <c r="G188" s="287"/>
      <c r="H188" s="289"/>
      <c r="I188" s="259">
        <f t="shared" si="31"/>
        <v>0</v>
      </c>
      <c r="J188" s="287"/>
      <c r="K188" s="289"/>
      <c r="L188" s="259">
        <f t="shared" si="32"/>
        <v>0</v>
      </c>
      <c r="M188" s="290"/>
      <c r="N188" s="291"/>
      <c r="O188" s="259">
        <f t="shared" si="33"/>
        <v>0</v>
      </c>
      <c r="P188" s="189"/>
      <c r="R188" s="53"/>
      <c r="S188" s="53"/>
      <c r="T188" s="53"/>
    </row>
    <row r="189" spans="1:20" ht="60" hidden="1" x14ac:dyDescent="0.25">
      <c r="A189" s="66">
        <v>3320</v>
      </c>
      <c r="B189" s="116" t="s">
        <v>205</v>
      </c>
      <c r="C189" s="117">
        <f t="shared" si="26"/>
        <v>0</v>
      </c>
      <c r="D189" s="123"/>
      <c r="E189" s="262"/>
      <c r="F189" s="263">
        <f t="shared" si="30"/>
        <v>0</v>
      </c>
      <c r="G189" s="123"/>
      <c r="H189" s="124"/>
      <c r="I189" s="125">
        <f t="shared" si="31"/>
        <v>0</v>
      </c>
      <c r="J189" s="123"/>
      <c r="K189" s="124"/>
      <c r="L189" s="125">
        <f t="shared" si="32"/>
        <v>0</v>
      </c>
      <c r="M189" s="264"/>
      <c r="N189" s="262"/>
      <c r="O189" s="125">
        <f t="shared" si="33"/>
        <v>0</v>
      </c>
      <c r="P189" s="74"/>
      <c r="R189" s="53"/>
      <c r="S189" s="53"/>
      <c r="T189" s="53"/>
    </row>
    <row r="190" spans="1:20" hidden="1" x14ac:dyDescent="0.25">
      <c r="A190" s="337">
        <v>4000</v>
      </c>
      <c r="B190" s="237" t="s">
        <v>206</v>
      </c>
      <c r="C190" s="238">
        <f t="shared" si="26"/>
        <v>0</v>
      </c>
      <c r="D190" s="239">
        <f>SUM(D191,D194)</f>
        <v>0</v>
      </c>
      <c r="E190" s="245">
        <f>SUM(E191,E194)</f>
        <v>0</v>
      </c>
      <c r="F190" s="320">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c r="R190" s="53"/>
      <c r="S190" s="53"/>
      <c r="T190" s="53"/>
    </row>
    <row r="191" spans="1:20" ht="24" hidden="1" x14ac:dyDescent="0.25">
      <c r="A191" s="338">
        <v>4200</v>
      </c>
      <c r="B191" s="247" t="s">
        <v>207</v>
      </c>
      <c r="C191" s="100">
        <f t="shared" si="26"/>
        <v>0</v>
      </c>
      <c r="D191" s="112">
        <f>SUM(D192,D193)</f>
        <v>0</v>
      </c>
      <c r="E191" s="293">
        <f>SUM(E192,E193)</f>
        <v>0</v>
      </c>
      <c r="F191" s="313">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c r="R191" s="53"/>
      <c r="S191" s="53"/>
      <c r="T191" s="53"/>
    </row>
    <row r="192" spans="1:20" ht="36" hidden="1" x14ac:dyDescent="0.25">
      <c r="A192" s="656">
        <v>4240</v>
      </c>
      <c r="B192" s="116" t="s">
        <v>208</v>
      </c>
      <c r="C192" s="117">
        <f t="shared" si="26"/>
        <v>0</v>
      </c>
      <c r="D192" s="123"/>
      <c r="E192" s="262"/>
      <c r="F192" s="263">
        <f t="shared" si="30"/>
        <v>0</v>
      </c>
      <c r="G192" s="123"/>
      <c r="H192" s="124"/>
      <c r="I192" s="125">
        <f t="shared" si="31"/>
        <v>0</v>
      </c>
      <c r="J192" s="123"/>
      <c r="K192" s="124"/>
      <c r="L192" s="125">
        <f t="shared" si="32"/>
        <v>0</v>
      </c>
      <c r="M192" s="264"/>
      <c r="N192" s="262"/>
      <c r="O192" s="125">
        <f t="shared" si="33"/>
        <v>0</v>
      </c>
      <c r="P192" s="74"/>
      <c r="R192" s="53"/>
      <c r="S192" s="53"/>
      <c r="T192" s="53"/>
    </row>
    <row r="193" spans="1:20" ht="24" hidden="1" x14ac:dyDescent="0.25">
      <c r="A193" s="276">
        <v>4250</v>
      </c>
      <c r="B193" s="127" t="s">
        <v>209</v>
      </c>
      <c r="C193" s="128">
        <f t="shared" si="26"/>
        <v>0</v>
      </c>
      <c r="D193" s="134"/>
      <c r="E193" s="285"/>
      <c r="F193" s="286">
        <f t="shared" si="30"/>
        <v>0</v>
      </c>
      <c r="G193" s="134"/>
      <c r="H193" s="135"/>
      <c r="I193" s="136">
        <f t="shared" si="31"/>
        <v>0</v>
      </c>
      <c r="J193" s="134"/>
      <c r="K193" s="135"/>
      <c r="L193" s="136">
        <f t="shared" si="32"/>
        <v>0</v>
      </c>
      <c r="M193" s="284"/>
      <c r="N193" s="285"/>
      <c r="O193" s="136">
        <f t="shared" si="33"/>
        <v>0</v>
      </c>
      <c r="P193" s="85"/>
      <c r="R193" s="53"/>
      <c r="S193" s="53"/>
      <c r="T193" s="53"/>
    </row>
    <row r="194" spans="1:20" hidden="1" x14ac:dyDescent="0.25">
      <c r="A194" s="99">
        <v>4300</v>
      </c>
      <c r="B194" s="247" t="s">
        <v>210</v>
      </c>
      <c r="C194" s="100">
        <f t="shared" si="26"/>
        <v>0</v>
      </c>
      <c r="D194" s="112">
        <f>SUM(D195)</f>
        <v>0</v>
      </c>
      <c r="E194" s="293">
        <f>SUM(E195)</f>
        <v>0</v>
      </c>
      <c r="F194" s="313">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c r="R194" s="53"/>
      <c r="S194" s="53"/>
      <c r="T194" s="53"/>
    </row>
    <row r="195" spans="1:20" ht="24" hidden="1" x14ac:dyDescent="0.25">
      <c r="A195" s="656">
        <v>4310</v>
      </c>
      <c r="B195" s="116" t="s">
        <v>211</v>
      </c>
      <c r="C195" s="117">
        <f t="shared" si="26"/>
        <v>0</v>
      </c>
      <c r="D195" s="297">
        <f>SUM(D196:D196)</f>
        <v>0</v>
      </c>
      <c r="E195" s="301">
        <f>SUM(E196:E196)</f>
        <v>0</v>
      </c>
      <c r="F195" s="263">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c r="R195" s="53"/>
      <c r="S195" s="53"/>
      <c r="T195" s="53"/>
    </row>
    <row r="196" spans="1:20" ht="36" hidden="1" x14ac:dyDescent="0.25">
      <c r="A196" s="76">
        <v>4311</v>
      </c>
      <c r="B196" s="127" t="s">
        <v>212</v>
      </c>
      <c r="C196" s="128">
        <f t="shared" si="26"/>
        <v>0</v>
      </c>
      <c r="D196" s="134"/>
      <c r="E196" s="285"/>
      <c r="F196" s="286">
        <f t="shared" si="30"/>
        <v>0</v>
      </c>
      <c r="G196" s="134"/>
      <c r="H196" s="135"/>
      <c r="I196" s="136">
        <f t="shared" si="31"/>
        <v>0</v>
      </c>
      <c r="J196" s="134"/>
      <c r="K196" s="135"/>
      <c r="L196" s="136">
        <f t="shared" si="32"/>
        <v>0</v>
      </c>
      <c r="M196" s="284"/>
      <c r="N196" s="285"/>
      <c r="O196" s="136">
        <f t="shared" si="33"/>
        <v>0</v>
      </c>
      <c r="P196" s="85"/>
      <c r="R196" s="53"/>
      <c r="S196" s="53"/>
      <c r="T196" s="53"/>
    </row>
    <row r="197" spans="1:20" s="41" customFormat="1" ht="24" x14ac:dyDescent="0.25">
      <c r="A197" s="339"/>
      <c r="B197" s="31" t="s">
        <v>213</v>
      </c>
      <c r="C197" s="229">
        <f t="shared" si="26"/>
        <v>27188</v>
      </c>
      <c r="D197" s="230">
        <f>SUM(D198,D233,D271)</f>
        <v>21829</v>
      </c>
      <c r="E197" s="231">
        <f>SUM(E198,E233,E271)</f>
        <v>0</v>
      </c>
      <c r="F197" s="232">
        <f t="shared" si="30"/>
        <v>21829</v>
      </c>
      <c r="G197" s="230">
        <f>SUM(G198,G233,G271)</f>
        <v>5359</v>
      </c>
      <c r="H197" s="233">
        <f>SUM(H198,H233,H271)</f>
        <v>0</v>
      </c>
      <c r="I197" s="234">
        <f t="shared" si="31"/>
        <v>5359</v>
      </c>
      <c r="J197" s="230">
        <f>SUM(J198,J233,J271)</f>
        <v>0</v>
      </c>
      <c r="K197" s="233">
        <f>SUM(K198,K233,K271)</f>
        <v>0</v>
      </c>
      <c r="L197" s="234">
        <f t="shared" si="32"/>
        <v>0</v>
      </c>
      <c r="M197" s="340">
        <f>SUM(M198,M233,M271)</f>
        <v>0</v>
      </c>
      <c r="N197" s="341">
        <f>SUM(N198,N233,N271)</f>
        <v>0</v>
      </c>
      <c r="O197" s="342">
        <f t="shared" si="33"/>
        <v>0</v>
      </c>
      <c r="P197" s="343"/>
      <c r="R197" s="53"/>
      <c r="S197" s="53"/>
      <c r="T197" s="53"/>
    </row>
    <row r="198" spans="1:20" x14ac:dyDescent="0.25">
      <c r="A198" s="237">
        <v>5000</v>
      </c>
      <c r="B198" s="237" t="s">
        <v>214</v>
      </c>
      <c r="C198" s="238">
        <f>F198+I198+L198+O198</f>
        <v>27188</v>
      </c>
      <c r="D198" s="239">
        <f>D199+D207</f>
        <v>21829</v>
      </c>
      <c r="E198" s="240">
        <f>E199+E207</f>
        <v>0</v>
      </c>
      <c r="F198" s="241">
        <f t="shared" si="30"/>
        <v>21829</v>
      </c>
      <c r="G198" s="239">
        <f>G199+G207</f>
        <v>5359</v>
      </c>
      <c r="H198" s="242">
        <f>H199+H207</f>
        <v>0</v>
      </c>
      <c r="I198" s="243">
        <f t="shared" si="31"/>
        <v>5359</v>
      </c>
      <c r="J198" s="239">
        <f>J199+J207</f>
        <v>0</v>
      </c>
      <c r="K198" s="242">
        <f>K199+K207</f>
        <v>0</v>
      </c>
      <c r="L198" s="243">
        <f t="shared" si="32"/>
        <v>0</v>
      </c>
      <c r="M198" s="244">
        <f>M199+M207</f>
        <v>0</v>
      </c>
      <c r="N198" s="245">
        <f>N199+N207</f>
        <v>0</v>
      </c>
      <c r="O198" s="243">
        <f t="shared" si="33"/>
        <v>0</v>
      </c>
      <c r="P198" s="246"/>
      <c r="R198" s="53"/>
      <c r="S198" s="53"/>
      <c r="T198" s="53"/>
    </row>
    <row r="199" spans="1:20" x14ac:dyDescent="0.25">
      <c r="A199" s="99">
        <v>5100</v>
      </c>
      <c r="B199" s="247" t="s">
        <v>215</v>
      </c>
      <c r="C199" s="100">
        <f t="shared" si="26"/>
        <v>595</v>
      </c>
      <c r="D199" s="112">
        <f>D200+D201+D204+D205+D206</f>
        <v>595</v>
      </c>
      <c r="E199" s="248">
        <f>E200+E201+E204+E205+E206</f>
        <v>0</v>
      </c>
      <c r="F199" s="249">
        <f t="shared" si="30"/>
        <v>595</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c r="R199" s="53"/>
      <c r="S199" s="53"/>
      <c r="T199" s="53"/>
    </row>
    <row r="200" spans="1:20" hidden="1" x14ac:dyDescent="0.25">
      <c r="A200" s="656">
        <v>5110</v>
      </c>
      <c r="B200" s="116" t="s">
        <v>216</v>
      </c>
      <c r="C200" s="117">
        <f t="shared" si="26"/>
        <v>0</v>
      </c>
      <c r="D200" s="123"/>
      <c r="E200" s="262"/>
      <c r="F200" s="263">
        <f t="shared" si="30"/>
        <v>0</v>
      </c>
      <c r="G200" s="123"/>
      <c r="H200" s="124"/>
      <c r="I200" s="125">
        <f t="shared" si="31"/>
        <v>0</v>
      </c>
      <c r="J200" s="123"/>
      <c r="K200" s="124"/>
      <c r="L200" s="125">
        <f t="shared" si="32"/>
        <v>0</v>
      </c>
      <c r="M200" s="264"/>
      <c r="N200" s="262"/>
      <c r="O200" s="125">
        <f t="shared" si="33"/>
        <v>0</v>
      </c>
      <c r="P200" s="74"/>
      <c r="R200" s="53"/>
      <c r="S200" s="53"/>
      <c r="T200" s="53"/>
    </row>
    <row r="201" spans="1:20" ht="24" x14ac:dyDescent="0.25">
      <c r="A201" s="276">
        <v>5120</v>
      </c>
      <c r="B201" s="127" t="s">
        <v>217</v>
      </c>
      <c r="C201" s="128">
        <f t="shared" si="26"/>
        <v>595</v>
      </c>
      <c r="D201" s="277">
        <f>D202+D203</f>
        <v>595</v>
      </c>
      <c r="E201" s="278">
        <f>E202+E203</f>
        <v>0</v>
      </c>
      <c r="F201" s="279">
        <f t="shared" si="30"/>
        <v>595</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c r="R201" s="53"/>
      <c r="S201" s="53"/>
      <c r="T201" s="53"/>
    </row>
    <row r="202" spans="1:20" x14ac:dyDescent="0.25">
      <c r="A202" s="76">
        <v>5121</v>
      </c>
      <c r="B202" s="127" t="s">
        <v>218</v>
      </c>
      <c r="C202" s="128">
        <f t="shared" si="26"/>
        <v>595</v>
      </c>
      <c r="D202" s="134">
        <v>595</v>
      </c>
      <c r="E202" s="283"/>
      <c r="F202" s="279">
        <f t="shared" si="30"/>
        <v>595</v>
      </c>
      <c r="G202" s="134"/>
      <c r="H202" s="135"/>
      <c r="I202" s="136">
        <f t="shared" si="31"/>
        <v>0</v>
      </c>
      <c r="J202" s="134"/>
      <c r="K202" s="135"/>
      <c r="L202" s="136">
        <f t="shared" si="32"/>
        <v>0</v>
      </c>
      <c r="M202" s="284"/>
      <c r="N202" s="285"/>
      <c r="O202" s="136">
        <f t="shared" si="33"/>
        <v>0</v>
      </c>
      <c r="P202" s="85"/>
      <c r="R202" s="53"/>
      <c r="S202" s="53"/>
      <c r="T202" s="53"/>
    </row>
    <row r="203" spans="1:20" ht="24" hidden="1" x14ac:dyDescent="0.25">
      <c r="A203" s="76">
        <v>5129</v>
      </c>
      <c r="B203" s="127" t="s">
        <v>219</v>
      </c>
      <c r="C203" s="128">
        <f t="shared" si="26"/>
        <v>0</v>
      </c>
      <c r="D203" s="134"/>
      <c r="E203" s="285"/>
      <c r="F203" s="286">
        <f t="shared" si="30"/>
        <v>0</v>
      </c>
      <c r="G203" s="134"/>
      <c r="H203" s="135"/>
      <c r="I203" s="136">
        <f t="shared" si="31"/>
        <v>0</v>
      </c>
      <c r="J203" s="134"/>
      <c r="K203" s="135"/>
      <c r="L203" s="136">
        <f t="shared" si="32"/>
        <v>0</v>
      </c>
      <c r="M203" s="284"/>
      <c r="N203" s="285"/>
      <c r="O203" s="136">
        <f t="shared" si="33"/>
        <v>0</v>
      </c>
      <c r="P203" s="85"/>
      <c r="R203" s="53"/>
      <c r="S203" s="53"/>
      <c r="T203" s="53"/>
    </row>
    <row r="204" spans="1:20" hidden="1" x14ac:dyDescent="0.25">
      <c r="A204" s="276">
        <v>5130</v>
      </c>
      <c r="B204" s="127" t="s">
        <v>220</v>
      </c>
      <c r="C204" s="128">
        <f t="shared" si="26"/>
        <v>0</v>
      </c>
      <c r="D204" s="134"/>
      <c r="E204" s="285"/>
      <c r="F204" s="286">
        <f t="shared" si="30"/>
        <v>0</v>
      </c>
      <c r="G204" s="134"/>
      <c r="H204" s="135"/>
      <c r="I204" s="136">
        <f t="shared" si="31"/>
        <v>0</v>
      </c>
      <c r="J204" s="134"/>
      <c r="K204" s="135"/>
      <c r="L204" s="136">
        <f t="shared" si="32"/>
        <v>0</v>
      </c>
      <c r="M204" s="284"/>
      <c r="N204" s="285"/>
      <c r="O204" s="136">
        <f t="shared" si="33"/>
        <v>0</v>
      </c>
      <c r="P204" s="85"/>
      <c r="R204" s="53"/>
      <c r="S204" s="53"/>
      <c r="T204" s="53"/>
    </row>
    <row r="205" spans="1:20" hidden="1" x14ac:dyDescent="0.25">
      <c r="A205" s="276">
        <v>5140</v>
      </c>
      <c r="B205" s="127" t="s">
        <v>221</v>
      </c>
      <c r="C205" s="128">
        <f t="shared" si="26"/>
        <v>0</v>
      </c>
      <c r="D205" s="134"/>
      <c r="E205" s="285"/>
      <c r="F205" s="286">
        <f t="shared" si="30"/>
        <v>0</v>
      </c>
      <c r="G205" s="134"/>
      <c r="H205" s="135"/>
      <c r="I205" s="136">
        <f t="shared" si="31"/>
        <v>0</v>
      </c>
      <c r="J205" s="134"/>
      <c r="K205" s="135"/>
      <c r="L205" s="136">
        <f t="shared" si="32"/>
        <v>0</v>
      </c>
      <c r="M205" s="284"/>
      <c r="N205" s="285"/>
      <c r="O205" s="136">
        <f t="shared" si="33"/>
        <v>0</v>
      </c>
      <c r="P205" s="85"/>
      <c r="R205" s="53"/>
      <c r="S205" s="53"/>
      <c r="T205" s="53"/>
    </row>
    <row r="206" spans="1:20" ht="24" hidden="1" x14ac:dyDescent="0.25">
      <c r="A206" s="276">
        <v>5170</v>
      </c>
      <c r="B206" s="127" t="s">
        <v>222</v>
      </c>
      <c r="C206" s="128">
        <f t="shared" si="26"/>
        <v>0</v>
      </c>
      <c r="D206" s="134"/>
      <c r="E206" s="285"/>
      <c r="F206" s="286">
        <f t="shared" si="30"/>
        <v>0</v>
      </c>
      <c r="G206" s="134"/>
      <c r="H206" s="135"/>
      <c r="I206" s="136">
        <f t="shared" si="31"/>
        <v>0</v>
      </c>
      <c r="J206" s="134"/>
      <c r="K206" s="135"/>
      <c r="L206" s="136">
        <f t="shared" si="32"/>
        <v>0</v>
      </c>
      <c r="M206" s="284"/>
      <c r="N206" s="285"/>
      <c r="O206" s="136">
        <f t="shared" si="33"/>
        <v>0</v>
      </c>
      <c r="P206" s="85"/>
      <c r="R206" s="53"/>
      <c r="S206" s="53"/>
      <c r="T206" s="53"/>
    </row>
    <row r="207" spans="1:20" x14ac:dyDescent="0.25">
      <c r="A207" s="99">
        <v>5200</v>
      </c>
      <c r="B207" s="247" t="s">
        <v>223</v>
      </c>
      <c r="C207" s="100">
        <f t="shared" si="26"/>
        <v>26593</v>
      </c>
      <c r="D207" s="112">
        <f>D208+D218+D219+D228+D229+D230+D232</f>
        <v>21234</v>
      </c>
      <c r="E207" s="248">
        <f>E208+E218+E219+E228+E229+E230+E232</f>
        <v>0</v>
      </c>
      <c r="F207" s="249">
        <f t="shared" si="30"/>
        <v>21234</v>
      </c>
      <c r="G207" s="112">
        <f>G208+G218+G219+G228+G229+G230+G232</f>
        <v>5359</v>
      </c>
      <c r="H207" s="113">
        <f>H208+H218+H219+H228+H229+H230+H232</f>
        <v>0</v>
      </c>
      <c r="I207" s="114">
        <f t="shared" si="31"/>
        <v>5359</v>
      </c>
      <c r="J207" s="112">
        <f>J208+J218+J219+J228+J229+J230+J232</f>
        <v>0</v>
      </c>
      <c r="K207" s="113">
        <f>K208+K218+K219+K228+K229+K230+K232</f>
        <v>0</v>
      </c>
      <c r="L207" s="114">
        <f t="shared" si="32"/>
        <v>0</v>
      </c>
      <c r="M207" s="292">
        <f>M208+M218+M219+M228+M229+M230+M232</f>
        <v>0</v>
      </c>
      <c r="N207" s="293">
        <f>N208+N218+N219+N228+N229+N230+N232</f>
        <v>0</v>
      </c>
      <c r="O207" s="114">
        <f t="shared" si="33"/>
        <v>0</v>
      </c>
      <c r="P207" s="109"/>
      <c r="R207" s="53"/>
      <c r="S207" s="53"/>
      <c r="T207" s="53"/>
    </row>
    <row r="208" spans="1:20" hidden="1" x14ac:dyDescent="0.25">
      <c r="A208" s="254">
        <v>5210</v>
      </c>
      <c r="B208" s="179" t="s">
        <v>224</v>
      </c>
      <c r="C208" s="191">
        <f t="shared" si="26"/>
        <v>0</v>
      </c>
      <c r="D208" s="255">
        <f>SUM(D209:D217)</f>
        <v>0</v>
      </c>
      <c r="E208" s="261">
        <f>SUM(E209:E217)</f>
        <v>0</v>
      </c>
      <c r="F208" s="310">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c r="R208" s="53"/>
      <c r="S208" s="53"/>
      <c r="T208" s="53"/>
    </row>
    <row r="209" spans="1:20" hidden="1" x14ac:dyDescent="0.25">
      <c r="A209" s="66">
        <v>5211</v>
      </c>
      <c r="B209" s="116" t="s">
        <v>225</v>
      </c>
      <c r="C209" s="279">
        <f t="shared" si="26"/>
        <v>0</v>
      </c>
      <c r="D209" s="123"/>
      <c r="E209" s="262"/>
      <c r="F209" s="263">
        <f t="shared" si="30"/>
        <v>0</v>
      </c>
      <c r="G209" s="123"/>
      <c r="H209" s="124"/>
      <c r="I209" s="125">
        <f t="shared" si="31"/>
        <v>0</v>
      </c>
      <c r="J209" s="123"/>
      <c r="K209" s="124"/>
      <c r="L209" s="125">
        <f t="shared" si="32"/>
        <v>0</v>
      </c>
      <c r="M209" s="264"/>
      <c r="N209" s="262"/>
      <c r="O209" s="125">
        <f t="shared" si="33"/>
        <v>0</v>
      </c>
      <c r="P209" s="74"/>
      <c r="R209" s="53"/>
      <c r="S209" s="53"/>
      <c r="T209" s="53"/>
    </row>
    <row r="210" spans="1:20" hidden="1" x14ac:dyDescent="0.25">
      <c r="A210" s="76">
        <v>5212</v>
      </c>
      <c r="B210" s="127" t="s">
        <v>226</v>
      </c>
      <c r="C210" s="279">
        <f t="shared" si="26"/>
        <v>0</v>
      </c>
      <c r="D210" s="134"/>
      <c r="E210" s="285"/>
      <c r="F210" s="286">
        <f t="shared" si="30"/>
        <v>0</v>
      </c>
      <c r="G210" s="134"/>
      <c r="H210" s="135"/>
      <c r="I210" s="136">
        <f t="shared" si="31"/>
        <v>0</v>
      </c>
      <c r="J210" s="134"/>
      <c r="K210" s="135"/>
      <c r="L210" s="136">
        <f t="shared" si="32"/>
        <v>0</v>
      </c>
      <c r="M210" s="284"/>
      <c r="N210" s="285"/>
      <c r="O210" s="136">
        <f t="shared" si="33"/>
        <v>0</v>
      </c>
      <c r="P210" s="85"/>
      <c r="R210" s="53"/>
      <c r="S210" s="53"/>
      <c r="T210" s="53"/>
    </row>
    <row r="211" spans="1:20" hidden="1" x14ac:dyDescent="0.25">
      <c r="A211" s="76">
        <v>5213</v>
      </c>
      <c r="B211" s="127" t="s">
        <v>227</v>
      </c>
      <c r="C211" s="279">
        <f t="shared" si="26"/>
        <v>0</v>
      </c>
      <c r="D211" s="134"/>
      <c r="E211" s="285"/>
      <c r="F211" s="286">
        <f t="shared" si="30"/>
        <v>0</v>
      </c>
      <c r="G211" s="134"/>
      <c r="H211" s="135"/>
      <c r="I211" s="136">
        <f t="shared" si="31"/>
        <v>0</v>
      </c>
      <c r="J211" s="134"/>
      <c r="K211" s="135"/>
      <c r="L211" s="136">
        <f t="shared" si="32"/>
        <v>0</v>
      </c>
      <c r="M211" s="284"/>
      <c r="N211" s="285"/>
      <c r="O211" s="136">
        <f t="shared" si="33"/>
        <v>0</v>
      </c>
      <c r="P211" s="85"/>
      <c r="R211" s="53"/>
      <c r="S211" s="53"/>
      <c r="T211" s="53"/>
    </row>
    <row r="212" spans="1:20" hidden="1" x14ac:dyDescent="0.25">
      <c r="A212" s="76">
        <v>5214</v>
      </c>
      <c r="B212" s="127" t="s">
        <v>228</v>
      </c>
      <c r="C212" s="279">
        <f t="shared" si="26"/>
        <v>0</v>
      </c>
      <c r="D212" s="134"/>
      <c r="E212" s="285"/>
      <c r="F212" s="286">
        <f t="shared" si="30"/>
        <v>0</v>
      </c>
      <c r="G212" s="134"/>
      <c r="H212" s="135"/>
      <c r="I212" s="136">
        <f t="shared" si="31"/>
        <v>0</v>
      </c>
      <c r="J212" s="134"/>
      <c r="K212" s="135"/>
      <c r="L212" s="136">
        <f t="shared" si="32"/>
        <v>0</v>
      </c>
      <c r="M212" s="284"/>
      <c r="N212" s="285"/>
      <c r="O212" s="136">
        <f t="shared" si="33"/>
        <v>0</v>
      </c>
      <c r="P212" s="85"/>
      <c r="R212" s="53"/>
      <c r="S212" s="53"/>
      <c r="T212" s="53"/>
    </row>
    <row r="213" spans="1:20" hidden="1" x14ac:dyDescent="0.25">
      <c r="A213" s="76">
        <v>5215</v>
      </c>
      <c r="B213" s="127" t="s">
        <v>229</v>
      </c>
      <c r="C213" s="279">
        <f t="shared" si="26"/>
        <v>0</v>
      </c>
      <c r="D213" s="134"/>
      <c r="E213" s="285"/>
      <c r="F213" s="286">
        <f t="shared" si="30"/>
        <v>0</v>
      </c>
      <c r="G213" s="134"/>
      <c r="H213" s="135"/>
      <c r="I213" s="136">
        <f t="shared" si="31"/>
        <v>0</v>
      </c>
      <c r="J213" s="134"/>
      <c r="K213" s="135"/>
      <c r="L213" s="136">
        <f t="shared" si="32"/>
        <v>0</v>
      </c>
      <c r="M213" s="284"/>
      <c r="N213" s="285"/>
      <c r="O213" s="136">
        <f t="shared" si="33"/>
        <v>0</v>
      </c>
      <c r="P213" s="85"/>
      <c r="R213" s="53"/>
      <c r="S213" s="53"/>
      <c r="T213" s="53"/>
    </row>
    <row r="214" spans="1:20" ht="24" hidden="1" x14ac:dyDescent="0.25">
      <c r="A214" s="76">
        <v>5216</v>
      </c>
      <c r="B214" s="127" t="s">
        <v>230</v>
      </c>
      <c r="C214" s="279">
        <f t="shared" si="26"/>
        <v>0</v>
      </c>
      <c r="D214" s="134"/>
      <c r="E214" s="285"/>
      <c r="F214" s="286">
        <f t="shared" si="30"/>
        <v>0</v>
      </c>
      <c r="G214" s="134"/>
      <c r="H214" s="135"/>
      <c r="I214" s="136">
        <f t="shared" si="31"/>
        <v>0</v>
      </c>
      <c r="J214" s="134"/>
      <c r="K214" s="135"/>
      <c r="L214" s="136">
        <f t="shared" si="32"/>
        <v>0</v>
      </c>
      <c r="M214" s="284"/>
      <c r="N214" s="285"/>
      <c r="O214" s="136">
        <f t="shared" si="33"/>
        <v>0</v>
      </c>
      <c r="P214" s="85"/>
      <c r="R214" s="53"/>
      <c r="S214" s="53"/>
      <c r="T214" s="53"/>
    </row>
    <row r="215" spans="1:20" hidden="1" x14ac:dyDescent="0.25">
      <c r="A215" s="76">
        <v>5217</v>
      </c>
      <c r="B215" s="127" t="s">
        <v>231</v>
      </c>
      <c r="C215" s="279">
        <f t="shared" si="26"/>
        <v>0</v>
      </c>
      <c r="D215" s="134"/>
      <c r="E215" s="285"/>
      <c r="F215" s="286">
        <f t="shared" si="30"/>
        <v>0</v>
      </c>
      <c r="G215" s="134"/>
      <c r="H215" s="135"/>
      <c r="I215" s="136">
        <f t="shared" si="31"/>
        <v>0</v>
      </c>
      <c r="J215" s="134"/>
      <c r="K215" s="135"/>
      <c r="L215" s="136">
        <f t="shared" si="32"/>
        <v>0</v>
      </c>
      <c r="M215" s="284"/>
      <c r="N215" s="285"/>
      <c r="O215" s="136">
        <f t="shared" si="33"/>
        <v>0</v>
      </c>
      <c r="P215" s="85"/>
      <c r="R215" s="53"/>
      <c r="S215" s="53"/>
      <c r="T215" s="53"/>
    </row>
    <row r="216" spans="1:20" hidden="1" x14ac:dyDescent="0.25">
      <c r="A216" s="76">
        <v>5218</v>
      </c>
      <c r="B216" s="127" t="s">
        <v>232</v>
      </c>
      <c r="C216" s="279">
        <f t="shared" si="26"/>
        <v>0</v>
      </c>
      <c r="D216" s="134"/>
      <c r="E216" s="285"/>
      <c r="F216" s="286">
        <f t="shared" si="30"/>
        <v>0</v>
      </c>
      <c r="G216" s="134"/>
      <c r="H216" s="135"/>
      <c r="I216" s="136">
        <f t="shared" si="31"/>
        <v>0</v>
      </c>
      <c r="J216" s="134"/>
      <c r="K216" s="135"/>
      <c r="L216" s="136">
        <f t="shared" si="32"/>
        <v>0</v>
      </c>
      <c r="M216" s="284"/>
      <c r="N216" s="285"/>
      <c r="O216" s="136">
        <f t="shared" si="33"/>
        <v>0</v>
      </c>
      <c r="P216" s="85"/>
      <c r="R216" s="53"/>
      <c r="S216" s="53"/>
      <c r="T216" s="53"/>
    </row>
    <row r="217" spans="1:20" hidden="1" x14ac:dyDescent="0.25">
      <c r="A217" s="76">
        <v>5219</v>
      </c>
      <c r="B217" s="127" t="s">
        <v>233</v>
      </c>
      <c r="C217" s="279">
        <f t="shared" si="26"/>
        <v>0</v>
      </c>
      <c r="D217" s="134"/>
      <c r="E217" s="285"/>
      <c r="F217" s="286">
        <f t="shared" si="30"/>
        <v>0</v>
      </c>
      <c r="G217" s="134"/>
      <c r="H217" s="135"/>
      <c r="I217" s="136">
        <f t="shared" si="31"/>
        <v>0</v>
      </c>
      <c r="J217" s="134"/>
      <c r="K217" s="135"/>
      <c r="L217" s="136">
        <f t="shared" si="32"/>
        <v>0</v>
      </c>
      <c r="M217" s="284"/>
      <c r="N217" s="285"/>
      <c r="O217" s="136">
        <f t="shared" si="33"/>
        <v>0</v>
      </c>
      <c r="P217" s="85"/>
      <c r="R217" s="53"/>
      <c r="S217" s="53"/>
      <c r="T217" s="53"/>
    </row>
    <row r="218" spans="1:20" hidden="1" x14ac:dyDescent="0.25">
      <c r="A218" s="276">
        <v>5220</v>
      </c>
      <c r="B218" s="127" t="s">
        <v>234</v>
      </c>
      <c r="C218" s="279">
        <f t="shared" si="26"/>
        <v>0</v>
      </c>
      <c r="D218" s="134"/>
      <c r="E218" s="285"/>
      <c r="F218" s="286">
        <f t="shared" si="30"/>
        <v>0</v>
      </c>
      <c r="G218" s="134"/>
      <c r="H218" s="135"/>
      <c r="I218" s="136">
        <f t="shared" si="31"/>
        <v>0</v>
      </c>
      <c r="J218" s="134"/>
      <c r="K218" s="135"/>
      <c r="L218" s="136">
        <f t="shared" si="32"/>
        <v>0</v>
      </c>
      <c r="M218" s="284"/>
      <c r="N218" s="285"/>
      <c r="O218" s="136">
        <f t="shared" si="33"/>
        <v>0</v>
      </c>
      <c r="P218" s="85"/>
      <c r="R218" s="53"/>
      <c r="S218" s="53"/>
      <c r="T218" s="53"/>
    </row>
    <row r="219" spans="1:20" x14ac:dyDescent="0.25">
      <c r="A219" s="276">
        <v>5230</v>
      </c>
      <c r="B219" s="127" t="s">
        <v>235</v>
      </c>
      <c r="C219" s="279">
        <f t="shared" si="26"/>
        <v>26593</v>
      </c>
      <c r="D219" s="277">
        <f>SUM(D220:D227)</f>
        <v>21234</v>
      </c>
      <c r="E219" s="278">
        <f>SUM(E220:E227)</f>
        <v>0</v>
      </c>
      <c r="F219" s="279">
        <f t="shared" si="30"/>
        <v>21234</v>
      </c>
      <c r="G219" s="277">
        <f>SUM(G220:G227)</f>
        <v>5359</v>
      </c>
      <c r="H219" s="280">
        <f>SUM(H220:H227)</f>
        <v>0</v>
      </c>
      <c r="I219" s="136">
        <f t="shared" si="31"/>
        <v>5359</v>
      </c>
      <c r="J219" s="277">
        <f>SUM(J220:J227)</f>
        <v>0</v>
      </c>
      <c r="K219" s="280">
        <f>SUM(K220:K227)</f>
        <v>0</v>
      </c>
      <c r="L219" s="136">
        <f t="shared" si="32"/>
        <v>0</v>
      </c>
      <c r="M219" s="281">
        <f>SUM(M220:M227)</f>
        <v>0</v>
      </c>
      <c r="N219" s="282">
        <f>SUM(N220:N227)</f>
        <v>0</v>
      </c>
      <c r="O219" s="136">
        <f t="shared" si="33"/>
        <v>0</v>
      </c>
      <c r="P219" s="85"/>
      <c r="R219" s="53"/>
      <c r="S219" s="53"/>
      <c r="T219" s="53"/>
    </row>
    <row r="220" spans="1:20" hidden="1" x14ac:dyDescent="0.25">
      <c r="A220" s="76">
        <v>5231</v>
      </c>
      <c r="B220" s="127" t="s">
        <v>236</v>
      </c>
      <c r="C220" s="279">
        <f t="shared" si="26"/>
        <v>0</v>
      </c>
      <c r="D220" s="134"/>
      <c r="E220" s="285"/>
      <c r="F220" s="286">
        <f t="shared" si="30"/>
        <v>0</v>
      </c>
      <c r="G220" s="134"/>
      <c r="H220" s="135"/>
      <c r="I220" s="136">
        <f t="shared" si="31"/>
        <v>0</v>
      </c>
      <c r="J220" s="134"/>
      <c r="K220" s="135"/>
      <c r="L220" s="136">
        <f t="shared" si="32"/>
        <v>0</v>
      </c>
      <c r="M220" s="284"/>
      <c r="N220" s="285"/>
      <c r="O220" s="136">
        <f t="shared" si="33"/>
        <v>0</v>
      </c>
      <c r="P220" s="85"/>
      <c r="R220" s="53"/>
      <c r="S220" s="53"/>
      <c r="T220" s="53"/>
    </row>
    <row r="221" spans="1:20" hidden="1" x14ac:dyDescent="0.25">
      <c r="A221" s="76">
        <v>5232</v>
      </c>
      <c r="B221" s="127" t="s">
        <v>237</v>
      </c>
      <c r="C221" s="279">
        <f t="shared" si="26"/>
        <v>0</v>
      </c>
      <c r="D221" s="134"/>
      <c r="E221" s="285"/>
      <c r="F221" s="286">
        <f t="shared" si="30"/>
        <v>0</v>
      </c>
      <c r="G221" s="134"/>
      <c r="H221" s="135"/>
      <c r="I221" s="136">
        <f t="shared" si="31"/>
        <v>0</v>
      </c>
      <c r="J221" s="134"/>
      <c r="K221" s="135"/>
      <c r="L221" s="136">
        <f t="shared" si="32"/>
        <v>0</v>
      </c>
      <c r="M221" s="284"/>
      <c r="N221" s="285"/>
      <c r="O221" s="136">
        <f t="shared" si="33"/>
        <v>0</v>
      </c>
      <c r="P221" s="85"/>
      <c r="R221" s="53"/>
      <c r="S221" s="53"/>
      <c r="T221" s="53"/>
    </row>
    <row r="222" spans="1:20" x14ac:dyDescent="0.25">
      <c r="A222" s="76">
        <v>5233</v>
      </c>
      <c r="B222" s="127" t="s">
        <v>238</v>
      </c>
      <c r="C222" s="279">
        <f t="shared" si="26"/>
        <v>13114</v>
      </c>
      <c r="D222" s="134">
        <v>7755</v>
      </c>
      <c r="E222" s="283"/>
      <c r="F222" s="279">
        <f t="shared" si="30"/>
        <v>7755</v>
      </c>
      <c r="G222" s="134">
        <v>5359</v>
      </c>
      <c r="H222" s="135"/>
      <c r="I222" s="136">
        <f t="shared" si="31"/>
        <v>5359</v>
      </c>
      <c r="J222" s="134"/>
      <c r="K222" s="135"/>
      <c r="L222" s="136">
        <f t="shared" si="32"/>
        <v>0</v>
      </c>
      <c r="M222" s="284"/>
      <c r="N222" s="285"/>
      <c r="O222" s="136">
        <f t="shared" si="33"/>
        <v>0</v>
      </c>
      <c r="P222" s="85"/>
      <c r="R222" s="53"/>
      <c r="S222" s="53"/>
      <c r="T222" s="53"/>
    </row>
    <row r="223" spans="1:20" ht="24" hidden="1" x14ac:dyDescent="0.25">
      <c r="A223" s="76">
        <v>5234</v>
      </c>
      <c r="B223" s="127" t="s">
        <v>239</v>
      </c>
      <c r="C223" s="279">
        <f t="shared" si="26"/>
        <v>0</v>
      </c>
      <c r="D223" s="134"/>
      <c r="E223" s="285"/>
      <c r="F223" s="286">
        <f t="shared" si="30"/>
        <v>0</v>
      </c>
      <c r="G223" s="134"/>
      <c r="H223" s="135"/>
      <c r="I223" s="136">
        <f t="shared" si="31"/>
        <v>0</v>
      </c>
      <c r="J223" s="134"/>
      <c r="K223" s="135"/>
      <c r="L223" s="136">
        <f t="shared" si="32"/>
        <v>0</v>
      </c>
      <c r="M223" s="284"/>
      <c r="N223" s="285"/>
      <c r="O223" s="136">
        <f t="shared" si="33"/>
        <v>0</v>
      </c>
      <c r="P223" s="85"/>
      <c r="R223" s="53"/>
      <c r="S223" s="53"/>
      <c r="T223" s="53"/>
    </row>
    <row r="224" spans="1:20" hidden="1" x14ac:dyDescent="0.25">
      <c r="A224" s="76">
        <v>5236</v>
      </c>
      <c r="B224" s="127" t="s">
        <v>240</v>
      </c>
      <c r="C224" s="279">
        <f t="shared" si="26"/>
        <v>0</v>
      </c>
      <c r="D224" s="134"/>
      <c r="E224" s="285"/>
      <c r="F224" s="286">
        <f t="shared" si="30"/>
        <v>0</v>
      </c>
      <c r="G224" s="134"/>
      <c r="H224" s="135"/>
      <c r="I224" s="136">
        <f t="shared" si="31"/>
        <v>0</v>
      </c>
      <c r="J224" s="134"/>
      <c r="K224" s="135"/>
      <c r="L224" s="136">
        <f t="shared" si="32"/>
        <v>0</v>
      </c>
      <c r="M224" s="284"/>
      <c r="N224" s="285"/>
      <c r="O224" s="136">
        <f t="shared" si="33"/>
        <v>0</v>
      </c>
      <c r="P224" s="85"/>
      <c r="R224" s="53"/>
      <c r="S224" s="53"/>
      <c r="T224" s="53"/>
    </row>
    <row r="225" spans="1:20" hidden="1" x14ac:dyDescent="0.25">
      <c r="A225" s="76">
        <v>5237</v>
      </c>
      <c r="B225" s="127" t="s">
        <v>241</v>
      </c>
      <c r="C225" s="279">
        <f t="shared" si="26"/>
        <v>0</v>
      </c>
      <c r="D225" s="134"/>
      <c r="E225" s="285"/>
      <c r="F225" s="286">
        <f t="shared" si="30"/>
        <v>0</v>
      </c>
      <c r="G225" s="134"/>
      <c r="H225" s="135"/>
      <c r="I225" s="136">
        <f t="shared" si="31"/>
        <v>0</v>
      </c>
      <c r="J225" s="134"/>
      <c r="K225" s="135"/>
      <c r="L225" s="136">
        <f t="shared" si="32"/>
        <v>0</v>
      </c>
      <c r="M225" s="284"/>
      <c r="N225" s="285"/>
      <c r="O225" s="136">
        <f t="shared" si="33"/>
        <v>0</v>
      </c>
      <c r="P225" s="85"/>
      <c r="R225" s="53"/>
      <c r="S225" s="53"/>
      <c r="T225" s="53"/>
    </row>
    <row r="226" spans="1:20" ht="24" x14ac:dyDescent="0.25">
      <c r="A226" s="76">
        <v>5238</v>
      </c>
      <c r="B226" s="127" t="s">
        <v>242</v>
      </c>
      <c r="C226" s="279">
        <f t="shared" si="26"/>
        <v>8470</v>
      </c>
      <c r="D226" s="134">
        <v>8470</v>
      </c>
      <c r="E226" s="283"/>
      <c r="F226" s="279">
        <f t="shared" si="30"/>
        <v>8470</v>
      </c>
      <c r="G226" s="134"/>
      <c r="H226" s="135"/>
      <c r="I226" s="136">
        <f t="shared" si="31"/>
        <v>0</v>
      </c>
      <c r="J226" s="134"/>
      <c r="K226" s="135"/>
      <c r="L226" s="136">
        <f t="shared" si="32"/>
        <v>0</v>
      </c>
      <c r="M226" s="284"/>
      <c r="N226" s="285"/>
      <c r="O226" s="136">
        <f t="shared" si="33"/>
        <v>0</v>
      </c>
      <c r="P226" s="85"/>
      <c r="R226" s="53"/>
      <c r="S226" s="53"/>
      <c r="T226" s="53"/>
    </row>
    <row r="227" spans="1:20" ht="24" x14ac:dyDescent="0.25">
      <c r="A227" s="76">
        <v>5239</v>
      </c>
      <c r="B227" s="127" t="s">
        <v>243</v>
      </c>
      <c r="C227" s="279">
        <f t="shared" si="26"/>
        <v>5009</v>
      </c>
      <c r="D227" s="134">
        <v>5009</v>
      </c>
      <c r="E227" s="283"/>
      <c r="F227" s="279">
        <f t="shared" si="30"/>
        <v>5009</v>
      </c>
      <c r="G227" s="134"/>
      <c r="H227" s="135"/>
      <c r="I227" s="136">
        <f t="shared" si="31"/>
        <v>0</v>
      </c>
      <c r="J227" s="134"/>
      <c r="K227" s="135"/>
      <c r="L227" s="136">
        <f t="shared" si="32"/>
        <v>0</v>
      </c>
      <c r="M227" s="284"/>
      <c r="N227" s="285"/>
      <c r="O227" s="136">
        <f t="shared" si="33"/>
        <v>0</v>
      </c>
      <c r="P227" s="85"/>
      <c r="R227" s="53"/>
      <c r="S227" s="53"/>
      <c r="T227" s="53"/>
    </row>
    <row r="228" spans="1:20" ht="24" hidden="1" x14ac:dyDescent="0.25">
      <c r="A228" s="276">
        <v>5240</v>
      </c>
      <c r="B228" s="127" t="s">
        <v>244</v>
      </c>
      <c r="C228" s="279">
        <f t="shared" si="26"/>
        <v>0</v>
      </c>
      <c r="D228" s="134"/>
      <c r="E228" s="285"/>
      <c r="F228" s="286">
        <f t="shared" si="30"/>
        <v>0</v>
      </c>
      <c r="G228" s="134"/>
      <c r="H228" s="135"/>
      <c r="I228" s="136">
        <f t="shared" si="31"/>
        <v>0</v>
      </c>
      <c r="J228" s="134"/>
      <c r="K228" s="135"/>
      <c r="L228" s="136">
        <f t="shared" si="32"/>
        <v>0</v>
      </c>
      <c r="M228" s="284"/>
      <c r="N228" s="285"/>
      <c r="O228" s="136">
        <f t="shared" si="33"/>
        <v>0</v>
      </c>
      <c r="P228" s="85"/>
      <c r="R228" s="53"/>
      <c r="S228" s="53"/>
      <c r="T228" s="53"/>
    </row>
    <row r="229" spans="1:20" hidden="1" x14ac:dyDescent="0.25">
      <c r="A229" s="276">
        <v>5250</v>
      </c>
      <c r="B229" s="127" t="s">
        <v>245</v>
      </c>
      <c r="C229" s="279">
        <f t="shared" si="26"/>
        <v>0</v>
      </c>
      <c r="D229" s="134"/>
      <c r="E229" s="285"/>
      <c r="F229" s="286">
        <f t="shared" si="30"/>
        <v>0</v>
      </c>
      <c r="G229" s="134"/>
      <c r="H229" s="135"/>
      <c r="I229" s="136">
        <f t="shared" si="31"/>
        <v>0</v>
      </c>
      <c r="J229" s="134"/>
      <c r="K229" s="135"/>
      <c r="L229" s="136">
        <f t="shared" si="32"/>
        <v>0</v>
      </c>
      <c r="M229" s="284"/>
      <c r="N229" s="285"/>
      <c r="O229" s="136">
        <f t="shared" si="33"/>
        <v>0</v>
      </c>
      <c r="P229" s="85"/>
      <c r="R229" s="53"/>
      <c r="S229" s="53"/>
      <c r="T229" s="53"/>
    </row>
    <row r="230" spans="1:20" hidden="1" x14ac:dyDescent="0.25">
      <c r="A230" s="276">
        <v>5260</v>
      </c>
      <c r="B230" s="127" t="s">
        <v>246</v>
      </c>
      <c r="C230" s="279">
        <f t="shared" si="26"/>
        <v>0</v>
      </c>
      <c r="D230" s="277">
        <f>SUM(D231)</f>
        <v>0</v>
      </c>
      <c r="E230" s="282">
        <f>SUM(E231)</f>
        <v>0</v>
      </c>
      <c r="F230" s="286">
        <f t="shared" si="30"/>
        <v>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c r="R230" s="53"/>
      <c r="S230" s="53"/>
      <c r="T230" s="53"/>
    </row>
    <row r="231" spans="1:20" ht="24" hidden="1" x14ac:dyDescent="0.25">
      <c r="A231" s="76">
        <v>5269</v>
      </c>
      <c r="B231" s="127" t="s">
        <v>247</v>
      </c>
      <c r="C231" s="279">
        <f t="shared" si="26"/>
        <v>0</v>
      </c>
      <c r="D231" s="134"/>
      <c r="E231" s="285"/>
      <c r="F231" s="286">
        <f t="shared" si="30"/>
        <v>0</v>
      </c>
      <c r="G231" s="134"/>
      <c r="H231" s="135"/>
      <c r="I231" s="136">
        <f t="shared" si="31"/>
        <v>0</v>
      </c>
      <c r="J231" s="134"/>
      <c r="K231" s="135"/>
      <c r="L231" s="136">
        <f t="shared" si="32"/>
        <v>0</v>
      </c>
      <c r="M231" s="284"/>
      <c r="N231" s="285"/>
      <c r="O231" s="136">
        <f t="shared" si="33"/>
        <v>0</v>
      </c>
      <c r="P231" s="85"/>
      <c r="R231" s="53"/>
      <c r="S231" s="53"/>
      <c r="T231" s="53"/>
    </row>
    <row r="232" spans="1:20" ht="24" hidden="1" x14ac:dyDescent="0.25">
      <c r="A232" s="254">
        <v>5270</v>
      </c>
      <c r="B232" s="179" t="s">
        <v>248</v>
      </c>
      <c r="C232" s="302">
        <f t="shared" si="26"/>
        <v>0</v>
      </c>
      <c r="D232" s="287"/>
      <c r="E232" s="291"/>
      <c r="F232" s="310">
        <f t="shared" si="30"/>
        <v>0</v>
      </c>
      <c r="G232" s="287"/>
      <c r="H232" s="289"/>
      <c r="I232" s="259">
        <f t="shared" si="31"/>
        <v>0</v>
      </c>
      <c r="J232" s="287"/>
      <c r="K232" s="289"/>
      <c r="L232" s="259">
        <f t="shared" si="32"/>
        <v>0</v>
      </c>
      <c r="M232" s="290"/>
      <c r="N232" s="291"/>
      <c r="O232" s="259">
        <f t="shared" si="33"/>
        <v>0</v>
      </c>
      <c r="P232" s="189"/>
      <c r="R232" s="53"/>
      <c r="S232" s="53"/>
      <c r="T232" s="53"/>
    </row>
    <row r="233" spans="1:20" hidden="1" x14ac:dyDescent="0.25">
      <c r="A233" s="237">
        <v>6000</v>
      </c>
      <c r="B233" s="237" t="s">
        <v>249</v>
      </c>
      <c r="C233" s="238">
        <f t="shared" si="26"/>
        <v>0</v>
      </c>
      <c r="D233" s="239">
        <f>D234+D254+D261</f>
        <v>0</v>
      </c>
      <c r="E233" s="245">
        <f>E234+E254+E261</f>
        <v>0</v>
      </c>
      <c r="F233" s="320">
        <f t="shared" si="30"/>
        <v>0</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c r="R233" s="53"/>
      <c r="S233" s="53"/>
      <c r="T233" s="53"/>
    </row>
    <row r="234" spans="1:20"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c r="R234" s="53"/>
      <c r="S234" s="53"/>
      <c r="T234" s="53"/>
    </row>
    <row r="235" spans="1:20" ht="24" hidden="1" x14ac:dyDescent="0.25">
      <c r="A235" s="656">
        <v>6220</v>
      </c>
      <c r="B235" s="116" t="s">
        <v>251</v>
      </c>
      <c r="C235" s="298">
        <f t="shared" si="26"/>
        <v>0</v>
      </c>
      <c r="D235" s="123"/>
      <c r="E235" s="262"/>
      <c r="F235" s="263">
        <f t="shared" si="30"/>
        <v>0</v>
      </c>
      <c r="G235" s="123"/>
      <c r="H235" s="124"/>
      <c r="I235" s="125">
        <f t="shared" si="31"/>
        <v>0</v>
      </c>
      <c r="J235" s="123"/>
      <c r="K235" s="124"/>
      <c r="L235" s="125">
        <f t="shared" si="32"/>
        <v>0</v>
      </c>
      <c r="M235" s="264"/>
      <c r="N235" s="262"/>
      <c r="O235" s="125">
        <f t="shared" si="33"/>
        <v>0</v>
      </c>
      <c r="P235" s="74"/>
      <c r="R235" s="53"/>
      <c r="S235" s="53"/>
      <c r="T235" s="53"/>
    </row>
    <row r="236" spans="1:20" hidden="1" x14ac:dyDescent="0.25">
      <c r="A236" s="276">
        <v>6230</v>
      </c>
      <c r="B236" s="127" t="s">
        <v>252</v>
      </c>
      <c r="C236" s="278">
        <f t="shared" si="26"/>
        <v>0</v>
      </c>
      <c r="D236" s="277">
        <f>SUM(D237)</f>
        <v>0</v>
      </c>
      <c r="E236" s="280">
        <f>SUM(E237)</f>
        <v>0</v>
      </c>
      <c r="F236" s="28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c r="R236" s="53"/>
      <c r="S236" s="53"/>
      <c r="T236" s="53"/>
    </row>
    <row r="237" spans="1:20" ht="24" hidden="1" x14ac:dyDescent="0.25">
      <c r="A237" s="76">
        <v>6239</v>
      </c>
      <c r="B237" s="116" t="s">
        <v>253</v>
      </c>
      <c r="C237" s="278">
        <f t="shared" si="26"/>
        <v>0</v>
      </c>
      <c r="D237" s="134"/>
      <c r="E237" s="285"/>
      <c r="F237" s="286">
        <f t="shared" si="30"/>
        <v>0</v>
      </c>
      <c r="G237" s="134"/>
      <c r="H237" s="135"/>
      <c r="I237" s="136">
        <f t="shared" si="31"/>
        <v>0</v>
      </c>
      <c r="J237" s="134"/>
      <c r="K237" s="135"/>
      <c r="L237" s="136">
        <f t="shared" si="32"/>
        <v>0</v>
      </c>
      <c r="M237" s="284"/>
      <c r="N237" s="285"/>
      <c r="O237" s="136">
        <f t="shared" si="33"/>
        <v>0</v>
      </c>
      <c r="P237" s="85"/>
      <c r="R237" s="53"/>
      <c r="S237" s="53"/>
      <c r="T237" s="53"/>
    </row>
    <row r="238" spans="1:20" ht="24" hidden="1" x14ac:dyDescent="0.25">
      <c r="A238" s="276">
        <v>6240</v>
      </c>
      <c r="B238" s="127" t="s">
        <v>254</v>
      </c>
      <c r="C238" s="278">
        <f t="shared" si="26"/>
        <v>0</v>
      </c>
      <c r="D238" s="277">
        <f>SUM(D239:D240)</f>
        <v>0</v>
      </c>
      <c r="E238" s="282">
        <f>SUM(E239:E240)</f>
        <v>0</v>
      </c>
      <c r="F238" s="28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c r="R238" s="53"/>
      <c r="S238" s="53"/>
      <c r="T238" s="53"/>
    </row>
    <row r="239" spans="1:20" hidden="1" x14ac:dyDescent="0.25">
      <c r="A239" s="76">
        <v>6241</v>
      </c>
      <c r="B239" s="127" t="s">
        <v>255</v>
      </c>
      <c r="C239" s="278">
        <f t="shared" si="26"/>
        <v>0</v>
      </c>
      <c r="D239" s="134"/>
      <c r="E239" s="285"/>
      <c r="F239" s="286">
        <f t="shared" si="30"/>
        <v>0</v>
      </c>
      <c r="G239" s="134"/>
      <c r="H239" s="135"/>
      <c r="I239" s="136">
        <f t="shared" si="31"/>
        <v>0</v>
      </c>
      <c r="J239" s="134"/>
      <c r="K239" s="135"/>
      <c r="L239" s="136">
        <f t="shared" si="32"/>
        <v>0</v>
      </c>
      <c r="M239" s="284"/>
      <c r="N239" s="285"/>
      <c r="O239" s="136">
        <f t="shared" si="33"/>
        <v>0</v>
      </c>
      <c r="P239" s="85"/>
      <c r="R239" s="53"/>
      <c r="S239" s="53"/>
      <c r="T239" s="53"/>
    </row>
    <row r="240" spans="1:20" hidden="1" x14ac:dyDescent="0.25">
      <c r="A240" s="76">
        <v>6242</v>
      </c>
      <c r="B240" s="127" t="s">
        <v>256</v>
      </c>
      <c r="C240" s="278">
        <f t="shared" si="26"/>
        <v>0</v>
      </c>
      <c r="D240" s="134"/>
      <c r="E240" s="285"/>
      <c r="F240" s="286">
        <f t="shared" si="30"/>
        <v>0</v>
      </c>
      <c r="G240" s="134"/>
      <c r="H240" s="135"/>
      <c r="I240" s="136">
        <f t="shared" si="31"/>
        <v>0</v>
      </c>
      <c r="J240" s="134"/>
      <c r="K240" s="135"/>
      <c r="L240" s="136">
        <f t="shared" si="32"/>
        <v>0</v>
      </c>
      <c r="M240" s="284"/>
      <c r="N240" s="285"/>
      <c r="O240" s="136">
        <f t="shared" si="33"/>
        <v>0</v>
      </c>
      <c r="P240" s="85"/>
      <c r="R240" s="53"/>
      <c r="S240" s="53"/>
      <c r="T240" s="53"/>
    </row>
    <row r="241" spans="1:20" ht="24" hidden="1" x14ac:dyDescent="0.25">
      <c r="A241" s="276">
        <v>6250</v>
      </c>
      <c r="B241" s="127" t="s">
        <v>257</v>
      </c>
      <c r="C241" s="278">
        <f t="shared" si="26"/>
        <v>0</v>
      </c>
      <c r="D241" s="277">
        <f>SUM(D242:D246)</f>
        <v>0</v>
      </c>
      <c r="E241" s="282">
        <f>SUM(E242:E246)</f>
        <v>0</v>
      </c>
      <c r="F241" s="28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c r="R241" s="53"/>
      <c r="S241" s="53"/>
      <c r="T241" s="53"/>
    </row>
    <row r="242" spans="1:20" hidden="1" x14ac:dyDescent="0.25">
      <c r="A242" s="76">
        <v>6252</v>
      </c>
      <c r="B242" s="127" t="s">
        <v>258</v>
      </c>
      <c r="C242" s="278">
        <f t="shared" si="26"/>
        <v>0</v>
      </c>
      <c r="D242" s="134"/>
      <c r="E242" s="285"/>
      <c r="F242" s="286">
        <f t="shared" si="30"/>
        <v>0</v>
      </c>
      <c r="G242" s="134"/>
      <c r="H242" s="135"/>
      <c r="I242" s="136">
        <f t="shared" si="31"/>
        <v>0</v>
      </c>
      <c r="J242" s="134"/>
      <c r="K242" s="135"/>
      <c r="L242" s="136">
        <f t="shared" si="32"/>
        <v>0</v>
      </c>
      <c r="M242" s="284"/>
      <c r="N242" s="285"/>
      <c r="O242" s="136">
        <f t="shared" si="33"/>
        <v>0</v>
      </c>
      <c r="P242" s="85"/>
      <c r="R242" s="53"/>
      <c r="S242" s="53"/>
      <c r="T242" s="53"/>
    </row>
    <row r="243" spans="1:20" hidden="1" x14ac:dyDescent="0.25">
      <c r="A243" s="76">
        <v>6253</v>
      </c>
      <c r="B243" s="127" t="s">
        <v>259</v>
      </c>
      <c r="C243" s="278">
        <f t="shared" si="26"/>
        <v>0</v>
      </c>
      <c r="D243" s="134"/>
      <c r="E243" s="285"/>
      <c r="F243" s="286">
        <f t="shared" si="30"/>
        <v>0</v>
      </c>
      <c r="G243" s="134"/>
      <c r="H243" s="135"/>
      <c r="I243" s="136">
        <f t="shared" si="31"/>
        <v>0</v>
      </c>
      <c r="J243" s="134"/>
      <c r="K243" s="135"/>
      <c r="L243" s="136">
        <f t="shared" si="32"/>
        <v>0</v>
      </c>
      <c r="M243" s="284"/>
      <c r="N243" s="285"/>
      <c r="O243" s="136">
        <f t="shared" si="33"/>
        <v>0</v>
      </c>
      <c r="P243" s="85"/>
      <c r="R243" s="53"/>
      <c r="S243" s="53"/>
      <c r="T243" s="53"/>
    </row>
    <row r="244" spans="1:20" ht="24" hidden="1" x14ac:dyDescent="0.25">
      <c r="A244" s="76">
        <v>6254</v>
      </c>
      <c r="B244" s="127" t="s">
        <v>260</v>
      </c>
      <c r="C244" s="278">
        <f t="shared" si="26"/>
        <v>0</v>
      </c>
      <c r="D244" s="134"/>
      <c r="E244" s="285"/>
      <c r="F244" s="286">
        <f t="shared" si="30"/>
        <v>0</v>
      </c>
      <c r="G244" s="134"/>
      <c r="H244" s="135"/>
      <c r="I244" s="136">
        <f t="shared" si="31"/>
        <v>0</v>
      </c>
      <c r="J244" s="134"/>
      <c r="K244" s="135"/>
      <c r="L244" s="136">
        <f t="shared" si="32"/>
        <v>0</v>
      </c>
      <c r="M244" s="284"/>
      <c r="N244" s="285"/>
      <c r="O244" s="136">
        <f t="shared" si="33"/>
        <v>0</v>
      </c>
      <c r="P244" s="85"/>
      <c r="R244" s="53"/>
      <c r="S244" s="53"/>
      <c r="T244" s="53"/>
    </row>
    <row r="245" spans="1:20" ht="24" hidden="1" x14ac:dyDescent="0.25">
      <c r="A245" s="76">
        <v>6255</v>
      </c>
      <c r="B245" s="127" t="s">
        <v>261</v>
      </c>
      <c r="C245" s="278">
        <f t="shared" si="26"/>
        <v>0</v>
      </c>
      <c r="D245" s="134"/>
      <c r="E245" s="285"/>
      <c r="F245" s="286">
        <f t="shared" si="30"/>
        <v>0</v>
      </c>
      <c r="G245" s="134"/>
      <c r="H245" s="135"/>
      <c r="I245" s="136">
        <f t="shared" si="31"/>
        <v>0</v>
      </c>
      <c r="J245" s="134"/>
      <c r="K245" s="135"/>
      <c r="L245" s="136">
        <f t="shared" si="32"/>
        <v>0</v>
      </c>
      <c r="M245" s="284"/>
      <c r="N245" s="285"/>
      <c r="O245" s="136">
        <f t="shared" si="33"/>
        <v>0</v>
      </c>
      <c r="P245" s="85"/>
      <c r="R245" s="53"/>
      <c r="S245" s="53"/>
      <c r="T245" s="53"/>
    </row>
    <row r="246" spans="1:20" hidden="1" x14ac:dyDescent="0.25">
      <c r="A246" s="76">
        <v>6259</v>
      </c>
      <c r="B246" s="127" t="s">
        <v>262</v>
      </c>
      <c r="C246" s="278">
        <f t="shared" si="26"/>
        <v>0</v>
      </c>
      <c r="D246" s="134"/>
      <c r="E246" s="285"/>
      <c r="F246" s="286">
        <f t="shared" si="30"/>
        <v>0</v>
      </c>
      <c r="G246" s="134"/>
      <c r="H246" s="135"/>
      <c r="I246" s="136">
        <f t="shared" si="31"/>
        <v>0</v>
      </c>
      <c r="J246" s="134"/>
      <c r="K246" s="135"/>
      <c r="L246" s="136">
        <f t="shared" si="32"/>
        <v>0</v>
      </c>
      <c r="M246" s="284"/>
      <c r="N246" s="285"/>
      <c r="O246" s="136">
        <f t="shared" si="33"/>
        <v>0</v>
      </c>
      <c r="P246" s="85"/>
      <c r="R246" s="53"/>
      <c r="S246" s="53"/>
      <c r="T246" s="53"/>
    </row>
    <row r="247" spans="1:20" ht="24" hidden="1" x14ac:dyDescent="0.25">
      <c r="A247" s="276">
        <v>6260</v>
      </c>
      <c r="B247" s="127" t="s">
        <v>263</v>
      </c>
      <c r="C247" s="278">
        <f t="shared" si="26"/>
        <v>0</v>
      </c>
      <c r="D247" s="134"/>
      <c r="E247" s="285"/>
      <c r="F247" s="286">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c r="R247" s="53"/>
      <c r="S247" s="53"/>
      <c r="T247" s="53"/>
    </row>
    <row r="248" spans="1:20" hidden="1" x14ac:dyDescent="0.25">
      <c r="A248" s="276">
        <v>6270</v>
      </c>
      <c r="B248" s="127" t="s">
        <v>264</v>
      </c>
      <c r="C248" s="278">
        <f t="shared" si="26"/>
        <v>0</v>
      </c>
      <c r="D248" s="134"/>
      <c r="E248" s="285"/>
      <c r="F248" s="286">
        <f t="shared" si="37"/>
        <v>0</v>
      </c>
      <c r="G248" s="134"/>
      <c r="H248" s="135"/>
      <c r="I248" s="136">
        <f t="shared" si="38"/>
        <v>0</v>
      </c>
      <c r="J248" s="134"/>
      <c r="K248" s="135"/>
      <c r="L248" s="136">
        <f t="shared" si="39"/>
        <v>0</v>
      </c>
      <c r="M248" s="284"/>
      <c r="N248" s="285"/>
      <c r="O248" s="136">
        <f t="shared" si="40"/>
        <v>0</v>
      </c>
      <c r="P248" s="85"/>
      <c r="R248" s="53"/>
      <c r="S248" s="53"/>
      <c r="T248" s="53"/>
    </row>
    <row r="249" spans="1:20" ht="24" hidden="1" x14ac:dyDescent="0.25">
      <c r="A249" s="656">
        <v>6290</v>
      </c>
      <c r="B249" s="116" t="s">
        <v>265</v>
      </c>
      <c r="C249" s="278">
        <f t="shared" si="26"/>
        <v>0</v>
      </c>
      <c r="D249" s="297">
        <f>SUM(D250:D253)</f>
        <v>0</v>
      </c>
      <c r="E249" s="301">
        <f>SUM(E250:E253)</f>
        <v>0</v>
      </c>
      <c r="F249" s="263">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c r="R249" s="53"/>
      <c r="S249" s="53"/>
      <c r="T249" s="53"/>
    </row>
    <row r="250" spans="1:20" hidden="1" x14ac:dyDescent="0.25">
      <c r="A250" s="76">
        <v>6291</v>
      </c>
      <c r="B250" s="127" t="s">
        <v>266</v>
      </c>
      <c r="C250" s="278">
        <f t="shared" si="26"/>
        <v>0</v>
      </c>
      <c r="D250" s="134"/>
      <c r="E250" s="285"/>
      <c r="F250" s="286">
        <f t="shared" si="37"/>
        <v>0</v>
      </c>
      <c r="G250" s="134"/>
      <c r="H250" s="135"/>
      <c r="I250" s="136">
        <f t="shared" si="38"/>
        <v>0</v>
      </c>
      <c r="J250" s="134"/>
      <c r="K250" s="135"/>
      <c r="L250" s="136">
        <f t="shared" si="39"/>
        <v>0</v>
      </c>
      <c r="M250" s="284"/>
      <c r="N250" s="285"/>
      <c r="O250" s="136">
        <f t="shared" si="40"/>
        <v>0</v>
      </c>
      <c r="P250" s="85"/>
      <c r="R250" s="53"/>
      <c r="S250" s="53"/>
      <c r="T250" s="53"/>
    </row>
    <row r="251" spans="1:20" hidden="1" x14ac:dyDescent="0.25">
      <c r="A251" s="76">
        <v>6292</v>
      </c>
      <c r="B251" s="127" t="s">
        <v>267</v>
      </c>
      <c r="C251" s="278">
        <f t="shared" si="26"/>
        <v>0</v>
      </c>
      <c r="D251" s="134"/>
      <c r="E251" s="285"/>
      <c r="F251" s="286">
        <f t="shared" si="37"/>
        <v>0</v>
      </c>
      <c r="G251" s="134"/>
      <c r="H251" s="135"/>
      <c r="I251" s="136">
        <f t="shared" si="38"/>
        <v>0</v>
      </c>
      <c r="J251" s="134"/>
      <c r="K251" s="135"/>
      <c r="L251" s="136">
        <f t="shared" si="39"/>
        <v>0</v>
      </c>
      <c r="M251" s="284"/>
      <c r="N251" s="285"/>
      <c r="O251" s="136">
        <f t="shared" si="40"/>
        <v>0</v>
      </c>
      <c r="P251" s="85"/>
      <c r="R251" s="53"/>
      <c r="S251" s="53"/>
      <c r="T251" s="53"/>
    </row>
    <row r="252" spans="1:20" ht="72" hidden="1" x14ac:dyDescent="0.25">
      <c r="A252" s="76">
        <v>6296</v>
      </c>
      <c r="B252" s="127" t="s">
        <v>268</v>
      </c>
      <c r="C252" s="278">
        <f t="shared" si="26"/>
        <v>0</v>
      </c>
      <c r="D252" s="134"/>
      <c r="E252" s="285"/>
      <c r="F252" s="286">
        <f t="shared" si="37"/>
        <v>0</v>
      </c>
      <c r="G252" s="134"/>
      <c r="H252" s="135"/>
      <c r="I252" s="136">
        <f t="shared" si="38"/>
        <v>0</v>
      </c>
      <c r="J252" s="134"/>
      <c r="K252" s="135"/>
      <c r="L252" s="136">
        <f t="shared" si="39"/>
        <v>0</v>
      </c>
      <c r="M252" s="284"/>
      <c r="N252" s="285"/>
      <c r="O252" s="136">
        <f t="shared" si="40"/>
        <v>0</v>
      </c>
      <c r="P252" s="85"/>
      <c r="R252" s="53"/>
      <c r="S252" s="53"/>
      <c r="T252" s="53"/>
    </row>
    <row r="253" spans="1:20" ht="36" hidden="1" x14ac:dyDescent="0.25">
      <c r="A253" s="76">
        <v>6299</v>
      </c>
      <c r="B253" s="127" t="s">
        <v>269</v>
      </c>
      <c r="C253" s="278">
        <f t="shared" si="26"/>
        <v>0</v>
      </c>
      <c r="D253" s="134"/>
      <c r="E253" s="285"/>
      <c r="F253" s="286">
        <f t="shared" si="37"/>
        <v>0</v>
      </c>
      <c r="G253" s="134"/>
      <c r="H253" s="135"/>
      <c r="I253" s="136">
        <f t="shared" si="38"/>
        <v>0</v>
      </c>
      <c r="J253" s="134"/>
      <c r="K253" s="135"/>
      <c r="L253" s="136">
        <f t="shared" si="39"/>
        <v>0</v>
      </c>
      <c r="M253" s="284"/>
      <c r="N253" s="285"/>
      <c r="O253" s="136">
        <f t="shared" si="40"/>
        <v>0</v>
      </c>
      <c r="P253" s="85"/>
      <c r="R253" s="53"/>
      <c r="S253" s="53"/>
      <c r="T253" s="53"/>
    </row>
    <row r="254" spans="1:20" hidden="1" x14ac:dyDescent="0.25">
      <c r="A254" s="99">
        <v>6300</v>
      </c>
      <c r="B254" s="247" t="s">
        <v>270</v>
      </c>
      <c r="C254" s="100">
        <f t="shared" si="26"/>
        <v>0</v>
      </c>
      <c r="D254" s="112">
        <f>SUM(D255,D259,D260)</f>
        <v>0</v>
      </c>
      <c r="E254" s="293">
        <f>SUM(E255,E259,E260)</f>
        <v>0</v>
      </c>
      <c r="F254" s="313">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c r="R254" s="53"/>
      <c r="S254" s="53"/>
      <c r="T254" s="53"/>
    </row>
    <row r="255" spans="1:20" ht="24" hidden="1" x14ac:dyDescent="0.25">
      <c r="A255" s="656">
        <v>6320</v>
      </c>
      <c r="B255" s="116" t="s">
        <v>271</v>
      </c>
      <c r="C255" s="322">
        <f t="shared" si="26"/>
        <v>0</v>
      </c>
      <c r="D255" s="297">
        <f>SUM(D256:D258)</f>
        <v>0</v>
      </c>
      <c r="E255" s="301">
        <f>SUM(E256:E258)</f>
        <v>0</v>
      </c>
      <c r="F255" s="263">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c r="R255" s="53"/>
      <c r="S255" s="53"/>
      <c r="T255" s="53"/>
    </row>
    <row r="256" spans="1:20" hidden="1" x14ac:dyDescent="0.25">
      <c r="A256" s="76">
        <v>6322</v>
      </c>
      <c r="B256" s="127" t="s">
        <v>272</v>
      </c>
      <c r="C256" s="281">
        <f t="shared" si="26"/>
        <v>0</v>
      </c>
      <c r="D256" s="134"/>
      <c r="E256" s="285"/>
      <c r="F256" s="286">
        <f t="shared" si="37"/>
        <v>0</v>
      </c>
      <c r="G256" s="134"/>
      <c r="H256" s="135"/>
      <c r="I256" s="136">
        <f t="shared" si="38"/>
        <v>0</v>
      </c>
      <c r="J256" s="134"/>
      <c r="K256" s="135"/>
      <c r="L256" s="136">
        <f t="shared" si="39"/>
        <v>0</v>
      </c>
      <c r="M256" s="284"/>
      <c r="N256" s="285"/>
      <c r="O256" s="136">
        <f t="shared" si="40"/>
        <v>0</v>
      </c>
      <c r="P256" s="85"/>
      <c r="R256" s="53"/>
      <c r="S256" s="53"/>
      <c r="T256" s="53"/>
    </row>
    <row r="257" spans="1:20" ht="24" hidden="1" x14ac:dyDescent="0.25">
      <c r="A257" s="76">
        <v>6323</v>
      </c>
      <c r="B257" s="127" t="s">
        <v>273</v>
      </c>
      <c r="C257" s="281">
        <f t="shared" si="26"/>
        <v>0</v>
      </c>
      <c r="D257" s="134"/>
      <c r="E257" s="285"/>
      <c r="F257" s="286">
        <f t="shared" si="37"/>
        <v>0</v>
      </c>
      <c r="G257" s="134"/>
      <c r="H257" s="135"/>
      <c r="I257" s="136">
        <f t="shared" si="38"/>
        <v>0</v>
      </c>
      <c r="J257" s="134"/>
      <c r="K257" s="135"/>
      <c r="L257" s="136">
        <f t="shared" si="39"/>
        <v>0</v>
      </c>
      <c r="M257" s="284"/>
      <c r="N257" s="285"/>
      <c r="O257" s="136">
        <f t="shared" si="40"/>
        <v>0</v>
      </c>
      <c r="P257" s="85"/>
      <c r="R257" s="53"/>
      <c r="S257" s="53"/>
      <c r="T257" s="53"/>
    </row>
    <row r="258" spans="1:20" ht="24" hidden="1" x14ac:dyDescent="0.25">
      <c r="A258" s="66">
        <v>6324</v>
      </c>
      <c r="B258" s="116" t="s">
        <v>274</v>
      </c>
      <c r="C258" s="281">
        <f t="shared" si="26"/>
        <v>0</v>
      </c>
      <c r="D258" s="123"/>
      <c r="E258" s="262"/>
      <c r="F258" s="263">
        <f t="shared" si="37"/>
        <v>0</v>
      </c>
      <c r="G258" s="123"/>
      <c r="H258" s="124"/>
      <c r="I258" s="125">
        <f t="shared" si="38"/>
        <v>0</v>
      </c>
      <c r="J258" s="123"/>
      <c r="K258" s="124"/>
      <c r="L258" s="125">
        <f t="shared" si="39"/>
        <v>0</v>
      </c>
      <c r="M258" s="264"/>
      <c r="N258" s="262"/>
      <c r="O258" s="125">
        <f t="shared" si="40"/>
        <v>0</v>
      </c>
      <c r="P258" s="74"/>
      <c r="R258" s="53"/>
      <c r="S258" s="53"/>
      <c r="T258" s="53"/>
    </row>
    <row r="259" spans="1:20" ht="24" hidden="1" x14ac:dyDescent="0.25">
      <c r="A259" s="344">
        <v>6330</v>
      </c>
      <c r="B259" s="345" t="s">
        <v>275</v>
      </c>
      <c r="C259" s="281">
        <f t="shared" ref="C259:C286" si="50">F259+I259+L259+O259</f>
        <v>0</v>
      </c>
      <c r="D259" s="328"/>
      <c r="E259" s="329"/>
      <c r="F259" s="330">
        <f t="shared" si="37"/>
        <v>0</v>
      </c>
      <c r="G259" s="328"/>
      <c r="H259" s="331"/>
      <c r="I259" s="324">
        <f t="shared" si="38"/>
        <v>0</v>
      </c>
      <c r="J259" s="328"/>
      <c r="K259" s="331"/>
      <c r="L259" s="324">
        <f t="shared" si="39"/>
        <v>0</v>
      </c>
      <c r="M259" s="332"/>
      <c r="N259" s="329"/>
      <c r="O259" s="324">
        <f t="shared" si="40"/>
        <v>0</v>
      </c>
      <c r="P259" s="325"/>
      <c r="R259" s="53"/>
      <c r="S259" s="53"/>
      <c r="T259" s="53"/>
    </row>
    <row r="260" spans="1:20" hidden="1" x14ac:dyDescent="0.25">
      <c r="A260" s="276">
        <v>6360</v>
      </c>
      <c r="B260" s="127" t="s">
        <v>276</v>
      </c>
      <c r="C260" s="281">
        <f t="shared" si="50"/>
        <v>0</v>
      </c>
      <c r="D260" s="134"/>
      <c r="E260" s="285"/>
      <c r="F260" s="286">
        <f t="shared" si="37"/>
        <v>0</v>
      </c>
      <c r="G260" s="134"/>
      <c r="H260" s="135"/>
      <c r="I260" s="136">
        <f t="shared" si="38"/>
        <v>0</v>
      </c>
      <c r="J260" s="134"/>
      <c r="K260" s="135"/>
      <c r="L260" s="136">
        <f t="shared" si="39"/>
        <v>0</v>
      </c>
      <c r="M260" s="284"/>
      <c r="N260" s="285"/>
      <c r="O260" s="136">
        <f t="shared" si="40"/>
        <v>0</v>
      </c>
      <c r="P260" s="85"/>
      <c r="R260" s="53"/>
      <c r="S260" s="53"/>
      <c r="T260" s="53"/>
    </row>
    <row r="261" spans="1:20" ht="36" hidden="1" x14ac:dyDescent="0.25">
      <c r="A261" s="99">
        <v>6400</v>
      </c>
      <c r="B261" s="247" t="s">
        <v>277</v>
      </c>
      <c r="C261" s="100">
        <f t="shared" si="50"/>
        <v>0</v>
      </c>
      <c r="D261" s="112">
        <f>SUM(D262,D266)</f>
        <v>0</v>
      </c>
      <c r="E261" s="293">
        <f>SUM(E262,E266)</f>
        <v>0</v>
      </c>
      <c r="F261" s="313">
        <f t="shared" si="37"/>
        <v>0</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c r="R261" s="53"/>
      <c r="S261" s="53"/>
      <c r="T261" s="53"/>
    </row>
    <row r="262" spans="1:20" ht="24" hidden="1" x14ac:dyDescent="0.25">
      <c r="A262" s="656">
        <v>6410</v>
      </c>
      <c r="B262" s="116" t="s">
        <v>278</v>
      </c>
      <c r="C262" s="300">
        <f t="shared" si="50"/>
        <v>0</v>
      </c>
      <c r="D262" s="297">
        <f>SUM(D263:D265)</f>
        <v>0</v>
      </c>
      <c r="E262" s="301">
        <f>SUM(E263:E265)</f>
        <v>0</v>
      </c>
      <c r="F262" s="263">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c r="R262" s="53"/>
      <c r="S262" s="53"/>
      <c r="T262" s="53"/>
    </row>
    <row r="263" spans="1:20" hidden="1" x14ac:dyDescent="0.25">
      <c r="A263" s="76">
        <v>6411</v>
      </c>
      <c r="B263" s="346" t="s">
        <v>279</v>
      </c>
      <c r="C263" s="278">
        <f t="shared" si="50"/>
        <v>0</v>
      </c>
      <c r="D263" s="134"/>
      <c r="E263" s="285"/>
      <c r="F263" s="286">
        <f t="shared" si="37"/>
        <v>0</v>
      </c>
      <c r="G263" s="134"/>
      <c r="H263" s="135"/>
      <c r="I263" s="136">
        <f t="shared" si="38"/>
        <v>0</v>
      </c>
      <c r="J263" s="134"/>
      <c r="K263" s="135"/>
      <c r="L263" s="136">
        <f t="shared" si="39"/>
        <v>0</v>
      </c>
      <c r="M263" s="284"/>
      <c r="N263" s="285"/>
      <c r="O263" s="136">
        <f t="shared" si="40"/>
        <v>0</v>
      </c>
      <c r="P263" s="85"/>
      <c r="R263" s="53"/>
      <c r="S263" s="53"/>
      <c r="T263" s="53"/>
    </row>
    <row r="264" spans="1:20" ht="36" hidden="1" x14ac:dyDescent="0.25">
      <c r="A264" s="76">
        <v>6412</v>
      </c>
      <c r="B264" s="127" t="s">
        <v>280</v>
      </c>
      <c r="C264" s="278">
        <f t="shared" si="50"/>
        <v>0</v>
      </c>
      <c r="D264" s="134"/>
      <c r="E264" s="285"/>
      <c r="F264" s="286">
        <f t="shared" si="37"/>
        <v>0</v>
      </c>
      <c r="G264" s="134"/>
      <c r="H264" s="135"/>
      <c r="I264" s="136">
        <f t="shared" si="38"/>
        <v>0</v>
      </c>
      <c r="J264" s="134"/>
      <c r="K264" s="135"/>
      <c r="L264" s="136">
        <f t="shared" si="39"/>
        <v>0</v>
      </c>
      <c r="M264" s="284"/>
      <c r="N264" s="285"/>
      <c r="O264" s="136">
        <f t="shared" si="40"/>
        <v>0</v>
      </c>
      <c r="P264" s="85"/>
      <c r="R264" s="53"/>
      <c r="S264" s="53"/>
      <c r="T264" s="53"/>
    </row>
    <row r="265" spans="1:20" ht="36" hidden="1" x14ac:dyDescent="0.25">
      <c r="A265" s="76">
        <v>6419</v>
      </c>
      <c r="B265" s="127" t="s">
        <v>281</v>
      </c>
      <c r="C265" s="278">
        <f t="shared" si="50"/>
        <v>0</v>
      </c>
      <c r="D265" s="134"/>
      <c r="E265" s="285"/>
      <c r="F265" s="286">
        <f t="shared" si="37"/>
        <v>0</v>
      </c>
      <c r="G265" s="134"/>
      <c r="H265" s="135"/>
      <c r="I265" s="136">
        <f t="shared" si="38"/>
        <v>0</v>
      </c>
      <c r="J265" s="134"/>
      <c r="K265" s="135"/>
      <c r="L265" s="136">
        <f t="shared" si="39"/>
        <v>0</v>
      </c>
      <c r="M265" s="284"/>
      <c r="N265" s="285"/>
      <c r="O265" s="136">
        <f t="shared" si="40"/>
        <v>0</v>
      </c>
      <c r="P265" s="85"/>
      <c r="R265" s="53"/>
      <c r="S265" s="53"/>
      <c r="T265" s="53"/>
    </row>
    <row r="266" spans="1:20" ht="36" hidden="1" x14ac:dyDescent="0.25">
      <c r="A266" s="276">
        <v>6420</v>
      </c>
      <c r="B266" s="127" t="s">
        <v>282</v>
      </c>
      <c r="C266" s="278">
        <f t="shared" si="50"/>
        <v>0</v>
      </c>
      <c r="D266" s="277">
        <f>SUM(D267:D270)</f>
        <v>0</v>
      </c>
      <c r="E266" s="282">
        <f>SUM(E267:E270)</f>
        <v>0</v>
      </c>
      <c r="F266" s="286">
        <f t="shared" si="37"/>
        <v>0</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c r="R266" s="53"/>
      <c r="S266" s="53"/>
      <c r="T266" s="53"/>
    </row>
    <row r="267" spans="1:20" hidden="1" x14ac:dyDescent="0.25">
      <c r="A267" s="76">
        <v>6421</v>
      </c>
      <c r="B267" s="127" t="s">
        <v>283</v>
      </c>
      <c r="C267" s="278">
        <f t="shared" si="50"/>
        <v>0</v>
      </c>
      <c r="D267" s="134"/>
      <c r="E267" s="285"/>
      <c r="F267" s="286">
        <f t="shared" si="37"/>
        <v>0</v>
      </c>
      <c r="G267" s="134"/>
      <c r="H267" s="135"/>
      <c r="I267" s="136">
        <f t="shared" si="38"/>
        <v>0</v>
      </c>
      <c r="J267" s="134"/>
      <c r="K267" s="135"/>
      <c r="L267" s="136">
        <f t="shared" si="39"/>
        <v>0</v>
      </c>
      <c r="M267" s="284"/>
      <c r="N267" s="285"/>
      <c r="O267" s="136">
        <f t="shared" si="40"/>
        <v>0</v>
      </c>
      <c r="P267" s="85"/>
      <c r="R267" s="53"/>
      <c r="S267" s="53"/>
      <c r="T267" s="53"/>
    </row>
    <row r="268" spans="1:20" hidden="1" x14ac:dyDescent="0.25">
      <c r="A268" s="76">
        <v>6422</v>
      </c>
      <c r="B268" s="127" t="s">
        <v>284</v>
      </c>
      <c r="C268" s="278">
        <f t="shared" si="50"/>
        <v>0</v>
      </c>
      <c r="D268" s="134"/>
      <c r="E268" s="285"/>
      <c r="F268" s="286">
        <f t="shared" si="37"/>
        <v>0</v>
      </c>
      <c r="G268" s="134"/>
      <c r="H268" s="135"/>
      <c r="I268" s="136">
        <f t="shared" si="38"/>
        <v>0</v>
      </c>
      <c r="J268" s="134"/>
      <c r="K268" s="135"/>
      <c r="L268" s="136">
        <f t="shared" si="39"/>
        <v>0</v>
      </c>
      <c r="M268" s="284"/>
      <c r="N268" s="285"/>
      <c r="O268" s="136">
        <f t="shared" si="40"/>
        <v>0</v>
      </c>
      <c r="P268" s="85"/>
      <c r="R268" s="53"/>
      <c r="S268" s="53"/>
      <c r="T268" s="53"/>
    </row>
    <row r="269" spans="1:20" ht="24" hidden="1" x14ac:dyDescent="0.25">
      <c r="A269" s="76">
        <v>6423</v>
      </c>
      <c r="B269" s="127" t="s">
        <v>285</v>
      </c>
      <c r="C269" s="278">
        <f t="shared" si="50"/>
        <v>0</v>
      </c>
      <c r="D269" s="134"/>
      <c r="E269" s="285"/>
      <c r="F269" s="286">
        <f t="shared" si="37"/>
        <v>0</v>
      </c>
      <c r="G269" s="134"/>
      <c r="H269" s="135"/>
      <c r="I269" s="136">
        <f t="shared" si="38"/>
        <v>0</v>
      </c>
      <c r="J269" s="134"/>
      <c r="K269" s="135"/>
      <c r="L269" s="136">
        <f t="shared" si="39"/>
        <v>0</v>
      </c>
      <c r="M269" s="284"/>
      <c r="N269" s="285"/>
      <c r="O269" s="136">
        <f t="shared" si="40"/>
        <v>0</v>
      </c>
      <c r="P269" s="85"/>
      <c r="R269" s="53"/>
      <c r="S269" s="53"/>
      <c r="T269" s="53"/>
    </row>
    <row r="270" spans="1:20" ht="36" hidden="1" x14ac:dyDescent="0.25">
      <c r="A270" s="76">
        <v>6424</v>
      </c>
      <c r="B270" s="127" t="s">
        <v>286</v>
      </c>
      <c r="C270" s="278">
        <f t="shared" si="50"/>
        <v>0</v>
      </c>
      <c r="D270" s="134"/>
      <c r="E270" s="285"/>
      <c r="F270" s="286">
        <f t="shared" si="37"/>
        <v>0</v>
      </c>
      <c r="G270" s="134"/>
      <c r="H270" s="135"/>
      <c r="I270" s="136">
        <f t="shared" si="38"/>
        <v>0</v>
      </c>
      <c r="J270" s="134"/>
      <c r="K270" s="135"/>
      <c r="L270" s="136">
        <f t="shared" si="39"/>
        <v>0</v>
      </c>
      <c r="M270" s="284"/>
      <c r="N270" s="285"/>
      <c r="O270" s="136">
        <f t="shared" si="40"/>
        <v>0</v>
      </c>
      <c r="P270" s="85"/>
      <c r="R270" s="53"/>
      <c r="S270" s="53"/>
      <c r="T270" s="53"/>
    </row>
    <row r="271" spans="1:20" ht="36" hidden="1" x14ac:dyDescent="0.25">
      <c r="A271" s="347">
        <v>7000</v>
      </c>
      <c r="B271" s="347" t="s">
        <v>287</v>
      </c>
      <c r="C271" s="348">
        <f t="shared" si="50"/>
        <v>0</v>
      </c>
      <c r="D271" s="349">
        <f>SUM(D272,D282)</f>
        <v>0</v>
      </c>
      <c r="E271" s="407">
        <f>SUM(E272,E282)</f>
        <v>0</v>
      </c>
      <c r="F271" s="408">
        <f t="shared" si="37"/>
        <v>0</v>
      </c>
      <c r="G271" s="349">
        <f>SUM(G272,G282)</f>
        <v>0</v>
      </c>
      <c r="H271" s="352">
        <f>SUM(H272,H282)</f>
        <v>0</v>
      </c>
      <c r="I271" s="353">
        <f t="shared" si="38"/>
        <v>0</v>
      </c>
      <c r="J271" s="349">
        <f>SUM(J272,J282)</f>
        <v>0</v>
      </c>
      <c r="K271" s="352">
        <f>SUM(K272,K282)</f>
        <v>0</v>
      </c>
      <c r="L271" s="353">
        <f t="shared" si="39"/>
        <v>0</v>
      </c>
      <c r="M271" s="354">
        <f>SUM(M272,M282)</f>
        <v>0</v>
      </c>
      <c r="N271" s="355">
        <f>SUM(N272,N282)</f>
        <v>0</v>
      </c>
      <c r="O271" s="356">
        <f t="shared" si="40"/>
        <v>0</v>
      </c>
      <c r="P271" s="357"/>
      <c r="R271" s="53"/>
      <c r="S271" s="53"/>
      <c r="T271" s="53"/>
    </row>
    <row r="272" spans="1:20" ht="24" hidden="1" x14ac:dyDescent="0.25">
      <c r="A272" s="99">
        <v>7200</v>
      </c>
      <c r="B272" s="247" t="s">
        <v>288</v>
      </c>
      <c r="C272" s="100">
        <f t="shared" si="50"/>
        <v>0</v>
      </c>
      <c r="D272" s="112">
        <f>SUM(D273,D274,D277,D278,D281)</f>
        <v>0</v>
      </c>
      <c r="E272" s="293">
        <f>SUM(E273,E274,E277,E278,E281)</f>
        <v>0</v>
      </c>
      <c r="F272" s="313">
        <f t="shared" si="37"/>
        <v>0</v>
      </c>
      <c r="G272" s="112">
        <f>SUM(G273,G274,G277,G278,G281)</f>
        <v>0</v>
      </c>
      <c r="H272" s="113">
        <f>SUM(H273,H274,H277,H278,H281)</f>
        <v>0</v>
      </c>
      <c r="I272" s="114">
        <f t="shared" si="38"/>
        <v>0</v>
      </c>
      <c r="J272" s="112">
        <f>SUM(J273,J274,J277,J278,J281)</f>
        <v>0</v>
      </c>
      <c r="K272" s="113">
        <f>SUM(K273,K274,K277,K278,K281)</f>
        <v>0</v>
      </c>
      <c r="L272" s="114">
        <f t="shared" si="39"/>
        <v>0</v>
      </c>
      <c r="M272" s="250">
        <f>SUM(M273,M274,M277,M278,M281)</f>
        <v>0</v>
      </c>
      <c r="N272" s="251">
        <f>SUM(N273,N274,N277,N278,N281)</f>
        <v>0</v>
      </c>
      <c r="O272" s="252">
        <f t="shared" si="40"/>
        <v>0</v>
      </c>
      <c r="P272" s="253"/>
      <c r="R272" s="53"/>
      <c r="S272" s="53"/>
      <c r="T272" s="53"/>
    </row>
    <row r="273" spans="1:20" ht="24" hidden="1" x14ac:dyDescent="0.25">
      <c r="A273" s="656">
        <v>7210</v>
      </c>
      <c r="B273" s="116" t="s">
        <v>289</v>
      </c>
      <c r="C273" s="117">
        <f t="shared" si="50"/>
        <v>0</v>
      </c>
      <c r="D273" s="123"/>
      <c r="E273" s="262"/>
      <c r="F273" s="263">
        <f t="shared" si="37"/>
        <v>0</v>
      </c>
      <c r="G273" s="123"/>
      <c r="H273" s="124"/>
      <c r="I273" s="125">
        <f t="shared" si="38"/>
        <v>0</v>
      </c>
      <c r="J273" s="123"/>
      <c r="K273" s="124"/>
      <c r="L273" s="125">
        <f t="shared" si="39"/>
        <v>0</v>
      </c>
      <c r="M273" s="264"/>
      <c r="N273" s="262"/>
      <c r="O273" s="125">
        <f t="shared" si="40"/>
        <v>0</v>
      </c>
      <c r="P273" s="74"/>
      <c r="R273" s="53"/>
      <c r="S273" s="53"/>
      <c r="T273" s="53"/>
    </row>
    <row r="274" spans="1:20" s="358" customFormat="1" ht="36" hidden="1" x14ac:dyDescent="0.25">
      <c r="A274" s="276">
        <v>7220</v>
      </c>
      <c r="B274" s="127" t="s">
        <v>290</v>
      </c>
      <c r="C274" s="128">
        <f t="shared" si="50"/>
        <v>0</v>
      </c>
      <c r="D274" s="277">
        <f>SUM(D275:D276)</f>
        <v>0</v>
      </c>
      <c r="E274" s="282">
        <f>SUM(E275:E276)</f>
        <v>0</v>
      </c>
      <c r="F274" s="28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c r="R274" s="53"/>
      <c r="S274" s="53"/>
      <c r="T274" s="53"/>
    </row>
    <row r="275" spans="1:20" s="358" customFormat="1" ht="36" hidden="1" x14ac:dyDescent="0.25">
      <c r="A275" s="76">
        <v>7221</v>
      </c>
      <c r="B275" s="127" t="s">
        <v>291</v>
      </c>
      <c r="C275" s="128">
        <f t="shared" si="50"/>
        <v>0</v>
      </c>
      <c r="D275" s="134"/>
      <c r="E275" s="285"/>
      <c r="F275" s="286">
        <f t="shared" si="37"/>
        <v>0</v>
      </c>
      <c r="G275" s="134"/>
      <c r="H275" s="135"/>
      <c r="I275" s="136">
        <f t="shared" si="38"/>
        <v>0</v>
      </c>
      <c r="J275" s="134"/>
      <c r="K275" s="135"/>
      <c r="L275" s="136">
        <f t="shared" si="39"/>
        <v>0</v>
      </c>
      <c r="M275" s="284"/>
      <c r="N275" s="285"/>
      <c r="O275" s="136">
        <f t="shared" si="40"/>
        <v>0</v>
      </c>
      <c r="P275" s="85"/>
      <c r="R275" s="53"/>
      <c r="S275" s="53"/>
      <c r="T275" s="53"/>
    </row>
    <row r="276" spans="1:20" s="358" customFormat="1" ht="36" hidden="1" x14ac:dyDescent="0.25">
      <c r="A276" s="76">
        <v>7222</v>
      </c>
      <c r="B276" s="127" t="s">
        <v>292</v>
      </c>
      <c r="C276" s="128">
        <f t="shared" si="50"/>
        <v>0</v>
      </c>
      <c r="D276" s="134"/>
      <c r="E276" s="285"/>
      <c r="F276" s="286">
        <f t="shared" si="37"/>
        <v>0</v>
      </c>
      <c r="G276" s="134"/>
      <c r="H276" s="135"/>
      <c r="I276" s="136">
        <f t="shared" si="38"/>
        <v>0</v>
      </c>
      <c r="J276" s="134"/>
      <c r="K276" s="135"/>
      <c r="L276" s="136">
        <f t="shared" si="39"/>
        <v>0</v>
      </c>
      <c r="M276" s="284"/>
      <c r="N276" s="285"/>
      <c r="O276" s="136">
        <f t="shared" si="40"/>
        <v>0</v>
      </c>
      <c r="P276" s="85"/>
      <c r="R276" s="53"/>
      <c r="S276" s="53"/>
      <c r="T276" s="53"/>
    </row>
    <row r="277" spans="1:20" s="358" customFormat="1" ht="24" hidden="1" x14ac:dyDescent="0.25">
      <c r="A277" s="276">
        <v>7230</v>
      </c>
      <c r="B277" s="127" t="s">
        <v>293</v>
      </c>
      <c r="C277" s="128">
        <f t="shared" si="50"/>
        <v>0</v>
      </c>
      <c r="D277" s="134"/>
      <c r="E277" s="285"/>
      <c r="F277" s="286">
        <f t="shared" si="37"/>
        <v>0</v>
      </c>
      <c r="G277" s="134"/>
      <c r="H277" s="135"/>
      <c r="I277" s="136">
        <f t="shared" si="38"/>
        <v>0</v>
      </c>
      <c r="J277" s="134"/>
      <c r="K277" s="135"/>
      <c r="L277" s="136">
        <f t="shared" si="39"/>
        <v>0</v>
      </c>
      <c r="M277" s="284"/>
      <c r="N277" s="285"/>
      <c r="O277" s="136">
        <f>M277+N277</f>
        <v>0</v>
      </c>
      <c r="P277" s="85"/>
      <c r="R277" s="53"/>
      <c r="S277" s="53"/>
      <c r="T277" s="53"/>
    </row>
    <row r="278" spans="1:20" ht="24" hidden="1" x14ac:dyDescent="0.25">
      <c r="A278" s="276">
        <v>7240</v>
      </c>
      <c r="B278" s="127" t="s">
        <v>294</v>
      </c>
      <c r="C278" s="128">
        <f t="shared" si="50"/>
        <v>0</v>
      </c>
      <c r="D278" s="277">
        <f>SUM(D279:D280)</f>
        <v>0</v>
      </c>
      <c r="E278" s="282">
        <f>SUM(E279:E280)</f>
        <v>0</v>
      </c>
      <c r="F278" s="28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c r="R278" s="53"/>
      <c r="S278" s="53"/>
      <c r="T278" s="53"/>
    </row>
    <row r="279" spans="1:20" ht="48" hidden="1" x14ac:dyDescent="0.25">
      <c r="A279" s="76">
        <v>7245</v>
      </c>
      <c r="B279" s="127" t="s">
        <v>295</v>
      </c>
      <c r="C279" s="128">
        <f t="shared" si="50"/>
        <v>0</v>
      </c>
      <c r="D279" s="134"/>
      <c r="E279" s="285"/>
      <c r="F279" s="286">
        <f t="shared" si="37"/>
        <v>0</v>
      </c>
      <c r="G279" s="134"/>
      <c r="H279" s="135"/>
      <c r="I279" s="136">
        <f t="shared" si="38"/>
        <v>0</v>
      </c>
      <c r="J279" s="134"/>
      <c r="K279" s="135"/>
      <c r="L279" s="136">
        <f t="shared" si="39"/>
        <v>0</v>
      </c>
      <c r="M279" s="284"/>
      <c r="N279" s="285"/>
      <c r="O279" s="136">
        <f t="shared" ref="O279:O282" si="57">M279+N279</f>
        <v>0</v>
      </c>
      <c r="P279" s="85"/>
      <c r="R279" s="53"/>
      <c r="S279" s="53"/>
      <c r="T279" s="53"/>
    </row>
    <row r="280" spans="1:20" ht="96" hidden="1" x14ac:dyDescent="0.25">
      <c r="A280" s="76">
        <v>7246</v>
      </c>
      <c r="B280" s="127" t="s">
        <v>296</v>
      </c>
      <c r="C280" s="128">
        <f t="shared" si="50"/>
        <v>0</v>
      </c>
      <c r="D280" s="134"/>
      <c r="E280" s="285"/>
      <c r="F280" s="286">
        <f t="shared" si="37"/>
        <v>0</v>
      </c>
      <c r="G280" s="134"/>
      <c r="H280" s="135"/>
      <c r="I280" s="136">
        <f t="shared" si="38"/>
        <v>0</v>
      </c>
      <c r="J280" s="134"/>
      <c r="K280" s="135"/>
      <c r="L280" s="136">
        <f t="shared" si="39"/>
        <v>0</v>
      </c>
      <c r="M280" s="284"/>
      <c r="N280" s="285"/>
      <c r="O280" s="136">
        <f t="shared" si="57"/>
        <v>0</v>
      </c>
      <c r="P280" s="85"/>
      <c r="R280" s="53"/>
      <c r="S280" s="53"/>
      <c r="T280" s="53"/>
    </row>
    <row r="281" spans="1:20" ht="24" hidden="1" x14ac:dyDescent="0.25">
      <c r="A281" s="276">
        <v>7260</v>
      </c>
      <c r="B281" s="127" t="s">
        <v>297</v>
      </c>
      <c r="C281" s="128">
        <f t="shared" si="50"/>
        <v>0</v>
      </c>
      <c r="D281" s="123"/>
      <c r="E281" s="262"/>
      <c r="F281" s="263">
        <f t="shared" si="37"/>
        <v>0</v>
      </c>
      <c r="G281" s="123"/>
      <c r="H281" s="124"/>
      <c r="I281" s="125">
        <f t="shared" si="38"/>
        <v>0</v>
      </c>
      <c r="J281" s="123"/>
      <c r="K281" s="124"/>
      <c r="L281" s="125">
        <f t="shared" si="39"/>
        <v>0</v>
      </c>
      <c r="M281" s="264"/>
      <c r="N281" s="262"/>
      <c r="O281" s="125">
        <f t="shared" si="57"/>
        <v>0</v>
      </c>
      <c r="P281" s="74"/>
      <c r="R281" s="53"/>
      <c r="S281" s="53"/>
      <c r="T281" s="53"/>
    </row>
    <row r="282" spans="1:20" hidden="1" x14ac:dyDescent="0.25">
      <c r="A282" s="99">
        <v>7700</v>
      </c>
      <c r="B282" s="247" t="s">
        <v>298</v>
      </c>
      <c r="C282" s="359">
        <f t="shared" si="50"/>
        <v>0</v>
      </c>
      <c r="D282" s="360">
        <f>D283</f>
        <v>0</v>
      </c>
      <c r="E282" s="304">
        <f>SUM(E283)</f>
        <v>0</v>
      </c>
      <c r="F282" s="316">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c r="R282" s="53"/>
      <c r="S282" s="53"/>
      <c r="T282" s="53"/>
    </row>
    <row r="283" spans="1:20" hidden="1" x14ac:dyDescent="0.25">
      <c r="A283" s="141">
        <v>7720</v>
      </c>
      <c r="B283" s="142" t="s">
        <v>299</v>
      </c>
      <c r="C283" s="362">
        <f t="shared" si="50"/>
        <v>0</v>
      </c>
      <c r="D283" s="149"/>
      <c r="E283" s="363"/>
      <c r="F283" s="364">
        <f t="shared" si="37"/>
        <v>0</v>
      </c>
      <c r="G283" s="149"/>
      <c r="H283" s="150"/>
      <c r="I283" s="151">
        <f t="shared" si="38"/>
        <v>0</v>
      </c>
      <c r="J283" s="149"/>
      <c r="K283" s="150"/>
      <c r="L283" s="151">
        <f t="shared" si="39"/>
        <v>0</v>
      </c>
      <c r="M283" s="365"/>
      <c r="N283" s="363"/>
      <c r="O283" s="151">
        <f>M283+N283</f>
        <v>0</v>
      </c>
      <c r="P283" s="153"/>
      <c r="R283" s="53"/>
      <c r="S283" s="53"/>
      <c r="T283" s="53"/>
    </row>
    <row r="284" spans="1:20" hidden="1" x14ac:dyDescent="0.25">
      <c r="A284" s="366"/>
      <c r="B284" s="179" t="s">
        <v>300</v>
      </c>
      <c r="C284" s="117">
        <f t="shared" si="50"/>
        <v>0</v>
      </c>
      <c r="D284" s="255">
        <f>SUM(D285:D286)</f>
        <v>0</v>
      </c>
      <c r="E284" s="261">
        <f>SUM(E285:E286)</f>
        <v>0</v>
      </c>
      <c r="F284" s="310">
        <f t="shared" si="37"/>
        <v>0</v>
      </c>
      <c r="G284" s="255">
        <f>SUM(G285:G286)</f>
        <v>0</v>
      </c>
      <c r="H284" s="258">
        <f>SUM(H285:H286)</f>
        <v>0</v>
      </c>
      <c r="I284" s="259">
        <f t="shared" si="38"/>
        <v>0</v>
      </c>
      <c r="J284" s="255">
        <f>SUM(J285:J286)</f>
        <v>0</v>
      </c>
      <c r="K284" s="258">
        <f>SUM(K285:K286)</f>
        <v>0</v>
      </c>
      <c r="L284" s="259">
        <f t="shared" si="39"/>
        <v>0</v>
      </c>
      <c r="M284" s="260">
        <f>SUM(M285:M286)</f>
        <v>0</v>
      </c>
      <c r="N284" s="261">
        <f>SUM(N285:N286)</f>
        <v>0</v>
      </c>
      <c r="O284" s="259">
        <f t="shared" ref="O284:O299" si="58">M284+N284</f>
        <v>0</v>
      </c>
      <c r="P284" s="189"/>
      <c r="R284" s="53"/>
      <c r="S284" s="53"/>
      <c r="T284" s="53"/>
    </row>
    <row r="285" spans="1:20" hidden="1" x14ac:dyDescent="0.25">
      <c r="A285" s="346" t="s">
        <v>301</v>
      </c>
      <c r="B285" s="76" t="s">
        <v>302</v>
      </c>
      <c r="C285" s="279">
        <f t="shared" si="50"/>
        <v>0</v>
      </c>
      <c r="D285" s="134"/>
      <c r="E285" s="285"/>
      <c r="F285" s="286">
        <f t="shared" si="37"/>
        <v>0</v>
      </c>
      <c r="G285" s="134"/>
      <c r="H285" s="135"/>
      <c r="I285" s="136">
        <f t="shared" si="38"/>
        <v>0</v>
      </c>
      <c r="J285" s="134"/>
      <c r="K285" s="135"/>
      <c r="L285" s="136">
        <f t="shared" si="39"/>
        <v>0</v>
      </c>
      <c r="M285" s="284"/>
      <c r="N285" s="285"/>
      <c r="O285" s="136">
        <f t="shared" si="58"/>
        <v>0</v>
      </c>
      <c r="P285" s="85"/>
      <c r="R285" s="53"/>
      <c r="S285" s="53"/>
      <c r="T285" s="53"/>
    </row>
    <row r="286" spans="1:20" ht="24" hidden="1" x14ac:dyDescent="0.25">
      <c r="A286" s="346" t="s">
        <v>303</v>
      </c>
      <c r="B286" s="367" t="s">
        <v>304</v>
      </c>
      <c r="C286" s="117">
        <f t="shared" si="50"/>
        <v>0</v>
      </c>
      <c r="D286" s="123"/>
      <c r="E286" s="262"/>
      <c r="F286" s="263">
        <f t="shared" si="37"/>
        <v>0</v>
      </c>
      <c r="G286" s="123"/>
      <c r="H286" s="124"/>
      <c r="I286" s="125">
        <f t="shared" si="38"/>
        <v>0</v>
      </c>
      <c r="J286" s="123"/>
      <c r="K286" s="124"/>
      <c r="L286" s="125">
        <f t="shared" si="39"/>
        <v>0</v>
      </c>
      <c r="M286" s="264"/>
      <c r="N286" s="262"/>
      <c r="O286" s="125">
        <f t="shared" si="58"/>
        <v>0</v>
      </c>
      <c r="P286" s="74"/>
      <c r="R286" s="53"/>
      <c r="S286" s="53"/>
      <c r="T286" s="53"/>
    </row>
    <row r="287" spans="1:20" x14ac:dyDescent="0.25">
      <c r="A287" s="368"/>
      <c r="B287" s="369" t="s">
        <v>305</v>
      </c>
      <c r="C287" s="370">
        <f>SUM(C284,C271,C233,C198,C190,C176,C78,C56)</f>
        <v>1375381</v>
      </c>
      <c r="D287" s="371">
        <f>SUM(D284,D271,D233,D198,D190,D176,D78,D56)</f>
        <v>595067</v>
      </c>
      <c r="E287" s="372">
        <f>SUM(E284,E271,E233,E198,E190,E176,E78,E56)</f>
        <v>0</v>
      </c>
      <c r="F287" s="373">
        <f t="shared" si="37"/>
        <v>595067</v>
      </c>
      <c r="G287" s="371">
        <f>SUM(G284,G271,G233,G198,G190,G176,G78,G56)</f>
        <v>757368</v>
      </c>
      <c r="H287" s="374">
        <f>SUM(H284,H271,H233,H198,H190,H176,H78,H56)</f>
        <v>0</v>
      </c>
      <c r="I287" s="375">
        <f t="shared" si="38"/>
        <v>757368</v>
      </c>
      <c r="J287" s="371">
        <f>SUM(J284,J271,J233,J198,J190,J176,J78,J56)</f>
        <v>22946</v>
      </c>
      <c r="K287" s="374">
        <f>SUM(K284,K271,K233,K198,K190,K176,K78,K56)</f>
        <v>0</v>
      </c>
      <c r="L287" s="375">
        <f t="shared" si="39"/>
        <v>22946</v>
      </c>
      <c r="M287" s="250">
        <f>SUM(M284,M271,M233,M198,M190,M176,M78,M56)</f>
        <v>0</v>
      </c>
      <c r="N287" s="251">
        <f>SUM(N284,N271,N233,N198,N190,N176,N78,N56)</f>
        <v>0</v>
      </c>
      <c r="O287" s="252">
        <f t="shared" si="58"/>
        <v>0</v>
      </c>
      <c r="P287" s="253"/>
      <c r="R287" s="53"/>
      <c r="S287" s="53"/>
      <c r="T287" s="53"/>
    </row>
    <row r="288" spans="1:20" x14ac:dyDescent="0.25">
      <c r="A288" s="376" t="s">
        <v>306</v>
      </c>
      <c r="B288" s="377"/>
      <c r="C288" s="378">
        <f t="shared" ref="C288" si="59">F288+I288+L288+O288</f>
        <v>-10601</v>
      </c>
      <c r="D288" s="379">
        <f>SUM(D28,D29,D45)-D54</f>
        <v>0</v>
      </c>
      <c r="E288" s="380">
        <f>SUM(E28,E29,E45)-E54</f>
        <v>0</v>
      </c>
      <c r="F288" s="381">
        <f t="shared" si="37"/>
        <v>0</v>
      </c>
      <c r="G288" s="379">
        <f>SUM(G28,G29,G45)-G54</f>
        <v>0</v>
      </c>
      <c r="H288" s="382">
        <f>SUM(H28,H29,H45)-H54</f>
        <v>0</v>
      </c>
      <c r="I288" s="383">
        <f t="shared" si="38"/>
        <v>0</v>
      </c>
      <c r="J288" s="379">
        <f>(J30+J46)-J54</f>
        <v>-10601</v>
      </c>
      <c r="K288" s="382">
        <f>(K30+K46)-K54</f>
        <v>0</v>
      </c>
      <c r="L288" s="383">
        <f t="shared" si="39"/>
        <v>-10601</v>
      </c>
      <c r="M288" s="378">
        <f>M48-M54</f>
        <v>0</v>
      </c>
      <c r="N288" s="384">
        <f>N48-N54</f>
        <v>0</v>
      </c>
      <c r="O288" s="383">
        <f t="shared" si="58"/>
        <v>0</v>
      </c>
      <c r="P288" s="385"/>
      <c r="R288" s="53"/>
      <c r="S288" s="53"/>
      <c r="T288" s="53"/>
    </row>
    <row r="289" spans="1:20" s="41" customFormat="1" x14ac:dyDescent="0.25">
      <c r="A289" s="376" t="s">
        <v>307</v>
      </c>
      <c r="B289" s="377"/>
      <c r="C289" s="380">
        <f>SUM(C290,C291)-C298+C299</f>
        <v>10601</v>
      </c>
      <c r="D289" s="379">
        <f>SUM(D290,D291)-D298+D299</f>
        <v>0</v>
      </c>
      <c r="E289" s="380">
        <f>SUM(E290,E291)-E298+E299</f>
        <v>0</v>
      </c>
      <c r="F289" s="381">
        <f t="shared" si="37"/>
        <v>0</v>
      </c>
      <c r="G289" s="379">
        <f>SUM(G290,G291)-G298+G299</f>
        <v>0</v>
      </c>
      <c r="H289" s="382">
        <f>SUM(H290,H291)-H298+H299</f>
        <v>0</v>
      </c>
      <c r="I289" s="383">
        <f t="shared" si="38"/>
        <v>0</v>
      </c>
      <c r="J289" s="379">
        <f>SUM(J290,J291)-J298+J299</f>
        <v>10601</v>
      </c>
      <c r="K289" s="382">
        <f>SUM(K290,K291)-K298+K299</f>
        <v>0</v>
      </c>
      <c r="L289" s="383">
        <f t="shared" si="39"/>
        <v>10601</v>
      </c>
      <c r="M289" s="378">
        <f>SUM(M290,M291)-M298+M299</f>
        <v>0</v>
      </c>
      <c r="N289" s="384">
        <f>SUM(N290,N291)-N298+N299</f>
        <v>0</v>
      </c>
      <c r="O289" s="383">
        <f t="shared" si="58"/>
        <v>0</v>
      </c>
      <c r="P289" s="385"/>
      <c r="R289" s="53"/>
      <c r="S289" s="53"/>
      <c r="T289" s="53"/>
    </row>
    <row r="290" spans="1:20" s="41" customFormat="1" x14ac:dyDescent="0.25">
      <c r="A290" s="386" t="s">
        <v>308</v>
      </c>
      <c r="B290" s="386" t="s">
        <v>309</v>
      </c>
      <c r="C290" s="380">
        <f>C25-C284</f>
        <v>10601</v>
      </c>
      <c r="D290" s="379">
        <f>D25-D284</f>
        <v>0</v>
      </c>
      <c r="E290" s="380">
        <f>E25-E284</f>
        <v>0</v>
      </c>
      <c r="F290" s="381">
        <f t="shared" si="37"/>
        <v>0</v>
      </c>
      <c r="G290" s="379">
        <f>G25-G284</f>
        <v>0</v>
      </c>
      <c r="H290" s="382">
        <f>H25-H284</f>
        <v>0</v>
      </c>
      <c r="I290" s="383">
        <f t="shared" si="38"/>
        <v>0</v>
      </c>
      <c r="J290" s="379">
        <f>J25-J284</f>
        <v>10601</v>
      </c>
      <c r="K290" s="382">
        <f>K25-K284</f>
        <v>0</v>
      </c>
      <c r="L290" s="383">
        <f t="shared" si="39"/>
        <v>10601</v>
      </c>
      <c r="M290" s="378">
        <f>M25-M284</f>
        <v>0</v>
      </c>
      <c r="N290" s="384">
        <f>N25-N284</f>
        <v>0</v>
      </c>
      <c r="O290" s="383">
        <f t="shared" si="58"/>
        <v>0</v>
      </c>
      <c r="P290" s="385"/>
      <c r="R290" s="53"/>
      <c r="S290" s="53"/>
      <c r="T290" s="53"/>
    </row>
    <row r="291" spans="1:20" s="41" customFormat="1" hidden="1" x14ac:dyDescent="0.25">
      <c r="A291" s="387" t="s">
        <v>310</v>
      </c>
      <c r="B291" s="387" t="s">
        <v>311</v>
      </c>
      <c r="C291" s="380">
        <f>SUM(C292,C294,C296)-SUM(C293,C295,C297)</f>
        <v>0</v>
      </c>
      <c r="D291" s="379">
        <f t="shared" ref="D291:E291" si="60">SUM(D292,D294,D296)-SUM(D293,D295,D297)</f>
        <v>0</v>
      </c>
      <c r="E291" s="384">
        <f t="shared" si="60"/>
        <v>0</v>
      </c>
      <c r="F291" s="388">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c r="R291" s="53"/>
      <c r="S291" s="53"/>
      <c r="T291" s="53"/>
    </row>
    <row r="292" spans="1:20" s="41" customFormat="1" hidden="1" x14ac:dyDescent="0.25">
      <c r="A292" s="366" t="s">
        <v>312</v>
      </c>
      <c r="B292" s="190" t="s">
        <v>313</v>
      </c>
      <c r="C292" s="143">
        <f t="shared" ref="C292:C299" si="64">F292+I292+L292+O292</f>
        <v>0</v>
      </c>
      <c r="D292" s="149"/>
      <c r="E292" s="363"/>
      <c r="F292" s="364">
        <f t="shared" si="37"/>
        <v>0</v>
      </c>
      <c r="G292" s="149"/>
      <c r="H292" s="150"/>
      <c r="I292" s="151">
        <f t="shared" si="38"/>
        <v>0</v>
      </c>
      <c r="J292" s="149"/>
      <c r="K292" s="150"/>
      <c r="L292" s="151">
        <f t="shared" si="39"/>
        <v>0</v>
      </c>
      <c r="M292" s="365"/>
      <c r="N292" s="363"/>
      <c r="O292" s="151">
        <f t="shared" si="58"/>
        <v>0</v>
      </c>
      <c r="P292" s="153"/>
      <c r="R292" s="53"/>
      <c r="S292" s="53"/>
      <c r="T292" s="53"/>
    </row>
    <row r="293" spans="1:20" ht="24" hidden="1" x14ac:dyDescent="0.25">
      <c r="A293" s="346" t="s">
        <v>314</v>
      </c>
      <c r="B293" s="75" t="s">
        <v>315</v>
      </c>
      <c r="C293" s="128">
        <f t="shared" si="64"/>
        <v>0</v>
      </c>
      <c r="D293" s="134"/>
      <c r="E293" s="285"/>
      <c r="F293" s="286">
        <f t="shared" si="37"/>
        <v>0</v>
      </c>
      <c r="G293" s="134"/>
      <c r="H293" s="135"/>
      <c r="I293" s="136">
        <f t="shared" si="38"/>
        <v>0</v>
      </c>
      <c r="J293" s="134"/>
      <c r="K293" s="135"/>
      <c r="L293" s="136">
        <f t="shared" si="39"/>
        <v>0</v>
      </c>
      <c r="M293" s="284"/>
      <c r="N293" s="285"/>
      <c r="O293" s="136">
        <f t="shared" si="58"/>
        <v>0</v>
      </c>
      <c r="P293" s="85"/>
      <c r="R293" s="53"/>
      <c r="S293" s="53"/>
      <c r="T293" s="53"/>
    </row>
    <row r="294" spans="1:20" hidden="1" x14ac:dyDescent="0.25">
      <c r="A294" s="346" t="s">
        <v>316</v>
      </c>
      <c r="B294" s="75" t="s">
        <v>317</v>
      </c>
      <c r="C294" s="128">
        <f t="shared" si="64"/>
        <v>0</v>
      </c>
      <c r="D294" s="134"/>
      <c r="E294" s="285"/>
      <c r="F294" s="286">
        <f t="shared" si="37"/>
        <v>0</v>
      </c>
      <c r="G294" s="134"/>
      <c r="H294" s="135"/>
      <c r="I294" s="136">
        <f t="shared" si="38"/>
        <v>0</v>
      </c>
      <c r="J294" s="134"/>
      <c r="K294" s="135"/>
      <c r="L294" s="136">
        <f t="shared" si="39"/>
        <v>0</v>
      </c>
      <c r="M294" s="284"/>
      <c r="N294" s="285"/>
      <c r="O294" s="136">
        <f t="shared" si="58"/>
        <v>0</v>
      </c>
      <c r="P294" s="85"/>
      <c r="R294" s="53"/>
      <c r="S294" s="53"/>
      <c r="T294" s="53"/>
    </row>
    <row r="295" spans="1:20" ht="24" hidden="1" x14ac:dyDescent="0.25">
      <c r="A295" s="346" t="s">
        <v>318</v>
      </c>
      <c r="B295" s="75" t="s">
        <v>319</v>
      </c>
      <c r="C295" s="128">
        <f t="shared" si="64"/>
        <v>0</v>
      </c>
      <c r="D295" s="134"/>
      <c r="E295" s="285"/>
      <c r="F295" s="286">
        <f t="shared" si="37"/>
        <v>0</v>
      </c>
      <c r="G295" s="134"/>
      <c r="H295" s="135"/>
      <c r="I295" s="136">
        <f t="shared" si="38"/>
        <v>0</v>
      </c>
      <c r="J295" s="134"/>
      <c r="K295" s="135"/>
      <c r="L295" s="136">
        <f t="shared" si="39"/>
        <v>0</v>
      </c>
      <c r="M295" s="284"/>
      <c r="N295" s="285"/>
      <c r="O295" s="136">
        <f t="shared" si="58"/>
        <v>0</v>
      </c>
      <c r="P295" s="85"/>
      <c r="R295" s="53"/>
      <c r="S295" s="53"/>
      <c r="T295" s="53"/>
    </row>
    <row r="296" spans="1:20" hidden="1" x14ac:dyDescent="0.25">
      <c r="A296" s="346" t="s">
        <v>320</v>
      </c>
      <c r="B296" s="75" t="s">
        <v>321</v>
      </c>
      <c r="C296" s="128">
        <f t="shared" si="64"/>
        <v>0</v>
      </c>
      <c r="D296" s="134"/>
      <c r="E296" s="285"/>
      <c r="F296" s="286">
        <f t="shared" si="37"/>
        <v>0</v>
      </c>
      <c r="G296" s="134"/>
      <c r="H296" s="135"/>
      <c r="I296" s="136">
        <f t="shared" si="38"/>
        <v>0</v>
      </c>
      <c r="J296" s="134"/>
      <c r="K296" s="135"/>
      <c r="L296" s="136">
        <f t="shared" si="39"/>
        <v>0</v>
      </c>
      <c r="M296" s="284"/>
      <c r="N296" s="285"/>
      <c r="O296" s="136">
        <f t="shared" si="58"/>
        <v>0</v>
      </c>
      <c r="P296" s="85"/>
      <c r="R296" s="53"/>
      <c r="S296" s="53"/>
      <c r="T296" s="53"/>
    </row>
    <row r="297" spans="1:20" ht="24" hidden="1" x14ac:dyDescent="0.25">
      <c r="A297" s="389" t="s">
        <v>322</v>
      </c>
      <c r="B297" s="390" t="s">
        <v>323</v>
      </c>
      <c r="C297" s="327">
        <f t="shared" si="64"/>
        <v>0</v>
      </c>
      <c r="D297" s="328"/>
      <c r="E297" s="329"/>
      <c r="F297" s="330">
        <f t="shared" si="37"/>
        <v>0</v>
      </c>
      <c r="G297" s="328"/>
      <c r="H297" s="331"/>
      <c r="I297" s="324">
        <f t="shared" si="38"/>
        <v>0</v>
      </c>
      <c r="J297" s="328"/>
      <c r="K297" s="331"/>
      <c r="L297" s="324">
        <f t="shared" si="39"/>
        <v>0</v>
      </c>
      <c r="M297" s="332"/>
      <c r="N297" s="329"/>
      <c r="O297" s="324">
        <f t="shared" si="58"/>
        <v>0</v>
      </c>
      <c r="P297" s="325"/>
      <c r="R297" s="53"/>
      <c r="S297" s="53"/>
      <c r="T297" s="53"/>
    </row>
    <row r="298" spans="1:20" hidden="1" x14ac:dyDescent="0.25">
      <c r="A298" s="387" t="s">
        <v>324</v>
      </c>
      <c r="B298" s="387" t="s">
        <v>325</v>
      </c>
      <c r="C298" s="391">
        <f t="shared" si="64"/>
        <v>0</v>
      </c>
      <c r="D298" s="392"/>
      <c r="E298" s="393"/>
      <c r="F298" s="388">
        <f t="shared" si="37"/>
        <v>0</v>
      </c>
      <c r="G298" s="392"/>
      <c r="H298" s="394"/>
      <c r="I298" s="383">
        <f t="shared" si="38"/>
        <v>0</v>
      </c>
      <c r="J298" s="392"/>
      <c r="K298" s="394"/>
      <c r="L298" s="383">
        <f t="shared" si="39"/>
        <v>0</v>
      </c>
      <c r="M298" s="395"/>
      <c r="N298" s="393"/>
      <c r="O298" s="383">
        <f t="shared" si="58"/>
        <v>0</v>
      </c>
      <c r="P298" s="385"/>
      <c r="R298" s="53"/>
      <c r="S298" s="53"/>
      <c r="T298" s="53"/>
    </row>
    <row r="299" spans="1:20" s="41" customFormat="1" ht="48" hidden="1" x14ac:dyDescent="0.25">
      <c r="A299" s="387" t="s">
        <v>326</v>
      </c>
      <c r="B299" s="396" t="s">
        <v>327</v>
      </c>
      <c r="C299" s="397">
        <f t="shared" si="64"/>
        <v>0</v>
      </c>
      <c r="D299" s="398"/>
      <c r="E299" s="399"/>
      <c r="F299" s="400">
        <f t="shared" si="37"/>
        <v>0</v>
      </c>
      <c r="G299" s="392"/>
      <c r="H299" s="394"/>
      <c r="I299" s="383">
        <f t="shared" si="38"/>
        <v>0</v>
      </c>
      <c r="J299" s="392"/>
      <c r="K299" s="394"/>
      <c r="L299" s="383">
        <f t="shared" si="39"/>
        <v>0</v>
      </c>
      <c r="M299" s="395"/>
      <c r="N299" s="393"/>
      <c r="O299" s="383">
        <f t="shared" si="58"/>
        <v>0</v>
      </c>
      <c r="P299" s="385"/>
      <c r="R299" s="53"/>
      <c r="S299" s="53"/>
      <c r="T299" s="53"/>
    </row>
    <row r="300" spans="1:20" s="41" customFormat="1" x14ac:dyDescent="0.25">
      <c r="A300" s="401" t="s">
        <v>328</v>
      </c>
      <c r="B300" s="402"/>
      <c r="C300" s="402"/>
      <c r="D300" s="402"/>
      <c r="E300" s="402"/>
      <c r="F300" s="402"/>
      <c r="G300" s="402"/>
      <c r="H300" s="402"/>
      <c r="I300" s="402"/>
      <c r="J300" s="402"/>
      <c r="K300" s="402"/>
      <c r="L300" s="402"/>
      <c r="M300" s="402"/>
      <c r="N300" s="402"/>
      <c r="O300" s="402"/>
      <c r="P300" s="403"/>
      <c r="Q300" s="32"/>
      <c r="R300" s="53"/>
      <c r="S300" s="53"/>
      <c r="T300" s="53"/>
    </row>
    <row r="301" spans="1:20" ht="12.75" thickBot="1" x14ac:dyDescent="0.3">
      <c r="A301" s="404"/>
      <c r="B301" s="405"/>
      <c r="C301" s="405"/>
      <c r="D301" s="405"/>
      <c r="E301" s="405"/>
      <c r="F301" s="405"/>
      <c r="G301" s="405"/>
      <c r="H301" s="405"/>
      <c r="I301" s="405"/>
      <c r="J301" s="405"/>
      <c r="K301" s="405"/>
      <c r="L301" s="405"/>
      <c r="M301" s="405"/>
      <c r="N301" s="405"/>
      <c r="O301" s="405"/>
      <c r="P301" s="406"/>
      <c r="Q301" s="7"/>
    </row>
    <row r="302" spans="1:20" x14ac:dyDescent="0.25">
      <c r="A302" s="5"/>
      <c r="B302" s="5"/>
      <c r="C302" s="5"/>
      <c r="D302" s="5"/>
      <c r="E302" s="5"/>
      <c r="F302" s="5"/>
      <c r="G302" s="5"/>
      <c r="H302" s="5"/>
      <c r="I302" s="5"/>
      <c r="J302" s="5"/>
      <c r="K302" s="5"/>
      <c r="L302" s="5"/>
      <c r="M302" s="5"/>
      <c r="N302" s="5"/>
      <c r="O302" s="5"/>
    </row>
    <row r="303" spans="1:20" x14ac:dyDescent="0.25">
      <c r="A303" s="5"/>
      <c r="B303" s="5"/>
      <c r="C303" s="5"/>
      <c r="D303" s="5"/>
      <c r="E303" s="5"/>
      <c r="F303" s="5"/>
      <c r="G303" s="5"/>
      <c r="H303" s="5"/>
      <c r="I303" s="5"/>
      <c r="J303" s="5"/>
      <c r="K303" s="5"/>
      <c r="L303" s="5"/>
      <c r="M303" s="5"/>
      <c r="N303" s="5"/>
      <c r="O303" s="5"/>
    </row>
    <row r="304" spans="1:20"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k1/+NZL4oR6RlEYuTCWISjBXLVujhnna4l6RVQFi2UZ1pqID1JgNoqOqMGdWOQmYYvtVq8L2KHXMkOHq+y2TTg==" saltValue="x4wrfAWyV3BD/TrG2l9/Jg==" spinCount="100000" sheet="1" objects="1" scenarios="1" formatCells="0" formatColumns="0" formatRows="0"/>
  <autoFilter ref="A22:P300">
    <filterColumn colId="2">
      <filters blank="1">
        <filter val="1 000"/>
        <filter val="1 026"/>
        <filter val="1 137 304"/>
        <filter val="1 189"/>
        <filter val="1 340"/>
        <filter val="1 348 193"/>
        <filter val="1 352 435"/>
        <filter val="1 375 381"/>
        <filter val="1 412"/>
        <filter val="1 629"/>
        <filter val="1 761"/>
        <filter val="1 844"/>
        <filter val="1 906"/>
        <filter val="1 997"/>
        <filter val="10 601"/>
        <filter val="-10 601"/>
        <filter val="11 400"/>
        <filter val="11 667"/>
        <filter val="119 718"/>
        <filter val="12 345"/>
        <filter val="120"/>
        <filter val="13 114"/>
        <filter val="13 631"/>
        <filter val="14 650"/>
        <filter val="145 358"/>
        <filter val="18 894"/>
        <filter val="2 135"/>
        <filter val="2 527"/>
        <filter val="2 554"/>
        <filter val="2 845"/>
        <filter val="20 191"/>
        <filter val="20 292"/>
        <filter val="21 343"/>
        <filter val="210 889"/>
        <filter val="212 760"/>
        <filter val="234"/>
        <filter val="237"/>
        <filter val="26 593"/>
        <filter val="27 188"/>
        <filter val="27 340"/>
        <filter val="270 305"/>
        <filter val="3 000"/>
        <filter val="3 111"/>
        <filter val="3 282"/>
        <filter val="3 825"/>
        <filter val="300"/>
        <filter val="34 862"/>
        <filter val="356"/>
        <filter val="38 651"/>
        <filter val="4 492"/>
        <filter val="417"/>
        <filter val="426"/>
        <filter val="45"/>
        <filter val="5 009"/>
        <filter val="5 142"/>
        <filter val="5 481"/>
        <filter val="5 904"/>
        <filter val="500"/>
        <filter val="57 545"/>
        <filter val="576"/>
        <filter val="595"/>
        <filter val="600"/>
        <filter val="65 060"/>
        <filter val="7 496"/>
        <filter val="70 628"/>
        <filter val="79 082"/>
        <filter val="792 546"/>
        <filter val="8 400"/>
        <filter val="8 470"/>
        <filter val="866 999"/>
        <filter val="9 400"/>
        <filter val="9 500"/>
        <filter val="9 539"/>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86.pielikums Jūrmalas pilsētas domes
2017.gada 30.janvāra saistošajiem noteikumiem Nr.10
(Protokols Nr.4, 1.punkts)
 </firstHeader>
    <firstFooter>&amp;L&amp;9&amp;D; &amp;T&amp;R&amp;9&amp;P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1"/>
  <sheetViews>
    <sheetView view="pageLayout" zoomScaleNormal="90" workbookViewId="0">
      <selection activeCell="T9" sqref="T6:T9"/>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1211</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7"/>
    </row>
    <row r="4" spans="1:17" ht="15.75"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1212</v>
      </c>
      <c r="D6" s="1555"/>
      <c r="E6" s="1555"/>
      <c r="F6" s="1555"/>
      <c r="G6" s="1555"/>
      <c r="H6" s="1555"/>
      <c r="I6" s="1555"/>
      <c r="J6" s="1555"/>
      <c r="K6" s="1555"/>
      <c r="L6" s="1555"/>
      <c r="M6" s="1555"/>
      <c r="N6" s="1555"/>
      <c r="O6" s="1555"/>
      <c r="P6" s="1556"/>
      <c r="Q6" s="7"/>
    </row>
    <row r="7" spans="1:17" ht="12.75" x14ac:dyDescent="0.25">
      <c r="A7" s="13" t="s">
        <v>4</v>
      </c>
      <c r="B7" s="14"/>
      <c r="C7" s="1555" t="s">
        <v>1213</v>
      </c>
      <c r="D7" s="1555"/>
      <c r="E7" s="1555"/>
      <c r="F7" s="1555"/>
      <c r="G7" s="1555"/>
      <c r="H7" s="1555"/>
      <c r="I7" s="1555"/>
      <c r="J7" s="1555"/>
      <c r="K7" s="1555"/>
      <c r="L7" s="1555"/>
      <c r="M7" s="1555"/>
      <c r="N7" s="1555"/>
      <c r="O7" s="1555"/>
      <c r="P7" s="1556"/>
      <c r="Q7" s="7"/>
    </row>
    <row r="8" spans="1:17" x14ac:dyDescent="0.25">
      <c r="A8" s="8" t="s">
        <v>6</v>
      </c>
      <c r="B8" s="9"/>
      <c r="C8" s="1553" t="s">
        <v>1214</v>
      </c>
      <c r="D8" s="1553"/>
      <c r="E8" s="1553"/>
      <c r="F8" s="1553"/>
      <c r="G8" s="1553"/>
      <c r="H8" s="1553"/>
      <c r="I8" s="1553"/>
      <c r="J8" s="1553"/>
      <c r="K8" s="1553"/>
      <c r="L8" s="1553"/>
      <c r="M8" s="1553"/>
      <c r="N8" s="1553"/>
      <c r="O8" s="1553"/>
      <c r="P8" s="1554"/>
      <c r="Q8" s="7"/>
    </row>
    <row r="9" spans="1:17" x14ac:dyDescent="0.25">
      <c r="A9" s="8" t="s">
        <v>8</v>
      </c>
      <c r="B9" s="9"/>
      <c r="C9" s="1553" t="s">
        <v>333</v>
      </c>
      <c r="D9" s="1553"/>
      <c r="E9" s="1553"/>
      <c r="F9" s="1553"/>
      <c r="G9" s="1553"/>
      <c r="H9" s="1553"/>
      <c r="I9" s="1553"/>
      <c r="J9" s="1553"/>
      <c r="K9" s="1553"/>
      <c r="L9" s="1553"/>
      <c r="M9" s="1553"/>
      <c r="N9" s="1553"/>
      <c r="O9" s="1553"/>
      <c r="P9" s="1554"/>
      <c r="Q9" s="7"/>
    </row>
    <row r="10" spans="1:17" ht="23.25" customHeight="1" x14ac:dyDescent="0.25">
      <c r="A10" s="8" t="s">
        <v>10</v>
      </c>
      <c r="B10" s="9"/>
      <c r="C10" s="1555" t="s">
        <v>334</v>
      </c>
      <c r="D10" s="1555"/>
      <c r="E10" s="1555"/>
      <c r="F10" s="1555"/>
      <c r="G10" s="1555"/>
      <c r="H10" s="1555"/>
      <c r="I10" s="1555"/>
      <c r="J10" s="1555"/>
      <c r="K10" s="1555"/>
      <c r="L10" s="1555"/>
      <c r="M10" s="1555"/>
      <c r="N10" s="1555"/>
      <c r="O10" s="1555"/>
      <c r="P10" s="1556"/>
      <c r="Q10" s="7"/>
    </row>
    <row r="11" spans="1:17" ht="36" customHeight="1" x14ac:dyDescent="0.25">
      <c r="A11" s="8" t="s">
        <v>12</v>
      </c>
      <c r="B11" s="9"/>
      <c r="C11" s="1555" t="s">
        <v>1215</v>
      </c>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1216</v>
      </c>
      <c r="D13" s="1553"/>
      <c r="E13" s="1553"/>
      <c r="F13" s="1553"/>
      <c r="G13" s="1553"/>
      <c r="H13" s="1553"/>
      <c r="I13" s="1553"/>
      <c r="J13" s="1553"/>
      <c r="K13" s="1553"/>
      <c r="L13" s="1553"/>
      <c r="M13" s="1553"/>
      <c r="N13" s="1553"/>
      <c r="O13" s="1553"/>
      <c r="P13" s="1554"/>
      <c r="Q13" s="7"/>
    </row>
    <row r="14" spans="1:17" x14ac:dyDescent="0.25">
      <c r="A14" s="8"/>
      <c r="B14" s="9" t="s">
        <v>17</v>
      </c>
      <c r="C14" s="1553" t="s">
        <v>1217</v>
      </c>
      <c r="D14" s="1553"/>
      <c r="E14" s="1553"/>
      <c r="F14" s="1553"/>
      <c r="G14" s="1553"/>
      <c r="H14" s="1553"/>
      <c r="I14" s="1553"/>
      <c r="J14" s="1553"/>
      <c r="K14" s="1553"/>
      <c r="L14" s="1553"/>
      <c r="M14" s="1553"/>
      <c r="N14" s="1553"/>
      <c r="O14" s="1553"/>
      <c r="P14" s="1554"/>
      <c r="Q14" s="7"/>
    </row>
    <row r="15" spans="1:17" x14ac:dyDescent="0.25">
      <c r="A15" s="8"/>
      <c r="B15" s="9" t="s">
        <v>19</v>
      </c>
      <c r="C15" s="1553"/>
      <c r="D15" s="1553"/>
      <c r="E15" s="1553"/>
      <c r="F15" s="1553"/>
      <c r="G15" s="1553"/>
      <c r="H15" s="1553"/>
      <c r="I15" s="1553"/>
      <c r="J15" s="1553"/>
      <c r="K15" s="1553"/>
      <c r="L15" s="1553"/>
      <c r="M15" s="1553"/>
      <c r="N15" s="1553"/>
      <c r="O15" s="1553"/>
      <c r="P15" s="1554"/>
      <c r="Q15" s="7"/>
    </row>
    <row r="16" spans="1:17" x14ac:dyDescent="0.25">
      <c r="A16" s="8"/>
      <c r="B16" s="9" t="s">
        <v>20</v>
      </c>
      <c r="C16" s="1553" t="s">
        <v>1218</v>
      </c>
      <c r="D16" s="1553"/>
      <c r="E16" s="1553"/>
      <c r="F16" s="1553"/>
      <c r="G16" s="1553"/>
      <c r="H16" s="1553"/>
      <c r="I16" s="1553"/>
      <c r="J16" s="1553"/>
      <c r="K16" s="1553"/>
      <c r="L16" s="1553"/>
      <c r="M16" s="1553"/>
      <c r="N16" s="1553"/>
      <c r="O16" s="1553"/>
      <c r="P16" s="1554"/>
      <c r="Q16" s="7"/>
    </row>
    <row r="17" spans="1:20" x14ac:dyDescent="0.25">
      <c r="A17" s="8"/>
      <c r="B17" s="9" t="s">
        <v>22</v>
      </c>
      <c r="C17" s="1553"/>
      <c r="D17" s="1553"/>
      <c r="E17" s="1553"/>
      <c r="F17" s="1553"/>
      <c r="G17" s="1553"/>
      <c r="H17" s="1553"/>
      <c r="I17" s="1553"/>
      <c r="J17" s="1553"/>
      <c r="K17" s="1553"/>
      <c r="L17" s="1553"/>
      <c r="M17" s="1553"/>
      <c r="N17" s="1553"/>
      <c r="O17" s="1553"/>
      <c r="P17" s="1554"/>
      <c r="Q17" s="7"/>
    </row>
    <row r="18" spans="1:20" x14ac:dyDescent="0.25">
      <c r="A18" s="18"/>
      <c r="B18" s="19"/>
      <c r="C18" s="1569"/>
      <c r="D18" s="1569"/>
      <c r="E18" s="1569"/>
      <c r="F18" s="1569"/>
      <c r="G18" s="1569"/>
      <c r="H18" s="1569"/>
      <c r="I18" s="1569"/>
      <c r="J18" s="1569"/>
      <c r="K18" s="1569"/>
      <c r="L18" s="1569"/>
      <c r="M18" s="1569"/>
      <c r="N18" s="1569"/>
      <c r="O18" s="1569"/>
      <c r="P18" s="1570"/>
      <c r="Q18" s="7"/>
    </row>
    <row r="19" spans="1:20"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0"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20" s="21" customFormat="1" ht="61.5" customHeight="1" thickBot="1" x14ac:dyDescent="0.3">
      <c r="A21" s="1573"/>
      <c r="B21" s="1576"/>
      <c r="C21" s="1581"/>
      <c r="D21" s="1566"/>
      <c r="E21" s="1568"/>
      <c r="F21" s="1564"/>
      <c r="G21" s="1566"/>
      <c r="H21" s="1568"/>
      <c r="I21" s="1564"/>
      <c r="J21" s="1566"/>
      <c r="K21" s="1568"/>
      <c r="L21" s="1564"/>
      <c r="M21" s="1566"/>
      <c r="N21" s="1568"/>
      <c r="O21" s="1564"/>
      <c r="P21" s="1576"/>
    </row>
    <row r="22" spans="1:20" s="21" customFormat="1" ht="9" thickTop="1" x14ac:dyDescent="0.25">
      <c r="A22" s="22" t="s">
        <v>40</v>
      </c>
      <c r="B22" s="22">
        <v>2</v>
      </c>
      <c r="C22" s="23">
        <v>3</v>
      </c>
      <c r="D22" s="24">
        <v>4</v>
      </c>
      <c r="E22" s="29">
        <v>5</v>
      </c>
      <c r="F22" s="661">
        <v>6</v>
      </c>
      <c r="G22" s="24">
        <v>7</v>
      </c>
      <c r="H22" s="26">
        <v>8</v>
      </c>
      <c r="I22" s="27">
        <v>9</v>
      </c>
      <c r="J22" s="24">
        <v>10</v>
      </c>
      <c r="K22" s="28">
        <v>11</v>
      </c>
      <c r="L22" s="27">
        <v>12</v>
      </c>
      <c r="M22" s="28">
        <v>13</v>
      </c>
      <c r="N22" s="29">
        <v>14</v>
      </c>
      <c r="O22" s="27">
        <v>15</v>
      </c>
      <c r="P22" s="27">
        <v>16</v>
      </c>
    </row>
    <row r="23" spans="1:20" s="41" customFormat="1" x14ac:dyDescent="0.25">
      <c r="A23" s="30"/>
      <c r="B23" s="31" t="s">
        <v>41</v>
      </c>
      <c r="C23" s="386"/>
      <c r="D23" s="1017"/>
      <c r="E23" s="1017"/>
      <c r="F23" s="386"/>
      <c r="G23" s="33"/>
      <c r="H23" s="36"/>
      <c r="I23" s="37"/>
      <c r="J23" s="33"/>
      <c r="K23" s="38"/>
      <c r="L23" s="37"/>
      <c r="M23" s="38"/>
      <c r="N23" s="39"/>
      <c r="O23" s="37"/>
      <c r="P23" s="40"/>
    </row>
    <row r="24" spans="1:20" s="41" customFormat="1" ht="12.75" thickBot="1" x14ac:dyDescent="0.3">
      <c r="A24" s="42"/>
      <c r="B24" s="43" t="s">
        <v>42</v>
      </c>
      <c r="C24" s="47">
        <f>F24+I24+L24+O24</f>
        <v>633256</v>
      </c>
      <c r="D24" s="47">
        <f>SUM(D25,D28,D29,D45,D46)</f>
        <v>388787</v>
      </c>
      <c r="E24" s="47">
        <f>SUM(E25,E28,E29,E45,E46)</f>
        <v>0</v>
      </c>
      <c r="F24" s="47">
        <f t="shared" ref="F24:F29" si="0">D24+E24</f>
        <v>388787</v>
      </c>
      <c r="G24" s="45">
        <f>SUM(G25,G28,G46)</f>
        <v>217176</v>
      </c>
      <c r="H24" s="48">
        <f>SUM(H25,H28,H46)</f>
        <v>0</v>
      </c>
      <c r="I24" s="49">
        <f>G24+H24</f>
        <v>217176</v>
      </c>
      <c r="J24" s="45">
        <f>SUM(J25,J30,J46)</f>
        <v>27293</v>
      </c>
      <c r="K24" s="48">
        <f>SUM(K25,K30,K46)</f>
        <v>0</v>
      </c>
      <c r="L24" s="49">
        <f>J24+K24</f>
        <v>27293</v>
      </c>
      <c r="M24" s="50">
        <f>SUM(M25,M48)</f>
        <v>0</v>
      </c>
      <c r="N24" s="51">
        <f>SUM(N25,N48)</f>
        <v>0</v>
      </c>
      <c r="O24" s="49">
        <f>M24+N24</f>
        <v>0</v>
      </c>
      <c r="P24" s="52"/>
      <c r="R24" s="53"/>
      <c r="S24" s="53"/>
      <c r="T24" s="53"/>
    </row>
    <row r="25" spans="1:20" ht="12.75" thickTop="1" x14ac:dyDescent="0.25">
      <c r="A25" s="54"/>
      <c r="B25" s="55" t="s">
        <v>43</v>
      </c>
      <c r="C25" s="59">
        <f>F25+I25+L25+O25</f>
        <v>10921</v>
      </c>
      <c r="D25" s="59">
        <f>SUM(D26:D27)</f>
        <v>0</v>
      </c>
      <c r="E25" s="59">
        <f>SUM(E26:E27)</f>
        <v>0</v>
      </c>
      <c r="F25" s="59">
        <f t="shared" si="0"/>
        <v>0</v>
      </c>
      <c r="G25" s="57">
        <f>SUM(G26:G27)</f>
        <v>0</v>
      </c>
      <c r="H25" s="60">
        <f>SUM(H26:H27)</f>
        <v>0</v>
      </c>
      <c r="I25" s="61">
        <f>G25+H25</f>
        <v>0</v>
      </c>
      <c r="J25" s="57">
        <f>SUM(J26:J27)</f>
        <v>10921</v>
      </c>
      <c r="K25" s="60">
        <f>SUM(K26:K27)</f>
        <v>0</v>
      </c>
      <c r="L25" s="61">
        <f>J25+K25</f>
        <v>10921</v>
      </c>
      <c r="M25" s="62">
        <f>SUM(M26:M27)</f>
        <v>0</v>
      </c>
      <c r="N25" s="63">
        <f>SUM(N26:N27)</f>
        <v>0</v>
      </c>
      <c r="O25" s="61">
        <f>M25+N25</f>
        <v>0</v>
      </c>
      <c r="P25" s="64"/>
      <c r="R25" s="53"/>
      <c r="S25" s="53"/>
      <c r="T25" s="53"/>
    </row>
    <row r="26" spans="1:20" hidden="1" x14ac:dyDescent="0.25">
      <c r="A26" s="65"/>
      <c r="B26" s="66" t="s">
        <v>44</v>
      </c>
      <c r="C26" s="625">
        <f>F26+I26+L26+O26</f>
        <v>0</v>
      </c>
      <c r="D26" s="967"/>
      <c r="E26" s="967"/>
      <c r="F26" s="625">
        <f t="shared" si="0"/>
        <v>0</v>
      </c>
      <c r="G26" s="68"/>
      <c r="H26" s="71"/>
      <c r="I26" s="72">
        <f>G26+H26</f>
        <v>0</v>
      </c>
      <c r="J26" s="68"/>
      <c r="K26" s="71"/>
      <c r="L26" s="72">
        <f>J26+K26</f>
        <v>0</v>
      </c>
      <c r="M26" s="73"/>
      <c r="N26" s="69"/>
      <c r="O26" s="72">
        <f>M26+N26</f>
        <v>0</v>
      </c>
      <c r="P26" s="74"/>
      <c r="R26" s="53"/>
      <c r="S26" s="53"/>
      <c r="T26" s="53"/>
    </row>
    <row r="27" spans="1:20" x14ac:dyDescent="0.25">
      <c r="A27" s="75"/>
      <c r="B27" s="76" t="s">
        <v>45</v>
      </c>
      <c r="C27" s="80">
        <f>F27+I27+L27+O27</f>
        <v>10921</v>
      </c>
      <c r="D27" s="446"/>
      <c r="E27" s="446"/>
      <c r="F27" s="80">
        <f t="shared" si="0"/>
        <v>0</v>
      </c>
      <c r="G27" s="78"/>
      <c r="H27" s="81"/>
      <c r="I27" s="82">
        <f>G27+H27</f>
        <v>0</v>
      </c>
      <c r="J27" s="78">
        <v>10921</v>
      </c>
      <c r="K27" s="81"/>
      <c r="L27" s="82">
        <f>J27+K27</f>
        <v>10921</v>
      </c>
      <c r="M27" s="83"/>
      <c r="N27" s="84"/>
      <c r="O27" s="82">
        <f>M27+N27</f>
        <v>0</v>
      </c>
      <c r="P27" s="85"/>
      <c r="R27" s="53"/>
      <c r="S27" s="53"/>
      <c r="T27" s="53"/>
    </row>
    <row r="28" spans="1:20" s="41" customFormat="1" ht="24.75" thickBot="1" x14ac:dyDescent="0.3">
      <c r="A28" s="86">
        <v>19300</v>
      </c>
      <c r="B28" s="86" t="s">
        <v>46</v>
      </c>
      <c r="C28" s="90">
        <f>SUM(F28,I28)</f>
        <v>605963</v>
      </c>
      <c r="D28" s="968">
        <f>376592+6970+5225</f>
        <v>388787</v>
      </c>
      <c r="E28" s="968"/>
      <c r="F28" s="90">
        <f t="shared" si="0"/>
        <v>388787</v>
      </c>
      <c r="G28" s="88">
        <f>227937-10761</f>
        <v>217176</v>
      </c>
      <c r="H28" s="91"/>
      <c r="I28" s="92">
        <f>G28+H28</f>
        <v>217176</v>
      </c>
      <c r="J28" s="93" t="s">
        <v>47</v>
      </c>
      <c r="K28" s="94" t="s">
        <v>47</v>
      </c>
      <c r="L28" s="95" t="s">
        <v>47</v>
      </c>
      <c r="M28" s="96" t="s">
        <v>47</v>
      </c>
      <c r="N28" s="97" t="s">
        <v>47</v>
      </c>
      <c r="O28" s="95" t="s">
        <v>47</v>
      </c>
      <c r="P28" s="98"/>
      <c r="R28" s="53"/>
      <c r="S28" s="53"/>
      <c r="T28" s="53"/>
    </row>
    <row r="29" spans="1:20" s="41" customFormat="1" ht="24.75" hidden="1" thickTop="1" x14ac:dyDescent="0.25">
      <c r="A29" s="99"/>
      <c r="B29" s="99" t="s">
        <v>48</v>
      </c>
      <c r="C29" s="249">
        <f>F29</f>
        <v>0</v>
      </c>
      <c r="D29" s="969"/>
      <c r="E29" s="969"/>
      <c r="F29" s="634">
        <f t="shared" si="0"/>
        <v>0</v>
      </c>
      <c r="G29" s="104" t="s">
        <v>47</v>
      </c>
      <c r="H29" s="105" t="s">
        <v>47</v>
      </c>
      <c r="I29" s="106" t="s">
        <v>47</v>
      </c>
      <c r="J29" s="104" t="s">
        <v>47</v>
      </c>
      <c r="K29" s="105" t="s">
        <v>47</v>
      </c>
      <c r="L29" s="106" t="s">
        <v>47</v>
      </c>
      <c r="M29" s="107" t="s">
        <v>47</v>
      </c>
      <c r="N29" s="108" t="s">
        <v>47</v>
      </c>
      <c r="O29" s="106" t="s">
        <v>47</v>
      </c>
      <c r="P29" s="109"/>
      <c r="R29" s="53"/>
      <c r="S29" s="53"/>
      <c r="T29" s="53"/>
    </row>
    <row r="30" spans="1:20" s="41" customFormat="1" ht="36.75" thickTop="1" x14ac:dyDescent="0.25">
      <c r="A30" s="99">
        <v>21300</v>
      </c>
      <c r="B30" s="99" t="s">
        <v>49</v>
      </c>
      <c r="C30" s="249">
        <f t="shared" ref="C30:C44" si="1">L30</f>
        <v>16372</v>
      </c>
      <c r="D30" s="111" t="s">
        <v>47</v>
      </c>
      <c r="E30" s="111" t="s">
        <v>47</v>
      </c>
      <c r="F30" s="111" t="s">
        <v>47</v>
      </c>
      <c r="G30" s="104" t="s">
        <v>47</v>
      </c>
      <c r="H30" s="105" t="s">
        <v>47</v>
      </c>
      <c r="I30" s="106" t="s">
        <v>47</v>
      </c>
      <c r="J30" s="112">
        <f>SUM(J31,J35,J37,J40)</f>
        <v>16372</v>
      </c>
      <c r="K30" s="113">
        <f>SUM(K31,K35,K37,K40)</f>
        <v>0</v>
      </c>
      <c r="L30" s="114">
        <f t="shared" ref="L30:L44" si="2">J30+K30</f>
        <v>16372</v>
      </c>
      <c r="M30" s="107" t="s">
        <v>47</v>
      </c>
      <c r="N30" s="108" t="s">
        <v>47</v>
      </c>
      <c r="O30" s="106" t="s">
        <v>47</v>
      </c>
      <c r="P30" s="109"/>
      <c r="R30" s="53"/>
      <c r="S30" s="53"/>
      <c r="T30" s="53"/>
    </row>
    <row r="31" spans="1:20" s="41" customFormat="1" ht="24" hidden="1" x14ac:dyDescent="0.25">
      <c r="A31" s="115">
        <v>21350</v>
      </c>
      <c r="B31" s="99" t="s">
        <v>50</v>
      </c>
      <c r="C31" s="249">
        <f t="shared" si="1"/>
        <v>0</v>
      </c>
      <c r="D31" s="111" t="s">
        <v>47</v>
      </c>
      <c r="E31" s="111" t="s">
        <v>47</v>
      </c>
      <c r="F31" s="111" t="s">
        <v>47</v>
      </c>
      <c r="G31" s="104" t="s">
        <v>47</v>
      </c>
      <c r="H31" s="105" t="s">
        <v>47</v>
      </c>
      <c r="I31" s="106" t="s">
        <v>47</v>
      </c>
      <c r="J31" s="112">
        <f>SUM(J32:J34)</f>
        <v>0</v>
      </c>
      <c r="K31" s="113">
        <f>SUM(K32:K34)</f>
        <v>0</v>
      </c>
      <c r="L31" s="114">
        <f t="shared" si="2"/>
        <v>0</v>
      </c>
      <c r="M31" s="107" t="s">
        <v>47</v>
      </c>
      <c r="N31" s="108" t="s">
        <v>47</v>
      </c>
      <c r="O31" s="106" t="s">
        <v>47</v>
      </c>
      <c r="P31" s="109"/>
      <c r="R31" s="53"/>
      <c r="S31" s="53"/>
      <c r="T31" s="53"/>
    </row>
    <row r="32" spans="1:20" hidden="1" x14ac:dyDescent="0.25">
      <c r="A32" s="65">
        <v>21351</v>
      </c>
      <c r="B32" s="116" t="s">
        <v>51</v>
      </c>
      <c r="C32" s="296">
        <f t="shared" si="1"/>
        <v>0</v>
      </c>
      <c r="D32" s="155" t="s">
        <v>47</v>
      </c>
      <c r="E32" s="155" t="s">
        <v>47</v>
      </c>
      <c r="F32" s="155" t="s">
        <v>47</v>
      </c>
      <c r="G32" s="118" t="s">
        <v>47</v>
      </c>
      <c r="H32" s="121" t="s">
        <v>47</v>
      </c>
      <c r="I32" s="122" t="s">
        <v>47</v>
      </c>
      <c r="J32" s="123"/>
      <c r="K32" s="124"/>
      <c r="L32" s="125">
        <f t="shared" si="2"/>
        <v>0</v>
      </c>
      <c r="M32" s="126" t="s">
        <v>47</v>
      </c>
      <c r="N32" s="119" t="s">
        <v>47</v>
      </c>
      <c r="O32" s="122" t="s">
        <v>47</v>
      </c>
      <c r="P32" s="74"/>
      <c r="R32" s="53"/>
      <c r="S32" s="53"/>
      <c r="T32" s="53"/>
    </row>
    <row r="33" spans="1:20" hidden="1" x14ac:dyDescent="0.25">
      <c r="A33" s="75">
        <v>21352</v>
      </c>
      <c r="B33" s="127" t="s">
        <v>52</v>
      </c>
      <c r="C33" s="279">
        <f t="shared" si="1"/>
        <v>0</v>
      </c>
      <c r="D33" s="131" t="s">
        <v>47</v>
      </c>
      <c r="E33" s="131" t="s">
        <v>47</v>
      </c>
      <c r="F33" s="131" t="s">
        <v>47</v>
      </c>
      <c r="G33" s="129" t="s">
        <v>47</v>
      </c>
      <c r="H33" s="132" t="s">
        <v>47</v>
      </c>
      <c r="I33" s="133" t="s">
        <v>47</v>
      </c>
      <c r="J33" s="134"/>
      <c r="K33" s="135"/>
      <c r="L33" s="136">
        <f t="shared" si="2"/>
        <v>0</v>
      </c>
      <c r="M33" s="137" t="s">
        <v>47</v>
      </c>
      <c r="N33" s="138" t="s">
        <v>47</v>
      </c>
      <c r="O33" s="133" t="s">
        <v>47</v>
      </c>
      <c r="P33" s="85"/>
      <c r="R33" s="53"/>
      <c r="S33" s="53"/>
      <c r="T33" s="53"/>
    </row>
    <row r="34" spans="1:20" ht="24" hidden="1" x14ac:dyDescent="0.25">
      <c r="A34" s="75">
        <v>21359</v>
      </c>
      <c r="B34" s="127" t="s">
        <v>53</v>
      </c>
      <c r="C34" s="279">
        <f t="shared" si="1"/>
        <v>0</v>
      </c>
      <c r="D34" s="131" t="s">
        <v>47</v>
      </c>
      <c r="E34" s="131" t="s">
        <v>47</v>
      </c>
      <c r="F34" s="131" t="s">
        <v>47</v>
      </c>
      <c r="G34" s="129" t="s">
        <v>47</v>
      </c>
      <c r="H34" s="132" t="s">
        <v>47</v>
      </c>
      <c r="I34" s="133" t="s">
        <v>47</v>
      </c>
      <c r="J34" s="134"/>
      <c r="K34" s="135"/>
      <c r="L34" s="136">
        <f t="shared" si="2"/>
        <v>0</v>
      </c>
      <c r="M34" s="137" t="s">
        <v>47</v>
      </c>
      <c r="N34" s="138" t="s">
        <v>47</v>
      </c>
      <c r="O34" s="133" t="s">
        <v>47</v>
      </c>
      <c r="P34" s="85"/>
      <c r="R34" s="53"/>
      <c r="S34" s="53"/>
      <c r="T34" s="53"/>
    </row>
    <row r="35" spans="1:20" s="41" customFormat="1" ht="36" hidden="1" x14ac:dyDescent="0.25">
      <c r="A35" s="115">
        <v>21370</v>
      </c>
      <c r="B35" s="99" t="s">
        <v>54</v>
      </c>
      <c r="C35" s="249">
        <f t="shared" si="1"/>
        <v>0</v>
      </c>
      <c r="D35" s="111" t="s">
        <v>47</v>
      </c>
      <c r="E35" s="111" t="s">
        <v>47</v>
      </c>
      <c r="F35" s="111" t="s">
        <v>47</v>
      </c>
      <c r="G35" s="104" t="s">
        <v>47</v>
      </c>
      <c r="H35" s="105" t="s">
        <v>47</v>
      </c>
      <c r="I35" s="106" t="s">
        <v>47</v>
      </c>
      <c r="J35" s="112">
        <f>SUM(J36)</f>
        <v>0</v>
      </c>
      <c r="K35" s="113">
        <f>SUM(K36)</f>
        <v>0</v>
      </c>
      <c r="L35" s="114">
        <f t="shared" si="2"/>
        <v>0</v>
      </c>
      <c r="M35" s="107" t="s">
        <v>47</v>
      </c>
      <c r="N35" s="108" t="s">
        <v>47</v>
      </c>
      <c r="O35" s="106" t="s">
        <v>47</v>
      </c>
      <c r="P35" s="109"/>
      <c r="R35" s="53"/>
      <c r="S35" s="53"/>
      <c r="T35" s="53"/>
    </row>
    <row r="36" spans="1:20" ht="36" hidden="1" x14ac:dyDescent="0.25">
      <c r="A36" s="141">
        <v>21379</v>
      </c>
      <c r="B36" s="142" t="s">
        <v>55</v>
      </c>
      <c r="C36" s="362">
        <f t="shared" si="1"/>
        <v>0</v>
      </c>
      <c r="D36" s="773" t="s">
        <v>47</v>
      </c>
      <c r="E36" s="773" t="s">
        <v>47</v>
      </c>
      <c r="F36" s="773" t="s">
        <v>47</v>
      </c>
      <c r="G36" s="144" t="s">
        <v>47</v>
      </c>
      <c r="H36" s="147" t="s">
        <v>47</v>
      </c>
      <c r="I36" s="148" t="s">
        <v>47</v>
      </c>
      <c r="J36" s="149"/>
      <c r="K36" s="150"/>
      <c r="L36" s="151">
        <f t="shared" si="2"/>
        <v>0</v>
      </c>
      <c r="M36" s="152" t="s">
        <v>47</v>
      </c>
      <c r="N36" s="145" t="s">
        <v>47</v>
      </c>
      <c r="O36" s="148" t="s">
        <v>47</v>
      </c>
      <c r="P36" s="153"/>
      <c r="R36" s="53"/>
      <c r="S36" s="53"/>
      <c r="T36" s="53"/>
    </row>
    <row r="37" spans="1:20" s="41" customFormat="1" x14ac:dyDescent="0.25">
      <c r="A37" s="115">
        <v>21380</v>
      </c>
      <c r="B37" s="99" t="s">
        <v>56</v>
      </c>
      <c r="C37" s="249">
        <f t="shared" si="1"/>
        <v>16320</v>
      </c>
      <c r="D37" s="111" t="s">
        <v>47</v>
      </c>
      <c r="E37" s="111" t="s">
        <v>47</v>
      </c>
      <c r="F37" s="111" t="s">
        <v>47</v>
      </c>
      <c r="G37" s="104" t="s">
        <v>47</v>
      </c>
      <c r="H37" s="105" t="s">
        <v>47</v>
      </c>
      <c r="I37" s="106" t="s">
        <v>47</v>
      </c>
      <c r="J37" s="112">
        <f>SUM(J38:J39)</f>
        <v>16320</v>
      </c>
      <c r="K37" s="113">
        <f>SUM(K38:K39)</f>
        <v>0</v>
      </c>
      <c r="L37" s="114">
        <f t="shared" si="2"/>
        <v>16320</v>
      </c>
      <c r="M37" s="107" t="s">
        <v>47</v>
      </c>
      <c r="N37" s="108" t="s">
        <v>47</v>
      </c>
      <c r="O37" s="106" t="s">
        <v>47</v>
      </c>
      <c r="P37" s="109"/>
      <c r="R37" s="53"/>
      <c r="S37" s="53"/>
      <c r="T37" s="53"/>
    </row>
    <row r="38" spans="1:20" x14ac:dyDescent="0.25">
      <c r="A38" s="66">
        <v>21381</v>
      </c>
      <c r="B38" s="116" t="s">
        <v>57</v>
      </c>
      <c r="C38" s="296">
        <f t="shared" si="1"/>
        <v>16320</v>
      </c>
      <c r="D38" s="155" t="s">
        <v>47</v>
      </c>
      <c r="E38" s="155" t="s">
        <v>47</v>
      </c>
      <c r="F38" s="155" t="s">
        <v>47</v>
      </c>
      <c r="G38" s="118" t="s">
        <v>47</v>
      </c>
      <c r="H38" s="121" t="s">
        <v>47</v>
      </c>
      <c r="I38" s="122" t="s">
        <v>47</v>
      </c>
      <c r="J38" s="123">
        <v>16320</v>
      </c>
      <c r="K38" s="124"/>
      <c r="L38" s="125">
        <f t="shared" si="2"/>
        <v>16320</v>
      </c>
      <c r="M38" s="126" t="s">
        <v>47</v>
      </c>
      <c r="N38" s="119" t="s">
        <v>47</v>
      </c>
      <c r="O38" s="122" t="s">
        <v>47</v>
      </c>
      <c r="P38" s="74"/>
      <c r="R38" s="53"/>
      <c r="S38" s="53"/>
      <c r="T38" s="53"/>
    </row>
    <row r="39" spans="1:20" ht="24" hidden="1" x14ac:dyDescent="0.25">
      <c r="A39" s="76">
        <v>21383</v>
      </c>
      <c r="B39" s="127" t="s">
        <v>58</v>
      </c>
      <c r="C39" s="279">
        <f t="shared" si="1"/>
        <v>0</v>
      </c>
      <c r="D39" s="131" t="s">
        <v>47</v>
      </c>
      <c r="E39" s="131" t="s">
        <v>47</v>
      </c>
      <c r="F39" s="131" t="s">
        <v>47</v>
      </c>
      <c r="G39" s="129" t="s">
        <v>47</v>
      </c>
      <c r="H39" s="132" t="s">
        <v>47</v>
      </c>
      <c r="I39" s="133" t="s">
        <v>47</v>
      </c>
      <c r="J39" s="134"/>
      <c r="K39" s="135"/>
      <c r="L39" s="136">
        <f t="shared" si="2"/>
        <v>0</v>
      </c>
      <c r="M39" s="137" t="s">
        <v>47</v>
      </c>
      <c r="N39" s="138" t="s">
        <v>47</v>
      </c>
      <c r="O39" s="133" t="s">
        <v>47</v>
      </c>
      <c r="P39" s="85"/>
      <c r="R39" s="53"/>
      <c r="S39" s="53"/>
      <c r="T39" s="53"/>
    </row>
    <row r="40" spans="1:20" s="41" customFormat="1" ht="24" x14ac:dyDescent="0.25">
      <c r="A40" s="115">
        <v>21390</v>
      </c>
      <c r="B40" s="99" t="s">
        <v>59</v>
      </c>
      <c r="C40" s="249">
        <f t="shared" si="1"/>
        <v>52</v>
      </c>
      <c r="D40" s="111" t="s">
        <v>47</v>
      </c>
      <c r="E40" s="111" t="s">
        <v>47</v>
      </c>
      <c r="F40" s="111" t="s">
        <v>47</v>
      </c>
      <c r="G40" s="104" t="s">
        <v>47</v>
      </c>
      <c r="H40" s="105" t="s">
        <v>47</v>
      </c>
      <c r="I40" s="106" t="s">
        <v>47</v>
      </c>
      <c r="J40" s="112">
        <f>SUM(J41:J44)</f>
        <v>52</v>
      </c>
      <c r="K40" s="113">
        <f>SUM(K41:K44)</f>
        <v>0</v>
      </c>
      <c r="L40" s="114">
        <f t="shared" si="2"/>
        <v>52</v>
      </c>
      <c r="M40" s="107" t="s">
        <v>47</v>
      </c>
      <c r="N40" s="108" t="s">
        <v>47</v>
      </c>
      <c r="O40" s="106" t="s">
        <v>47</v>
      </c>
      <c r="P40" s="109"/>
      <c r="R40" s="53"/>
      <c r="S40" s="53"/>
      <c r="T40" s="53"/>
    </row>
    <row r="41" spans="1:20" ht="24" hidden="1" x14ac:dyDescent="0.25">
      <c r="A41" s="66">
        <v>21391</v>
      </c>
      <c r="B41" s="116" t="s">
        <v>60</v>
      </c>
      <c r="C41" s="296">
        <f t="shared" si="1"/>
        <v>0</v>
      </c>
      <c r="D41" s="155" t="s">
        <v>47</v>
      </c>
      <c r="E41" s="155" t="s">
        <v>47</v>
      </c>
      <c r="F41" s="155" t="s">
        <v>47</v>
      </c>
      <c r="G41" s="118" t="s">
        <v>47</v>
      </c>
      <c r="H41" s="121" t="s">
        <v>47</v>
      </c>
      <c r="I41" s="122" t="s">
        <v>47</v>
      </c>
      <c r="J41" s="123"/>
      <c r="K41" s="124"/>
      <c r="L41" s="125">
        <f t="shared" si="2"/>
        <v>0</v>
      </c>
      <c r="M41" s="126" t="s">
        <v>47</v>
      </c>
      <c r="N41" s="119" t="s">
        <v>47</v>
      </c>
      <c r="O41" s="122" t="s">
        <v>47</v>
      </c>
      <c r="P41" s="74"/>
      <c r="R41" s="53"/>
      <c r="S41" s="53"/>
      <c r="T41" s="53"/>
    </row>
    <row r="42" spans="1:20" hidden="1" x14ac:dyDescent="0.25">
      <c r="A42" s="76">
        <v>21393</v>
      </c>
      <c r="B42" s="127" t="s">
        <v>61</v>
      </c>
      <c r="C42" s="279">
        <f t="shared" si="1"/>
        <v>0</v>
      </c>
      <c r="D42" s="131" t="s">
        <v>47</v>
      </c>
      <c r="E42" s="131" t="s">
        <v>47</v>
      </c>
      <c r="F42" s="131" t="s">
        <v>47</v>
      </c>
      <c r="G42" s="129" t="s">
        <v>47</v>
      </c>
      <c r="H42" s="132" t="s">
        <v>47</v>
      </c>
      <c r="I42" s="133" t="s">
        <v>47</v>
      </c>
      <c r="J42" s="134"/>
      <c r="K42" s="135"/>
      <c r="L42" s="136">
        <f t="shared" si="2"/>
        <v>0</v>
      </c>
      <c r="M42" s="137" t="s">
        <v>47</v>
      </c>
      <c r="N42" s="138" t="s">
        <v>47</v>
      </c>
      <c r="O42" s="133" t="s">
        <v>47</v>
      </c>
      <c r="P42" s="85"/>
      <c r="R42" s="53"/>
      <c r="S42" s="53"/>
      <c r="T42" s="53"/>
    </row>
    <row r="43" spans="1:20" hidden="1" x14ac:dyDescent="0.25">
      <c r="A43" s="76">
        <v>21395</v>
      </c>
      <c r="B43" s="127" t="s">
        <v>62</v>
      </c>
      <c r="C43" s="279">
        <f t="shared" si="1"/>
        <v>0</v>
      </c>
      <c r="D43" s="131" t="s">
        <v>47</v>
      </c>
      <c r="E43" s="131" t="s">
        <v>47</v>
      </c>
      <c r="F43" s="131" t="s">
        <v>47</v>
      </c>
      <c r="G43" s="129" t="s">
        <v>47</v>
      </c>
      <c r="H43" s="132" t="s">
        <v>47</v>
      </c>
      <c r="I43" s="133" t="s">
        <v>47</v>
      </c>
      <c r="J43" s="134"/>
      <c r="K43" s="135"/>
      <c r="L43" s="136">
        <f t="shared" si="2"/>
        <v>0</v>
      </c>
      <c r="M43" s="137" t="s">
        <v>47</v>
      </c>
      <c r="N43" s="138" t="s">
        <v>47</v>
      </c>
      <c r="O43" s="133" t="s">
        <v>47</v>
      </c>
      <c r="P43" s="85"/>
      <c r="R43" s="53"/>
      <c r="S43" s="53"/>
      <c r="T43" s="53"/>
    </row>
    <row r="44" spans="1:20" ht="24" x14ac:dyDescent="0.25">
      <c r="A44" s="76">
        <v>21399</v>
      </c>
      <c r="B44" s="127" t="s">
        <v>63</v>
      </c>
      <c r="C44" s="279">
        <f t="shared" si="1"/>
        <v>52</v>
      </c>
      <c r="D44" s="131" t="s">
        <v>47</v>
      </c>
      <c r="E44" s="131" t="s">
        <v>47</v>
      </c>
      <c r="F44" s="131" t="s">
        <v>47</v>
      </c>
      <c r="G44" s="129" t="s">
        <v>47</v>
      </c>
      <c r="H44" s="132" t="s">
        <v>47</v>
      </c>
      <c r="I44" s="133" t="s">
        <v>47</v>
      </c>
      <c r="J44" s="134">
        <v>52</v>
      </c>
      <c r="K44" s="135"/>
      <c r="L44" s="136">
        <f t="shared" si="2"/>
        <v>52</v>
      </c>
      <c r="M44" s="137" t="s">
        <v>47</v>
      </c>
      <c r="N44" s="138" t="s">
        <v>47</v>
      </c>
      <c r="O44" s="133" t="s">
        <v>47</v>
      </c>
      <c r="P44" s="85"/>
      <c r="R44" s="53"/>
      <c r="S44" s="53"/>
      <c r="T44" s="53"/>
    </row>
    <row r="45" spans="1:20" s="41" customFormat="1" ht="24" hidden="1" x14ac:dyDescent="0.25">
      <c r="A45" s="115">
        <v>21420</v>
      </c>
      <c r="B45" s="99" t="s">
        <v>64</v>
      </c>
      <c r="C45" s="634">
        <f>F45</f>
        <v>0</v>
      </c>
      <c r="D45" s="970"/>
      <c r="E45" s="970"/>
      <c r="F45" s="634">
        <f>D45+E45</f>
        <v>0</v>
      </c>
      <c r="G45" s="104" t="s">
        <v>47</v>
      </c>
      <c r="H45" s="105" t="s">
        <v>47</v>
      </c>
      <c r="I45" s="106" t="s">
        <v>47</v>
      </c>
      <c r="J45" s="104" t="s">
        <v>47</v>
      </c>
      <c r="K45" s="105" t="s">
        <v>47</v>
      </c>
      <c r="L45" s="106" t="s">
        <v>47</v>
      </c>
      <c r="M45" s="107" t="s">
        <v>47</v>
      </c>
      <c r="N45" s="108" t="s">
        <v>47</v>
      </c>
      <c r="O45" s="106" t="s">
        <v>47</v>
      </c>
      <c r="P45" s="109"/>
      <c r="R45" s="53"/>
      <c r="S45" s="53"/>
      <c r="T45" s="53"/>
    </row>
    <row r="46" spans="1:20" s="41" customFormat="1" ht="24" hidden="1" x14ac:dyDescent="0.25">
      <c r="A46" s="159">
        <v>21490</v>
      </c>
      <c r="B46" s="160" t="s">
        <v>65</v>
      </c>
      <c r="C46" s="634">
        <f>F46+I46+L46</f>
        <v>0</v>
      </c>
      <c r="D46" s="774">
        <f>D47</f>
        <v>0</v>
      </c>
      <c r="E46" s="774">
        <f>E47</f>
        <v>0</v>
      </c>
      <c r="F46" s="774">
        <f>D46+E46</f>
        <v>0</v>
      </c>
      <c r="G46" s="161">
        <f>G47</f>
        <v>0</v>
      </c>
      <c r="H46" s="164">
        <f t="shared" ref="H46:K46" si="3">H47</f>
        <v>0</v>
      </c>
      <c r="I46" s="165">
        <f>G46+H46</f>
        <v>0</v>
      </c>
      <c r="J46" s="161">
        <f>J47</f>
        <v>0</v>
      </c>
      <c r="K46" s="164">
        <f t="shared" si="3"/>
        <v>0</v>
      </c>
      <c r="L46" s="165">
        <f>J46+K46</f>
        <v>0</v>
      </c>
      <c r="M46" s="107" t="s">
        <v>47</v>
      </c>
      <c r="N46" s="108" t="s">
        <v>47</v>
      </c>
      <c r="O46" s="106" t="s">
        <v>47</v>
      </c>
      <c r="P46" s="109"/>
      <c r="R46" s="53"/>
      <c r="S46" s="53"/>
      <c r="T46" s="53"/>
    </row>
    <row r="47" spans="1:20" s="41" customFormat="1" ht="24" hidden="1" x14ac:dyDescent="0.25">
      <c r="A47" s="76">
        <v>21499</v>
      </c>
      <c r="B47" s="127" t="s">
        <v>66</v>
      </c>
      <c r="C47" s="638">
        <f>F47+I47+L47</f>
        <v>0</v>
      </c>
      <c r="D47" s="967"/>
      <c r="E47" s="967"/>
      <c r="F47" s="625">
        <f>D47+E47</f>
        <v>0</v>
      </c>
      <c r="G47" s="167"/>
      <c r="H47" s="71"/>
      <c r="I47" s="72">
        <f>G47+H47</f>
        <v>0</v>
      </c>
      <c r="J47" s="68"/>
      <c r="K47" s="71"/>
      <c r="L47" s="72">
        <f>J47+K47</f>
        <v>0</v>
      </c>
      <c r="M47" s="152" t="s">
        <v>47</v>
      </c>
      <c r="N47" s="145" t="s">
        <v>47</v>
      </c>
      <c r="O47" s="148" t="s">
        <v>47</v>
      </c>
      <c r="P47" s="153"/>
      <c r="R47" s="53"/>
      <c r="S47" s="53"/>
      <c r="T47" s="53"/>
    </row>
    <row r="48" spans="1:20" ht="24" hidden="1" x14ac:dyDescent="0.25">
      <c r="A48" s="168">
        <v>23000</v>
      </c>
      <c r="B48" s="169" t="s">
        <v>67</v>
      </c>
      <c r="C48" s="634">
        <f>O48</f>
        <v>0</v>
      </c>
      <c r="D48" s="907" t="s">
        <v>47</v>
      </c>
      <c r="E48" s="907" t="s">
        <v>47</v>
      </c>
      <c r="F48" s="907" t="s">
        <v>47</v>
      </c>
      <c r="G48" s="170" t="s">
        <v>47</v>
      </c>
      <c r="H48" s="173" t="s">
        <v>47</v>
      </c>
      <c r="I48" s="174" t="s">
        <v>47</v>
      </c>
      <c r="J48" s="170" t="s">
        <v>47</v>
      </c>
      <c r="K48" s="173" t="s">
        <v>47</v>
      </c>
      <c r="L48" s="174" t="s">
        <v>47</v>
      </c>
      <c r="M48" s="175">
        <f>SUM(M49:M50)</f>
        <v>0</v>
      </c>
      <c r="N48" s="176">
        <f>SUM(N49:N50)</f>
        <v>0</v>
      </c>
      <c r="O48" s="177">
        <f>M48+N48</f>
        <v>0</v>
      </c>
      <c r="P48" s="109"/>
      <c r="R48" s="53"/>
      <c r="S48" s="53"/>
      <c r="T48" s="53"/>
    </row>
    <row r="49" spans="1:20" ht="24" hidden="1" x14ac:dyDescent="0.25">
      <c r="A49" s="178">
        <v>23410</v>
      </c>
      <c r="B49" s="179" t="s">
        <v>68</v>
      </c>
      <c r="C49" s="194">
        <f>O49</f>
        <v>0</v>
      </c>
      <c r="D49" s="908" t="s">
        <v>47</v>
      </c>
      <c r="E49" s="908" t="s">
        <v>47</v>
      </c>
      <c r="F49" s="908" t="s">
        <v>47</v>
      </c>
      <c r="G49" s="181" t="s">
        <v>47</v>
      </c>
      <c r="H49" s="184" t="s">
        <v>47</v>
      </c>
      <c r="I49" s="185" t="s">
        <v>47</v>
      </c>
      <c r="J49" s="181" t="s">
        <v>47</v>
      </c>
      <c r="K49" s="184" t="s">
        <v>47</v>
      </c>
      <c r="L49" s="185" t="s">
        <v>47</v>
      </c>
      <c r="M49" s="186"/>
      <c r="N49" s="187"/>
      <c r="O49" s="188">
        <f>M49+N49</f>
        <v>0</v>
      </c>
      <c r="P49" s="189"/>
      <c r="R49" s="53"/>
      <c r="S49" s="53"/>
      <c r="T49" s="53"/>
    </row>
    <row r="50" spans="1:20" ht="24" hidden="1" x14ac:dyDescent="0.25">
      <c r="A50" s="178">
        <v>23510</v>
      </c>
      <c r="B50" s="179" t="s">
        <v>69</v>
      </c>
      <c r="C50" s="194">
        <f>O50</f>
        <v>0</v>
      </c>
      <c r="D50" s="908" t="s">
        <v>47</v>
      </c>
      <c r="E50" s="908" t="s">
        <v>47</v>
      </c>
      <c r="F50" s="908" t="s">
        <v>47</v>
      </c>
      <c r="G50" s="181" t="s">
        <v>47</v>
      </c>
      <c r="H50" s="184" t="s">
        <v>47</v>
      </c>
      <c r="I50" s="185" t="s">
        <v>47</v>
      </c>
      <c r="J50" s="181" t="s">
        <v>47</v>
      </c>
      <c r="K50" s="184" t="s">
        <v>47</v>
      </c>
      <c r="L50" s="185" t="s">
        <v>47</v>
      </c>
      <c r="M50" s="186"/>
      <c r="N50" s="187"/>
      <c r="O50" s="188">
        <f>M50+N50</f>
        <v>0</v>
      </c>
      <c r="P50" s="189"/>
      <c r="R50" s="53"/>
      <c r="S50" s="53"/>
      <c r="T50" s="53"/>
    </row>
    <row r="51" spans="1:20" x14ac:dyDescent="0.25">
      <c r="A51" s="190"/>
      <c r="B51" s="179"/>
      <c r="C51" s="257"/>
      <c r="D51" s="971"/>
      <c r="E51" s="971"/>
      <c r="F51" s="194"/>
      <c r="G51" s="192"/>
      <c r="H51" s="195"/>
      <c r="I51" s="185"/>
      <c r="J51" s="196"/>
      <c r="K51" s="197"/>
      <c r="L51" s="188"/>
      <c r="M51" s="186"/>
      <c r="N51" s="187"/>
      <c r="O51" s="188"/>
      <c r="P51" s="189"/>
      <c r="R51" s="53"/>
      <c r="S51" s="53"/>
      <c r="T51" s="53"/>
    </row>
    <row r="52" spans="1:20" s="41" customFormat="1" x14ac:dyDescent="0.25">
      <c r="A52" s="198"/>
      <c r="B52" s="199" t="s">
        <v>70</v>
      </c>
      <c r="C52" s="640"/>
      <c r="D52" s="972"/>
      <c r="E52" s="972"/>
      <c r="F52" s="203"/>
      <c r="G52" s="201"/>
      <c r="H52" s="204"/>
      <c r="I52" s="205"/>
      <c r="J52" s="201"/>
      <c r="K52" s="204"/>
      <c r="L52" s="205"/>
      <c r="M52" s="206"/>
      <c r="N52" s="207"/>
      <c r="O52" s="205"/>
      <c r="P52" s="208"/>
      <c r="R52" s="53"/>
      <c r="S52" s="53"/>
      <c r="T52" s="53"/>
    </row>
    <row r="53" spans="1:20" s="41" customFormat="1" ht="12.75" thickBot="1" x14ac:dyDescent="0.3">
      <c r="A53" s="209"/>
      <c r="B53" s="42" t="s">
        <v>71</v>
      </c>
      <c r="C53" s="213">
        <f t="shared" ref="C53:C116" si="4">F53+I53+L53+O53</f>
        <v>633256</v>
      </c>
      <c r="D53" s="213">
        <f>SUM(D54,D284)</f>
        <v>388787</v>
      </c>
      <c r="E53" s="213">
        <f>SUM(E54,E284)</f>
        <v>0</v>
      </c>
      <c r="F53" s="213">
        <f t="shared" ref="F53:F117" si="5">D53+E53</f>
        <v>388787</v>
      </c>
      <c r="G53" s="211">
        <f>SUM(G54,G284)</f>
        <v>217176</v>
      </c>
      <c r="H53" s="214">
        <f>SUM(H54,H284)</f>
        <v>0</v>
      </c>
      <c r="I53" s="215">
        <f t="shared" ref="I53:I117" si="6">G53+H53</f>
        <v>217176</v>
      </c>
      <c r="J53" s="211">
        <f>SUM(J54,J284)</f>
        <v>27293</v>
      </c>
      <c r="K53" s="214">
        <f>SUM(K54,K284)</f>
        <v>0</v>
      </c>
      <c r="L53" s="215">
        <f t="shared" ref="L53:L117" si="7">J53+K53</f>
        <v>27293</v>
      </c>
      <c r="M53" s="216">
        <f>SUM(M54,M284)</f>
        <v>0</v>
      </c>
      <c r="N53" s="217">
        <f>SUM(N54,N284)</f>
        <v>0</v>
      </c>
      <c r="O53" s="215">
        <f t="shared" ref="O53:O117" si="8">M53+N53</f>
        <v>0</v>
      </c>
      <c r="P53" s="52"/>
      <c r="R53" s="53"/>
      <c r="S53" s="53"/>
      <c r="T53" s="53"/>
    </row>
    <row r="54" spans="1:20" s="41" customFormat="1" ht="36.75" thickTop="1" x14ac:dyDescent="0.25">
      <c r="A54" s="218"/>
      <c r="B54" s="219" t="s">
        <v>72</v>
      </c>
      <c r="C54" s="223">
        <f t="shared" si="4"/>
        <v>633256</v>
      </c>
      <c r="D54" s="223">
        <f>SUM(D55,D197)</f>
        <v>388787</v>
      </c>
      <c r="E54" s="223">
        <f>SUM(E55,E197)</f>
        <v>0</v>
      </c>
      <c r="F54" s="223">
        <f t="shared" si="5"/>
        <v>388787</v>
      </c>
      <c r="G54" s="221">
        <f>SUM(G55,G197)</f>
        <v>217176</v>
      </c>
      <c r="H54" s="224">
        <f>SUM(H55,H197)</f>
        <v>0</v>
      </c>
      <c r="I54" s="225">
        <f t="shared" si="6"/>
        <v>217176</v>
      </c>
      <c r="J54" s="221">
        <f>SUM(J55,J197)</f>
        <v>27293</v>
      </c>
      <c r="K54" s="224">
        <f>SUM(K55,K197)</f>
        <v>0</v>
      </c>
      <c r="L54" s="225">
        <f t="shared" si="7"/>
        <v>27293</v>
      </c>
      <c r="M54" s="226">
        <f>SUM(M55,M197)</f>
        <v>0</v>
      </c>
      <c r="N54" s="227">
        <f>SUM(N55,N197)</f>
        <v>0</v>
      </c>
      <c r="O54" s="225">
        <f t="shared" si="8"/>
        <v>0</v>
      </c>
      <c r="P54" s="228"/>
      <c r="R54" s="53"/>
      <c r="S54" s="53"/>
      <c r="T54" s="53"/>
    </row>
    <row r="55" spans="1:20" s="41" customFormat="1" ht="24" x14ac:dyDescent="0.25">
      <c r="A55" s="35"/>
      <c r="B55" s="30" t="s">
        <v>73</v>
      </c>
      <c r="C55" s="232">
        <f t="shared" si="4"/>
        <v>612936</v>
      </c>
      <c r="D55" s="232">
        <f>SUM(D56,D78,D176,D190)</f>
        <v>378767</v>
      </c>
      <c r="E55" s="232">
        <f>SUM(E56,E78,E176,E190)</f>
        <v>0</v>
      </c>
      <c r="F55" s="232">
        <f t="shared" si="5"/>
        <v>378767</v>
      </c>
      <c r="G55" s="230">
        <f>SUM(G56,G78,G176,G190)</f>
        <v>214176</v>
      </c>
      <c r="H55" s="233">
        <f>SUM(H56,H78,H176,H190)</f>
        <v>0</v>
      </c>
      <c r="I55" s="234">
        <f t="shared" si="6"/>
        <v>214176</v>
      </c>
      <c r="J55" s="230">
        <f>SUM(J56,J78,J176,J190)</f>
        <v>19993</v>
      </c>
      <c r="K55" s="233">
        <f>SUM(K56,K78,K176,K190)</f>
        <v>0</v>
      </c>
      <c r="L55" s="234">
        <f t="shared" si="7"/>
        <v>19993</v>
      </c>
      <c r="M55" s="53">
        <f>SUM(M56,M78,M176,M190)</f>
        <v>0</v>
      </c>
      <c r="N55" s="235">
        <f>SUM(N56,N78,N176,N190)</f>
        <v>0</v>
      </c>
      <c r="O55" s="234">
        <f t="shared" si="8"/>
        <v>0</v>
      </c>
      <c r="P55" s="236"/>
      <c r="R55" s="53"/>
      <c r="S55" s="53"/>
      <c r="T55" s="53"/>
    </row>
    <row r="56" spans="1:20" s="41" customFormat="1" x14ac:dyDescent="0.25">
      <c r="A56" s="237">
        <v>1000</v>
      </c>
      <c r="B56" s="237" t="s">
        <v>74</v>
      </c>
      <c r="C56" s="241">
        <f t="shared" si="4"/>
        <v>471655</v>
      </c>
      <c r="D56" s="241">
        <f>SUM(D57,D70)</f>
        <v>259002</v>
      </c>
      <c r="E56" s="241">
        <f>SUM(E57,E70)</f>
        <v>0</v>
      </c>
      <c r="F56" s="241">
        <f t="shared" si="5"/>
        <v>259002</v>
      </c>
      <c r="G56" s="239">
        <f>SUM(G57,G70)</f>
        <v>212653</v>
      </c>
      <c r="H56" s="242">
        <f>SUM(H57,H70)</f>
        <v>0</v>
      </c>
      <c r="I56" s="243">
        <f t="shared" si="6"/>
        <v>212653</v>
      </c>
      <c r="J56" s="239">
        <f>SUM(J57,J70)</f>
        <v>0</v>
      </c>
      <c r="K56" s="242">
        <f>SUM(K57,K70)</f>
        <v>0</v>
      </c>
      <c r="L56" s="243">
        <f t="shared" si="7"/>
        <v>0</v>
      </c>
      <c r="M56" s="244">
        <f>SUM(M57,M70)</f>
        <v>0</v>
      </c>
      <c r="N56" s="245">
        <f>SUM(N57,N70)</f>
        <v>0</v>
      </c>
      <c r="O56" s="243">
        <f t="shared" si="8"/>
        <v>0</v>
      </c>
      <c r="P56" s="246"/>
      <c r="R56" s="53"/>
      <c r="S56" s="53"/>
      <c r="T56" s="53"/>
    </row>
    <row r="57" spans="1:20" x14ac:dyDescent="0.25">
      <c r="A57" s="99">
        <v>1100</v>
      </c>
      <c r="B57" s="247" t="s">
        <v>75</v>
      </c>
      <c r="C57" s="249">
        <f t="shared" si="4"/>
        <v>359596</v>
      </c>
      <c r="D57" s="249">
        <f>SUM(D58,D61,D69)</f>
        <v>189018</v>
      </c>
      <c r="E57" s="249">
        <f>SUM(E58,E61,E69)</f>
        <v>0</v>
      </c>
      <c r="F57" s="249">
        <f t="shared" si="5"/>
        <v>189018</v>
      </c>
      <c r="G57" s="112">
        <f>SUM(G58,G61,G69)</f>
        <v>170578</v>
      </c>
      <c r="H57" s="113">
        <f>SUM(H58,H61,H69)</f>
        <v>0</v>
      </c>
      <c r="I57" s="114">
        <f t="shared" si="6"/>
        <v>170578</v>
      </c>
      <c r="J57" s="112">
        <f>SUM(J58,J61,J69)</f>
        <v>0</v>
      </c>
      <c r="K57" s="113">
        <f>SUM(K58,K61,K69)</f>
        <v>0</v>
      </c>
      <c r="L57" s="114">
        <f t="shared" si="7"/>
        <v>0</v>
      </c>
      <c r="M57" s="250">
        <f>SUM(M58,M61,M69)</f>
        <v>0</v>
      </c>
      <c r="N57" s="251">
        <f>SUM(N58,N61,N69)</f>
        <v>0</v>
      </c>
      <c r="O57" s="252">
        <f t="shared" si="8"/>
        <v>0</v>
      </c>
      <c r="P57" s="253"/>
      <c r="R57" s="53"/>
      <c r="S57" s="53"/>
      <c r="T57" s="53"/>
    </row>
    <row r="58" spans="1:20" x14ac:dyDescent="0.25">
      <c r="A58" s="254">
        <v>1110</v>
      </c>
      <c r="B58" s="179" t="s">
        <v>76</v>
      </c>
      <c r="C58" s="257">
        <f t="shared" si="4"/>
        <v>330007</v>
      </c>
      <c r="D58" s="257">
        <f>SUM(D59:D60)</f>
        <v>165561</v>
      </c>
      <c r="E58" s="257">
        <f>SUM(E59:E60)</f>
        <v>0</v>
      </c>
      <c r="F58" s="257">
        <f t="shared" si="5"/>
        <v>165561</v>
      </c>
      <c r="G58" s="255">
        <f>SUM(G59:G60)</f>
        <v>164446</v>
      </c>
      <c r="H58" s="258">
        <f>SUM(H59:H60)</f>
        <v>0</v>
      </c>
      <c r="I58" s="259">
        <f t="shared" si="6"/>
        <v>164446</v>
      </c>
      <c r="J58" s="255">
        <f>SUM(J59:J60)</f>
        <v>0</v>
      </c>
      <c r="K58" s="258">
        <f>SUM(K59:K60)</f>
        <v>0</v>
      </c>
      <c r="L58" s="259">
        <f t="shared" si="7"/>
        <v>0</v>
      </c>
      <c r="M58" s="260">
        <f>SUM(M59:M60)</f>
        <v>0</v>
      </c>
      <c r="N58" s="261">
        <f>SUM(N59:N60)</f>
        <v>0</v>
      </c>
      <c r="O58" s="259">
        <f t="shared" si="8"/>
        <v>0</v>
      </c>
      <c r="P58" s="189"/>
      <c r="R58" s="53"/>
      <c r="S58" s="53"/>
      <c r="T58" s="53"/>
    </row>
    <row r="59" spans="1:20" hidden="1" x14ac:dyDescent="0.25">
      <c r="A59" s="66">
        <v>1111</v>
      </c>
      <c r="B59" s="116" t="s">
        <v>77</v>
      </c>
      <c r="C59" s="296">
        <f t="shared" si="4"/>
        <v>0</v>
      </c>
      <c r="D59" s="973"/>
      <c r="E59" s="973"/>
      <c r="F59" s="296">
        <f t="shared" si="5"/>
        <v>0</v>
      </c>
      <c r="G59" s="123"/>
      <c r="H59" s="124"/>
      <c r="I59" s="125">
        <f t="shared" si="6"/>
        <v>0</v>
      </c>
      <c r="J59" s="123"/>
      <c r="K59" s="124"/>
      <c r="L59" s="125">
        <f t="shared" si="7"/>
        <v>0</v>
      </c>
      <c r="M59" s="264"/>
      <c r="N59" s="262"/>
      <c r="O59" s="125">
        <f t="shared" si="8"/>
        <v>0</v>
      </c>
      <c r="P59" s="74"/>
      <c r="R59" s="53"/>
      <c r="S59" s="53"/>
      <c r="T59" s="53"/>
    </row>
    <row r="60" spans="1:20" ht="24" x14ac:dyDescent="0.25">
      <c r="A60" s="76">
        <v>1119</v>
      </c>
      <c r="B60" s="127" t="s">
        <v>78</v>
      </c>
      <c r="C60" s="279">
        <f t="shared" si="4"/>
        <v>330007</v>
      </c>
      <c r="D60" s="474">
        <f>157442+5537+2582</f>
        <v>165561</v>
      </c>
      <c r="E60" s="474"/>
      <c r="F60" s="279">
        <f t="shared" si="5"/>
        <v>165561</v>
      </c>
      <c r="G60" s="134">
        <f>173532-837-8249</f>
        <v>164446</v>
      </c>
      <c r="H60" s="135"/>
      <c r="I60" s="136">
        <f t="shared" si="6"/>
        <v>164446</v>
      </c>
      <c r="J60" s="134"/>
      <c r="K60" s="135"/>
      <c r="L60" s="136">
        <f t="shared" si="7"/>
        <v>0</v>
      </c>
      <c r="M60" s="284"/>
      <c r="N60" s="285"/>
      <c r="O60" s="136">
        <f t="shared" si="8"/>
        <v>0</v>
      </c>
      <c r="P60" s="85"/>
      <c r="R60" s="53"/>
      <c r="S60" s="53"/>
      <c r="T60" s="53"/>
    </row>
    <row r="61" spans="1:20" ht="24" x14ac:dyDescent="0.25">
      <c r="A61" s="276">
        <v>1140</v>
      </c>
      <c r="B61" s="127" t="s">
        <v>79</v>
      </c>
      <c r="C61" s="279">
        <f t="shared" si="4"/>
        <v>27889</v>
      </c>
      <c r="D61" s="279">
        <f>SUM(D62:D68)</f>
        <v>21757</v>
      </c>
      <c r="E61" s="279">
        <f>SUM(E62:E68)</f>
        <v>0</v>
      </c>
      <c r="F61" s="279">
        <f>D61+E61</f>
        <v>21757</v>
      </c>
      <c r="G61" s="277">
        <f>SUM(G62:G68)</f>
        <v>6132</v>
      </c>
      <c r="H61" s="280">
        <f>SUM(H62:H68)</f>
        <v>0</v>
      </c>
      <c r="I61" s="136">
        <f t="shared" si="6"/>
        <v>6132</v>
      </c>
      <c r="J61" s="277">
        <f>SUM(J62:J68)</f>
        <v>0</v>
      </c>
      <c r="K61" s="280">
        <f>SUM(K62:K68)</f>
        <v>0</v>
      </c>
      <c r="L61" s="136">
        <f t="shared" si="7"/>
        <v>0</v>
      </c>
      <c r="M61" s="281">
        <f>SUM(M62:M68)</f>
        <v>0</v>
      </c>
      <c r="N61" s="282">
        <f>SUM(N62:N68)</f>
        <v>0</v>
      </c>
      <c r="O61" s="136">
        <f t="shared" si="8"/>
        <v>0</v>
      </c>
      <c r="P61" s="85"/>
      <c r="R61" s="53"/>
      <c r="S61" s="53"/>
      <c r="T61" s="53"/>
    </row>
    <row r="62" spans="1:20" x14ac:dyDescent="0.25">
      <c r="A62" s="76">
        <v>1141</v>
      </c>
      <c r="B62" s="127" t="s">
        <v>80</v>
      </c>
      <c r="C62" s="279">
        <f t="shared" si="4"/>
        <v>3748</v>
      </c>
      <c r="D62" s="474">
        <v>3748</v>
      </c>
      <c r="E62" s="474"/>
      <c r="F62" s="279">
        <f t="shared" si="5"/>
        <v>3748</v>
      </c>
      <c r="G62" s="134"/>
      <c r="H62" s="135"/>
      <c r="I62" s="136">
        <f t="shared" si="6"/>
        <v>0</v>
      </c>
      <c r="J62" s="134"/>
      <c r="K62" s="135"/>
      <c r="L62" s="136">
        <f t="shared" si="7"/>
        <v>0</v>
      </c>
      <c r="M62" s="284"/>
      <c r="N62" s="285"/>
      <c r="O62" s="136">
        <f t="shared" si="8"/>
        <v>0</v>
      </c>
      <c r="P62" s="85"/>
      <c r="R62" s="53"/>
      <c r="S62" s="53"/>
      <c r="T62" s="53"/>
    </row>
    <row r="63" spans="1:20" ht="24" x14ac:dyDescent="0.25">
      <c r="A63" s="76">
        <v>1142</v>
      </c>
      <c r="B63" s="127" t="s">
        <v>81</v>
      </c>
      <c r="C63" s="279">
        <f t="shared" si="4"/>
        <v>922</v>
      </c>
      <c r="D63" s="474">
        <v>922</v>
      </c>
      <c r="E63" s="474"/>
      <c r="F63" s="279">
        <f t="shared" si="5"/>
        <v>922</v>
      </c>
      <c r="G63" s="134"/>
      <c r="H63" s="135"/>
      <c r="I63" s="136">
        <f t="shared" si="6"/>
        <v>0</v>
      </c>
      <c r="J63" s="134"/>
      <c r="K63" s="135"/>
      <c r="L63" s="136">
        <f t="shared" si="7"/>
        <v>0</v>
      </c>
      <c r="M63" s="284"/>
      <c r="N63" s="285"/>
      <c r="O63" s="136">
        <f t="shared" si="8"/>
        <v>0</v>
      </c>
      <c r="P63" s="85"/>
      <c r="R63" s="53"/>
      <c r="S63" s="53"/>
      <c r="T63" s="53"/>
    </row>
    <row r="64" spans="1:20" ht="24" hidden="1" x14ac:dyDescent="0.25">
      <c r="A64" s="76">
        <v>1145</v>
      </c>
      <c r="B64" s="127" t="s">
        <v>82</v>
      </c>
      <c r="C64" s="279">
        <f t="shared" si="4"/>
        <v>0</v>
      </c>
      <c r="D64" s="474"/>
      <c r="E64" s="474"/>
      <c r="F64" s="279">
        <f t="shared" si="5"/>
        <v>0</v>
      </c>
      <c r="G64" s="134"/>
      <c r="H64" s="135"/>
      <c r="I64" s="136">
        <f t="shared" si="6"/>
        <v>0</v>
      </c>
      <c r="J64" s="134"/>
      <c r="K64" s="135"/>
      <c r="L64" s="136">
        <f t="shared" si="7"/>
        <v>0</v>
      </c>
      <c r="M64" s="284"/>
      <c r="N64" s="285"/>
      <c r="O64" s="136">
        <f t="shared" si="8"/>
        <v>0</v>
      </c>
      <c r="P64" s="85"/>
      <c r="R64" s="53"/>
      <c r="S64" s="53"/>
      <c r="T64" s="53"/>
    </row>
    <row r="65" spans="1:20" ht="24" hidden="1" x14ac:dyDescent="0.25">
      <c r="A65" s="76">
        <v>1146</v>
      </c>
      <c r="B65" s="127" t="s">
        <v>83</v>
      </c>
      <c r="C65" s="279">
        <f t="shared" si="4"/>
        <v>0</v>
      </c>
      <c r="D65" s="474"/>
      <c r="E65" s="474"/>
      <c r="F65" s="279">
        <f t="shared" si="5"/>
        <v>0</v>
      </c>
      <c r="G65" s="134"/>
      <c r="H65" s="135"/>
      <c r="I65" s="136">
        <f t="shared" si="6"/>
        <v>0</v>
      </c>
      <c r="J65" s="134"/>
      <c r="K65" s="135"/>
      <c r="L65" s="136">
        <f t="shared" si="7"/>
        <v>0</v>
      </c>
      <c r="M65" s="284"/>
      <c r="N65" s="285"/>
      <c r="O65" s="136">
        <f t="shared" si="8"/>
        <v>0</v>
      </c>
      <c r="P65" s="85"/>
      <c r="R65" s="53"/>
      <c r="S65" s="53"/>
      <c r="T65" s="53"/>
    </row>
    <row r="66" spans="1:20" x14ac:dyDescent="0.25">
      <c r="A66" s="76">
        <v>1147</v>
      </c>
      <c r="B66" s="127" t="s">
        <v>84</v>
      </c>
      <c r="C66" s="279">
        <f t="shared" si="4"/>
        <v>2639</v>
      </c>
      <c r="D66" s="474">
        <v>2639</v>
      </c>
      <c r="E66" s="474"/>
      <c r="F66" s="279">
        <f t="shared" si="5"/>
        <v>2639</v>
      </c>
      <c r="G66" s="134"/>
      <c r="H66" s="135"/>
      <c r="I66" s="136">
        <f t="shared" si="6"/>
        <v>0</v>
      </c>
      <c r="J66" s="134"/>
      <c r="K66" s="135"/>
      <c r="L66" s="136">
        <f t="shared" si="7"/>
        <v>0</v>
      </c>
      <c r="M66" s="284"/>
      <c r="N66" s="285"/>
      <c r="O66" s="136">
        <f t="shared" si="8"/>
        <v>0</v>
      </c>
      <c r="P66" s="85"/>
      <c r="R66" s="53"/>
      <c r="S66" s="53"/>
      <c r="T66" s="53"/>
    </row>
    <row r="67" spans="1:20" x14ac:dyDescent="0.25">
      <c r="A67" s="76">
        <v>1148</v>
      </c>
      <c r="B67" s="127" t="s">
        <v>85</v>
      </c>
      <c r="C67" s="279">
        <f t="shared" si="4"/>
        <v>13153</v>
      </c>
      <c r="D67" s="474">
        <f>11632+1521</f>
        <v>13153</v>
      </c>
      <c r="E67" s="474"/>
      <c r="F67" s="279">
        <f t="shared" si="5"/>
        <v>13153</v>
      </c>
      <c r="G67" s="134"/>
      <c r="H67" s="135"/>
      <c r="I67" s="136">
        <f t="shared" si="6"/>
        <v>0</v>
      </c>
      <c r="J67" s="134"/>
      <c r="K67" s="135"/>
      <c r="L67" s="136">
        <f t="shared" si="7"/>
        <v>0</v>
      </c>
      <c r="M67" s="284"/>
      <c r="N67" s="285"/>
      <c r="O67" s="136">
        <f t="shared" si="8"/>
        <v>0</v>
      </c>
      <c r="P67" s="85"/>
      <c r="R67" s="53"/>
      <c r="S67" s="53"/>
      <c r="T67" s="53"/>
    </row>
    <row r="68" spans="1:20" ht="36" x14ac:dyDescent="0.25">
      <c r="A68" s="76">
        <v>1149</v>
      </c>
      <c r="B68" s="127" t="s">
        <v>86</v>
      </c>
      <c r="C68" s="279">
        <f t="shared" si="4"/>
        <v>7427</v>
      </c>
      <c r="D68" s="474">
        <f>1193+102</f>
        <v>1295</v>
      </c>
      <c r="E68" s="474"/>
      <c r="F68" s="279">
        <f t="shared" si="5"/>
        <v>1295</v>
      </c>
      <c r="G68" s="134">
        <f>6580-448</f>
        <v>6132</v>
      </c>
      <c r="H68" s="135"/>
      <c r="I68" s="136">
        <f t="shared" si="6"/>
        <v>6132</v>
      </c>
      <c r="J68" s="134"/>
      <c r="K68" s="135"/>
      <c r="L68" s="136">
        <f t="shared" si="7"/>
        <v>0</v>
      </c>
      <c r="M68" s="284"/>
      <c r="N68" s="285"/>
      <c r="O68" s="136">
        <f t="shared" si="8"/>
        <v>0</v>
      </c>
      <c r="P68" s="85"/>
      <c r="R68" s="53"/>
      <c r="S68" s="53"/>
      <c r="T68" s="53"/>
    </row>
    <row r="69" spans="1:20" ht="36" x14ac:dyDescent="0.25">
      <c r="A69" s="254">
        <v>1150</v>
      </c>
      <c r="B69" s="179" t="s">
        <v>87</v>
      </c>
      <c r="C69" s="279">
        <f t="shared" si="4"/>
        <v>1700</v>
      </c>
      <c r="D69" s="477">
        <v>1700</v>
      </c>
      <c r="E69" s="477"/>
      <c r="F69" s="257">
        <f t="shared" si="5"/>
        <v>1700</v>
      </c>
      <c r="G69" s="287"/>
      <c r="H69" s="289"/>
      <c r="I69" s="259">
        <f t="shared" si="6"/>
        <v>0</v>
      </c>
      <c r="J69" s="287"/>
      <c r="K69" s="289"/>
      <c r="L69" s="259">
        <f t="shared" si="7"/>
        <v>0</v>
      </c>
      <c r="M69" s="290"/>
      <c r="N69" s="291"/>
      <c r="O69" s="259">
        <f t="shared" si="8"/>
        <v>0</v>
      </c>
      <c r="P69" s="189"/>
      <c r="R69" s="53"/>
      <c r="S69" s="53"/>
      <c r="T69" s="53"/>
    </row>
    <row r="70" spans="1:20" ht="36" x14ac:dyDescent="0.25">
      <c r="A70" s="99">
        <v>1200</v>
      </c>
      <c r="B70" s="247" t="s">
        <v>88</v>
      </c>
      <c r="C70" s="249">
        <f t="shared" si="4"/>
        <v>112059</v>
      </c>
      <c r="D70" s="249">
        <f>SUM(D71:D72)</f>
        <v>69984</v>
      </c>
      <c r="E70" s="249">
        <f>SUM(E71:E72)</f>
        <v>0</v>
      </c>
      <c r="F70" s="249">
        <f>D70+E70</f>
        <v>69984</v>
      </c>
      <c r="G70" s="112">
        <f>SUM(G71:G72)</f>
        <v>42075</v>
      </c>
      <c r="H70" s="113">
        <f>SUM(H71:H72)</f>
        <v>0</v>
      </c>
      <c r="I70" s="114">
        <f t="shared" si="6"/>
        <v>42075</v>
      </c>
      <c r="J70" s="112">
        <f>SUM(J71:J72)</f>
        <v>0</v>
      </c>
      <c r="K70" s="113">
        <f>SUM(K71:K72)</f>
        <v>0</v>
      </c>
      <c r="L70" s="114">
        <f t="shared" si="7"/>
        <v>0</v>
      </c>
      <c r="M70" s="292">
        <f>SUM(M71:M72)</f>
        <v>0</v>
      </c>
      <c r="N70" s="293">
        <f>SUM(N71:N72)</f>
        <v>0</v>
      </c>
      <c r="O70" s="114">
        <f t="shared" si="8"/>
        <v>0</v>
      </c>
      <c r="P70" s="109"/>
      <c r="R70" s="53"/>
      <c r="S70" s="53"/>
      <c r="T70" s="53"/>
    </row>
    <row r="71" spans="1:20" ht="24" x14ac:dyDescent="0.25">
      <c r="A71" s="656">
        <v>1210</v>
      </c>
      <c r="B71" s="116" t="s">
        <v>89</v>
      </c>
      <c r="C71" s="296">
        <f t="shared" si="4"/>
        <v>87276</v>
      </c>
      <c r="D71" s="973">
        <f>45071+1331+1122</f>
        <v>47524</v>
      </c>
      <c r="E71" s="973"/>
      <c r="F71" s="296">
        <f t="shared" si="5"/>
        <v>47524</v>
      </c>
      <c r="G71" s="123">
        <f>42642-826-2064</f>
        <v>39752</v>
      </c>
      <c r="H71" s="124"/>
      <c r="I71" s="125">
        <f t="shared" si="6"/>
        <v>39752</v>
      </c>
      <c r="J71" s="123"/>
      <c r="K71" s="124"/>
      <c r="L71" s="125">
        <f t="shared" si="7"/>
        <v>0</v>
      </c>
      <c r="M71" s="264"/>
      <c r="N71" s="262"/>
      <c r="O71" s="125">
        <f t="shared" si="8"/>
        <v>0</v>
      </c>
      <c r="P71" s="109"/>
      <c r="R71" s="53"/>
      <c r="S71" s="53"/>
      <c r="T71" s="53"/>
    </row>
    <row r="72" spans="1:20" ht="24" x14ac:dyDescent="0.25">
      <c r="A72" s="276">
        <v>1220</v>
      </c>
      <c r="B72" s="127" t="s">
        <v>90</v>
      </c>
      <c r="C72" s="279">
        <f t="shared" si="4"/>
        <v>24783</v>
      </c>
      <c r="D72" s="279">
        <f>SUM(D73:D77)</f>
        <v>22460</v>
      </c>
      <c r="E72" s="279">
        <f>SUM(E73:E77)</f>
        <v>0</v>
      </c>
      <c r="F72" s="279">
        <f t="shared" si="5"/>
        <v>22460</v>
      </c>
      <c r="G72" s="277">
        <f>SUM(G73:G77)</f>
        <v>2323</v>
      </c>
      <c r="H72" s="280">
        <f>SUM(H73:H77)</f>
        <v>0</v>
      </c>
      <c r="I72" s="136">
        <f t="shared" si="6"/>
        <v>2323</v>
      </c>
      <c r="J72" s="277">
        <f>SUM(J73:J77)</f>
        <v>0</v>
      </c>
      <c r="K72" s="280">
        <f>SUM(K73:K77)</f>
        <v>0</v>
      </c>
      <c r="L72" s="136">
        <f t="shared" si="7"/>
        <v>0</v>
      </c>
      <c r="M72" s="281">
        <f>SUM(M73:M77)</f>
        <v>0</v>
      </c>
      <c r="N72" s="282">
        <f>SUM(N73:N77)</f>
        <v>0</v>
      </c>
      <c r="O72" s="136">
        <f t="shared" si="8"/>
        <v>0</v>
      </c>
      <c r="P72" s="85"/>
      <c r="R72" s="53"/>
      <c r="S72" s="53"/>
      <c r="T72" s="53"/>
    </row>
    <row r="73" spans="1:20" ht="60" x14ac:dyDescent="0.25">
      <c r="A73" s="76">
        <v>1221</v>
      </c>
      <c r="B73" s="127" t="s">
        <v>91</v>
      </c>
      <c r="C73" s="279">
        <f t="shared" si="4"/>
        <v>14456</v>
      </c>
      <c r="D73" s="474">
        <v>11787</v>
      </c>
      <c r="E73" s="474">
        <v>346</v>
      </c>
      <c r="F73" s="279">
        <f t="shared" si="5"/>
        <v>12133</v>
      </c>
      <c r="G73" s="134">
        <f>660+1663</f>
        <v>2323</v>
      </c>
      <c r="H73" s="135"/>
      <c r="I73" s="136">
        <f t="shared" si="6"/>
        <v>2323</v>
      </c>
      <c r="J73" s="134"/>
      <c r="K73" s="135"/>
      <c r="L73" s="136">
        <f t="shared" si="7"/>
        <v>0</v>
      </c>
      <c r="M73" s="284"/>
      <c r="N73" s="285"/>
      <c r="O73" s="136">
        <f t="shared" si="8"/>
        <v>0</v>
      </c>
      <c r="P73" s="85"/>
      <c r="R73" s="53"/>
      <c r="S73" s="53"/>
      <c r="T73" s="53"/>
    </row>
    <row r="74" spans="1:20" hidden="1" x14ac:dyDescent="0.25">
      <c r="A74" s="76">
        <v>1223</v>
      </c>
      <c r="B74" s="127" t="s">
        <v>92</v>
      </c>
      <c r="C74" s="279">
        <f t="shared" si="4"/>
        <v>0</v>
      </c>
      <c r="D74" s="474"/>
      <c r="E74" s="474"/>
      <c r="F74" s="279">
        <f t="shared" si="5"/>
        <v>0</v>
      </c>
      <c r="G74" s="134"/>
      <c r="H74" s="135"/>
      <c r="I74" s="136">
        <f t="shared" si="6"/>
        <v>0</v>
      </c>
      <c r="J74" s="134"/>
      <c r="K74" s="135"/>
      <c r="L74" s="136">
        <f t="shared" si="7"/>
        <v>0</v>
      </c>
      <c r="M74" s="284"/>
      <c r="N74" s="285"/>
      <c r="O74" s="136">
        <f t="shared" si="8"/>
        <v>0</v>
      </c>
      <c r="P74" s="85"/>
      <c r="R74" s="53"/>
      <c r="S74" s="53"/>
      <c r="T74" s="53"/>
    </row>
    <row r="75" spans="1:20" hidden="1" x14ac:dyDescent="0.25">
      <c r="A75" s="76">
        <v>1225</v>
      </c>
      <c r="B75" s="127" t="s">
        <v>93</v>
      </c>
      <c r="C75" s="279">
        <f t="shared" si="4"/>
        <v>0</v>
      </c>
      <c r="D75" s="474"/>
      <c r="E75" s="474"/>
      <c r="F75" s="279">
        <f t="shared" si="5"/>
        <v>0</v>
      </c>
      <c r="G75" s="134"/>
      <c r="H75" s="135"/>
      <c r="I75" s="136">
        <f t="shared" si="6"/>
        <v>0</v>
      </c>
      <c r="J75" s="134"/>
      <c r="K75" s="135"/>
      <c r="L75" s="136">
        <f t="shared" si="7"/>
        <v>0</v>
      </c>
      <c r="M75" s="284"/>
      <c r="N75" s="285"/>
      <c r="O75" s="136">
        <f t="shared" si="8"/>
        <v>0</v>
      </c>
      <c r="P75" s="85"/>
      <c r="R75" s="53"/>
      <c r="S75" s="53"/>
      <c r="T75" s="53"/>
    </row>
    <row r="76" spans="1:20" ht="36" x14ac:dyDescent="0.25">
      <c r="A76" s="76">
        <v>1227</v>
      </c>
      <c r="B76" s="127" t="s">
        <v>94</v>
      </c>
      <c r="C76" s="279">
        <f t="shared" si="4"/>
        <v>10245</v>
      </c>
      <c r="D76" s="474">
        <v>10245</v>
      </c>
      <c r="E76" s="474"/>
      <c r="F76" s="279">
        <f t="shared" si="5"/>
        <v>10245</v>
      </c>
      <c r="G76" s="134"/>
      <c r="H76" s="135"/>
      <c r="I76" s="136">
        <f t="shared" si="6"/>
        <v>0</v>
      </c>
      <c r="J76" s="134"/>
      <c r="K76" s="135"/>
      <c r="L76" s="136">
        <f t="shared" si="7"/>
        <v>0</v>
      </c>
      <c r="M76" s="284"/>
      <c r="N76" s="285"/>
      <c r="O76" s="136">
        <f t="shared" si="8"/>
        <v>0</v>
      </c>
      <c r="P76" s="85"/>
      <c r="R76" s="53"/>
      <c r="S76" s="53"/>
      <c r="T76" s="53"/>
    </row>
    <row r="77" spans="1:20" ht="60" x14ac:dyDescent="0.25">
      <c r="A77" s="76">
        <v>1228</v>
      </c>
      <c r="B77" s="127" t="s">
        <v>95</v>
      </c>
      <c r="C77" s="279">
        <f t="shared" si="4"/>
        <v>82</v>
      </c>
      <c r="D77" s="474">
        <v>428</v>
      </c>
      <c r="E77" s="474">
        <v>-346</v>
      </c>
      <c r="F77" s="279">
        <f t="shared" si="5"/>
        <v>82</v>
      </c>
      <c r="G77" s="134"/>
      <c r="H77" s="135"/>
      <c r="I77" s="136">
        <f t="shared" si="6"/>
        <v>0</v>
      </c>
      <c r="J77" s="134"/>
      <c r="K77" s="135"/>
      <c r="L77" s="136">
        <f t="shared" si="7"/>
        <v>0</v>
      </c>
      <c r="M77" s="284"/>
      <c r="N77" s="285"/>
      <c r="O77" s="136">
        <f t="shared" si="8"/>
        <v>0</v>
      </c>
      <c r="P77" s="85"/>
      <c r="R77" s="53"/>
      <c r="S77" s="53"/>
      <c r="T77" s="53"/>
    </row>
    <row r="78" spans="1:20" x14ac:dyDescent="0.25">
      <c r="A78" s="237">
        <v>2000</v>
      </c>
      <c r="B78" s="237" t="s">
        <v>96</v>
      </c>
      <c r="C78" s="241">
        <f t="shared" si="4"/>
        <v>141281</v>
      </c>
      <c r="D78" s="241">
        <f>SUM(D79,D86,D133,D167,D168,D175)</f>
        <v>119765</v>
      </c>
      <c r="E78" s="241">
        <f>SUM(E79,E86,E133,E167,E168,E175)</f>
        <v>0</v>
      </c>
      <c r="F78" s="241">
        <f t="shared" si="5"/>
        <v>119765</v>
      </c>
      <c r="G78" s="239">
        <f>SUM(G79,G86,G133,G167,G168,G175)</f>
        <v>1523</v>
      </c>
      <c r="H78" s="242">
        <f>SUM(H79,H86,H133,H167,H168,H175)</f>
        <v>0</v>
      </c>
      <c r="I78" s="243">
        <f t="shared" si="6"/>
        <v>1523</v>
      </c>
      <c r="J78" s="239">
        <f>SUM(J79,J86,J133,J167,J168,J175)</f>
        <v>19993</v>
      </c>
      <c r="K78" s="242">
        <f>SUM(K79,K86,K133,K167,K168,K175)</f>
        <v>0</v>
      </c>
      <c r="L78" s="243">
        <f t="shared" si="7"/>
        <v>19993</v>
      </c>
      <c r="M78" s="244">
        <f>SUM(M79,M86,M133,M167,M168,M175)</f>
        <v>0</v>
      </c>
      <c r="N78" s="245">
        <f>SUM(N79,N86,N133,N167,N168,N175)</f>
        <v>0</v>
      </c>
      <c r="O78" s="243">
        <f t="shared" si="8"/>
        <v>0</v>
      </c>
      <c r="P78" s="246"/>
      <c r="R78" s="53"/>
      <c r="S78" s="53"/>
      <c r="T78" s="53"/>
    </row>
    <row r="79" spans="1:20" ht="24" x14ac:dyDescent="0.25">
      <c r="A79" s="99">
        <v>2100</v>
      </c>
      <c r="B79" s="247" t="s">
        <v>97</v>
      </c>
      <c r="C79" s="249">
        <f t="shared" si="4"/>
        <v>257</v>
      </c>
      <c r="D79" s="249">
        <f>SUM(D80,D83)</f>
        <v>257</v>
      </c>
      <c r="E79" s="249">
        <f>SUM(E80,E83)</f>
        <v>0</v>
      </c>
      <c r="F79" s="249">
        <f t="shared" si="5"/>
        <v>257</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c r="R79" s="53"/>
      <c r="S79" s="53"/>
      <c r="T79" s="53"/>
    </row>
    <row r="80" spans="1:20" ht="24" x14ac:dyDescent="0.25">
      <c r="A80" s="656">
        <v>2110</v>
      </c>
      <c r="B80" s="116" t="s">
        <v>98</v>
      </c>
      <c r="C80" s="296">
        <f t="shared" si="4"/>
        <v>257</v>
      </c>
      <c r="D80" s="296">
        <f>SUM(D81:D82)</f>
        <v>257</v>
      </c>
      <c r="E80" s="296">
        <f>SUM(E81:E82)</f>
        <v>0</v>
      </c>
      <c r="F80" s="296">
        <f t="shared" si="5"/>
        <v>257</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c r="R80" s="53"/>
      <c r="S80" s="53"/>
      <c r="T80" s="53"/>
    </row>
    <row r="81" spans="1:20" hidden="1" x14ac:dyDescent="0.25">
      <c r="A81" s="76">
        <v>2111</v>
      </c>
      <c r="B81" s="127" t="s">
        <v>99</v>
      </c>
      <c r="C81" s="279">
        <f t="shared" si="4"/>
        <v>0</v>
      </c>
      <c r="D81" s="474"/>
      <c r="E81" s="474"/>
      <c r="F81" s="279">
        <f t="shared" si="5"/>
        <v>0</v>
      </c>
      <c r="G81" s="134"/>
      <c r="H81" s="135"/>
      <c r="I81" s="136">
        <f t="shared" si="6"/>
        <v>0</v>
      </c>
      <c r="J81" s="134"/>
      <c r="K81" s="135"/>
      <c r="L81" s="136">
        <f t="shared" si="7"/>
        <v>0</v>
      </c>
      <c r="M81" s="284"/>
      <c r="N81" s="285"/>
      <c r="O81" s="136">
        <f t="shared" si="8"/>
        <v>0</v>
      </c>
      <c r="P81" s="85"/>
      <c r="R81" s="53"/>
      <c r="S81" s="53"/>
      <c r="T81" s="53"/>
    </row>
    <row r="82" spans="1:20" ht="24" x14ac:dyDescent="0.25">
      <c r="A82" s="76">
        <v>2112</v>
      </c>
      <c r="B82" s="127" t="s">
        <v>100</v>
      </c>
      <c r="C82" s="279">
        <f t="shared" si="4"/>
        <v>257</v>
      </c>
      <c r="D82" s="474">
        <v>257</v>
      </c>
      <c r="E82" s="474"/>
      <c r="F82" s="279">
        <f t="shared" si="5"/>
        <v>257</v>
      </c>
      <c r="G82" s="134"/>
      <c r="H82" s="135"/>
      <c r="I82" s="136">
        <f t="shared" si="6"/>
        <v>0</v>
      </c>
      <c r="J82" s="134"/>
      <c r="K82" s="135"/>
      <c r="L82" s="136">
        <f t="shared" si="7"/>
        <v>0</v>
      </c>
      <c r="M82" s="284"/>
      <c r="N82" s="285"/>
      <c r="O82" s="136">
        <f t="shared" si="8"/>
        <v>0</v>
      </c>
      <c r="P82" s="85"/>
      <c r="R82" s="53"/>
      <c r="S82" s="53"/>
      <c r="T82" s="53"/>
    </row>
    <row r="83" spans="1:20" ht="24" hidden="1" x14ac:dyDescent="0.25">
      <c r="A83" s="276">
        <v>2120</v>
      </c>
      <c r="B83" s="127" t="s">
        <v>101</v>
      </c>
      <c r="C83" s="279">
        <f t="shared" si="4"/>
        <v>0</v>
      </c>
      <c r="D83" s="279">
        <f>SUM(D84:D85)</f>
        <v>0</v>
      </c>
      <c r="E83" s="279">
        <f>SUM(E84:E85)</f>
        <v>0</v>
      </c>
      <c r="F83" s="279">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c r="R83" s="53"/>
      <c r="S83" s="53"/>
      <c r="T83" s="53"/>
    </row>
    <row r="84" spans="1:20" hidden="1" x14ac:dyDescent="0.25">
      <c r="A84" s="76">
        <v>2121</v>
      </c>
      <c r="B84" s="127" t="s">
        <v>99</v>
      </c>
      <c r="C84" s="279">
        <f t="shared" si="4"/>
        <v>0</v>
      </c>
      <c r="D84" s="474"/>
      <c r="E84" s="474"/>
      <c r="F84" s="279">
        <f t="shared" si="5"/>
        <v>0</v>
      </c>
      <c r="G84" s="134"/>
      <c r="H84" s="135"/>
      <c r="I84" s="136">
        <f t="shared" si="6"/>
        <v>0</v>
      </c>
      <c r="J84" s="134"/>
      <c r="K84" s="135"/>
      <c r="L84" s="136">
        <f t="shared" si="7"/>
        <v>0</v>
      </c>
      <c r="M84" s="284"/>
      <c r="N84" s="285"/>
      <c r="O84" s="136">
        <f t="shared" si="8"/>
        <v>0</v>
      </c>
      <c r="P84" s="85"/>
      <c r="R84" s="53"/>
      <c r="S84" s="53"/>
      <c r="T84" s="53"/>
    </row>
    <row r="85" spans="1:20" ht="24" hidden="1" x14ac:dyDescent="0.25">
      <c r="A85" s="76">
        <v>2122</v>
      </c>
      <c r="B85" s="127" t="s">
        <v>100</v>
      </c>
      <c r="C85" s="279">
        <f t="shared" si="4"/>
        <v>0</v>
      </c>
      <c r="D85" s="474"/>
      <c r="E85" s="474"/>
      <c r="F85" s="279">
        <f t="shared" si="5"/>
        <v>0</v>
      </c>
      <c r="G85" s="134"/>
      <c r="H85" s="135"/>
      <c r="I85" s="136">
        <f t="shared" si="6"/>
        <v>0</v>
      </c>
      <c r="J85" s="134"/>
      <c r="K85" s="135"/>
      <c r="L85" s="136">
        <f t="shared" si="7"/>
        <v>0</v>
      </c>
      <c r="M85" s="284"/>
      <c r="N85" s="285"/>
      <c r="O85" s="136">
        <f t="shared" si="8"/>
        <v>0</v>
      </c>
      <c r="P85" s="85"/>
      <c r="R85" s="53"/>
      <c r="S85" s="53"/>
      <c r="T85" s="53"/>
    </row>
    <row r="86" spans="1:20" x14ac:dyDescent="0.25">
      <c r="A86" s="99">
        <v>2200</v>
      </c>
      <c r="B86" s="247" t="s">
        <v>102</v>
      </c>
      <c r="C86" s="302">
        <f t="shared" si="4"/>
        <v>115893</v>
      </c>
      <c r="D86" s="249">
        <f>SUM(D87,D92,D98,D106,D115,D119,D125,D131)</f>
        <v>103211</v>
      </c>
      <c r="E86" s="249">
        <f>SUM(E87,E92,E98,E106,E115,E119,E125,E131)</f>
        <v>0</v>
      </c>
      <c r="F86" s="249">
        <f t="shared" si="5"/>
        <v>103211</v>
      </c>
      <c r="G86" s="112">
        <f>SUM(G87,G92,G98,G106,G115,G119,G125,G131)</f>
        <v>0</v>
      </c>
      <c r="H86" s="113">
        <f>SUM(H87,H92,H98,H106,H115,H119,H125,H131)</f>
        <v>0</v>
      </c>
      <c r="I86" s="114">
        <f t="shared" si="6"/>
        <v>0</v>
      </c>
      <c r="J86" s="112">
        <f>SUM(J87,J92,J98,J106,J115,J119,J125,J131)</f>
        <v>12682</v>
      </c>
      <c r="K86" s="113">
        <f>SUM(K87,K92,K98,K106,K115,K119,K125,K131)</f>
        <v>0</v>
      </c>
      <c r="L86" s="114">
        <f t="shared" si="7"/>
        <v>12682</v>
      </c>
      <c r="M86" s="303">
        <f>SUM(M87,M92,M98,M106,M115,M119,M125,M131)</f>
        <v>0</v>
      </c>
      <c r="N86" s="304">
        <f>SUM(N87,N92,N98,N106,N115,N119,N125,N131)</f>
        <v>0</v>
      </c>
      <c r="O86" s="305">
        <f t="shared" si="8"/>
        <v>0</v>
      </c>
      <c r="P86" s="306"/>
      <c r="R86" s="53"/>
      <c r="S86" s="53"/>
      <c r="T86" s="53"/>
    </row>
    <row r="87" spans="1:20" ht="24" x14ac:dyDescent="0.25">
      <c r="A87" s="254">
        <v>2210</v>
      </c>
      <c r="B87" s="179" t="s">
        <v>103</v>
      </c>
      <c r="C87" s="257">
        <f t="shared" si="4"/>
        <v>2480</v>
      </c>
      <c r="D87" s="257">
        <f>SUM(D88:D91)</f>
        <v>2428</v>
      </c>
      <c r="E87" s="257">
        <f>SUM(E88:E91)</f>
        <v>0</v>
      </c>
      <c r="F87" s="257">
        <f t="shared" si="5"/>
        <v>2428</v>
      </c>
      <c r="G87" s="255">
        <f>SUM(G88:G91)</f>
        <v>0</v>
      </c>
      <c r="H87" s="258">
        <f>SUM(H88:H91)</f>
        <v>0</v>
      </c>
      <c r="I87" s="259">
        <f t="shared" si="6"/>
        <v>0</v>
      </c>
      <c r="J87" s="255">
        <f>SUM(J88:J91)</f>
        <v>52</v>
      </c>
      <c r="K87" s="258">
        <f>SUM(K88:K91)</f>
        <v>0</v>
      </c>
      <c r="L87" s="259">
        <f t="shared" si="7"/>
        <v>52</v>
      </c>
      <c r="M87" s="260">
        <f>SUM(M88:M91)</f>
        <v>0</v>
      </c>
      <c r="N87" s="261">
        <f>SUM(N88:N91)</f>
        <v>0</v>
      </c>
      <c r="O87" s="259">
        <f t="shared" si="8"/>
        <v>0</v>
      </c>
      <c r="P87" s="189"/>
      <c r="R87" s="53"/>
      <c r="S87" s="53"/>
      <c r="T87" s="53"/>
    </row>
    <row r="88" spans="1:20" ht="24" hidden="1" x14ac:dyDescent="0.25">
      <c r="A88" s="66">
        <v>2211</v>
      </c>
      <c r="B88" s="116" t="s">
        <v>104</v>
      </c>
      <c r="C88" s="279">
        <f t="shared" si="4"/>
        <v>0</v>
      </c>
      <c r="D88" s="973"/>
      <c r="E88" s="973"/>
      <c r="F88" s="296">
        <f t="shared" si="5"/>
        <v>0</v>
      </c>
      <c r="G88" s="123"/>
      <c r="H88" s="124"/>
      <c r="I88" s="125">
        <f t="shared" si="6"/>
        <v>0</v>
      </c>
      <c r="J88" s="123"/>
      <c r="K88" s="124"/>
      <c r="L88" s="125">
        <f t="shared" si="7"/>
        <v>0</v>
      </c>
      <c r="M88" s="264"/>
      <c r="N88" s="262"/>
      <c r="O88" s="125">
        <f t="shared" si="8"/>
        <v>0</v>
      </c>
      <c r="P88" s="74"/>
      <c r="R88" s="53"/>
      <c r="S88" s="53"/>
      <c r="T88" s="53"/>
    </row>
    <row r="89" spans="1:20" ht="36" x14ac:dyDescent="0.25">
      <c r="A89" s="76">
        <v>2212</v>
      </c>
      <c r="B89" s="127" t="s">
        <v>105</v>
      </c>
      <c r="C89" s="279">
        <f t="shared" si="4"/>
        <v>2016</v>
      </c>
      <c r="D89" s="474">
        <v>2016</v>
      </c>
      <c r="E89" s="474"/>
      <c r="F89" s="279">
        <f t="shared" si="5"/>
        <v>2016</v>
      </c>
      <c r="G89" s="134"/>
      <c r="H89" s="135"/>
      <c r="I89" s="136">
        <f t="shared" si="6"/>
        <v>0</v>
      </c>
      <c r="J89" s="134"/>
      <c r="K89" s="135"/>
      <c r="L89" s="136">
        <f t="shared" si="7"/>
        <v>0</v>
      </c>
      <c r="M89" s="284"/>
      <c r="N89" s="285"/>
      <c r="O89" s="136">
        <f t="shared" si="8"/>
        <v>0</v>
      </c>
      <c r="P89" s="85"/>
      <c r="R89" s="53"/>
      <c r="S89" s="53"/>
      <c r="T89" s="53"/>
    </row>
    <row r="90" spans="1:20" ht="24" x14ac:dyDescent="0.25">
      <c r="A90" s="76">
        <v>2214</v>
      </c>
      <c r="B90" s="127" t="s">
        <v>106</v>
      </c>
      <c r="C90" s="279">
        <f t="shared" si="4"/>
        <v>394</v>
      </c>
      <c r="D90" s="474">
        <v>342</v>
      </c>
      <c r="E90" s="474"/>
      <c r="F90" s="279">
        <f t="shared" si="5"/>
        <v>342</v>
      </c>
      <c r="G90" s="134"/>
      <c r="H90" s="135"/>
      <c r="I90" s="136">
        <f t="shared" si="6"/>
        <v>0</v>
      </c>
      <c r="J90" s="134">
        <v>52</v>
      </c>
      <c r="K90" s="135"/>
      <c r="L90" s="136">
        <f t="shared" si="7"/>
        <v>52</v>
      </c>
      <c r="M90" s="284"/>
      <c r="N90" s="285"/>
      <c r="O90" s="136">
        <f t="shared" si="8"/>
        <v>0</v>
      </c>
      <c r="P90" s="85"/>
      <c r="R90" s="53"/>
      <c r="S90" s="53"/>
      <c r="T90" s="53"/>
    </row>
    <row r="91" spans="1:20" x14ac:dyDescent="0.25">
      <c r="A91" s="76">
        <v>2219</v>
      </c>
      <c r="B91" s="127" t="s">
        <v>107</v>
      </c>
      <c r="C91" s="279">
        <f t="shared" si="4"/>
        <v>70</v>
      </c>
      <c r="D91" s="474">
        <v>70</v>
      </c>
      <c r="E91" s="474"/>
      <c r="F91" s="279">
        <f t="shared" si="5"/>
        <v>70</v>
      </c>
      <c r="G91" s="134"/>
      <c r="H91" s="135"/>
      <c r="I91" s="136">
        <f t="shared" si="6"/>
        <v>0</v>
      </c>
      <c r="J91" s="134"/>
      <c r="K91" s="135"/>
      <c r="L91" s="136">
        <f t="shared" si="7"/>
        <v>0</v>
      </c>
      <c r="M91" s="284"/>
      <c r="N91" s="285"/>
      <c r="O91" s="136">
        <f t="shared" si="8"/>
        <v>0</v>
      </c>
      <c r="P91" s="85"/>
      <c r="R91" s="53"/>
      <c r="S91" s="53"/>
      <c r="T91" s="53"/>
    </row>
    <row r="92" spans="1:20" ht="24" x14ac:dyDescent="0.25">
      <c r="A92" s="276">
        <v>2220</v>
      </c>
      <c r="B92" s="127" t="s">
        <v>108</v>
      </c>
      <c r="C92" s="279">
        <f t="shared" si="4"/>
        <v>105323</v>
      </c>
      <c r="D92" s="279">
        <f>SUM(D93:D97)</f>
        <v>94514</v>
      </c>
      <c r="E92" s="279">
        <f>SUM(E93:E97)</f>
        <v>0</v>
      </c>
      <c r="F92" s="279">
        <f t="shared" si="5"/>
        <v>94514</v>
      </c>
      <c r="G92" s="277">
        <f>SUM(G93:G97)</f>
        <v>0</v>
      </c>
      <c r="H92" s="280">
        <f>SUM(H93:H97)</f>
        <v>0</v>
      </c>
      <c r="I92" s="136">
        <f t="shared" si="6"/>
        <v>0</v>
      </c>
      <c r="J92" s="277">
        <f>SUM(J93:J97)</f>
        <v>10809</v>
      </c>
      <c r="K92" s="280">
        <f>SUM(K93:K97)</f>
        <v>0</v>
      </c>
      <c r="L92" s="136">
        <f t="shared" si="7"/>
        <v>10809</v>
      </c>
      <c r="M92" s="281">
        <f>SUM(M93:M97)</f>
        <v>0</v>
      </c>
      <c r="N92" s="282">
        <f>SUM(N93:N97)</f>
        <v>0</v>
      </c>
      <c r="O92" s="136">
        <f t="shared" si="8"/>
        <v>0</v>
      </c>
      <c r="P92" s="85"/>
      <c r="R92" s="53"/>
      <c r="S92" s="53"/>
      <c r="T92" s="53"/>
    </row>
    <row r="93" spans="1:20" x14ac:dyDescent="0.25">
      <c r="A93" s="76">
        <v>2221</v>
      </c>
      <c r="B93" s="127" t="s">
        <v>109</v>
      </c>
      <c r="C93" s="279">
        <f t="shared" si="4"/>
        <v>80343</v>
      </c>
      <c r="D93" s="474">
        <v>79223</v>
      </c>
      <c r="E93" s="474"/>
      <c r="F93" s="279">
        <f t="shared" si="5"/>
        <v>79223</v>
      </c>
      <c r="G93" s="134"/>
      <c r="H93" s="135"/>
      <c r="I93" s="136">
        <f t="shared" si="6"/>
        <v>0</v>
      </c>
      <c r="J93" s="134">
        <v>1120</v>
      </c>
      <c r="K93" s="135"/>
      <c r="L93" s="136">
        <f t="shared" si="7"/>
        <v>1120</v>
      </c>
      <c r="M93" s="284"/>
      <c r="N93" s="285"/>
      <c r="O93" s="136">
        <f t="shared" si="8"/>
        <v>0</v>
      </c>
      <c r="P93" s="85"/>
      <c r="R93" s="53"/>
      <c r="S93" s="53"/>
      <c r="T93" s="53"/>
    </row>
    <row r="94" spans="1:20" x14ac:dyDescent="0.25">
      <c r="A94" s="76">
        <v>2222</v>
      </c>
      <c r="B94" s="127" t="s">
        <v>110</v>
      </c>
      <c r="C94" s="279">
        <f t="shared" si="4"/>
        <v>8425</v>
      </c>
      <c r="D94" s="474">
        <v>6384</v>
      </c>
      <c r="E94" s="474"/>
      <c r="F94" s="279">
        <f t="shared" si="5"/>
        <v>6384</v>
      </c>
      <c r="G94" s="134"/>
      <c r="H94" s="135"/>
      <c r="I94" s="136">
        <f t="shared" si="6"/>
        <v>0</v>
      </c>
      <c r="J94" s="134">
        <v>2041</v>
      </c>
      <c r="K94" s="135"/>
      <c r="L94" s="136">
        <f t="shared" si="7"/>
        <v>2041</v>
      </c>
      <c r="M94" s="284"/>
      <c r="N94" s="285"/>
      <c r="O94" s="136">
        <f t="shared" si="8"/>
        <v>0</v>
      </c>
      <c r="P94" s="85"/>
      <c r="R94" s="53"/>
      <c r="S94" s="53"/>
      <c r="T94" s="53"/>
    </row>
    <row r="95" spans="1:20" x14ac:dyDescent="0.25">
      <c r="A95" s="76">
        <v>2223</v>
      </c>
      <c r="B95" s="127" t="s">
        <v>111</v>
      </c>
      <c r="C95" s="279">
        <f t="shared" si="4"/>
        <v>15785</v>
      </c>
      <c r="D95" s="474">
        <v>8137</v>
      </c>
      <c r="E95" s="474"/>
      <c r="F95" s="279">
        <f t="shared" si="5"/>
        <v>8137</v>
      </c>
      <c r="G95" s="134"/>
      <c r="H95" s="135"/>
      <c r="I95" s="136">
        <f t="shared" si="6"/>
        <v>0</v>
      </c>
      <c r="J95" s="134">
        <v>7648</v>
      </c>
      <c r="K95" s="135"/>
      <c r="L95" s="136">
        <f t="shared" si="7"/>
        <v>7648</v>
      </c>
      <c r="M95" s="284"/>
      <c r="N95" s="285"/>
      <c r="O95" s="136">
        <f t="shared" si="8"/>
        <v>0</v>
      </c>
      <c r="P95" s="85"/>
      <c r="R95" s="53"/>
      <c r="S95" s="53"/>
      <c r="T95" s="53"/>
    </row>
    <row r="96" spans="1:20" ht="48" x14ac:dyDescent="0.25">
      <c r="A96" s="76">
        <v>2224</v>
      </c>
      <c r="B96" s="127" t="s">
        <v>112</v>
      </c>
      <c r="C96" s="279">
        <f t="shared" si="4"/>
        <v>770</v>
      </c>
      <c r="D96" s="474">
        <v>770</v>
      </c>
      <c r="E96" s="474"/>
      <c r="F96" s="279">
        <f t="shared" si="5"/>
        <v>770</v>
      </c>
      <c r="G96" s="134"/>
      <c r="H96" s="135"/>
      <c r="I96" s="136">
        <f t="shared" si="6"/>
        <v>0</v>
      </c>
      <c r="J96" s="134"/>
      <c r="K96" s="135"/>
      <c r="L96" s="136">
        <f t="shared" si="7"/>
        <v>0</v>
      </c>
      <c r="M96" s="284"/>
      <c r="N96" s="285"/>
      <c r="O96" s="136">
        <f t="shared" si="8"/>
        <v>0</v>
      </c>
      <c r="P96" s="85"/>
      <c r="R96" s="53"/>
      <c r="S96" s="53"/>
      <c r="T96" s="53"/>
    </row>
    <row r="97" spans="1:20" ht="24" hidden="1" x14ac:dyDescent="0.25">
      <c r="A97" s="76">
        <v>2229</v>
      </c>
      <c r="B97" s="127" t="s">
        <v>113</v>
      </c>
      <c r="C97" s="279">
        <f t="shared" si="4"/>
        <v>0</v>
      </c>
      <c r="D97" s="474"/>
      <c r="E97" s="474"/>
      <c r="F97" s="279">
        <f t="shared" si="5"/>
        <v>0</v>
      </c>
      <c r="G97" s="134"/>
      <c r="H97" s="135"/>
      <c r="I97" s="136">
        <f t="shared" si="6"/>
        <v>0</v>
      </c>
      <c r="J97" s="134"/>
      <c r="K97" s="135"/>
      <c r="L97" s="136">
        <f t="shared" si="7"/>
        <v>0</v>
      </c>
      <c r="M97" s="284"/>
      <c r="N97" s="285"/>
      <c r="O97" s="136">
        <f t="shared" si="8"/>
        <v>0</v>
      </c>
      <c r="P97" s="85"/>
      <c r="R97" s="53"/>
      <c r="S97" s="53"/>
      <c r="T97" s="53"/>
    </row>
    <row r="98" spans="1:20" ht="36" x14ac:dyDescent="0.25">
      <c r="A98" s="276">
        <v>2230</v>
      </c>
      <c r="B98" s="127" t="s">
        <v>114</v>
      </c>
      <c r="C98" s="279">
        <f t="shared" si="4"/>
        <v>2177</v>
      </c>
      <c r="D98" s="279">
        <f>SUM(D99:D105)</f>
        <v>1287</v>
      </c>
      <c r="E98" s="279">
        <f>SUM(E99:E105)</f>
        <v>0</v>
      </c>
      <c r="F98" s="279">
        <f t="shared" si="5"/>
        <v>1287</v>
      </c>
      <c r="G98" s="277">
        <f>SUM(G99:G105)</f>
        <v>0</v>
      </c>
      <c r="H98" s="280">
        <f>SUM(H99:H105)</f>
        <v>0</v>
      </c>
      <c r="I98" s="136">
        <f t="shared" si="6"/>
        <v>0</v>
      </c>
      <c r="J98" s="277">
        <f>SUM(J99:J105)</f>
        <v>890</v>
      </c>
      <c r="K98" s="280">
        <f>SUM(K99:K105)</f>
        <v>0</v>
      </c>
      <c r="L98" s="136">
        <f t="shared" si="7"/>
        <v>890</v>
      </c>
      <c r="M98" s="281">
        <f>SUM(M99:M105)</f>
        <v>0</v>
      </c>
      <c r="N98" s="282">
        <f>SUM(N99:N105)</f>
        <v>0</v>
      </c>
      <c r="O98" s="136">
        <f t="shared" si="8"/>
        <v>0</v>
      </c>
      <c r="P98" s="85"/>
      <c r="R98" s="53"/>
      <c r="S98" s="53"/>
      <c r="T98" s="53"/>
    </row>
    <row r="99" spans="1:20" ht="24" hidden="1" x14ac:dyDescent="0.25">
      <c r="A99" s="76">
        <v>2231</v>
      </c>
      <c r="B99" s="127" t="s">
        <v>115</v>
      </c>
      <c r="C99" s="279">
        <f t="shared" si="4"/>
        <v>0</v>
      </c>
      <c r="D99" s="474"/>
      <c r="E99" s="474"/>
      <c r="F99" s="279">
        <f t="shared" si="5"/>
        <v>0</v>
      </c>
      <c r="G99" s="134"/>
      <c r="H99" s="135"/>
      <c r="I99" s="136">
        <f t="shared" si="6"/>
        <v>0</v>
      </c>
      <c r="J99" s="134"/>
      <c r="K99" s="135"/>
      <c r="L99" s="136">
        <f t="shared" si="7"/>
        <v>0</v>
      </c>
      <c r="M99" s="284"/>
      <c r="N99" s="285"/>
      <c r="O99" s="136">
        <f t="shared" si="8"/>
        <v>0</v>
      </c>
      <c r="P99" s="85"/>
      <c r="R99" s="53"/>
      <c r="S99" s="53"/>
      <c r="T99" s="53"/>
    </row>
    <row r="100" spans="1:20" ht="36" hidden="1" x14ac:dyDescent="0.25">
      <c r="A100" s="76">
        <v>2232</v>
      </c>
      <c r="B100" s="127" t="s">
        <v>116</v>
      </c>
      <c r="C100" s="279">
        <f t="shared" si="4"/>
        <v>0</v>
      </c>
      <c r="D100" s="474"/>
      <c r="E100" s="474"/>
      <c r="F100" s="279">
        <f t="shared" si="5"/>
        <v>0</v>
      </c>
      <c r="G100" s="134"/>
      <c r="H100" s="135"/>
      <c r="I100" s="136">
        <f t="shared" si="6"/>
        <v>0</v>
      </c>
      <c r="J100" s="134"/>
      <c r="K100" s="135"/>
      <c r="L100" s="136">
        <f t="shared" si="7"/>
        <v>0</v>
      </c>
      <c r="M100" s="284"/>
      <c r="N100" s="285"/>
      <c r="O100" s="136">
        <f t="shared" si="8"/>
        <v>0</v>
      </c>
      <c r="P100" s="85"/>
      <c r="R100" s="53"/>
      <c r="S100" s="53"/>
      <c r="T100" s="53"/>
    </row>
    <row r="101" spans="1:20" ht="24" hidden="1" x14ac:dyDescent="0.25">
      <c r="A101" s="66">
        <v>2233</v>
      </c>
      <c r="B101" s="116" t="s">
        <v>117</v>
      </c>
      <c r="C101" s="279">
        <f t="shared" si="4"/>
        <v>0</v>
      </c>
      <c r="D101" s="973"/>
      <c r="E101" s="973"/>
      <c r="F101" s="296">
        <f t="shared" si="5"/>
        <v>0</v>
      </c>
      <c r="G101" s="123"/>
      <c r="H101" s="124"/>
      <c r="I101" s="125">
        <f t="shared" si="6"/>
        <v>0</v>
      </c>
      <c r="J101" s="123"/>
      <c r="K101" s="124"/>
      <c r="L101" s="125">
        <f t="shared" si="7"/>
        <v>0</v>
      </c>
      <c r="M101" s="264"/>
      <c r="N101" s="262"/>
      <c r="O101" s="125">
        <f t="shared" si="8"/>
        <v>0</v>
      </c>
      <c r="P101" s="74"/>
      <c r="R101" s="53"/>
      <c r="S101" s="53"/>
      <c r="T101" s="53"/>
    </row>
    <row r="102" spans="1:20" ht="36" hidden="1" x14ac:dyDescent="0.25">
      <c r="A102" s="76">
        <v>2234</v>
      </c>
      <c r="B102" s="127" t="s">
        <v>118</v>
      </c>
      <c r="C102" s="279">
        <f t="shared" si="4"/>
        <v>0</v>
      </c>
      <c r="D102" s="474"/>
      <c r="E102" s="474"/>
      <c r="F102" s="279">
        <f t="shared" si="5"/>
        <v>0</v>
      </c>
      <c r="G102" s="134"/>
      <c r="H102" s="135"/>
      <c r="I102" s="136">
        <f t="shared" si="6"/>
        <v>0</v>
      </c>
      <c r="J102" s="134"/>
      <c r="K102" s="135"/>
      <c r="L102" s="136">
        <f t="shared" si="7"/>
        <v>0</v>
      </c>
      <c r="M102" s="284"/>
      <c r="N102" s="285"/>
      <c r="O102" s="136">
        <f t="shared" si="8"/>
        <v>0</v>
      </c>
      <c r="P102" s="85"/>
      <c r="R102" s="53"/>
      <c r="S102" s="53"/>
      <c r="T102" s="53"/>
    </row>
    <row r="103" spans="1:20" ht="24" x14ac:dyDescent="0.25">
      <c r="A103" s="76">
        <v>2235</v>
      </c>
      <c r="B103" s="127" t="s">
        <v>119</v>
      </c>
      <c r="C103" s="279">
        <f t="shared" si="4"/>
        <v>564</v>
      </c>
      <c r="D103" s="474">
        <v>414</v>
      </c>
      <c r="E103" s="474"/>
      <c r="F103" s="279">
        <f t="shared" si="5"/>
        <v>414</v>
      </c>
      <c r="G103" s="134"/>
      <c r="H103" s="135"/>
      <c r="I103" s="136">
        <f t="shared" si="6"/>
        <v>0</v>
      </c>
      <c r="J103" s="134">
        <v>150</v>
      </c>
      <c r="K103" s="135"/>
      <c r="L103" s="136">
        <f t="shared" si="7"/>
        <v>150</v>
      </c>
      <c r="M103" s="284"/>
      <c r="N103" s="285"/>
      <c r="O103" s="136">
        <f t="shared" si="8"/>
        <v>0</v>
      </c>
      <c r="P103" s="85"/>
      <c r="R103" s="53"/>
      <c r="S103" s="53"/>
      <c r="T103" s="53"/>
    </row>
    <row r="104" spans="1:20" hidden="1" x14ac:dyDescent="0.25">
      <c r="A104" s="76">
        <v>2236</v>
      </c>
      <c r="B104" s="127" t="s">
        <v>120</v>
      </c>
      <c r="C104" s="279">
        <f t="shared" si="4"/>
        <v>0</v>
      </c>
      <c r="D104" s="474"/>
      <c r="E104" s="474"/>
      <c r="F104" s="279">
        <f t="shared" si="5"/>
        <v>0</v>
      </c>
      <c r="G104" s="134"/>
      <c r="H104" s="135"/>
      <c r="I104" s="136">
        <f t="shared" si="6"/>
        <v>0</v>
      </c>
      <c r="J104" s="134"/>
      <c r="K104" s="135"/>
      <c r="L104" s="136">
        <f t="shared" si="7"/>
        <v>0</v>
      </c>
      <c r="M104" s="284"/>
      <c r="N104" s="285"/>
      <c r="O104" s="136">
        <f t="shared" si="8"/>
        <v>0</v>
      </c>
      <c r="P104" s="85"/>
      <c r="R104" s="53"/>
      <c r="S104" s="53"/>
      <c r="T104" s="53"/>
    </row>
    <row r="105" spans="1:20" ht="24" x14ac:dyDescent="0.25">
      <c r="A105" s="76">
        <v>2239</v>
      </c>
      <c r="B105" s="127" t="s">
        <v>121</v>
      </c>
      <c r="C105" s="279">
        <f t="shared" si="4"/>
        <v>1613</v>
      </c>
      <c r="D105" s="474">
        <v>873</v>
      </c>
      <c r="E105" s="474"/>
      <c r="F105" s="279">
        <f t="shared" si="5"/>
        <v>873</v>
      </c>
      <c r="G105" s="134"/>
      <c r="H105" s="135"/>
      <c r="I105" s="136">
        <f t="shared" si="6"/>
        <v>0</v>
      </c>
      <c r="J105" s="134">
        <v>740</v>
      </c>
      <c r="K105" s="135"/>
      <c r="L105" s="136">
        <f t="shared" si="7"/>
        <v>740</v>
      </c>
      <c r="M105" s="284"/>
      <c r="N105" s="285"/>
      <c r="O105" s="136">
        <f t="shared" si="8"/>
        <v>0</v>
      </c>
      <c r="P105" s="85"/>
      <c r="R105" s="53"/>
      <c r="S105" s="53"/>
      <c r="T105" s="53"/>
    </row>
    <row r="106" spans="1:20" ht="36" x14ac:dyDescent="0.25">
      <c r="A106" s="276">
        <v>2240</v>
      </c>
      <c r="B106" s="127" t="s">
        <v>122</v>
      </c>
      <c r="C106" s="279">
        <f t="shared" si="4"/>
        <v>5494</v>
      </c>
      <c r="D106" s="279">
        <f>SUM(D107:D114)</f>
        <v>4815</v>
      </c>
      <c r="E106" s="279">
        <f>SUM(E107:E114)</f>
        <v>0</v>
      </c>
      <c r="F106" s="279">
        <f t="shared" si="5"/>
        <v>4815</v>
      </c>
      <c r="G106" s="277">
        <f>SUM(G107:G114)</f>
        <v>0</v>
      </c>
      <c r="H106" s="280">
        <f>SUM(H107:H114)</f>
        <v>0</v>
      </c>
      <c r="I106" s="136">
        <f t="shared" si="6"/>
        <v>0</v>
      </c>
      <c r="J106" s="277">
        <f>SUM(J107:J114)</f>
        <v>679</v>
      </c>
      <c r="K106" s="280">
        <f>SUM(K107:K114)</f>
        <v>0</v>
      </c>
      <c r="L106" s="136">
        <f t="shared" si="7"/>
        <v>679</v>
      </c>
      <c r="M106" s="281">
        <f>SUM(M107:M114)</f>
        <v>0</v>
      </c>
      <c r="N106" s="282">
        <f>SUM(N107:N114)</f>
        <v>0</v>
      </c>
      <c r="O106" s="136">
        <f t="shared" si="8"/>
        <v>0</v>
      </c>
      <c r="P106" s="85"/>
      <c r="R106" s="53"/>
      <c r="S106" s="53"/>
      <c r="T106" s="53"/>
    </row>
    <row r="107" spans="1:20" hidden="1" x14ac:dyDescent="0.25">
      <c r="A107" s="76">
        <v>2241</v>
      </c>
      <c r="B107" s="127" t="s">
        <v>123</v>
      </c>
      <c r="C107" s="279">
        <f t="shared" si="4"/>
        <v>0</v>
      </c>
      <c r="D107" s="474"/>
      <c r="E107" s="474"/>
      <c r="F107" s="279">
        <f t="shared" si="5"/>
        <v>0</v>
      </c>
      <c r="G107" s="134"/>
      <c r="H107" s="135"/>
      <c r="I107" s="136">
        <f t="shared" si="6"/>
        <v>0</v>
      </c>
      <c r="J107" s="134"/>
      <c r="K107" s="135"/>
      <c r="L107" s="136">
        <f t="shared" si="7"/>
        <v>0</v>
      </c>
      <c r="M107" s="284"/>
      <c r="N107" s="285"/>
      <c r="O107" s="136">
        <f t="shared" si="8"/>
        <v>0</v>
      </c>
      <c r="P107" s="85"/>
      <c r="R107" s="53"/>
      <c r="S107" s="53"/>
      <c r="T107" s="53"/>
    </row>
    <row r="108" spans="1:20" ht="24" hidden="1" x14ac:dyDescent="0.25">
      <c r="A108" s="76">
        <v>2242</v>
      </c>
      <c r="B108" s="127" t="s">
        <v>124</v>
      </c>
      <c r="C108" s="279">
        <f t="shared" si="4"/>
        <v>0</v>
      </c>
      <c r="D108" s="474"/>
      <c r="E108" s="474"/>
      <c r="F108" s="279">
        <f t="shared" si="5"/>
        <v>0</v>
      </c>
      <c r="G108" s="134"/>
      <c r="H108" s="135"/>
      <c r="I108" s="136">
        <f t="shared" si="6"/>
        <v>0</v>
      </c>
      <c r="J108" s="134"/>
      <c r="K108" s="135"/>
      <c r="L108" s="136">
        <f t="shared" si="7"/>
        <v>0</v>
      </c>
      <c r="M108" s="284"/>
      <c r="N108" s="285"/>
      <c r="O108" s="136">
        <f t="shared" si="8"/>
        <v>0</v>
      </c>
      <c r="P108" s="85"/>
      <c r="R108" s="53"/>
      <c r="S108" s="53"/>
      <c r="T108" s="53"/>
    </row>
    <row r="109" spans="1:20" ht="24" x14ac:dyDescent="0.25">
      <c r="A109" s="76">
        <v>2243</v>
      </c>
      <c r="B109" s="127" t="s">
        <v>125</v>
      </c>
      <c r="C109" s="279">
        <f t="shared" si="4"/>
        <v>709</v>
      </c>
      <c r="D109" s="474">
        <v>459</v>
      </c>
      <c r="E109" s="474"/>
      <c r="F109" s="279">
        <f t="shared" si="5"/>
        <v>459</v>
      </c>
      <c r="G109" s="134"/>
      <c r="H109" s="135"/>
      <c r="I109" s="136">
        <f t="shared" si="6"/>
        <v>0</v>
      </c>
      <c r="J109" s="134">
        <v>250</v>
      </c>
      <c r="K109" s="135"/>
      <c r="L109" s="136">
        <f t="shared" si="7"/>
        <v>250</v>
      </c>
      <c r="M109" s="284"/>
      <c r="N109" s="285"/>
      <c r="O109" s="136">
        <f t="shared" si="8"/>
        <v>0</v>
      </c>
      <c r="P109" s="85"/>
      <c r="R109" s="53"/>
      <c r="S109" s="53"/>
      <c r="T109" s="53"/>
    </row>
    <row r="110" spans="1:20" x14ac:dyDescent="0.25">
      <c r="A110" s="76">
        <v>2244</v>
      </c>
      <c r="B110" s="127" t="s">
        <v>126</v>
      </c>
      <c r="C110" s="279">
        <f t="shared" si="4"/>
        <v>4356</v>
      </c>
      <c r="D110" s="474">
        <v>4356</v>
      </c>
      <c r="E110" s="474"/>
      <c r="F110" s="279">
        <f t="shared" si="5"/>
        <v>4356</v>
      </c>
      <c r="G110" s="134"/>
      <c r="H110" s="135"/>
      <c r="I110" s="136">
        <f t="shared" si="6"/>
        <v>0</v>
      </c>
      <c r="J110" s="134"/>
      <c r="K110" s="135"/>
      <c r="L110" s="136">
        <f t="shared" si="7"/>
        <v>0</v>
      </c>
      <c r="M110" s="284"/>
      <c r="N110" s="285"/>
      <c r="O110" s="136">
        <f t="shared" si="8"/>
        <v>0</v>
      </c>
      <c r="P110" s="85"/>
      <c r="R110" s="53"/>
      <c r="S110" s="53"/>
      <c r="T110" s="53"/>
    </row>
    <row r="111" spans="1:20" ht="24" hidden="1" x14ac:dyDescent="0.25">
      <c r="A111" s="76">
        <v>2246</v>
      </c>
      <c r="B111" s="127" t="s">
        <v>127</v>
      </c>
      <c r="C111" s="279">
        <f t="shared" si="4"/>
        <v>0</v>
      </c>
      <c r="D111" s="474"/>
      <c r="E111" s="474"/>
      <c r="F111" s="279">
        <f t="shared" si="5"/>
        <v>0</v>
      </c>
      <c r="G111" s="134"/>
      <c r="H111" s="135"/>
      <c r="I111" s="136">
        <f t="shared" si="6"/>
        <v>0</v>
      </c>
      <c r="J111" s="134"/>
      <c r="K111" s="135"/>
      <c r="L111" s="136">
        <f t="shared" si="7"/>
        <v>0</v>
      </c>
      <c r="M111" s="284"/>
      <c r="N111" s="285"/>
      <c r="O111" s="136">
        <f t="shared" si="8"/>
        <v>0</v>
      </c>
      <c r="P111" s="85"/>
      <c r="R111" s="53"/>
      <c r="S111" s="53"/>
      <c r="T111" s="53"/>
    </row>
    <row r="112" spans="1:20" hidden="1" x14ac:dyDescent="0.25">
      <c r="A112" s="76">
        <v>2247</v>
      </c>
      <c r="B112" s="127" t="s">
        <v>128</v>
      </c>
      <c r="C112" s="279">
        <f t="shared" si="4"/>
        <v>0</v>
      </c>
      <c r="D112" s="474"/>
      <c r="E112" s="474"/>
      <c r="F112" s="279">
        <f t="shared" si="5"/>
        <v>0</v>
      </c>
      <c r="G112" s="134"/>
      <c r="H112" s="135"/>
      <c r="I112" s="136">
        <f t="shared" si="6"/>
        <v>0</v>
      </c>
      <c r="J112" s="134"/>
      <c r="K112" s="135"/>
      <c r="L112" s="136">
        <f t="shared" si="7"/>
        <v>0</v>
      </c>
      <c r="M112" s="284"/>
      <c r="N112" s="285"/>
      <c r="O112" s="136">
        <f t="shared" si="8"/>
        <v>0</v>
      </c>
      <c r="P112" s="85"/>
      <c r="R112" s="53"/>
      <c r="S112" s="53"/>
      <c r="T112" s="53"/>
    </row>
    <row r="113" spans="1:20" ht="24" hidden="1" x14ac:dyDescent="0.25">
      <c r="A113" s="76">
        <v>2248</v>
      </c>
      <c r="B113" s="127" t="s">
        <v>129</v>
      </c>
      <c r="C113" s="279">
        <f t="shared" si="4"/>
        <v>0</v>
      </c>
      <c r="D113" s="474"/>
      <c r="E113" s="474"/>
      <c r="F113" s="279">
        <f t="shared" si="5"/>
        <v>0</v>
      </c>
      <c r="G113" s="134"/>
      <c r="H113" s="135"/>
      <c r="I113" s="136">
        <f t="shared" si="6"/>
        <v>0</v>
      </c>
      <c r="J113" s="134"/>
      <c r="K113" s="135"/>
      <c r="L113" s="136">
        <f t="shared" si="7"/>
        <v>0</v>
      </c>
      <c r="M113" s="284"/>
      <c r="N113" s="285"/>
      <c r="O113" s="136">
        <f t="shared" si="8"/>
        <v>0</v>
      </c>
      <c r="P113" s="85"/>
      <c r="R113" s="53"/>
      <c r="S113" s="53"/>
      <c r="T113" s="53"/>
    </row>
    <row r="114" spans="1:20" ht="24" x14ac:dyDescent="0.25">
      <c r="A114" s="76">
        <v>2249</v>
      </c>
      <c r="B114" s="127" t="s">
        <v>130</v>
      </c>
      <c r="C114" s="279">
        <f t="shared" si="4"/>
        <v>429</v>
      </c>
      <c r="D114" s="474"/>
      <c r="E114" s="474"/>
      <c r="F114" s="279">
        <f t="shared" si="5"/>
        <v>0</v>
      </c>
      <c r="G114" s="134"/>
      <c r="H114" s="135"/>
      <c r="I114" s="136">
        <f t="shared" si="6"/>
        <v>0</v>
      </c>
      <c r="J114" s="134">
        <v>429</v>
      </c>
      <c r="K114" s="135"/>
      <c r="L114" s="136">
        <f t="shared" si="7"/>
        <v>429</v>
      </c>
      <c r="M114" s="284"/>
      <c r="N114" s="285"/>
      <c r="O114" s="136">
        <f t="shared" si="8"/>
        <v>0</v>
      </c>
      <c r="P114" s="85"/>
      <c r="R114" s="53"/>
      <c r="S114" s="53"/>
      <c r="T114" s="53"/>
    </row>
    <row r="115" spans="1:20" x14ac:dyDescent="0.25">
      <c r="A115" s="276">
        <v>2250</v>
      </c>
      <c r="B115" s="127" t="s">
        <v>131</v>
      </c>
      <c r="C115" s="279">
        <f t="shared" si="4"/>
        <v>350</v>
      </c>
      <c r="D115" s="279">
        <f>SUM(D116:D118)</f>
        <v>122</v>
      </c>
      <c r="E115" s="279">
        <f>SUM(E116:E118)</f>
        <v>0</v>
      </c>
      <c r="F115" s="279">
        <f t="shared" si="5"/>
        <v>122</v>
      </c>
      <c r="G115" s="277">
        <f>SUM(G116:G118)</f>
        <v>0</v>
      </c>
      <c r="H115" s="280">
        <f>SUM(H116:H118)</f>
        <v>0</v>
      </c>
      <c r="I115" s="136">
        <f t="shared" si="6"/>
        <v>0</v>
      </c>
      <c r="J115" s="277">
        <f>SUM(J116:J118)</f>
        <v>228</v>
      </c>
      <c r="K115" s="280">
        <f>SUM(K116:K118)</f>
        <v>0</v>
      </c>
      <c r="L115" s="136">
        <f t="shared" si="7"/>
        <v>228</v>
      </c>
      <c r="M115" s="281">
        <f>SUM(M116:M118)</f>
        <v>0</v>
      </c>
      <c r="N115" s="282">
        <f>SUM(N116:N118)</f>
        <v>0</v>
      </c>
      <c r="O115" s="136">
        <f t="shared" si="8"/>
        <v>0</v>
      </c>
      <c r="P115" s="85"/>
      <c r="R115" s="53"/>
      <c r="S115" s="53"/>
      <c r="T115" s="53"/>
    </row>
    <row r="116" spans="1:20" hidden="1" x14ac:dyDescent="0.25">
      <c r="A116" s="76">
        <v>2251</v>
      </c>
      <c r="B116" s="127" t="s">
        <v>132</v>
      </c>
      <c r="C116" s="279">
        <f t="shared" si="4"/>
        <v>0</v>
      </c>
      <c r="D116" s="474"/>
      <c r="E116" s="474"/>
      <c r="F116" s="279">
        <f t="shared" si="5"/>
        <v>0</v>
      </c>
      <c r="G116" s="134"/>
      <c r="H116" s="135"/>
      <c r="I116" s="136">
        <f t="shared" si="6"/>
        <v>0</v>
      </c>
      <c r="J116" s="134"/>
      <c r="K116" s="135"/>
      <c r="L116" s="136">
        <f t="shared" si="7"/>
        <v>0</v>
      </c>
      <c r="M116" s="284"/>
      <c r="N116" s="285"/>
      <c r="O116" s="136">
        <f t="shared" si="8"/>
        <v>0</v>
      </c>
      <c r="P116" s="85"/>
      <c r="R116" s="53"/>
      <c r="S116" s="53"/>
      <c r="T116" s="53"/>
    </row>
    <row r="117" spans="1:20" ht="24" hidden="1" x14ac:dyDescent="0.25">
      <c r="A117" s="76">
        <v>2252</v>
      </c>
      <c r="B117" s="127" t="s">
        <v>133</v>
      </c>
      <c r="C117" s="279">
        <f t="shared" ref="C117:C181" si="9">F117+I117+L117+O117</f>
        <v>0</v>
      </c>
      <c r="D117" s="474"/>
      <c r="E117" s="474"/>
      <c r="F117" s="279">
        <f t="shared" si="5"/>
        <v>0</v>
      </c>
      <c r="G117" s="134"/>
      <c r="H117" s="135"/>
      <c r="I117" s="136">
        <f t="shared" si="6"/>
        <v>0</v>
      </c>
      <c r="J117" s="134"/>
      <c r="K117" s="135"/>
      <c r="L117" s="136">
        <f t="shared" si="7"/>
        <v>0</v>
      </c>
      <c r="M117" s="284"/>
      <c r="N117" s="285"/>
      <c r="O117" s="136">
        <f t="shared" si="8"/>
        <v>0</v>
      </c>
      <c r="P117" s="85"/>
      <c r="R117" s="53"/>
      <c r="S117" s="53"/>
      <c r="T117" s="53"/>
    </row>
    <row r="118" spans="1:20" ht="24" x14ac:dyDescent="0.25">
      <c r="A118" s="76">
        <v>2259</v>
      </c>
      <c r="B118" s="127" t="s">
        <v>134</v>
      </c>
      <c r="C118" s="279">
        <f t="shared" si="9"/>
        <v>350</v>
      </c>
      <c r="D118" s="474">
        <v>122</v>
      </c>
      <c r="E118" s="474"/>
      <c r="F118" s="279">
        <f t="shared" ref="F118:F182" si="10">D118+E118</f>
        <v>122</v>
      </c>
      <c r="G118" s="134"/>
      <c r="H118" s="135"/>
      <c r="I118" s="136">
        <f t="shared" ref="I118:I182" si="11">G118+H118</f>
        <v>0</v>
      </c>
      <c r="J118" s="134">
        <v>228</v>
      </c>
      <c r="K118" s="135"/>
      <c r="L118" s="136">
        <f t="shared" ref="L118:L182" si="12">J118+K118</f>
        <v>228</v>
      </c>
      <c r="M118" s="284"/>
      <c r="N118" s="285"/>
      <c r="O118" s="136">
        <f t="shared" ref="O118:O182" si="13">M118+N118</f>
        <v>0</v>
      </c>
      <c r="P118" s="85"/>
      <c r="R118" s="53"/>
      <c r="S118" s="53"/>
      <c r="T118" s="53"/>
    </row>
    <row r="119" spans="1:20" x14ac:dyDescent="0.25">
      <c r="A119" s="276">
        <v>2260</v>
      </c>
      <c r="B119" s="127" t="s">
        <v>135</v>
      </c>
      <c r="C119" s="279">
        <f t="shared" si="9"/>
        <v>24</v>
      </c>
      <c r="D119" s="279">
        <f>SUM(D120:D124)</f>
        <v>0</v>
      </c>
      <c r="E119" s="279">
        <f>SUM(E120:E124)</f>
        <v>0</v>
      </c>
      <c r="F119" s="279">
        <f t="shared" si="10"/>
        <v>0</v>
      </c>
      <c r="G119" s="277">
        <f>SUM(G120:G124)</f>
        <v>0</v>
      </c>
      <c r="H119" s="280">
        <f>SUM(H120:H124)</f>
        <v>0</v>
      </c>
      <c r="I119" s="136">
        <f t="shared" si="11"/>
        <v>0</v>
      </c>
      <c r="J119" s="277">
        <f>SUM(J120:J124)</f>
        <v>24</v>
      </c>
      <c r="K119" s="280">
        <f>SUM(K120:K124)</f>
        <v>0</v>
      </c>
      <c r="L119" s="136">
        <f t="shared" si="12"/>
        <v>24</v>
      </c>
      <c r="M119" s="281">
        <f>SUM(M120:M124)</f>
        <v>0</v>
      </c>
      <c r="N119" s="282">
        <f>SUM(N120:N124)</f>
        <v>0</v>
      </c>
      <c r="O119" s="136">
        <f t="shared" si="13"/>
        <v>0</v>
      </c>
      <c r="P119" s="85"/>
      <c r="R119" s="53"/>
      <c r="S119" s="53"/>
      <c r="T119" s="53"/>
    </row>
    <row r="120" spans="1:20" hidden="1" x14ac:dyDescent="0.25">
      <c r="A120" s="76">
        <v>2261</v>
      </c>
      <c r="B120" s="127" t="s">
        <v>136</v>
      </c>
      <c r="C120" s="279">
        <f t="shared" si="9"/>
        <v>0</v>
      </c>
      <c r="D120" s="474"/>
      <c r="E120" s="474"/>
      <c r="F120" s="279">
        <f t="shared" si="10"/>
        <v>0</v>
      </c>
      <c r="G120" s="134"/>
      <c r="H120" s="135"/>
      <c r="I120" s="136">
        <f t="shared" si="11"/>
        <v>0</v>
      </c>
      <c r="J120" s="134"/>
      <c r="K120" s="135"/>
      <c r="L120" s="136">
        <f t="shared" si="12"/>
        <v>0</v>
      </c>
      <c r="M120" s="284"/>
      <c r="N120" s="285"/>
      <c r="O120" s="136">
        <f t="shared" si="13"/>
        <v>0</v>
      </c>
      <c r="P120" s="85"/>
      <c r="R120" s="53"/>
      <c r="S120" s="53"/>
      <c r="T120" s="53"/>
    </row>
    <row r="121" spans="1:20" hidden="1" x14ac:dyDescent="0.25">
      <c r="A121" s="76">
        <v>2262</v>
      </c>
      <c r="B121" s="127" t="s">
        <v>137</v>
      </c>
      <c r="C121" s="279">
        <f t="shared" si="9"/>
        <v>0</v>
      </c>
      <c r="D121" s="474"/>
      <c r="E121" s="474"/>
      <c r="F121" s="279">
        <f t="shared" si="10"/>
        <v>0</v>
      </c>
      <c r="G121" s="134"/>
      <c r="H121" s="135"/>
      <c r="I121" s="136">
        <f t="shared" si="11"/>
        <v>0</v>
      </c>
      <c r="J121" s="134"/>
      <c r="K121" s="135"/>
      <c r="L121" s="136">
        <f t="shared" si="12"/>
        <v>0</v>
      </c>
      <c r="M121" s="284"/>
      <c r="N121" s="285"/>
      <c r="O121" s="136">
        <f t="shared" si="13"/>
        <v>0</v>
      </c>
      <c r="P121" s="85"/>
      <c r="R121" s="53"/>
      <c r="S121" s="53"/>
      <c r="T121" s="53"/>
    </row>
    <row r="122" spans="1:20" hidden="1" x14ac:dyDescent="0.25">
      <c r="A122" s="76">
        <v>2263</v>
      </c>
      <c r="B122" s="127" t="s">
        <v>138</v>
      </c>
      <c r="C122" s="279">
        <f t="shared" si="9"/>
        <v>0</v>
      </c>
      <c r="D122" s="474"/>
      <c r="E122" s="474"/>
      <c r="F122" s="279">
        <f t="shared" si="10"/>
        <v>0</v>
      </c>
      <c r="G122" s="134"/>
      <c r="H122" s="135"/>
      <c r="I122" s="136">
        <f t="shared" si="11"/>
        <v>0</v>
      </c>
      <c r="J122" s="134"/>
      <c r="K122" s="135"/>
      <c r="L122" s="136">
        <f t="shared" si="12"/>
        <v>0</v>
      </c>
      <c r="M122" s="284"/>
      <c r="N122" s="285"/>
      <c r="O122" s="136">
        <f t="shared" si="13"/>
        <v>0</v>
      </c>
      <c r="P122" s="85"/>
      <c r="R122" s="53"/>
      <c r="S122" s="53"/>
      <c r="T122" s="53"/>
    </row>
    <row r="123" spans="1:20" ht="24" hidden="1" x14ac:dyDescent="0.25">
      <c r="A123" s="76">
        <v>2264</v>
      </c>
      <c r="B123" s="127" t="s">
        <v>139</v>
      </c>
      <c r="C123" s="279">
        <f t="shared" si="9"/>
        <v>0</v>
      </c>
      <c r="D123" s="474"/>
      <c r="E123" s="474"/>
      <c r="F123" s="279">
        <f t="shared" si="10"/>
        <v>0</v>
      </c>
      <c r="G123" s="134"/>
      <c r="H123" s="135"/>
      <c r="I123" s="136">
        <f t="shared" si="11"/>
        <v>0</v>
      </c>
      <c r="J123" s="134"/>
      <c r="K123" s="135"/>
      <c r="L123" s="136">
        <f t="shared" si="12"/>
        <v>0</v>
      </c>
      <c r="M123" s="284"/>
      <c r="N123" s="285"/>
      <c r="O123" s="136">
        <f t="shared" si="13"/>
        <v>0</v>
      </c>
      <c r="P123" s="85"/>
      <c r="R123" s="53"/>
      <c r="S123" s="53"/>
      <c r="T123" s="53"/>
    </row>
    <row r="124" spans="1:20" x14ac:dyDescent="0.25">
      <c r="A124" s="76">
        <v>2269</v>
      </c>
      <c r="B124" s="127" t="s">
        <v>140</v>
      </c>
      <c r="C124" s="279">
        <f t="shared" si="9"/>
        <v>24</v>
      </c>
      <c r="D124" s="474"/>
      <c r="E124" s="474"/>
      <c r="F124" s="279">
        <f t="shared" si="10"/>
        <v>0</v>
      </c>
      <c r="G124" s="134"/>
      <c r="H124" s="135"/>
      <c r="I124" s="136">
        <f t="shared" si="11"/>
        <v>0</v>
      </c>
      <c r="J124" s="134">
        <v>24</v>
      </c>
      <c r="K124" s="135"/>
      <c r="L124" s="136">
        <f t="shared" si="12"/>
        <v>24</v>
      </c>
      <c r="M124" s="284"/>
      <c r="N124" s="285"/>
      <c r="O124" s="136">
        <f t="shared" si="13"/>
        <v>0</v>
      </c>
      <c r="P124" s="85"/>
      <c r="R124" s="53"/>
      <c r="S124" s="53"/>
      <c r="T124" s="53"/>
    </row>
    <row r="125" spans="1:20" x14ac:dyDescent="0.25">
      <c r="A125" s="276">
        <v>2270</v>
      </c>
      <c r="B125" s="127" t="s">
        <v>141</v>
      </c>
      <c r="C125" s="279">
        <f t="shared" si="9"/>
        <v>45</v>
      </c>
      <c r="D125" s="279">
        <f>SUM(D126:D130)</f>
        <v>45</v>
      </c>
      <c r="E125" s="279">
        <f>SUM(E126:E130)</f>
        <v>0</v>
      </c>
      <c r="F125" s="279">
        <f t="shared" si="10"/>
        <v>45</v>
      </c>
      <c r="G125" s="277">
        <f>SUM(G126:G130)</f>
        <v>0</v>
      </c>
      <c r="H125" s="280">
        <f>SUM(H126:H130)</f>
        <v>0</v>
      </c>
      <c r="I125" s="136">
        <f t="shared" si="11"/>
        <v>0</v>
      </c>
      <c r="J125" s="277">
        <f>SUM(J126:J130)</f>
        <v>0</v>
      </c>
      <c r="K125" s="280">
        <f>SUM(K126:K130)</f>
        <v>0</v>
      </c>
      <c r="L125" s="136">
        <f t="shared" si="12"/>
        <v>0</v>
      </c>
      <c r="M125" s="281">
        <f>SUM(M126:M130)</f>
        <v>0</v>
      </c>
      <c r="N125" s="282">
        <f>SUM(N126:N130)</f>
        <v>0</v>
      </c>
      <c r="O125" s="136">
        <f t="shared" si="13"/>
        <v>0</v>
      </c>
      <c r="P125" s="85"/>
      <c r="R125" s="53"/>
      <c r="S125" s="53"/>
      <c r="T125" s="53"/>
    </row>
    <row r="126" spans="1:20" hidden="1" x14ac:dyDescent="0.25">
      <c r="A126" s="76">
        <v>2272</v>
      </c>
      <c r="B126" s="5" t="s">
        <v>142</v>
      </c>
      <c r="C126" s="279">
        <f t="shared" si="9"/>
        <v>0</v>
      </c>
      <c r="D126" s="474"/>
      <c r="E126" s="474"/>
      <c r="F126" s="279">
        <f t="shared" si="10"/>
        <v>0</v>
      </c>
      <c r="G126" s="134"/>
      <c r="H126" s="135"/>
      <c r="I126" s="136">
        <f t="shared" si="11"/>
        <v>0</v>
      </c>
      <c r="J126" s="134"/>
      <c r="K126" s="135"/>
      <c r="L126" s="136">
        <f t="shared" si="12"/>
        <v>0</v>
      </c>
      <c r="M126" s="284"/>
      <c r="N126" s="285"/>
      <c r="O126" s="136">
        <f t="shared" si="13"/>
        <v>0</v>
      </c>
      <c r="P126" s="85"/>
      <c r="R126" s="53"/>
      <c r="S126" s="53"/>
      <c r="T126" s="53"/>
    </row>
    <row r="127" spans="1:20" ht="24" hidden="1" x14ac:dyDescent="0.25">
      <c r="A127" s="76">
        <v>2275</v>
      </c>
      <c r="B127" s="127" t="s">
        <v>143</v>
      </c>
      <c r="C127" s="279">
        <f t="shared" si="9"/>
        <v>0</v>
      </c>
      <c r="D127" s="1018"/>
      <c r="E127" s="1018"/>
      <c r="F127" s="279">
        <f t="shared" si="10"/>
        <v>0</v>
      </c>
      <c r="G127" s="134"/>
      <c r="H127" s="135"/>
      <c r="I127" s="136">
        <f t="shared" si="11"/>
        <v>0</v>
      </c>
      <c r="J127" s="134"/>
      <c r="K127" s="135"/>
      <c r="L127" s="136">
        <f t="shared" si="12"/>
        <v>0</v>
      </c>
      <c r="M127" s="284"/>
      <c r="N127" s="285"/>
      <c r="O127" s="136">
        <f t="shared" si="13"/>
        <v>0</v>
      </c>
      <c r="P127" s="1019"/>
      <c r="R127" s="53"/>
      <c r="S127" s="53"/>
      <c r="T127" s="53"/>
    </row>
    <row r="128" spans="1:20" ht="36" hidden="1" x14ac:dyDescent="0.25">
      <c r="A128" s="76">
        <v>2276</v>
      </c>
      <c r="B128" s="127" t="s">
        <v>144</v>
      </c>
      <c r="C128" s="279">
        <f t="shared" si="9"/>
        <v>0</v>
      </c>
      <c r="D128" s="474"/>
      <c r="E128" s="474"/>
      <c r="F128" s="279">
        <f t="shared" si="10"/>
        <v>0</v>
      </c>
      <c r="G128" s="134"/>
      <c r="H128" s="135"/>
      <c r="I128" s="136">
        <f t="shared" si="11"/>
        <v>0</v>
      </c>
      <c r="J128" s="134"/>
      <c r="K128" s="135"/>
      <c r="L128" s="136">
        <f t="shared" si="12"/>
        <v>0</v>
      </c>
      <c r="M128" s="284"/>
      <c r="N128" s="285"/>
      <c r="O128" s="136">
        <f t="shared" si="13"/>
        <v>0</v>
      </c>
      <c r="P128" s="85"/>
      <c r="R128" s="53"/>
      <c r="S128" s="53"/>
      <c r="T128" s="53"/>
    </row>
    <row r="129" spans="1:20" ht="24" hidden="1" x14ac:dyDescent="0.25">
      <c r="A129" s="76">
        <v>2278</v>
      </c>
      <c r="B129" s="127" t="s">
        <v>145</v>
      </c>
      <c r="C129" s="279">
        <f t="shared" si="9"/>
        <v>0</v>
      </c>
      <c r="D129" s="474"/>
      <c r="E129" s="474"/>
      <c r="F129" s="279">
        <f t="shared" si="10"/>
        <v>0</v>
      </c>
      <c r="G129" s="134"/>
      <c r="H129" s="135"/>
      <c r="I129" s="136">
        <f t="shared" si="11"/>
        <v>0</v>
      </c>
      <c r="J129" s="134"/>
      <c r="K129" s="135"/>
      <c r="L129" s="136">
        <f t="shared" si="12"/>
        <v>0</v>
      </c>
      <c r="M129" s="284"/>
      <c r="N129" s="285"/>
      <c r="O129" s="136">
        <f t="shared" si="13"/>
        <v>0</v>
      </c>
      <c r="P129" s="85"/>
      <c r="R129" s="53"/>
      <c r="S129" s="53"/>
      <c r="T129" s="53"/>
    </row>
    <row r="130" spans="1:20" ht="24" x14ac:dyDescent="0.25">
      <c r="A130" s="76">
        <v>2279</v>
      </c>
      <c r="B130" s="127" t="s">
        <v>146</v>
      </c>
      <c r="C130" s="279">
        <f t="shared" si="9"/>
        <v>45</v>
      </c>
      <c r="D130" s="474">
        <v>45</v>
      </c>
      <c r="E130" s="474"/>
      <c r="F130" s="279">
        <f t="shared" si="10"/>
        <v>45</v>
      </c>
      <c r="G130" s="134"/>
      <c r="H130" s="135"/>
      <c r="I130" s="136">
        <f t="shared" si="11"/>
        <v>0</v>
      </c>
      <c r="J130" s="134"/>
      <c r="K130" s="135"/>
      <c r="L130" s="136">
        <f t="shared" si="12"/>
        <v>0</v>
      </c>
      <c r="M130" s="284"/>
      <c r="N130" s="285"/>
      <c r="O130" s="136">
        <f t="shared" si="13"/>
        <v>0</v>
      </c>
      <c r="P130" s="85"/>
      <c r="R130" s="53"/>
      <c r="S130" s="53"/>
      <c r="T130" s="53"/>
    </row>
    <row r="131" spans="1:20" ht="24" hidden="1" x14ac:dyDescent="0.25">
      <c r="A131" s="656">
        <v>2280</v>
      </c>
      <c r="B131" s="116" t="s">
        <v>147</v>
      </c>
      <c r="C131" s="279">
        <f t="shared" si="9"/>
        <v>0</v>
      </c>
      <c r="D131" s="296">
        <f t="shared" ref="D131:N131" si="14">SUM(D132)</f>
        <v>0</v>
      </c>
      <c r="E131" s="296">
        <f t="shared" si="14"/>
        <v>0</v>
      </c>
      <c r="F131" s="296">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c r="R131" s="53"/>
      <c r="S131" s="53"/>
      <c r="T131" s="53"/>
    </row>
    <row r="132" spans="1:20" ht="24" hidden="1" x14ac:dyDescent="0.25">
      <c r="A132" s="76">
        <v>2283</v>
      </c>
      <c r="B132" s="127" t="s">
        <v>148</v>
      </c>
      <c r="C132" s="279">
        <f t="shared" si="9"/>
        <v>0</v>
      </c>
      <c r="D132" s="474"/>
      <c r="E132" s="474"/>
      <c r="F132" s="279">
        <f t="shared" si="10"/>
        <v>0</v>
      </c>
      <c r="G132" s="134"/>
      <c r="H132" s="135"/>
      <c r="I132" s="136">
        <f t="shared" si="11"/>
        <v>0</v>
      </c>
      <c r="J132" s="134"/>
      <c r="K132" s="135"/>
      <c r="L132" s="136">
        <f t="shared" si="12"/>
        <v>0</v>
      </c>
      <c r="M132" s="284"/>
      <c r="N132" s="285"/>
      <c r="O132" s="136">
        <f t="shared" si="13"/>
        <v>0</v>
      </c>
      <c r="P132" s="85"/>
      <c r="R132" s="53"/>
      <c r="S132" s="53"/>
      <c r="T132" s="53"/>
    </row>
    <row r="133" spans="1:20" ht="36" x14ac:dyDescent="0.25">
      <c r="A133" s="99">
        <v>2300</v>
      </c>
      <c r="B133" s="247" t="s">
        <v>149</v>
      </c>
      <c r="C133" s="249">
        <f t="shared" si="9"/>
        <v>25131</v>
      </c>
      <c r="D133" s="249">
        <f>SUM(D134,D139,D143,D144,D147,D154,D162,D163,D166)</f>
        <v>16297</v>
      </c>
      <c r="E133" s="249">
        <f>SUM(E134,E139,E143,E144,E147,E154,E162,E163,E166)</f>
        <v>0</v>
      </c>
      <c r="F133" s="249">
        <f t="shared" si="10"/>
        <v>16297</v>
      </c>
      <c r="G133" s="112">
        <f>SUM(G134,G139,G143,G144,G147,G154,G162,G163,G166)</f>
        <v>1523</v>
      </c>
      <c r="H133" s="113">
        <f>SUM(H134,H139,H143,H144,H147,H154,H162,H163,H166)</f>
        <v>0</v>
      </c>
      <c r="I133" s="114">
        <f t="shared" si="11"/>
        <v>1523</v>
      </c>
      <c r="J133" s="112">
        <f>SUM(J134,J139,J143,J144,J147,J154,J162,J163,J166)</f>
        <v>7311</v>
      </c>
      <c r="K133" s="113">
        <f>SUM(K134,K139,K143,K144,K147,K154,K162,K163,K166)</f>
        <v>0</v>
      </c>
      <c r="L133" s="114">
        <f t="shared" si="12"/>
        <v>7311</v>
      </c>
      <c r="M133" s="292">
        <f>SUM(M134,M139,M143,M144,M147,M154,M162,M163,M166)</f>
        <v>0</v>
      </c>
      <c r="N133" s="293">
        <f>SUM(N134,N139,N143,N144,N147,N154,N162,N163,N166)</f>
        <v>0</v>
      </c>
      <c r="O133" s="114">
        <f t="shared" si="13"/>
        <v>0</v>
      </c>
      <c r="P133" s="109"/>
      <c r="R133" s="53"/>
      <c r="S133" s="53"/>
      <c r="T133" s="53"/>
    </row>
    <row r="134" spans="1:20" ht="24" x14ac:dyDescent="0.25">
      <c r="A134" s="656">
        <v>2310</v>
      </c>
      <c r="B134" s="116" t="s">
        <v>150</v>
      </c>
      <c r="C134" s="296">
        <f t="shared" si="9"/>
        <v>7981</v>
      </c>
      <c r="D134" s="362">
        <f>SUM(D135:D138)</f>
        <v>4471</v>
      </c>
      <c r="E134" s="296">
        <f>SUM(E135:E138)</f>
        <v>0</v>
      </c>
      <c r="F134" s="296">
        <f t="shared" si="10"/>
        <v>4471</v>
      </c>
      <c r="G134" s="297">
        <f>SUM(G135:G138)</f>
        <v>0</v>
      </c>
      <c r="H134" s="299">
        <f>SUM(H135:H138)</f>
        <v>0</v>
      </c>
      <c r="I134" s="125">
        <f t="shared" si="11"/>
        <v>0</v>
      </c>
      <c r="J134" s="297">
        <f>SUM(J135:J138)</f>
        <v>3510</v>
      </c>
      <c r="K134" s="299">
        <f>SUM(K135:K138)</f>
        <v>0</v>
      </c>
      <c r="L134" s="125">
        <f t="shared" si="12"/>
        <v>3510</v>
      </c>
      <c r="M134" s="300">
        <f>SUM(M135:M138)</f>
        <v>0</v>
      </c>
      <c r="N134" s="301">
        <f>SUM(N135:N138)</f>
        <v>0</v>
      </c>
      <c r="O134" s="125">
        <f t="shared" si="13"/>
        <v>0</v>
      </c>
      <c r="P134" s="74"/>
      <c r="R134" s="53"/>
      <c r="S134" s="53"/>
      <c r="T134" s="53"/>
    </row>
    <row r="135" spans="1:20" x14ac:dyDescent="0.25">
      <c r="A135" s="76">
        <v>2311</v>
      </c>
      <c r="B135" s="127" t="s">
        <v>151</v>
      </c>
      <c r="C135" s="279">
        <f t="shared" si="9"/>
        <v>2310</v>
      </c>
      <c r="D135" s="474">
        <v>1600</v>
      </c>
      <c r="E135" s="474"/>
      <c r="F135" s="279">
        <f t="shared" si="10"/>
        <v>1600</v>
      </c>
      <c r="G135" s="134"/>
      <c r="H135" s="135"/>
      <c r="I135" s="136">
        <f t="shared" si="11"/>
        <v>0</v>
      </c>
      <c r="J135" s="134">
        <v>710</v>
      </c>
      <c r="K135" s="135"/>
      <c r="L135" s="136">
        <f t="shared" si="12"/>
        <v>710</v>
      </c>
      <c r="M135" s="284"/>
      <c r="N135" s="285"/>
      <c r="O135" s="136">
        <f t="shared" si="13"/>
        <v>0</v>
      </c>
      <c r="P135" s="85"/>
      <c r="R135" s="53"/>
      <c r="S135" s="53"/>
      <c r="T135" s="53"/>
    </row>
    <row r="136" spans="1:20" x14ac:dyDescent="0.25">
      <c r="A136" s="76">
        <v>2312</v>
      </c>
      <c r="B136" s="127" t="s">
        <v>152</v>
      </c>
      <c r="C136" s="279">
        <f t="shared" si="9"/>
        <v>4571</v>
      </c>
      <c r="D136" s="474">
        <v>2771</v>
      </c>
      <c r="E136" s="474"/>
      <c r="F136" s="279">
        <f t="shared" si="10"/>
        <v>2771</v>
      </c>
      <c r="G136" s="134"/>
      <c r="H136" s="135"/>
      <c r="I136" s="136">
        <f t="shared" si="11"/>
        <v>0</v>
      </c>
      <c r="J136" s="134">
        <v>1800</v>
      </c>
      <c r="K136" s="135"/>
      <c r="L136" s="136">
        <f t="shared" si="12"/>
        <v>1800</v>
      </c>
      <c r="M136" s="284"/>
      <c r="N136" s="285"/>
      <c r="O136" s="136">
        <f t="shared" si="13"/>
        <v>0</v>
      </c>
      <c r="P136" s="85"/>
      <c r="R136" s="53"/>
      <c r="S136" s="53"/>
      <c r="T136" s="53"/>
    </row>
    <row r="137" spans="1:20" hidden="1" x14ac:dyDescent="0.25">
      <c r="A137" s="76">
        <v>2313</v>
      </c>
      <c r="B137" s="127" t="s">
        <v>153</v>
      </c>
      <c r="C137" s="279">
        <f t="shared" si="9"/>
        <v>0</v>
      </c>
      <c r="D137" s="474"/>
      <c r="E137" s="474"/>
      <c r="F137" s="279">
        <f t="shared" si="10"/>
        <v>0</v>
      </c>
      <c r="G137" s="134"/>
      <c r="H137" s="135"/>
      <c r="I137" s="136">
        <f t="shared" si="11"/>
        <v>0</v>
      </c>
      <c r="J137" s="134"/>
      <c r="K137" s="135"/>
      <c r="L137" s="136">
        <f t="shared" si="12"/>
        <v>0</v>
      </c>
      <c r="M137" s="284"/>
      <c r="N137" s="285"/>
      <c r="O137" s="136">
        <f t="shared" si="13"/>
        <v>0</v>
      </c>
      <c r="P137" s="85"/>
      <c r="R137" s="53"/>
      <c r="S137" s="53"/>
      <c r="T137" s="53"/>
    </row>
    <row r="138" spans="1:20" ht="36" x14ac:dyDescent="0.25">
      <c r="A138" s="76">
        <v>2314</v>
      </c>
      <c r="B138" s="127" t="s">
        <v>154</v>
      </c>
      <c r="C138" s="279">
        <f t="shared" si="9"/>
        <v>1100</v>
      </c>
      <c r="D138" s="474">
        <v>100</v>
      </c>
      <c r="E138" s="474"/>
      <c r="F138" s="279">
        <f t="shared" si="10"/>
        <v>100</v>
      </c>
      <c r="G138" s="134"/>
      <c r="H138" s="135"/>
      <c r="I138" s="136">
        <f t="shared" si="11"/>
        <v>0</v>
      </c>
      <c r="J138" s="134">
        <v>1000</v>
      </c>
      <c r="K138" s="135"/>
      <c r="L138" s="136">
        <f t="shared" si="12"/>
        <v>1000</v>
      </c>
      <c r="M138" s="284"/>
      <c r="N138" s="285"/>
      <c r="O138" s="136">
        <f t="shared" si="13"/>
        <v>0</v>
      </c>
      <c r="P138" s="85"/>
      <c r="R138" s="53"/>
      <c r="S138" s="53"/>
      <c r="T138" s="53"/>
    </row>
    <row r="139" spans="1:20" x14ac:dyDescent="0.25">
      <c r="A139" s="276">
        <v>2320</v>
      </c>
      <c r="B139" s="127" t="s">
        <v>155</v>
      </c>
      <c r="C139" s="279">
        <f t="shared" si="9"/>
        <v>292</v>
      </c>
      <c r="D139" s="279">
        <f>SUM(D140:D142)</f>
        <v>292</v>
      </c>
      <c r="E139" s="279">
        <f>SUM(E140:E142)</f>
        <v>0</v>
      </c>
      <c r="F139" s="279">
        <f t="shared" si="10"/>
        <v>292</v>
      </c>
      <c r="G139" s="277">
        <f>SUM(G140:G142)</f>
        <v>0</v>
      </c>
      <c r="H139" s="280">
        <f>SUM(H140:H142)</f>
        <v>0</v>
      </c>
      <c r="I139" s="136">
        <f t="shared" si="11"/>
        <v>0</v>
      </c>
      <c r="J139" s="277">
        <f>SUM(J140:J142)</f>
        <v>0</v>
      </c>
      <c r="K139" s="280">
        <f>SUM(K140:K142)</f>
        <v>0</v>
      </c>
      <c r="L139" s="136">
        <f t="shared" si="12"/>
        <v>0</v>
      </c>
      <c r="M139" s="281">
        <f>SUM(M140:M142)</f>
        <v>0</v>
      </c>
      <c r="N139" s="282">
        <f>SUM(N140:N142)</f>
        <v>0</v>
      </c>
      <c r="O139" s="136">
        <f t="shared" si="13"/>
        <v>0</v>
      </c>
      <c r="P139" s="85"/>
      <c r="R139" s="53"/>
      <c r="S139" s="53"/>
      <c r="T139" s="53"/>
    </row>
    <row r="140" spans="1:20" hidden="1" x14ac:dyDescent="0.25">
      <c r="A140" s="76">
        <v>2321</v>
      </c>
      <c r="B140" s="127" t="s">
        <v>156</v>
      </c>
      <c r="C140" s="279">
        <f t="shared" si="9"/>
        <v>0</v>
      </c>
      <c r="D140" s="474"/>
      <c r="E140" s="474"/>
      <c r="F140" s="279">
        <f t="shared" si="10"/>
        <v>0</v>
      </c>
      <c r="G140" s="134"/>
      <c r="H140" s="135"/>
      <c r="I140" s="136">
        <f t="shared" si="11"/>
        <v>0</v>
      </c>
      <c r="J140" s="134"/>
      <c r="K140" s="135"/>
      <c r="L140" s="136">
        <f t="shared" si="12"/>
        <v>0</v>
      </c>
      <c r="M140" s="284"/>
      <c r="N140" s="285"/>
      <c r="O140" s="136">
        <f t="shared" si="13"/>
        <v>0</v>
      </c>
      <c r="P140" s="85"/>
      <c r="R140" s="53"/>
      <c r="S140" s="53"/>
      <c r="T140" s="53"/>
    </row>
    <row r="141" spans="1:20" x14ac:dyDescent="0.25">
      <c r="A141" s="76">
        <v>2322</v>
      </c>
      <c r="B141" s="127" t="s">
        <v>157</v>
      </c>
      <c r="C141" s="279">
        <f t="shared" si="9"/>
        <v>292</v>
      </c>
      <c r="D141" s="474">
        <v>292</v>
      </c>
      <c r="E141" s="474"/>
      <c r="F141" s="279">
        <f t="shared" si="10"/>
        <v>292</v>
      </c>
      <c r="G141" s="134"/>
      <c r="H141" s="135"/>
      <c r="I141" s="136">
        <f t="shared" si="11"/>
        <v>0</v>
      </c>
      <c r="J141" s="134"/>
      <c r="K141" s="135"/>
      <c r="L141" s="136">
        <f t="shared" si="12"/>
        <v>0</v>
      </c>
      <c r="M141" s="284"/>
      <c r="N141" s="285"/>
      <c r="O141" s="136">
        <f t="shared" si="13"/>
        <v>0</v>
      </c>
      <c r="P141" s="85"/>
      <c r="R141" s="53"/>
      <c r="S141" s="53"/>
      <c r="T141" s="53"/>
    </row>
    <row r="142" spans="1:20" hidden="1" x14ac:dyDescent="0.25">
      <c r="A142" s="76">
        <v>2329</v>
      </c>
      <c r="B142" s="127" t="s">
        <v>158</v>
      </c>
      <c r="C142" s="279">
        <f t="shared" si="9"/>
        <v>0</v>
      </c>
      <c r="D142" s="474"/>
      <c r="E142" s="474"/>
      <c r="F142" s="279">
        <f t="shared" si="10"/>
        <v>0</v>
      </c>
      <c r="G142" s="134"/>
      <c r="H142" s="135"/>
      <c r="I142" s="136">
        <f t="shared" si="11"/>
        <v>0</v>
      </c>
      <c r="J142" s="134"/>
      <c r="K142" s="135"/>
      <c r="L142" s="136">
        <f t="shared" si="12"/>
        <v>0</v>
      </c>
      <c r="M142" s="284"/>
      <c r="N142" s="285"/>
      <c r="O142" s="136">
        <f t="shared" si="13"/>
        <v>0</v>
      </c>
      <c r="P142" s="85"/>
      <c r="R142" s="53"/>
      <c r="S142" s="53"/>
      <c r="T142" s="53"/>
    </row>
    <row r="143" spans="1:20" hidden="1" x14ac:dyDescent="0.25">
      <c r="A143" s="276">
        <v>2330</v>
      </c>
      <c r="B143" s="127" t="s">
        <v>159</v>
      </c>
      <c r="C143" s="279">
        <f t="shared" si="9"/>
        <v>0</v>
      </c>
      <c r="D143" s="474"/>
      <c r="E143" s="474"/>
      <c r="F143" s="279">
        <f t="shared" si="10"/>
        <v>0</v>
      </c>
      <c r="G143" s="134"/>
      <c r="H143" s="135"/>
      <c r="I143" s="136">
        <f t="shared" si="11"/>
        <v>0</v>
      </c>
      <c r="J143" s="134"/>
      <c r="K143" s="135"/>
      <c r="L143" s="136">
        <f t="shared" si="12"/>
        <v>0</v>
      </c>
      <c r="M143" s="284"/>
      <c r="N143" s="285"/>
      <c r="O143" s="136">
        <f t="shared" si="13"/>
        <v>0</v>
      </c>
      <c r="P143" s="85"/>
      <c r="R143" s="53"/>
      <c r="S143" s="53"/>
      <c r="T143" s="53"/>
    </row>
    <row r="144" spans="1:20" ht="48" x14ac:dyDescent="0.25">
      <c r="A144" s="276">
        <v>2340</v>
      </c>
      <c r="B144" s="127" t="s">
        <v>160</v>
      </c>
      <c r="C144" s="279">
        <f t="shared" si="9"/>
        <v>286</v>
      </c>
      <c r="D144" s="279">
        <f>SUM(D145:D146)</f>
        <v>143</v>
      </c>
      <c r="E144" s="279">
        <f>SUM(E145:E146)</f>
        <v>0</v>
      </c>
      <c r="F144" s="279">
        <f t="shared" si="10"/>
        <v>143</v>
      </c>
      <c r="G144" s="277">
        <f>SUM(G145:G146)</f>
        <v>0</v>
      </c>
      <c r="H144" s="280">
        <f>SUM(H145:H146)</f>
        <v>0</v>
      </c>
      <c r="I144" s="136">
        <f t="shared" si="11"/>
        <v>0</v>
      </c>
      <c r="J144" s="277">
        <f>SUM(J145:J146)</f>
        <v>143</v>
      </c>
      <c r="K144" s="280">
        <f>SUM(K145:K146)</f>
        <v>0</v>
      </c>
      <c r="L144" s="136">
        <f t="shared" si="12"/>
        <v>143</v>
      </c>
      <c r="M144" s="281">
        <f>SUM(M145:M146)</f>
        <v>0</v>
      </c>
      <c r="N144" s="282">
        <f>SUM(N145:N146)</f>
        <v>0</v>
      </c>
      <c r="O144" s="136">
        <f t="shared" si="13"/>
        <v>0</v>
      </c>
      <c r="P144" s="85"/>
      <c r="R144" s="53"/>
      <c r="S144" s="53"/>
      <c r="T144" s="53"/>
    </row>
    <row r="145" spans="1:20" x14ac:dyDescent="0.25">
      <c r="A145" s="76">
        <v>2341</v>
      </c>
      <c r="B145" s="127" t="s">
        <v>161</v>
      </c>
      <c r="C145" s="279">
        <f t="shared" si="9"/>
        <v>286</v>
      </c>
      <c r="D145" s="474">
        <v>143</v>
      </c>
      <c r="E145" s="474"/>
      <c r="F145" s="279">
        <f t="shared" si="10"/>
        <v>143</v>
      </c>
      <c r="G145" s="134"/>
      <c r="H145" s="135"/>
      <c r="I145" s="136">
        <f t="shared" si="11"/>
        <v>0</v>
      </c>
      <c r="J145" s="134">
        <v>143</v>
      </c>
      <c r="K145" s="135"/>
      <c r="L145" s="136">
        <f t="shared" si="12"/>
        <v>143</v>
      </c>
      <c r="M145" s="284"/>
      <c r="N145" s="285"/>
      <c r="O145" s="136">
        <f t="shared" si="13"/>
        <v>0</v>
      </c>
      <c r="P145" s="85"/>
      <c r="R145" s="53"/>
      <c r="S145" s="53"/>
      <c r="T145" s="53"/>
    </row>
    <row r="146" spans="1:20" ht="24" hidden="1" x14ac:dyDescent="0.25">
      <c r="A146" s="76">
        <v>2344</v>
      </c>
      <c r="B146" s="127" t="s">
        <v>162</v>
      </c>
      <c r="C146" s="279">
        <f t="shared" si="9"/>
        <v>0</v>
      </c>
      <c r="D146" s="474"/>
      <c r="E146" s="474"/>
      <c r="F146" s="279">
        <f t="shared" si="10"/>
        <v>0</v>
      </c>
      <c r="G146" s="134"/>
      <c r="H146" s="135"/>
      <c r="I146" s="136">
        <f t="shared" si="11"/>
        <v>0</v>
      </c>
      <c r="J146" s="134"/>
      <c r="K146" s="135"/>
      <c r="L146" s="136">
        <f t="shared" si="12"/>
        <v>0</v>
      </c>
      <c r="M146" s="284"/>
      <c r="N146" s="285"/>
      <c r="O146" s="136">
        <f t="shared" si="13"/>
        <v>0</v>
      </c>
      <c r="P146" s="85"/>
      <c r="R146" s="53"/>
      <c r="S146" s="53"/>
      <c r="T146" s="53"/>
    </row>
    <row r="147" spans="1:20" ht="24" x14ac:dyDescent="0.25">
      <c r="A147" s="254">
        <v>2350</v>
      </c>
      <c r="B147" s="179" t="s">
        <v>163</v>
      </c>
      <c r="C147" s="279">
        <f t="shared" si="9"/>
        <v>5882</v>
      </c>
      <c r="D147" s="257">
        <f>SUM(D148:D153)</f>
        <v>2224</v>
      </c>
      <c r="E147" s="257">
        <f>SUM(E148:E153)</f>
        <v>0</v>
      </c>
      <c r="F147" s="257">
        <f t="shared" si="10"/>
        <v>2224</v>
      </c>
      <c r="G147" s="255">
        <f>SUM(G148:G153)</f>
        <v>0</v>
      </c>
      <c r="H147" s="258">
        <f>SUM(H148:H153)</f>
        <v>0</v>
      </c>
      <c r="I147" s="259">
        <f t="shared" si="11"/>
        <v>0</v>
      </c>
      <c r="J147" s="255">
        <f>SUM(J148:J153)</f>
        <v>3658</v>
      </c>
      <c r="K147" s="258">
        <f>SUM(K148:K153)</f>
        <v>0</v>
      </c>
      <c r="L147" s="259">
        <f t="shared" si="12"/>
        <v>3658</v>
      </c>
      <c r="M147" s="260">
        <f>SUM(M148:M153)</f>
        <v>0</v>
      </c>
      <c r="N147" s="261">
        <f>SUM(N148:N153)</f>
        <v>0</v>
      </c>
      <c r="O147" s="259">
        <f t="shared" si="13"/>
        <v>0</v>
      </c>
      <c r="P147" s="189"/>
      <c r="R147" s="53"/>
      <c r="S147" s="53"/>
      <c r="T147" s="53"/>
    </row>
    <row r="148" spans="1:20" x14ac:dyDescent="0.25">
      <c r="A148" s="66">
        <v>2351</v>
      </c>
      <c r="B148" s="116" t="s">
        <v>164</v>
      </c>
      <c r="C148" s="279">
        <f t="shared" si="9"/>
        <v>2612</v>
      </c>
      <c r="D148" s="973">
        <v>712</v>
      </c>
      <c r="E148" s="973"/>
      <c r="F148" s="296">
        <f t="shared" si="10"/>
        <v>712</v>
      </c>
      <c r="G148" s="123"/>
      <c r="H148" s="124"/>
      <c r="I148" s="125">
        <f t="shared" si="11"/>
        <v>0</v>
      </c>
      <c r="J148" s="123">
        <v>1900</v>
      </c>
      <c r="K148" s="124"/>
      <c r="L148" s="125">
        <f t="shared" si="12"/>
        <v>1900</v>
      </c>
      <c r="M148" s="264"/>
      <c r="N148" s="262"/>
      <c r="O148" s="125">
        <f t="shared" si="13"/>
        <v>0</v>
      </c>
      <c r="P148" s="74"/>
      <c r="R148" s="53"/>
      <c r="S148" s="53"/>
      <c r="T148" s="53"/>
    </row>
    <row r="149" spans="1:20" x14ac:dyDescent="0.25">
      <c r="A149" s="76">
        <v>2352</v>
      </c>
      <c r="B149" s="127" t="s">
        <v>165</v>
      </c>
      <c r="C149" s="279">
        <f t="shared" si="9"/>
        <v>2470</v>
      </c>
      <c r="D149" s="474">
        <v>712</v>
      </c>
      <c r="E149" s="474"/>
      <c r="F149" s="279">
        <f t="shared" si="10"/>
        <v>712</v>
      </c>
      <c r="G149" s="134"/>
      <c r="H149" s="135"/>
      <c r="I149" s="136">
        <f t="shared" si="11"/>
        <v>0</v>
      </c>
      <c r="J149" s="134">
        <v>1758</v>
      </c>
      <c r="K149" s="135"/>
      <c r="L149" s="136">
        <f t="shared" si="12"/>
        <v>1758</v>
      </c>
      <c r="M149" s="284"/>
      <c r="N149" s="285"/>
      <c r="O149" s="136">
        <f t="shared" si="13"/>
        <v>0</v>
      </c>
      <c r="P149" s="85"/>
      <c r="R149" s="53"/>
      <c r="S149" s="53"/>
      <c r="T149" s="53"/>
    </row>
    <row r="150" spans="1:20" ht="24" hidden="1" x14ac:dyDescent="0.25">
      <c r="A150" s="76">
        <v>2353</v>
      </c>
      <c r="B150" s="127" t="s">
        <v>166</v>
      </c>
      <c r="C150" s="279">
        <f t="shared" si="9"/>
        <v>0</v>
      </c>
      <c r="D150" s="474"/>
      <c r="E150" s="474"/>
      <c r="F150" s="279">
        <f t="shared" si="10"/>
        <v>0</v>
      </c>
      <c r="G150" s="134"/>
      <c r="H150" s="135"/>
      <c r="I150" s="136">
        <f t="shared" si="11"/>
        <v>0</v>
      </c>
      <c r="J150" s="134"/>
      <c r="K150" s="135"/>
      <c r="L150" s="136">
        <f t="shared" si="12"/>
        <v>0</v>
      </c>
      <c r="M150" s="284"/>
      <c r="N150" s="285"/>
      <c r="O150" s="136">
        <f t="shared" si="13"/>
        <v>0</v>
      </c>
      <c r="P150" s="85"/>
      <c r="R150" s="53"/>
      <c r="S150" s="53"/>
      <c r="T150" s="53"/>
    </row>
    <row r="151" spans="1:20" ht="24" hidden="1" x14ac:dyDescent="0.25">
      <c r="A151" s="76">
        <v>2354</v>
      </c>
      <c r="B151" s="127" t="s">
        <v>167</v>
      </c>
      <c r="C151" s="279">
        <f t="shared" si="9"/>
        <v>0</v>
      </c>
      <c r="D151" s="474"/>
      <c r="E151" s="474"/>
      <c r="F151" s="279">
        <f t="shared" si="10"/>
        <v>0</v>
      </c>
      <c r="G151" s="134"/>
      <c r="H151" s="135"/>
      <c r="I151" s="136">
        <f t="shared" si="11"/>
        <v>0</v>
      </c>
      <c r="J151" s="134"/>
      <c r="K151" s="135"/>
      <c r="L151" s="136">
        <f t="shared" si="12"/>
        <v>0</v>
      </c>
      <c r="M151" s="284"/>
      <c r="N151" s="285"/>
      <c r="O151" s="136">
        <f t="shared" si="13"/>
        <v>0</v>
      </c>
      <c r="P151" s="85"/>
      <c r="R151" s="53"/>
      <c r="S151" s="53"/>
      <c r="T151" s="53"/>
    </row>
    <row r="152" spans="1:20" ht="24" x14ac:dyDescent="0.25">
      <c r="A152" s="76">
        <v>2355</v>
      </c>
      <c r="B152" s="127" t="s">
        <v>168</v>
      </c>
      <c r="C152" s="279">
        <f t="shared" si="9"/>
        <v>800</v>
      </c>
      <c r="D152" s="474">
        <v>800</v>
      </c>
      <c r="E152" s="474"/>
      <c r="F152" s="279">
        <f t="shared" si="10"/>
        <v>800</v>
      </c>
      <c r="G152" s="134"/>
      <c r="H152" s="135"/>
      <c r="I152" s="136">
        <f t="shared" si="11"/>
        <v>0</v>
      </c>
      <c r="J152" s="134"/>
      <c r="K152" s="135"/>
      <c r="L152" s="136">
        <f t="shared" si="12"/>
        <v>0</v>
      </c>
      <c r="M152" s="284"/>
      <c r="N152" s="285"/>
      <c r="O152" s="136">
        <f t="shared" si="13"/>
        <v>0</v>
      </c>
      <c r="P152" s="85"/>
      <c r="R152" s="53"/>
      <c r="S152" s="53"/>
      <c r="T152" s="53"/>
    </row>
    <row r="153" spans="1:20" ht="24" hidden="1" x14ac:dyDescent="0.25">
      <c r="A153" s="76">
        <v>2359</v>
      </c>
      <c r="B153" s="127" t="s">
        <v>169</v>
      </c>
      <c r="C153" s="279">
        <f t="shared" si="9"/>
        <v>0</v>
      </c>
      <c r="D153" s="474"/>
      <c r="E153" s="474"/>
      <c r="F153" s="279">
        <f t="shared" si="10"/>
        <v>0</v>
      </c>
      <c r="G153" s="134"/>
      <c r="H153" s="135"/>
      <c r="I153" s="136">
        <f t="shared" si="11"/>
        <v>0</v>
      </c>
      <c r="J153" s="134"/>
      <c r="K153" s="135"/>
      <c r="L153" s="136">
        <f t="shared" si="12"/>
        <v>0</v>
      </c>
      <c r="M153" s="284"/>
      <c r="N153" s="285"/>
      <c r="O153" s="136">
        <f t="shared" si="13"/>
        <v>0</v>
      </c>
      <c r="P153" s="85"/>
      <c r="R153" s="53"/>
      <c r="S153" s="53"/>
      <c r="T153" s="53"/>
    </row>
    <row r="154" spans="1:20" ht="24" x14ac:dyDescent="0.25">
      <c r="A154" s="276">
        <v>2360</v>
      </c>
      <c r="B154" s="127" t="s">
        <v>170</v>
      </c>
      <c r="C154" s="279">
        <f t="shared" si="9"/>
        <v>925</v>
      </c>
      <c r="D154" s="279">
        <f>SUM(D155:D161)</f>
        <v>925</v>
      </c>
      <c r="E154" s="279">
        <f>SUM(E155:E161)</f>
        <v>0</v>
      </c>
      <c r="F154" s="279">
        <f t="shared" si="10"/>
        <v>925</v>
      </c>
      <c r="G154" s="277">
        <f>SUM(G155:G161)</f>
        <v>0</v>
      </c>
      <c r="H154" s="280">
        <f>SUM(H155:H161)</f>
        <v>0</v>
      </c>
      <c r="I154" s="136">
        <f t="shared" si="11"/>
        <v>0</v>
      </c>
      <c r="J154" s="277">
        <f>SUM(J155:J161)</f>
        <v>0</v>
      </c>
      <c r="K154" s="280">
        <f>SUM(K155:K161)</f>
        <v>0</v>
      </c>
      <c r="L154" s="136">
        <f t="shared" si="12"/>
        <v>0</v>
      </c>
      <c r="M154" s="281">
        <f>SUM(M155:M161)</f>
        <v>0</v>
      </c>
      <c r="N154" s="282">
        <f>SUM(N155:N161)</f>
        <v>0</v>
      </c>
      <c r="O154" s="136">
        <f t="shared" si="13"/>
        <v>0</v>
      </c>
      <c r="P154" s="85"/>
      <c r="R154" s="53"/>
      <c r="S154" s="53"/>
      <c r="T154" s="53"/>
    </row>
    <row r="155" spans="1:20" x14ac:dyDescent="0.25">
      <c r="A155" s="75">
        <v>2361</v>
      </c>
      <c r="B155" s="127" t="s">
        <v>171</v>
      </c>
      <c r="C155" s="279">
        <f t="shared" si="9"/>
        <v>225</v>
      </c>
      <c r="D155" s="474">
        <v>225</v>
      </c>
      <c r="E155" s="474"/>
      <c r="F155" s="279">
        <f t="shared" si="10"/>
        <v>225</v>
      </c>
      <c r="G155" s="134"/>
      <c r="H155" s="135"/>
      <c r="I155" s="136">
        <f t="shared" si="11"/>
        <v>0</v>
      </c>
      <c r="J155" s="134"/>
      <c r="K155" s="135"/>
      <c r="L155" s="136">
        <f t="shared" si="12"/>
        <v>0</v>
      </c>
      <c r="M155" s="284"/>
      <c r="N155" s="285"/>
      <c r="O155" s="136">
        <f t="shared" si="13"/>
        <v>0</v>
      </c>
      <c r="P155" s="85"/>
      <c r="R155" s="53"/>
      <c r="S155" s="53"/>
      <c r="T155" s="53"/>
    </row>
    <row r="156" spans="1:20" ht="24" hidden="1" x14ac:dyDescent="0.25">
      <c r="A156" s="75">
        <v>2362</v>
      </c>
      <c r="B156" s="127" t="s">
        <v>172</v>
      </c>
      <c r="C156" s="279">
        <f t="shared" si="9"/>
        <v>0</v>
      </c>
      <c r="D156" s="474"/>
      <c r="E156" s="474"/>
      <c r="F156" s="279">
        <f t="shared" si="10"/>
        <v>0</v>
      </c>
      <c r="G156" s="134"/>
      <c r="H156" s="135"/>
      <c r="I156" s="136">
        <f t="shared" si="11"/>
        <v>0</v>
      </c>
      <c r="J156" s="134"/>
      <c r="K156" s="135"/>
      <c r="L156" s="136">
        <f t="shared" si="12"/>
        <v>0</v>
      </c>
      <c r="M156" s="284"/>
      <c r="N156" s="285"/>
      <c r="O156" s="136">
        <f t="shared" si="13"/>
        <v>0</v>
      </c>
      <c r="P156" s="85"/>
      <c r="R156" s="53"/>
      <c r="S156" s="53"/>
      <c r="T156" s="53"/>
    </row>
    <row r="157" spans="1:20" x14ac:dyDescent="0.25">
      <c r="A157" s="75">
        <v>2363</v>
      </c>
      <c r="B157" s="127" t="s">
        <v>173</v>
      </c>
      <c r="C157" s="279">
        <f t="shared" si="9"/>
        <v>700</v>
      </c>
      <c r="D157" s="474">
        <v>700</v>
      </c>
      <c r="E157" s="474"/>
      <c r="F157" s="279">
        <f t="shared" si="10"/>
        <v>700</v>
      </c>
      <c r="G157" s="134"/>
      <c r="H157" s="1020"/>
      <c r="I157" s="136">
        <f t="shared" si="11"/>
        <v>0</v>
      </c>
      <c r="J157" s="997"/>
      <c r="K157" s="1020"/>
      <c r="L157" s="136">
        <f t="shared" si="12"/>
        <v>0</v>
      </c>
      <c r="M157" s="1021"/>
      <c r="N157" s="1022"/>
      <c r="O157" s="136">
        <f t="shared" si="13"/>
        <v>0</v>
      </c>
      <c r="P157" s="1019"/>
      <c r="R157" s="53"/>
      <c r="S157" s="53"/>
      <c r="T157" s="53"/>
    </row>
    <row r="158" spans="1:20" hidden="1" x14ac:dyDescent="0.25">
      <c r="A158" s="75">
        <v>2364</v>
      </c>
      <c r="B158" s="127" t="s">
        <v>174</v>
      </c>
      <c r="C158" s="279">
        <f t="shared" si="9"/>
        <v>0</v>
      </c>
      <c r="D158" s="474"/>
      <c r="E158" s="474"/>
      <c r="F158" s="279">
        <f t="shared" si="10"/>
        <v>0</v>
      </c>
      <c r="G158" s="134"/>
      <c r="H158" s="135"/>
      <c r="I158" s="136">
        <f t="shared" si="11"/>
        <v>0</v>
      </c>
      <c r="J158" s="134"/>
      <c r="K158" s="135"/>
      <c r="L158" s="136">
        <f t="shared" si="12"/>
        <v>0</v>
      </c>
      <c r="M158" s="284"/>
      <c r="N158" s="285"/>
      <c r="O158" s="136">
        <f t="shared" si="13"/>
        <v>0</v>
      </c>
      <c r="P158" s="85"/>
      <c r="R158" s="53"/>
      <c r="S158" s="53"/>
      <c r="T158" s="53"/>
    </row>
    <row r="159" spans="1:20" hidden="1" x14ac:dyDescent="0.25">
      <c r="A159" s="75">
        <v>2365</v>
      </c>
      <c r="B159" s="127" t="s">
        <v>175</v>
      </c>
      <c r="C159" s="279">
        <f t="shared" si="9"/>
        <v>0</v>
      </c>
      <c r="D159" s="474"/>
      <c r="E159" s="474"/>
      <c r="F159" s="279">
        <f t="shared" si="10"/>
        <v>0</v>
      </c>
      <c r="G159" s="134"/>
      <c r="H159" s="135"/>
      <c r="I159" s="136">
        <f t="shared" si="11"/>
        <v>0</v>
      </c>
      <c r="J159" s="134"/>
      <c r="K159" s="135"/>
      <c r="L159" s="136">
        <f t="shared" si="12"/>
        <v>0</v>
      </c>
      <c r="M159" s="284"/>
      <c r="N159" s="285"/>
      <c r="O159" s="136">
        <f t="shared" si="13"/>
        <v>0</v>
      </c>
      <c r="P159" s="85"/>
      <c r="R159" s="53"/>
      <c r="S159" s="53"/>
      <c r="T159" s="53"/>
    </row>
    <row r="160" spans="1:20" ht="36" hidden="1" x14ac:dyDescent="0.25">
      <c r="A160" s="75">
        <v>2366</v>
      </c>
      <c r="B160" s="127" t="s">
        <v>176</v>
      </c>
      <c r="C160" s="279">
        <f t="shared" si="9"/>
        <v>0</v>
      </c>
      <c r="D160" s="474"/>
      <c r="E160" s="474"/>
      <c r="F160" s="279">
        <f t="shared" si="10"/>
        <v>0</v>
      </c>
      <c r="G160" s="134"/>
      <c r="H160" s="135"/>
      <c r="I160" s="136">
        <f t="shared" si="11"/>
        <v>0</v>
      </c>
      <c r="J160" s="134"/>
      <c r="K160" s="135"/>
      <c r="L160" s="136">
        <f t="shared" si="12"/>
        <v>0</v>
      </c>
      <c r="M160" s="284"/>
      <c r="N160" s="285"/>
      <c r="O160" s="136">
        <f t="shared" si="13"/>
        <v>0</v>
      </c>
      <c r="P160" s="85"/>
      <c r="R160" s="53"/>
      <c r="S160" s="53"/>
      <c r="T160" s="53"/>
    </row>
    <row r="161" spans="1:20" ht="48" hidden="1" x14ac:dyDescent="0.25">
      <c r="A161" s="75">
        <v>2369</v>
      </c>
      <c r="B161" s="127" t="s">
        <v>177</v>
      </c>
      <c r="C161" s="279">
        <f t="shared" si="9"/>
        <v>0</v>
      </c>
      <c r="D161" s="474"/>
      <c r="E161" s="474"/>
      <c r="F161" s="279">
        <f t="shared" si="10"/>
        <v>0</v>
      </c>
      <c r="G161" s="134"/>
      <c r="H161" s="135"/>
      <c r="I161" s="136">
        <f t="shared" si="11"/>
        <v>0</v>
      </c>
      <c r="J161" s="134"/>
      <c r="K161" s="135"/>
      <c r="L161" s="136">
        <f t="shared" si="12"/>
        <v>0</v>
      </c>
      <c r="M161" s="284"/>
      <c r="N161" s="285"/>
      <c r="O161" s="136">
        <f t="shared" si="13"/>
        <v>0</v>
      </c>
      <c r="P161" s="85"/>
      <c r="R161" s="53"/>
      <c r="S161" s="53"/>
      <c r="T161" s="53"/>
    </row>
    <row r="162" spans="1:20" x14ac:dyDescent="0.25">
      <c r="A162" s="254">
        <v>2370</v>
      </c>
      <c r="B162" s="179" t="s">
        <v>178</v>
      </c>
      <c r="C162" s="279">
        <f t="shared" si="9"/>
        <v>9765</v>
      </c>
      <c r="D162" s="477">
        <v>8242</v>
      </c>
      <c r="E162" s="1023"/>
      <c r="F162" s="257">
        <f t="shared" si="10"/>
        <v>8242</v>
      </c>
      <c r="G162" s="287">
        <v>1523</v>
      </c>
      <c r="H162" s="289"/>
      <c r="I162" s="259">
        <f t="shared" si="11"/>
        <v>1523</v>
      </c>
      <c r="J162" s="287"/>
      <c r="K162" s="289"/>
      <c r="L162" s="259">
        <f t="shared" si="12"/>
        <v>0</v>
      </c>
      <c r="M162" s="290"/>
      <c r="N162" s="291"/>
      <c r="O162" s="259">
        <f t="shared" si="13"/>
        <v>0</v>
      </c>
      <c r="P162" s="1024"/>
      <c r="R162" s="53"/>
      <c r="S162" s="53"/>
      <c r="T162" s="53"/>
    </row>
    <row r="163" spans="1:20" hidden="1" x14ac:dyDescent="0.25">
      <c r="A163" s="254">
        <v>2380</v>
      </c>
      <c r="B163" s="179" t="s">
        <v>179</v>
      </c>
      <c r="C163" s="279">
        <f t="shared" si="9"/>
        <v>0</v>
      </c>
      <c r="D163" s="257">
        <f>SUM(D164:D165)</f>
        <v>0</v>
      </c>
      <c r="E163" s="257">
        <f>SUM(E164:E165)</f>
        <v>0</v>
      </c>
      <c r="F163" s="257">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c r="S163" s="53"/>
      <c r="T163" s="53"/>
    </row>
    <row r="164" spans="1:20" hidden="1" x14ac:dyDescent="0.25">
      <c r="A164" s="65">
        <v>2381</v>
      </c>
      <c r="B164" s="116" t="s">
        <v>180</v>
      </c>
      <c r="C164" s="279">
        <f t="shared" si="9"/>
        <v>0</v>
      </c>
      <c r="D164" s="973"/>
      <c r="E164" s="973"/>
      <c r="F164" s="296">
        <f t="shared" si="10"/>
        <v>0</v>
      </c>
      <c r="G164" s="123"/>
      <c r="H164" s="124"/>
      <c r="I164" s="125">
        <f t="shared" si="11"/>
        <v>0</v>
      </c>
      <c r="J164" s="123"/>
      <c r="K164" s="124"/>
      <c r="L164" s="125">
        <f t="shared" si="12"/>
        <v>0</v>
      </c>
      <c r="M164" s="264"/>
      <c r="N164" s="262"/>
      <c r="O164" s="125">
        <f t="shared" si="13"/>
        <v>0</v>
      </c>
      <c r="P164" s="74"/>
      <c r="R164" s="53"/>
      <c r="S164" s="53"/>
      <c r="T164" s="53"/>
    </row>
    <row r="165" spans="1:20" ht="24" hidden="1" x14ac:dyDescent="0.25">
      <c r="A165" s="75">
        <v>2389</v>
      </c>
      <c r="B165" s="127" t="s">
        <v>181</v>
      </c>
      <c r="C165" s="279">
        <f t="shared" si="9"/>
        <v>0</v>
      </c>
      <c r="D165" s="474"/>
      <c r="E165" s="474"/>
      <c r="F165" s="279">
        <f t="shared" si="10"/>
        <v>0</v>
      </c>
      <c r="G165" s="134"/>
      <c r="H165" s="135"/>
      <c r="I165" s="136">
        <f t="shared" si="11"/>
        <v>0</v>
      </c>
      <c r="J165" s="134"/>
      <c r="K165" s="135"/>
      <c r="L165" s="136">
        <f t="shared" si="12"/>
        <v>0</v>
      </c>
      <c r="M165" s="284"/>
      <c r="N165" s="285"/>
      <c r="O165" s="136">
        <f t="shared" si="13"/>
        <v>0</v>
      </c>
      <c r="P165" s="85"/>
      <c r="R165" s="53"/>
      <c r="S165" s="53"/>
      <c r="T165" s="53"/>
    </row>
    <row r="166" spans="1:20" hidden="1" x14ac:dyDescent="0.25">
      <c r="A166" s="254">
        <v>2390</v>
      </c>
      <c r="B166" s="179" t="s">
        <v>182</v>
      </c>
      <c r="C166" s="279">
        <f t="shared" si="9"/>
        <v>0</v>
      </c>
      <c r="D166" s="477"/>
      <c r="E166" s="477"/>
      <c r="F166" s="257">
        <f t="shared" si="10"/>
        <v>0</v>
      </c>
      <c r="G166" s="287"/>
      <c r="H166" s="289"/>
      <c r="I166" s="259">
        <f t="shared" si="11"/>
        <v>0</v>
      </c>
      <c r="J166" s="287"/>
      <c r="K166" s="289"/>
      <c r="L166" s="259">
        <f t="shared" si="12"/>
        <v>0</v>
      </c>
      <c r="M166" s="290"/>
      <c r="N166" s="291"/>
      <c r="O166" s="259">
        <f t="shared" si="13"/>
        <v>0</v>
      </c>
      <c r="P166" s="189"/>
      <c r="R166" s="53"/>
      <c r="S166" s="53"/>
      <c r="T166" s="53"/>
    </row>
    <row r="167" spans="1:20" hidden="1" x14ac:dyDescent="0.25">
      <c r="A167" s="99">
        <v>2400</v>
      </c>
      <c r="B167" s="247" t="s">
        <v>183</v>
      </c>
      <c r="C167" s="249">
        <f t="shared" si="9"/>
        <v>0</v>
      </c>
      <c r="D167" s="974"/>
      <c r="E167" s="974"/>
      <c r="F167" s="249">
        <f t="shared" si="10"/>
        <v>0</v>
      </c>
      <c r="G167" s="311"/>
      <c r="H167" s="314"/>
      <c r="I167" s="114">
        <f t="shared" si="11"/>
        <v>0</v>
      </c>
      <c r="J167" s="311"/>
      <c r="K167" s="314"/>
      <c r="L167" s="114">
        <f t="shared" si="12"/>
        <v>0</v>
      </c>
      <c r="M167" s="315"/>
      <c r="N167" s="312"/>
      <c r="O167" s="114">
        <f t="shared" si="13"/>
        <v>0</v>
      </c>
      <c r="P167" s="109"/>
      <c r="R167" s="53"/>
      <c r="S167" s="53"/>
      <c r="T167" s="53"/>
    </row>
    <row r="168" spans="1:20" ht="24" hidden="1" x14ac:dyDescent="0.25">
      <c r="A168" s="99">
        <v>2500</v>
      </c>
      <c r="B168" s="247" t="s">
        <v>184</v>
      </c>
      <c r="C168" s="249">
        <f t="shared" si="9"/>
        <v>0</v>
      </c>
      <c r="D168" s="249">
        <f>SUM(D169,D174)</f>
        <v>0</v>
      </c>
      <c r="E168" s="249">
        <f>SUM(E169,E174)</f>
        <v>0</v>
      </c>
      <c r="F168" s="249">
        <f t="shared" si="10"/>
        <v>0</v>
      </c>
      <c r="G168" s="112">
        <f>SUM(G169,G174)</f>
        <v>0</v>
      </c>
      <c r="H168" s="113">
        <f t="shared" ref="H168" si="17">SUM(H169,H174)</f>
        <v>0</v>
      </c>
      <c r="I168" s="114">
        <f t="shared" si="11"/>
        <v>0</v>
      </c>
      <c r="J168" s="112">
        <f>SUM(J169,J174)</f>
        <v>0</v>
      </c>
      <c r="K168" s="113">
        <f t="shared" ref="K168" si="18">SUM(K169,K174)</f>
        <v>0</v>
      </c>
      <c r="L168" s="114">
        <f t="shared" si="12"/>
        <v>0</v>
      </c>
      <c r="M168" s="250">
        <f t="shared" ref="M168:N168" si="19">SUM(M169,M174)</f>
        <v>0</v>
      </c>
      <c r="N168" s="251">
        <f t="shared" si="19"/>
        <v>0</v>
      </c>
      <c r="O168" s="252">
        <f t="shared" si="13"/>
        <v>0</v>
      </c>
      <c r="P168" s="253"/>
      <c r="R168" s="53"/>
      <c r="S168" s="53"/>
      <c r="T168" s="53"/>
    </row>
    <row r="169" spans="1:20" hidden="1" x14ac:dyDescent="0.25">
      <c r="A169" s="656">
        <v>2510</v>
      </c>
      <c r="B169" s="116" t="s">
        <v>185</v>
      </c>
      <c r="C169" s="296">
        <f t="shared" si="9"/>
        <v>0</v>
      </c>
      <c r="D169" s="296">
        <f>SUM(D170:D173)</f>
        <v>0</v>
      </c>
      <c r="E169" s="296">
        <f>SUM(E170:E173)</f>
        <v>0</v>
      </c>
      <c r="F169" s="296">
        <f t="shared" si="10"/>
        <v>0</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c r="R169" s="53"/>
      <c r="S169" s="53"/>
      <c r="T169" s="53"/>
    </row>
    <row r="170" spans="1:20" ht="24" hidden="1" x14ac:dyDescent="0.25">
      <c r="A170" s="76">
        <v>2512</v>
      </c>
      <c r="B170" s="127" t="s">
        <v>186</v>
      </c>
      <c r="C170" s="279">
        <f t="shared" si="9"/>
        <v>0</v>
      </c>
      <c r="D170" s="474"/>
      <c r="E170" s="474"/>
      <c r="F170" s="279">
        <f t="shared" si="10"/>
        <v>0</v>
      </c>
      <c r="G170" s="134"/>
      <c r="H170" s="135"/>
      <c r="I170" s="136">
        <f t="shared" si="11"/>
        <v>0</v>
      </c>
      <c r="J170" s="134"/>
      <c r="K170" s="135"/>
      <c r="L170" s="136">
        <f t="shared" si="12"/>
        <v>0</v>
      </c>
      <c r="M170" s="284"/>
      <c r="N170" s="285"/>
      <c r="O170" s="136">
        <f t="shared" si="13"/>
        <v>0</v>
      </c>
      <c r="P170" s="85"/>
      <c r="R170" s="53"/>
      <c r="S170" s="53"/>
      <c r="T170" s="53"/>
    </row>
    <row r="171" spans="1:20" ht="36" hidden="1" x14ac:dyDescent="0.25">
      <c r="A171" s="76">
        <v>2513</v>
      </c>
      <c r="B171" s="127" t="s">
        <v>187</v>
      </c>
      <c r="C171" s="279">
        <f t="shared" si="9"/>
        <v>0</v>
      </c>
      <c r="D171" s="474"/>
      <c r="E171" s="474"/>
      <c r="F171" s="279">
        <f t="shared" si="10"/>
        <v>0</v>
      </c>
      <c r="G171" s="134"/>
      <c r="H171" s="135"/>
      <c r="I171" s="136">
        <f t="shared" si="11"/>
        <v>0</v>
      </c>
      <c r="J171" s="134"/>
      <c r="K171" s="135"/>
      <c r="L171" s="136">
        <f t="shared" si="12"/>
        <v>0</v>
      </c>
      <c r="M171" s="284"/>
      <c r="N171" s="285"/>
      <c r="O171" s="136">
        <f t="shared" si="13"/>
        <v>0</v>
      </c>
      <c r="P171" s="85"/>
      <c r="R171" s="53"/>
      <c r="S171" s="53"/>
      <c r="T171" s="53"/>
    </row>
    <row r="172" spans="1:20" ht="24" hidden="1" x14ac:dyDescent="0.25">
      <c r="A172" s="76">
        <v>2515</v>
      </c>
      <c r="B172" s="127" t="s">
        <v>188</v>
      </c>
      <c r="C172" s="279">
        <f t="shared" si="9"/>
        <v>0</v>
      </c>
      <c r="D172" s="474"/>
      <c r="E172" s="474"/>
      <c r="F172" s="279">
        <f t="shared" si="10"/>
        <v>0</v>
      </c>
      <c r="G172" s="134"/>
      <c r="H172" s="135"/>
      <c r="I172" s="136">
        <f t="shared" si="11"/>
        <v>0</v>
      </c>
      <c r="J172" s="134"/>
      <c r="K172" s="135"/>
      <c r="L172" s="136">
        <f t="shared" si="12"/>
        <v>0</v>
      </c>
      <c r="M172" s="284"/>
      <c r="N172" s="285"/>
      <c r="O172" s="136">
        <f t="shared" si="13"/>
        <v>0</v>
      </c>
      <c r="P172" s="85"/>
      <c r="R172" s="53"/>
      <c r="S172" s="53"/>
      <c r="T172" s="53"/>
    </row>
    <row r="173" spans="1:20" ht="24" hidden="1" x14ac:dyDescent="0.25">
      <c r="A173" s="76">
        <v>2519</v>
      </c>
      <c r="B173" s="127" t="s">
        <v>189</v>
      </c>
      <c r="C173" s="279">
        <f t="shared" si="9"/>
        <v>0</v>
      </c>
      <c r="D173" s="474"/>
      <c r="E173" s="474"/>
      <c r="F173" s="279">
        <f t="shared" si="10"/>
        <v>0</v>
      </c>
      <c r="G173" s="134"/>
      <c r="H173" s="135"/>
      <c r="I173" s="136">
        <f t="shared" si="11"/>
        <v>0</v>
      </c>
      <c r="J173" s="134"/>
      <c r="K173" s="135"/>
      <c r="L173" s="136">
        <f t="shared" si="12"/>
        <v>0</v>
      </c>
      <c r="M173" s="284"/>
      <c r="N173" s="285"/>
      <c r="O173" s="136">
        <f t="shared" si="13"/>
        <v>0</v>
      </c>
      <c r="P173" s="85"/>
      <c r="R173" s="53"/>
      <c r="S173" s="53"/>
      <c r="T173" s="53"/>
    </row>
    <row r="174" spans="1:20" ht="24" hidden="1" x14ac:dyDescent="0.25">
      <c r="A174" s="276">
        <v>2520</v>
      </c>
      <c r="B174" s="127" t="s">
        <v>190</v>
      </c>
      <c r="C174" s="279">
        <f t="shared" si="9"/>
        <v>0</v>
      </c>
      <c r="D174" s="474"/>
      <c r="E174" s="474"/>
      <c r="F174" s="279">
        <f t="shared" si="10"/>
        <v>0</v>
      </c>
      <c r="G174" s="134"/>
      <c r="H174" s="135"/>
      <c r="I174" s="136">
        <f t="shared" si="11"/>
        <v>0</v>
      </c>
      <c r="J174" s="134"/>
      <c r="K174" s="135"/>
      <c r="L174" s="136">
        <f t="shared" si="12"/>
        <v>0</v>
      </c>
      <c r="M174" s="284"/>
      <c r="N174" s="285"/>
      <c r="O174" s="136">
        <f t="shared" si="13"/>
        <v>0</v>
      </c>
      <c r="P174" s="85"/>
      <c r="R174" s="53"/>
      <c r="S174" s="53"/>
      <c r="T174" s="53"/>
    </row>
    <row r="175" spans="1:20" s="319" customFormat="1" ht="48" hidden="1" x14ac:dyDescent="0.25">
      <c r="A175" s="31">
        <v>2800</v>
      </c>
      <c r="B175" s="116" t="s">
        <v>191</v>
      </c>
      <c r="C175" s="296">
        <f t="shared" si="9"/>
        <v>0</v>
      </c>
      <c r="D175" s="967"/>
      <c r="E175" s="967"/>
      <c r="F175" s="625">
        <f t="shared" si="10"/>
        <v>0</v>
      </c>
      <c r="G175" s="68"/>
      <c r="H175" s="71"/>
      <c r="I175" s="72">
        <f t="shared" si="11"/>
        <v>0</v>
      </c>
      <c r="J175" s="68"/>
      <c r="K175" s="71"/>
      <c r="L175" s="72">
        <f t="shared" si="12"/>
        <v>0</v>
      </c>
      <c r="M175" s="73"/>
      <c r="N175" s="69"/>
      <c r="O175" s="72">
        <f t="shared" si="13"/>
        <v>0</v>
      </c>
      <c r="P175" s="74"/>
      <c r="R175" s="53"/>
      <c r="S175" s="53"/>
      <c r="T175" s="53"/>
    </row>
    <row r="176" spans="1:20" hidden="1" x14ac:dyDescent="0.25">
      <c r="A176" s="237">
        <v>3000</v>
      </c>
      <c r="B176" s="237" t="s">
        <v>192</v>
      </c>
      <c r="C176" s="241">
        <f t="shared" si="9"/>
        <v>0</v>
      </c>
      <c r="D176" s="241">
        <f>SUM(D177,D187)</f>
        <v>0</v>
      </c>
      <c r="E176" s="241">
        <f>SUM(E177,E187)</f>
        <v>0</v>
      </c>
      <c r="F176" s="241">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c r="S176" s="53"/>
      <c r="T176" s="53"/>
    </row>
    <row r="177" spans="1:20" ht="24" hidden="1" x14ac:dyDescent="0.25">
      <c r="A177" s="99">
        <v>3200</v>
      </c>
      <c r="B177" s="321" t="s">
        <v>193</v>
      </c>
      <c r="C177" s="249">
        <f t="shared" si="9"/>
        <v>0</v>
      </c>
      <c r="D177" s="249">
        <f>SUM(D178,D182)</f>
        <v>0</v>
      </c>
      <c r="E177" s="249">
        <f>SUM(E178,E182)</f>
        <v>0</v>
      </c>
      <c r="F177" s="249">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c r="R177" s="53"/>
      <c r="S177" s="53"/>
      <c r="T177" s="53"/>
    </row>
    <row r="178" spans="1:20" ht="36" hidden="1" x14ac:dyDescent="0.25">
      <c r="A178" s="656">
        <v>3260</v>
      </c>
      <c r="B178" s="116" t="s">
        <v>194</v>
      </c>
      <c r="C178" s="296">
        <f t="shared" si="9"/>
        <v>0</v>
      </c>
      <c r="D178" s="296">
        <f>SUM(D179:D181)</f>
        <v>0</v>
      </c>
      <c r="E178" s="296">
        <f>SUM(E179:E181)</f>
        <v>0</v>
      </c>
      <c r="F178" s="296">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c r="S178" s="53"/>
      <c r="T178" s="53"/>
    </row>
    <row r="179" spans="1:20" ht="24" hidden="1" x14ac:dyDescent="0.25">
      <c r="A179" s="76">
        <v>3261</v>
      </c>
      <c r="B179" s="127" t="s">
        <v>195</v>
      </c>
      <c r="C179" s="279">
        <f t="shared" si="9"/>
        <v>0</v>
      </c>
      <c r="D179" s="474"/>
      <c r="E179" s="474"/>
      <c r="F179" s="279">
        <f t="shared" si="10"/>
        <v>0</v>
      </c>
      <c r="G179" s="134"/>
      <c r="H179" s="135"/>
      <c r="I179" s="136">
        <f t="shared" si="11"/>
        <v>0</v>
      </c>
      <c r="J179" s="134"/>
      <c r="K179" s="135"/>
      <c r="L179" s="136">
        <f t="shared" si="12"/>
        <v>0</v>
      </c>
      <c r="M179" s="284"/>
      <c r="N179" s="285"/>
      <c r="O179" s="136">
        <f t="shared" si="13"/>
        <v>0</v>
      </c>
      <c r="P179" s="85"/>
      <c r="R179" s="53"/>
      <c r="S179" s="53"/>
      <c r="T179" s="53"/>
    </row>
    <row r="180" spans="1:20" ht="36" hidden="1" x14ac:dyDescent="0.25">
      <c r="A180" s="76">
        <v>3262</v>
      </c>
      <c r="B180" s="127" t="s">
        <v>196</v>
      </c>
      <c r="C180" s="279">
        <f t="shared" si="9"/>
        <v>0</v>
      </c>
      <c r="D180" s="474"/>
      <c r="E180" s="474"/>
      <c r="F180" s="279">
        <f t="shared" si="10"/>
        <v>0</v>
      </c>
      <c r="G180" s="134"/>
      <c r="H180" s="135"/>
      <c r="I180" s="136">
        <f t="shared" si="11"/>
        <v>0</v>
      </c>
      <c r="J180" s="134"/>
      <c r="K180" s="135"/>
      <c r="L180" s="136">
        <f t="shared" si="12"/>
        <v>0</v>
      </c>
      <c r="M180" s="284"/>
      <c r="N180" s="285"/>
      <c r="O180" s="136">
        <f t="shared" si="13"/>
        <v>0</v>
      </c>
      <c r="P180" s="85"/>
      <c r="R180" s="53"/>
      <c r="S180" s="53"/>
      <c r="T180" s="53"/>
    </row>
    <row r="181" spans="1:20" ht="24" hidden="1" x14ac:dyDescent="0.25">
      <c r="A181" s="76">
        <v>3263</v>
      </c>
      <c r="B181" s="127" t="s">
        <v>197</v>
      </c>
      <c r="C181" s="279">
        <f t="shared" si="9"/>
        <v>0</v>
      </c>
      <c r="D181" s="474"/>
      <c r="E181" s="474"/>
      <c r="F181" s="279">
        <f t="shared" si="10"/>
        <v>0</v>
      </c>
      <c r="G181" s="134"/>
      <c r="H181" s="135"/>
      <c r="I181" s="136">
        <f t="shared" si="11"/>
        <v>0</v>
      </c>
      <c r="J181" s="134"/>
      <c r="K181" s="135"/>
      <c r="L181" s="136">
        <f t="shared" si="12"/>
        <v>0</v>
      </c>
      <c r="M181" s="284"/>
      <c r="N181" s="285"/>
      <c r="O181" s="136">
        <f t="shared" si="13"/>
        <v>0</v>
      </c>
      <c r="P181" s="85"/>
      <c r="R181" s="53"/>
      <c r="S181" s="53"/>
      <c r="T181" s="53"/>
    </row>
    <row r="182" spans="1:20" ht="84" hidden="1" x14ac:dyDescent="0.25">
      <c r="A182" s="656">
        <v>3290</v>
      </c>
      <c r="B182" s="116" t="s">
        <v>198</v>
      </c>
      <c r="C182" s="279">
        <f t="shared" ref="C182:C258" si="26">F182+I182+L182+O182</f>
        <v>0</v>
      </c>
      <c r="D182" s="296">
        <f>SUM(D183:D186)</f>
        <v>0</v>
      </c>
      <c r="E182" s="296">
        <f>SUM(E183:E186)</f>
        <v>0</v>
      </c>
      <c r="F182" s="296">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c r="R182" s="53"/>
      <c r="S182" s="53"/>
      <c r="T182" s="53"/>
    </row>
    <row r="183" spans="1:20" ht="72" hidden="1" x14ac:dyDescent="0.25">
      <c r="A183" s="76">
        <v>3291</v>
      </c>
      <c r="B183" s="127" t="s">
        <v>199</v>
      </c>
      <c r="C183" s="279">
        <f t="shared" si="26"/>
        <v>0</v>
      </c>
      <c r="D183" s="474"/>
      <c r="E183" s="474"/>
      <c r="F183" s="279">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c r="R183" s="53"/>
      <c r="S183" s="53"/>
      <c r="T183" s="53"/>
    </row>
    <row r="184" spans="1:20" ht="72" hidden="1" x14ac:dyDescent="0.25">
      <c r="A184" s="76">
        <v>3292</v>
      </c>
      <c r="B184" s="127" t="s">
        <v>200</v>
      </c>
      <c r="C184" s="279">
        <f t="shared" si="26"/>
        <v>0</v>
      </c>
      <c r="D184" s="474"/>
      <c r="E184" s="474"/>
      <c r="F184" s="279">
        <f t="shared" si="30"/>
        <v>0</v>
      </c>
      <c r="G184" s="134"/>
      <c r="H184" s="135"/>
      <c r="I184" s="136">
        <f t="shared" si="31"/>
        <v>0</v>
      </c>
      <c r="J184" s="134"/>
      <c r="K184" s="135"/>
      <c r="L184" s="136">
        <f t="shared" si="32"/>
        <v>0</v>
      </c>
      <c r="M184" s="284"/>
      <c r="N184" s="285"/>
      <c r="O184" s="136">
        <f t="shared" si="33"/>
        <v>0</v>
      </c>
      <c r="P184" s="85"/>
      <c r="R184" s="53"/>
      <c r="S184" s="53"/>
      <c r="T184" s="53"/>
    </row>
    <row r="185" spans="1:20" ht="72" hidden="1" x14ac:dyDescent="0.25">
      <c r="A185" s="76">
        <v>3293</v>
      </c>
      <c r="B185" s="127" t="s">
        <v>201</v>
      </c>
      <c r="C185" s="279">
        <f t="shared" si="26"/>
        <v>0</v>
      </c>
      <c r="D185" s="474"/>
      <c r="E185" s="474"/>
      <c r="F185" s="279">
        <f t="shared" si="30"/>
        <v>0</v>
      </c>
      <c r="G185" s="134"/>
      <c r="H185" s="135"/>
      <c r="I185" s="136">
        <f t="shared" si="31"/>
        <v>0</v>
      </c>
      <c r="J185" s="134"/>
      <c r="K185" s="135"/>
      <c r="L185" s="136">
        <f t="shared" si="32"/>
        <v>0</v>
      </c>
      <c r="M185" s="284"/>
      <c r="N185" s="285"/>
      <c r="O185" s="136">
        <f t="shared" si="33"/>
        <v>0</v>
      </c>
      <c r="P185" s="85"/>
      <c r="R185" s="53"/>
      <c r="S185" s="53"/>
      <c r="T185" s="53"/>
    </row>
    <row r="186" spans="1:20" ht="60" hidden="1" x14ac:dyDescent="0.25">
      <c r="A186" s="326">
        <v>3294</v>
      </c>
      <c r="B186" s="127" t="s">
        <v>202</v>
      </c>
      <c r="C186" s="647">
        <f t="shared" si="26"/>
        <v>0</v>
      </c>
      <c r="D186" s="975"/>
      <c r="E186" s="975"/>
      <c r="F186" s="647">
        <f t="shared" si="30"/>
        <v>0</v>
      </c>
      <c r="G186" s="328"/>
      <c r="H186" s="331"/>
      <c r="I186" s="324">
        <f t="shared" si="31"/>
        <v>0</v>
      </c>
      <c r="J186" s="328"/>
      <c r="K186" s="331"/>
      <c r="L186" s="324">
        <f t="shared" si="32"/>
        <v>0</v>
      </c>
      <c r="M186" s="332"/>
      <c r="N186" s="329"/>
      <c r="O186" s="324">
        <f t="shared" si="33"/>
        <v>0</v>
      </c>
      <c r="P186" s="325"/>
      <c r="R186" s="53"/>
      <c r="S186" s="53"/>
      <c r="T186" s="53"/>
    </row>
    <row r="187" spans="1:20" ht="48" hidden="1" x14ac:dyDescent="0.25">
      <c r="A187" s="160">
        <v>3300</v>
      </c>
      <c r="B187" s="321" t="s">
        <v>203</v>
      </c>
      <c r="C187" s="648">
        <f t="shared" si="26"/>
        <v>0</v>
      </c>
      <c r="D187" s="648">
        <f>SUM(D188:D189)</f>
        <v>0</v>
      </c>
      <c r="E187" s="648">
        <f>SUM(E188:E189)</f>
        <v>0</v>
      </c>
      <c r="F187" s="648">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c r="R187" s="53"/>
      <c r="S187" s="53"/>
      <c r="T187" s="53"/>
    </row>
    <row r="188" spans="1:20" ht="48" hidden="1" x14ac:dyDescent="0.25">
      <c r="A188" s="178">
        <v>3310</v>
      </c>
      <c r="B188" s="179" t="s">
        <v>204</v>
      </c>
      <c r="C188" s="257">
        <f t="shared" si="26"/>
        <v>0</v>
      </c>
      <c r="D188" s="477"/>
      <c r="E188" s="477"/>
      <c r="F188" s="257">
        <f t="shared" si="30"/>
        <v>0</v>
      </c>
      <c r="G188" s="287"/>
      <c r="H188" s="289"/>
      <c r="I188" s="259">
        <f t="shared" si="31"/>
        <v>0</v>
      </c>
      <c r="J188" s="287"/>
      <c r="K188" s="289"/>
      <c r="L188" s="259">
        <f t="shared" si="32"/>
        <v>0</v>
      </c>
      <c r="M188" s="290"/>
      <c r="N188" s="291"/>
      <c r="O188" s="259">
        <f t="shared" si="33"/>
        <v>0</v>
      </c>
      <c r="P188" s="189"/>
      <c r="R188" s="53"/>
      <c r="S188" s="53"/>
      <c r="T188" s="53"/>
    </row>
    <row r="189" spans="1:20" ht="60" hidden="1" x14ac:dyDescent="0.25">
      <c r="A189" s="66">
        <v>3320</v>
      </c>
      <c r="B189" s="116" t="s">
        <v>205</v>
      </c>
      <c r="C189" s="296">
        <f t="shared" si="26"/>
        <v>0</v>
      </c>
      <c r="D189" s="973"/>
      <c r="E189" s="973"/>
      <c r="F189" s="296">
        <f t="shared" si="30"/>
        <v>0</v>
      </c>
      <c r="G189" s="123"/>
      <c r="H189" s="124"/>
      <c r="I189" s="125">
        <f t="shared" si="31"/>
        <v>0</v>
      </c>
      <c r="J189" s="123"/>
      <c r="K189" s="124"/>
      <c r="L189" s="125">
        <f t="shared" si="32"/>
        <v>0</v>
      </c>
      <c r="M189" s="264"/>
      <c r="N189" s="262"/>
      <c r="O189" s="125">
        <f t="shared" si="33"/>
        <v>0</v>
      </c>
      <c r="P189" s="74"/>
      <c r="R189" s="53"/>
      <c r="S189" s="53"/>
      <c r="T189" s="53"/>
    </row>
    <row r="190" spans="1:20" hidden="1" x14ac:dyDescent="0.25">
      <c r="A190" s="337">
        <v>4000</v>
      </c>
      <c r="B190" s="237" t="s">
        <v>206</v>
      </c>
      <c r="C190" s="241">
        <f t="shared" si="26"/>
        <v>0</v>
      </c>
      <c r="D190" s="241">
        <f>SUM(D191,D194)</f>
        <v>0</v>
      </c>
      <c r="E190" s="241">
        <f>SUM(E191,E194)</f>
        <v>0</v>
      </c>
      <c r="F190" s="241">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c r="R190" s="53"/>
      <c r="S190" s="53"/>
      <c r="T190" s="53"/>
    </row>
    <row r="191" spans="1:20" ht="24" hidden="1" x14ac:dyDescent="0.25">
      <c r="A191" s="338">
        <v>4200</v>
      </c>
      <c r="B191" s="247" t="s">
        <v>207</v>
      </c>
      <c r="C191" s="249">
        <f t="shared" si="26"/>
        <v>0</v>
      </c>
      <c r="D191" s="249">
        <f>SUM(D192,D193)</f>
        <v>0</v>
      </c>
      <c r="E191" s="249">
        <f>SUM(E192,E193)</f>
        <v>0</v>
      </c>
      <c r="F191" s="249">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c r="R191" s="53"/>
      <c r="S191" s="53"/>
      <c r="T191" s="53"/>
    </row>
    <row r="192" spans="1:20" ht="36" hidden="1" x14ac:dyDescent="0.25">
      <c r="A192" s="656">
        <v>4240</v>
      </c>
      <c r="B192" s="116" t="s">
        <v>208</v>
      </c>
      <c r="C192" s="296">
        <f t="shared" si="26"/>
        <v>0</v>
      </c>
      <c r="D192" s="973"/>
      <c r="E192" s="973"/>
      <c r="F192" s="296">
        <f t="shared" si="30"/>
        <v>0</v>
      </c>
      <c r="G192" s="123"/>
      <c r="H192" s="124"/>
      <c r="I192" s="125">
        <f t="shared" si="31"/>
        <v>0</v>
      </c>
      <c r="J192" s="123"/>
      <c r="K192" s="124"/>
      <c r="L192" s="125">
        <f t="shared" si="32"/>
        <v>0</v>
      </c>
      <c r="M192" s="264"/>
      <c r="N192" s="262"/>
      <c r="O192" s="125">
        <f t="shared" si="33"/>
        <v>0</v>
      </c>
      <c r="P192" s="74"/>
      <c r="R192" s="53"/>
      <c r="S192" s="53"/>
      <c r="T192" s="53"/>
    </row>
    <row r="193" spans="1:20" ht="24" hidden="1" x14ac:dyDescent="0.25">
      <c r="A193" s="276">
        <v>4250</v>
      </c>
      <c r="B193" s="127" t="s">
        <v>209</v>
      </c>
      <c r="C193" s="279">
        <f t="shared" si="26"/>
        <v>0</v>
      </c>
      <c r="D193" s="474"/>
      <c r="E193" s="474"/>
      <c r="F193" s="279">
        <f t="shared" si="30"/>
        <v>0</v>
      </c>
      <c r="G193" s="134"/>
      <c r="H193" s="135"/>
      <c r="I193" s="136">
        <f t="shared" si="31"/>
        <v>0</v>
      </c>
      <c r="J193" s="134"/>
      <c r="K193" s="135"/>
      <c r="L193" s="136">
        <f t="shared" si="32"/>
        <v>0</v>
      </c>
      <c r="M193" s="284"/>
      <c r="N193" s="285"/>
      <c r="O193" s="136">
        <f t="shared" si="33"/>
        <v>0</v>
      </c>
      <c r="P193" s="85"/>
      <c r="R193" s="53"/>
      <c r="S193" s="53"/>
      <c r="T193" s="53"/>
    </row>
    <row r="194" spans="1:20" hidden="1" x14ac:dyDescent="0.25">
      <c r="A194" s="99">
        <v>4300</v>
      </c>
      <c r="B194" s="247" t="s">
        <v>210</v>
      </c>
      <c r="C194" s="249">
        <f t="shared" si="26"/>
        <v>0</v>
      </c>
      <c r="D194" s="249">
        <f>SUM(D195)</f>
        <v>0</v>
      </c>
      <c r="E194" s="249">
        <f>SUM(E195)</f>
        <v>0</v>
      </c>
      <c r="F194" s="249">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c r="R194" s="53"/>
      <c r="S194" s="53"/>
      <c r="T194" s="53"/>
    </row>
    <row r="195" spans="1:20" ht="24" hidden="1" x14ac:dyDescent="0.25">
      <c r="A195" s="656">
        <v>4310</v>
      </c>
      <c r="B195" s="116" t="s">
        <v>211</v>
      </c>
      <c r="C195" s="296">
        <f t="shared" si="26"/>
        <v>0</v>
      </c>
      <c r="D195" s="296">
        <f>SUM(D196:D196)</f>
        <v>0</v>
      </c>
      <c r="E195" s="296">
        <f>SUM(E196:E196)</f>
        <v>0</v>
      </c>
      <c r="F195" s="296">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c r="R195" s="53"/>
      <c r="S195" s="53"/>
      <c r="T195" s="53"/>
    </row>
    <row r="196" spans="1:20" ht="36" hidden="1" x14ac:dyDescent="0.25">
      <c r="A196" s="76">
        <v>4311</v>
      </c>
      <c r="B196" s="127" t="s">
        <v>212</v>
      </c>
      <c r="C196" s="279">
        <f t="shared" si="26"/>
        <v>0</v>
      </c>
      <c r="D196" s="474"/>
      <c r="E196" s="474"/>
      <c r="F196" s="279">
        <f t="shared" si="30"/>
        <v>0</v>
      </c>
      <c r="G196" s="134"/>
      <c r="H196" s="135"/>
      <c r="I196" s="136">
        <f t="shared" si="31"/>
        <v>0</v>
      </c>
      <c r="J196" s="134"/>
      <c r="K196" s="135"/>
      <c r="L196" s="136">
        <f t="shared" si="32"/>
        <v>0</v>
      </c>
      <c r="M196" s="284"/>
      <c r="N196" s="285"/>
      <c r="O196" s="136">
        <f t="shared" si="33"/>
        <v>0</v>
      </c>
      <c r="P196" s="85"/>
      <c r="R196" s="53"/>
      <c r="S196" s="53"/>
      <c r="T196" s="53"/>
    </row>
    <row r="197" spans="1:20" s="41" customFormat="1" ht="24" x14ac:dyDescent="0.25">
      <c r="A197" s="339"/>
      <c r="B197" s="31" t="s">
        <v>213</v>
      </c>
      <c r="C197" s="232">
        <f t="shared" si="26"/>
        <v>20320</v>
      </c>
      <c r="D197" s="232">
        <f>SUM(D198,D233,D271)</f>
        <v>10020</v>
      </c>
      <c r="E197" s="232">
        <f>SUM(E198,E233,E271)</f>
        <v>0</v>
      </c>
      <c r="F197" s="232">
        <f t="shared" si="30"/>
        <v>10020</v>
      </c>
      <c r="G197" s="230">
        <f>SUM(G198,G233,G271)</f>
        <v>3000</v>
      </c>
      <c r="H197" s="233">
        <f>SUM(H198,H233,H271)</f>
        <v>0</v>
      </c>
      <c r="I197" s="234">
        <f t="shared" si="31"/>
        <v>3000</v>
      </c>
      <c r="J197" s="230">
        <f>SUM(J198,J233,J271)</f>
        <v>7300</v>
      </c>
      <c r="K197" s="233">
        <f>SUM(K198,K233,K271)</f>
        <v>0</v>
      </c>
      <c r="L197" s="234">
        <f t="shared" si="32"/>
        <v>7300</v>
      </c>
      <c r="M197" s="340">
        <f>SUM(M198,M233,M271)</f>
        <v>0</v>
      </c>
      <c r="N197" s="341">
        <f>SUM(N198,N233,N271)</f>
        <v>0</v>
      </c>
      <c r="O197" s="342">
        <f t="shared" si="33"/>
        <v>0</v>
      </c>
      <c r="P197" s="343"/>
      <c r="R197" s="53"/>
      <c r="S197" s="53"/>
      <c r="T197" s="53"/>
    </row>
    <row r="198" spans="1:20" x14ac:dyDescent="0.25">
      <c r="A198" s="237">
        <v>5000</v>
      </c>
      <c r="B198" s="237" t="s">
        <v>214</v>
      </c>
      <c r="C198" s="241">
        <f>F198+I198+L198+O198</f>
        <v>20320</v>
      </c>
      <c r="D198" s="241">
        <f>D199+D207</f>
        <v>10020</v>
      </c>
      <c r="E198" s="241">
        <f>E199+E207</f>
        <v>0</v>
      </c>
      <c r="F198" s="241">
        <f t="shared" si="30"/>
        <v>10020</v>
      </c>
      <c r="G198" s="239">
        <f>G199+G207</f>
        <v>3000</v>
      </c>
      <c r="H198" s="242">
        <f>H199+H207</f>
        <v>0</v>
      </c>
      <c r="I198" s="243">
        <f t="shared" si="31"/>
        <v>3000</v>
      </c>
      <c r="J198" s="239">
        <f>J199+J207</f>
        <v>7300</v>
      </c>
      <c r="K198" s="242">
        <f>K199+K207</f>
        <v>0</v>
      </c>
      <c r="L198" s="243">
        <f t="shared" si="32"/>
        <v>7300</v>
      </c>
      <c r="M198" s="244">
        <f>M199+M207</f>
        <v>0</v>
      </c>
      <c r="N198" s="245">
        <f>N199+N207</f>
        <v>0</v>
      </c>
      <c r="O198" s="243">
        <f t="shared" si="33"/>
        <v>0</v>
      </c>
      <c r="P198" s="246"/>
      <c r="R198" s="53"/>
      <c r="S198" s="53"/>
      <c r="T198" s="53"/>
    </row>
    <row r="199" spans="1:20" x14ac:dyDescent="0.25">
      <c r="A199" s="99">
        <v>5100</v>
      </c>
      <c r="B199" s="247" t="s">
        <v>215</v>
      </c>
      <c r="C199" s="249">
        <f t="shared" si="26"/>
        <v>510</v>
      </c>
      <c r="D199" s="249">
        <f>D200+D201+D204+D205+D206</f>
        <v>510</v>
      </c>
      <c r="E199" s="249">
        <f>E200+E201+E204+E205+E206</f>
        <v>0</v>
      </c>
      <c r="F199" s="249">
        <f t="shared" si="30"/>
        <v>510</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c r="R199" s="53"/>
      <c r="S199" s="53"/>
      <c r="T199" s="53"/>
    </row>
    <row r="200" spans="1:20" hidden="1" x14ac:dyDescent="0.25">
      <c r="A200" s="656">
        <v>5110</v>
      </c>
      <c r="B200" s="116" t="s">
        <v>216</v>
      </c>
      <c r="C200" s="296">
        <f t="shared" si="26"/>
        <v>0</v>
      </c>
      <c r="D200" s="973"/>
      <c r="E200" s="973"/>
      <c r="F200" s="296">
        <f t="shared" si="30"/>
        <v>0</v>
      </c>
      <c r="G200" s="123"/>
      <c r="H200" s="124"/>
      <c r="I200" s="125">
        <f t="shared" si="31"/>
        <v>0</v>
      </c>
      <c r="J200" s="123"/>
      <c r="K200" s="124"/>
      <c r="L200" s="125">
        <f t="shared" si="32"/>
        <v>0</v>
      </c>
      <c r="M200" s="264"/>
      <c r="N200" s="262"/>
      <c r="O200" s="125">
        <f t="shared" si="33"/>
        <v>0</v>
      </c>
      <c r="P200" s="74"/>
      <c r="R200" s="53"/>
      <c r="S200" s="53"/>
      <c r="T200" s="53"/>
    </row>
    <row r="201" spans="1:20" ht="24" x14ac:dyDescent="0.25">
      <c r="A201" s="276">
        <v>5120</v>
      </c>
      <c r="B201" s="127" t="s">
        <v>217</v>
      </c>
      <c r="C201" s="279">
        <f t="shared" si="26"/>
        <v>510</v>
      </c>
      <c r="D201" s="279">
        <f>D202+D203</f>
        <v>510</v>
      </c>
      <c r="E201" s="279">
        <f>E202+E203</f>
        <v>0</v>
      </c>
      <c r="F201" s="279">
        <f t="shared" si="30"/>
        <v>510</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c r="R201" s="53"/>
      <c r="S201" s="53"/>
      <c r="T201" s="53"/>
    </row>
    <row r="202" spans="1:20" x14ac:dyDescent="0.25">
      <c r="A202" s="76">
        <v>5121</v>
      </c>
      <c r="B202" s="127" t="s">
        <v>218</v>
      </c>
      <c r="C202" s="279">
        <f t="shared" si="26"/>
        <v>510</v>
      </c>
      <c r="D202" s="474">
        <v>510</v>
      </c>
      <c r="E202" s="474"/>
      <c r="F202" s="279">
        <f t="shared" si="30"/>
        <v>510</v>
      </c>
      <c r="G202" s="134"/>
      <c r="H202" s="135"/>
      <c r="I202" s="136">
        <f t="shared" si="31"/>
        <v>0</v>
      </c>
      <c r="J202" s="134"/>
      <c r="K202" s="135"/>
      <c r="L202" s="136">
        <f t="shared" si="32"/>
        <v>0</v>
      </c>
      <c r="M202" s="284"/>
      <c r="N202" s="285"/>
      <c r="O202" s="136">
        <f t="shared" si="33"/>
        <v>0</v>
      </c>
      <c r="P202" s="85"/>
      <c r="R202" s="53"/>
      <c r="S202" s="53"/>
      <c r="T202" s="53"/>
    </row>
    <row r="203" spans="1:20" ht="24" hidden="1" x14ac:dyDescent="0.25">
      <c r="A203" s="76">
        <v>5129</v>
      </c>
      <c r="B203" s="127" t="s">
        <v>219</v>
      </c>
      <c r="C203" s="279">
        <f t="shared" si="26"/>
        <v>0</v>
      </c>
      <c r="D203" s="474"/>
      <c r="E203" s="474"/>
      <c r="F203" s="279">
        <f t="shared" si="30"/>
        <v>0</v>
      </c>
      <c r="G203" s="134"/>
      <c r="H203" s="135"/>
      <c r="I203" s="136">
        <f t="shared" si="31"/>
        <v>0</v>
      </c>
      <c r="J203" s="134"/>
      <c r="K203" s="135"/>
      <c r="L203" s="136">
        <f t="shared" si="32"/>
        <v>0</v>
      </c>
      <c r="M203" s="284"/>
      <c r="N203" s="285"/>
      <c r="O203" s="136">
        <f t="shared" si="33"/>
        <v>0</v>
      </c>
      <c r="P203" s="85"/>
      <c r="R203" s="53"/>
      <c r="S203" s="53"/>
      <c r="T203" s="53"/>
    </row>
    <row r="204" spans="1:20" hidden="1" x14ac:dyDescent="0.25">
      <c r="A204" s="276">
        <v>5130</v>
      </c>
      <c r="B204" s="127" t="s">
        <v>220</v>
      </c>
      <c r="C204" s="279">
        <f t="shared" si="26"/>
        <v>0</v>
      </c>
      <c r="D204" s="474"/>
      <c r="E204" s="474"/>
      <c r="F204" s="279">
        <f t="shared" si="30"/>
        <v>0</v>
      </c>
      <c r="G204" s="134"/>
      <c r="H204" s="135"/>
      <c r="I204" s="136">
        <f t="shared" si="31"/>
        <v>0</v>
      </c>
      <c r="J204" s="134"/>
      <c r="K204" s="135"/>
      <c r="L204" s="136">
        <f t="shared" si="32"/>
        <v>0</v>
      </c>
      <c r="M204" s="284"/>
      <c r="N204" s="285"/>
      <c r="O204" s="136">
        <f t="shared" si="33"/>
        <v>0</v>
      </c>
      <c r="P204" s="85"/>
      <c r="R204" s="53"/>
      <c r="S204" s="53"/>
      <c r="T204" s="53"/>
    </row>
    <row r="205" spans="1:20" hidden="1" x14ac:dyDescent="0.25">
      <c r="A205" s="276">
        <v>5140</v>
      </c>
      <c r="B205" s="127" t="s">
        <v>221</v>
      </c>
      <c r="C205" s="279">
        <f t="shared" si="26"/>
        <v>0</v>
      </c>
      <c r="D205" s="474"/>
      <c r="E205" s="474"/>
      <c r="F205" s="279">
        <f t="shared" si="30"/>
        <v>0</v>
      </c>
      <c r="G205" s="134"/>
      <c r="H205" s="135"/>
      <c r="I205" s="136">
        <f t="shared" si="31"/>
        <v>0</v>
      </c>
      <c r="J205" s="134"/>
      <c r="K205" s="135"/>
      <c r="L205" s="136">
        <f t="shared" si="32"/>
        <v>0</v>
      </c>
      <c r="M205" s="284"/>
      <c r="N205" s="285"/>
      <c r="O205" s="136">
        <f t="shared" si="33"/>
        <v>0</v>
      </c>
      <c r="P205" s="85"/>
      <c r="R205" s="53"/>
      <c r="S205" s="53"/>
      <c r="T205" s="53"/>
    </row>
    <row r="206" spans="1:20" ht="24" hidden="1" x14ac:dyDescent="0.25">
      <c r="A206" s="276">
        <v>5170</v>
      </c>
      <c r="B206" s="127" t="s">
        <v>222</v>
      </c>
      <c r="C206" s="279">
        <f t="shared" si="26"/>
        <v>0</v>
      </c>
      <c r="D206" s="474"/>
      <c r="E206" s="474"/>
      <c r="F206" s="279">
        <f t="shared" si="30"/>
        <v>0</v>
      </c>
      <c r="G206" s="134"/>
      <c r="H206" s="135"/>
      <c r="I206" s="136">
        <f t="shared" si="31"/>
        <v>0</v>
      </c>
      <c r="J206" s="134"/>
      <c r="K206" s="135"/>
      <c r="L206" s="136">
        <f t="shared" si="32"/>
        <v>0</v>
      </c>
      <c r="M206" s="284"/>
      <c r="N206" s="285"/>
      <c r="O206" s="136">
        <f t="shared" si="33"/>
        <v>0</v>
      </c>
      <c r="P206" s="85"/>
      <c r="R206" s="53"/>
      <c r="S206" s="53"/>
      <c r="T206" s="53"/>
    </row>
    <row r="207" spans="1:20" x14ac:dyDescent="0.25">
      <c r="A207" s="99">
        <v>5200</v>
      </c>
      <c r="B207" s="247" t="s">
        <v>223</v>
      </c>
      <c r="C207" s="249">
        <f t="shared" si="26"/>
        <v>19810</v>
      </c>
      <c r="D207" s="249">
        <f>D208+D218+D219+D228+D229+D230+D232</f>
        <v>9510</v>
      </c>
      <c r="E207" s="249">
        <f>E208+E218+E219+E228+E229+E230+E232</f>
        <v>0</v>
      </c>
      <c r="F207" s="249">
        <f t="shared" si="30"/>
        <v>9510</v>
      </c>
      <c r="G207" s="112">
        <f>G208+G218+G219+G228+G229+G230+G232</f>
        <v>3000</v>
      </c>
      <c r="H207" s="113">
        <f>H208+H218+H219+H228+H229+H230+H232</f>
        <v>0</v>
      </c>
      <c r="I207" s="114">
        <f t="shared" si="31"/>
        <v>3000</v>
      </c>
      <c r="J207" s="112">
        <f>J208+J218+J219+J228+J229+J230+J232</f>
        <v>7300</v>
      </c>
      <c r="K207" s="113">
        <f>K208+K218+K219+K228+K229+K230+K232</f>
        <v>0</v>
      </c>
      <c r="L207" s="114">
        <f t="shared" si="32"/>
        <v>7300</v>
      </c>
      <c r="M207" s="292">
        <f>M208+M218+M219+M228+M229+M230+M232</f>
        <v>0</v>
      </c>
      <c r="N207" s="293">
        <f>N208+N218+N219+N228+N229+N230+N232</f>
        <v>0</v>
      </c>
      <c r="O207" s="114">
        <f t="shared" si="33"/>
        <v>0</v>
      </c>
      <c r="P207" s="109"/>
      <c r="R207" s="53"/>
      <c r="S207" s="53"/>
      <c r="T207" s="53"/>
    </row>
    <row r="208" spans="1:20" hidden="1" x14ac:dyDescent="0.25">
      <c r="A208" s="254">
        <v>5210</v>
      </c>
      <c r="B208" s="179" t="s">
        <v>224</v>
      </c>
      <c r="C208" s="257">
        <f t="shared" si="26"/>
        <v>0</v>
      </c>
      <c r="D208" s="257">
        <f>SUM(D209:D217)</f>
        <v>0</v>
      </c>
      <c r="E208" s="257">
        <f>SUM(E209:E217)</f>
        <v>0</v>
      </c>
      <c r="F208" s="257">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c r="R208" s="53"/>
      <c r="S208" s="53"/>
      <c r="T208" s="53"/>
    </row>
    <row r="209" spans="1:20" hidden="1" x14ac:dyDescent="0.25">
      <c r="A209" s="66">
        <v>5211</v>
      </c>
      <c r="B209" s="116" t="s">
        <v>225</v>
      </c>
      <c r="C209" s="279">
        <f t="shared" si="26"/>
        <v>0</v>
      </c>
      <c r="D209" s="973"/>
      <c r="E209" s="973"/>
      <c r="F209" s="296">
        <f t="shared" si="30"/>
        <v>0</v>
      </c>
      <c r="G209" s="123"/>
      <c r="H209" s="124"/>
      <c r="I209" s="125">
        <f t="shared" si="31"/>
        <v>0</v>
      </c>
      <c r="J209" s="123"/>
      <c r="K209" s="124"/>
      <c r="L209" s="125">
        <f t="shared" si="32"/>
        <v>0</v>
      </c>
      <c r="M209" s="264"/>
      <c r="N209" s="262"/>
      <c r="O209" s="125">
        <f t="shared" si="33"/>
        <v>0</v>
      </c>
      <c r="P209" s="74"/>
      <c r="R209" s="53"/>
      <c r="S209" s="53"/>
      <c r="T209" s="53"/>
    </row>
    <row r="210" spans="1:20" hidden="1" x14ac:dyDescent="0.25">
      <c r="A210" s="76">
        <v>5212</v>
      </c>
      <c r="B210" s="127" t="s">
        <v>226</v>
      </c>
      <c r="C210" s="279">
        <f t="shared" si="26"/>
        <v>0</v>
      </c>
      <c r="D210" s="474"/>
      <c r="E210" s="474"/>
      <c r="F210" s="279">
        <f t="shared" si="30"/>
        <v>0</v>
      </c>
      <c r="G210" s="134"/>
      <c r="H210" s="135"/>
      <c r="I210" s="136">
        <f t="shared" si="31"/>
        <v>0</v>
      </c>
      <c r="J210" s="134"/>
      <c r="K210" s="135"/>
      <c r="L210" s="136">
        <f t="shared" si="32"/>
        <v>0</v>
      </c>
      <c r="M210" s="284"/>
      <c r="N210" s="285"/>
      <c r="O210" s="136">
        <f t="shared" si="33"/>
        <v>0</v>
      </c>
      <c r="P210" s="85"/>
      <c r="R210" s="53"/>
      <c r="S210" s="53"/>
      <c r="T210" s="53"/>
    </row>
    <row r="211" spans="1:20" hidden="1" x14ac:dyDescent="0.25">
      <c r="A211" s="76">
        <v>5213</v>
      </c>
      <c r="B211" s="127" t="s">
        <v>227</v>
      </c>
      <c r="C211" s="279">
        <f t="shared" si="26"/>
        <v>0</v>
      </c>
      <c r="D211" s="474"/>
      <c r="E211" s="474"/>
      <c r="F211" s="279">
        <f t="shared" si="30"/>
        <v>0</v>
      </c>
      <c r="G211" s="134"/>
      <c r="H211" s="135"/>
      <c r="I211" s="136">
        <f t="shared" si="31"/>
        <v>0</v>
      </c>
      <c r="J211" s="134"/>
      <c r="K211" s="135"/>
      <c r="L211" s="136">
        <f t="shared" si="32"/>
        <v>0</v>
      </c>
      <c r="M211" s="284"/>
      <c r="N211" s="285"/>
      <c r="O211" s="136">
        <f t="shared" si="33"/>
        <v>0</v>
      </c>
      <c r="P211" s="85"/>
      <c r="R211" s="53"/>
      <c r="S211" s="53"/>
      <c r="T211" s="53"/>
    </row>
    <row r="212" spans="1:20" hidden="1" x14ac:dyDescent="0.25">
      <c r="A212" s="76">
        <v>5214</v>
      </c>
      <c r="B212" s="127" t="s">
        <v>228</v>
      </c>
      <c r="C212" s="279">
        <f t="shared" si="26"/>
        <v>0</v>
      </c>
      <c r="D212" s="474"/>
      <c r="E212" s="474"/>
      <c r="F212" s="279">
        <f t="shared" si="30"/>
        <v>0</v>
      </c>
      <c r="G212" s="134"/>
      <c r="H212" s="135"/>
      <c r="I212" s="136">
        <f t="shared" si="31"/>
        <v>0</v>
      </c>
      <c r="J212" s="134"/>
      <c r="K212" s="135"/>
      <c r="L212" s="136">
        <f t="shared" si="32"/>
        <v>0</v>
      </c>
      <c r="M212" s="284"/>
      <c r="N212" s="285"/>
      <c r="O212" s="136">
        <f t="shared" si="33"/>
        <v>0</v>
      </c>
      <c r="P212" s="85"/>
      <c r="R212" s="53"/>
      <c r="S212" s="53"/>
      <c r="T212" s="53"/>
    </row>
    <row r="213" spans="1:20" hidden="1" x14ac:dyDescent="0.25">
      <c r="A213" s="76">
        <v>5215</v>
      </c>
      <c r="B213" s="127" t="s">
        <v>229</v>
      </c>
      <c r="C213" s="279">
        <f t="shared" si="26"/>
        <v>0</v>
      </c>
      <c r="D213" s="474"/>
      <c r="E213" s="474"/>
      <c r="F213" s="279">
        <f t="shared" si="30"/>
        <v>0</v>
      </c>
      <c r="G213" s="134"/>
      <c r="H213" s="135"/>
      <c r="I213" s="136">
        <f t="shared" si="31"/>
        <v>0</v>
      </c>
      <c r="J213" s="134"/>
      <c r="K213" s="135"/>
      <c r="L213" s="136">
        <f t="shared" si="32"/>
        <v>0</v>
      </c>
      <c r="M213" s="284"/>
      <c r="N213" s="285"/>
      <c r="O213" s="136">
        <f t="shared" si="33"/>
        <v>0</v>
      </c>
      <c r="P213" s="85"/>
      <c r="R213" s="53"/>
      <c r="S213" s="53"/>
      <c r="T213" s="53"/>
    </row>
    <row r="214" spans="1:20" ht="24" hidden="1" x14ac:dyDescent="0.25">
      <c r="A214" s="76">
        <v>5216</v>
      </c>
      <c r="B214" s="127" t="s">
        <v>230</v>
      </c>
      <c r="C214" s="279">
        <f t="shared" si="26"/>
        <v>0</v>
      </c>
      <c r="D214" s="474"/>
      <c r="E214" s="474"/>
      <c r="F214" s="279">
        <f t="shared" si="30"/>
        <v>0</v>
      </c>
      <c r="G214" s="134"/>
      <c r="H214" s="135"/>
      <c r="I214" s="136">
        <f t="shared" si="31"/>
        <v>0</v>
      </c>
      <c r="J214" s="134"/>
      <c r="K214" s="135"/>
      <c r="L214" s="136">
        <f t="shared" si="32"/>
        <v>0</v>
      </c>
      <c r="M214" s="284"/>
      <c r="N214" s="285"/>
      <c r="O214" s="136">
        <f t="shared" si="33"/>
        <v>0</v>
      </c>
      <c r="P214" s="85"/>
      <c r="R214" s="53"/>
      <c r="S214" s="53"/>
      <c r="T214" s="53"/>
    </row>
    <row r="215" spans="1:20" hidden="1" x14ac:dyDescent="0.25">
      <c r="A215" s="76">
        <v>5217</v>
      </c>
      <c r="B215" s="127" t="s">
        <v>231</v>
      </c>
      <c r="C215" s="279">
        <f t="shared" si="26"/>
        <v>0</v>
      </c>
      <c r="D215" s="474"/>
      <c r="E215" s="474"/>
      <c r="F215" s="279">
        <f t="shared" si="30"/>
        <v>0</v>
      </c>
      <c r="G215" s="134"/>
      <c r="H215" s="135"/>
      <c r="I215" s="136">
        <f t="shared" si="31"/>
        <v>0</v>
      </c>
      <c r="J215" s="134"/>
      <c r="K215" s="135"/>
      <c r="L215" s="136">
        <f t="shared" si="32"/>
        <v>0</v>
      </c>
      <c r="M215" s="284"/>
      <c r="N215" s="285"/>
      <c r="O215" s="136">
        <f t="shared" si="33"/>
        <v>0</v>
      </c>
      <c r="P215" s="85"/>
      <c r="R215" s="53"/>
      <c r="S215" s="53"/>
      <c r="T215" s="53"/>
    </row>
    <row r="216" spans="1:20" hidden="1" x14ac:dyDescent="0.25">
      <c r="A216" s="76">
        <v>5218</v>
      </c>
      <c r="B216" s="127" t="s">
        <v>232</v>
      </c>
      <c r="C216" s="279">
        <f t="shared" si="26"/>
        <v>0</v>
      </c>
      <c r="D216" s="474"/>
      <c r="E216" s="474"/>
      <c r="F216" s="279">
        <f t="shared" si="30"/>
        <v>0</v>
      </c>
      <c r="G216" s="134"/>
      <c r="H216" s="135"/>
      <c r="I216" s="136">
        <f t="shared" si="31"/>
        <v>0</v>
      </c>
      <c r="J216" s="134"/>
      <c r="K216" s="135"/>
      <c r="L216" s="136">
        <f t="shared" si="32"/>
        <v>0</v>
      </c>
      <c r="M216" s="284"/>
      <c r="N216" s="285"/>
      <c r="O216" s="136">
        <f t="shared" si="33"/>
        <v>0</v>
      </c>
      <c r="P216" s="85"/>
      <c r="R216" s="53"/>
      <c r="S216" s="53"/>
      <c r="T216" s="53"/>
    </row>
    <row r="217" spans="1:20" hidden="1" x14ac:dyDescent="0.25">
      <c r="A217" s="76">
        <v>5219</v>
      </c>
      <c r="B217" s="127" t="s">
        <v>233</v>
      </c>
      <c r="C217" s="279">
        <f t="shared" si="26"/>
        <v>0</v>
      </c>
      <c r="D217" s="474"/>
      <c r="E217" s="474"/>
      <c r="F217" s="279">
        <f t="shared" si="30"/>
        <v>0</v>
      </c>
      <c r="G217" s="134"/>
      <c r="H217" s="135"/>
      <c r="I217" s="136">
        <f t="shared" si="31"/>
        <v>0</v>
      </c>
      <c r="J217" s="134"/>
      <c r="K217" s="135"/>
      <c r="L217" s="136">
        <f t="shared" si="32"/>
        <v>0</v>
      </c>
      <c r="M217" s="284"/>
      <c r="N217" s="285"/>
      <c r="O217" s="136">
        <f t="shared" si="33"/>
        <v>0</v>
      </c>
      <c r="P217" s="85"/>
      <c r="R217" s="53"/>
      <c r="S217" s="53"/>
      <c r="T217" s="53"/>
    </row>
    <row r="218" spans="1:20" hidden="1" x14ac:dyDescent="0.25">
      <c r="A218" s="276">
        <v>5220</v>
      </c>
      <c r="B218" s="127" t="s">
        <v>234</v>
      </c>
      <c r="C218" s="279">
        <f t="shared" si="26"/>
        <v>0</v>
      </c>
      <c r="D218" s="474"/>
      <c r="E218" s="474"/>
      <c r="F218" s="279">
        <f t="shared" si="30"/>
        <v>0</v>
      </c>
      <c r="G218" s="134"/>
      <c r="H218" s="135"/>
      <c r="I218" s="136">
        <f t="shared" si="31"/>
        <v>0</v>
      </c>
      <c r="J218" s="134"/>
      <c r="K218" s="135"/>
      <c r="L218" s="136">
        <f t="shared" si="32"/>
        <v>0</v>
      </c>
      <c r="M218" s="284"/>
      <c r="N218" s="285"/>
      <c r="O218" s="136">
        <f t="shared" si="33"/>
        <v>0</v>
      </c>
      <c r="P218" s="85"/>
      <c r="R218" s="53"/>
      <c r="S218" s="53"/>
      <c r="T218" s="53"/>
    </row>
    <row r="219" spans="1:20" x14ac:dyDescent="0.25">
      <c r="A219" s="276">
        <v>5230</v>
      </c>
      <c r="B219" s="127" t="s">
        <v>235</v>
      </c>
      <c r="C219" s="279">
        <f t="shared" si="26"/>
        <v>19810</v>
      </c>
      <c r="D219" s="279">
        <f>SUM(D220:D227)</f>
        <v>9510</v>
      </c>
      <c r="E219" s="279">
        <f>SUM(E220:E227)</f>
        <v>0</v>
      </c>
      <c r="F219" s="279">
        <f t="shared" si="30"/>
        <v>9510</v>
      </c>
      <c r="G219" s="277">
        <f>SUM(G220:G227)</f>
        <v>3000</v>
      </c>
      <c r="H219" s="280">
        <f>SUM(H220:H227)</f>
        <v>0</v>
      </c>
      <c r="I219" s="136">
        <f t="shared" si="31"/>
        <v>3000</v>
      </c>
      <c r="J219" s="277">
        <f>SUM(J220:J227)</f>
        <v>7300</v>
      </c>
      <c r="K219" s="280">
        <f>SUM(K220:K227)</f>
        <v>0</v>
      </c>
      <c r="L219" s="136">
        <f t="shared" si="32"/>
        <v>7300</v>
      </c>
      <c r="M219" s="281">
        <f>SUM(M220:M227)</f>
        <v>0</v>
      </c>
      <c r="N219" s="282">
        <f>SUM(N220:N227)</f>
        <v>0</v>
      </c>
      <c r="O219" s="136">
        <f t="shared" si="33"/>
        <v>0</v>
      </c>
      <c r="P219" s="85"/>
      <c r="R219" s="53"/>
      <c r="S219" s="53"/>
      <c r="T219" s="53"/>
    </row>
    <row r="220" spans="1:20" hidden="1" x14ac:dyDescent="0.25">
      <c r="A220" s="76">
        <v>5231</v>
      </c>
      <c r="B220" s="127" t="s">
        <v>236</v>
      </c>
      <c r="C220" s="279">
        <f t="shared" si="26"/>
        <v>0</v>
      </c>
      <c r="D220" s="474"/>
      <c r="E220" s="474"/>
      <c r="F220" s="279">
        <f t="shared" si="30"/>
        <v>0</v>
      </c>
      <c r="G220" s="134"/>
      <c r="H220" s="135"/>
      <c r="I220" s="136">
        <f t="shared" si="31"/>
        <v>0</v>
      </c>
      <c r="J220" s="134"/>
      <c r="K220" s="135"/>
      <c r="L220" s="136">
        <f t="shared" si="32"/>
        <v>0</v>
      </c>
      <c r="M220" s="284"/>
      <c r="N220" s="285"/>
      <c r="O220" s="136">
        <f t="shared" si="33"/>
        <v>0</v>
      </c>
      <c r="P220" s="85"/>
      <c r="R220" s="53"/>
      <c r="S220" s="53"/>
      <c r="T220" s="53"/>
    </row>
    <row r="221" spans="1:20" x14ac:dyDescent="0.25">
      <c r="A221" s="76">
        <v>5232</v>
      </c>
      <c r="B221" s="127" t="s">
        <v>237</v>
      </c>
      <c r="C221" s="279">
        <f t="shared" si="26"/>
        <v>2000</v>
      </c>
      <c r="D221" s="474"/>
      <c r="E221" s="474"/>
      <c r="F221" s="279">
        <f t="shared" si="30"/>
        <v>0</v>
      </c>
      <c r="G221" s="134"/>
      <c r="H221" s="135"/>
      <c r="I221" s="136">
        <f t="shared" si="31"/>
        <v>0</v>
      </c>
      <c r="J221" s="134">
        <v>2000</v>
      </c>
      <c r="K221" s="135"/>
      <c r="L221" s="136">
        <f t="shared" si="32"/>
        <v>2000</v>
      </c>
      <c r="M221" s="284"/>
      <c r="N221" s="285"/>
      <c r="O221" s="136">
        <f t="shared" si="33"/>
        <v>0</v>
      </c>
      <c r="P221" s="85"/>
      <c r="R221" s="53"/>
      <c r="S221" s="53"/>
      <c r="T221" s="53"/>
    </row>
    <row r="222" spans="1:20" x14ac:dyDescent="0.25">
      <c r="A222" s="76">
        <v>5233</v>
      </c>
      <c r="B222" s="127" t="s">
        <v>238</v>
      </c>
      <c r="C222" s="279">
        <f t="shared" si="26"/>
        <v>5000</v>
      </c>
      <c r="D222" s="474">
        <v>2000</v>
      </c>
      <c r="E222" s="474"/>
      <c r="F222" s="279">
        <f t="shared" si="30"/>
        <v>2000</v>
      </c>
      <c r="G222" s="134">
        <v>3000</v>
      </c>
      <c r="H222" s="135"/>
      <c r="I222" s="136">
        <f t="shared" si="31"/>
        <v>3000</v>
      </c>
      <c r="J222" s="134"/>
      <c r="K222" s="135"/>
      <c r="L222" s="136">
        <f t="shared" si="32"/>
        <v>0</v>
      </c>
      <c r="M222" s="284"/>
      <c r="N222" s="285"/>
      <c r="O222" s="136">
        <f t="shared" si="33"/>
        <v>0</v>
      </c>
      <c r="P222" s="85"/>
      <c r="R222" s="53"/>
      <c r="S222" s="53"/>
      <c r="T222" s="53"/>
    </row>
    <row r="223" spans="1:20" ht="24" hidden="1" x14ac:dyDescent="0.25">
      <c r="A223" s="76">
        <v>5234</v>
      </c>
      <c r="B223" s="127" t="s">
        <v>239</v>
      </c>
      <c r="C223" s="279">
        <f t="shared" si="26"/>
        <v>0</v>
      </c>
      <c r="D223" s="474"/>
      <c r="E223" s="474"/>
      <c r="F223" s="279">
        <f t="shared" si="30"/>
        <v>0</v>
      </c>
      <c r="G223" s="134"/>
      <c r="H223" s="135"/>
      <c r="I223" s="136">
        <f t="shared" si="31"/>
        <v>0</v>
      </c>
      <c r="J223" s="134"/>
      <c r="K223" s="135"/>
      <c r="L223" s="136">
        <f t="shared" si="32"/>
        <v>0</v>
      </c>
      <c r="M223" s="284"/>
      <c r="N223" s="285"/>
      <c r="O223" s="136">
        <f t="shared" si="33"/>
        <v>0</v>
      </c>
      <c r="P223" s="85"/>
      <c r="R223" s="53"/>
      <c r="S223" s="53"/>
      <c r="T223" s="53"/>
    </row>
    <row r="224" spans="1:20" hidden="1" x14ac:dyDescent="0.25">
      <c r="A224" s="76">
        <v>5236</v>
      </c>
      <c r="B224" s="127" t="s">
        <v>240</v>
      </c>
      <c r="C224" s="279">
        <f t="shared" si="26"/>
        <v>0</v>
      </c>
      <c r="D224" s="474"/>
      <c r="E224" s="474"/>
      <c r="F224" s="279">
        <f t="shared" si="30"/>
        <v>0</v>
      </c>
      <c r="G224" s="134"/>
      <c r="H224" s="135"/>
      <c r="I224" s="136">
        <f t="shared" si="31"/>
        <v>0</v>
      </c>
      <c r="J224" s="134"/>
      <c r="K224" s="135"/>
      <c r="L224" s="136">
        <f t="shared" si="32"/>
        <v>0</v>
      </c>
      <c r="M224" s="284"/>
      <c r="N224" s="285"/>
      <c r="O224" s="136">
        <f t="shared" si="33"/>
        <v>0</v>
      </c>
      <c r="P224" s="85"/>
      <c r="R224" s="53"/>
      <c r="S224" s="53"/>
      <c r="T224" s="53"/>
    </row>
    <row r="225" spans="1:20" hidden="1" x14ac:dyDescent="0.25">
      <c r="A225" s="76">
        <v>5237</v>
      </c>
      <c r="B225" s="127" t="s">
        <v>241</v>
      </c>
      <c r="C225" s="279">
        <f t="shared" si="26"/>
        <v>0</v>
      </c>
      <c r="D225" s="474"/>
      <c r="E225" s="474"/>
      <c r="F225" s="279">
        <f t="shared" si="30"/>
        <v>0</v>
      </c>
      <c r="G225" s="134"/>
      <c r="H225" s="135"/>
      <c r="I225" s="136">
        <f t="shared" si="31"/>
        <v>0</v>
      </c>
      <c r="J225" s="134"/>
      <c r="K225" s="135"/>
      <c r="L225" s="136">
        <f t="shared" si="32"/>
        <v>0</v>
      </c>
      <c r="M225" s="284"/>
      <c r="N225" s="285"/>
      <c r="O225" s="136">
        <f t="shared" si="33"/>
        <v>0</v>
      </c>
      <c r="P225" s="85"/>
      <c r="R225" s="53"/>
      <c r="S225" s="53"/>
      <c r="T225" s="53"/>
    </row>
    <row r="226" spans="1:20" ht="24" x14ac:dyDescent="0.25">
      <c r="A226" s="76">
        <v>5238</v>
      </c>
      <c r="B226" s="127" t="s">
        <v>242</v>
      </c>
      <c r="C226" s="279">
        <f t="shared" si="26"/>
        <v>11010</v>
      </c>
      <c r="D226" s="474">
        <v>7510</v>
      </c>
      <c r="E226" s="474"/>
      <c r="F226" s="279">
        <f t="shared" si="30"/>
        <v>7510</v>
      </c>
      <c r="G226" s="134"/>
      <c r="H226" s="135"/>
      <c r="I226" s="136">
        <f t="shared" si="31"/>
        <v>0</v>
      </c>
      <c r="J226" s="134">
        <v>3500</v>
      </c>
      <c r="K226" s="135"/>
      <c r="L226" s="136">
        <f t="shared" si="32"/>
        <v>3500</v>
      </c>
      <c r="M226" s="284"/>
      <c r="N226" s="285"/>
      <c r="O226" s="136">
        <f t="shared" si="33"/>
        <v>0</v>
      </c>
      <c r="P226" s="85"/>
      <c r="R226" s="53"/>
      <c r="S226" s="53"/>
      <c r="T226" s="53"/>
    </row>
    <row r="227" spans="1:20" ht="24" x14ac:dyDescent="0.25">
      <c r="A227" s="76">
        <v>5239</v>
      </c>
      <c r="B227" s="127" t="s">
        <v>243</v>
      </c>
      <c r="C227" s="279">
        <f t="shared" si="26"/>
        <v>1800</v>
      </c>
      <c r="D227" s="474"/>
      <c r="E227" s="474"/>
      <c r="F227" s="279">
        <f t="shared" si="30"/>
        <v>0</v>
      </c>
      <c r="G227" s="134"/>
      <c r="H227" s="135"/>
      <c r="I227" s="136">
        <f t="shared" si="31"/>
        <v>0</v>
      </c>
      <c r="J227" s="134">
        <v>1800</v>
      </c>
      <c r="K227" s="135"/>
      <c r="L227" s="136">
        <f t="shared" si="32"/>
        <v>1800</v>
      </c>
      <c r="M227" s="284"/>
      <c r="N227" s="285"/>
      <c r="O227" s="136">
        <f t="shared" si="33"/>
        <v>0</v>
      </c>
      <c r="P227" s="85"/>
      <c r="R227" s="53"/>
      <c r="S227" s="53"/>
      <c r="T227" s="53"/>
    </row>
    <row r="228" spans="1:20" ht="24" hidden="1" x14ac:dyDescent="0.25">
      <c r="A228" s="276">
        <v>5240</v>
      </c>
      <c r="B228" s="127" t="s">
        <v>244</v>
      </c>
      <c r="C228" s="279">
        <f t="shared" si="26"/>
        <v>0</v>
      </c>
      <c r="D228" s="474"/>
      <c r="E228" s="474"/>
      <c r="F228" s="279">
        <f t="shared" si="30"/>
        <v>0</v>
      </c>
      <c r="G228" s="134"/>
      <c r="H228" s="135"/>
      <c r="I228" s="136">
        <f t="shared" si="31"/>
        <v>0</v>
      </c>
      <c r="J228" s="134"/>
      <c r="K228" s="135"/>
      <c r="L228" s="136">
        <f t="shared" si="32"/>
        <v>0</v>
      </c>
      <c r="M228" s="284"/>
      <c r="N228" s="285"/>
      <c r="O228" s="136">
        <f t="shared" si="33"/>
        <v>0</v>
      </c>
      <c r="P228" s="85"/>
      <c r="R228" s="53"/>
      <c r="S228" s="53"/>
      <c r="T228" s="53"/>
    </row>
    <row r="229" spans="1:20" hidden="1" x14ac:dyDescent="0.25">
      <c r="A229" s="276">
        <v>5250</v>
      </c>
      <c r="B229" s="127" t="s">
        <v>245</v>
      </c>
      <c r="C229" s="279">
        <f t="shared" si="26"/>
        <v>0</v>
      </c>
      <c r="D229" s="474"/>
      <c r="E229" s="474"/>
      <c r="F229" s="279">
        <f t="shared" si="30"/>
        <v>0</v>
      </c>
      <c r="G229" s="134"/>
      <c r="H229" s="135"/>
      <c r="I229" s="136">
        <f t="shared" si="31"/>
        <v>0</v>
      </c>
      <c r="J229" s="134"/>
      <c r="K229" s="135"/>
      <c r="L229" s="136">
        <f t="shared" si="32"/>
        <v>0</v>
      </c>
      <c r="M229" s="284"/>
      <c r="N229" s="285"/>
      <c r="O229" s="136">
        <f t="shared" si="33"/>
        <v>0</v>
      </c>
      <c r="P229" s="85"/>
      <c r="R229" s="53"/>
      <c r="S229" s="53"/>
      <c r="T229" s="53"/>
    </row>
    <row r="230" spans="1:20" hidden="1" x14ac:dyDescent="0.25">
      <c r="A230" s="276">
        <v>5260</v>
      </c>
      <c r="B230" s="127" t="s">
        <v>246</v>
      </c>
      <c r="C230" s="279">
        <f t="shared" si="26"/>
        <v>0</v>
      </c>
      <c r="D230" s="279">
        <f>SUM(D231)</f>
        <v>0</v>
      </c>
      <c r="E230" s="279">
        <f>SUM(E231)</f>
        <v>0</v>
      </c>
      <c r="F230" s="279">
        <f t="shared" si="30"/>
        <v>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c r="R230" s="53"/>
      <c r="S230" s="53"/>
      <c r="T230" s="53"/>
    </row>
    <row r="231" spans="1:20" ht="24" hidden="1" x14ac:dyDescent="0.25">
      <c r="A231" s="76">
        <v>5269</v>
      </c>
      <c r="B231" s="127" t="s">
        <v>247</v>
      </c>
      <c r="C231" s="279">
        <f t="shared" si="26"/>
        <v>0</v>
      </c>
      <c r="D231" s="474"/>
      <c r="E231" s="474"/>
      <c r="F231" s="279">
        <f t="shared" si="30"/>
        <v>0</v>
      </c>
      <c r="G231" s="134"/>
      <c r="H231" s="135"/>
      <c r="I231" s="136">
        <f t="shared" si="31"/>
        <v>0</v>
      </c>
      <c r="J231" s="134"/>
      <c r="K231" s="135"/>
      <c r="L231" s="136">
        <f t="shared" si="32"/>
        <v>0</v>
      </c>
      <c r="M231" s="284"/>
      <c r="N231" s="285"/>
      <c r="O231" s="136">
        <f t="shared" si="33"/>
        <v>0</v>
      </c>
      <c r="P231" s="85"/>
      <c r="R231" s="53"/>
      <c r="S231" s="53"/>
      <c r="T231" s="53"/>
    </row>
    <row r="232" spans="1:20" ht="24" hidden="1" x14ac:dyDescent="0.25">
      <c r="A232" s="254">
        <v>5270</v>
      </c>
      <c r="B232" s="179" t="s">
        <v>248</v>
      </c>
      <c r="C232" s="302">
        <f t="shared" si="26"/>
        <v>0</v>
      </c>
      <c r="D232" s="477"/>
      <c r="E232" s="477"/>
      <c r="F232" s="257">
        <f t="shared" si="30"/>
        <v>0</v>
      </c>
      <c r="G232" s="287"/>
      <c r="H232" s="289"/>
      <c r="I232" s="259">
        <f t="shared" si="31"/>
        <v>0</v>
      </c>
      <c r="J232" s="287"/>
      <c r="K232" s="289"/>
      <c r="L232" s="259">
        <f t="shared" si="32"/>
        <v>0</v>
      </c>
      <c r="M232" s="290"/>
      <c r="N232" s="291"/>
      <c r="O232" s="259">
        <f t="shared" si="33"/>
        <v>0</v>
      </c>
      <c r="P232" s="189"/>
      <c r="R232" s="53"/>
      <c r="S232" s="53"/>
      <c r="T232" s="53"/>
    </row>
    <row r="233" spans="1:20" hidden="1" x14ac:dyDescent="0.25">
      <c r="A233" s="237">
        <v>6000</v>
      </c>
      <c r="B233" s="237" t="s">
        <v>249</v>
      </c>
      <c r="C233" s="241">
        <f t="shared" si="26"/>
        <v>0</v>
      </c>
      <c r="D233" s="241">
        <f>D234+D254+D261</f>
        <v>0</v>
      </c>
      <c r="E233" s="241">
        <f>E234+E254+E261</f>
        <v>0</v>
      </c>
      <c r="F233" s="241">
        <f t="shared" si="30"/>
        <v>0</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c r="R233" s="53"/>
      <c r="S233" s="53"/>
      <c r="T233" s="53"/>
    </row>
    <row r="234" spans="1:20" hidden="1" x14ac:dyDescent="0.25">
      <c r="A234" s="160">
        <v>6200</v>
      </c>
      <c r="B234" s="321" t="s">
        <v>250</v>
      </c>
      <c r="C234" s="648">
        <f>F234+I234+L234+O234</f>
        <v>0</v>
      </c>
      <c r="D234" s="648">
        <f>SUM(D235,D236,D238,D241,D247,D248,D249)</f>
        <v>0</v>
      </c>
      <c r="E234" s="648">
        <f>SUM(E235,E236,E238,E241,E247,E248,E249)</f>
        <v>0</v>
      </c>
      <c r="F234" s="648">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c r="R234" s="53"/>
      <c r="S234" s="53"/>
      <c r="T234" s="53"/>
    </row>
    <row r="235" spans="1:20" ht="24" hidden="1" x14ac:dyDescent="0.25">
      <c r="A235" s="656">
        <v>6220</v>
      </c>
      <c r="B235" s="116" t="s">
        <v>251</v>
      </c>
      <c r="C235" s="296">
        <f t="shared" si="26"/>
        <v>0</v>
      </c>
      <c r="D235" s="973"/>
      <c r="E235" s="973"/>
      <c r="F235" s="296">
        <f t="shared" si="30"/>
        <v>0</v>
      </c>
      <c r="G235" s="123"/>
      <c r="H235" s="124"/>
      <c r="I235" s="125">
        <f t="shared" si="31"/>
        <v>0</v>
      </c>
      <c r="J235" s="123"/>
      <c r="K235" s="124"/>
      <c r="L235" s="125">
        <f t="shared" si="32"/>
        <v>0</v>
      </c>
      <c r="M235" s="264"/>
      <c r="N235" s="262"/>
      <c r="O235" s="125">
        <f t="shared" si="33"/>
        <v>0</v>
      </c>
      <c r="P235" s="74"/>
      <c r="R235" s="53"/>
      <c r="S235" s="53"/>
      <c r="T235" s="53"/>
    </row>
    <row r="236" spans="1:20" hidden="1" x14ac:dyDescent="0.25">
      <c r="A236" s="276">
        <v>6230</v>
      </c>
      <c r="B236" s="127" t="s">
        <v>252</v>
      </c>
      <c r="C236" s="279">
        <f t="shared" si="26"/>
        <v>0</v>
      </c>
      <c r="D236" s="279">
        <f>SUM(D237)</f>
        <v>0</v>
      </c>
      <c r="E236" s="279">
        <f>SUM(E237)</f>
        <v>0</v>
      </c>
      <c r="F236" s="279">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c r="R236" s="53"/>
      <c r="S236" s="53"/>
      <c r="T236" s="53"/>
    </row>
    <row r="237" spans="1:20" ht="24" hidden="1" x14ac:dyDescent="0.25">
      <c r="A237" s="76">
        <v>6239</v>
      </c>
      <c r="B237" s="116" t="s">
        <v>253</v>
      </c>
      <c r="C237" s="279">
        <f t="shared" si="26"/>
        <v>0</v>
      </c>
      <c r="D237" s="474"/>
      <c r="E237" s="474"/>
      <c r="F237" s="279">
        <f t="shared" si="30"/>
        <v>0</v>
      </c>
      <c r="G237" s="134"/>
      <c r="H237" s="135"/>
      <c r="I237" s="136">
        <f t="shared" si="31"/>
        <v>0</v>
      </c>
      <c r="J237" s="134"/>
      <c r="K237" s="135"/>
      <c r="L237" s="136">
        <f t="shared" si="32"/>
        <v>0</v>
      </c>
      <c r="M237" s="284"/>
      <c r="N237" s="285"/>
      <c r="O237" s="136">
        <f t="shared" si="33"/>
        <v>0</v>
      </c>
      <c r="P237" s="85"/>
      <c r="R237" s="53"/>
      <c r="S237" s="53"/>
      <c r="T237" s="53"/>
    </row>
    <row r="238" spans="1:20" ht="24" hidden="1" x14ac:dyDescent="0.25">
      <c r="A238" s="276">
        <v>6240</v>
      </c>
      <c r="B238" s="127" t="s">
        <v>254</v>
      </c>
      <c r="C238" s="279">
        <f t="shared" si="26"/>
        <v>0</v>
      </c>
      <c r="D238" s="279">
        <f>SUM(D239:D240)</f>
        <v>0</v>
      </c>
      <c r="E238" s="279">
        <f>SUM(E239:E240)</f>
        <v>0</v>
      </c>
      <c r="F238" s="279">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c r="R238" s="53"/>
      <c r="S238" s="53"/>
      <c r="T238" s="53"/>
    </row>
    <row r="239" spans="1:20" hidden="1" x14ac:dyDescent="0.25">
      <c r="A239" s="76">
        <v>6241</v>
      </c>
      <c r="B239" s="127" t="s">
        <v>255</v>
      </c>
      <c r="C239" s="279">
        <f t="shared" si="26"/>
        <v>0</v>
      </c>
      <c r="D239" s="474"/>
      <c r="E239" s="474"/>
      <c r="F239" s="279">
        <f t="shared" si="30"/>
        <v>0</v>
      </c>
      <c r="G239" s="134"/>
      <c r="H239" s="135"/>
      <c r="I239" s="136">
        <f t="shared" si="31"/>
        <v>0</v>
      </c>
      <c r="J239" s="134"/>
      <c r="K239" s="135"/>
      <c r="L239" s="136">
        <f t="shared" si="32"/>
        <v>0</v>
      </c>
      <c r="M239" s="284"/>
      <c r="N239" s="285"/>
      <c r="O239" s="136">
        <f t="shared" si="33"/>
        <v>0</v>
      </c>
      <c r="P239" s="85"/>
      <c r="R239" s="53"/>
      <c r="S239" s="53"/>
      <c r="T239" s="53"/>
    </row>
    <row r="240" spans="1:20" hidden="1" x14ac:dyDescent="0.25">
      <c r="A240" s="76">
        <v>6242</v>
      </c>
      <c r="B240" s="127" t="s">
        <v>256</v>
      </c>
      <c r="C240" s="279">
        <f t="shared" si="26"/>
        <v>0</v>
      </c>
      <c r="D240" s="474"/>
      <c r="E240" s="474"/>
      <c r="F240" s="279">
        <f t="shared" si="30"/>
        <v>0</v>
      </c>
      <c r="G240" s="134"/>
      <c r="H240" s="135"/>
      <c r="I240" s="136">
        <f t="shared" si="31"/>
        <v>0</v>
      </c>
      <c r="J240" s="134"/>
      <c r="K240" s="135"/>
      <c r="L240" s="136">
        <f t="shared" si="32"/>
        <v>0</v>
      </c>
      <c r="M240" s="284"/>
      <c r="N240" s="285"/>
      <c r="O240" s="136">
        <f t="shared" si="33"/>
        <v>0</v>
      </c>
      <c r="P240" s="85"/>
      <c r="R240" s="53"/>
      <c r="S240" s="53"/>
      <c r="T240" s="53"/>
    </row>
    <row r="241" spans="1:20" ht="24" hidden="1" x14ac:dyDescent="0.25">
      <c r="A241" s="276">
        <v>6250</v>
      </c>
      <c r="B241" s="127" t="s">
        <v>257</v>
      </c>
      <c r="C241" s="279">
        <f t="shared" si="26"/>
        <v>0</v>
      </c>
      <c r="D241" s="279">
        <f>SUM(D242:D246)</f>
        <v>0</v>
      </c>
      <c r="E241" s="279">
        <f>SUM(E242:E246)</f>
        <v>0</v>
      </c>
      <c r="F241" s="279">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c r="R241" s="53"/>
      <c r="S241" s="53"/>
      <c r="T241" s="53"/>
    </row>
    <row r="242" spans="1:20" hidden="1" x14ac:dyDescent="0.25">
      <c r="A242" s="76">
        <v>6252</v>
      </c>
      <c r="B242" s="127" t="s">
        <v>258</v>
      </c>
      <c r="C242" s="279">
        <f t="shared" si="26"/>
        <v>0</v>
      </c>
      <c r="D242" s="474"/>
      <c r="E242" s="474"/>
      <c r="F242" s="279">
        <f t="shared" si="30"/>
        <v>0</v>
      </c>
      <c r="G242" s="134"/>
      <c r="H242" s="135"/>
      <c r="I242" s="136">
        <f t="shared" si="31"/>
        <v>0</v>
      </c>
      <c r="J242" s="134"/>
      <c r="K242" s="135"/>
      <c r="L242" s="136">
        <f t="shared" si="32"/>
        <v>0</v>
      </c>
      <c r="M242" s="284"/>
      <c r="N242" s="285"/>
      <c r="O242" s="136">
        <f t="shared" si="33"/>
        <v>0</v>
      </c>
      <c r="P242" s="85"/>
      <c r="R242" s="53"/>
      <c r="S242" s="53"/>
      <c r="T242" s="53"/>
    </row>
    <row r="243" spans="1:20" hidden="1" x14ac:dyDescent="0.25">
      <c r="A243" s="76">
        <v>6253</v>
      </c>
      <c r="B243" s="127" t="s">
        <v>259</v>
      </c>
      <c r="C243" s="279">
        <f t="shared" si="26"/>
        <v>0</v>
      </c>
      <c r="D243" s="474"/>
      <c r="E243" s="474"/>
      <c r="F243" s="279">
        <f t="shared" si="30"/>
        <v>0</v>
      </c>
      <c r="G243" s="134"/>
      <c r="H243" s="135"/>
      <c r="I243" s="136">
        <f t="shared" si="31"/>
        <v>0</v>
      </c>
      <c r="J243" s="134"/>
      <c r="K243" s="135"/>
      <c r="L243" s="136">
        <f t="shared" si="32"/>
        <v>0</v>
      </c>
      <c r="M243" s="284"/>
      <c r="N243" s="285"/>
      <c r="O243" s="136">
        <f t="shared" si="33"/>
        <v>0</v>
      </c>
      <c r="P243" s="85"/>
      <c r="R243" s="53"/>
      <c r="S243" s="53"/>
      <c r="T243" s="53"/>
    </row>
    <row r="244" spans="1:20" ht="24" hidden="1" x14ac:dyDescent="0.25">
      <c r="A244" s="76">
        <v>6254</v>
      </c>
      <c r="B244" s="127" t="s">
        <v>260</v>
      </c>
      <c r="C244" s="279">
        <f t="shared" si="26"/>
        <v>0</v>
      </c>
      <c r="D244" s="474"/>
      <c r="E244" s="474"/>
      <c r="F244" s="279">
        <f t="shared" si="30"/>
        <v>0</v>
      </c>
      <c r="G244" s="134"/>
      <c r="H244" s="135"/>
      <c r="I244" s="136">
        <f t="shared" si="31"/>
        <v>0</v>
      </c>
      <c r="J244" s="134"/>
      <c r="K244" s="135"/>
      <c r="L244" s="136">
        <f t="shared" si="32"/>
        <v>0</v>
      </c>
      <c r="M244" s="284"/>
      <c r="N244" s="285"/>
      <c r="O244" s="136">
        <f t="shared" si="33"/>
        <v>0</v>
      </c>
      <c r="P244" s="85"/>
      <c r="R244" s="53"/>
      <c r="S244" s="53"/>
      <c r="T244" s="53"/>
    </row>
    <row r="245" spans="1:20" ht="24" hidden="1" x14ac:dyDescent="0.25">
      <c r="A245" s="76">
        <v>6255</v>
      </c>
      <c r="B245" s="127" t="s">
        <v>261</v>
      </c>
      <c r="C245" s="279">
        <f t="shared" si="26"/>
        <v>0</v>
      </c>
      <c r="D245" s="474"/>
      <c r="E245" s="474"/>
      <c r="F245" s="279">
        <f t="shared" si="30"/>
        <v>0</v>
      </c>
      <c r="G245" s="134"/>
      <c r="H245" s="135"/>
      <c r="I245" s="136">
        <f t="shared" si="31"/>
        <v>0</v>
      </c>
      <c r="J245" s="134"/>
      <c r="K245" s="135"/>
      <c r="L245" s="136">
        <f t="shared" si="32"/>
        <v>0</v>
      </c>
      <c r="M245" s="284"/>
      <c r="N245" s="285"/>
      <c r="O245" s="136">
        <f t="shared" si="33"/>
        <v>0</v>
      </c>
      <c r="P245" s="85"/>
      <c r="R245" s="53"/>
      <c r="S245" s="53"/>
      <c r="T245" s="53"/>
    </row>
    <row r="246" spans="1:20" hidden="1" x14ac:dyDescent="0.25">
      <c r="A246" s="76">
        <v>6259</v>
      </c>
      <c r="B246" s="127" t="s">
        <v>262</v>
      </c>
      <c r="C246" s="279">
        <f t="shared" si="26"/>
        <v>0</v>
      </c>
      <c r="D246" s="474"/>
      <c r="E246" s="474"/>
      <c r="F246" s="279">
        <f t="shared" si="30"/>
        <v>0</v>
      </c>
      <c r="G246" s="134"/>
      <c r="H246" s="135"/>
      <c r="I246" s="136">
        <f t="shared" si="31"/>
        <v>0</v>
      </c>
      <c r="J246" s="134"/>
      <c r="K246" s="135"/>
      <c r="L246" s="136">
        <f t="shared" si="32"/>
        <v>0</v>
      </c>
      <c r="M246" s="284"/>
      <c r="N246" s="285"/>
      <c r="O246" s="136">
        <f t="shared" si="33"/>
        <v>0</v>
      </c>
      <c r="P246" s="85"/>
      <c r="R246" s="53"/>
      <c r="S246" s="53"/>
      <c r="T246" s="53"/>
    </row>
    <row r="247" spans="1:20" ht="24" hidden="1" x14ac:dyDescent="0.25">
      <c r="A247" s="276">
        <v>6260</v>
      </c>
      <c r="B247" s="127" t="s">
        <v>263</v>
      </c>
      <c r="C247" s="279">
        <f t="shared" si="26"/>
        <v>0</v>
      </c>
      <c r="D247" s="474"/>
      <c r="E247" s="474"/>
      <c r="F247" s="279">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c r="R247" s="53"/>
      <c r="S247" s="53"/>
      <c r="T247" s="53"/>
    </row>
    <row r="248" spans="1:20" hidden="1" x14ac:dyDescent="0.25">
      <c r="A248" s="276">
        <v>6270</v>
      </c>
      <c r="B248" s="127" t="s">
        <v>264</v>
      </c>
      <c r="C248" s="279">
        <f t="shared" si="26"/>
        <v>0</v>
      </c>
      <c r="D248" s="474"/>
      <c r="E248" s="474"/>
      <c r="F248" s="279">
        <f t="shared" si="37"/>
        <v>0</v>
      </c>
      <c r="G248" s="134"/>
      <c r="H248" s="135"/>
      <c r="I248" s="136">
        <f t="shared" si="38"/>
        <v>0</v>
      </c>
      <c r="J248" s="134"/>
      <c r="K248" s="135"/>
      <c r="L248" s="136">
        <f t="shared" si="39"/>
        <v>0</v>
      </c>
      <c r="M248" s="284"/>
      <c r="N248" s="285"/>
      <c r="O248" s="136">
        <f t="shared" si="40"/>
        <v>0</v>
      </c>
      <c r="P248" s="85"/>
      <c r="R248" s="53"/>
      <c r="S248" s="53"/>
      <c r="T248" s="53"/>
    </row>
    <row r="249" spans="1:20" ht="24" hidden="1" x14ac:dyDescent="0.25">
      <c r="A249" s="656">
        <v>6290</v>
      </c>
      <c r="B249" s="116" t="s">
        <v>265</v>
      </c>
      <c r="C249" s="279">
        <f t="shared" si="26"/>
        <v>0</v>
      </c>
      <c r="D249" s="296">
        <f>SUM(D250:D253)</f>
        <v>0</v>
      </c>
      <c r="E249" s="296">
        <f>SUM(E250:E253)</f>
        <v>0</v>
      </c>
      <c r="F249" s="296">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c r="R249" s="53"/>
      <c r="S249" s="53"/>
      <c r="T249" s="53"/>
    </row>
    <row r="250" spans="1:20" hidden="1" x14ac:dyDescent="0.25">
      <c r="A250" s="76">
        <v>6291</v>
      </c>
      <c r="B250" s="127" t="s">
        <v>266</v>
      </c>
      <c r="C250" s="279">
        <f t="shared" si="26"/>
        <v>0</v>
      </c>
      <c r="D250" s="474"/>
      <c r="E250" s="474"/>
      <c r="F250" s="279">
        <f t="shared" si="37"/>
        <v>0</v>
      </c>
      <c r="G250" s="134"/>
      <c r="H250" s="135"/>
      <c r="I250" s="136">
        <f t="shared" si="38"/>
        <v>0</v>
      </c>
      <c r="J250" s="134"/>
      <c r="K250" s="135"/>
      <c r="L250" s="136">
        <f t="shared" si="39"/>
        <v>0</v>
      </c>
      <c r="M250" s="284"/>
      <c r="N250" s="285"/>
      <c r="O250" s="136">
        <f t="shared" si="40"/>
        <v>0</v>
      </c>
      <c r="P250" s="85"/>
      <c r="R250" s="53"/>
      <c r="S250" s="53"/>
      <c r="T250" s="53"/>
    </row>
    <row r="251" spans="1:20" hidden="1" x14ac:dyDescent="0.25">
      <c r="A251" s="76">
        <v>6292</v>
      </c>
      <c r="B251" s="127" t="s">
        <v>267</v>
      </c>
      <c r="C251" s="279">
        <f t="shared" si="26"/>
        <v>0</v>
      </c>
      <c r="D251" s="474"/>
      <c r="E251" s="474"/>
      <c r="F251" s="279">
        <f t="shared" si="37"/>
        <v>0</v>
      </c>
      <c r="G251" s="134"/>
      <c r="H251" s="135"/>
      <c r="I251" s="136">
        <f t="shared" si="38"/>
        <v>0</v>
      </c>
      <c r="J251" s="134"/>
      <c r="K251" s="135"/>
      <c r="L251" s="136">
        <f t="shared" si="39"/>
        <v>0</v>
      </c>
      <c r="M251" s="284"/>
      <c r="N251" s="285"/>
      <c r="O251" s="136">
        <f t="shared" si="40"/>
        <v>0</v>
      </c>
      <c r="P251" s="85"/>
      <c r="R251" s="53"/>
      <c r="S251" s="53"/>
      <c r="T251" s="53"/>
    </row>
    <row r="252" spans="1:20" ht="72" hidden="1" x14ac:dyDescent="0.25">
      <c r="A252" s="76">
        <v>6296</v>
      </c>
      <c r="B252" s="127" t="s">
        <v>268</v>
      </c>
      <c r="C252" s="279">
        <f t="shared" si="26"/>
        <v>0</v>
      </c>
      <c r="D252" s="474"/>
      <c r="E252" s="474"/>
      <c r="F252" s="279">
        <f t="shared" si="37"/>
        <v>0</v>
      </c>
      <c r="G252" s="134"/>
      <c r="H252" s="135"/>
      <c r="I252" s="136">
        <f t="shared" si="38"/>
        <v>0</v>
      </c>
      <c r="J252" s="134"/>
      <c r="K252" s="135"/>
      <c r="L252" s="136">
        <f t="shared" si="39"/>
        <v>0</v>
      </c>
      <c r="M252" s="284"/>
      <c r="N252" s="285"/>
      <c r="O252" s="136">
        <f t="shared" si="40"/>
        <v>0</v>
      </c>
      <c r="P252" s="85"/>
      <c r="R252" s="53"/>
      <c r="S252" s="53"/>
      <c r="T252" s="53"/>
    </row>
    <row r="253" spans="1:20" ht="36" hidden="1" x14ac:dyDescent="0.25">
      <c r="A253" s="76">
        <v>6299</v>
      </c>
      <c r="B253" s="127" t="s">
        <v>269</v>
      </c>
      <c r="C253" s="279">
        <f t="shared" si="26"/>
        <v>0</v>
      </c>
      <c r="D253" s="474"/>
      <c r="E253" s="474"/>
      <c r="F253" s="279">
        <f t="shared" si="37"/>
        <v>0</v>
      </c>
      <c r="G253" s="134"/>
      <c r="H253" s="135"/>
      <c r="I253" s="136">
        <f t="shared" si="38"/>
        <v>0</v>
      </c>
      <c r="J253" s="134"/>
      <c r="K253" s="135"/>
      <c r="L253" s="136">
        <f t="shared" si="39"/>
        <v>0</v>
      </c>
      <c r="M253" s="284"/>
      <c r="N253" s="285"/>
      <c r="O253" s="136">
        <f t="shared" si="40"/>
        <v>0</v>
      </c>
      <c r="P253" s="85"/>
      <c r="R253" s="53"/>
      <c r="S253" s="53"/>
      <c r="T253" s="53"/>
    </row>
    <row r="254" spans="1:20" hidden="1" x14ac:dyDescent="0.25">
      <c r="A254" s="99">
        <v>6300</v>
      </c>
      <c r="B254" s="247" t="s">
        <v>270</v>
      </c>
      <c r="C254" s="249">
        <f t="shared" si="26"/>
        <v>0</v>
      </c>
      <c r="D254" s="249">
        <f>SUM(D255,D259,D260)</f>
        <v>0</v>
      </c>
      <c r="E254" s="249">
        <f>SUM(E255,E259,E260)</f>
        <v>0</v>
      </c>
      <c r="F254" s="249">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c r="R254" s="53"/>
      <c r="S254" s="53"/>
      <c r="T254" s="53"/>
    </row>
    <row r="255" spans="1:20" ht="24" hidden="1" x14ac:dyDescent="0.25">
      <c r="A255" s="656">
        <v>6320</v>
      </c>
      <c r="B255" s="116" t="s">
        <v>271</v>
      </c>
      <c r="C255" s="647">
        <f t="shared" si="26"/>
        <v>0</v>
      </c>
      <c r="D255" s="296">
        <f>SUM(D256:D258)</f>
        <v>0</v>
      </c>
      <c r="E255" s="296">
        <f>SUM(E256:E258)</f>
        <v>0</v>
      </c>
      <c r="F255" s="296">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c r="R255" s="53"/>
      <c r="S255" s="53"/>
      <c r="T255" s="53"/>
    </row>
    <row r="256" spans="1:20" hidden="1" x14ac:dyDescent="0.25">
      <c r="A256" s="76">
        <v>6322</v>
      </c>
      <c r="B256" s="127" t="s">
        <v>272</v>
      </c>
      <c r="C256" s="279">
        <f t="shared" si="26"/>
        <v>0</v>
      </c>
      <c r="D256" s="474"/>
      <c r="E256" s="474"/>
      <c r="F256" s="279">
        <f t="shared" si="37"/>
        <v>0</v>
      </c>
      <c r="G256" s="134"/>
      <c r="H256" s="135"/>
      <c r="I256" s="136">
        <f t="shared" si="38"/>
        <v>0</v>
      </c>
      <c r="J256" s="134"/>
      <c r="K256" s="135"/>
      <c r="L256" s="136">
        <f t="shared" si="39"/>
        <v>0</v>
      </c>
      <c r="M256" s="284"/>
      <c r="N256" s="285"/>
      <c r="O256" s="136">
        <f t="shared" si="40"/>
        <v>0</v>
      </c>
      <c r="P256" s="85"/>
      <c r="R256" s="53"/>
      <c r="S256" s="53"/>
      <c r="T256" s="53"/>
    </row>
    <row r="257" spans="1:20" ht="24" hidden="1" x14ac:dyDescent="0.25">
      <c r="A257" s="76">
        <v>6323</v>
      </c>
      <c r="B257" s="127" t="s">
        <v>273</v>
      </c>
      <c r="C257" s="279">
        <f t="shared" si="26"/>
        <v>0</v>
      </c>
      <c r="D257" s="474"/>
      <c r="E257" s="474"/>
      <c r="F257" s="279">
        <f t="shared" si="37"/>
        <v>0</v>
      </c>
      <c r="G257" s="134"/>
      <c r="H257" s="135"/>
      <c r="I257" s="136">
        <f t="shared" si="38"/>
        <v>0</v>
      </c>
      <c r="J257" s="134"/>
      <c r="K257" s="135"/>
      <c r="L257" s="136">
        <f t="shared" si="39"/>
        <v>0</v>
      </c>
      <c r="M257" s="284"/>
      <c r="N257" s="285"/>
      <c r="O257" s="136">
        <f t="shared" si="40"/>
        <v>0</v>
      </c>
      <c r="P257" s="85"/>
      <c r="R257" s="53"/>
      <c r="S257" s="53"/>
      <c r="T257" s="53"/>
    </row>
    <row r="258" spans="1:20" ht="24" hidden="1" x14ac:dyDescent="0.25">
      <c r="A258" s="66">
        <v>6324</v>
      </c>
      <c r="B258" s="116" t="s">
        <v>274</v>
      </c>
      <c r="C258" s="279">
        <f t="shared" si="26"/>
        <v>0</v>
      </c>
      <c r="D258" s="973"/>
      <c r="E258" s="973"/>
      <c r="F258" s="296">
        <f t="shared" si="37"/>
        <v>0</v>
      </c>
      <c r="G258" s="123"/>
      <c r="H258" s="124"/>
      <c r="I258" s="125">
        <f t="shared" si="38"/>
        <v>0</v>
      </c>
      <c r="J258" s="123"/>
      <c r="K258" s="124"/>
      <c r="L258" s="125">
        <f t="shared" si="39"/>
        <v>0</v>
      </c>
      <c r="M258" s="264"/>
      <c r="N258" s="262"/>
      <c r="O258" s="125">
        <f t="shared" si="40"/>
        <v>0</v>
      </c>
      <c r="P258" s="74"/>
      <c r="R258" s="53"/>
      <c r="S258" s="53"/>
      <c r="T258" s="53"/>
    </row>
    <row r="259" spans="1:20" ht="24" hidden="1" x14ac:dyDescent="0.25">
      <c r="A259" s="344">
        <v>6330</v>
      </c>
      <c r="B259" s="345" t="s">
        <v>275</v>
      </c>
      <c r="C259" s="279">
        <f t="shared" ref="C259:C286" si="50">F259+I259+L259+O259</f>
        <v>0</v>
      </c>
      <c r="D259" s="975"/>
      <c r="E259" s="975"/>
      <c r="F259" s="647">
        <f t="shared" si="37"/>
        <v>0</v>
      </c>
      <c r="G259" s="328"/>
      <c r="H259" s="331"/>
      <c r="I259" s="324">
        <f t="shared" si="38"/>
        <v>0</v>
      </c>
      <c r="J259" s="328"/>
      <c r="K259" s="331"/>
      <c r="L259" s="324">
        <f t="shared" si="39"/>
        <v>0</v>
      </c>
      <c r="M259" s="332"/>
      <c r="N259" s="329"/>
      <c r="O259" s="324">
        <f t="shared" si="40"/>
        <v>0</v>
      </c>
      <c r="P259" s="325"/>
      <c r="R259" s="53"/>
      <c r="S259" s="53"/>
      <c r="T259" s="53"/>
    </row>
    <row r="260" spans="1:20" hidden="1" x14ac:dyDescent="0.25">
      <c r="A260" s="276">
        <v>6360</v>
      </c>
      <c r="B260" s="127" t="s">
        <v>276</v>
      </c>
      <c r="C260" s="279">
        <f t="shared" si="50"/>
        <v>0</v>
      </c>
      <c r="D260" s="474"/>
      <c r="E260" s="474"/>
      <c r="F260" s="279">
        <f t="shared" si="37"/>
        <v>0</v>
      </c>
      <c r="G260" s="134"/>
      <c r="H260" s="135"/>
      <c r="I260" s="136">
        <f t="shared" si="38"/>
        <v>0</v>
      </c>
      <c r="J260" s="134"/>
      <c r="K260" s="135"/>
      <c r="L260" s="136">
        <f t="shared" si="39"/>
        <v>0</v>
      </c>
      <c r="M260" s="284"/>
      <c r="N260" s="285"/>
      <c r="O260" s="136">
        <f t="shared" si="40"/>
        <v>0</v>
      </c>
      <c r="P260" s="85"/>
      <c r="R260" s="53"/>
      <c r="S260" s="53"/>
      <c r="T260" s="53"/>
    </row>
    <row r="261" spans="1:20" ht="36" hidden="1" x14ac:dyDescent="0.25">
      <c r="A261" s="99">
        <v>6400</v>
      </c>
      <c r="B261" s="247" t="s">
        <v>277</v>
      </c>
      <c r="C261" s="249">
        <f t="shared" si="50"/>
        <v>0</v>
      </c>
      <c r="D261" s="249">
        <f>SUM(D262,D266)</f>
        <v>0</v>
      </c>
      <c r="E261" s="249">
        <f>SUM(E262,E266)</f>
        <v>0</v>
      </c>
      <c r="F261" s="249">
        <f t="shared" si="37"/>
        <v>0</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c r="R261" s="53"/>
      <c r="S261" s="53"/>
      <c r="T261" s="53"/>
    </row>
    <row r="262" spans="1:20" ht="24" hidden="1" x14ac:dyDescent="0.25">
      <c r="A262" s="656">
        <v>6410</v>
      </c>
      <c r="B262" s="116" t="s">
        <v>278</v>
      </c>
      <c r="C262" s="296">
        <f t="shared" si="50"/>
        <v>0</v>
      </c>
      <c r="D262" s="296">
        <f>SUM(D263:D265)</f>
        <v>0</v>
      </c>
      <c r="E262" s="296">
        <f>SUM(E263:E265)</f>
        <v>0</v>
      </c>
      <c r="F262" s="296">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c r="R262" s="53"/>
      <c r="S262" s="53"/>
      <c r="T262" s="53"/>
    </row>
    <row r="263" spans="1:20" hidden="1" x14ac:dyDescent="0.25">
      <c r="A263" s="76">
        <v>6411</v>
      </c>
      <c r="B263" s="346" t="s">
        <v>279</v>
      </c>
      <c r="C263" s="279">
        <f t="shared" si="50"/>
        <v>0</v>
      </c>
      <c r="D263" s="474"/>
      <c r="E263" s="474"/>
      <c r="F263" s="279">
        <f t="shared" si="37"/>
        <v>0</v>
      </c>
      <c r="G263" s="134"/>
      <c r="H263" s="135"/>
      <c r="I263" s="136">
        <f t="shared" si="38"/>
        <v>0</v>
      </c>
      <c r="J263" s="134"/>
      <c r="K263" s="135"/>
      <c r="L263" s="136">
        <f t="shared" si="39"/>
        <v>0</v>
      </c>
      <c r="M263" s="284"/>
      <c r="N263" s="285"/>
      <c r="O263" s="136">
        <f t="shared" si="40"/>
        <v>0</v>
      </c>
      <c r="P263" s="85"/>
      <c r="R263" s="53"/>
      <c r="S263" s="53"/>
      <c r="T263" s="53"/>
    </row>
    <row r="264" spans="1:20" ht="36" hidden="1" x14ac:dyDescent="0.25">
      <c r="A264" s="76">
        <v>6412</v>
      </c>
      <c r="B264" s="127" t="s">
        <v>280</v>
      </c>
      <c r="C264" s="279">
        <f t="shared" si="50"/>
        <v>0</v>
      </c>
      <c r="D264" s="474"/>
      <c r="E264" s="474"/>
      <c r="F264" s="279">
        <f t="shared" si="37"/>
        <v>0</v>
      </c>
      <c r="G264" s="134"/>
      <c r="H264" s="135"/>
      <c r="I264" s="136">
        <f t="shared" si="38"/>
        <v>0</v>
      </c>
      <c r="J264" s="134"/>
      <c r="K264" s="135"/>
      <c r="L264" s="136">
        <f t="shared" si="39"/>
        <v>0</v>
      </c>
      <c r="M264" s="284"/>
      <c r="N264" s="285"/>
      <c r="O264" s="136">
        <f t="shared" si="40"/>
        <v>0</v>
      </c>
      <c r="P264" s="85"/>
      <c r="R264" s="53"/>
      <c r="S264" s="53"/>
      <c r="T264" s="53"/>
    </row>
    <row r="265" spans="1:20" ht="36" hidden="1" x14ac:dyDescent="0.25">
      <c r="A265" s="76">
        <v>6419</v>
      </c>
      <c r="B265" s="127" t="s">
        <v>281</v>
      </c>
      <c r="C265" s="279">
        <f t="shared" si="50"/>
        <v>0</v>
      </c>
      <c r="D265" s="474"/>
      <c r="E265" s="474"/>
      <c r="F265" s="279">
        <f t="shared" si="37"/>
        <v>0</v>
      </c>
      <c r="G265" s="134"/>
      <c r="H265" s="135"/>
      <c r="I265" s="136">
        <f t="shared" si="38"/>
        <v>0</v>
      </c>
      <c r="J265" s="134"/>
      <c r="K265" s="135"/>
      <c r="L265" s="136">
        <f t="shared" si="39"/>
        <v>0</v>
      </c>
      <c r="M265" s="284"/>
      <c r="N265" s="285"/>
      <c r="O265" s="136">
        <f t="shared" si="40"/>
        <v>0</v>
      </c>
      <c r="P265" s="85"/>
      <c r="R265" s="53"/>
      <c r="S265" s="53"/>
      <c r="T265" s="53"/>
    </row>
    <row r="266" spans="1:20" ht="36" hidden="1" x14ac:dyDescent="0.25">
      <c r="A266" s="276">
        <v>6420</v>
      </c>
      <c r="B266" s="127" t="s">
        <v>282</v>
      </c>
      <c r="C266" s="279">
        <f t="shared" si="50"/>
        <v>0</v>
      </c>
      <c r="D266" s="279">
        <f>SUM(D267:D270)</f>
        <v>0</v>
      </c>
      <c r="E266" s="279">
        <f>SUM(E267:E270)</f>
        <v>0</v>
      </c>
      <c r="F266" s="279">
        <f t="shared" si="37"/>
        <v>0</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c r="R266" s="53"/>
      <c r="S266" s="53"/>
      <c r="T266" s="53"/>
    </row>
    <row r="267" spans="1:20" hidden="1" x14ac:dyDescent="0.25">
      <c r="A267" s="76">
        <v>6421</v>
      </c>
      <c r="B267" s="127" t="s">
        <v>283</v>
      </c>
      <c r="C267" s="279">
        <f t="shared" si="50"/>
        <v>0</v>
      </c>
      <c r="D267" s="474"/>
      <c r="E267" s="474"/>
      <c r="F267" s="279">
        <f t="shared" si="37"/>
        <v>0</v>
      </c>
      <c r="G267" s="134"/>
      <c r="H267" s="135"/>
      <c r="I267" s="136">
        <f t="shared" si="38"/>
        <v>0</v>
      </c>
      <c r="J267" s="134"/>
      <c r="K267" s="135"/>
      <c r="L267" s="136">
        <f t="shared" si="39"/>
        <v>0</v>
      </c>
      <c r="M267" s="284"/>
      <c r="N267" s="285"/>
      <c r="O267" s="136">
        <f t="shared" si="40"/>
        <v>0</v>
      </c>
      <c r="P267" s="85"/>
      <c r="R267" s="53"/>
      <c r="S267" s="53"/>
      <c r="T267" s="53"/>
    </row>
    <row r="268" spans="1:20" hidden="1" x14ac:dyDescent="0.25">
      <c r="A268" s="76">
        <v>6422</v>
      </c>
      <c r="B268" s="127" t="s">
        <v>284</v>
      </c>
      <c r="C268" s="279">
        <f t="shared" si="50"/>
        <v>0</v>
      </c>
      <c r="D268" s="474"/>
      <c r="E268" s="474"/>
      <c r="F268" s="279">
        <f t="shared" si="37"/>
        <v>0</v>
      </c>
      <c r="G268" s="134"/>
      <c r="H268" s="135"/>
      <c r="I268" s="136">
        <f t="shared" si="38"/>
        <v>0</v>
      </c>
      <c r="J268" s="134"/>
      <c r="K268" s="135"/>
      <c r="L268" s="136">
        <f t="shared" si="39"/>
        <v>0</v>
      </c>
      <c r="M268" s="284"/>
      <c r="N268" s="285"/>
      <c r="O268" s="136">
        <f t="shared" si="40"/>
        <v>0</v>
      </c>
      <c r="P268" s="85"/>
      <c r="R268" s="53"/>
      <c r="S268" s="53"/>
      <c r="T268" s="53"/>
    </row>
    <row r="269" spans="1:20" ht="24" hidden="1" x14ac:dyDescent="0.25">
      <c r="A269" s="76">
        <v>6423</v>
      </c>
      <c r="B269" s="127" t="s">
        <v>285</v>
      </c>
      <c r="C269" s="279">
        <f t="shared" si="50"/>
        <v>0</v>
      </c>
      <c r="D269" s="474"/>
      <c r="E269" s="474"/>
      <c r="F269" s="279">
        <f t="shared" si="37"/>
        <v>0</v>
      </c>
      <c r="G269" s="134"/>
      <c r="H269" s="135"/>
      <c r="I269" s="136">
        <f t="shared" si="38"/>
        <v>0</v>
      </c>
      <c r="J269" s="134"/>
      <c r="K269" s="135"/>
      <c r="L269" s="136">
        <f t="shared" si="39"/>
        <v>0</v>
      </c>
      <c r="M269" s="284"/>
      <c r="N269" s="285"/>
      <c r="O269" s="136">
        <f t="shared" si="40"/>
        <v>0</v>
      </c>
      <c r="P269" s="85"/>
      <c r="R269" s="53"/>
      <c r="S269" s="53"/>
      <c r="T269" s="53"/>
    </row>
    <row r="270" spans="1:20" ht="36" hidden="1" x14ac:dyDescent="0.25">
      <c r="A270" s="76">
        <v>6424</v>
      </c>
      <c r="B270" s="127" t="s">
        <v>286</v>
      </c>
      <c r="C270" s="279">
        <f t="shared" si="50"/>
        <v>0</v>
      </c>
      <c r="D270" s="474"/>
      <c r="E270" s="474"/>
      <c r="F270" s="279">
        <f t="shared" si="37"/>
        <v>0</v>
      </c>
      <c r="G270" s="134"/>
      <c r="H270" s="135"/>
      <c r="I270" s="136">
        <f t="shared" si="38"/>
        <v>0</v>
      </c>
      <c r="J270" s="134"/>
      <c r="K270" s="135"/>
      <c r="L270" s="136">
        <f t="shared" si="39"/>
        <v>0</v>
      </c>
      <c r="M270" s="284"/>
      <c r="N270" s="285"/>
      <c r="O270" s="136">
        <f t="shared" si="40"/>
        <v>0</v>
      </c>
      <c r="P270" s="85"/>
      <c r="R270" s="53"/>
      <c r="S270" s="53"/>
      <c r="T270" s="53"/>
    </row>
    <row r="271" spans="1:20" ht="36" hidden="1" x14ac:dyDescent="0.25">
      <c r="A271" s="347">
        <v>7000</v>
      </c>
      <c r="B271" s="347" t="s">
        <v>287</v>
      </c>
      <c r="C271" s="351">
        <f t="shared" si="50"/>
        <v>0</v>
      </c>
      <c r="D271" s="351">
        <f>SUM(D272,D282)</f>
        <v>0</v>
      </c>
      <c r="E271" s="351">
        <f>SUM(E272,E282)</f>
        <v>0</v>
      </c>
      <c r="F271" s="351">
        <f t="shared" si="37"/>
        <v>0</v>
      </c>
      <c r="G271" s="349">
        <f>SUM(G272,G282)</f>
        <v>0</v>
      </c>
      <c r="H271" s="352">
        <f>SUM(H272,H282)</f>
        <v>0</v>
      </c>
      <c r="I271" s="353">
        <f t="shared" si="38"/>
        <v>0</v>
      </c>
      <c r="J271" s="349">
        <f>SUM(J272,J282)</f>
        <v>0</v>
      </c>
      <c r="K271" s="352">
        <f>SUM(K272,K282)</f>
        <v>0</v>
      </c>
      <c r="L271" s="353">
        <f t="shared" si="39"/>
        <v>0</v>
      </c>
      <c r="M271" s="354">
        <f>SUM(M272,M282)</f>
        <v>0</v>
      </c>
      <c r="N271" s="355">
        <f>SUM(N272,N282)</f>
        <v>0</v>
      </c>
      <c r="O271" s="356">
        <f t="shared" si="40"/>
        <v>0</v>
      </c>
      <c r="P271" s="357"/>
      <c r="R271" s="53"/>
      <c r="S271" s="53"/>
      <c r="T271" s="53"/>
    </row>
    <row r="272" spans="1:20" ht="24" hidden="1" x14ac:dyDescent="0.25">
      <c r="A272" s="99">
        <v>7200</v>
      </c>
      <c r="B272" s="247" t="s">
        <v>288</v>
      </c>
      <c r="C272" s="249">
        <f t="shared" si="50"/>
        <v>0</v>
      </c>
      <c r="D272" s="249">
        <f>SUM(D273,D274,D277,D278,D281)</f>
        <v>0</v>
      </c>
      <c r="E272" s="249">
        <f>SUM(E273,E274,E277,E278,E281)</f>
        <v>0</v>
      </c>
      <c r="F272" s="249">
        <f t="shared" si="37"/>
        <v>0</v>
      </c>
      <c r="G272" s="112">
        <f>SUM(G273,G274,G277,G278,G281)</f>
        <v>0</v>
      </c>
      <c r="H272" s="113">
        <f>SUM(H273,H274,H277,H278,H281)</f>
        <v>0</v>
      </c>
      <c r="I272" s="114">
        <f t="shared" si="38"/>
        <v>0</v>
      </c>
      <c r="J272" s="112">
        <f>SUM(J273,J274,J277,J278,J281)</f>
        <v>0</v>
      </c>
      <c r="K272" s="113">
        <f>SUM(K273,K274,K277,K278,K281)</f>
        <v>0</v>
      </c>
      <c r="L272" s="114">
        <f t="shared" si="39"/>
        <v>0</v>
      </c>
      <c r="M272" s="250">
        <f>SUM(M273,M274,M277,M278,M281)</f>
        <v>0</v>
      </c>
      <c r="N272" s="251">
        <f>SUM(N273,N274,N277,N278,N281)</f>
        <v>0</v>
      </c>
      <c r="O272" s="252">
        <f t="shared" si="40"/>
        <v>0</v>
      </c>
      <c r="P272" s="253"/>
      <c r="R272" s="53"/>
      <c r="S272" s="53"/>
      <c r="T272" s="53"/>
    </row>
    <row r="273" spans="1:20" ht="24" hidden="1" x14ac:dyDescent="0.25">
      <c r="A273" s="656">
        <v>7210</v>
      </c>
      <c r="B273" s="116" t="s">
        <v>289</v>
      </c>
      <c r="C273" s="296">
        <f t="shared" si="50"/>
        <v>0</v>
      </c>
      <c r="D273" s="973"/>
      <c r="E273" s="973"/>
      <c r="F273" s="296">
        <f t="shared" si="37"/>
        <v>0</v>
      </c>
      <c r="G273" s="123"/>
      <c r="H273" s="124"/>
      <c r="I273" s="125">
        <f t="shared" si="38"/>
        <v>0</v>
      </c>
      <c r="J273" s="123"/>
      <c r="K273" s="124"/>
      <c r="L273" s="125">
        <f t="shared" si="39"/>
        <v>0</v>
      </c>
      <c r="M273" s="264"/>
      <c r="N273" s="262"/>
      <c r="O273" s="125">
        <f t="shared" si="40"/>
        <v>0</v>
      </c>
      <c r="P273" s="74"/>
      <c r="R273" s="53"/>
      <c r="S273" s="53"/>
      <c r="T273" s="53"/>
    </row>
    <row r="274" spans="1:20" s="358" customFormat="1" ht="36" hidden="1" x14ac:dyDescent="0.25">
      <c r="A274" s="276">
        <v>7220</v>
      </c>
      <c r="B274" s="127" t="s">
        <v>290</v>
      </c>
      <c r="C274" s="279">
        <f t="shared" si="50"/>
        <v>0</v>
      </c>
      <c r="D274" s="279">
        <f>SUM(D275:D276)</f>
        <v>0</v>
      </c>
      <c r="E274" s="279">
        <f>SUM(E275:E276)</f>
        <v>0</v>
      </c>
      <c r="F274" s="279">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c r="R274" s="53"/>
      <c r="S274" s="53"/>
      <c r="T274" s="53"/>
    </row>
    <row r="275" spans="1:20" s="358" customFormat="1" ht="36" hidden="1" x14ac:dyDescent="0.25">
      <c r="A275" s="76">
        <v>7221</v>
      </c>
      <c r="B275" s="127" t="s">
        <v>291</v>
      </c>
      <c r="C275" s="279">
        <f t="shared" si="50"/>
        <v>0</v>
      </c>
      <c r="D275" s="474"/>
      <c r="E275" s="474"/>
      <c r="F275" s="279">
        <f t="shared" si="37"/>
        <v>0</v>
      </c>
      <c r="G275" s="134"/>
      <c r="H275" s="135"/>
      <c r="I275" s="136">
        <f t="shared" si="38"/>
        <v>0</v>
      </c>
      <c r="J275" s="134"/>
      <c r="K275" s="135"/>
      <c r="L275" s="136">
        <f t="shared" si="39"/>
        <v>0</v>
      </c>
      <c r="M275" s="284"/>
      <c r="N275" s="285"/>
      <c r="O275" s="136">
        <f t="shared" si="40"/>
        <v>0</v>
      </c>
      <c r="P275" s="85"/>
      <c r="R275" s="53"/>
      <c r="S275" s="53"/>
      <c r="T275" s="53"/>
    </row>
    <row r="276" spans="1:20" s="358" customFormat="1" ht="36" hidden="1" x14ac:dyDescent="0.25">
      <c r="A276" s="76">
        <v>7222</v>
      </c>
      <c r="B276" s="127" t="s">
        <v>292</v>
      </c>
      <c r="C276" s="279">
        <f t="shared" si="50"/>
        <v>0</v>
      </c>
      <c r="D276" s="474"/>
      <c r="E276" s="474"/>
      <c r="F276" s="279">
        <f t="shared" si="37"/>
        <v>0</v>
      </c>
      <c r="G276" s="134"/>
      <c r="H276" s="135"/>
      <c r="I276" s="136">
        <f t="shared" si="38"/>
        <v>0</v>
      </c>
      <c r="J276" s="134"/>
      <c r="K276" s="135"/>
      <c r="L276" s="136">
        <f t="shared" si="39"/>
        <v>0</v>
      </c>
      <c r="M276" s="284"/>
      <c r="N276" s="285"/>
      <c r="O276" s="136">
        <f t="shared" si="40"/>
        <v>0</v>
      </c>
      <c r="P276" s="85"/>
      <c r="R276" s="53"/>
      <c r="S276" s="53"/>
      <c r="T276" s="53"/>
    </row>
    <row r="277" spans="1:20" s="358" customFormat="1" ht="24" hidden="1" x14ac:dyDescent="0.25">
      <c r="A277" s="276">
        <v>7230</v>
      </c>
      <c r="B277" s="127" t="s">
        <v>293</v>
      </c>
      <c r="C277" s="279">
        <f t="shared" si="50"/>
        <v>0</v>
      </c>
      <c r="D277" s="474"/>
      <c r="E277" s="474"/>
      <c r="F277" s="279">
        <f t="shared" si="37"/>
        <v>0</v>
      </c>
      <c r="G277" s="134"/>
      <c r="H277" s="135"/>
      <c r="I277" s="136">
        <f t="shared" si="38"/>
        <v>0</v>
      </c>
      <c r="J277" s="134"/>
      <c r="K277" s="135"/>
      <c r="L277" s="136">
        <f t="shared" si="39"/>
        <v>0</v>
      </c>
      <c r="M277" s="284"/>
      <c r="N277" s="285"/>
      <c r="O277" s="136">
        <f>M277+N277</f>
        <v>0</v>
      </c>
      <c r="P277" s="85"/>
      <c r="R277" s="53"/>
      <c r="S277" s="53"/>
      <c r="T277" s="53"/>
    </row>
    <row r="278" spans="1:20" ht="24" hidden="1" x14ac:dyDescent="0.25">
      <c r="A278" s="276">
        <v>7240</v>
      </c>
      <c r="B278" s="127" t="s">
        <v>294</v>
      </c>
      <c r="C278" s="279">
        <f t="shared" si="50"/>
        <v>0</v>
      </c>
      <c r="D278" s="279">
        <f>SUM(D279:D280)</f>
        <v>0</v>
      </c>
      <c r="E278" s="279">
        <f>SUM(E279:E280)</f>
        <v>0</v>
      </c>
      <c r="F278" s="279">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c r="R278" s="53"/>
      <c r="S278" s="53"/>
      <c r="T278" s="53"/>
    </row>
    <row r="279" spans="1:20" ht="48" hidden="1" x14ac:dyDescent="0.25">
      <c r="A279" s="76">
        <v>7245</v>
      </c>
      <c r="B279" s="127" t="s">
        <v>295</v>
      </c>
      <c r="C279" s="279">
        <f t="shared" si="50"/>
        <v>0</v>
      </c>
      <c r="D279" s="474"/>
      <c r="E279" s="474"/>
      <c r="F279" s="279">
        <f t="shared" si="37"/>
        <v>0</v>
      </c>
      <c r="G279" s="134"/>
      <c r="H279" s="135"/>
      <c r="I279" s="136">
        <f t="shared" si="38"/>
        <v>0</v>
      </c>
      <c r="J279" s="134"/>
      <c r="K279" s="135"/>
      <c r="L279" s="136">
        <f t="shared" si="39"/>
        <v>0</v>
      </c>
      <c r="M279" s="284"/>
      <c r="N279" s="285"/>
      <c r="O279" s="136">
        <f t="shared" ref="O279:O282" si="57">M279+N279</f>
        <v>0</v>
      </c>
      <c r="P279" s="85"/>
      <c r="R279" s="53"/>
      <c r="S279" s="53"/>
      <c r="T279" s="53"/>
    </row>
    <row r="280" spans="1:20" ht="96" hidden="1" x14ac:dyDescent="0.25">
      <c r="A280" s="76">
        <v>7246</v>
      </c>
      <c r="B280" s="127" t="s">
        <v>296</v>
      </c>
      <c r="C280" s="279">
        <f t="shared" si="50"/>
        <v>0</v>
      </c>
      <c r="D280" s="474"/>
      <c r="E280" s="474"/>
      <c r="F280" s="279">
        <f t="shared" si="37"/>
        <v>0</v>
      </c>
      <c r="G280" s="134"/>
      <c r="H280" s="135"/>
      <c r="I280" s="136">
        <f t="shared" si="38"/>
        <v>0</v>
      </c>
      <c r="J280" s="134"/>
      <c r="K280" s="135"/>
      <c r="L280" s="136">
        <f t="shared" si="39"/>
        <v>0</v>
      </c>
      <c r="M280" s="284"/>
      <c r="N280" s="285"/>
      <c r="O280" s="136">
        <f t="shared" si="57"/>
        <v>0</v>
      </c>
      <c r="P280" s="85"/>
      <c r="R280" s="53"/>
      <c r="S280" s="53"/>
      <c r="T280" s="53"/>
    </row>
    <row r="281" spans="1:20" ht="24" hidden="1" x14ac:dyDescent="0.25">
      <c r="A281" s="276">
        <v>7260</v>
      </c>
      <c r="B281" s="127" t="s">
        <v>297</v>
      </c>
      <c r="C281" s="279">
        <f t="shared" si="50"/>
        <v>0</v>
      </c>
      <c r="D281" s="973"/>
      <c r="E281" s="973"/>
      <c r="F281" s="296">
        <f t="shared" si="37"/>
        <v>0</v>
      </c>
      <c r="G281" s="123"/>
      <c r="H281" s="124"/>
      <c r="I281" s="125">
        <f t="shared" si="38"/>
        <v>0</v>
      </c>
      <c r="J281" s="123"/>
      <c r="K281" s="124"/>
      <c r="L281" s="125">
        <f t="shared" si="39"/>
        <v>0</v>
      </c>
      <c r="M281" s="264"/>
      <c r="N281" s="262"/>
      <c r="O281" s="125">
        <f t="shared" si="57"/>
        <v>0</v>
      </c>
      <c r="P281" s="74"/>
      <c r="R281" s="53"/>
      <c r="S281" s="53"/>
      <c r="T281" s="53"/>
    </row>
    <row r="282" spans="1:20" hidden="1" x14ac:dyDescent="0.25">
      <c r="A282" s="99">
        <v>7700</v>
      </c>
      <c r="B282" s="247" t="s">
        <v>298</v>
      </c>
      <c r="C282" s="302">
        <f t="shared" si="50"/>
        <v>0</v>
      </c>
      <c r="D282" s="302">
        <f>D283</f>
        <v>0</v>
      </c>
      <c r="E282" s="302">
        <f>SUM(E283)</f>
        <v>0</v>
      </c>
      <c r="F282" s="302">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c r="R282" s="53"/>
      <c r="S282" s="53"/>
      <c r="T282" s="53"/>
    </row>
    <row r="283" spans="1:20" hidden="1" x14ac:dyDescent="0.25">
      <c r="A283" s="141">
        <v>7720</v>
      </c>
      <c r="B283" s="142" t="s">
        <v>299</v>
      </c>
      <c r="C283" s="362">
        <f t="shared" si="50"/>
        <v>0</v>
      </c>
      <c r="D283" s="976"/>
      <c r="E283" s="976"/>
      <c r="F283" s="362">
        <f t="shared" si="37"/>
        <v>0</v>
      </c>
      <c r="G283" s="149"/>
      <c r="H283" s="150"/>
      <c r="I283" s="151">
        <f t="shared" si="38"/>
        <v>0</v>
      </c>
      <c r="J283" s="149"/>
      <c r="K283" s="150"/>
      <c r="L283" s="151">
        <f t="shared" si="39"/>
        <v>0</v>
      </c>
      <c r="M283" s="365"/>
      <c r="N283" s="363"/>
      <c r="O283" s="151">
        <f>M283+N283</f>
        <v>0</v>
      </c>
      <c r="P283" s="153"/>
      <c r="R283" s="53"/>
      <c r="S283" s="53"/>
      <c r="T283" s="53"/>
    </row>
    <row r="284" spans="1:20" hidden="1" x14ac:dyDescent="0.25">
      <c r="A284" s="366"/>
      <c r="B284" s="179" t="s">
        <v>300</v>
      </c>
      <c r="C284" s="296">
        <f t="shared" si="50"/>
        <v>0</v>
      </c>
      <c r="D284" s="257">
        <f>SUM(D285:D286)</f>
        <v>0</v>
      </c>
      <c r="E284" s="257">
        <f>SUM(E285:E286)</f>
        <v>0</v>
      </c>
      <c r="F284" s="257">
        <f t="shared" si="37"/>
        <v>0</v>
      </c>
      <c r="G284" s="255">
        <f>SUM(G285:G286)</f>
        <v>0</v>
      </c>
      <c r="H284" s="258">
        <f>SUM(H285:H286)</f>
        <v>0</v>
      </c>
      <c r="I284" s="259">
        <f t="shared" si="38"/>
        <v>0</v>
      </c>
      <c r="J284" s="255">
        <f>SUM(J285:J286)</f>
        <v>0</v>
      </c>
      <c r="K284" s="258">
        <f>SUM(K285:K286)</f>
        <v>0</v>
      </c>
      <c r="L284" s="259">
        <f t="shared" si="39"/>
        <v>0</v>
      </c>
      <c r="M284" s="260">
        <f>SUM(M285:M286)</f>
        <v>0</v>
      </c>
      <c r="N284" s="261">
        <f>SUM(N285:N286)</f>
        <v>0</v>
      </c>
      <c r="O284" s="259">
        <f t="shared" ref="O284:O299" si="58">M284+N284</f>
        <v>0</v>
      </c>
      <c r="P284" s="189"/>
      <c r="R284" s="53"/>
      <c r="S284" s="53"/>
      <c r="T284" s="53"/>
    </row>
    <row r="285" spans="1:20" hidden="1" x14ac:dyDescent="0.25">
      <c r="A285" s="346" t="s">
        <v>301</v>
      </c>
      <c r="B285" s="76" t="s">
        <v>302</v>
      </c>
      <c r="C285" s="279">
        <f t="shared" si="50"/>
        <v>0</v>
      </c>
      <c r="D285" s="474"/>
      <c r="E285" s="474"/>
      <c r="F285" s="279">
        <f t="shared" si="37"/>
        <v>0</v>
      </c>
      <c r="G285" s="134"/>
      <c r="H285" s="135"/>
      <c r="I285" s="136">
        <f t="shared" si="38"/>
        <v>0</v>
      </c>
      <c r="J285" s="134"/>
      <c r="K285" s="135"/>
      <c r="L285" s="136">
        <f t="shared" si="39"/>
        <v>0</v>
      </c>
      <c r="M285" s="284"/>
      <c r="N285" s="285"/>
      <c r="O285" s="136">
        <f t="shared" si="58"/>
        <v>0</v>
      </c>
      <c r="P285" s="85"/>
      <c r="R285" s="53"/>
      <c r="S285" s="53"/>
      <c r="T285" s="53"/>
    </row>
    <row r="286" spans="1:20" ht="24" hidden="1" x14ac:dyDescent="0.25">
      <c r="A286" s="346" t="s">
        <v>303</v>
      </c>
      <c r="B286" s="367" t="s">
        <v>304</v>
      </c>
      <c r="C286" s="296">
        <f t="shared" si="50"/>
        <v>0</v>
      </c>
      <c r="D286" s="973"/>
      <c r="E286" s="973"/>
      <c r="F286" s="296">
        <f t="shared" si="37"/>
        <v>0</v>
      </c>
      <c r="G286" s="123"/>
      <c r="H286" s="124"/>
      <c r="I286" s="125">
        <f t="shared" si="38"/>
        <v>0</v>
      </c>
      <c r="J286" s="123"/>
      <c r="K286" s="124"/>
      <c r="L286" s="125">
        <f t="shared" si="39"/>
        <v>0</v>
      </c>
      <c r="M286" s="264"/>
      <c r="N286" s="262"/>
      <c r="O286" s="125">
        <f t="shared" si="58"/>
        <v>0</v>
      </c>
      <c r="P286" s="74"/>
      <c r="R286" s="53"/>
      <c r="S286" s="53"/>
      <c r="T286" s="53"/>
    </row>
    <row r="287" spans="1:20" x14ac:dyDescent="0.25">
      <c r="A287" s="368"/>
      <c r="B287" s="369" t="s">
        <v>305</v>
      </c>
      <c r="C287" s="373">
        <f>SUM(C284,C271,C233,C198,C190,C176,C78,C56)</f>
        <v>633256</v>
      </c>
      <c r="D287" s="373">
        <f>SUM(D284,D271,D233,D198,D190,D176,D78,D56)</f>
        <v>388787</v>
      </c>
      <c r="E287" s="373">
        <f>SUM(E284,E271,E233,E198,E190,E176,E78,E56)</f>
        <v>0</v>
      </c>
      <c r="F287" s="373">
        <f t="shared" si="37"/>
        <v>388787</v>
      </c>
      <c r="G287" s="371">
        <f>SUM(G284,G271,G233,G198,G190,G176,G78,G56)</f>
        <v>217176</v>
      </c>
      <c r="H287" s="374">
        <f>SUM(H284,H271,H233,H198,H190,H176,H78,H56)</f>
        <v>0</v>
      </c>
      <c r="I287" s="375">
        <f t="shared" si="38"/>
        <v>217176</v>
      </c>
      <c r="J287" s="371">
        <f>SUM(J284,J271,J233,J198,J190,J176,J78,J56)</f>
        <v>27293</v>
      </c>
      <c r="K287" s="374">
        <f>SUM(K284,K271,K233,K198,K190,K176,K78,K56)</f>
        <v>0</v>
      </c>
      <c r="L287" s="375">
        <f t="shared" si="39"/>
        <v>27293</v>
      </c>
      <c r="M287" s="250">
        <f>SUM(M284,M271,M233,M198,M190,M176,M78,M56)</f>
        <v>0</v>
      </c>
      <c r="N287" s="251">
        <f>SUM(N284,N271,N233,N198,N190,N176,N78,N56)</f>
        <v>0</v>
      </c>
      <c r="O287" s="252">
        <f t="shared" si="58"/>
        <v>0</v>
      </c>
      <c r="P287" s="253"/>
      <c r="R287" s="53"/>
      <c r="S287" s="53"/>
      <c r="T287" s="53"/>
    </row>
    <row r="288" spans="1:20" x14ac:dyDescent="0.25">
      <c r="A288" s="376" t="s">
        <v>306</v>
      </c>
      <c r="B288" s="377"/>
      <c r="C288" s="381">
        <f t="shared" ref="C288" si="59">F288+I288+L288+O288</f>
        <v>-10921</v>
      </c>
      <c r="D288" s="381">
        <f>SUM(D28,D29,D45)-D54</f>
        <v>0</v>
      </c>
      <c r="E288" s="381">
        <f>SUM(E28,E29,E45)-E54</f>
        <v>0</v>
      </c>
      <c r="F288" s="381">
        <f t="shared" si="37"/>
        <v>0</v>
      </c>
      <c r="G288" s="379">
        <f>SUM(G28,G29,G45)-G54</f>
        <v>0</v>
      </c>
      <c r="H288" s="382">
        <f>SUM(H28,H29,H45)-H54</f>
        <v>0</v>
      </c>
      <c r="I288" s="383">
        <f t="shared" si="38"/>
        <v>0</v>
      </c>
      <c r="J288" s="379">
        <f>(J30+J46)-J54</f>
        <v>-10921</v>
      </c>
      <c r="K288" s="382">
        <f>(K30+K46)-K54</f>
        <v>0</v>
      </c>
      <c r="L288" s="383">
        <f t="shared" si="39"/>
        <v>-10921</v>
      </c>
      <c r="M288" s="378">
        <f>M48-M54</f>
        <v>0</v>
      </c>
      <c r="N288" s="384">
        <f>N48-N54</f>
        <v>0</v>
      </c>
      <c r="O288" s="383">
        <f t="shared" si="58"/>
        <v>0</v>
      </c>
      <c r="P288" s="385"/>
      <c r="R288" s="53"/>
      <c r="S288" s="53"/>
      <c r="T288" s="53"/>
    </row>
    <row r="289" spans="1:20" s="41" customFormat="1" x14ac:dyDescent="0.25">
      <c r="A289" s="376" t="s">
        <v>307</v>
      </c>
      <c r="B289" s="377"/>
      <c r="C289" s="381">
        <f>SUM(C290,C291)-C298+C299</f>
        <v>10921</v>
      </c>
      <c r="D289" s="381">
        <f>SUM(D290,D291)-D298+D299</f>
        <v>0</v>
      </c>
      <c r="E289" s="381">
        <f>SUM(E290,E291)-E298+E299</f>
        <v>0</v>
      </c>
      <c r="F289" s="381">
        <f t="shared" si="37"/>
        <v>0</v>
      </c>
      <c r="G289" s="379">
        <f>SUM(G290,G291)-G298+G299</f>
        <v>0</v>
      </c>
      <c r="H289" s="382">
        <f>SUM(H290,H291)-H298+H299</f>
        <v>0</v>
      </c>
      <c r="I289" s="383">
        <f t="shared" si="38"/>
        <v>0</v>
      </c>
      <c r="J289" s="379">
        <f>SUM(J290,J291)-J298+J299</f>
        <v>10921</v>
      </c>
      <c r="K289" s="382">
        <f>SUM(K290,K291)-K298+K299</f>
        <v>0</v>
      </c>
      <c r="L289" s="383">
        <f t="shared" si="39"/>
        <v>10921</v>
      </c>
      <c r="M289" s="378">
        <f>SUM(M290,M291)-M298+M299</f>
        <v>0</v>
      </c>
      <c r="N289" s="384">
        <f>SUM(N290,N291)-N298+N299</f>
        <v>0</v>
      </c>
      <c r="O289" s="383">
        <f t="shared" si="58"/>
        <v>0</v>
      </c>
      <c r="P289" s="385"/>
      <c r="R289" s="53"/>
      <c r="S289" s="53"/>
      <c r="T289" s="53"/>
    </row>
    <row r="290" spans="1:20" s="41" customFormat="1" x14ac:dyDescent="0.25">
      <c r="A290" s="386" t="s">
        <v>308</v>
      </c>
      <c r="B290" s="386" t="s">
        <v>309</v>
      </c>
      <c r="C290" s="381">
        <f>C25-C284</f>
        <v>10921</v>
      </c>
      <c r="D290" s="381">
        <f>D25-D284</f>
        <v>0</v>
      </c>
      <c r="E290" s="381">
        <f>E25-E284</f>
        <v>0</v>
      </c>
      <c r="F290" s="381">
        <f t="shared" si="37"/>
        <v>0</v>
      </c>
      <c r="G290" s="379">
        <f>G25-G284</f>
        <v>0</v>
      </c>
      <c r="H290" s="382">
        <f>H25-H284</f>
        <v>0</v>
      </c>
      <c r="I290" s="383">
        <f t="shared" si="38"/>
        <v>0</v>
      </c>
      <c r="J290" s="379">
        <f>J25-J284</f>
        <v>10921</v>
      </c>
      <c r="K290" s="382">
        <f>K25-K284</f>
        <v>0</v>
      </c>
      <c r="L290" s="383">
        <f t="shared" si="39"/>
        <v>10921</v>
      </c>
      <c r="M290" s="378">
        <f>M25-M284</f>
        <v>0</v>
      </c>
      <c r="N290" s="384">
        <f>N25-N284</f>
        <v>0</v>
      </c>
      <c r="O290" s="383">
        <f t="shared" si="58"/>
        <v>0</v>
      </c>
      <c r="P290" s="385"/>
      <c r="R290" s="53"/>
      <c r="S290" s="53"/>
      <c r="T290" s="53"/>
    </row>
    <row r="291" spans="1:20" s="41" customFormat="1" hidden="1" x14ac:dyDescent="0.25">
      <c r="A291" s="387" t="s">
        <v>310</v>
      </c>
      <c r="B291" s="387" t="s">
        <v>311</v>
      </c>
      <c r="C291" s="381">
        <f>SUM(C292,C294,C296)-SUM(C293,C295,C297)</f>
        <v>0</v>
      </c>
      <c r="D291" s="381">
        <f t="shared" ref="D291:E291" si="60">SUM(D292,D294,D296)-SUM(D293,D295,D297)</f>
        <v>0</v>
      </c>
      <c r="E291" s="381">
        <f t="shared" si="60"/>
        <v>0</v>
      </c>
      <c r="F291" s="381">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c r="R291" s="53"/>
      <c r="S291" s="53"/>
      <c r="T291" s="53"/>
    </row>
    <row r="292" spans="1:20" s="41" customFormat="1" hidden="1" x14ac:dyDescent="0.25">
      <c r="A292" s="366" t="s">
        <v>312</v>
      </c>
      <c r="B292" s="190" t="s">
        <v>313</v>
      </c>
      <c r="C292" s="362">
        <f t="shared" ref="C292:C299" si="64">F292+I292+L292+O292</f>
        <v>0</v>
      </c>
      <c r="D292" s="976"/>
      <c r="E292" s="976"/>
      <c r="F292" s="362">
        <f t="shared" si="37"/>
        <v>0</v>
      </c>
      <c r="G292" s="149"/>
      <c r="H292" s="150"/>
      <c r="I292" s="151">
        <f t="shared" si="38"/>
        <v>0</v>
      </c>
      <c r="J292" s="149"/>
      <c r="K292" s="150"/>
      <c r="L292" s="151">
        <f t="shared" si="39"/>
        <v>0</v>
      </c>
      <c r="M292" s="365"/>
      <c r="N292" s="363"/>
      <c r="O292" s="151">
        <f t="shared" si="58"/>
        <v>0</v>
      </c>
      <c r="P292" s="153"/>
      <c r="R292" s="53"/>
      <c r="S292" s="53"/>
      <c r="T292" s="53"/>
    </row>
    <row r="293" spans="1:20" ht="24" hidden="1" x14ac:dyDescent="0.25">
      <c r="A293" s="346" t="s">
        <v>314</v>
      </c>
      <c r="B293" s="75" t="s">
        <v>315</v>
      </c>
      <c r="C293" s="279">
        <f t="shared" si="64"/>
        <v>0</v>
      </c>
      <c r="D293" s="474"/>
      <c r="E293" s="474"/>
      <c r="F293" s="279">
        <f t="shared" si="37"/>
        <v>0</v>
      </c>
      <c r="G293" s="134"/>
      <c r="H293" s="135"/>
      <c r="I293" s="136">
        <f t="shared" si="38"/>
        <v>0</v>
      </c>
      <c r="J293" s="134"/>
      <c r="K293" s="135"/>
      <c r="L293" s="136">
        <f t="shared" si="39"/>
        <v>0</v>
      </c>
      <c r="M293" s="284"/>
      <c r="N293" s="285"/>
      <c r="O293" s="136">
        <f t="shared" si="58"/>
        <v>0</v>
      </c>
      <c r="P293" s="85"/>
      <c r="R293" s="53"/>
      <c r="S293" s="53"/>
      <c r="T293" s="53"/>
    </row>
    <row r="294" spans="1:20" hidden="1" x14ac:dyDescent="0.25">
      <c r="A294" s="346" t="s">
        <v>316</v>
      </c>
      <c r="B294" s="75" t="s">
        <v>317</v>
      </c>
      <c r="C294" s="279">
        <f t="shared" si="64"/>
        <v>0</v>
      </c>
      <c r="D294" s="474"/>
      <c r="E294" s="474"/>
      <c r="F294" s="279">
        <f t="shared" si="37"/>
        <v>0</v>
      </c>
      <c r="G294" s="134"/>
      <c r="H294" s="135"/>
      <c r="I294" s="136">
        <f t="shared" si="38"/>
        <v>0</v>
      </c>
      <c r="J294" s="134"/>
      <c r="K294" s="135"/>
      <c r="L294" s="136">
        <f t="shared" si="39"/>
        <v>0</v>
      </c>
      <c r="M294" s="284"/>
      <c r="N294" s="285"/>
      <c r="O294" s="136">
        <f t="shared" si="58"/>
        <v>0</v>
      </c>
      <c r="P294" s="85"/>
      <c r="R294" s="53"/>
      <c r="S294" s="53"/>
      <c r="T294" s="53"/>
    </row>
    <row r="295" spans="1:20" ht="24" hidden="1" x14ac:dyDescent="0.25">
      <c r="A295" s="346" t="s">
        <v>318</v>
      </c>
      <c r="B295" s="75" t="s">
        <v>319</v>
      </c>
      <c r="C295" s="279">
        <f t="shared" si="64"/>
        <v>0</v>
      </c>
      <c r="D295" s="474"/>
      <c r="E295" s="474"/>
      <c r="F295" s="279">
        <f t="shared" si="37"/>
        <v>0</v>
      </c>
      <c r="G295" s="134"/>
      <c r="H295" s="135"/>
      <c r="I295" s="136">
        <f t="shared" si="38"/>
        <v>0</v>
      </c>
      <c r="J295" s="134"/>
      <c r="K295" s="135"/>
      <c r="L295" s="136">
        <f t="shared" si="39"/>
        <v>0</v>
      </c>
      <c r="M295" s="284"/>
      <c r="N295" s="285"/>
      <c r="O295" s="136">
        <f t="shared" si="58"/>
        <v>0</v>
      </c>
      <c r="P295" s="85"/>
      <c r="R295" s="53"/>
      <c r="S295" s="53"/>
      <c r="T295" s="53"/>
    </row>
    <row r="296" spans="1:20" hidden="1" x14ac:dyDescent="0.25">
      <c r="A296" s="346" t="s">
        <v>320</v>
      </c>
      <c r="B296" s="75" t="s">
        <v>321</v>
      </c>
      <c r="C296" s="279">
        <f t="shared" si="64"/>
        <v>0</v>
      </c>
      <c r="D296" s="474"/>
      <c r="E296" s="474"/>
      <c r="F296" s="279">
        <f t="shared" si="37"/>
        <v>0</v>
      </c>
      <c r="G296" s="134"/>
      <c r="H296" s="135"/>
      <c r="I296" s="136">
        <f t="shared" si="38"/>
        <v>0</v>
      </c>
      <c r="J296" s="134"/>
      <c r="K296" s="135"/>
      <c r="L296" s="136">
        <f t="shared" si="39"/>
        <v>0</v>
      </c>
      <c r="M296" s="284"/>
      <c r="N296" s="285"/>
      <c r="O296" s="136">
        <f t="shared" si="58"/>
        <v>0</v>
      </c>
      <c r="P296" s="85"/>
      <c r="R296" s="53"/>
      <c r="S296" s="53"/>
      <c r="T296" s="53"/>
    </row>
    <row r="297" spans="1:20" ht="24" hidden="1" x14ac:dyDescent="0.25">
      <c r="A297" s="389" t="s">
        <v>322</v>
      </c>
      <c r="B297" s="390" t="s">
        <v>323</v>
      </c>
      <c r="C297" s="647">
        <f t="shared" si="64"/>
        <v>0</v>
      </c>
      <c r="D297" s="975"/>
      <c r="E297" s="975"/>
      <c r="F297" s="647">
        <f t="shared" si="37"/>
        <v>0</v>
      </c>
      <c r="G297" s="328"/>
      <c r="H297" s="331"/>
      <c r="I297" s="324">
        <f t="shared" si="38"/>
        <v>0</v>
      </c>
      <c r="J297" s="328"/>
      <c r="K297" s="331"/>
      <c r="L297" s="324">
        <f t="shared" si="39"/>
        <v>0</v>
      </c>
      <c r="M297" s="332"/>
      <c r="N297" s="329"/>
      <c r="O297" s="324">
        <f t="shared" si="58"/>
        <v>0</v>
      </c>
      <c r="P297" s="325"/>
      <c r="R297" s="53"/>
      <c r="S297" s="53"/>
      <c r="T297" s="53"/>
    </row>
    <row r="298" spans="1:20" hidden="1" x14ac:dyDescent="0.25">
      <c r="A298" s="387" t="s">
        <v>324</v>
      </c>
      <c r="B298" s="387" t="s">
        <v>325</v>
      </c>
      <c r="C298" s="381">
        <f t="shared" si="64"/>
        <v>0</v>
      </c>
      <c r="D298" s="977"/>
      <c r="E298" s="977"/>
      <c r="F298" s="381">
        <f t="shared" si="37"/>
        <v>0</v>
      </c>
      <c r="G298" s="392"/>
      <c r="H298" s="394"/>
      <c r="I298" s="383">
        <f t="shared" si="38"/>
        <v>0</v>
      </c>
      <c r="J298" s="392"/>
      <c r="K298" s="394"/>
      <c r="L298" s="383">
        <f t="shared" si="39"/>
        <v>0</v>
      </c>
      <c r="M298" s="395"/>
      <c r="N298" s="393"/>
      <c r="O298" s="383">
        <f t="shared" si="58"/>
        <v>0</v>
      </c>
      <c r="P298" s="385"/>
      <c r="R298" s="53"/>
      <c r="S298" s="53"/>
      <c r="T298" s="53"/>
    </row>
    <row r="299" spans="1:20" s="41" customFormat="1" ht="48" hidden="1" x14ac:dyDescent="0.25">
      <c r="A299" s="387" t="s">
        <v>326</v>
      </c>
      <c r="B299" s="396" t="s">
        <v>327</v>
      </c>
      <c r="C299" s="651">
        <f t="shared" si="64"/>
        <v>0</v>
      </c>
      <c r="D299" s="978"/>
      <c r="E299" s="978"/>
      <c r="F299" s="651">
        <f t="shared" si="37"/>
        <v>0</v>
      </c>
      <c r="G299" s="392"/>
      <c r="H299" s="394"/>
      <c r="I299" s="383">
        <f t="shared" si="38"/>
        <v>0</v>
      </c>
      <c r="J299" s="392"/>
      <c r="K299" s="394"/>
      <c r="L299" s="383">
        <f t="shared" si="39"/>
        <v>0</v>
      </c>
      <c r="M299" s="395"/>
      <c r="N299" s="393"/>
      <c r="O299" s="383">
        <f t="shared" si="58"/>
        <v>0</v>
      </c>
      <c r="P299" s="385"/>
      <c r="R299" s="53"/>
      <c r="S299" s="53"/>
      <c r="T299" s="53"/>
    </row>
    <row r="300" spans="1:20"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20" ht="12.75" thickBot="1" x14ac:dyDescent="0.3">
      <c r="A301" s="404"/>
      <c r="B301" s="405"/>
      <c r="C301" s="405"/>
      <c r="D301" s="405"/>
      <c r="E301" s="405"/>
      <c r="F301" s="405"/>
      <c r="G301" s="405"/>
      <c r="H301" s="405"/>
      <c r="I301" s="405"/>
      <c r="J301" s="405"/>
      <c r="K301" s="405"/>
      <c r="L301" s="405"/>
      <c r="M301" s="405"/>
      <c r="N301" s="405"/>
      <c r="O301" s="405"/>
      <c r="P301" s="406"/>
      <c r="Q301" s="7"/>
    </row>
    <row r="302" spans="1:20" x14ac:dyDescent="0.25">
      <c r="A302" s="5"/>
      <c r="B302" s="5"/>
      <c r="C302" s="5"/>
      <c r="D302" s="5"/>
      <c r="E302" s="5"/>
      <c r="F302" s="5"/>
      <c r="G302" s="5"/>
      <c r="H302" s="5"/>
      <c r="I302" s="5"/>
      <c r="J302" s="5"/>
      <c r="K302" s="5"/>
      <c r="L302" s="5"/>
      <c r="M302" s="5"/>
      <c r="N302" s="5"/>
      <c r="O302" s="5"/>
    </row>
    <row r="303" spans="1:20" x14ac:dyDescent="0.25">
      <c r="A303" s="5"/>
      <c r="B303" s="5"/>
      <c r="C303" s="5"/>
      <c r="D303" s="5"/>
      <c r="E303" s="5"/>
      <c r="F303" s="5"/>
      <c r="G303" s="5"/>
      <c r="H303" s="5"/>
      <c r="I303" s="5"/>
      <c r="J303" s="5"/>
      <c r="K303" s="5"/>
      <c r="L303" s="5"/>
      <c r="M303" s="5"/>
      <c r="N303" s="5"/>
      <c r="O303" s="5"/>
    </row>
    <row r="304" spans="1:20"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pLiaSL69NR9VGrSkMMOs+ZyU9lGu7Pls1JLEDB/a42w0EqhO72fL5F2DiLnOcXMrtHa0vbYbDV0+hiy/Zu2gEQ==" saltValue="iQnl887paDmSpyYelHHbzA==" spinCount="100000" sheet="1" objects="1" scenarios="1" formatCells="0" formatColumns="0" formatRows="0"/>
  <autoFilter ref="A22:P300">
    <filterColumn colId="2">
      <filters blank="1">
        <filter val="1 100"/>
        <filter val="1 613"/>
        <filter val="1 700"/>
        <filter val="1 800"/>
        <filter val="10 245"/>
        <filter val="10 921"/>
        <filter val="-10 921"/>
        <filter val="105 323"/>
        <filter val="11 010"/>
        <filter val="112 059"/>
        <filter val="115 893"/>
        <filter val="13 153"/>
        <filter val="14 456"/>
        <filter val="141 281"/>
        <filter val="15 785"/>
        <filter val="16 320"/>
        <filter val="16 372"/>
        <filter val="19 810"/>
        <filter val="2 000"/>
        <filter val="2 016"/>
        <filter val="2 177"/>
        <filter val="2 310"/>
        <filter val="2 470"/>
        <filter val="2 480"/>
        <filter val="2 612"/>
        <filter val="2 639"/>
        <filter val="20 320"/>
        <filter val="225"/>
        <filter val="24"/>
        <filter val="24 783"/>
        <filter val="25 131"/>
        <filter val="257"/>
        <filter val="27 889"/>
        <filter val="286"/>
        <filter val="292"/>
        <filter val="3 748"/>
        <filter val="330 007"/>
        <filter val="350"/>
        <filter val="359 596"/>
        <filter val="394"/>
        <filter val="4 356"/>
        <filter val="4 571"/>
        <filter val="429"/>
        <filter val="45"/>
        <filter val="471 655"/>
        <filter val="5 000"/>
        <filter val="5 494"/>
        <filter val="5 882"/>
        <filter val="510"/>
        <filter val="52"/>
        <filter val="564"/>
        <filter val="605 963"/>
        <filter val="612 936"/>
        <filter val="633 256"/>
        <filter val="7 427"/>
        <filter val="7 981"/>
        <filter val="70"/>
        <filter val="700"/>
        <filter val="709"/>
        <filter val="770"/>
        <filter val="8 425"/>
        <filter val="80 343"/>
        <filter val="800"/>
        <filter val="82"/>
        <filter val="87 276"/>
        <filter val="9 765"/>
        <filter val="922"/>
        <filter val="925"/>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87.pielikums Jūrmalas pilsētas domes
2017.gada 30.janvāra saistošajiem noteikumiem Nr.10
(Protokols Nr.4, 1.punkts)
 </firstHeader>
    <firstFooter>&amp;L&amp;9&amp;D; &amp;T&amp;R&amp;9&amp;P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1"/>
  <sheetViews>
    <sheetView view="pageLayout" zoomScaleNormal="100" workbookViewId="0">
      <selection activeCell="T10" sqref="T10"/>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329</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7"/>
    </row>
    <row r="4" spans="1:17" ht="15.75"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330</v>
      </c>
      <c r="D6" s="1555"/>
      <c r="E6" s="1555"/>
      <c r="F6" s="1555"/>
      <c r="G6" s="1555"/>
      <c r="H6" s="1555"/>
      <c r="I6" s="1555"/>
      <c r="J6" s="1555"/>
      <c r="K6" s="1555"/>
      <c r="L6" s="1555"/>
      <c r="M6" s="1555"/>
      <c r="N6" s="1555"/>
      <c r="O6" s="1555"/>
      <c r="P6" s="1556"/>
      <c r="Q6" s="7"/>
    </row>
    <row r="7" spans="1:17" ht="12.75" x14ac:dyDescent="0.25">
      <c r="A7" s="13" t="s">
        <v>4</v>
      </c>
      <c r="B7" s="14"/>
      <c r="C7" s="1555" t="s">
        <v>331</v>
      </c>
      <c r="D7" s="1555"/>
      <c r="E7" s="1555"/>
      <c r="F7" s="1555"/>
      <c r="G7" s="1555"/>
      <c r="H7" s="1555"/>
      <c r="I7" s="1555"/>
      <c r="J7" s="1555"/>
      <c r="K7" s="1555"/>
      <c r="L7" s="1555"/>
      <c r="M7" s="1555"/>
      <c r="N7" s="1555"/>
      <c r="O7" s="1555"/>
      <c r="P7" s="1556"/>
      <c r="Q7" s="7"/>
    </row>
    <row r="8" spans="1:17" x14ac:dyDescent="0.25">
      <c r="A8" s="8" t="s">
        <v>6</v>
      </c>
      <c r="B8" s="9"/>
      <c r="C8" s="1553" t="s">
        <v>332</v>
      </c>
      <c r="D8" s="1553"/>
      <c r="E8" s="1553"/>
      <c r="F8" s="1553"/>
      <c r="G8" s="1553"/>
      <c r="H8" s="1553"/>
      <c r="I8" s="1553"/>
      <c r="J8" s="1553"/>
      <c r="K8" s="1553"/>
      <c r="L8" s="1553"/>
      <c r="M8" s="1553"/>
      <c r="N8" s="1553"/>
      <c r="O8" s="1553"/>
      <c r="P8" s="1554"/>
      <c r="Q8" s="7"/>
    </row>
    <row r="9" spans="1:17" x14ac:dyDescent="0.25">
      <c r="A9" s="8" t="s">
        <v>8</v>
      </c>
      <c r="B9" s="9"/>
      <c r="C9" s="1553" t="s">
        <v>333</v>
      </c>
      <c r="D9" s="1553"/>
      <c r="E9" s="1553"/>
      <c r="F9" s="1553"/>
      <c r="G9" s="1553"/>
      <c r="H9" s="1553"/>
      <c r="I9" s="1553"/>
      <c r="J9" s="1553"/>
      <c r="K9" s="1553"/>
      <c r="L9" s="1553"/>
      <c r="M9" s="1553"/>
      <c r="N9" s="1553"/>
      <c r="O9" s="1553"/>
      <c r="P9" s="1554"/>
      <c r="Q9" s="7"/>
    </row>
    <row r="10" spans="1:17" ht="24" customHeight="1" x14ac:dyDescent="0.25">
      <c r="A10" s="8" t="s">
        <v>10</v>
      </c>
      <c r="B10" s="9"/>
      <c r="C10" s="1555" t="s">
        <v>334</v>
      </c>
      <c r="D10" s="1555"/>
      <c r="E10" s="1555"/>
      <c r="F10" s="1555"/>
      <c r="G10" s="1555"/>
      <c r="H10" s="1555"/>
      <c r="I10" s="1555"/>
      <c r="J10" s="1555"/>
      <c r="K10" s="1555"/>
      <c r="L10" s="1555"/>
      <c r="M10" s="1555"/>
      <c r="N10" s="1555"/>
      <c r="O10" s="1555"/>
      <c r="P10" s="1556"/>
      <c r="Q10" s="7"/>
    </row>
    <row r="11" spans="1:17" x14ac:dyDescent="0.25">
      <c r="A11" s="8" t="s">
        <v>12</v>
      </c>
      <c r="B11" s="9"/>
      <c r="C11" s="1555" t="s">
        <v>335</v>
      </c>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336</v>
      </c>
      <c r="D13" s="1553"/>
      <c r="E13" s="1553"/>
      <c r="F13" s="1553"/>
      <c r="G13" s="1553"/>
      <c r="H13" s="1553"/>
      <c r="I13" s="1553"/>
      <c r="J13" s="1553"/>
      <c r="K13" s="1553"/>
      <c r="L13" s="1553"/>
      <c r="M13" s="1553"/>
      <c r="N13" s="1553"/>
      <c r="O13" s="1553"/>
      <c r="P13" s="1554"/>
      <c r="Q13" s="7"/>
    </row>
    <row r="14" spans="1:17" x14ac:dyDescent="0.25">
      <c r="A14" s="8"/>
      <c r="B14" s="9" t="s">
        <v>17</v>
      </c>
      <c r="C14" s="1553" t="s">
        <v>337</v>
      </c>
      <c r="D14" s="1553"/>
      <c r="E14" s="1553"/>
      <c r="F14" s="1553"/>
      <c r="G14" s="1553"/>
      <c r="H14" s="1553"/>
      <c r="I14" s="1553"/>
      <c r="J14" s="1553"/>
      <c r="K14" s="1553"/>
      <c r="L14" s="1553"/>
      <c r="M14" s="1553"/>
      <c r="N14" s="1553"/>
      <c r="O14" s="1553"/>
      <c r="P14" s="1554"/>
      <c r="Q14" s="7"/>
    </row>
    <row r="15" spans="1:17" x14ac:dyDescent="0.25">
      <c r="A15" s="8"/>
      <c r="B15" s="9" t="s">
        <v>19</v>
      </c>
      <c r="C15" s="1553"/>
      <c r="D15" s="1553"/>
      <c r="E15" s="1553"/>
      <c r="F15" s="1553"/>
      <c r="G15" s="1553"/>
      <c r="H15" s="1553"/>
      <c r="I15" s="1553"/>
      <c r="J15" s="1553"/>
      <c r="K15" s="1553"/>
      <c r="L15" s="1553"/>
      <c r="M15" s="1553"/>
      <c r="N15" s="1553"/>
      <c r="O15" s="1553"/>
      <c r="P15" s="1554"/>
      <c r="Q15" s="7"/>
    </row>
    <row r="16" spans="1:17" x14ac:dyDescent="0.25">
      <c r="A16" s="8"/>
      <c r="B16" s="9" t="s">
        <v>20</v>
      </c>
      <c r="C16" s="1553" t="s">
        <v>338</v>
      </c>
      <c r="D16" s="1553"/>
      <c r="E16" s="1553"/>
      <c r="F16" s="1553"/>
      <c r="G16" s="1553"/>
      <c r="H16" s="1553"/>
      <c r="I16" s="1553"/>
      <c r="J16" s="1553"/>
      <c r="K16" s="1553"/>
      <c r="L16" s="1553"/>
      <c r="M16" s="1553"/>
      <c r="N16" s="1553"/>
      <c r="O16" s="1553"/>
      <c r="P16" s="1554"/>
      <c r="Q16" s="7"/>
    </row>
    <row r="17" spans="1:20" x14ac:dyDescent="0.25">
      <c r="A17" s="8"/>
      <c r="B17" s="9" t="s">
        <v>22</v>
      </c>
      <c r="C17" s="1553" t="s">
        <v>339</v>
      </c>
      <c r="D17" s="1553"/>
      <c r="E17" s="1553"/>
      <c r="F17" s="1553"/>
      <c r="G17" s="1553"/>
      <c r="H17" s="1553"/>
      <c r="I17" s="1553"/>
      <c r="J17" s="1553"/>
      <c r="K17" s="1553"/>
      <c r="L17" s="1553"/>
      <c r="M17" s="1553"/>
      <c r="N17" s="1553"/>
      <c r="O17" s="1553"/>
      <c r="P17" s="1554"/>
      <c r="Q17" s="7"/>
    </row>
    <row r="18" spans="1:20" x14ac:dyDescent="0.25">
      <c r="A18" s="18"/>
      <c r="B18" s="19"/>
      <c r="C18" s="1569"/>
      <c r="D18" s="1569"/>
      <c r="E18" s="1569"/>
      <c r="F18" s="1569"/>
      <c r="G18" s="1569"/>
      <c r="H18" s="1569"/>
      <c r="I18" s="1569"/>
      <c r="J18" s="1569"/>
      <c r="K18" s="1569"/>
      <c r="L18" s="1569"/>
      <c r="M18" s="1569"/>
      <c r="N18" s="1569"/>
      <c r="O18" s="1569"/>
      <c r="P18" s="1570"/>
      <c r="Q18" s="7"/>
    </row>
    <row r="19" spans="1:20"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0"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20" s="21" customFormat="1" ht="55.5" customHeight="1" thickBot="1" x14ac:dyDescent="0.3">
      <c r="A21" s="1573"/>
      <c r="B21" s="1576"/>
      <c r="C21" s="1581"/>
      <c r="D21" s="1566"/>
      <c r="E21" s="1568"/>
      <c r="F21" s="1564"/>
      <c r="G21" s="1566"/>
      <c r="H21" s="1568"/>
      <c r="I21" s="1564"/>
      <c r="J21" s="1566"/>
      <c r="K21" s="1568"/>
      <c r="L21" s="1564"/>
      <c r="M21" s="1566"/>
      <c r="N21" s="1568"/>
      <c r="O21" s="1564"/>
      <c r="P21" s="1576"/>
    </row>
    <row r="22" spans="1:20"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0" s="41" customFormat="1" x14ac:dyDescent="0.25">
      <c r="A23" s="30"/>
      <c r="B23" s="31" t="s">
        <v>41</v>
      </c>
      <c r="C23" s="32"/>
      <c r="D23" s="33"/>
      <c r="E23" s="34"/>
      <c r="F23" s="35"/>
      <c r="G23" s="33"/>
      <c r="H23" s="36"/>
      <c r="I23" s="37"/>
      <c r="J23" s="33"/>
      <c r="K23" s="38"/>
      <c r="L23" s="37"/>
      <c r="M23" s="38"/>
      <c r="N23" s="39"/>
      <c r="O23" s="37"/>
      <c r="P23" s="40"/>
    </row>
    <row r="24" spans="1:20" s="41" customFormat="1" ht="12.75" thickBot="1" x14ac:dyDescent="0.3">
      <c r="A24" s="42"/>
      <c r="B24" s="43" t="s">
        <v>42</v>
      </c>
      <c r="C24" s="44">
        <f>F24+I24+L24+O24</f>
        <v>925048</v>
      </c>
      <c r="D24" s="45">
        <f>SUM(D25,D28,D29,D45,D46)</f>
        <v>422784</v>
      </c>
      <c r="E24" s="46">
        <f>SUM(E25,E28,E29,E45,E46)</f>
        <v>0</v>
      </c>
      <c r="F24" s="47">
        <f t="shared" ref="F24:F29" si="0">D24+E24</f>
        <v>422784</v>
      </c>
      <c r="G24" s="45">
        <f>SUM(G25,G28,G46)</f>
        <v>488481</v>
      </c>
      <c r="H24" s="48">
        <f>SUM(H25,H28,H46)</f>
        <v>0</v>
      </c>
      <c r="I24" s="49">
        <f>G24+H24</f>
        <v>488481</v>
      </c>
      <c r="J24" s="45">
        <f>SUM(J25,J30,J46)</f>
        <v>13783</v>
      </c>
      <c r="K24" s="48">
        <f>SUM(K25,K30,K46)</f>
        <v>0</v>
      </c>
      <c r="L24" s="49">
        <f>J24+K24</f>
        <v>13783</v>
      </c>
      <c r="M24" s="50">
        <f>SUM(M25,M48)</f>
        <v>0</v>
      </c>
      <c r="N24" s="51">
        <f>SUM(N25,N48)</f>
        <v>0</v>
      </c>
      <c r="O24" s="49">
        <f>M24+N24</f>
        <v>0</v>
      </c>
      <c r="P24" s="52"/>
      <c r="R24" s="53"/>
      <c r="S24" s="53"/>
      <c r="T24" s="53"/>
    </row>
    <row r="25" spans="1:20" ht="12.75" thickTop="1" x14ac:dyDescent="0.25">
      <c r="A25" s="54"/>
      <c r="B25" s="55" t="s">
        <v>43</v>
      </c>
      <c r="C25" s="56">
        <f>F25+I25+L25+O25</f>
        <v>2705</v>
      </c>
      <c r="D25" s="57">
        <f>SUM(D26:D27)</f>
        <v>0</v>
      </c>
      <c r="E25" s="58">
        <f>SUM(E26:E27)</f>
        <v>0</v>
      </c>
      <c r="F25" s="59">
        <f t="shared" si="0"/>
        <v>0</v>
      </c>
      <c r="G25" s="57">
        <f>SUM(G26:G27)</f>
        <v>0</v>
      </c>
      <c r="H25" s="60">
        <f>SUM(H26:H27)</f>
        <v>0</v>
      </c>
      <c r="I25" s="61">
        <f>G25+H25</f>
        <v>0</v>
      </c>
      <c r="J25" s="57">
        <f>SUM(J26:J27)</f>
        <v>2705</v>
      </c>
      <c r="K25" s="60">
        <f>SUM(K26:K27)</f>
        <v>0</v>
      </c>
      <c r="L25" s="61">
        <f>J25+K25</f>
        <v>2705</v>
      </c>
      <c r="M25" s="62">
        <f>SUM(M26:M27)</f>
        <v>0</v>
      </c>
      <c r="N25" s="63">
        <f>SUM(N26:N27)</f>
        <v>0</v>
      </c>
      <c r="O25" s="61">
        <f>M25+N25</f>
        <v>0</v>
      </c>
      <c r="P25" s="64"/>
      <c r="R25" s="53"/>
      <c r="S25" s="53"/>
      <c r="T25" s="53"/>
    </row>
    <row r="26" spans="1:20" hidden="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c r="R26" s="53"/>
      <c r="S26" s="53"/>
      <c r="T26" s="53"/>
    </row>
    <row r="27" spans="1:20" x14ac:dyDescent="0.25">
      <c r="A27" s="75"/>
      <c r="B27" s="76" t="s">
        <v>45</v>
      </c>
      <c r="C27" s="77">
        <f>F27+I27+L27+O27</f>
        <v>2705</v>
      </c>
      <c r="D27" s="78"/>
      <c r="E27" s="79"/>
      <c r="F27" s="80">
        <f t="shared" si="0"/>
        <v>0</v>
      </c>
      <c r="G27" s="78"/>
      <c r="H27" s="81"/>
      <c r="I27" s="82">
        <f>G27+H27</f>
        <v>0</v>
      </c>
      <c r="J27" s="78">
        <v>2705</v>
      </c>
      <c r="K27" s="81"/>
      <c r="L27" s="82">
        <f>J27+K27</f>
        <v>2705</v>
      </c>
      <c r="M27" s="83"/>
      <c r="N27" s="84"/>
      <c r="O27" s="82">
        <f>M27+N27</f>
        <v>0</v>
      </c>
      <c r="P27" s="85"/>
      <c r="R27" s="53"/>
      <c r="S27" s="53"/>
      <c r="T27" s="53"/>
    </row>
    <row r="28" spans="1:20" s="41" customFormat="1" ht="24.75" thickBot="1" x14ac:dyDescent="0.3">
      <c r="A28" s="86">
        <v>19300</v>
      </c>
      <c r="B28" s="86" t="s">
        <v>46</v>
      </c>
      <c r="C28" s="87">
        <f>SUM(F28,I28)</f>
        <v>911265</v>
      </c>
      <c r="D28" s="88">
        <f>430726-7942</f>
        <v>422784</v>
      </c>
      <c r="E28" s="89"/>
      <c r="F28" s="90">
        <f t="shared" si="0"/>
        <v>422784</v>
      </c>
      <c r="G28" s="88">
        <f>466569+21912</f>
        <v>488481</v>
      </c>
      <c r="H28" s="91"/>
      <c r="I28" s="92">
        <f>G28+H28</f>
        <v>488481</v>
      </c>
      <c r="J28" s="93" t="s">
        <v>47</v>
      </c>
      <c r="K28" s="94" t="s">
        <v>47</v>
      </c>
      <c r="L28" s="95" t="s">
        <v>47</v>
      </c>
      <c r="M28" s="96" t="s">
        <v>47</v>
      </c>
      <c r="N28" s="97" t="s">
        <v>47</v>
      </c>
      <c r="O28" s="95" t="s">
        <v>47</v>
      </c>
      <c r="P28" s="98"/>
      <c r="R28" s="53"/>
      <c r="S28" s="53"/>
      <c r="T28" s="53"/>
    </row>
    <row r="29" spans="1:20" s="41" customFormat="1" ht="24.75" hidden="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c r="R29" s="53"/>
      <c r="S29" s="53"/>
      <c r="T29" s="53"/>
    </row>
    <row r="30" spans="1:20" s="41" customFormat="1" ht="28.5" customHeight="1" thickTop="1" x14ac:dyDescent="0.25">
      <c r="A30" s="99">
        <v>21300</v>
      </c>
      <c r="B30" s="99" t="s">
        <v>49</v>
      </c>
      <c r="C30" s="100">
        <f t="shared" ref="C30:C44" si="1">L30</f>
        <v>11078</v>
      </c>
      <c r="D30" s="104" t="s">
        <v>47</v>
      </c>
      <c r="E30" s="110" t="s">
        <v>47</v>
      </c>
      <c r="F30" s="111" t="s">
        <v>47</v>
      </c>
      <c r="G30" s="104" t="s">
        <v>47</v>
      </c>
      <c r="H30" s="105" t="s">
        <v>47</v>
      </c>
      <c r="I30" s="106" t="s">
        <v>47</v>
      </c>
      <c r="J30" s="112">
        <f>SUM(J31,J35,J37,J40)</f>
        <v>11078</v>
      </c>
      <c r="K30" s="113">
        <f>SUM(K31,K35,K37,K40)</f>
        <v>0</v>
      </c>
      <c r="L30" s="114">
        <f t="shared" ref="L30:L44" si="2">J30+K30</f>
        <v>11078</v>
      </c>
      <c r="M30" s="107" t="s">
        <v>47</v>
      </c>
      <c r="N30" s="108" t="s">
        <v>47</v>
      </c>
      <c r="O30" s="106" t="s">
        <v>47</v>
      </c>
      <c r="P30" s="109"/>
      <c r="R30" s="53"/>
      <c r="S30" s="53"/>
      <c r="T30" s="53"/>
    </row>
    <row r="31" spans="1:20" s="41" customFormat="1" ht="24" hidden="1" x14ac:dyDescent="0.25">
      <c r="A31" s="115">
        <v>21350</v>
      </c>
      <c r="B31" s="99" t="s">
        <v>50</v>
      </c>
      <c r="C31" s="100">
        <f t="shared" si="1"/>
        <v>0</v>
      </c>
      <c r="D31" s="104" t="s">
        <v>47</v>
      </c>
      <c r="E31" s="108" t="s">
        <v>47</v>
      </c>
      <c r="F31" s="140" t="s">
        <v>47</v>
      </c>
      <c r="G31" s="104" t="s">
        <v>47</v>
      </c>
      <c r="H31" s="105" t="s">
        <v>47</v>
      </c>
      <c r="I31" s="106" t="s">
        <v>47</v>
      </c>
      <c r="J31" s="112">
        <f>SUM(J32:J34)</f>
        <v>0</v>
      </c>
      <c r="K31" s="113">
        <f>SUM(K32:K34)</f>
        <v>0</v>
      </c>
      <c r="L31" s="114">
        <f t="shared" si="2"/>
        <v>0</v>
      </c>
      <c r="M31" s="107" t="s">
        <v>47</v>
      </c>
      <c r="N31" s="108" t="s">
        <v>47</v>
      </c>
      <c r="O31" s="106" t="s">
        <v>47</v>
      </c>
      <c r="P31" s="109"/>
      <c r="R31" s="53"/>
      <c r="S31" s="53"/>
      <c r="T31" s="53"/>
    </row>
    <row r="32" spans="1:20" hidden="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c r="R32" s="53"/>
      <c r="S32" s="53"/>
      <c r="T32" s="53"/>
    </row>
    <row r="33" spans="1:20" hidden="1" x14ac:dyDescent="0.25">
      <c r="A33" s="75">
        <v>21352</v>
      </c>
      <c r="B33" s="127" t="s">
        <v>52</v>
      </c>
      <c r="C33" s="128">
        <f t="shared" si="1"/>
        <v>0</v>
      </c>
      <c r="D33" s="129" t="s">
        <v>47</v>
      </c>
      <c r="E33" s="138" t="s">
        <v>47</v>
      </c>
      <c r="F33" s="139" t="s">
        <v>47</v>
      </c>
      <c r="G33" s="129" t="s">
        <v>47</v>
      </c>
      <c r="H33" s="132" t="s">
        <v>47</v>
      </c>
      <c r="I33" s="133" t="s">
        <v>47</v>
      </c>
      <c r="J33" s="134"/>
      <c r="K33" s="135"/>
      <c r="L33" s="136">
        <f t="shared" si="2"/>
        <v>0</v>
      </c>
      <c r="M33" s="137" t="s">
        <v>47</v>
      </c>
      <c r="N33" s="138" t="s">
        <v>47</v>
      </c>
      <c r="O33" s="133" t="s">
        <v>47</v>
      </c>
      <c r="P33" s="85"/>
      <c r="R33" s="53"/>
      <c r="S33" s="53"/>
      <c r="T33" s="53"/>
    </row>
    <row r="34" spans="1:20" ht="24" hidden="1" x14ac:dyDescent="0.25">
      <c r="A34" s="75">
        <v>21359</v>
      </c>
      <c r="B34" s="127" t="s">
        <v>53</v>
      </c>
      <c r="C34" s="128">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c r="R34" s="53"/>
      <c r="S34" s="53"/>
      <c r="T34" s="53"/>
    </row>
    <row r="35" spans="1:20" s="41" customFormat="1" ht="36" hidden="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c r="R35" s="53"/>
      <c r="S35" s="53"/>
      <c r="T35" s="53"/>
    </row>
    <row r="36" spans="1:20" ht="36" hidden="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c r="R36" s="53"/>
      <c r="S36" s="53"/>
      <c r="T36" s="53"/>
    </row>
    <row r="37" spans="1:20" s="41" customFormat="1" x14ac:dyDescent="0.25">
      <c r="A37" s="115">
        <v>21380</v>
      </c>
      <c r="B37" s="99" t="s">
        <v>56</v>
      </c>
      <c r="C37" s="100">
        <f t="shared" si="1"/>
        <v>7050</v>
      </c>
      <c r="D37" s="104" t="s">
        <v>47</v>
      </c>
      <c r="E37" s="110" t="s">
        <v>47</v>
      </c>
      <c r="F37" s="111" t="s">
        <v>47</v>
      </c>
      <c r="G37" s="104" t="s">
        <v>47</v>
      </c>
      <c r="H37" s="105" t="s">
        <v>47</v>
      </c>
      <c r="I37" s="106" t="s">
        <v>47</v>
      </c>
      <c r="J37" s="112">
        <f>SUM(J38:J39)</f>
        <v>7050</v>
      </c>
      <c r="K37" s="113">
        <f>SUM(K38:K39)</f>
        <v>0</v>
      </c>
      <c r="L37" s="114">
        <f t="shared" si="2"/>
        <v>7050</v>
      </c>
      <c r="M37" s="107" t="s">
        <v>47</v>
      </c>
      <c r="N37" s="108" t="s">
        <v>47</v>
      </c>
      <c r="O37" s="106" t="s">
        <v>47</v>
      </c>
      <c r="P37" s="109"/>
      <c r="R37" s="53"/>
      <c r="S37" s="53"/>
      <c r="T37" s="53"/>
    </row>
    <row r="38" spans="1:20" x14ac:dyDescent="0.25">
      <c r="A38" s="66">
        <v>21381</v>
      </c>
      <c r="B38" s="116" t="s">
        <v>57</v>
      </c>
      <c r="C38" s="117">
        <f t="shared" si="1"/>
        <v>7050</v>
      </c>
      <c r="D38" s="118" t="s">
        <v>47</v>
      </c>
      <c r="E38" s="154" t="s">
        <v>47</v>
      </c>
      <c r="F38" s="155" t="s">
        <v>47</v>
      </c>
      <c r="G38" s="118" t="s">
        <v>47</v>
      </c>
      <c r="H38" s="121" t="s">
        <v>47</v>
      </c>
      <c r="I38" s="122" t="s">
        <v>47</v>
      </c>
      <c r="J38" s="123">
        <v>7050</v>
      </c>
      <c r="K38" s="124"/>
      <c r="L38" s="125">
        <f t="shared" si="2"/>
        <v>7050</v>
      </c>
      <c r="M38" s="126" t="s">
        <v>47</v>
      </c>
      <c r="N38" s="119" t="s">
        <v>47</v>
      </c>
      <c r="O38" s="122" t="s">
        <v>47</v>
      </c>
      <c r="P38" s="74"/>
      <c r="R38" s="53"/>
      <c r="S38" s="53"/>
      <c r="T38" s="53"/>
    </row>
    <row r="39" spans="1:20" ht="24" hidden="1" x14ac:dyDescent="0.25">
      <c r="A39" s="76">
        <v>21383</v>
      </c>
      <c r="B39" s="127" t="s">
        <v>58</v>
      </c>
      <c r="C39" s="128">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c r="R39" s="53"/>
      <c r="S39" s="53"/>
      <c r="T39" s="53"/>
    </row>
    <row r="40" spans="1:20" s="41" customFormat="1" ht="24" x14ac:dyDescent="0.25">
      <c r="A40" s="115">
        <v>21390</v>
      </c>
      <c r="B40" s="99" t="s">
        <v>59</v>
      </c>
      <c r="C40" s="100">
        <f t="shared" si="1"/>
        <v>4028</v>
      </c>
      <c r="D40" s="104" t="s">
        <v>47</v>
      </c>
      <c r="E40" s="110" t="s">
        <v>47</v>
      </c>
      <c r="F40" s="111" t="s">
        <v>47</v>
      </c>
      <c r="G40" s="104" t="s">
        <v>47</v>
      </c>
      <c r="H40" s="105" t="s">
        <v>47</v>
      </c>
      <c r="I40" s="106" t="s">
        <v>47</v>
      </c>
      <c r="J40" s="112">
        <f>SUM(J41:J44)</f>
        <v>4028</v>
      </c>
      <c r="K40" s="113">
        <f>SUM(K41:K44)</f>
        <v>0</v>
      </c>
      <c r="L40" s="114">
        <f t="shared" si="2"/>
        <v>4028</v>
      </c>
      <c r="M40" s="107" t="s">
        <v>47</v>
      </c>
      <c r="N40" s="108" t="s">
        <v>47</v>
      </c>
      <c r="O40" s="106" t="s">
        <v>47</v>
      </c>
      <c r="P40" s="109"/>
      <c r="R40" s="53"/>
      <c r="S40" s="53"/>
      <c r="T40" s="53"/>
    </row>
    <row r="41" spans="1:20" ht="24" hidden="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c r="R41" s="53"/>
      <c r="S41" s="53"/>
      <c r="T41" s="53"/>
    </row>
    <row r="42" spans="1:20" hidden="1" x14ac:dyDescent="0.25">
      <c r="A42" s="76">
        <v>21393</v>
      </c>
      <c r="B42" s="127" t="s">
        <v>61</v>
      </c>
      <c r="C42" s="128">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c r="R42" s="53"/>
      <c r="S42" s="53"/>
      <c r="T42" s="53"/>
    </row>
    <row r="43" spans="1:20" hidden="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c r="R43" s="53"/>
      <c r="S43" s="53"/>
      <c r="T43" s="53"/>
    </row>
    <row r="44" spans="1:20" ht="24" x14ac:dyDescent="0.25">
      <c r="A44" s="76">
        <v>21399</v>
      </c>
      <c r="B44" s="127" t="s">
        <v>63</v>
      </c>
      <c r="C44" s="128">
        <f t="shared" si="1"/>
        <v>4028</v>
      </c>
      <c r="D44" s="129" t="s">
        <v>47</v>
      </c>
      <c r="E44" s="130" t="s">
        <v>47</v>
      </c>
      <c r="F44" s="131" t="s">
        <v>47</v>
      </c>
      <c r="G44" s="129" t="s">
        <v>47</v>
      </c>
      <c r="H44" s="132" t="s">
        <v>47</v>
      </c>
      <c r="I44" s="133" t="s">
        <v>47</v>
      </c>
      <c r="J44" s="134">
        <f>3645+383</f>
        <v>4028</v>
      </c>
      <c r="K44" s="135"/>
      <c r="L44" s="136">
        <f t="shared" si="2"/>
        <v>4028</v>
      </c>
      <c r="M44" s="137" t="s">
        <v>47</v>
      </c>
      <c r="N44" s="138" t="s">
        <v>47</v>
      </c>
      <c r="O44" s="133" t="s">
        <v>47</v>
      </c>
      <c r="P44" s="85"/>
      <c r="R44" s="53"/>
      <c r="S44" s="53"/>
      <c r="T44" s="53"/>
    </row>
    <row r="45" spans="1:20" s="41" customFormat="1" ht="24" hidden="1" x14ac:dyDescent="0.25">
      <c r="A45" s="115">
        <v>21420</v>
      </c>
      <c r="B45" s="99" t="s">
        <v>64</v>
      </c>
      <c r="C45" s="156">
        <f>F45</f>
        <v>0</v>
      </c>
      <c r="D45" s="157"/>
      <c r="E45" s="158"/>
      <c r="F45" s="103">
        <f>D45+E45</f>
        <v>0</v>
      </c>
      <c r="G45" s="104" t="s">
        <v>47</v>
      </c>
      <c r="H45" s="105" t="s">
        <v>47</v>
      </c>
      <c r="I45" s="106" t="s">
        <v>47</v>
      </c>
      <c r="J45" s="104" t="s">
        <v>47</v>
      </c>
      <c r="K45" s="105" t="s">
        <v>47</v>
      </c>
      <c r="L45" s="106" t="s">
        <v>47</v>
      </c>
      <c r="M45" s="107" t="s">
        <v>47</v>
      </c>
      <c r="N45" s="108" t="s">
        <v>47</v>
      </c>
      <c r="O45" s="106" t="s">
        <v>47</v>
      </c>
      <c r="P45" s="109"/>
      <c r="R45" s="53"/>
      <c r="S45" s="53"/>
      <c r="T45" s="53"/>
    </row>
    <row r="46" spans="1:20" s="41" customFormat="1" ht="24" hidden="1" x14ac:dyDescent="0.25">
      <c r="A46" s="159">
        <v>21490</v>
      </c>
      <c r="B46" s="160" t="s">
        <v>65</v>
      </c>
      <c r="C46" s="156">
        <f>F46+I46+L46</f>
        <v>0</v>
      </c>
      <c r="D46" s="161">
        <f>D47</f>
        <v>0</v>
      </c>
      <c r="E46" s="162">
        <f>E47</f>
        <v>0</v>
      </c>
      <c r="F46" s="163">
        <f>D46+E46</f>
        <v>0</v>
      </c>
      <c r="G46" s="161">
        <f>G47</f>
        <v>0</v>
      </c>
      <c r="H46" s="164">
        <f>H47</f>
        <v>0</v>
      </c>
      <c r="I46" s="165">
        <f>G46+H46</f>
        <v>0</v>
      </c>
      <c r="J46" s="161">
        <f>J47</f>
        <v>0</v>
      </c>
      <c r="K46" s="164">
        <f>K47</f>
        <v>0</v>
      </c>
      <c r="L46" s="165">
        <f>J46+K46</f>
        <v>0</v>
      </c>
      <c r="M46" s="107" t="s">
        <v>47</v>
      </c>
      <c r="N46" s="108" t="s">
        <v>47</v>
      </c>
      <c r="O46" s="106" t="s">
        <v>47</v>
      </c>
      <c r="P46" s="109"/>
      <c r="R46" s="53"/>
      <c r="S46" s="53"/>
      <c r="T46" s="53"/>
    </row>
    <row r="47" spans="1:20" s="41" customFormat="1" ht="24" hidden="1" x14ac:dyDescent="0.25">
      <c r="A47" s="76">
        <v>21499</v>
      </c>
      <c r="B47" s="127" t="s">
        <v>66</v>
      </c>
      <c r="C47" s="166">
        <f>F47+I47+L47</f>
        <v>0</v>
      </c>
      <c r="D47" s="68"/>
      <c r="E47" s="69"/>
      <c r="F47" s="70">
        <f>D47+E47</f>
        <v>0</v>
      </c>
      <c r="G47" s="167"/>
      <c r="H47" s="71"/>
      <c r="I47" s="72">
        <f>G47+H47</f>
        <v>0</v>
      </c>
      <c r="J47" s="68"/>
      <c r="K47" s="71"/>
      <c r="L47" s="72">
        <f>J47+K47</f>
        <v>0</v>
      </c>
      <c r="M47" s="152" t="s">
        <v>47</v>
      </c>
      <c r="N47" s="145" t="s">
        <v>47</v>
      </c>
      <c r="O47" s="148" t="s">
        <v>47</v>
      </c>
      <c r="P47" s="153"/>
      <c r="R47" s="53"/>
      <c r="S47" s="53"/>
      <c r="T47" s="53"/>
    </row>
    <row r="48" spans="1:20" ht="24" hidden="1" x14ac:dyDescent="0.25">
      <c r="A48" s="168">
        <v>23000</v>
      </c>
      <c r="B48" s="169" t="s">
        <v>67</v>
      </c>
      <c r="C48" s="156">
        <f>O48</f>
        <v>0</v>
      </c>
      <c r="D48" s="170" t="s">
        <v>47</v>
      </c>
      <c r="E48" s="171" t="s">
        <v>47</v>
      </c>
      <c r="F48" s="172" t="s">
        <v>47</v>
      </c>
      <c r="G48" s="170" t="s">
        <v>47</v>
      </c>
      <c r="H48" s="173" t="s">
        <v>47</v>
      </c>
      <c r="I48" s="174" t="s">
        <v>47</v>
      </c>
      <c r="J48" s="170" t="s">
        <v>47</v>
      </c>
      <c r="K48" s="173" t="s">
        <v>47</v>
      </c>
      <c r="L48" s="174" t="s">
        <v>47</v>
      </c>
      <c r="M48" s="175">
        <f>SUM(M49:M50)</f>
        <v>0</v>
      </c>
      <c r="N48" s="176">
        <f>SUM(N49:N50)</f>
        <v>0</v>
      </c>
      <c r="O48" s="177">
        <f>M48+N48</f>
        <v>0</v>
      </c>
      <c r="P48" s="109"/>
      <c r="R48" s="53"/>
      <c r="S48" s="53"/>
      <c r="T48" s="53"/>
    </row>
    <row r="49" spans="1:20" ht="24" hidden="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c r="R49" s="53"/>
      <c r="S49" s="53"/>
      <c r="T49" s="53"/>
    </row>
    <row r="50" spans="1:20" ht="24" hidden="1" x14ac:dyDescent="0.25">
      <c r="A50" s="178">
        <v>23510</v>
      </c>
      <c r="B50" s="179" t="s">
        <v>69</v>
      </c>
      <c r="C50" s="180">
        <f>O50</f>
        <v>0</v>
      </c>
      <c r="D50" s="181" t="s">
        <v>47</v>
      </c>
      <c r="E50" s="182" t="s">
        <v>47</v>
      </c>
      <c r="F50" s="183" t="s">
        <v>47</v>
      </c>
      <c r="G50" s="181" t="s">
        <v>47</v>
      </c>
      <c r="H50" s="184" t="s">
        <v>47</v>
      </c>
      <c r="I50" s="185" t="s">
        <v>47</v>
      </c>
      <c r="J50" s="181" t="s">
        <v>47</v>
      </c>
      <c r="K50" s="184" t="s">
        <v>47</v>
      </c>
      <c r="L50" s="185" t="s">
        <v>47</v>
      </c>
      <c r="M50" s="186"/>
      <c r="N50" s="187"/>
      <c r="O50" s="188">
        <f>M50+N50</f>
        <v>0</v>
      </c>
      <c r="P50" s="189"/>
      <c r="R50" s="53"/>
      <c r="S50" s="53"/>
      <c r="T50" s="53"/>
    </row>
    <row r="51" spans="1:20" x14ac:dyDescent="0.25">
      <c r="A51" s="190"/>
      <c r="B51" s="179"/>
      <c r="C51" s="191"/>
      <c r="D51" s="192"/>
      <c r="E51" s="193"/>
      <c r="F51" s="194"/>
      <c r="G51" s="192"/>
      <c r="H51" s="195"/>
      <c r="I51" s="185"/>
      <c r="J51" s="196"/>
      <c r="K51" s="197"/>
      <c r="L51" s="188"/>
      <c r="M51" s="186"/>
      <c r="N51" s="187"/>
      <c r="O51" s="188"/>
      <c r="P51" s="189"/>
      <c r="R51" s="53"/>
      <c r="S51" s="53"/>
      <c r="T51" s="53"/>
    </row>
    <row r="52" spans="1:20" s="41" customFormat="1" x14ac:dyDescent="0.25">
      <c r="A52" s="198"/>
      <c r="B52" s="199" t="s">
        <v>70</v>
      </c>
      <c r="C52" s="200"/>
      <c r="D52" s="201"/>
      <c r="E52" s="202"/>
      <c r="F52" s="203"/>
      <c r="G52" s="201"/>
      <c r="H52" s="204"/>
      <c r="I52" s="205"/>
      <c r="J52" s="201"/>
      <c r="K52" s="204"/>
      <c r="L52" s="205"/>
      <c r="M52" s="206"/>
      <c r="N52" s="207"/>
      <c r="O52" s="205"/>
      <c r="P52" s="208"/>
      <c r="R52" s="53"/>
      <c r="S52" s="53"/>
      <c r="T52" s="53"/>
    </row>
    <row r="53" spans="1:20" s="41" customFormat="1" ht="12.75" thickBot="1" x14ac:dyDescent="0.3">
      <c r="A53" s="209"/>
      <c r="B53" s="42" t="s">
        <v>71</v>
      </c>
      <c r="C53" s="210">
        <f t="shared" ref="C53:C116" si="3">F53+I53+L53+O53</f>
        <v>925048</v>
      </c>
      <c r="D53" s="211">
        <f>SUM(D54,D284)</f>
        <v>422784</v>
      </c>
      <c r="E53" s="212">
        <f>SUM(E54,E284)</f>
        <v>0</v>
      </c>
      <c r="F53" s="213">
        <f t="shared" ref="F53:F117" si="4">D53+E53</f>
        <v>422784</v>
      </c>
      <c r="G53" s="211">
        <f>SUM(G54,G284)</f>
        <v>488481</v>
      </c>
      <c r="H53" s="214">
        <f>SUM(H54,H284)</f>
        <v>0</v>
      </c>
      <c r="I53" s="215">
        <f t="shared" ref="I53:I117" si="5">G53+H53</f>
        <v>488481</v>
      </c>
      <c r="J53" s="211">
        <f>SUM(J54,J284)</f>
        <v>13783</v>
      </c>
      <c r="K53" s="214">
        <f>SUM(K54,K284)</f>
        <v>0</v>
      </c>
      <c r="L53" s="215">
        <f t="shared" ref="L53:L117" si="6">J53+K53</f>
        <v>13783</v>
      </c>
      <c r="M53" s="216">
        <f>SUM(M54,M284)</f>
        <v>0</v>
      </c>
      <c r="N53" s="217">
        <f>SUM(N54,N284)</f>
        <v>0</v>
      </c>
      <c r="O53" s="215">
        <f t="shared" ref="O53:O117" si="7">M53+N53</f>
        <v>0</v>
      </c>
      <c r="P53" s="52"/>
      <c r="R53" s="53"/>
      <c r="S53" s="53"/>
      <c r="T53" s="53"/>
    </row>
    <row r="54" spans="1:20" s="41" customFormat="1" ht="36.75" thickTop="1" x14ac:dyDescent="0.25">
      <c r="A54" s="218"/>
      <c r="B54" s="219" t="s">
        <v>72</v>
      </c>
      <c r="C54" s="220">
        <f t="shared" si="3"/>
        <v>925048</v>
      </c>
      <c r="D54" s="221">
        <f>SUM(D55,D197)</f>
        <v>422784</v>
      </c>
      <c r="E54" s="222">
        <f>SUM(E55,E197)</f>
        <v>0</v>
      </c>
      <c r="F54" s="223">
        <f t="shared" si="4"/>
        <v>422784</v>
      </c>
      <c r="G54" s="221">
        <f>SUM(G55,G197)</f>
        <v>488481</v>
      </c>
      <c r="H54" s="224">
        <f>SUM(H55,H197)</f>
        <v>0</v>
      </c>
      <c r="I54" s="225">
        <f t="shared" si="5"/>
        <v>488481</v>
      </c>
      <c r="J54" s="221">
        <f>SUM(J55,J197)</f>
        <v>13783</v>
      </c>
      <c r="K54" s="224">
        <f>SUM(K55,K197)</f>
        <v>0</v>
      </c>
      <c r="L54" s="225">
        <f t="shared" si="6"/>
        <v>13783</v>
      </c>
      <c r="M54" s="226">
        <f>SUM(M55,M197)</f>
        <v>0</v>
      </c>
      <c r="N54" s="227">
        <f>SUM(N55,N197)</f>
        <v>0</v>
      </c>
      <c r="O54" s="225">
        <f t="shared" si="7"/>
        <v>0</v>
      </c>
      <c r="P54" s="228"/>
      <c r="R54" s="53"/>
      <c r="S54" s="53"/>
      <c r="T54" s="53"/>
    </row>
    <row r="55" spans="1:20" s="41" customFormat="1" ht="24" x14ac:dyDescent="0.25">
      <c r="A55" s="35"/>
      <c r="B55" s="30" t="s">
        <v>73</v>
      </c>
      <c r="C55" s="229">
        <f t="shared" si="3"/>
        <v>887922</v>
      </c>
      <c r="D55" s="230">
        <f>SUM(D56,D78,D176,D190)</f>
        <v>390358</v>
      </c>
      <c r="E55" s="231">
        <f>SUM(E56,E78,E176,E190)</f>
        <v>0</v>
      </c>
      <c r="F55" s="232">
        <f t="shared" si="4"/>
        <v>390358</v>
      </c>
      <c r="G55" s="230">
        <f>SUM(G56,G78,G176,G190)</f>
        <v>483781</v>
      </c>
      <c r="H55" s="233">
        <f>SUM(H56,H78,H176,H190)</f>
        <v>0</v>
      </c>
      <c r="I55" s="234">
        <f t="shared" si="5"/>
        <v>483781</v>
      </c>
      <c r="J55" s="230">
        <f>SUM(J56,J78,J176,J190)</f>
        <v>13783</v>
      </c>
      <c r="K55" s="233">
        <f>SUM(K56,K78,K176,K190)</f>
        <v>0</v>
      </c>
      <c r="L55" s="234">
        <f t="shared" si="6"/>
        <v>13783</v>
      </c>
      <c r="M55" s="53">
        <f>SUM(M56,M78,M176,M190)</f>
        <v>0</v>
      </c>
      <c r="N55" s="235">
        <f>SUM(N56,N78,N176,N190)</f>
        <v>0</v>
      </c>
      <c r="O55" s="234">
        <f t="shared" si="7"/>
        <v>0</v>
      </c>
      <c r="P55" s="236"/>
      <c r="R55" s="53"/>
      <c r="S55" s="53"/>
      <c r="T55" s="53"/>
    </row>
    <row r="56" spans="1:20" s="41" customFormat="1" x14ac:dyDescent="0.25">
      <c r="A56" s="237">
        <v>1000</v>
      </c>
      <c r="B56" s="237" t="s">
        <v>74</v>
      </c>
      <c r="C56" s="238">
        <f t="shared" si="3"/>
        <v>750987</v>
      </c>
      <c r="D56" s="239">
        <f>SUM(D57,D70)</f>
        <v>271268</v>
      </c>
      <c r="E56" s="240">
        <f>SUM(E57,E70)</f>
        <v>0</v>
      </c>
      <c r="F56" s="241">
        <f t="shared" si="4"/>
        <v>271268</v>
      </c>
      <c r="G56" s="239">
        <f>SUM(G57,G70)</f>
        <v>479719</v>
      </c>
      <c r="H56" s="242">
        <f>SUM(H57,H70)</f>
        <v>0</v>
      </c>
      <c r="I56" s="243">
        <f t="shared" si="5"/>
        <v>479719</v>
      </c>
      <c r="J56" s="239">
        <f>SUM(J57,J70)</f>
        <v>0</v>
      </c>
      <c r="K56" s="242">
        <f>SUM(K57,K70)</f>
        <v>0</v>
      </c>
      <c r="L56" s="243">
        <f t="shared" si="6"/>
        <v>0</v>
      </c>
      <c r="M56" s="244">
        <f>SUM(M57,M70)</f>
        <v>0</v>
      </c>
      <c r="N56" s="245">
        <f>SUM(N57,N70)</f>
        <v>0</v>
      </c>
      <c r="O56" s="243">
        <f t="shared" si="7"/>
        <v>0</v>
      </c>
      <c r="P56" s="246"/>
      <c r="R56" s="53"/>
      <c r="S56" s="53"/>
      <c r="T56" s="53"/>
    </row>
    <row r="57" spans="1:20" x14ac:dyDescent="0.25">
      <c r="A57" s="99">
        <v>1100</v>
      </c>
      <c r="B57" s="247" t="s">
        <v>75</v>
      </c>
      <c r="C57" s="100">
        <f t="shared" si="3"/>
        <v>571393</v>
      </c>
      <c r="D57" s="112">
        <f>SUM(D58,D61,D69)</f>
        <v>186473</v>
      </c>
      <c r="E57" s="248">
        <f>SUM(E58,E61,E69)</f>
        <v>-214</v>
      </c>
      <c r="F57" s="249">
        <f t="shared" si="4"/>
        <v>186259</v>
      </c>
      <c r="G57" s="112">
        <f>SUM(G58,G61,G69)</f>
        <v>385134</v>
      </c>
      <c r="H57" s="113">
        <f>SUM(H58,H61,H69)</f>
        <v>0</v>
      </c>
      <c r="I57" s="114">
        <f t="shared" si="5"/>
        <v>385134</v>
      </c>
      <c r="J57" s="112">
        <f>SUM(J58,J61,J69)</f>
        <v>0</v>
      </c>
      <c r="K57" s="113">
        <f>SUM(K58,K61,K69)</f>
        <v>0</v>
      </c>
      <c r="L57" s="114">
        <f t="shared" si="6"/>
        <v>0</v>
      </c>
      <c r="M57" s="250">
        <f>SUM(M58,M61,M69)</f>
        <v>0</v>
      </c>
      <c r="N57" s="251">
        <f>SUM(N58,N61,N69)</f>
        <v>0</v>
      </c>
      <c r="O57" s="252">
        <f t="shared" si="7"/>
        <v>0</v>
      </c>
      <c r="P57" s="253"/>
      <c r="R57" s="53"/>
      <c r="S57" s="53"/>
      <c r="T57" s="53"/>
    </row>
    <row r="58" spans="1:20" x14ac:dyDescent="0.25">
      <c r="A58" s="254">
        <v>1110</v>
      </c>
      <c r="B58" s="179" t="s">
        <v>76</v>
      </c>
      <c r="C58" s="191">
        <f t="shared" si="3"/>
        <v>507729</v>
      </c>
      <c r="D58" s="255">
        <f>SUM(D59:D60)</f>
        <v>158098</v>
      </c>
      <c r="E58" s="256">
        <f>SUM(E59:E60)</f>
        <v>0</v>
      </c>
      <c r="F58" s="257">
        <f t="shared" si="4"/>
        <v>158098</v>
      </c>
      <c r="G58" s="255">
        <f>SUM(G59:G60)</f>
        <v>349631</v>
      </c>
      <c r="H58" s="258">
        <f>SUM(H59:H60)</f>
        <v>0</v>
      </c>
      <c r="I58" s="259">
        <f t="shared" si="5"/>
        <v>349631</v>
      </c>
      <c r="J58" s="255">
        <f>SUM(J59:J60)</f>
        <v>0</v>
      </c>
      <c r="K58" s="258">
        <f>SUM(K59:K60)</f>
        <v>0</v>
      </c>
      <c r="L58" s="259">
        <f t="shared" si="6"/>
        <v>0</v>
      </c>
      <c r="M58" s="260">
        <f>SUM(M59:M60)</f>
        <v>0</v>
      </c>
      <c r="N58" s="261">
        <f>SUM(N59:N60)</f>
        <v>0</v>
      </c>
      <c r="O58" s="259">
        <f t="shared" si="7"/>
        <v>0</v>
      </c>
      <c r="P58" s="189"/>
      <c r="R58" s="53"/>
      <c r="S58" s="53"/>
      <c r="T58" s="53"/>
    </row>
    <row r="59" spans="1:20" hidden="1" x14ac:dyDescent="0.25">
      <c r="A59" s="66">
        <v>1111</v>
      </c>
      <c r="B59" s="116" t="s">
        <v>77</v>
      </c>
      <c r="C59" s="117">
        <f t="shared" si="3"/>
        <v>0</v>
      </c>
      <c r="D59" s="123"/>
      <c r="E59" s="262"/>
      <c r="F59" s="263">
        <f t="shared" si="4"/>
        <v>0</v>
      </c>
      <c r="G59" s="123"/>
      <c r="H59" s="124"/>
      <c r="I59" s="125">
        <f t="shared" si="5"/>
        <v>0</v>
      </c>
      <c r="J59" s="123"/>
      <c r="K59" s="124"/>
      <c r="L59" s="125">
        <f t="shared" si="6"/>
        <v>0</v>
      </c>
      <c r="M59" s="264"/>
      <c r="N59" s="262"/>
      <c r="O59" s="125">
        <f t="shared" si="7"/>
        <v>0</v>
      </c>
      <c r="P59" s="74"/>
      <c r="R59" s="53"/>
      <c r="S59" s="53"/>
      <c r="T59" s="53"/>
    </row>
    <row r="60" spans="1:20" ht="24" x14ac:dyDescent="0.25">
      <c r="A60" s="76">
        <v>1119</v>
      </c>
      <c r="B60" s="127" t="s">
        <v>78</v>
      </c>
      <c r="C60" s="128">
        <f t="shared" si="3"/>
        <v>507729</v>
      </c>
      <c r="D60" s="134">
        <v>158098</v>
      </c>
      <c r="E60" s="283"/>
      <c r="F60" s="279">
        <f t="shared" si="4"/>
        <v>158098</v>
      </c>
      <c r="G60" s="134">
        <f>344668+4963</f>
        <v>349631</v>
      </c>
      <c r="H60" s="135"/>
      <c r="I60" s="136">
        <f t="shared" si="5"/>
        <v>349631</v>
      </c>
      <c r="J60" s="134"/>
      <c r="K60" s="135"/>
      <c r="L60" s="136">
        <f t="shared" si="6"/>
        <v>0</v>
      </c>
      <c r="M60" s="284"/>
      <c r="N60" s="285"/>
      <c r="O60" s="136">
        <f t="shared" si="7"/>
        <v>0</v>
      </c>
      <c r="P60" s="85"/>
      <c r="R60" s="53"/>
      <c r="S60" s="53"/>
      <c r="T60" s="53"/>
    </row>
    <row r="61" spans="1:20" ht="24" x14ac:dyDescent="0.25">
      <c r="A61" s="276">
        <v>1140</v>
      </c>
      <c r="B61" s="127" t="s">
        <v>79</v>
      </c>
      <c r="C61" s="128">
        <f t="shared" si="3"/>
        <v>61939</v>
      </c>
      <c r="D61" s="277">
        <f>SUM(D62:D68)</f>
        <v>26650</v>
      </c>
      <c r="E61" s="278">
        <f>SUM(E62:E68)</f>
        <v>-214</v>
      </c>
      <c r="F61" s="279">
        <f>D61+E61</f>
        <v>26436</v>
      </c>
      <c r="G61" s="277">
        <f>SUM(G62:G68)</f>
        <v>35503</v>
      </c>
      <c r="H61" s="280">
        <f>SUM(H62:H68)</f>
        <v>0</v>
      </c>
      <c r="I61" s="136">
        <f t="shared" si="5"/>
        <v>35503</v>
      </c>
      <c r="J61" s="277">
        <f>SUM(J62:J68)</f>
        <v>0</v>
      </c>
      <c r="K61" s="280">
        <f>SUM(K62:K68)</f>
        <v>0</v>
      </c>
      <c r="L61" s="136">
        <f t="shared" si="6"/>
        <v>0</v>
      </c>
      <c r="M61" s="281">
        <f>SUM(M62:M68)</f>
        <v>0</v>
      </c>
      <c r="N61" s="282">
        <f>SUM(N62:N68)</f>
        <v>0</v>
      </c>
      <c r="O61" s="136">
        <f t="shared" si="7"/>
        <v>0</v>
      </c>
      <c r="P61" s="85"/>
      <c r="R61" s="53"/>
      <c r="S61" s="53"/>
      <c r="T61" s="53"/>
    </row>
    <row r="62" spans="1:20" x14ac:dyDescent="0.25">
      <c r="A62" s="76">
        <v>1141</v>
      </c>
      <c r="B62" s="127" t="s">
        <v>80</v>
      </c>
      <c r="C62" s="128">
        <f t="shared" si="3"/>
        <v>3749</v>
      </c>
      <c r="D62" s="134">
        <v>3749</v>
      </c>
      <c r="E62" s="283"/>
      <c r="F62" s="279">
        <f t="shared" si="4"/>
        <v>3749</v>
      </c>
      <c r="G62" s="134"/>
      <c r="H62" s="135"/>
      <c r="I62" s="136">
        <f t="shared" si="5"/>
        <v>0</v>
      </c>
      <c r="J62" s="134"/>
      <c r="K62" s="135"/>
      <c r="L62" s="136">
        <f t="shared" si="6"/>
        <v>0</v>
      </c>
      <c r="M62" s="284"/>
      <c r="N62" s="285"/>
      <c r="O62" s="136">
        <f t="shared" si="7"/>
        <v>0</v>
      </c>
      <c r="P62" s="85"/>
      <c r="R62" s="53"/>
      <c r="S62" s="53"/>
      <c r="T62" s="53"/>
    </row>
    <row r="63" spans="1:20" ht="24" x14ac:dyDescent="0.25">
      <c r="A63" s="76">
        <v>1142</v>
      </c>
      <c r="B63" s="127" t="s">
        <v>81</v>
      </c>
      <c r="C63" s="128">
        <f t="shared" si="3"/>
        <v>922</v>
      </c>
      <c r="D63" s="134">
        <v>922</v>
      </c>
      <c r="E63" s="283"/>
      <c r="F63" s="279">
        <f t="shared" si="4"/>
        <v>922</v>
      </c>
      <c r="G63" s="134"/>
      <c r="H63" s="135"/>
      <c r="I63" s="136">
        <f t="shared" si="5"/>
        <v>0</v>
      </c>
      <c r="J63" s="134"/>
      <c r="K63" s="135"/>
      <c r="L63" s="136">
        <f t="shared" si="6"/>
        <v>0</v>
      </c>
      <c r="M63" s="284"/>
      <c r="N63" s="285"/>
      <c r="O63" s="136">
        <f t="shared" si="7"/>
        <v>0</v>
      </c>
      <c r="P63" s="85"/>
      <c r="R63" s="53"/>
      <c r="S63" s="53"/>
      <c r="T63" s="53"/>
    </row>
    <row r="64" spans="1:20" ht="24" x14ac:dyDescent="0.25">
      <c r="A64" s="76">
        <v>1145</v>
      </c>
      <c r="B64" s="127" t="s">
        <v>82</v>
      </c>
      <c r="C64" s="128">
        <f t="shared" si="3"/>
        <v>1923</v>
      </c>
      <c r="D64" s="134"/>
      <c r="E64" s="283"/>
      <c r="F64" s="279">
        <f t="shared" si="4"/>
        <v>0</v>
      </c>
      <c r="G64" s="134">
        <f>2651-728</f>
        <v>1923</v>
      </c>
      <c r="H64" s="135"/>
      <c r="I64" s="136">
        <f t="shared" si="5"/>
        <v>1923</v>
      </c>
      <c r="J64" s="134"/>
      <c r="K64" s="135"/>
      <c r="L64" s="136">
        <f t="shared" si="6"/>
        <v>0</v>
      </c>
      <c r="M64" s="284"/>
      <c r="N64" s="285"/>
      <c r="O64" s="136">
        <f t="shared" si="7"/>
        <v>0</v>
      </c>
      <c r="P64" s="85"/>
      <c r="R64" s="53"/>
      <c r="S64" s="53"/>
      <c r="T64" s="53"/>
    </row>
    <row r="65" spans="1:20" ht="24" hidden="1" x14ac:dyDescent="0.25">
      <c r="A65" s="76">
        <v>1146</v>
      </c>
      <c r="B65" s="127" t="s">
        <v>83</v>
      </c>
      <c r="C65" s="128">
        <f t="shared" si="3"/>
        <v>0</v>
      </c>
      <c r="D65" s="134"/>
      <c r="E65" s="285"/>
      <c r="F65" s="286">
        <f t="shared" si="4"/>
        <v>0</v>
      </c>
      <c r="G65" s="134"/>
      <c r="H65" s="135"/>
      <c r="I65" s="136">
        <f t="shared" si="5"/>
        <v>0</v>
      </c>
      <c r="J65" s="134"/>
      <c r="K65" s="135"/>
      <c r="L65" s="136">
        <f t="shared" si="6"/>
        <v>0</v>
      </c>
      <c r="M65" s="284"/>
      <c r="N65" s="285"/>
      <c r="O65" s="136">
        <f t="shared" si="7"/>
        <v>0</v>
      </c>
      <c r="P65" s="85"/>
      <c r="R65" s="53"/>
      <c r="S65" s="53"/>
      <c r="T65" s="53"/>
    </row>
    <row r="66" spans="1:20" x14ac:dyDescent="0.25">
      <c r="A66" s="76">
        <v>1147</v>
      </c>
      <c r="B66" s="127" t="s">
        <v>84</v>
      </c>
      <c r="C66" s="128">
        <f t="shared" si="3"/>
        <v>2488</v>
      </c>
      <c r="D66" s="134">
        <v>2702</v>
      </c>
      <c r="E66" s="283">
        <v>-214</v>
      </c>
      <c r="F66" s="279">
        <f t="shared" si="4"/>
        <v>2488</v>
      </c>
      <c r="G66" s="134"/>
      <c r="H66" s="135"/>
      <c r="I66" s="136">
        <f t="shared" si="5"/>
        <v>0</v>
      </c>
      <c r="J66" s="134"/>
      <c r="K66" s="135"/>
      <c r="L66" s="136">
        <f t="shared" si="6"/>
        <v>0</v>
      </c>
      <c r="M66" s="284"/>
      <c r="N66" s="285"/>
      <c r="O66" s="136">
        <f t="shared" si="7"/>
        <v>0</v>
      </c>
      <c r="P66" s="85"/>
      <c r="R66" s="53"/>
      <c r="S66" s="53"/>
      <c r="T66" s="53"/>
    </row>
    <row r="67" spans="1:20" x14ac:dyDescent="0.25">
      <c r="A67" s="76">
        <v>1148</v>
      </c>
      <c r="B67" s="127" t="s">
        <v>85</v>
      </c>
      <c r="C67" s="128">
        <f t="shared" si="3"/>
        <v>26512</v>
      </c>
      <c r="D67" s="134">
        <f>24938-6426</f>
        <v>18512</v>
      </c>
      <c r="E67" s="283"/>
      <c r="F67" s="279">
        <f t="shared" si="4"/>
        <v>18512</v>
      </c>
      <c r="G67" s="134">
        <v>8000</v>
      </c>
      <c r="H67" s="135"/>
      <c r="I67" s="136">
        <f t="shared" si="5"/>
        <v>8000</v>
      </c>
      <c r="J67" s="134"/>
      <c r="K67" s="135"/>
      <c r="L67" s="136">
        <f t="shared" si="6"/>
        <v>0</v>
      </c>
      <c r="M67" s="284"/>
      <c r="N67" s="285"/>
      <c r="O67" s="136">
        <f t="shared" si="7"/>
        <v>0</v>
      </c>
      <c r="P67" s="85"/>
      <c r="R67" s="53"/>
      <c r="S67" s="53"/>
      <c r="T67" s="53"/>
    </row>
    <row r="68" spans="1:20" ht="36" x14ac:dyDescent="0.25">
      <c r="A68" s="76">
        <v>1149</v>
      </c>
      <c r="B68" s="127" t="s">
        <v>86</v>
      </c>
      <c r="C68" s="128">
        <f t="shared" si="3"/>
        <v>26345</v>
      </c>
      <c r="D68" s="134">
        <v>765</v>
      </c>
      <c r="E68" s="283"/>
      <c r="F68" s="279">
        <f t="shared" si="4"/>
        <v>765</v>
      </c>
      <c r="G68" s="134">
        <f>20011+5569</f>
        <v>25580</v>
      </c>
      <c r="H68" s="135"/>
      <c r="I68" s="136">
        <f t="shared" si="5"/>
        <v>25580</v>
      </c>
      <c r="J68" s="134"/>
      <c r="K68" s="135"/>
      <c r="L68" s="136">
        <f t="shared" si="6"/>
        <v>0</v>
      </c>
      <c r="M68" s="284"/>
      <c r="N68" s="285"/>
      <c r="O68" s="136">
        <f t="shared" si="7"/>
        <v>0</v>
      </c>
      <c r="P68" s="85"/>
      <c r="R68" s="53"/>
      <c r="S68" s="53"/>
      <c r="T68" s="53"/>
    </row>
    <row r="69" spans="1:20" ht="36" x14ac:dyDescent="0.25">
      <c r="A69" s="254">
        <v>1150</v>
      </c>
      <c r="B69" s="179" t="s">
        <v>87</v>
      </c>
      <c r="C69" s="128">
        <f t="shared" si="3"/>
        <v>1725</v>
      </c>
      <c r="D69" s="287">
        <v>1725</v>
      </c>
      <c r="E69" s="288"/>
      <c r="F69" s="257">
        <f t="shared" si="4"/>
        <v>1725</v>
      </c>
      <c r="G69" s="287"/>
      <c r="H69" s="289"/>
      <c r="I69" s="259">
        <f t="shared" si="5"/>
        <v>0</v>
      </c>
      <c r="J69" s="287"/>
      <c r="K69" s="289"/>
      <c r="L69" s="259">
        <f t="shared" si="6"/>
        <v>0</v>
      </c>
      <c r="M69" s="290"/>
      <c r="N69" s="291"/>
      <c r="O69" s="259">
        <f t="shared" si="7"/>
        <v>0</v>
      </c>
      <c r="P69" s="189"/>
      <c r="R69" s="53"/>
      <c r="S69" s="53"/>
      <c r="T69" s="53"/>
    </row>
    <row r="70" spans="1:20" ht="36" x14ac:dyDescent="0.25">
      <c r="A70" s="99">
        <v>1200</v>
      </c>
      <c r="B70" s="247" t="s">
        <v>88</v>
      </c>
      <c r="C70" s="100">
        <f t="shared" si="3"/>
        <v>179594</v>
      </c>
      <c r="D70" s="112">
        <f>SUM(D71:D72)</f>
        <v>84795</v>
      </c>
      <c r="E70" s="248">
        <f>SUM(E71:E72)</f>
        <v>214</v>
      </c>
      <c r="F70" s="249">
        <f>D70+E70</f>
        <v>85009</v>
      </c>
      <c r="G70" s="112">
        <f>SUM(G71:G72)</f>
        <v>94585</v>
      </c>
      <c r="H70" s="113">
        <f>SUM(H71:H72)</f>
        <v>0</v>
      </c>
      <c r="I70" s="114">
        <f t="shared" si="5"/>
        <v>94585</v>
      </c>
      <c r="J70" s="112">
        <f>SUM(J71:J72)</f>
        <v>0</v>
      </c>
      <c r="K70" s="113">
        <f>SUM(K71:K72)</f>
        <v>0</v>
      </c>
      <c r="L70" s="114">
        <f t="shared" si="6"/>
        <v>0</v>
      </c>
      <c r="M70" s="292">
        <f>SUM(M71:M72)</f>
        <v>0</v>
      </c>
      <c r="N70" s="293">
        <f>SUM(N71:N72)</f>
        <v>0</v>
      </c>
      <c r="O70" s="114">
        <f t="shared" si="7"/>
        <v>0</v>
      </c>
      <c r="P70" s="109"/>
      <c r="R70" s="53"/>
      <c r="S70" s="53"/>
      <c r="T70" s="53"/>
    </row>
    <row r="71" spans="1:20" ht="24" x14ac:dyDescent="0.25">
      <c r="A71" s="294">
        <v>1210</v>
      </c>
      <c r="B71" s="116" t="s">
        <v>89</v>
      </c>
      <c r="C71" s="117">
        <f t="shared" si="3"/>
        <v>139589</v>
      </c>
      <c r="D71" s="123">
        <f>50470-1516</f>
        <v>48954</v>
      </c>
      <c r="E71" s="295"/>
      <c r="F71" s="296">
        <f t="shared" si="4"/>
        <v>48954</v>
      </c>
      <c r="G71" s="123">
        <f>86457+4178</f>
        <v>90635</v>
      </c>
      <c r="H71" s="124"/>
      <c r="I71" s="125">
        <f t="shared" si="5"/>
        <v>90635</v>
      </c>
      <c r="J71" s="123"/>
      <c r="K71" s="124"/>
      <c r="L71" s="125">
        <f t="shared" si="6"/>
        <v>0</v>
      </c>
      <c r="M71" s="264"/>
      <c r="N71" s="262"/>
      <c r="O71" s="125">
        <f t="shared" si="7"/>
        <v>0</v>
      </c>
      <c r="P71" s="74"/>
      <c r="R71" s="53"/>
      <c r="S71" s="53"/>
      <c r="T71" s="53"/>
    </row>
    <row r="72" spans="1:20" ht="24" x14ac:dyDescent="0.25">
      <c r="A72" s="276">
        <v>1220</v>
      </c>
      <c r="B72" s="127" t="s">
        <v>90</v>
      </c>
      <c r="C72" s="128">
        <f t="shared" si="3"/>
        <v>40005</v>
      </c>
      <c r="D72" s="277">
        <f>SUM(D73:D77)</f>
        <v>35841</v>
      </c>
      <c r="E72" s="278">
        <f>SUM(E73:E77)</f>
        <v>214</v>
      </c>
      <c r="F72" s="279">
        <f t="shared" si="4"/>
        <v>36055</v>
      </c>
      <c r="G72" s="277">
        <f>SUM(G73:G77)</f>
        <v>3950</v>
      </c>
      <c r="H72" s="280">
        <f>SUM(H73:H77)</f>
        <v>0</v>
      </c>
      <c r="I72" s="136">
        <f t="shared" si="5"/>
        <v>3950</v>
      </c>
      <c r="J72" s="277">
        <f>SUM(J73:J77)</f>
        <v>0</v>
      </c>
      <c r="K72" s="280">
        <f>SUM(K73:K77)</f>
        <v>0</v>
      </c>
      <c r="L72" s="136">
        <f t="shared" si="6"/>
        <v>0</v>
      </c>
      <c r="M72" s="281">
        <f>SUM(M73:M77)</f>
        <v>0</v>
      </c>
      <c r="N72" s="282">
        <f>SUM(N73:N77)</f>
        <v>0</v>
      </c>
      <c r="O72" s="136">
        <f t="shared" si="7"/>
        <v>0</v>
      </c>
      <c r="P72" s="85"/>
      <c r="R72" s="53"/>
      <c r="S72" s="53"/>
      <c r="T72" s="53"/>
    </row>
    <row r="73" spans="1:20" ht="60" x14ac:dyDescent="0.25">
      <c r="A73" s="76">
        <v>1221</v>
      </c>
      <c r="B73" s="127" t="s">
        <v>91</v>
      </c>
      <c r="C73" s="128">
        <f t="shared" si="3"/>
        <v>24997</v>
      </c>
      <c r="D73" s="134">
        <v>21047</v>
      </c>
      <c r="E73" s="283"/>
      <c r="F73" s="279">
        <f t="shared" si="4"/>
        <v>21047</v>
      </c>
      <c r="G73" s="134">
        <f>4020-70</f>
        <v>3950</v>
      </c>
      <c r="H73" s="135"/>
      <c r="I73" s="136">
        <f t="shared" si="5"/>
        <v>3950</v>
      </c>
      <c r="J73" s="134"/>
      <c r="K73" s="135"/>
      <c r="L73" s="136">
        <f t="shared" si="6"/>
        <v>0</v>
      </c>
      <c r="M73" s="284"/>
      <c r="N73" s="285"/>
      <c r="O73" s="136">
        <f t="shared" si="7"/>
        <v>0</v>
      </c>
      <c r="P73" s="85"/>
      <c r="R73" s="53"/>
      <c r="S73" s="53"/>
      <c r="T73" s="53"/>
    </row>
    <row r="74" spans="1:20" hidden="1" x14ac:dyDescent="0.25">
      <c r="A74" s="76">
        <v>1223</v>
      </c>
      <c r="B74" s="127" t="s">
        <v>92</v>
      </c>
      <c r="C74" s="128">
        <f t="shared" si="3"/>
        <v>0</v>
      </c>
      <c r="D74" s="134"/>
      <c r="E74" s="285"/>
      <c r="F74" s="286">
        <f t="shared" si="4"/>
        <v>0</v>
      </c>
      <c r="G74" s="134"/>
      <c r="H74" s="135"/>
      <c r="I74" s="136">
        <f t="shared" si="5"/>
        <v>0</v>
      </c>
      <c r="J74" s="134"/>
      <c r="K74" s="135"/>
      <c r="L74" s="136">
        <f t="shared" si="6"/>
        <v>0</v>
      </c>
      <c r="M74" s="284"/>
      <c r="N74" s="285"/>
      <c r="O74" s="136">
        <f t="shared" si="7"/>
        <v>0</v>
      </c>
      <c r="P74" s="85"/>
      <c r="R74" s="53"/>
      <c r="S74" s="53"/>
      <c r="T74" s="53"/>
    </row>
    <row r="75" spans="1:20" hidden="1" x14ac:dyDescent="0.25">
      <c r="A75" s="76">
        <v>1225</v>
      </c>
      <c r="B75" s="127" t="s">
        <v>93</v>
      </c>
      <c r="C75" s="128">
        <f t="shared" si="3"/>
        <v>0</v>
      </c>
      <c r="D75" s="134"/>
      <c r="E75" s="285"/>
      <c r="F75" s="286">
        <f t="shared" si="4"/>
        <v>0</v>
      </c>
      <c r="G75" s="134"/>
      <c r="H75" s="135"/>
      <c r="I75" s="136">
        <f t="shared" si="5"/>
        <v>0</v>
      </c>
      <c r="J75" s="134"/>
      <c r="K75" s="135"/>
      <c r="L75" s="136">
        <f t="shared" si="6"/>
        <v>0</v>
      </c>
      <c r="M75" s="284"/>
      <c r="N75" s="285"/>
      <c r="O75" s="136">
        <f t="shared" si="7"/>
        <v>0</v>
      </c>
      <c r="P75" s="85"/>
      <c r="R75" s="53"/>
      <c r="S75" s="53"/>
      <c r="T75" s="53"/>
    </row>
    <row r="76" spans="1:20" ht="36" x14ac:dyDescent="0.25">
      <c r="A76" s="76">
        <v>1227</v>
      </c>
      <c r="B76" s="127" t="s">
        <v>94</v>
      </c>
      <c r="C76" s="128">
        <f t="shared" si="3"/>
        <v>14300</v>
      </c>
      <c r="D76" s="134">
        <v>14300</v>
      </c>
      <c r="E76" s="283"/>
      <c r="F76" s="279">
        <f t="shared" si="4"/>
        <v>14300</v>
      </c>
      <c r="G76" s="134"/>
      <c r="H76" s="135"/>
      <c r="I76" s="136">
        <f t="shared" si="5"/>
        <v>0</v>
      </c>
      <c r="J76" s="134"/>
      <c r="K76" s="135"/>
      <c r="L76" s="136">
        <f t="shared" si="6"/>
        <v>0</v>
      </c>
      <c r="M76" s="284"/>
      <c r="N76" s="285"/>
      <c r="O76" s="136">
        <f t="shared" si="7"/>
        <v>0</v>
      </c>
      <c r="P76" s="85"/>
      <c r="R76" s="53"/>
      <c r="S76" s="53"/>
      <c r="T76" s="53"/>
    </row>
    <row r="77" spans="1:20" ht="60" x14ac:dyDescent="0.25">
      <c r="A77" s="76">
        <v>1228</v>
      </c>
      <c r="B77" s="127" t="s">
        <v>95</v>
      </c>
      <c r="C77" s="128">
        <f t="shared" si="3"/>
        <v>708</v>
      </c>
      <c r="D77" s="134">
        <v>494</v>
      </c>
      <c r="E77" s="283">
        <v>214</v>
      </c>
      <c r="F77" s="279">
        <f t="shared" si="4"/>
        <v>708</v>
      </c>
      <c r="G77" s="134"/>
      <c r="H77" s="135"/>
      <c r="I77" s="136">
        <f t="shared" si="5"/>
        <v>0</v>
      </c>
      <c r="J77" s="134"/>
      <c r="K77" s="135"/>
      <c r="L77" s="136">
        <f t="shared" si="6"/>
        <v>0</v>
      </c>
      <c r="M77" s="284"/>
      <c r="N77" s="285"/>
      <c r="O77" s="136">
        <f t="shared" si="7"/>
        <v>0</v>
      </c>
      <c r="P77" s="85"/>
      <c r="R77" s="53"/>
      <c r="S77" s="53"/>
      <c r="T77" s="53"/>
    </row>
    <row r="78" spans="1:20" x14ac:dyDescent="0.25">
      <c r="A78" s="237">
        <v>2000</v>
      </c>
      <c r="B78" s="237" t="s">
        <v>96</v>
      </c>
      <c r="C78" s="238">
        <f t="shared" si="3"/>
        <v>136935</v>
      </c>
      <c r="D78" s="239">
        <f>SUM(D79,D86,D133,D167,D168,D175)</f>
        <v>119090</v>
      </c>
      <c r="E78" s="240">
        <f>SUM(E79,E86,E133,E167,E168,E175)</f>
        <v>0</v>
      </c>
      <c r="F78" s="241">
        <f t="shared" si="4"/>
        <v>119090</v>
      </c>
      <c r="G78" s="239">
        <f>SUM(G79,G86,G133,G167,G168,G175)</f>
        <v>4062</v>
      </c>
      <c r="H78" s="242">
        <f>SUM(H79,H86,H133,H167,H168,H175)</f>
        <v>0</v>
      </c>
      <c r="I78" s="243">
        <f t="shared" si="5"/>
        <v>4062</v>
      </c>
      <c r="J78" s="239">
        <f>SUM(J79,J86,J133,J167,J168,J175)</f>
        <v>13783</v>
      </c>
      <c r="K78" s="242">
        <f>SUM(K79,K86,K133,K167,K168,K175)</f>
        <v>0</v>
      </c>
      <c r="L78" s="243">
        <f t="shared" si="6"/>
        <v>13783</v>
      </c>
      <c r="M78" s="244">
        <f>SUM(M79,M86,M133,M167,M168,M175)</f>
        <v>0</v>
      </c>
      <c r="N78" s="245">
        <f>SUM(N79,N86,N133,N167,N168,N175)</f>
        <v>0</v>
      </c>
      <c r="O78" s="243">
        <f t="shared" si="7"/>
        <v>0</v>
      </c>
      <c r="P78" s="246"/>
      <c r="R78" s="53"/>
      <c r="S78" s="53"/>
      <c r="T78" s="53"/>
    </row>
    <row r="79" spans="1:20" ht="24" x14ac:dyDescent="0.25">
      <c r="A79" s="99">
        <v>2100</v>
      </c>
      <c r="B79" s="247" t="s">
        <v>97</v>
      </c>
      <c r="C79" s="100">
        <f t="shared" si="3"/>
        <v>1821</v>
      </c>
      <c r="D79" s="112">
        <f>SUM(D80,D83)</f>
        <v>1821</v>
      </c>
      <c r="E79" s="248">
        <f>SUM(E80,E83)</f>
        <v>0</v>
      </c>
      <c r="F79" s="249">
        <f t="shared" si="4"/>
        <v>1821</v>
      </c>
      <c r="G79" s="112">
        <f>SUM(G80,G83)</f>
        <v>0</v>
      </c>
      <c r="H79" s="113">
        <f>SUM(H80,H83)</f>
        <v>0</v>
      </c>
      <c r="I79" s="114">
        <f t="shared" si="5"/>
        <v>0</v>
      </c>
      <c r="J79" s="112">
        <f>SUM(J80,J83)</f>
        <v>0</v>
      </c>
      <c r="K79" s="113">
        <f>SUM(K80,K83)</f>
        <v>0</v>
      </c>
      <c r="L79" s="114">
        <f t="shared" si="6"/>
        <v>0</v>
      </c>
      <c r="M79" s="292">
        <f>SUM(M80,M83)</f>
        <v>0</v>
      </c>
      <c r="N79" s="293">
        <f>SUM(N80,N83)</f>
        <v>0</v>
      </c>
      <c r="O79" s="114">
        <f t="shared" si="7"/>
        <v>0</v>
      </c>
      <c r="P79" s="109"/>
      <c r="R79" s="53"/>
      <c r="S79" s="53"/>
      <c r="T79" s="53"/>
    </row>
    <row r="80" spans="1:20" ht="24" hidden="1" x14ac:dyDescent="0.25">
      <c r="A80" s="294">
        <v>2110</v>
      </c>
      <c r="B80" s="116" t="s">
        <v>98</v>
      </c>
      <c r="C80" s="117">
        <f t="shared" si="3"/>
        <v>0</v>
      </c>
      <c r="D80" s="297">
        <f>SUM(D81:D82)</f>
        <v>0</v>
      </c>
      <c r="E80" s="301">
        <f>SUM(E81:E82)</f>
        <v>0</v>
      </c>
      <c r="F80" s="263">
        <f t="shared" si="4"/>
        <v>0</v>
      </c>
      <c r="G80" s="297">
        <f>SUM(G81:G82)</f>
        <v>0</v>
      </c>
      <c r="H80" s="299">
        <f>SUM(H81:H82)</f>
        <v>0</v>
      </c>
      <c r="I80" s="125">
        <f t="shared" si="5"/>
        <v>0</v>
      </c>
      <c r="J80" s="297">
        <f>SUM(J81:J82)</f>
        <v>0</v>
      </c>
      <c r="K80" s="299">
        <f>SUM(K81:K82)</f>
        <v>0</v>
      </c>
      <c r="L80" s="125">
        <f t="shared" si="6"/>
        <v>0</v>
      </c>
      <c r="M80" s="300">
        <f>SUM(M81:M82)</f>
        <v>0</v>
      </c>
      <c r="N80" s="301">
        <f>SUM(N81:N82)</f>
        <v>0</v>
      </c>
      <c r="O80" s="125">
        <f t="shared" si="7"/>
        <v>0</v>
      </c>
      <c r="P80" s="74"/>
      <c r="R80" s="53"/>
      <c r="S80" s="53"/>
      <c r="T80" s="53"/>
    </row>
    <row r="81" spans="1:20" hidden="1" x14ac:dyDescent="0.25">
      <c r="A81" s="76">
        <v>2111</v>
      </c>
      <c r="B81" s="127" t="s">
        <v>99</v>
      </c>
      <c r="C81" s="128">
        <f t="shared" si="3"/>
        <v>0</v>
      </c>
      <c r="D81" s="134"/>
      <c r="E81" s="285"/>
      <c r="F81" s="286">
        <f t="shared" si="4"/>
        <v>0</v>
      </c>
      <c r="G81" s="134"/>
      <c r="H81" s="135"/>
      <c r="I81" s="136">
        <f t="shared" si="5"/>
        <v>0</v>
      </c>
      <c r="J81" s="134"/>
      <c r="K81" s="135"/>
      <c r="L81" s="136">
        <f t="shared" si="6"/>
        <v>0</v>
      </c>
      <c r="M81" s="284"/>
      <c r="N81" s="285"/>
      <c r="O81" s="136">
        <f t="shared" si="7"/>
        <v>0</v>
      </c>
      <c r="P81" s="85"/>
      <c r="R81" s="53"/>
      <c r="S81" s="53"/>
      <c r="T81" s="53"/>
    </row>
    <row r="82" spans="1:20" ht="24" hidden="1" x14ac:dyDescent="0.25">
      <c r="A82" s="76">
        <v>2112</v>
      </c>
      <c r="B82" s="127" t="s">
        <v>100</v>
      </c>
      <c r="C82" s="128">
        <f t="shared" si="3"/>
        <v>0</v>
      </c>
      <c r="D82" s="134"/>
      <c r="E82" s="285"/>
      <c r="F82" s="286">
        <f t="shared" si="4"/>
        <v>0</v>
      </c>
      <c r="G82" s="134"/>
      <c r="H82" s="135"/>
      <c r="I82" s="136">
        <f t="shared" si="5"/>
        <v>0</v>
      </c>
      <c r="J82" s="134"/>
      <c r="K82" s="135"/>
      <c r="L82" s="136">
        <f t="shared" si="6"/>
        <v>0</v>
      </c>
      <c r="M82" s="284"/>
      <c r="N82" s="285"/>
      <c r="O82" s="136">
        <f t="shared" si="7"/>
        <v>0</v>
      </c>
      <c r="P82" s="85"/>
      <c r="R82" s="53"/>
      <c r="S82" s="53"/>
      <c r="T82" s="53"/>
    </row>
    <row r="83" spans="1:20" ht="24" x14ac:dyDescent="0.25">
      <c r="A83" s="276">
        <v>2120</v>
      </c>
      <c r="B83" s="127" t="s">
        <v>101</v>
      </c>
      <c r="C83" s="128">
        <f t="shared" si="3"/>
        <v>1821</v>
      </c>
      <c r="D83" s="277">
        <f>SUM(D84:D85)</f>
        <v>1821</v>
      </c>
      <c r="E83" s="278">
        <f>SUM(E84:E85)</f>
        <v>0</v>
      </c>
      <c r="F83" s="279">
        <f t="shared" si="4"/>
        <v>1821</v>
      </c>
      <c r="G83" s="277">
        <f>SUM(G84:G85)</f>
        <v>0</v>
      </c>
      <c r="H83" s="280">
        <f>SUM(H84:H85)</f>
        <v>0</v>
      </c>
      <c r="I83" s="136">
        <f t="shared" si="5"/>
        <v>0</v>
      </c>
      <c r="J83" s="277">
        <f>SUM(J84:J85)</f>
        <v>0</v>
      </c>
      <c r="K83" s="280">
        <f>SUM(K84:K85)</f>
        <v>0</v>
      </c>
      <c r="L83" s="136">
        <f t="shared" si="6"/>
        <v>0</v>
      </c>
      <c r="M83" s="281">
        <f>SUM(M84:M85)</f>
        <v>0</v>
      </c>
      <c r="N83" s="282">
        <f>SUM(N84:N85)</f>
        <v>0</v>
      </c>
      <c r="O83" s="136">
        <f t="shared" si="7"/>
        <v>0</v>
      </c>
      <c r="P83" s="85"/>
      <c r="R83" s="53"/>
      <c r="S83" s="53"/>
      <c r="T83" s="53"/>
    </row>
    <row r="84" spans="1:20" x14ac:dyDescent="0.25">
      <c r="A84" s="76">
        <v>2121</v>
      </c>
      <c r="B84" s="127" t="s">
        <v>99</v>
      </c>
      <c r="C84" s="128">
        <f t="shared" si="3"/>
        <v>870</v>
      </c>
      <c r="D84" s="134">
        <v>870</v>
      </c>
      <c r="E84" s="283"/>
      <c r="F84" s="279">
        <f t="shared" si="4"/>
        <v>870</v>
      </c>
      <c r="G84" s="134"/>
      <c r="H84" s="135"/>
      <c r="I84" s="136">
        <f t="shared" si="5"/>
        <v>0</v>
      </c>
      <c r="J84" s="134"/>
      <c r="K84" s="135"/>
      <c r="L84" s="136">
        <f t="shared" si="6"/>
        <v>0</v>
      </c>
      <c r="M84" s="284"/>
      <c r="N84" s="285"/>
      <c r="O84" s="136">
        <f t="shared" si="7"/>
        <v>0</v>
      </c>
      <c r="P84" s="85"/>
      <c r="R84" s="53"/>
      <c r="S84" s="53"/>
      <c r="T84" s="53"/>
    </row>
    <row r="85" spans="1:20" ht="24" x14ac:dyDescent="0.25">
      <c r="A85" s="76">
        <v>2122</v>
      </c>
      <c r="B85" s="127" t="s">
        <v>100</v>
      </c>
      <c r="C85" s="128">
        <f t="shared" si="3"/>
        <v>951</v>
      </c>
      <c r="D85" s="134">
        <v>951</v>
      </c>
      <c r="E85" s="283"/>
      <c r="F85" s="279">
        <f t="shared" si="4"/>
        <v>951</v>
      </c>
      <c r="G85" s="134"/>
      <c r="H85" s="135"/>
      <c r="I85" s="136">
        <f t="shared" si="5"/>
        <v>0</v>
      </c>
      <c r="J85" s="134"/>
      <c r="K85" s="135"/>
      <c r="L85" s="136">
        <f t="shared" si="6"/>
        <v>0</v>
      </c>
      <c r="M85" s="284"/>
      <c r="N85" s="285"/>
      <c r="O85" s="136">
        <f t="shared" si="7"/>
        <v>0</v>
      </c>
      <c r="P85" s="85"/>
      <c r="R85" s="53"/>
      <c r="S85" s="53"/>
      <c r="T85" s="53"/>
    </row>
    <row r="86" spans="1:20" x14ac:dyDescent="0.25">
      <c r="A86" s="99">
        <v>2200</v>
      </c>
      <c r="B86" s="247" t="s">
        <v>102</v>
      </c>
      <c r="C86" s="302">
        <f t="shared" si="3"/>
        <v>103439</v>
      </c>
      <c r="D86" s="112">
        <f>SUM(D87,D92,D98,D106,D115,D119,D125,D131)</f>
        <v>90281</v>
      </c>
      <c r="E86" s="248">
        <f>SUM(E87,E92,E98,E106,E115,E119,E125,E131)</f>
        <v>0</v>
      </c>
      <c r="F86" s="249">
        <f t="shared" si="4"/>
        <v>90281</v>
      </c>
      <c r="G86" s="112">
        <f>SUM(G87,G92,G98,G106,G115,G119,G125,G131)</f>
        <v>0</v>
      </c>
      <c r="H86" s="113">
        <f>SUM(H87,H92,H98,H106,H115,H119,H125,H131)</f>
        <v>0</v>
      </c>
      <c r="I86" s="114">
        <f t="shared" si="5"/>
        <v>0</v>
      </c>
      <c r="J86" s="112">
        <f>SUM(J87,J92,J98,J106,J115,J119,J125,J131)</f>
        <v>13158</v>
      </c>
      <c r="K86" s="113">
        <f>SUM(K87,K92,K98,K106,K115,K119,K125,K131)</f>
        <v>0</v>
      </c>
      <c r="L86" s="114">
        <f t="shared" si="6"/>
        <v>13158</v>
      </c>
      <c r="M86" s="303">
        <f>SUM(M87,M92,M98,M106,M115,M119,M125,M131)</f>
        <v>0</v>
      </c>
      <c r="N86" s="304">
        <f>SUM(N87,N92,N98,N106,N115,N119,N125,N131)</f>
        <v>0</v>
      </c>
      <c r="O86" s="305">
        <f t="shared" si="7"/>
        <v>0</v>
      </c>
      <c r="P86" s="306"/>
      <c r="R86" s="53"/>
      <c r="S86" s="53"/>
      <c r="T86" s="53"/>
    </row>
    <row r="87" spans="1:20" ht="24" x14ac:dyDescent="0.25">
      <c r="A87" s="254">
        <v>2210</v>
      </c>
      <c r="B87" s="179" t="s">
        <v>103</v>
      </c>
      <c r="C87" s="191">
        <f t="shared" si="3"/>
        <v>1298</v>
      </c>
      <c r="D87" s="255">
        <f>SUM(D88:D91)</f>
        <v>799</v>
      </c>
      <c r="E87" s="256">
        <f>SUM(E88:E91)</f>
        <v>0</v>
      </c>
      <c r="F87" s="257">
        <f t="shared" si="4"/>
        <v>799</v>
      </c>
      <c r="G87" s="255">
        <f>SUM(G88:G91)</f>
        <v>0</v>
      </c>
      <c r="H87" s="258">
        <f>SUM(H88:H91)</f>
        <v>0</v>
      </c>
      <c r="I87" s="259">
        <f t="shared" si="5"/>
        <v>0</v>
      </c>
      <c r="J87" s="255">
        <f>SUM(J88:J91)</f>
        <v>499</v>
      </c>
      <c r="K87" s="258">
        <f>SUM(K88:K91)</f>
        <v>0</v>
      </c>
      <c r="L87" s="259">
        <f t="shared" si="6"/>
        <v>499</v>
      </c>
      <c r="M87" s="260">
        <f>SUM(M88:M91)</f>
        <v>0</v>
      </c>
      <c r="N87" s="261">
        <f>SUM(N88:N91)</f>
        <v>0</v>
      </c>
      <c r="O87" s="259">
        <f t="shared" si="7"/>
        <v>0</v>
      </c>
      <c r="P87" s="189"/>
      <c r="R87" s="53"/>
      <c r="S87" s="53"/>
      <c r="T87" s="53"/>
    </row>
    <row r="88" spans="1:20" ht="24" hidden="1" x14ac:dyDescent="0.25">
      <c r="A88" s="66">
        <v>2211</v>
      </c>
      <c r="B88" s="116" t="s">
        <v>104</v>
      </c>
      <c r="C88" s="128">
        <f t="shared" si="3"/>
        <v>0</v>
      </c>
      <c r="D88" s="123"/>
      <c r="E88" s="262"/>
      <c r="F88" s="263">
        <f t="shared" si="4"/>
        <v>0</v>
      </c>
      <c r="G88" s="123"/>
      <c r="H88" s="124"/>
      <c r="I88" s="125">
        <f t="shared" si="5"/>
        <v>0</v>
      </c>
      <c r="J88" s="123"/>
      <c r="K88" s="124"/>
      <c r="L88" s="125">
        <f t="shared" si="6"/>
        <v>0</v>
      </c>
      <c r="M88" s="264"/>
      <c r="N88" s="262"/>
      <c r="O88" s="125">
        <f t="shared" si="7"/>
        <v>0</v>
      </c>
      <c r="P88" s="74"/>
      <c r="R88" s="53"/>
      <c r="S88" s="53"/>
      <c r="T88" s="53"/>
    </row>
    <row r="89" spans="1:20" ht="36" x14ac:dyDescent="0.25">
      <c r="A89" s="76">
        <v>2212</v>
      </c>
      <c r="B89" s="127" t="s">
        <v>105</v>
      </c>
      <c r="C89" s="128">
        <f t="shared" si="3"/>
        <v>842</v>
      </c>
      <c r="D89" s="134">
        <f>1072-729</f>
        <v>343</v>
      </c>
      <c r="E89" s="283"/>
      <c r="F89" s="279">
        <f t="shared" si="4"/>
        <v>343</v>
      </c>
      <c r="G89" s="134"/>
      <c r="H89" s="135"/>
      <c r="I89" s="136">
        <f t="shared" si="5"/>
        <v>0</v>
      </c>
      <c r="J89" s="134">
        <f>800-301</f>
        <v>499</v>
      </c>
      <c r="K89" s="135"/>
      <c r="L89" s="136">
        <f t="shared" si="6"/>
        <v>499</v>
      </c>
      <c r="M89" s="284"/>
      <c r="N89" s="285"/>
      <c r="O89" s="136">
        <f t="shared" si="7"/>
        <v>0</v>
      </c>
      <c r="P89" s="85"/>
      <c r="R89" s="53"/>
      <c r="S89" s="53"/>
      <c r="T89" s="53"/>
    </row>
    <row r="90" spans="1:20" ht="24" x14ac:dyDescent="0.25">
      <c r="A90" s="76">
        <v>2214</v>
      </c>
      <c r="B90" s="127" t="s">
        <v>106</v>
      </c>
      <c r="C90" s="128">
        <f t="shared" si="3"/>
        <v>242</v>
      </c>
      <c r="D90" s="134">
        <v>242</v>
      </c>
      <c r="E90" s="283"/>
      <c r="F90" s="279">
        <f t="shared" si="4"/>
        <v>242</v>
      </c>
      <c r="G90" s="134"/>
      <c r="H90" s="135"/>
      <c r="I90" s="136">
        <f t="shared" si="5"/>
        <v>0</v>
      </c>
      <c r="J90" s="134"/>
      <c r="K90" s="135"/>
      <c r="L90" s="136">
        <f t="shared" si="6"/>
        <v>0</v>
      </c>
      <c r="M90" s="284"/>
      <c r="N90" s="285"/>
      <c r="O90" s="136">
        <f t="shared" si="7"/>
        <v>0</v>
      </c>
      <c r="P90" s="85"/>
      <c r="R90" s="53"/>
      <c r="S90" s="53"/>
      <c r="T90" s="53"/>
    </row>
    <row r="91" spans="1:20" x14ac:dyDescent="0.25">
      <c r="A91" s="76">
        <v>2219</v>
      </c>
      <c r="B91" s="127" t="s">
        <v>107</v>
      </c>
      <c r="C91" s="128">
        <f t="shared" si="3"/>
        <v>214</v>
      </c>
      <c r="D91" s="134">
        <v>214</v>
      </c>
      <c r="E91" s="283"/>
      <c r="F91" s="279">
        <f t="shared" si="4"/>
        <v>214</v>
      </c>
      <c r="G91" s="134"/>
      <c r="H91" s="135"/>
      <c r="I91" s="136">
        <f t="shared" si="5"/>
        <v>0</v>
      </c>
      <c r="J91" s="134"/>
      <c r="K91" s="135"/>
      <c r="L91" s="136">
        <f t="shared" si="6"/>
        <v>0</v>
      </c>
      <c r="M91" s="284"/>
      <c r="N91" s="285"/>
      <c r="O91" s="136">
        <f t="shared" si="7"/>
        <v>0</v>
      </c>
      <c r="P91" s="85"/>
      <c r="R91" s="53"/>
      <c r="S91" s="53"/>
      <c r="T91" s="53"/>
    </row>
    <row r="92" spans="1:20" ht="24" x14ac:dyDescent="0.25">
      <c r="A92" s="276">
        <v>2220</v>
      </c>
      <c r="B92" s="127" t="s">
        <v>108</v>
      </c>
      <c r="C92" s="128">
        <f t="shared" si="3"/>
        <v>86567</v>
      </c>
      <c r="D92" s="277">
        <f>SUM(D93:D97)</f>
        <v>73955</v>
      </c>
      <c r="E92" s="278">
        <f>SUM(E93:E97)</f>
        <v>0</v>
      </c>
      <c r="F92" s="279">
        <f t="shared" si="4"/>
        <v>73955</v>
      </c>
      <c r="G92" s="277">
        <f>SUM(G93:G97)</f>
        <v>0</v>
      </c>
      <c r="H92" s="280">
        <f>SUM(H93:H97)</f>
        <v>0</v>
      </c>
      <c r="I92" s="136">
        <f t="shared" si="5"/>
        <v>0</v>
      </c>
      <c r="J92" s="277">
        <f>SUM(J93:J97)</f>
        <v>12612</v>
      </c>
      <c r="K92" s="280">
        <f>SUM(K93:K97)</f>
        <v>0</v>
      </c>
      <c r="L92" s="136">
        <f t="shared" si="6"/>
        <v>12612</v>
      </c>
      <c r="M92" s="281">
        <f>SUM(M93:M97)</f>
        <v>0</v>
      </c>
      <c r="N92" s="282">
        <f>SUM(N93:N97)</f>
        <v>0</v>
      </c>
      <c r="O92" s="136">
        <f t="shared" si="7"/>
        <v>0</v>
      </c>
      <c r="P92" s="85"/>
      <c r="R92" s="53"/>
      <c r="S92" s="53"/>
      <c r="T92" s="53"/>
    </row>
    <row r="93" spans="1:20" x14ac:dyDescent="0.25">
      <c r="A93" s="76">
        <v>2221</v>
      </c>
      <c r="B93" s="127" t="s">
        <v>109</v>
      </c>
      <c r="C93" s="128">
        <f t="shared" si="3"/>
        <v>53350</v>
      </c>
      <c r="D93" s="134">
        <v>45045</v>
      </c>
      <c r="E93" s="283"/>
      <c r="F93" s="279">
        <f t="shared" si="4"/>
        <v>45045</v>
      </c>
      <c r="G93" s="134"/>
      <c r="H93" s="135"/>
      <c r="I93" s="136">
        <f t="shared" si="5"/>
        <v>0</v>
      </c>
      <c r="J93" s="134">
        <v>8305</v>
      </c>
      <c r="K93" s="135"/>
      <c r="L93" s="136">
        <f t="shared" si="6"/>
        <v>8305</v>
      </c>
      <c r="M93" s="284"/>
      <c r="N93" s="285"/>
      <c r="O93" s="136">
        <f t="shared" si="7"/>
        <v>0</v>
      </c>
      <c r="P93" s="85"/>
      <c r="R93" s="53"/>
      <c r="S93" s="53"/>
      <c r="T93" s="53"/>
    </row>
    <row r="94" spans="1:20" x14ac:dyDescent="0.25">
      <c r="A94" s="76">
        <v>2222</v>
      </c>
      <c r="B94" s="127" t="s">
        <v>110</v>
      </c>
      <c r="C94" s="128">
        <f t="shared" si="3"/>
        <v>5850</v>
      </c>
      <c r="D94" s="134">
        <v>4550</v>
      </c>
      <c r="E94" s="283"/>
      <c r="F94" s="279">
        <f t="shared" si="4"/>
        <v>4550</v>
      </c>
      <c r="G94" s="134"/>
      <c r="H94" s="135"/>
      <c r="I94" s="136">
        <f t="shared" si="5"/>
        <v>0</v>
      </c>
      <c r="J94" s="134">
        <v>1300</v>
      </c>
      <c r="K94" s="135"/>
      <c r="L94" s="136">
        <f t="shared" si="6"/>
        <v>1300</v>
      </c>
      <c r="M94" s="284"/>
      <c r="N94" s="285"/>
      <c r="O94" s="136">
        <f t="shared" si="7"/>
        <v>0</v>
      </c>
      <c r="P94" s="85"/>
      <c r="R94" s="53"/>
      <c r="S94" s="53"/>
      <c r="T94" s="53"/>
    </row>
    <row r="95" spans="1:20" x14ac:dyDescent="0.25">
      <c r="A95" s="76">
        <v>2223</v>
      </c>
      <c r="B95" s="127" t="s">
        <v>111</v>
      </c>
      <c r="C95" s="128">
        <f t="shared" si="3"/>
        <v>26563</v>
      </c>
      <c r="D95" s="134">
        <f>23250+729</f>
        <v>23979</v>
      </c>
      <c r="E95" s="283"/>
      <c r="F95" s="279">
        <f t="shared" si="4"/>
        <v>23979</v>
      </c>
      <c r="G95" s="134"/>
      <c r="H95" s="135"/>
      <c r="I95" s="136">
        <f t="shared" si="5"/>
        <v>0</v>
      </c>
      <c r="J95" s="134">
        <f>1900+684</f>
        <v>2584</v>
      </c>
      <c r="K95" s="135"/>
      <c r="L95" s="136">
        <f t="shared" si="6"/>
        <v>2584</v>
      </c>
      <c r="M95" s="284"/>
      <c r="N95" s="285"/>
      <c r="O95" s="136">
        <f t="shared" si="7"/>
        <v>0</v>
      </c>
      <c r="P95" s="85"/>
      <c r="R95" s="53"/>
      <c r="S95" s="53"/>
      <c r="T95" s="53"/>
    </row>
    <row r="96" spans="1:20" ht="48" x14ac:dyDescent="0.25">
      <c r="A96" s="76">
        <v>2224</v>
      </c>
      <c r="B96" s="127" t="s">
        <v>112</v>
      </c>
      <c r="C96" s="128">
        <f t="shared" si="3"/>
        <v>804</v>
      </c>
      <c r="D96" s="134">
        <v>381</v>
      </c>
      <c r="E96" s="283"/>
      <c r="F96" s="279">
        <f t="shared" si="4"/>
        <v>381</v>
      </c>
      <c r="G96" s="134"/>
      <c r="H96" s="135"/>
      <c r="I96" s="136">
        <f t="shared" si="5"/>
        <v>0</v>
      </c>
      <c r="J96" s="134">
        <v>423</v>
      </c>
      <c r="K96" s="135"/>
      <c r="L96" s="136">
        <f t="shared" si="6"/>
        <v>423</v>
      </c>
      <c r="M96" s="284"/>
      <c r="N96" s="285"/>
      <c r="O96" s="136">
        <f t="shared" si="7"/>
        <v>0</v>
      </c>
      <c r="P96" s="85"/>
      <c r="R96" s="53"/>
      <c r="S96" s="53"/>
      <c r="T96" s="53"/>
    </row>
    <row r="97" spans="1:20" ht="24" hidden="1" x14ac:dyDescent="0.25">
      <c r="A97" s="76">
        <v>2229</v>
      </c>
      <c r="B97" s="127" t="s">
        <v>113</v>
      </c>
      <c r="C97" s="128">
        <f t="shared" si="3"/>
        <v>0</v>
      </c>
      <c r="D97" s="134"/>
      <c r="E97" s="285"/>
      <c r="F97" s="286">
        <f t="shared" si="4"/>
        <v>0</v>
      </c>
      <c r="G97" s="134"/>
      <c r="H97" s="135"/>
      <c r="I97" s="136">
        <f t="shared" si="5"/>
        <v>0</v>
      </c>
      <c r="J97" s="134"/>
      <c r="K97" s="135"/>
      <c r="L97" s="136">
        <f t="shared" si="6"/>
        <v>0</v>
      </c>
      <c r="M97" s="284"/>
      <c r="N97" s="285"/>
      <c r="O97" s="136">
        <f t="shared" si="7"/>
        <v>0</v>
      </c>
      <c r="P97" s="85"/>
      <c r="R97" s="53"/>
      <c r="S97" s="53"/>
      <c r="T97" s="53"/>
    </row>
    <row r="98" spans="1:20" ht="36" x14ac:dyDescent="0.25">
      <c r="A98" s="276">
        <v>2230</v>
      </c>
      <c r="B98" s="127" t="s">
        <v>114</v>
      </c>
      <c r="C98" s="128">
        <f t="shared" si="3"/>
        <v>1432</v>
      </c>
      <c r="D98" s="277">
        <f>SUM(D99:D105)</f>
        <v>1432</v>
      </c>
      <c r="E98" s="278">
        <f>SUM(E99:E105)</f>
        <v>0</v>
      </c>
      <c r="F98" s="279">
        <f t="shared" si="4"/>
        <v>1432</v>
      </c>
      <c r="G98" s="277">
        <f>SUM(G99:G105)</f>
        <v>0</v>
      </c>
      <c r="H98" s="280">
        <f>SUM(H99:H105)</f>
        <v>0</v>
      </c>
      <c r="I98" s="136">
        <f t="shared" si="5"/>
        <v>0</v>
      </c>
      <c r="J98" s="277">
        <f>SUM(J99:J105)</f>
        <v>0</v>
      </c>
      <c r="K98" s="280">
        <f>SUM(K99:K105)</f>
        <v>0</v>
      </c>
      <c r="L98" s="136">
        <f t="shared" si="6"/>
        <v>0</v>
      </c>
      <c r="M98" s="281">
        <f>SUM(M99:M105)</f>
        <v>0</v>
      </c>
      <c r="N98" s="282">
        <f>SUM(N99:N105)</f>
        <v>0</v>
      </c>
      <c r="O98" s="136">
        <f t="shared" si="7"/>
        <v>0</v>
      </c>
      <c r="P98" s="85"/>
      <c r="R98" s="53"/>
      <c r="S98" s="53"/>
      <c r="T98" s="53"/>
    </row>
    <row r="99" spans="1:20" ht="24" hidden="1" x14ac:dyDescent="0.25">
      <c r="A99" s="76">
        <v>2231</v>
      </c>
      <c r="B99" s="127" t="s">
        <v>115</v>
      </c>
      <c r="C99" s="128">
        <f t="shared" si="3"/>
        <v>0</v>
      </c>
      <c r="D99" s="134"/>
      <c r="E99" s="285"/>
      <c r="F99" s="286">
        <f t="shared" si="4"/>
        <v>0</v>
      </c>
      <c r="G99" s="134"/>
      <c r="H99" s="135"/>
      <c r="I99" s="136">
        <f t="shared" si="5"/>
        <v>0</v>
      </c>
      <c r="J99" s="134"/>
      <c r="K99" s="135"/>
      <c r="L99" s="136">
        <f t="shared" si="6"/>
        <v>0</v>
      </c>
      <c r="M99" s="284"/>
      <c r="N99" s="285"/>
      <c r="O99" s="136">
        <f t="shared" si="7"/>
        <v>0</v>
      </c>
      <c r="P99" s="85"/>
      <c r="R99" s="53"/>
      <c r="S99" s="53"/>
      <c r="T99" s="53"/>
    </row>
    <row r="100" spans="1:20" ht="36" hidden="1" x14ac:dyDescent="0.25">
      <c r="A100" s="76">
        <v>2232</v>
      </c>
      <c r="B100" s="127" t="s">
        <v>116</v>
      </c>
      <c r="C100" s="128">
        <f t="shared" si="3"/>
        <v>0</v>
      </c>
      <c r="D100" s="134"/>
      <c r="E100" s="285"/>
      <c r="F100" s="286">
        <f t="shared" si="4"/>
        <v>0</v>
      </c>
      <c r="G100" s="134"/>
      <c r="H100" s="135"/>
      <c r="I100" s="136">
        <f t="shared" si="5"/>
        <v>0</v>
      </c>
      <c r="J100" s="134"/>
      <c r="K100" s="135"/>
      <c r="L100" s="136">
        <f t="shared" si="6"/>
        <v>0</v>
      </c>
      <c r="M100" s="284"/>
      <c r="N100" s="285"/>
      <c r="O100" s="136">
        <f t="shared" si="7"/>
        <v>0</v>
      </c>
      <c r="P100" s="85"/>
      <c r="R100" s="53"/>
      <c r="S100" s="53"/>
      <c r="T100" s="53"/>
    </row>
    <row r="101" spans="1:20" ht="24" hidden="1" x14ac:dyDescent="0.25">
      <c r="A101" s="66">
        <v>2233</v>
      </c>
      <c r="B101" s="116" t="s">
        <v>117</v>
      </c>
      <c r="C101" s="128">
        <f t="shared" si="3"/>
        <v>0</v>
      </c>
      <c r="D101" s="123"/>
      <c r="E101" s="262"/>
      <c r="F101" s="263">
        <f t="shared" si="4"/>
        <v>0</v>
      </c>
      <c r="G101" s="123"/>
      <c r="H101" s="124"/>
      <c r="I101" s="125">
        <f t="shared" si="5"/>
        <v>0</v>
      </c>
      <c r="J101" s="123"/>
      <c r="K101" s="124"/>
      <c r="L101" s="125">
        <f t="shared" si="6"/>
        <v>0</v>
      </c>
      <c r="M101" s="264"/>
      <c r="N101" s="262"/>
      <c r="O101" s="125">
        <f t="shared" si="7"/>
        <v>0</v>
      </c>
      <c r="P101" s="74"/>
      <c r="R101" s="53"/>
      <c r="S101" s="53"/>
      <c r="T101" s="53"/>
    </row>
    <row r="102" spans="1:20" ht="36" x14ac:dyDescent="0.25">
      <c r="A102" s="76">
        <v>2234</v>
      </c>
      <c r="B102" s="127" t="s">
        <v>118</v>
      </c>
      <c r="C102" s="128">
        <f t="shared" si="3"/>
        <v>42</v>
      </c>
      <c r="D102" s="134">
        <v>42</v>
      </c>
      <c r="E102" s="283"/>
      <c r="F102" s="279">
        <f t="shared" si="4"/>
        <v>42</v>
      </c>
      <c r="G102" s="134"/>
      <c r="H102" s="135"/>
      <c r="I102" s="136">
        <f t="shared" si="5"/>
        <v>0</v>
      </c>
      <c r="J102" s="134"/>
      <c r="K102" s="135"/>
      <c r="L102" s="136">
        <f t="shared" si="6"/>
        <v>0</v>
      </c>
      <c r="M102" s="284"/>
      <c r="N102" s="285"/>
      <c r="O102" s="136">
        <f t="shared" si="7"/>
        <v>0</v>
      </c>
      <c r="P102" s="85"/>
      <c r="R102" s="53"/>
      <c r="S102" s="53"/>
      <c r="T102" s="53"/>
    </row>
    <row r="103" spans="1:20" ht="24" hidden="1" x14ac:dyDescent="0.25">
      <c r="A103" s="76">
        <v>2235</v>
      </c>
      <c r="B103" s="127" t="s">
        <v>119</v>
      </c>
      <c r="C103" s="128">
        <f t="shared" si="3"/>
        <v>0</v>
      </c>
      <c r="D103" s="134"/>
      <c r="E103" s="285"/>
      <c r="F103" s="286">
        <f t="shared" si="4"/>
        <v>0</v>
      </c>
      <c r="G103" s="134"/>
      <c r="H103" s="135"/>
      <c r="I103" s="136">
        <f t="shared" si="5"/>
        <v>0</v>
      </c>
      <c r="J103" s="134"/>
      <c r="K103" s="135"/>
      <c r="L103" s="136">
        <f t="shared" si="6"/>
        <v>0</v>
      </c>
      <c r="M103" s="284"/>
      <c r="N103" s="285"/>
      <c r="O103" s="136">
        <f t="shared" si="7"/>
        <v>0</v>
      </c>
      <c r="P103" s="85"/>
      <c r="R103" s="53"/>
      <c r="S103" s="53"/>
      <c r="T103" s="53"/>
    </row>
    <row r="104" spans="1:20" hidden="1" x14ac:dyDescent="0.25">
      <c r="A104" s="76">
        <v>2236</v>
      </c>
      <c r="B104" s="127" t="s">
        <v>120</v>
      </c>
      <c r="C104" s="128">
        <f t="shared" si="3"/>
        <v>0</v>
      </c>
      <c r="D104" s="134"/>
      <c r="E104" s="285"/>
      <c r="F104" s="286">
        <f t="shared" si="4"/>
        <v>0</v>
      </c>
      <c r="G104" s="134"/>
      <c r="H104" s="135"/>
      <c r="I104" s="136">
        <f t="shared" si="5"/>
        <v>0</v>
      </c>
      <c r="J104" s="134"/>
      <c r="K104" s="135"/>
      <c r="L104" s="136">
        <f t="shared" si="6"/>
        <v>0</v>
      </c>
      <c r="M104" s="284"/>
      <c r="N104" s="285"/>
      <c r="O104" s="136">
        <f t="shared" si="7"/>
        <v>0</v>
      </c>
      <c r="P104" s="85"/>
      <c r="R104" s="53"/>
      <c r="S104" s="53"/>
      <c r="T104" s="53"/>
    </row>
    <row r="105" spans="1:20" ht="24" x14ac:dyDescent="0.25">
      <c r="A105" s="76">
        <v>2239</v>
      </c>
      <c r="B105" s="127" t="s">
        <v>121</v>
      </c>
      <c r="C105" s="128">
        <f t="shared" si="3"/>
        <v>1390</v>
      </c>
      <c r="D105" s="134">
        <v>1390</v>
      </c>
      <c r="E105" s="283"/>
      <c r="F105" s="279">
        <f t="shared" si="4"/>
        <v>1390</v>
      </c>
      <c r="G105" s="134"/>
      <c r="H105" s="135"/>
      <c r="I105" s="136">
        <f t="shared" si="5"/>
        <v>0</v>
      </c>
      <c r="J105" s="134"/>
      <c r="K105" s="135"/>
      <c r="L105" s="136">
        <f t="shared" si="6"/>
        <v>0</v>
      </c>
      <c r="M105" s="284"/>
      <c r="N105" s="285"/>
      <c r="O105" s="136">
        <f t="shared" si="7"/>
        <v>0</v>
      </c>
      <c r="P105" s="85"/>
      <c r="R105" s="53"/>
      <c r="S105" s="53"/>
      <c r="T105" s="53"/>
    </row>
    <row r="106" spans="1:20" ht="36" x14ac:dyDescent="0.25">
      <c r="A106" s="276">
        <v>2240</v>
      </c>
      <c r="B106" s="127" t="s">
        <v>122</v>
      </c>
      <c r="C106" s="128">
        <f t="shared" si="3"/>
        <v>5032</v>
      </c>
      <c r="D106" s="277">
        <f>SUM(D107:D114)</f>
        <v>5032</v>
      </c>
      <c r="E106" s="278">
        <f>SUM(E107:E114)</f>
        <v>0</v>
      </c>
      <c r="F106" s="279">
        <f t="shared" si="4"/>
        <v>5032</v>
      </c>
      <c r="G106" s="277">
        <f>SUM(G107:G114)</f>
        <v>0</v>
      </c>
      <c r="H106" s="280">
        <f>SUM(H107:H114)</f>
        <v>0</v>
      </c>
      <c r="I106" s="136">
        <f t="shared" si="5"/>
        <v>0</v>
      </c>
      <c r="J106" s="277">
        <f>SUM(J107:J114)</f>
        <v>0</v>
      </c>
      <c r="K106" s="280">
        <f>SUM(K107:K114)</f>
        <v>0</v>
      </c>
      <c r="L106" s="136">
        <f t="shared" si="6"/>
        <v>0</v>
      </c>
      <c r="M106" s="281">
        <f>SUM(M107:M114)</f>
        <v>0</v>
      </c>
      <c r="N106" s="282">
        <f>SUM(N107:N114)</f>
        <v>0</v>
      </c>
      <c r="O106" s="136">
        <f t="shared" si="7"/>
        <v>0</v>
      </c>
      <c r="P106" s="85"/>
      <c r="R106" s="53"/>
      <c r="S106" s="53"/>
      <c r="T106" s="53"/>
    </row>
    <row r="107" spans="1:20" hidden="1" x14ac:dyDescent="0.25">
      <c r="A107" s="76">
        <v>2241</v>
      </c>
      <c r="B107" s="127" t="s">
        <v>123</v>
      </c>
      <c r="C107" s="128">
        <f t="shared" si="3"/>
        <v>0</v>
      </c>
      <c r="D107" s="134"/>
      <c r="E107" s="285"/>
      <c r="F107" s="286">
        <f t="shared" si="4"/>
        <v>0</v>
      </c>
      <c r="G107" s="134"/>
      <c r="H107" s="135"/>
      <c r="I107" s="136">
        <f t="shared" si="5"/>
        <v>0</v>
      </c>
      <c r="J107" s="134"/>
      <c r="K107" s="135"/>
      <c r="L107" s="136">
        <f t="shared" si="6"/>
        <v>0</v>
      </c>
      <c r="M107" s="284"/>
      <c r="N107" s="285"/>
      <c r="O107" s="136">
        <f t="shared" si="7"/>
        <v>0</v>
      </c>
      <c r="P107" s="85"/>
      <c r="R107" s="53"/>
      <c r="S107" s="53"/>
      <c r="T107" s="53"/>
    </row>
    <row r="108" spans="1:20" ht="24" hidden="1" x14ac:dyDescent="0.25">
      <c r="A108" s="76">
        <v>2242</v>
      </c>
      <c r="B108" s="127" t="s">
        <v>124</v>
      </c>
      <c r="C108" s="128">
        <f t="shared" si="3"/>
        <v>0</v>
      </c>
      <c r="D108" s="134"/>
      <c r="E108" s="285"/>
      <c r="F108" s="286">
        <f t="shared" si="4"/>
        <v>0</v>
      </c>
      <c r="G108" s="134"/>
      <c r="H108" s="135"/>
      <c r="I108" s="136">
        <f t="shared" si="5"/>
        <v>0</v>
      </c>
      <c r="J108" s="134"/>
      <c r="K108" s="135"/>
      <c r="L108" s="136">
        <f t="shared" si="6"/>
        <v>0</v>
      </c>
      <c r="M108" s="284"/>
      <c r="N108" s="285"/>
      <c r="O108" s="136">
        <f t="shared" si="7"/>
        <v>0</v>
      </c>
      <c r="P108" s="85"/>
      <c r="R108" s="53"/>
      <c r="S108" s="53"/>
      <c r="T108" s="53"/>
    </row>
    <row r="109" spans="1:20" ht="24" x14ac:dyDescent="0.25">
      <c r="A109" s="76">
        <v>2243</v>
      </c>
      <c r="B109" s="127" t="s">
        <v>125</v>
      </c>
      <c r="C109" s="128">
        <f t="shared" si="3"/>
        <v>1547</v>
      </c>
      <c r="D109" s="134">
        <v>1547</v>
      </c>
      <c r="E109" s="283"/>
      <c r="F109" s="279">
        <f t="shared" si="4"/>
        <v>1547</v>
      </c>
      <c r="G109" s="134"/>
      <c r="H109" s="135"/>
      <c r="I109" s="136">
        <f t="shared" si="5"/>
        <v>0</v>
      </c>
      <c r="J109" s="134"/>
      <c r="K109" s="135"/>
      <c r="L109" s="136">
        <f t="shared" si="6"/>
        <v>0</v>
      </c>
      <c r="M109" s="284"/>
      <c r="N109" s="285"/>
      <c r="O109" s="136">
        <f t="shared" si="7"/>
        <v>0</v>
      </c>
      <c r="P109" s="85"/>
      <c r="R109" s="53"/>
      <c r="S109" s="53"/>
      <c r="T109" s="53"/>
    </row>
    <row r="110" spans="1:20" x14ac:dyDescent="0.25">
      <c r="A110" s="76">
        <v>2244</v>
      </c>
      <c r="B110" s="127" t="s">
        <v>126</v>
      </c>
      <c r="C110" s="128">
        <f t="shared" si="3"/>
        <v>3485</v>
      </c>
      <c r="D110" s="134">
        <v>3485</v>
      </c>
      <c r="E110" s="283"/>
      <c r="F110" s="279">
        <f t="shared" si="4"/>
        <v>3485</v>
      </c>
      <c r="G110" s="134"/>
      <c r="H110" s="135"/>
      <c r="I110" s="136">
        <f t="shared" si="5"/>
        <v>0</v>
      </c>
      <c r="J110" s="134"/>
      <c r="K110" s="135"/>
      <c r="L110" s="136">
        <f t="shared" si="6"/>
        <v>0</v>
      </c>
      <c r="M110" s="284"/>
      <c r="N110" s="285"/>
      <c r="O110" s="136">
        <f t="shared" si="7"/>
        <v>0</v>
      </c>
      <c r="P110" s="85"/>
      <c r="R110" s="53"/>
      <c r="S110" s="53"/>
      <c r="T110" s="53"/>
    </row>
    <row r="111" spans="1:20" ht="24" hidden="1" x14ac:dyDescent="0.25">
      <c r="A111" s="76">
        <v>2246</v>
      </c>
      <c r="B111" s="127" t="s">
        <v>127</v>
      </c>
      <c r="C111" s="128">
        <f t="shared" si="3"/>
        <v>0</v>
      </c>
      <c r="D111" s="134"/>
      <c r="E111" s="285"/>
      <c r="F111" s="286">
        <f t="shared" si="4"/>
        <v>0</v>
      </c>
      <c r="G111" s="134"/>
      <c r="H111" s="135"/>
      <c r="I111" s="136">
        <f t="shared" si="5"/>
        <v>0</v>
      </c>
      <c r="J111" s="134"/>
      <c r="K111" s="135"/>
      <c r="L111" s="136">
        <f t="shared" si="6"/>
        <v>0</v>
      </c>
      <c r="M111" s="284"/>
      <c r="N111" s="285"/>
      <c r="O111" s="136">
        <f t="shared" si="7"/>
        <v>0</v>
      </c>
      <c r="P111" s="85"/>
      <c r="R111" s="53"/>
      <c r="S111" s="53"/>
      <c r="T111" s="53"/>
    </row>
    <row r="112" spans="1:20" hidden="1" x14ac:dyDescent="0.25">
      <c r="A112" s="76">
        <v>2247</v>
      </c>
      <c r="B112" s="127" t="s">
        <v>128</v>
      </c>
      <c r="C112" s="128">
        <f t="shared" si="3"/>
        <v>0</v>
      </c>
      <c r="D112" s="134"/>
      <c r="E112" s="285"/>
      <c r="F112" s="286">
        <f t="shared" si="4"/>
        <v>0</v>
      </c>
      <c r="G112" s="134"/>
      <c r="H112" s="135"/>
      <c r="I112" s="136">
        <f t="shared" si="5"/>
        <v>0</v>
      </c>
      <c r="J112" s="134"/>
      <c r="K112" s="135"/>
      <c r="L112" s="136">
        <f t="shared" si="6"/>
        <v>0</v>
      </c>
      <c r="M112" s="284"/>
      <c r="N112" s="285"/>
      <c r="O112" s="136">
        <f t="shared" si="7"/>
        <v>0</v>
      </c>
      <c r="P112" s="85"/>
      <c r="R112" s="53"/>
      <c r="S112" s="53"/>
      <c r="T112" s="53"/>
    </row>
    <row r="113" spans="1:20" ht="24" hidden="1" x14ac:dyDescent="0.25">
      <c r="A113" s="76">
        <v>2248</v>
      </c>
      <c r="B113" s="127" t="s">
        <v>129</v>
      </c>
      <c r="C113" s="128">
        <f t="shared" si="3"/>
        <v>0</v>
      </c>
      <c r="D113" s="134"/>
      <c r="E113" s="285"/>
      <c r="F113" s="286">
        <f t="shared" si="4"/>
        <v>0</v>
      </c>
      <c r="G113" s="134"/>
      <c r="H113" s="135"/>
      <c r="I113" s="136">
        <f t="shared" si="5"/>
        <v>0</v>
      </c>
      <c r="J113" s="134"/>
      <c r="K113" s="135"/>
      <c r="L113" s="136">
        <f t="shared" si="6"/>
        <v>0</v>
      </c>
      <c r="M113" s="284"/>
      <c r="N113" s="285"/>
      <c r="O113" s="136">
        <f t="shared" si="7"/>
        <v>0</v>
      </c>
      <c r="P113" s="85"/>
      <c r="R113" s="53"/>
      <c r="S113" s="53"/>
      <c r="T113" s="53"/>
    </row>
    <row r="114" spans="1:20" ht="24" hidden="1" x14ac:dyDescent="0.25">
      <c r="A114" s="76">
        <v>2249</v>
      </c>
      <c r="B114" s="127" t="s">
        <v>130</v>
      </c>
      <c r="C114" s="128">
        <f t="shared" si="3"/>
        <v>0</v>
      </c>
      <c r="D114" s="134"/>
      <c r="E114" s="285"/>
      <c r="F114" s="286">
        <f t="shared" si="4"/>
        <v>0</v>
      </c>
      <c r="G114" s="134"/>
      <c r="H114" s="135"/>
      <c r="I114" s="136">
        <f t="shared" si="5"/>
        <v>0</v>
      </c>
      <c r="J114" s="134"/>
      <c r="K114" s="135"/>
      <c r="L114" s="136">
        <f t="shared" si="6"/>
        <v>0</v>
      </c>
      <c r="M114" s="284"/>
      <c r="N114" s="285"/>
      <c r="O114" s="136">
        <f t="shared" si="7"/>
        <v>0</v>
      </c>
      <c r="P114" s="85"/>
      <c r="R114" s="53"/>
      <c r="S114" s="53"/>
      <c r="T114" s="53"/>
    </row>
    <row r="115" spans="1:20" x14ac:dyDescent="0.25">
      <c r="A115" s="276">
        <v>2250</v>
      </c>
      <c r="B115" s="127" t="s">
        <v>131</v>
      </c>
      <c r="C115" s="128">
        <f t="shared" si="3"/>
        <v>540</v>
      </c>
      <c r="D115" s="277">
        <f>SUM(D116:D118)</f>
        <v>540</v>
      </c>
      <c r="E115" s="278">
        <f>SUM(E116:E118)</f>
        <v>0</v>
      </c>
      <c r="F115" s="279">
        <f t="shared" si="4"/>
        <v>540</v>
      </c>
      <c r="G115" s="277">
        <f>SUM(G116:G118)</f>
        <v>0</v>
      </c>
      <c r="H115" s="280">
        <f>SUM(H116:H118)</f>
        <v>0</v>
      </c>
      <c r="I115" s="136">
        <f t="shared" si="5"/>
        <v>0</v>
      </c>
      <c r="J115" s="277">
        <f>SUM(J116:J118)</f>
        <v>0</v>
      </c>
      <c r="K115" s="280">
        <f>SUM(K116:K118)</f>
        <v>0</v>
      </c>
      <c r="L115" s="136">
        <f t="shared" si="6"/>
        <v>0</v>
      </c>
      <c r="M115" s="281">
        <f>SUM(M116:M118)</f>
        <v>0</v>
      </c>
      <c r="N115" s="282">
        <f>SUM(N116:N118)</f>
        <v>0</v>
      </c>
      <c r="O115" s="136">
        <f t="shared" si="7"/>
        <v>0</v>
      </c>
      <c r="P115" s="85"/>
      <c r="R115" s="53"/>
      <c r="S115" s="53"/>
      <c r="T115" s="53"/>
    </row>
    <row r="116" spans="1:20" hidden="1" x14ac:dyDescent="0.25">
      <c r="A116" s="76">
        <v>2251</v>
      </c>
      <c r="B116" s="127" t="s">
        <v>132</v>
      </c>
      <c r="C116" s="128">
        <f t="shared" si="3"/>
        <v>0</v>
      </c>
      <c r="D116" s="134"/>
      <c r="E116" s="285"/>
      <c r="F116" s="286">
        <f t="shared" si="4"/>
        <v>0</v>
      </c>
      <c r="G116" s="134"/>
      <c r="H116" s="135"/>
      <c r="I116" s="136">
        <f t="shared" si="5"/>
        <v>0</v>
      </c>
      <c r="J116" s="134"/>
      <c r="K116" s="135"/>
      <c r="L116" s="136">
        <f t="shared" si="6"/>
        <v>0</v>
      </c>
      <c r="M116" s="284"/>
      <c r="N116" s="285"/>
      <c r="O116" s="136">
        <f t="shared" si="7"/>
        <v>0</v>
      </c>
      <c r="P116" s="85"/>
      <c r="R116" s="53"/>
      <c r="S116" s="53"/>
      <c r="T116" s="53"/>
    </row>
    <row r="117" spans="1:20" ht="24" x14ac:dyDescent="0.25">
      <c r="A117" s="76">
        <v>2252</v>
      </c>
      <c r="B117" s="127" t="s">
        <v>133</v>
      </c>
      <c r="C117" s="128">
        <f t="shared" ref="C117:C181" si="8">F117+I117+L117+O117</f>
        <v>100</v>
      </c>
      <c r="D117" s="134">
        <v>100</v>
      </c>
      <c r="E117" s="283"/>
      <c r="F117" s="279">
        <f t="shared" si="4"/>
        <v>100</v>
      </c>
      <c r="G117" s="134"/>
      <c r="H117" s="135"/>
      <c r="I117" s="136">
        <f t="shared" si="5"/>
        <v>0</v>
      </c>
      <c r="J117" s="134"/>
      <c r="K117" s="135"/>
      <c r="L117" s="136">
        <f t="shared" si="6"/>
        <v>0</v>
      </c>
      <c r="M117" s="284"/>
      <c r="N117" s="285"/>
      <c r="O117" s="136">
        <f t="shared" si="7"/>
        <v>0</v>
      </c>
      <c r="P117" s="85"/>
      <c r="R117" s="53"/>
      <c r="S117" s="53"/>
      <c r="T117" s="53"/>
    </row>
    <row r="118" spans="1:20" ht="24" x14ac:dyDescent="0.25">
      <c r="A118" s="76">
        <v>2259</v>
      </c>
      <c r="B118" s="127" t="s">
        <v>134</v>
      </c>
      <c r="C118" s="128">
        <f t="shared" si="8"/>
        <v>440</v>
      </c>
      <c r="D118" s="134">
        <v>440</v>
      </c>
      <c r="E118" s="283"/>
      <c r="F118" s="279">
        <f t="shared" ref="F118:F182" si="9">D118+E118</f>
        <v>440</v>
      </c>
      <c r="G118" s="134"/>
      <c r="H118" s="135"/>
      <c r="I118" s="136">
        <f t="shared" ref="I118:I182" si="10">G118+H118</f>
        <v>0</v>
      </c>
      <c r="J118" s="134"/>
      <c r="K118" s="135"/>
      <c r="L118" s="136">
        <f t="shared" ref="L118:L182" si="11">J118+K118</f>
        <v>0</v>
      </c>
      <c r="M118" s="284"/>
      <c r="N118" s="285"/>
      <c r="O118" s="136">
        <f t="shared" ref="O118:O182" si="12">M118+N118</f>
        <v>0</v>
      </c>
      <c r="P118" s="85"/>
      <c r="R118" s="53"/>
      <c r="S118" s="53"/>
      <c r="T118" s="53"/>
    </row>
    <row r="119" spans="1:20" x14ac:dyDescent="0.25">
      <c r="A119" s="276">
        <v>2260</v>
      </c>
      <c r="B119" s="127" t="s">
        <v>135</v>
      </c>
      <c r="C119" s="128">
        <f t="shared" si="8"/>
        <v>2509</v>
      </c>
      <c r="D119" s="277">
        <f>SUM(D120:D124)</f>
        <v>2462</v>
      </c>
      <c r="E119" s="278">
        <f>SUM(E120:E124)</f>
        <v>0</v>
      </c>
      <c r="F119" s="279">
        <f t="shared" si="9"/>
        <v>2462</v>
      </c>
      <c r="G119" s="277">
        <f>SUM(G120:G124)</f>
        <v>0</v>
      </c>
      <c r="H119" s="280">
        <f>SUM(H120:H124)</f>
        <v>0</v>
      </c>
      <c r="I119" s="136">
        <f t="shared" si="10"/>
        <v>0</v>
      </c>
      <c r="J119" s="277">
        <f>SUM(J120:J124)</f>
        <v>47</v>
      </c>
      <c r="K119" s="280">
        <f>SUM(K120:K124)</f>
        <v>0</v>
      </c>
      <c r="L119" s="136">
        <f t="shared" si="11"/>
        <v>47</v>
      </c>
      <c r="M119" s="281">
        <f>SUM(M120:M124)</f>
        <v>0</v>
      </c>
      <c r="N119" s="282">
        <f>SUM(N120:N124)</f>
        <v>0</v>
      </c>
      <c r="O119" s="136">
        <f t="shared" si="12"/>
        <v>0</v>
      </c>
      <c r="P119" s="85"/>
      <c r="R119" s="53"/>
      <c r="S119" s="53"/>
      <c r="T119" s="53"/>
    </row>
    <row r="120" spans="1:20" hidden="1" x14ac:dyDescent="0.25">
      <c r="A120" s="76">
        <v>2261</v>
      </c>
      <c r="B120" s="127" t="s">
        <v>136</v>
      </c>
      <c r="C120" s="128">
        <f t="shared" si="8"/>
        <v>0</v>
      </c>
      <c r="D120" s="134"/>
      <c r="E120" s="285"/>
      <c r="F120" s="286">
        <f t="shared" si="9"/>
        <v>0</v>
      </c>
      <c r="G120" s="134"/>
      <c r="H120" s="135"/>
      <c r="I120" s="136">
        <f t="shared" si="10"/>
        <v>0</v>
      </c>
      <c r="J120" s="134"/>
      <c r="K120" s="135"/>
      <c r="L120" s="136">
        <f t="shared" si="11"/>
        <v>0</v>
      </c>
      <c r="M120" s="284"/>
      <c r="N120" s="285"/>
      <c r="O120" s="136">
        <f t="shared" si="12"/>
        <v>0</v>
      </c>
      <c r="P120" s="85"/>
      <c r="R120" s="53"/>
      <c r="S120" s="53"/>
      <c r="T120" s="53"/>
    </row>
    <row r="121" spans="1:20" x14ac:dyDescent="0.25">
      <c r="A121" s="76">
        <v>2262</v>
      </c>
      <c r="B121" s="127" t="s">
        <v>137</v>
      </c>
      <c r="C121" s="128">
        <f t="shared" si="8"/>
        <v>2462</v>
      </c>
      <c r="D121" s="134">
        <v>2462</v>
      </c>
      <c r="E121" s="283"/>
      <c r="F121" s="279">
        <f t="shared" si="9"/>
        <v>2462</v>
      </c>
      <c r="G121" s="134"/>
      <c r="H121" s="135"/>
      <c r="I121" s="136">
        <f t="shared" si="10"/>
        <v>0</v>
      </c>
      <c r="J121" s="134"/>
      <c r="K121" s="135"/>
      <c r="L121" s="136">
        <f t="shared" si="11"/>
        <v>0</v>
      </c>
      <c r="M121" s="284"/>
      <c r="N121" s="285"/>
      <c r="O121" s="136">
        <f t="shared" si="12"/>
        <v>0</v>
      </c>
      <c r="P121" s="85"/>
      <c r="R121" s="53"/>
      <c r="S121" s="53"/>
      <c r="T121" s="53"/>
    </row>
    <row r="122" spans="1:20" hidden="1" x14ac:dyDescent="0.25">
      <c r="A122" s="76">
        <v>2263</v>
      </c>
      <c r="B122" s="127" t="s">
        <v>138</v>
      </c>
      <c r="C122" s="128">
        <f t="shared" si="8"/>
        <v>0</v>
      </c>
      <c r="D122" s="134"/>
      <c r="E122" s="285"/>
      <c r="F122" s="286">
        <f t="shared" si="9"/>
        <v>0</v>
      </c>
      <c r="G122" s="134"/>
      <c r="H122" s="135"/>
      <c r="I122" s="136">
        <f t="shared" si="10"/>
        <v>0</v>
      </c>
      <c r="J122" s="134"/>
      <c r="K122" s="135"/>
      <c r="L122" s="136">
        <f t="shared" si="11"/>
        <v>0</v>
      </c>
      <c r="M122" s="284"/>
      <c r="N122" s="285"/>
      <c r="O122" s="136">
        <f t="shared" si="12"/>
        <v>0</v>
      </c>
      <c r="P122" s="85"/>
      <c r="R122" s="53"/>
      <c r="S122" s="53"/>
      <c r="T122" s="53"/>
    </row>
    <row r="123" spans="1:20" ht="24" hidden="1" x14ac:dyDescent="0.25">
      <c r="A123" s="76">
        <v>2264</v>
      </c>
      <c r="B123" s="127" t="s">
        <v>139</v>
      </c>
      <c r="C123" s="128">
        <f t="shared" si="8"/>
        <v>0</v>
      </c>
      <c r="D123" s="134"/>
      <c r="E123" s="285"/>
      <c r="F123" s="286">
        <f t="shared" si="9"/>
        <v>0</v>
      </c>
      <c r="G123" s="134"/>
      <c r="H123" s="135"/>
      <c r="I123" s="136">
        <f t="shared" si="10"/>
        <v>0</v>
      </c>
      <c r="J123" s="134"/>
      <c r="K123" s="135"/>
      <c r="L123" s="136">
        <f t="shared" si="11"/>
        <v>0</v>
      </c>
      <c r="M123" s="284"/>
      <c r="N123" s="285"/>
      <c r="O123" s="136">
        <f t="shared" si="12"/>
        <v>0</v>
      </c>
      <c r="P123" s="85"/>
      <c r="R123" s="53"/>
      <c r="S123" s="53"/>
      <c r="T123" s="53"/>
    </row>
    <row r="124" spans="1:20" x14ac:dyDescent="0.25">
      <c r="A124" s="76">
        <v>2269</v>
      </c>
      <c r="B124" s="127" t="s">
        <v>140</v>
      </c>
      <c r="C124" s="128">
        <f t="shared" si="8"/>
        <v>47</v>
      </c>
      <c r="D124" s="134"/>
      <c r="E124" s="283"/>
      <c r="F124" s="279">
        <f t="shared" si="9"/>
        <v>0</v>
      </c>
      <c r="G124" s="134"/>
      <c r="H124" s="135"/>
      <c r="I124" s="136">
        <f t="shared" si="10"/>
        <v>0</v>
      </c>
      <c r="J124" s="134">
        <v>47</v>
      </c>
      <c r="K124" s="135"/>
      <c r="L124" s="136">
        <f t="shared" si="11"/>
        <v>47</v>
      </c>
      <c r="M124" s="284"/>
      <c r="N124" s="285"/>
      <c r="O124" s="136">
        <f t="shared" si="12"/>
        <v>0</v>
      </c>
      <c r="P124" s="85"/>
      <c r="R124" s="53"/>
      <c r="S124" s="53"/>
      <c r="T124" s="53"/>
    </row>
    <row r="125" spans="1:20" x14ac:dyDescent="0.25">
      <c r="A125" s="276">
        <v>2270</v>
      </c>
      <c r="B125" s="127" t="s">
        <v>141</v>
      </c>
      <c r="C125" s="128">
        <f t="shared" si="8"/>
        <v>6061</v>
      </c>
      <c r="D125" s="277">
        <f>SUM(D126:D130)</f>
        <v>6061</v>
      </c>
      <c r="E125" s="278">
        <f>SUM(E126:E130)</f>
        <v>0</v>
      </c>
      <c r="F125" s="279">
        <f t="shared" si="9"/>
        <v>6061</v>
      </c>
      <c r="G125" s="277">
        <f>SUM(G126:G130)</f>
        <v>0</v>
      </c>
      <c r="H125" s="280">
        <f>SUM(H126:H130)</f>
        <v>0</v>
      </c>
      <c r="I125" s="136">
        <f t="shared" si="10"/>
        <v>0</v>
      </c>
      <c r="J125" s="277">
        <f>SUM(J126:J130)</f>
        <v>0</v>
      </c>
      <c r="K125" s="280">
        <f>SUM(K126:K130)</f>
        <v>0</v>
      </c>
      <c r="L125" s="136">
        <f t="shared" si="11"/>
        <v>0</v>
      </c>
      <c r="M125" s="281">
        <f>SUM(M126:M130)</f>
        <v>0</v>
      </c>
      <c r="N125" s="282">
        <f>SUM(N126:N130)</f>
        <v>0</v>
      </c>
      <c r="O125" s="136">
        <f t="shared" si="12"/>
        <v>0</v>
      </c>
      <c r="P125" s="85"/>
      <c r="R125" s="53"/>
      <c r="S125" s="53"/>
      <c r="T125" s="53"/>
    </row>
    <row r="126" spans="1:20" hidden="1" x14ac:dyDescent="0.25">
      <c r="A126" s="76">
        <v>2272</v>
      </c>
      <c r="B126" s="5" t="s">
        <v>142</v>
      </c>
      <c r="C126" s="128">
        <f t="shared" si="8"/>
        <v>0</v>
      </c>
      <c r="D126" s="134"/>
      <c r="E126" s="285"/>
      <c r="F126" s="286">
        <f t="shared" si="9"/>
        <v>0</v>
      </c>
      <c r="G126" s="134"/>
      <c r="H126" s="135"/>
      <c r="I126" s="136">
        <f t="shared" si="10"/>
        <v>0</v>
      </c>
      <c r="J126" s="134"/>
      <c r="K126" s="135"/>
      <c r="L126" s="136">
        <f t="shared" si="11"/>
        <v>0</v>
      </c>
      <c r="M126" s="284"/>
      <c r="N126" s="285"/>
      <c r="O126" s="136">
        <f t="shared" si="12"/>
        <v>0</v>
      </c>
      <c r="P126" s="85"/>
      <c r="R126" s="53"/>
      <c r="S126" s="53"/>
      <c r="T126" s="53"/>
    </row>
    <row r="127" spans="1:20" ht="24" hidden="1" x14ac:dyDescent="0.25">
      <c r="A127" s="76">
        <v>2275</v>
      </c>
      <c r="B127" s="127" t="s">
        <v>143</v>
      </c>
      <c r="C127" s="128">
        <f t="shared" si="8"/>
        <v>0</v>
      </c>
      <c r="D127" s="134"/>
      <c r="E127" s="285"/>
      <c r="F127" s="286">
        <f t="shared" si="9"/>
        <v>0</v>
      </c>
      <c r="G127" s="134"/>
      <c r="H127" s="135"/>
      <c r="I127" s="136">
        <f t="shared" si="10"/>
        <v>0</v>
      </c>
      <c r="J127" s="134"/>
      <c r="K127" s="135"/>
      <c r="L127" s="136">
        <f t="shared" si="11"/>
        <v>0</v>
      </c>
      <c r="M127" s="284"/>
      <c r="N127" s="285"/>
      <c r="O127" s="136">
        <f t="shared" si="12"/>
        <v>0</v>
      </c>
      <c r="P127" s="85"/>
      <c r="R127" s="53"/>
      <c r="S127" s="53"/>
      <c r="T127" s="53"/>
    </row>
    <row r="128" spans="1:20" ht="36" hidden="1" x14ac:dyDescent="0.25">
      <c r="A128" s="76">
        <v>2276</v>
      </c>
      <c r="B128" s="127" t="s">
        <v>144</v>
      </c>
      <c r="C128" s="128">
        <f t="shared" si="8"/>
        <v>0</v>
      </c>
      <c r="D128" s="134"/>
      <c r="E128" s="285"/>
      <c r="F128" s="286">
        <f t="shared" si="9"/>
        <v>0</v>
      </c>
      <c r="G128" s="134"/>
      <c r="H128" s="135"/>
      <c r="I128" s="136">
        <f t="shared" si="10"/>
        <v>0</v>
      </c>
      <c r="J128" s="134"/>
      <c r="K128" s="135"/>
      <c r="L128" s="136">
        <f t="shared" si="11"/>
        <v>0</v>
      </c>
      <c r="M128" s="284"/>
      <c r="N128" s="285"/>
      <c r="O128" s="136">
        <f t="shared" si="12"/>
        <v>0</v>
      </c>
      <c r="P128" s="85"/>
      <c r="R128" s="53"/>
      <c r="S128" s="53"/>
      <c r="T128" s="53"/>
    </row>
    <row r="129" spans="1:20" ht="24" hidden="1" x14ac:dyDescent="0.25">
      <c r="A129" s="76">
        <v>2278</v>
      </c>
      <c r="B129" s="127" t="s">
        <v>145</v>
      </c>
      <c r="C129" s="128">
        <f t="shared" si="8"/>
        <v>0</v>
      </c>
      <c r="D129" s="134"/>
      <c r="E129" s="285"/>
      <c r="F129" s="286">
        <f t="shared" si="9"/>
        <v>0</v>
      </c>
      <c r="G129" s="134"/>
      <c r="H129" s="135"/>
      <c r="I129" s="136">
        <f t="shared" si="10"/>
        <v>0</v>
      </c>
      <c r="J129" s="134"/>
      <c r="K129" s="135"/>
      <c r="L129" s="136">
        <f t="shared" si="11"/>
        <v>0</v>
      </c>
      <c r="M129" s="284"/>
      <c r="N129" s="285"/>
      <c r="O129" s="136">
        <f t="shared" si="12"/>
        <v>0</v>
      </c>
      <c r="P129" s="85"/>
      <c r="R129" s="53"/>
      <c r="S129" s="53"/>
      <c r="T129" s="53"/>
    </row>
    <row r="130" spans="1:20" ht="24" x14ac:dyDescent="0.25">
      <c r="A130" s="76">
        <v>2279</v>
      </c>
      <c r="B130" s="127" t="s">
        <v>146</v>
      </c>
      <c r="C130" s="128">
        <f t="shared" si="8"/>
        <v>6061</v>
      </c>
      <c r="D130" s="134">
        <v>6061</v>
      </c>
      <c r="E130" s="283"/>
      <c r="F130" s="279">
        <f t="shared" si="9"/>
        <v>6061</v>
      </c>
      <c r="G130" s="134"/>
      <c r="H130" s="135"/>
      <c r="I130" s="136">
        <f t="shared" si="10"/>
        <v>0</v>
      </c>
      <c r="J130" s="134"/>
      <c r="K130" s="135"/>
      <c r="L130" s="136">
        <f t="shared" si="11"/>
        <v>0</v>
      </c>
      <c r="M130" s="284"/>
      <c r="N130" s="285"/>
      <c r="O130" s="136">
        <f t="shared" si="12"/>
        <v>0</v>
      </c>
      <c r="P130" s="85"/>
      <c r="R130" s="53"/>
      <c r="S130" s="53"/>
      <c r="T130" s="53"/>
    </row>
    <row r="131" spans="1:20" ht="24" hidden="1" x14ac:dyDescent="0.25">
      <c r="A131" s="294">
        <v>2280</v>
      </c>
      <c r="B131" s="116" t="s">
        <v>147</v>
      </c>
      <c r="C131" s="128">
        <f t="shared" si="8"/>
        <v>0</v>
      </c>
      <c r="D131" s="297">
        <f t="shared" ref="D131:N131" si="13">SUM(D132)</f>
        <v>0</v>
      </c>
      <c r="E131" s="301">
        <f t="shared" si="13"/>
        <v>0</v>
      </c>
      <c r="F131" s="263">
        <f t="shared" si="9"/>
        <v>0</v>
      </c>
      <c r="G131" s="297">
        <f>SUM(G132)</f>
        <v>0</v>
      </c>
      <c r="H131" s="299">
        <f t="shared" si="13"/>
        <v>0</v>
      </c>
      <c r="I131" s="125">
        <f t="shared" si="10"/>
        <v>0</v>
      </c>
      <c r="J131" s="297">
        <f>SUM(J132)</f>
        <v>0</v>
      </c>
      <c r="K131" s="299">
        <f t="shared" si="13"/>
        <v>0</v>
      </c>
      <c r="L131" s="125">
        <f t="shared" si="11"/>
        <v>0</v>
      </c>
      <c r="M131" s="281">
        <f t="shared" si="13"/>
        <v>0</v>
      </c>
      <c r="N131" s="282">
        <f t="shared" si="13"/>
        <v>0</v>
      </c>
      <c r="O131" s="136">
        <f t="shared" si="12"/>
        <v>0</v>
      </c>
      <c r="P131" s="85"/>
      <c r="R131" s="53"/>
      <c r="S131" s="53"/>
      <c r="T131" s="53"/>
    </row>
    <row r="132" spans="1:20" ht="24" hidden="1" x14ac:dyDescent="0.25">
      <c r="A132" s="76">
        <v>2283</v>
      </c>
      <c r="B132" s="127" t="s">
        <v>148</v>
      </c>
      <c r="C132" s="128">
        <f t="shared" si="8"/>
        <v>0</v>
      </c>
      <c r="D132" s="134"/>
      <c r="E132" s="285"/>
      <c r="F132" s="286">
        <f t="shared" si="9"/>
        <v>0</v>
      </c>
      <c r="G132" s="134"/>
      <c r="H132" s="135"/>
      <c r="I132" s="136">
        <f t="shared" si="10"/>
        <v>0</v>
      </c>
      <c r="J132" s="134"/>
      <c r="K132" s="135"/>
      <c r="L132" s="136">
        <f t="shared" si="11"/>
        <v>0</v>
      </c>
      <c r="M132" s="284"/>
      <c r="N132" s="285"/>
      <c r="O132" s="136">
        <f t="shared" si="12"/>
        <v>0</v>
      </c>
      <c r="P132" s="85"/>
      <c r="R132" s="53"/>
      <c r="S132" s="53"/>
      <c r="T132" s="53"/>
    </row>
    <row r="133" spans="1:20" ht="36" x14ac:dyDescent="0.25">
      <c r="A133" s="99">
        <v>2300</v>
      </c>
      <c r="B133" s="247" t="s">
        <v>149</v>
      </c>
      <c r="C133" s="100">
        <f t="shared" si="8"/>
        <v>31675</v>
      </c>
      <c r="D133" s="112">
        <f>SUM(D134,D139,D143,D144,D147,D154,D162,D163,D166)</f>
        <v>26988</v>
      </c>
      <c r="E133" s="248">
        <f>SUM(E134,E139,E143,E144,E147,E154,E162,E163,E166)</f>
        <v>0</v>
      </c>
      <c r="F133" s="249">
        <f t="shared" si="9"/>
        <v>26988</v>
      </c>
      <c r="G133" s="112">
        <f>SUM(G134,G139,G143,G144,G147,G154,G162,G163,G166)</f>
        <v>4062</v>
      </c>
      <c r="H133" s="113">
        <f>SUM(H134,H139,H143,H144,H147,H154,H162,H163,H166)</f>
        <v>0</v>
      </c>
      <c r="I133" s="114">
        <f t="shared" si="10"/>
        <v>4062</v>
      </c>
      <c r="J133" s="112">
        <f>SUM(J134,J139,J143,J144,J147,J154,J162,J163,J166)</f>
        <v>625</v>
      </c>
      <c r="K133" s="113">
        <f>SUM(K134,K139,K143,K144,K147,K154,K162,K163,K166)</f>
        <v>0</v>
      </c>
      <c r="L133" s="114">
        <f t="shared" si="11"/>
        <v>625</v>
      </c>
      <c r="M133" s="292">
        <f>SUM(M134,M139,M143,M144,M147,M154,M162,M163,M166)</f>
        <v>0</v>
      </c>
      <c r="N133" s="293">
        <f>SUM(N134,N139,N143,N144,N147,N154,N162,N163,N166)</f>
        <v>0</v>
      </c>
      <c r="O133" s="114">
        <f t="shared" si="12"/>
        <v>0</v>
      </c>
      <c r="P133" s="109"/>
      <c r="R133" s="53"/>
      <c r="S133" s="53"/>
      <c r="T133" s="53"/>
    </row>
    <row r="134" spans="1:20" ht="24" x14ac:dyDescent="0.25">
      <c r="A134" s="294">
        <v>2310</v>
      </c>
      <c r="B134" s="116" t="s">
        <v>150</v>
      </c>
      <c r="C134" s="117">
        <f t="shared" si="8"/>
        <v>13434</v>
      </c>
      <c r="D134" s="308">
        <f>SUM(D135:D138)</f>
        <v>13434</v>
      </c>
      <c r="E134" s="300">
        <f>SUM(E135:E138)</f>
        <v>0</v>
      </c>
      <c r="F134" s="296">
        <f t="shared" si="9"/>
        <v>13434</v>
      </c>
      <c r="G134" s="297">
        <f>SUM(G135:G138)</f>
        <v>0</v>
      </c>
      <c r="H134" s="299">
        <f>SUM(H135:H138)</f>
        <v>0</v>
      </c>
      <c r="I134" s="125">
        <f t="shared" si="10"/>
        <v>0</v>
      </c>
      <c r="J134" s="297">
        <f>SUM(J135:J138)</f>
        <v>0</v>
      </c>
      <c r="K134" s="299">
        <f>SUM(K135:K138)</f>
        <v>0</v>
      </c>
      <c r="L134" s="125">
        <f t="shared" si="11"/>
        <v>0</v>
      </c>
      <c r="M134" s="300">
        <f>SUM(M135:M138)</f>
        <v>0</v>
      </c>
      <c r="N134" s="301">
        <f>SUM(N135:N138)</f>
        <v>0</v>
      </c>
      <c r="O134" s="125">
        <f t="shared" si="12"/>
        <v>0</v>
      </c>
      <c r="P134" s="74"/>
      <c r="R134" s="53"/>
      <c r="S134" s="53"/>
      <c r="T134" s="53"/>
    </row>
    <row r="135" spans="1:20" x14ac:dyDescent="0.25">
      <c r="A135" s="76">
        <v>2311</v>
      </c>
      <c r="B135" s="127" t="s">
        <v>151</v>
      </c>
      <c r="C135" s="128">
        <f t="shared" si="8"/>
        <v>3187</v>
      </c>
      <c r="D135" s="134">
        <v>3187</v>
      </c>
      <c r="E135" s="283"/>
      <c r="F135" s="279">
        <f t="shared" si="9"/>
        <v>3187</v>
      </c>
      <c r="G135" s="134"/>
      <c r="H135" s="135"/>
      <c r="I135" s="136">
        <f t="shared" si="10"/>
        <v>0</v>
      </c>
      <c r="J135" s="134"/>
      <c r="K135" s="135"/>
      <c r="L135" s="136">
        <f t="shared" si="11"/>
        <v>0</v>
      </c>
      <c r="M135" s="284"/>
      <c r="N135" s="285"/>
      <c r="O135" s="136">
        <f t="shared" si="12"/>
        <v>0</v>
      </c>
      <c r="P135" s="85"/>
      <c r="R135" s="53"/>
      <c r="S135" s="53"/>
      <c r="T135" s="53"/>
    </row>
    <row r="136" spans="1:20" x14ac:dyDescent="0.25">
      <c r="A136" s="76">
        <v>2312</v>
      </c>
      <c r="B136" s="127" t="s">
        <v>152</v>
      </c>
      <c r="C136" s="128">
        <f t="shared" si="8"/>
        <v>9820</v>
      </c>
      <c r="D136" s="134">
        <v>9820</v>
      </c>
      <c r="E136" s="283"/>
      <c r="F136" s="279">
        <f t="shared" si="9"/>
        <v>9820</v>
      </c>
      <c r="G136" s="134"/>
      <c r="H136" s="135"/>
      <c r="I136" s="136">
        <f t="shared" si="10"/>
        <v>0</v>
      </c>
      <c r="J136" s="134"/>
      <c r="K136" s="135"/>
      <c r="L136" s="136">
        <f t="shared" si="11"/>
        <v>0</v>
      </c>
      <c r="M136" s="284"/>
      <c r="N136" s="285"/>
      <c r="O136" s="136">
        <f t="shared" si="12"/>
        <v>0</v>
      </c>
      <c r="P136" s="85"/>
      <c r="R136" s="53"/>
      <c r="S136" s="53"/>
      <c r="T136" s="53"/>
    </row>
    <row r="137" spans="1:20" hidden="1" x14ac:dyDescent="0.25">
      <c r="A137" s="76">
        <v>2313</v>
      </c>
      <c r="B137" s="127" t="s">
        <v>153</v>
      </c>
      <c r="C137" s="128">
        <f t="shared" si="8"/>
        <v>0</v>
      </c>
      <c r="D137" s="134"/>
      <c r="E137" s="285"/>
      <c r="F137" s="286">
        <f t="shared" si="9"/>
        <v>0</v>
      </c>
      <c r="G137" s="134"/>
      <c r="H137" s="135"/>
      <c r="I137" s="136">
        <f t="shared" si="10"/>
        <v>0</v>
      </c>
      <c r="J137" s="134"/>
      <c r="K137" s="135"/>
      <c r="L137" s="136">
        <f t="shared" si="11"/>
        <v>0</v>
      </c>
      <c r="M137" s="284"/>
      <c r="N137" s="285"/>
      <c r="O137" s="136">
        <f t="shared" si="12"/>
        <v>0</v>
      </c>
      <c r="P137" s="85"/>
      <c r="R137" s="53"/>
      <c r="S137" s="53"/>
      <c r="T137" s="53"/>
    </row>
    <row r="138" spans="1:20" ht="36" x14ac:dyDescent="0.25">
      <c r="A138" s="76">
        <v>2314</v>
      </c>
      <c r="B138" s="127" t="s">
        <v>154</v>
      </c>
      <c r="C138" s="128">
        <f t="shared" si="8"/>
        <v>427</v>
      </c>
      <c r="D138" s="134">
        <v>427</v>
      </c>
      <c r="E138" s="283"/>
      <c r="F138" s="279">
        <f t="shared" si="9"/>
        <v>427</v>
      </c>
      <c r="G138" s="134"/>
      <c r="H138" s="135"/>
      <c r="I138" s="136">
        <f t="shared" si="10"/>
        <v>0</v>
      </c>
      <c r="J138" s="134"/>
      <c r="K138" s="135"/>
      <c r="L138" s="136">
        <f t="shared" si="11"/>
        <v>0</v>
      </c>
      <c r="M138" s="284"/>
      <c r="N138" s="285"/>
      <c r="O138" s="136">
        <f t="shared" si="12"/>
        <v>0</v>
      </c>
      <c r="P138" s="85"/>
      <c r="R138" s="53"/>
      <c r="S138" s="53"/>
      <c r="T138" s="53"/>
    </row>
    <row r="139" spans="1:20" x14ac:dyDescent="0.25">
      <c r="A139" s="276">
        <v>2320</v>
      </c>
      <c r="B139" s="127" t="s">
        <v>155</v>
      </c>
      <c r="C139" s="128">
        <f t="shared" si="8"/>
        <v>917</v>
      </c>
      <c r="D139" s="277">
        <f>SUM(D140:D142)</f>
        <v>292</v>
      </c>
      <c r="E139" s="278">
        <f>SUM(E140:E142)</f>
        <v>0</v>
      </c>
      <c r="F139" s="279">
        <f t="shared" si="9"/>
        <v>292</v>
      </c>
      <c r="G139" s="277">
        <f>SUM(G140:G142)</f>
        <v>0</v>
      </c>
      <c r="H139" s="280">
        <f>SUM(H140:H142)</f>
        <v>0</v>
      </c>
      <c r="I139" s="136">
        <f t="shared" si="10"/>
        <v>0</v>
      </c>
      <c r="J139" s="277">
        <f>SUM(J140:J142)</f>
        <v>625</v>
      </c>
      <c r="K139" s="280">
        <f>SUM(K140:K142)</f>
        <v>0</v>
      </c>
      <c r="L139" s="136">
        <f t="shared" si="11"/>
        <v>625</v>
      </c>
      <c r="M139" s="281">
        <f>SUM(M140:M142)</f>
        <v>0</v>
      </c>
      <c r="N139" s="282">
        <f>SUM(N140:N142)</f>
        <v>0</v>
      </c>
      <c r="O139" s="136">
        <f t="shared" si="12"/>
        <v>0</v>
      </c>
      <c r="P139" s="85"/>
      <c r="R139" s="53"/>
      <c r="S139" s="53"/>
      <c r="T139" s="53"/>
    </row>
    <row r="140" spans="1:20" hidden="1" x14ac:dyDescent="0.25">
      <c r="A140" s="76">
        <v>2321</v>
      </c>
      <c r="B140" s="127" t="s">
        <v>156</v>
      </c>
      <c r="C140" s="128">
        <f t="shared" si="8"/>
        <v>0</v>
      </c>
      <c r="D140" s="134"/>
      <c r="E140" s="285"/>
      <c r="F140" s="286">
        <f t="shared" si="9"/>
        <v>0</v>
      </c>
      <c r="G140" s="134"/>
      <c r="H140" s="135"/>
      <c r="I140" s="136">
        <f t="shared" si="10"/>
        <v>0</v>
      </c>
      <c r="J140" s="134"/>
      <c r="K140" s="135"/>
      <c r="L140" s="136">
        <f t="shared" si="11"/>
        <v>0</v>
      </c>
      <c r="M140" s="284"/>
      <c r="N140" s="285"/>
      <c r="O140" s="136">
        <f t="shared" si="12"/>
        <v>0</v>
      </c>
      <c r="P140" s="85"/>
      <c r="R140" s="53"/>
      <c r="S140" s="53"/>
      <c r="T140" s="53"/>
    </row>
    <row r="141" spans="1:20" x14ac:dyDescent="0.25">
      <c r="A141" s="76">
        <v>2322</v>
      </c>
      <c r="B141" s="127" t="s">
        <v>157</v>
      </c>
      <c r="C141" s="128">
        <f t="shared" si="8"/>
        <v>917</v>
      </c>
      <c r="D141" s="134">
        <v>292</v>
      </c>
      <c r="E141" s="283"/>
      <c r="F141" s="279">
        <f t="shared" si="9"/>
        <v>292</v>
      </c>
      <c r="G141" s="134"/>
      <c r="H141" s="135"/>
      <c r="I141" s="136">
        <f t="shared" si="10"/>
        <v>0</v>
      </c>
      <c r="J141" s="134">
        <v>625</v>
      </c>
      <c r="K141" s="135"/>
      <c r="L141" s="136">
        <f t="shared" si="11"/>
        <v>625</v>
      </c>
      <c r="M141" s="284"/>
      <c r="N141" s="285"/>
      <c r="O141" s="136">
        <f t="shared" si="12"/>
        <v>0</v>
      </c>
      <c r="P141" s="85"/>
      <c r="R141" s="53"/>
      <c r="S141" s="53"/>
      <c r="T141" s="53"/>
    </row>
    <row r="142" spans="1:20" hidden="1" x14ac:dyDescent="0.25">
      <c r="A142" s="76">
        <v>2329</v>
      </c>
      <c r="B142" s="127" t="s">
        <v>158</v>
      </c>
      <c r="C142" s="128">
        <f t="shared" si="8"/>
        <v>0</v>
      </c>
      <c r="D142" s="134"/>
      <c r="E142" s="285"/>
      <c r="F142" s="286">
        <f t="shared" si="9"/>
        <v>0</v>
      </c>
      <c r="G142" s="134"/>
      <c r="H142" s="135"/>
      <c r="I142" s="136">
        <f t="shared" si="10"/>
        <v>0</v>
      </c>
      <c r="J142" s="134"/>
      <c r="K142" s="135"/>
      <c r="L142" s="136">
        <f t="shared" si="11"/>
        <v>0</v>
      </c>
      <c r="M142" s="284"/>
      <c r="N142" s="285"/>
      <c r="O142" s="136">
        <f t="shared" si="12"/>
        <v>0</v>
      </c>
      <c r="P142" s="85"/>
      <c r="R142" s="53"/>
      <c r="S142" s="53"/>
      <c r="T142" s="53"/>
    </row>
    <row r="143" spans="1:20" hidden="1" x14ac:dyDescent="0.25">
      <c r="A143" s="276">
        <v>2330</v>
      </c>
      <c r="B143" s="127" t="s">
        <v>159</v>
      </c>
      <c r="C143" s="128">
        <f t="shared" si="8"/>
        <v>0</v>
      </c>
      <c r="D143" s="134"/>
      <c r="E143" s="285"/>
      <c r="F143" s="286">
        <f t="shared" si="9"/>
        <v>0</v>
      </c>
      <c r="G143" s="134"/>
      <c r="H143" s="135"/>
      <c r="I143" s="136">
        <f t="shared" si="10"/>
        <v>0</v>
      </c>
      <c r="J143" s="134"/>
      <c r="K143" s="135"/>
      <c r="L143" s="136">
        <f t="shared" si="11"/>
        <v>0</v>
      </c>
      <c r="M143" s="284"/>
      <c r="N143" s="285"/>
      <c r="O143" s="136">
        <f t="shared" si="12"/>
        <v>0</v>
      </c>
      <c r="P143" s="85"/>
      <c r="R143" s="53"/>
      <c r="S143" s="53"/>
      <c r="T143" s="53"/>
    </row>
    <row r="144" spans="1:20" ht="48" x14ac:dyDescent="0.25">
      <c r="A144" s="276">
        <v>2340</v>
      </c>
      <c r="B144" s="127" t="s">
        <v>160</v>
      </c>
      <c r="C144" s="128">
        <f t="shared" si="8"/>
        <v>494</v>
      </c>
      <c r="D144" s="277">
        <f>SUM(D145:D146)</f>
        <v>494</v>
      </c>
      <c r="E144" s="278">
        <f>SUM(E145:E146)</f>
        <v>0</v>
      </c>
      <c r="F144" s="279">
        <f t="shared" si="9"/>
        <v>494</v>
      </c>
      <c r="G144" s="277">
        <f>SUM(G145:G146)</f>
        <v>0</v>
      </c>
      <c r="H144" s="280">
        <f>SUM(H145:H146)</f>
        <v>0</v>
      </c>
      <c r="I144" s="136">
        <f t="shared" si="10"/>
        <v>0</v>
      </c>
      <c r="J144" s="277">
        <f>SUM(J145:J146)</f>
        <v>0</v>
      </c>
      <c r="K144" s="280">
        <f>SUM(K145:K146)</f>
        <v>0</v>
      </c>
      <c r="L144" s="136">
        <f t="shared" si="11"/>
        <v>0</v>
      </c>
      <c r="M144" s="281">
        <f>SUM(M145:M146)</f>
        <v>0</v>
      </c>
      <c r="N144" s="282">
        <f>SUM(N145:N146)</f>
        <v>0</v>
      </c>
      <c r="O144" s="136">
        <f t="shared" si="12"/>
        <v>0</v>
      </c>
      <c r="P144" s="85"/>
      <c r="R144" s="53"/>
      <c r="S144" s="53"/>
      <c r="T144" s="53"/>
    </row>
    <row r="145" spans="1:20" x14ac:dyDescent="0.25">
      <c r="A145" s="76">
        <v>2341</v>
      </c>
      <c r="B145" s="127" t="s">
        <v>161</v>
      </c>
      <c r="C145" s="128">
        <f t="shared" si="8"/>
        <v>494</v>
      </c>
      <c r="D145" s="134">
        <v>494</v>
      </c>
      <c r="E145" s="283"/>
      <c r="F145" s="279">
        <f t="shared" si="9"/>
        <v>494</v>
      </c>
      <c r="G145" s="134"/>
      <c r="H145" s="135"/>
      <c r="I145" s="136">
        <f t="shared" si="10"/>
        <v>0</v>
      </c>
      <c r="J145" s="134"/>
      <c r="K145" s="135"/>
      <c r="L145" s="136">
        <f t="shared" si="11"/>
        <v>0</v>
      </c>
      <c r="M145" s="284"/>
      <c r="N145" s="285"/>
      <c r="O145" s="136">
        <f t="shared" si="12"/>
        <v>0</v>
      </c>
      <c r="P145" s="85"/>
      <c r="R145" s="53"/>
      <c r="S145" s="53"/>
      <c r="T145" s="53"/>
    </row>
    <row r="146" spans="1:20" ht="24" hidden="1" x14ac:dyDescent="0.25">
      <c r="A146" s="76">
        <v>2344</v>
      </c>
      <c r="B146" s="127" t="s">
        <v>162</v>
      </c>
      <c r="C146" s="128">
        <f t="shared" si="8"/>
        <v>0</v>
      </c>
      <c r="D146" s="134"/>
      <c r="E146" s="285"/>
      <c r="F146" s="286">
        <f t="shared" si="9"/>
        <v>0</v>
      </c>
      <c r="G146" s="134"/>
      <c r="H146" s="135"/>
      <c r="I146" s="136">
        <f t="shared" si="10"/>
        <v>0</v>
      </c>
      <c r="J146" s="134"/>
      <c r="K146" s="135"/>
      <c r="L146" s="136">
        <f t="shared" si="11"/>
        <v>0</v>
      </c>
      <c r="M146" s="284"/>
      <c r="N146" s="285"/>
      <c r="O146" s="136">
        <f t="shared" si="12"/>
        <v>0</v>
      </c>
      <c r="P146" s="85"/>
      <c r="R146" s="53"/>
      <c r="S146" s="53"/>
      <c r="T146" s="53"/>
    </row>
    <row r="147" spans="1:20" ht="24" x14ac:dyDescent="0.25">
      <c r="A147" s="254">
        <v>2350</v>
      </c>
      <c r="B147" s="179" t="s">
        <v>163</v>
      </c>
      <c r="C147" s="128">
        <f t="shared" si="8"/>
        <v>4290</v>
      </c>
      <c r="D147" s="255">
        <f>SUM(D148:D153)</f>
        <v>4290</v>
      </c>
      <c r="E147" s="256">
        <f>SUM(E148:E153)</f>
        <v>0</v>
      </c>
      <c r="F147" s="257">
        <f t="shared" si="9"/>
        <v>4290</v>
      </c>
      <c r="G147" s="255">
        <f>SUM(G148:G153)</f>
        <v>0</v>
      </c>
      <c r="H147" s="258">
        <f>SUM(H148:H153)</f>
        <v>0</v>
      </c>
      <c r="I147" s="259">
        <f t="shared" si="10"/>
        <v>0</v>
      </c>
      <c r="J147" s="255">
        <f>SUM(J148:J153)</f>
        <v>0</v>
      </c>
      <c r="K147" s="258">
        <f>SUM(K148:K153)</f>
        <v>0</v>
      </c>
      <c r="L147" s="259">
        <f t="shared" si="11"/>
        <v>0</v>
      </c>
      <c r="M147" s="260">
        <f>SUM(M148:M153)</f>
        <v>0</v>
      </c>
      <c r="N147" s="261">
        <f>SUM(N148:N153)</f>
        <v>0</v>
      </c>
      <c r="O147" s="259">
        <f t="shared" si="12"/>
        <v>0</v>
      </c>
      <c r="P147" s="189"/>
      <c r="R147" s="53"/>
      <c r="S147" s="53"/>
      <c r="T147" s="53"/>
    </row>
    <row r="148" spans="1:20" x14ac:dyDescent="0.25">
      <c r="A148" s="66">
        <v>2351</v>
      </c>
      <c r="B148" s="116" t="s">
        <v>164</v>
      </c>
      <c r="C148" s="128">
        <f t="shared" si="8"/>
        <v>1352</v>
      </c>
      <c r="D148" s="123">
        <v>1352</v>
      </c>
      <c r="E148" s="295"/>
      <c r="F148" s="296">
        <f t="shared" si="9"/>
        <v>1352</v>
      </c>
      <c r="G148" s="123"/>
      <c r="H148" s="124"/>
      <c r="I148" s="125">
        <f t="shared" si="10"/>
        <v>0</v>
      </c>
      <c r="J148" s="123"/>
      <c r="K148" s="124"/>
      <c r="L148" s="125">
        <f t="shared" si="11"/>
        <v>0</v>
      </c>
      <c r="M148" s="264"/>
      <c r="N148" s="262"/>
      <c r="O148" s="125">
        <f t="shared" si="12"/>
        <v>0</v>
      </c>
      <c r="P148" s="74"/>
      <c r="R148" s="53"/>
      <c r="S148" s="53"/>
      <c r="T148" s="53"/>
    </row>
    <row r="149" spans="1:20" x14ac:dyDescent="0.25">
      <c r="A149" s="76">
        <v>2352</v>
      </c>
      <c r="B149" s="127" t="s">
        <v>165</v>
      </c>
      <c r="C149" s="128">
        <f t="shared" si="8"/>
        <v>2838</v>
      </c>
      <c r="D149" s="134">
        <v>2838</v>
      </c>
      <c r="E149" s="283"/>
      <c r="F149" s="279">
        <f t="shared" si="9"/>
        <v>2838</v>
      </c>
      <c r="G149" s="134"/>
      <c r="H149" s="135"/>
      <c r="I149" s="136">
        <f t="shared" si="10"/>
        <v>0</v>
      </c>
      <c r="J149" s="134"/>
      <c r="K149" s="135"/>
      <c r="L149" s="136">
        <f t="shared" si="11"/>
        <v>0</v>
      </c>
      <c r="M149" s="284"/>
      <c r="N149" s="285"/>
      <c r="O149" s="136">
        <f t="shared" si="12"/>
        <v>0</v>
      </c>
      <c r="P149" s="85"/>
      <c r="R149" s="53"/>
      <c r="S149" s="53"/>
      <c r="T149" s="53"/>
    </row>
    <row r="150" spans="1:20" ht="24" hidden="1" x14ac:dyDescent="0.25">
      <c r="A150" s="76">
        <v>2353</v>
      </c>
      <c r="B150" s="127" t="s">
        <v>166</v>
      </c>
      <c r="C150" s="128">
        <f t="shared" si="8"/>
        <v>0</v>
      </c>
      <c r="D150" s="134"/>
      <c r="E150" s="285"/>
      <c r="F150" s="286">
        <f t="shared" si="9"/>
        <v>0</v>
      </c>
      <c r="G150" s="134"/>
      <c r="H150" s="135"/>
      <c r="I150" s="136">
        <f t="shared" si="10"/>
        <v>0</v>
      </c>
      <c r="J150" s="134"/>
      <c r="K150" s="135"/>
      <c r="L150" s="136">
        <f t="shared" si="11"/>
        <v>0</v>
      </c>
      <c r="M150" s="284"/>
      <c r="N150" s="285"/>
      <c r="O150" s="136">
        <f t="shared" si="12"/>
        <v>0</v>
      </c>
      <c r="P150" s="85"/>
      <c r="R150" s="53"/>
      <c r="S150" s="53"/>
      <c r="T150" s="53"/>
    </row>
    <row r="151" spans="1:20" ht="24" hidden="1" x14ac:dyDescent="0.25">
      <c r="A151" s="76">
        <v>2354</v>
      </c>
      <c r="B151" s="127" t="s">
        <v>167</v>
      </c>
      <c r="C151" s="128">
        <f t="shared" si="8"/>
        <v>0</v>
      </c>
      <c r="D151" s="134"/>
      <c r="E151" s="285"/>
      <c r="F151" s="286">
        <f t="shared" si="9"/>
        <v>0</v>
      </c>
      <c r="G151" s="134"/>
      <c r="H151" s="135"/>
      <c r="I151" s="136">
        <f t="shared" si="10"/>
        <v>0</v>
      </c>
      <c r="J151" s="134"/>
      <c r="K151" s="135"/>
      <c r="L151" s="136">
        <f t="shared" si="11"/>
        <v>0</v>
      </c>
      <c r="M151" s="284"/>
      <c r="N151" s="285"/>
      <c r="O151" s="136">
        <f t="shared" si="12"/>
        <v>0</v>
      </c>
      <c r="P151" s="85"/>
      <c r="R151" s="53"/>
      <c r="S151" s="53"/>
      <c r="T151" s="53"/>
    </row>
    <row r="152" spans="1:20" ht="24" x14ac:dyDescent="0.25">
      <c r="A152" s="76">
        <v>2355</v>
      </c>
      <c r="B152" s="127" t="s">
        <v>168</v>
      </c>
      <c r="C152" s="128">
        <f t="shared" si="8"/>
        <v>100</v>
      </c>
      <c r="D152" s="134">
        <v>100</v>
      </c>
      <c r="E152" s="283"/>
      <c r="F152" s="279">
        <f t="shared" si="9"/>
        <v>100</v>
      </c>
      <c r="G152" s="134"/>
      <c r="H152" s="135"/>
      <c r="I152" s="136">
        <f t="shared" si="10"/>
        <v>0</v>
      </c>
      <c r="J152" s="134"/>
      <c r="K152" s="135"/>
      <c r="L152" s="136">
        <f t="shared" si="11"/>
        <v>0</v>
      </c>
      <c r="M152" s="284"/>
      <c r="N152" s="285"/>
      <c r="O152" s="136">
        <f t="shared" si="12"/>
        <v>0</v>
      </c>
      <c r="P152" s="85"/>
      <c r="R152" s="53"/>
      <c r="S152" s="53"/>
      <c r="T152" s="53"/>
    </row>
    <row r="153" spans="1:20" ht="24" hidden="1" x14ac:dyDescent="0.25">
      <c r="A153" s="76">
        <v>2359</v>
      </c>
      <c r="B153" s="127" t="s">
        <v>169</v>
      </c>
      <c r="C153" s="128">
        <f t="shared" si="8"/>
        <v>0</v>
      </c>
      <c r="D153" s="134"/>
      <c r="E153" s="285"/>
      <c r="F153" s="286">
        <f t="shared" si="9"/>
        <v>0</v>
      </c>
      <c r="G153" s="134"/>
      <c r="H153" s="135"/>
      <c r="I153" s="136">
        <f t="shared" si="10"/>
        <v>0</v>
      </c>
      <c r="J153" s="134"/>
      <c r="K153" s="135"/>
      <c r="L153" s="136">
        <f t="shared" si="11"/>
        <v>0</v>
      </c>
      <c r="M153" s="284"/>
      <c r="N153" s="285"/>
      <c r="O153" s="136">
        <f t="shared" si="12"/>
        <v>0</v>
      </c>
      <c r="P153" s="85"/>
      <c r="R153" s="53"/>
      <c r="S153" s="53"/>
      <c r="T153" s="53"/>
    </row>
    <row r="154" spans="1:20" ht="24" x14ac:dyDescent="0.25">
      <c r="A154" s="276">
        <v>2360</v>
      </c>
      <c r="B154" s="127" t="s">
        <v>170</v>
      </c>
      <c r="C154" s="128">
        <f t="shared" si="8"/>
        <v>910</v>
      </c>
      <c r="D154" s="277">
        <f>SUM(D155:D161)</f>
        <v>910</v>
      </c>
      <c r="E154" s="278">
        <f>SUM(E155:E161)</f>
        <v>0</v>
      </c>
      <c r="F154" s="279">
        <f t="shared" si="9"/>
        <v>910</v>
      </c>
      <c r="G154" s="277">
        <f>SUM(G155:G161)</f>
        <v>0</v>
      </c>
      <c r="H154" s="280">
        <f>SUM(H155:H161)</f>
        <v>0</v>
      </c>
      <c r="I154" s="136">
        <f t="shared" si="10"/>
        <v>0</v>
      </c>
      <c r="J154" s="277">
        <f>SUM(J155:J161)</f>
        <v>0</v>
      </c>
      <c r="K154" s="280">
        <f>SUM(K155:K161)</f>
        <v>0</v>
      </c>
      <c r="L154" s="136">
        <f t="shared" si="11"/>
        <v>0</v>
      </c>
      <c r="M154" s="281">
        <f>SUM(M155:M161)</f>
        <v>0</v>
      </c>
      <c r="N154" s="282">
        <f>SUM(N155:N161)</f>
        <v>0</v>
      </c>
      <c r="O154" s="136">
        <f t="shared" si="12"/>
        <v>0</v>
      </c>
      <c r="P154" s="85"/>
      <c r="R154" s="53"/>
      <c r="S154" s="53"/>
      <c r="T154" s="53"/>
    </row>
    <row r="155" spans="1:20" hidden="1" x14ac:dyDescent="0.25">
      <c r="A155" s="75">
        <v>2361</v>
      </c>
      <c r="B155" s="127" t="s">
        <v>171</v>
      </c>
      <c r="C155" s="128">
        <f t="shared" si="8"/>
        <v>0</v>
      </c>
      <c r="D155" s="134"/>
      <c r="E155" s="285"/>
      <c r="F155" s="286">
        <f t="shared" si="9"/>
        <v>0</v>
      </c>
      <c r="G155" s="134"/>
      <c r="H155" s="135"/>
      <c r="I155" s="136">
        <f t="shared" si="10"/>
        <v>0</v>
      </c>
      <c r="J155" s="134"/>
      <c r="K155" s="135"/>
      <c r="L155" s="136">
        <f t="shared" si="11"/>
        <v>0</v>
      </c>
      <c r="M155" s="284"/>
      <c r="N155" s="285"/>
      <c r="O155" s="136">
        <f t="shared" si="12"/>
        <v>0</v>
      </c>
      <c r="P155" s="85"/>
      <c r="R155" s="53"/>
      <c r="S155" s="53"/>
      <c r="T155" s="53"/>
    </row>
    <row r="156" spans="1:20" ht="24" hidden="1" x14ac:dyDescent="0.25">
      <c r="A156" s="75">
        <v>2362</v>
      </c>
      <c r="B156" s="127" t="s">
        <v>172</v>
      </c>
      <c r="C156" s="128">
        <f t="shared" si="8"/>
        <v>0</v>
      </c>
      <c r="D156" s="134"/>
      <c r="E156" s="285"/>
      <c r="F156" s="286">
        <f t="shared" si="9"/>
        <v>0</v>
      </c>
      <c r="G156" s="134"/>
      <c r="H156" s="135"/>
      <c r="I156" s="136">
        <f t="shared" si="10"/>
        <v>0</v>
      </c>
      <c r="J156" s="134"/>
      <c r="K156" s="135"/>
      <c r="L156" s="136">
        <f t="shared" si="11"/>
        <v>0</v>
      </c>
      <c r="M156" s="284"/>
      <c r="N156" s="285"/>
      <c r="O156" s="136">
        <f t="shared" si="12"/>
        <v>0</v>
      </c>
      <c r="P156" s="85"/>
      <c r="R156" s="53"/>
      <c r="S156" s="53"/>
      <c r="T156" s="53"/>
    </row>
    <row r="157" spans="1:20" x14ac:dyDescent="0.25">
      <c r="A157" s="75">
        <v>2363</v>
      </c>
      <c r="B157" s="127" t="s">
        <v>173</v>
      </c>
      <c r="C157" s="128">
        <f t="shared" si="8"/>
        <v>910</v>
      </c>
      <c r="D157" s="134">
        <v>910</v>
      </c>
      <c r="E157" s="283"/>
      <c r="F157" s="279">
        <f t="shared" si="9"/>
        <v>910</v>
      </c>
      <c r="G157" s="134"/>
      <c r="H157" s="135"/>
      <c r="I157" s="136">
        <f t="shared" si="10"/>
        <v>0</v>
      </c>
      <c r="J157" s="134"/>
      <c r="K157" s="135"/>
      <c r="L157" s="136">
        <f t="shared" si="11"/>
        <v>0</v>
      </c>
      <c r="M157" s="284"/>
      <c r="N157" s="285"/>
      <c r="O157" s="136">
        <f t="shared" si="12"/>
        <v>0</v>
      </c>
      <c r="P157" s="85"/>
      <c r="R157" s="53"/>
      <c r="S157" s="53"/>
      <c r="T157" s="53"/>
    </row>
    <row r="158" spans="1:20" hidden="1" x14ac:dyDescent="0.25">
      <c r="A158" s="75">
        <v>2364</v>
      </c>
      <c r="B158" s="127" t="s">
        <v>174</v>
      </c>
      <c r="C158" s="128">
        <f t="shared" si="8"/>
        <v>0</v>
      </c>
      <c r="D158" s="134"/>
      <c r="E158" s="285"/>
      <c r="F158" s="286">
        <f t="shared" si="9"/>
        <v>0</v>
      </c>
      <c r="G158" s="134"/>
      <c r="H158" s="135"/>
      <c r="I158" s="136">
        <f t="shared" si="10"/>
        <v>0</v>
      </c>
      <c r="J158" s="134"/>
      <c r="K158" s="135"/>
      <c r="L158" s="136">
        <f t="shared" si="11"/>
        <v>0</v>
      </c>
      <c r="M158" s="284"/>
      <c r="N158" s="285"/>
      <c r="O158" s="136">
        <f t="shared" si="12"/>
        <v>0</v>
      </c>
      <c r="P158" s="85"/>
      <c r="R158" s="53"/>
      <c r="S158" s="53"/>
      <c r="T158" s="53"/>
    </row>
    <row r="159" spans="1:20" hidden="1" x14ac:dyDescent="0.25">
      <c r="A159" s="75">
        <v>2365</v>
      </c>
      <c r="B159" s="127" t="s">
        <v>175</v>
      </c>
      <c r="C159" s="128">
        <f t="shared" si="8"/>
        <v>0</v>
      </c>
      <c r="D159" s="134"/>
      <c r="E159" s="285"/>
      <c r="F159" s="286">
        <f t="shared" si="9"/>
        <v>0</v>
      </c>
      <c r="G159" s="134"/>
      <c r="H159" s="135"/>
      <c r="I159" s="136">
        <f t="shared" si="10"/>
        <v>0</v>
      </c>
      <c r="J159" s="134"/>
      <c r="K159" s="135"/>
      <c r="L159" s="136">
        <f t="shared" si="11"/>
        <v>0</v>
      </c>
      <c r="M159" s="284"/>
      <c r="N159" s="285"/>
      <c r="O159" s="136">
        <f t="shared" si="12"/>
        <v>0</v>
      </c>
      <c r="P159" s="85"/>
      <c r="R159" s="53"/>
      <c r="S159" s="53"/>
      <c r="T159" s="53"/>
    </row>
    <row r="160" spans="1:20" ht="36" hidden="1" x14ac:dyDescent="0.25">
      <c r="A160" s="75">
        <v>2366</v>
      </c>
      <c r="B160" s="127" t="s">
        <v>176</v>
      </c>
      <c r="C160" s="128">
        <f t="shared" si="8"/>
        <v>0</v>
      </c>
      <c r="D160" s="134"/>
      <c r="E160" s="285"/>
      <c r="F160" s="286">
        <f t="shared" si="9"/>
        <v>0</v>
      </c>
      <c r="G160" s="134"/>
      <c r="H160" s="135"/>
      <c r="I160" s="136">
        <f t="shared" si="10"/>
        <v>0</v>
      </c>
      <c r="J160" s="134"/>
      <c r="K160" s="135"/>
      <c r="L160" s="136">
        <f t="shared" si="11"/>
        <v>0</v>
      </c>
      <c r="M160" s="284"/>
      <c r="N160" s="285"/>
      <c r="O160" s="136">
        <f t="shared" si="12"/>
        <v>0</v>
      </c>
      <c r="P160" s="85"/>
      <c r="R160" s="53"/>
      <c r="S160" s="53"/>
      <c r="T160" s="53"/>
    </row>
    <row r="161" spans="1:20" ht="48" hidden="1" x14ac:dyDescent="0.25">
      <c r="A161" s="75">
        <v>2369</v>
      </c>
      <c r="B161" s="127" t="s">
        <v>177</v>
      </c>
      <c r="C161" s="128">
        <f t="shared" si="8"/>
        <v>0</v>
      </c>
      <c r="D161" s="134"/>
      <c r="E161" s="285"/>
      <c r="F161" s="286">
        <f t="shared" si="9"/>
        <v>0</v>
      </c>
      <c r="G161" s="134"/>
      <c r="H161" s="135"/>
      <c r="I161" s="136">
        <f t="shared" si="10"/>
        <v>0</v>
      </c>
      <c r="J161" s="134"/>
      <c r="K161" s="135"/>
      <c r="L161" s="136">
        <f t="shared" si="11"/>
        <v>0</v>
      </c>
      <c r="M161" s="284"/>
      <c r="N161" s="285"/>
      <c r="O161" s="136">
        <f t="shared" si="12"/>
        <v>0</v>
      </c>
      <c r="P161" s="85"/>
      <c r="R161" s="53"/>
      <c r="S161" s="53"/>
      <c r="T161" s="53"/>
    </row>
    <row r="162" spans="1:20" x14ac:dyDescent="0.25">
      <c r="A162" s="254">
        <v>2370</v>
      </c>
      <c r="B162" s="179" t="s">
        <v>178</v>
      </c>
      <c r="C162" s="128">
        <f t="shared" si="8"/>
        <v>11630</v>
      </c>
      <c r="D162" s="287">
        <v>7568</v>
      </c>
      <c r="E162" s="288"/>
      <c r="F162" s="257">
        <f t="shared" si="9"/>
        <v>7568</v>
      </c>
      <c r="G162" s="287">
        <v>4062</v>
      </c>
      <c r="H162" s="289"/>
      <c r="I162" s="259">
        <f t="shared" si="10"/>
        <v>4062</v>
      </c>
      <c r="J162" s="287"/>
      <c r="K162" s="289"/>
      <c r="L162" s="259">
        <f t="shared" si="11"/>
        <v>0</v>
      </c>
      <c r="M162" s="290"/>
      <c r="N162" s="291"/>
      <c r="O162" s="259">
        <f t="shared" si="12"/>
        <v>0</v>
      </c>
      <c r="P162" s="189"/>
      <c r="R162" s="53"/>
      <c r="S162" s="53"/>
      <c r="T162" s="53"/>
    </row>
    <row r="163" spans="1:20" hidden="1" x14ac:dyDescent="0.25">
      <c r="A163" s="254">
        <v>2380</v>
      </c>
      <c r="B163" s="179" t="s">
        <v>179</v>
      </c>
      <c r="C163" s="128">
        <f t="shared" si="8"/>
        <v>0</v>
      </c>
      <c r="D163" s="255">
        <f>SUM(D164:D165)</f>
        <v>0</v>
      </c>
      <c r="E163" s="261">
        <f>SUM(E164:E165)</f>
        <v>0</v>
      </c>
      <c r="F163" s="310">
        <f t="shared" si="9"/>
        <v>0</v>
      </c>
      <c r="G163" s="255">
        <f>SUM(G164:G165)</f>
        <v>0</v>
      </c>
      <c r="H163" s="258">
        <f>SUM(H164:H165)</f>
        <v>0</v>
      </c>
      <c r="I163" s="259">
        <f t="shared" si="10"/>
        <v>0</v>
      </c>
      <c r="J163" s="255">
        <f>SUM(J164:J165)</f>
        <v>0</v>
      </c>
      <c r="K163" s="258">
        <f>SUM(K164:K165)</f>
        <v>0</v>
      </c>
      <c r="L163" s="259">
        <f t="shared" si="11"/>
        <v>0</v>
      </c>
      <c r="M163" s="260">
        <f>SUM(M164:M165)</f>
        <v>0</v>
      </c>
      <c r="N163" s="261">
        <f>SUM(N164:N165)</f>
        <v>0</v>
      </c>
      <c r="O163" s="259">
        <f t="shared" si="12"/>
        <v>0</v>
      </c>
      <c r="P163" s="189"/>
      <c r="R163" s="53"/>
      <c r="S163" s="53"/>
      <c r="T163" s="53"/>
    </row>
    <row r="164" spans="1:20" hidden="1" x14ac:dyDescent="0.25">
      <c r="A164" s="65">
        <v>2381</v>
      </c>
      <c r="B164" s="116" t="s">
        <v>180</v>
      </c>
      <c r="C164" s="128">
        <f t="shared" si="8"/>
        <v>0</v>
      </c>
      <c r="D164" s="123"/>
      <c r="E164" s="262"/>
      <c r="F164" s="263">
        <f t="shared" si="9"/>
        <v>0</v>
      </c>
      <c r="G164" s="123"/>
      <c r="H164" s="124"/>
      <c r="I164" s="125">
        <f t="shared" si="10"/>
        <v>0</v>
      </c>
      <c r="J164" s="123"/>
      <c r="K164" s="124"/>
      <c r="L164" s="125">
        <f t="shared" si="11"/>
        <v>0</v>
      </c>
      <c r="M164" s="264"/>
      <c r="N164" s="262"/>
      <c r="O164" s="125">
        <f t="shared" si="12"/>
        <v>0</v>
      </c>
      <c r="P164" s="74"/>
      <c r="R164" s="53"/>
      <c r="S164" s="53"/>
      <c r="T164" s="53"/>
    </row>
    <row r="165" spans="1:20" ht="24" hidden="1" x14ac:dyDescent="0.25">
      <c r="A165" s="75">
        <v>2389</v>
      </c>
      <c r="B165" s="127" t="s">
        <v>181</v>
      </c>
      <c r="C165" s="128">
        <f t="shared" si="8"/>
        <v>0</v>
      </c>
      <c r="D165" s="134"/>
      <c r="E165" s="285"/>
      <c r="F165" s="286">
        <f t="shared" si="9"/>
        <v>0</v>
      </c>
      <c r="G165" s="134"/>
      <c r="H165" s="135"/>
      <c r="I165" s="136">
        <f t="shared" si="10"/>
        <v>0</v>
      </c>
      <c r="J165" s="134"/>
      <c r="K165" s="135"/>
      <c r="L165" s="136">
        <f t="shared" si="11"/>
        <v>0</v>
      </c>
      <c r="M165" s="284"/>
      <c r="N165" s="285"/>
      <c r="O165" s="136">
        <f t="shared" si="12"/>
        <v>0</v>
      </c>
      <c r="P165" s="85"/>
      <c r="R165" s="53"/>
      <c r="S165" s="53"/>
      <c r="T165" s="53"/>
    </row>
    <row r="166" spans="1:20" hidden="1" x14ac:dyDescent="0.25">
      <c r="A166" s="254">
        <v>2390</v>
      </c>
      <c r="B166" s="179" t="s">
        <v>182</v>
      </c>
      <c r="C166" s="128">
        <f t="shared" si="8"/>
        <v>0</v>
      </c>
      <c r="D166" s="287"/>
      <c r="E166" s="291"/>
      <c r="F166" s="310">
        <f t="shared" si="9"/>
        <v>0</v>
      </c>
      <c r="G166" s="287"/>
      <c r="H166" s="289"/>
      <c r="I166" s="259">
        <f t="shared" si="10"/>
        <v>0</v>
      </c>
      <c r="J166" s="287"/>
      <c r="K166" s="289"/>
      <c r="L166" s="259">
        <f t="shared" si="11"/>
        <v>0</v>
      </c>
      <c r="M166" s="290"/>
      <c r="N166" s="291"/>
      <c r="O166" s="259">
        <f t="shared" si="12"/>
        <v>0</v>
      </c>
      <c r="P166" s="189"/>
      <c r="R166" s="53"/>
      <c r="S166" s="53"/>
      <c r="T166" s="53"/>
    </row>
    <row r="167" spans="1:20" hidden="1" x14ac:dyDescent="0.25">
      <c r="A167" s="99">
        <v>2400</v>
      </c>
      <c r="B167" s="247" t="s">
        <v>183</v>
      </c>
      <c r="C167" s="100">
        <f t="shared" si="8"/>
        <v>0</v>
      </c>
      <c r="D167" s="311"/>
      <c r="E167" s="312"/>
      <c r="F167" s="313">
        <f t="shared" si="9"/>
        <v>0</v>
      </c>
      <c r="G167" s="311"/>
      <c r="H167" s="314"/>
      <c r="I167" s="114">
        <f t="shared" si="10"/>
        <v>0</v>
      </c>
      <c r="J167" s="311"/>
      <c r="K167" s="314"/>
      <c r="L167" s="114">
        <f t="shared" si="11"/>
        <v>0</v>
      </c>
      <c r="M167" s="315"/>
      <c r="N167" s="312"/>
      <c r="O167" s="114">
        <f t="shared" si="12"/>
        <v>0</v>
      </c>
      <c r="P167" s="109"/>
      <c r="R167" s="53"/>
      <c r="S167" s="53"/>
      <c r="T167" s="53"/>
    </row>
    <row r="168" spans="1:20" ht="24" hidden="1" x14ac:dyDescent="0.25">
      <c r="A168" s="99">
        <v>2500</v>
      </c>
      <c r="B168" s="247" t="s">
        <v>184</v>
      </c>
      <c r="C168" s="100">
        <f t="shared" si="8"/>
        <v>0</v>
      </c>
      <c r="D168" s="112">
        <f>SUM(D169,D174)</f>
        <v>0</v>
      </c>
      <c r="E168" s="293">
        <f>SUM(E169,E174)</f>
        <v>0</v>
      </c>
      <c r="F168" s="313">
        <f t="shared" si="9"/>
        <v>0</v>
      </c>
      <c r="G168" s="112">
        <f>SUM(G169,G174)</f>
        <v>0</v>
      </c>
      <c r="H168" s="113">
        <f>SUM(H169,H174)</f>
        <v>0</v>
      </c>
      <c r="I168" s="114">
        <f t="shared" si="10"/>
        <v>0</v>
      </c>
      <c r="J168" s="112">
        <f>SUM(J169,J174)</f>
        <v>0</v>
      </c>
      <c r="K168" s="113">
        <f>SUM(K169,K174)</f>
        <v>0</v>
      </c>
      <c r="L168" s="114">
        <f t="shared" si="11"/>
        <v>0</v>
      </c>
      <c r="M168" s="250">
        <f>SUM(M169,M174)</f>
        <v>0</v>
      </c>
      <c r="N168" s="251">
        <f>SUM(N169,N174)</f>
        <v>0</v>
      </c>
      <c r="O168" s="252">
        <f t="shared" si="12"/>
        <v>0</v>
      </c>
      <c r="P168" s="253"/>
      <c r="R168" s="53"/>
      <c r="S168" s="53"/>
      <c r="T168" s="53"/>
    </row>
    <row r="169" spans="1:20" hidden="1" x14ac:dyDescent="0.25">
      <c r="A169" s="294">
        <v>2510</v>
      </c>
      <c r="B169" s="116" t="s">
        <v>185</v>
      </c>
      <c r="C169" s="117">
        <f t="shared" si="8"/>
        <v>0</v>
      </c>
      <c r="D169" s="297">
        <f>SUM(D170:D173)</f>
        <v>0</v>
      </c>
      <c r="E169" s="301">
        <f>SUM(E170:E173)</f>
        <v>0</v>
      </c>
      <c r="F169" s="263">
        <f t="shared" si="9"/>
        <v>0</v>
      </c>
      <c r="G169" s="297">
        <f>SUM(G170:G173)</f>
        <v>0</v>
      </c>
      <c r="H169" s="299">
        <f>SUM(H170:H173)</f>
        <v>0</v>
      </c>
      <c r="I169" s="125">
        <f t="shared" si="10"/>
        <v>0</v>
      </c>
      <c r="J169" s="297">
        <f>SUM(J170:J173)</f>
        <v>0</v>
      </c>
      <c r="K169" s="299">
        <f>SUM(K170:K173)</f>
        <v>0</v>
      </c>
      <c r="L169" s="125">
        <f t="shared" si="11"/>
        <v>0</v>
      </c>
      <c r="M169" s="317">
        <f>SUM(M170:M173)</f>
        <v>0</v>
      </c>
      <c r="N169" s="318">
        <f>SUM(N170:N173)</f>
        <v>0</v>
      </c>
      <c r="O169" s="151">
        <f t="shared" si="12"/>
        <v>0</v>
      </c>
      <c r="P169" s="153"/>
      <c r="R169" s="53"/>
      <c r="S169" s="53"/>
      <c r="T169" s="53"/>
    </row>
    <row r="170" spans="1:20" ht="24" hidden="1" x14ac:dyDescent="0.25">
      <c r="A170" s="76">
        <v>2512</v>
      </c>
      <c r="B170" s="127" t="s">
        <v>186</v>
      </c>
      <c r="C170" s="128">
        <f t="shared" si="8"/>
        <v>0</v>
      </c>
      <c r="D170" s="134"/>
      <c r="E170" s="285"/>
      <c r="F170" s="286">
        <f t="shared" si="9"/>
        <v>0</v>
      </c>
      <c r="G170" s="134"/>
      <c r="H170" s="135"/>
      <c r="I170" s="136">
        <f t="shared" si="10"/>
        <v>0</v>
      </c>
      <c r="J170" s="134"/>
      <c r="K170" s="135"/>
      <c r="L170" s="136">
        <f t="shared" si="11"/>
        <v>0</v>
      </c>
      <c r="M170" s="284"/>
      <c r="N170" s="285"/>
      <c r="O170" s="136">
        <f t="shared" si="12"/>
        <v>0</v>
      </c>
      <c r="P170" s="85"/>
      <c r="R170" s="53"/>
      <c r="S170" s="53"/>
      <c r="T170" s="53"/>
    </row>
    <row r="171" spans="1:20" ht="36" hidden="1" x14ac:dyDescent="0.25">
      <c r="A171" s="76">
        <v>2513</v>
      </c>
      <c r="B171" s="127" t="s">
        <v>187</v>
      </c>
      <c r="C171" s="128">
        <f t="shared" si="8"/>
        <v>0</v>
      </c>
      <c r="D171" s="134"/>
      <c r="E171" s="285"/>
      <c r="F171" s="286">
        <f t="shared" si="9"/>
        <v>0</v>
      </c>
      <c r="G171" s="134"/>
      <c r="H171" s="135"/>
      <c r="I171" s="136">
        <f t="shared" si="10"/>
        <v>0</v>
      </c>
      <c r="J171" s="134"/>
      <c r="K171" s="135"/>
      <c r="L171" s="136">
        <f t="shared" si="11"/>
        <v>0</v>
      </c>
      <c r="M171" s="284"/>
      <c r="N171" s="285"/>
      <c r="O171" s="136">
        <f t="shared" si="12"/>
        <v>0</v>
      </c>
      <c r="P171" s="85"/>
      <c r="R171" s="53"/>
      <c r="S171" s="53"/>
      <c r="T171" s="53"/>
    </row>
    <row r="172" spans="1:20" ht="24" hidden="1" x14ac:dyDescent="0.25">
      <c r="A172" s="76">
        <v>2515</v>
      </c>
      <c r="B172" s="127" t="s">
        <v>188</v>
      </c>
      <c r="C172" s="128">
        <f t="shared" si="8"/>
        <v>0</v>
      </c>
      <c r="D172" s="134"/>
      <c r="E172" s="285"/>
      <c r="F172" s="286">
        <f t="shared" si="9"/>
        <v>0</v>
      </c>
      <c r="G172" s="134"/>
      <c r="H172" s="135"/>
      <c r="I172" s="136">
        <f t="shared" si="10"/>
        <v>0</v>
      </c>
      <c r="J172" s="134"/>
      <c r="K172" s="135"/>
      <c r="L172" s="136">
        <f t="shared" si="11"/>
        <v>0</v>
      </c>
      <c r="M172" s="284"/>
      <c r="N172" s="285"/>
      <c r="O172" s="136">
        <f t="shared" si="12"/>
        <v>0</v>
      </c>
      <c r="P172" s="85"/>
      <c r="R172" s="53"/>
      <c r="S172" s="53"/>
      <c r="T172" s="53"/>
    </row>
    <row r="173" spans="1:20" ht="24" hidden="1" x14ac:dyDescent="0.25">
      <c r="A173" s="76">
        <v>2519</v>
      </c>
      <c r="B173" s="127" t="s">
        <v>189</v>
      </c>
      <c r="C173" s="128">
        <f t="shared" si="8"/>
        <v>0</v>
      </c>
      <c r="D173" s="134"/>
      <c r="E173" s="285"/>
      <c r="F173" s="286">
        <f t="shared" si="9"/>
        <v>0</v>
      </c>
      <c r="G173" s="134"/>
      <c r="H173" s="135"/>
      <c r="I173" s="136">
        <f t="shared" si="10"/>
        <v>0</v>
      </c>
      <c r="J173" s="134"/>
      <c r="K173" s="135"/>
      <c r="L173" s="136">
        <f t="shared" si="11"/>
        <v>0</v>
      </c>
      <c r="M173" s="284"/>
      <c r="N173" s="285"/>
      <c r="O173" s="136">
        <f t="shared" si="12"/>
        <v>0</v>
      </c>
      <c r="P173" s="85"/>
      <c r="R173" s="53"/>
      <c r="S173" s="53"/>
      <c r="T173" s="53"/>
    </row>
    <row r="174" spans="1:20" ht="24" hidden="1" x14ac:dyDescent="0.25">
      <c r="A174" s="276">
        <v>2520</v>
      </c>
      <c r="B174" s="127" t="s">
        <v>190</v>
      </c>
      <c r="C174" s="128">
        <f t="shared" si="8"/>
        <v>0</v>
      </c>
      <c r="D174" s="134"/>
      <c r="E174" s="285"/>
      <c r="F174" s="286">
        <f t="shared" si="9"/>
        <v>0</v>
      </c>
      <c r="G174" s="134"/>
      <c r="H174" s="135"/>
      <c r="I174" s="136">
        <f t="shared" si="10"/>
        <v>0</v>
      </c>
      <c r="J174" s="134"/>
      <c r="K174" s="135"/>
      <c r="L174" s="136">
        <f t="shared" si="11"/>
        <v>0</v>
      </c>
      <c r="M174" s="284"/>
      <c r="N174" s="285"/>
      <c r="O174" s="136">
        <f t="shared" si="12"/>
        <v>0</v>
      </c>
      <c r="P174" s="85"/>
      <c r="R174" s="53"/>
      <c r="S174" s="53"/>
      <c r="T174" s="53"/>
    </row>
    <row r="175" spans="1:20" s="319" customFormat="1" ht="48" hidden="1" x14ac:dyDescent="0.25">
      <c r="A175" s="31">
        <v>2800</v>
      </c>
      <c r="B175" s="116" t="s">
        <v>191</v>
      </c>
      <c r="C175" s="117">
        <f t="shared" si="8"/>
        <v>0</v>
      </c>
      <c r="D175" s="68"/>
      <c r="E175" s="69"/>
      <c r="F175" s="70">
        <f t="shared" si="9"/>
        <v>0</v>
      </c>
      <c r="G175" s="68"/>
      <c r="H175" s="71"/>
      <c r="I175" s="72">
        <f t="shared" si="10"/>
        <v>0</v>
      </c>
      <c r="J175" s="68"/>
      <c r="K175" s="71"/>
      <c r="L175" s="72">
        <f t="shared" si="11"/>
        <v>0</v>
      </c>
      <c r="M175" s="73"/>
      <c r="N175" s="69"/>
      <c r="O175" s="72">
        <f t="shared" si="12"/>
        <v>0</v>
      </c>
      <c r="P175" s="74"/>
      <c r="R175" s="53"/>
      <c r="S175" s="53"/>
      <c r="T175" s="53"/>
    </row>
    <row r="176" spans="1:20" hidden="1" x14ac:dyDescent="0.25">
      <c r="A176" s="237">
        <v>3000</v>
      </c>
      <c r="B176" s="237" t="s">
        <v>192</v>
      </c>
      <c r="C176" s="238">
        <f t="shared" si="8"/>
        <v>0</v>
      </c>
      <c r="D176" s="239">
        <f>SUM(D177,D187)</f>
        <v>0</v>
      </c>
      <c r="E176" s="245">
        <f>SUM(E177,E187)</f>
        <v>0</v>
      </c>
      <c r="F176" s="320">
        <f t="shared" si="9"/>
        <v>0</v>
      </c>
      <c r="G176" s="239">
        <f>SUM(G177,G187)</f>
        <v>0</v>
      </c>
      <c r="H176" s="242">
        <f>SUM(H177,H187)</f>
        <v>0</v>
      </c>
      <c r="I176" s="243">
        <f t="shared" si="10"/>
        <v>0</v>
      </c>
      <c r="J176" s="239">
        <f>SUM(J177,J187)</f>
        <v>0</v>
      </c>
      <c r="K176" s="242">
        <f>SUM(K177,K187)</f>
        <v>0</v>
      </c>
      <c r="L176" s="243">
        <f t="shared" si="11"/>
        <v>0</v>
      </c>
      <c r="M176" s="244">
        <f>SUM(M177,M187)</f>
        <v>0</v>
      </c>
      <c r="N176" s="245">
        <f>SUM(N177,N187)</f>
        <v>0</v>
      </c>
      <c r="O176" s="243">
        <f t="shared" si="12"/>
        <v>0</v>
      </c>
      <c r="P176" s="246"/>
      <c r="R176" s="53"/>
      <c r="S176" s="53"/>
      <c r="T176" s="53"/>
    </row>
    <row r="177" spans="1:20" ht="24" hidden="1" x14ac:dyDescent="0.25">
      <c r="A177" s="99">
        <v>3200</v>
      </c>
      <c r="B177" s="321" t="s">
        <v>193</v>
      </c>
      <c r="C177" s="100">
        <f t="shared" si="8"/>
        <v>0</v>
      </c>
      <c r="D177" s="112">
        <f>SUM(D178,D182)</f>
        <v>0</v>
      </c>
      <c r="E177" s="293">
        <f>SUM(E178,E182)</f>
        <v>0</v>
      </c>
      <c r="F177" s="313">
        <f t="shared" si="9"/>
        <v>0</v>
      </c>
      <c r="G177" s="112">
        <f>SUM(G178,G182)</f>
        <v>0</v>
      </c>
      <c r="H177" s="113">
        <f>SUM(H178,H182)</f>
        <v>0</v>
      </c>
      <c r="I177" s="114">
        <f t="shared" si="10"/>
        <v>0</v>
      </c>
      <c r="J177" s="112">
        <f>SUM(J178,J182)</f>
        <v>0</v>
      </c>
      <c r="K177" s="113">
        <f>SUM(K178,K182)</f>
        <v>0</v>
      </c>
      <c r="L177" s="114">
        <f t="shared" si="11"/>
        <v>0</v>
      </c>
      <c r="M177" s="250">
        <f>SUM(M178,M182)</f>
        <v>0</v>
      </c>
      <c r="N177" s="251">
        <f>SUM(N178,N182)</f>
        <v>0</v>
      </c>
      <c r="O177" s="252">
        <f t="shared" si="12"/>
        <v>0</v>
      </c>
      <c r="P177" s="253"/>
      <c r="R177" s="53"/>
      <c r="S177" s="53"/>
      <c r="T177" s="53"/>
    </row>
    <row r="178" spans="1:20" ht="36" hidden="1" x14ac:dyDescent="0.25">
      <c r="A178" s="294">
        <v>3260</v>
      </c>
      <c r="B178" s="116" t="s">
        <v>194</v>
      </c>
      <c r="C178" s="117">
        <f t="shared" si="8"/>
        <v>0</v>
      </c>
      <c r="D178" s="297">
        <f>SUM(D179:D181)</f>
        <v>0</v>
      </c>
      <c r="E178" s="301">
        <f>SUM(E179:E181)</f>
        <v>0</v>
      </c>
      <c r="F178" s="263">
        <f t="shared" si="9"/>
        <v>0</v>
      </c>
      <c r="G178" s="297">
        <f>SUM(G179:G181)</f>
        <v>0</v>
      </c>
      <c r="H178" s="299">
        <f>SUM(H179:H181)</f>
        <v>0</v>
      </c>
      <c r="I178" s="125">
        <f t="shared" si="10"/>
        <v>0</v>
      </c>
      <c r="J178" s="297">
        <f>SUM(J179:J181)</f>
        <v>0</v>
      </c>
      <c r="K178" s="299">
        <f>SUM(K179:K181)</f>
        <v>0</v>
      </c>
      <c r="L178" s="125">
        <f t="shared" si="11"/>
        <v>0</v>
      </c>
      <c r="M178" s="300">
        <f>SUM(M179:M181)</f>
        <v>0</v>
      </c>
      <c r="N178" s="301">
        <f>SUM(N179:N181)</f>
        <v>0</v>
      </c>
      <c r="O178" s="125">
        <f t="shared" si="12"/>
        <v>0</v>
      </c>
      <c r="P178" s="74"/>
      <c r="R178" s="53"/>
      <c r="S178" s="53"/>
      <c r="T178" s="53"/>
    </row>
    <row r="179" spans="1:20" ht="24" hidden="1" x14ac:dyDescent="0.25">
      <c r="A179" s="76">
        <v>3261</v>
      </c>
      <c r="B179" s="127" t="s">
        <v>195</v>
      </c>
      <c r="C179" s="128">
        <f t="shared" si="8"/>
        <v>0</v>
      </c>
      <c r="D179" s="134"/>
      <c r="E179" s="285"/>
      <c r="F179" s="286">
        <f t="shared" si="9"/>
        <v>0</v>
      </c>
      <c r="G179" s="134"/>
      <c r="H179" s="135"/>
      <c r="I179" s="136">
        <f t="shared" si="10"/>
        <v>0</v>
      </c>
      <c r="J179" s="134"/>
      <c r="K179" s="135"/>
      <c r="L179" s="136">
        <f t="shared" si="11"/>
        <v>0</v>
      </c>
      <c r="M179" s="284"/>
      <c r="N179" s="285"/>
      <c r="O179" s="136">
        <f t="shared" si="12"/>
        <v>0</v>
      </c>
      <c r="P179" s="85"/>
      <c r="R179" s="53"/>
      <c r="S179" s="53"/>
      <c r="T179" s="53"/>
    </row>
    <row r="180" spans="1:20" ht="36" hidden="1" x14ac:dyDescent="0.25">
      <c r="A180" s="76">
        <v>3262</v>
      </c>
      <c r="B180" s="127" t="s">
        <v>196</v>
      </c>
      <c r="C180" s="128">
        <f t="shared" si="8"/>
        <v>0</v>
      </c>
      <c r="D180" s="134"/>
      <c r="E180" s="285"/>
      <c r="F180" s="286">
        <f t="shared" si="9"/>
        <v>0</v>
      </c>
      <c r="G180" s="134"/>
      <c r="H180" s="135"/>
      <c r="I180" s="136">
        <f t="shared" si="10"/>
        <v>0</v>
      </c>
      <c r="J180" s="134"/>
      <c r="K180" s="135"/>
      <c r="L180" s="136">
        <f t="shared" si="11"/>
        <v>0</v>
      </c>
      <c r="M180" s="284"/>
      <c r="N180" s="285"/>
      <c r="O180" s="136">
        <f t="shared" si="12"/>
        <v>0</v>
      </c>
      <c r="P180" s="85"/>
      <c r="R180" s="53"/>
      <c r="S180" s="53"/>
      <c r="T180" s="53"/>
    </row>
    <row r="181" spans="1:20" ht="24" hidden="1" x14ac:dyDescent="0.25">
      <c r="A181" s="76">
        <v>3263</v>
      </c>
      <c r="B181" s="127" t="s">
        <v>197</v>
      </c>
      <c r="C181" s="128">
        <f t="shared" si="8"/>
        <v>0</v>
      </c>
      <c r="D181" s="134"/>
      <c r="E181" s="285"/>
      <c r="F181" s="286">
        <f t="shared" si="9"/>
        <v>0</v>
      </c>
      <c r="G181" s="134"/>
      <c r="H181" s="135"/>
      <c r="I181" s="136">
        <f t="shared" si="10"/>
        <v>0</v>
      </c>
      <c r="J181" s="134"/>
      <c r="K181" s="135"/>
      <c r="L181" s="136">
        <f t="shared" si="11"/>
        <v>0</v>
      </c>
      <c r="M181" s="284"/>
      <c r="N181" s="285"/>
      <c r="O181" s="136">
        <f t="shared" si="12"/>
        <v>0</v>
      </c>
      <c r="P181" s="85"/>
      <c r="R181" s="53"/>
      <c r="S181" s="53"/>
      <c r="T181" s="53"/>
    </row>
    <row r="182" spans="1:20" ht="84" hidden="1" x14ac:dyDescent="0.25">
      <c r="A182" s="294">
        <v>3290</v>
      </c>
      <c r="B182" s="116" t="s">
        <v>198</v>
      </c>
      <c r="C182" s="128">
        <f t="shared" ref="C182:C258" si="14">F182+I182+L182+O182</f>
        <v>0</v>
      </c>
      <c r="D182" s="297">
        <f>SUM(D183:D186)</f>
        <v>0</v>
      </c>
      <c r="E182" s="301">
        <f>SUM(E183:E186)</f>
        <v>0</v>
      </c>
      <c r="F182" s="263">
        <f t="shared" si="9"/>
        <v>0</v>
      </c>
      <c r="G182" s="297">
        <f>SUM(G183:G186)</f>
        <v>0</v>
      </c>
      <c r="H182" s="299">
        <f>SUM(H183:H186)</f>
        <v>0</v>
      </c>
      <c r="I182" s="125">
        <f t="shared" si="10"/>
        <v>0</v>
      </c>
      <c r="J182" s="297">
        <f>SUM(J183:J186)</f>
        <v>0</v>
      </c>
      <c r="K182" s="299">
        <f>SUM(K183:K186)</f>
        <v>0</v>
      </c>
      <c r="L182" s="125">
        <f t="shared" si="11"/>
        <v>0</v>
      </c>
      <c r="M182" s="322">
        <f>SUM(M183:M186)</f>
        <v>0</v>
      </c>
      <c r="N182" s="323">
        <f>SUM(N183:N186)</f>
        <v>0</v>
      </c>
      <c r="O182" s="324">
        <f t="shared" si="12"/>
        <v>0</v>
      </c>
      <c r="P182" s="325"/>
      <c r="R182" s="53"/>
      <c r="S182" s="53"/>
      <c r="T182" s="53"/>
    </row>
    <row r="183" spans="1:20" ht="72" hidden="1" x14ac:dyDescent="0.25">
      <c r="A183" s="76">
        <v>3291</v>
      </c>
      <c r="B183" s="127" t="s">
        <v>199</v>
      </c>
      <c r="C183" s="128">
        <f t="shared" si="14"/>
        <v>0</v>
      </c>
      <c r="D183" s="134"/>
      <c r="E183" s="285"/>
      <c r="F183" s="286">
        <f t="shared" ref="F183:F246" si="15">D183+E183</f>
        <v>0</v>
      </c>
      <c r="G183" s="134"/>
      <c r="H183" s="135"/>
      <c r="I183" s="136">
        <f t="shared" ref="I183:I246" si="16">G183+H183</f>
        <v>0</v>
      </c>
      <c r="J183" s="134"/>
      <c r="K183" s="135"/>
      <c r="L183" s="136">
        <f t="shared" ref="L183:L246" si="17">J183+K183</f>
        <v>0</v>
      </c>
      <c r="M183" s="284"/>
      <c r="N183" s="285"/>
      <c r="O183" s="136">
        <f t="shared" ref="O183:O246" si="18">M183+N183</f>
        <v>0</v>
      </c>
      <c r="P183" s="85"/>
      <c r="R183" s="53"/>
      <c r="S183" s="53"/>
      <c r="T183" s="53"/>
    </row>
    <row r="184" spans="1:20" ht="72" hidden="1" x14ac:dyDescent="0.25">
      <c r="A184" s="76">
        <v>3292</v>
      </c>
      <c r="B184" s="127" t="s">
        <v>200</v>
      </c>
      <c r="C184" s="128">
        <f t="shared" si="14"/>
        <v>0</v>
      </c>
      <c r="D184" s="134"/>
      <c r="E184" s="285"/>
      <c r="F184" s="286">
        <f t="shared" si="15"/>
        <v>0</v>
      </c>
      <c r="G184" s="134"/>
      <c r="H184" s="135"/>
      <c r="I184" s="136">
        <f t="shared" si="16"/>
        <v>0</v>
      </c>
      <c r="J184" s="134"/>
      <c r="K184" s="135"/>
      <c r="L184" s="136">
        <f t="shared" si="17"/>
        <v>0</v>
      </c>
      <c r="M184" s="284"/>
      <c r="N184" s="285"/>
      <c r="O184" s="136">
        <f t="shared" si="18"/>
        <v>0</v>
      </c>
      <c r="P184" s="85"/>
      <c r="R184" s="53"/>
      <c r="S184" s="53"/>
      <c r="T184" s="53"/>
    </row>
    <row r="185" spans="1:20" ht="72" hidden="1" x14ac:dyDescent="0.25">
      <c r="A185" s="76">
        <v>3293</v>
      </c>
      <c r="B185" s="127" t="s">
        <v>201</v>
      </c>
      <c r="C185" s="128">
        <f t="shared" si="14"/>
        <v>0</v>
      </c>
      <c r="D185" s="134"/>
      <c r="E185" s="285"/>
      <c r="F185" s="286">
        <f t="shared" si="15"/>
        <v>0</v>
      </c>
      <c r="G185" s="134"/>
      <c r="H185" s="135"/>
      <c r="I185" s="136">
        <f t="shared" si="16"/>
        <v>0</v>
      </c>
      <c r="J185" s="134"/>
      <c r="K185" s="135"/>
      <c r="L185" s="136">
        <f t="shared" si="17"/>
        <v>0</v>
      </c>
      <c r="M185" s="284"/>
      <c r="N185" s="285"/>
      <c r="O185" s="136">
        <f t="shared" si="18"/>
        <v>0</v>
      </c>
      <c r="P185" s="85"/>
      <c r="R185" s="53"/>
      <c r="S185" s="53"/>
      <c r="T185" s="53"/>
    </row>
    <row r="186" spans="1:20" ht="60" hidden="1" x14ac:dyDescent="0.25">
      <c r="A186" s="326">
        <v>3294</v>
      </c>
      <c r="B186" s="127" t="s">
        <v>202</v>
      </c>
      <c r="C186" s="327">
        <f t="shared" si="14"/>
        <v>0</v>
      </c>
      <c r="D186" s="328"/>
      <c r="E186" s="329"/>
      <c r="F186" s="330">
        <f t="shared" si="15"/>
        <v>0</v>
      </c>
      <c r="G186" s="328"/>
      <c r="H186" s="331"/>
      <c r="I186" s="324">
        <f t="shared" si="16"/>
        <v>0</v>
      </c>
      <c r="J186" s="328"/>
      <c r="K186" s="331"/>
      <c r="L186" s="324">
        <f t="shared" si="17"/>
        <v>0</v>
      </c>
      <c r="M186" s="332"/>
      <c r="N186" s="329"/>
      <c r="O186" s="324">
        <f t="shared" si="18"/>
        <v>0</v>
      </c>
      <c r="P186" s="325"/>
      <c r="R186" s="53"/>
      <c r="S186" s="53"/>
      <c r="T186" s="53"/>
    </row>
    <row r="187" spans="1:20" ht="48" hidden="1" x14ac:dyDescent="0.25">
      <c r="A187" s="160">
        <v>3300</v>
      </c>
      <c r="B187" s="321" t="s">
        <v>203</v>
      </c>
      <c r="C187" s="333">
        <f t="shared" si="14"/>
        <v>0</v>
      </c>
      <c r="D187" s="334">
        <f>SUM(D188:D189)</f>
        <v>0</v>
      </c>
      <c r="E187" s="251">
        <f>SUM(E188:E189)</f>
        <v>0</v>
      </c>
      <c r="F187" s="335">
        <f t="shared" si="15"/>
        <v>0</v>
      </c>
      <c r="G187" s="334">
        <f>SUM(G188:G189)</f>
        <v>0</v>
      </c>
      <c r="H187" s="336">
        <f>SUM(H188:H189)</f>
        <v>0</v>
      </c>
      <c r="I187" s="252">
        <f t="shared" si="16"/>
        <v>0</v>
      </c>
      <c r="J187" s="334">
        <f>SUM(J188:J189)</f>
        <v>0</v>
      </c>
      <c r="K187" s="336">
        <f>SUM(K188:K189)</f>
        <v>0</v>
      </c>
      <c r="L187" s="252">
        <f t="shared" si="17"/>
        <v>0</v>
      </c>
      <c r="M187" s="250">
        <f>SUM(M188:M189)</f>
        <v>0</v>
      </c>
      <c r="N187" s="251">
        <f>SUM(N188:N189)</f>
        <v>0</v>
      </c>
      <c r="O187" s="252">
        <f t="shared" si="18"/>
        <v>0</v>
      </c>
      <c r="P187" s="253"/>
      <c r="R187" s="53"/>
      <c r="S187" s="53"/>
      <c r="T187" s="53"/>
    </row>
    <row r="188" spans="1:20" ht="48" hidden="1" x14ac:dyDescent="0.25">
      <c r="A188" s="178">
        <v>3310</v>
      </c>
      <c r="B188" s="179" t="s">
        <v>204</v>
      </c>
      <c r="C188" s="191">
        <f t="shared" si="14"/>
        <v>0</v>
      </c>
      <c r="D188" s="287"/>
      <c r="E188" s="291"/>
      <c r="F188" s="310">
        <f t="shared" si="15"/>
        <v>0</v>
      </c>
      <c r="G188" s="287"/>
      <c r="H188" s="289"/>
      <c r="I188" s="259">
        <f t="shared" si="16"/>
        <v>0</v>
      </c>
      <c r="J188" s="287"/>
      <c r="K188" s="289"/>
      <c r="L188" s="259">
        <f t="shared" si="17"/>
        <v>0</v>
      </c>
      <c r="M188" s="290"/>
      <c r="N188" s="291"/>
      <c r="O188" s="259">
        <f t="shared" si="18"/>
        <v>0</v>
      </c>
      <c r="P188" s="189"/>
      <c r="R188" s="53"/>
      <c r="S188" s="53"/>
      <c r="T188" s="53"/>
    </row>
    <row r="189" spans="1:20" ht="60" hidden="1" x14ac:dyDescent="0.25">
      <c r="A189" s="66">
        <v>3320</v>
      </c>
      <c r="B189" s="116" t="s">
        <v>205</v>
      </c>
      <c r="C189" s="117">
        <f t="shared" si="14"/>
        <v>0</v>
      </c>
      <c r="D189" s="123"/>
      <c r="E189" s="262"/>
      <c r="F189" s="263">
        <f t="shared" si="15"/>
        <v>0</v>
      </c>
      <c r="G189" s="123"/>
      <c r="H189" s="124"/>
      <c r="I189" s="125">
        <f t="shared" si="16"/>
        <v>0</v>
      </c>
      <c r="J189" s="123"/>
      <c r="K189" s="124"/>
      <c r="L189" s="125">
        <f t="shared" si="17"/>
        <v>0</v>
      </c>
      <c r="M189" s="264"/>
      <c r="N189" s="262"/>
      <c r="O189" s="125">
        <f t="shared" si="18"/>
        <v>0</v>
      </c>
      <c r="P189" s="74"/>
      <c r="R189" s="53"/>
      <c r="S189" s="53"/>
      <c r="T189" s="53"/>
    </row>
    <row r="190" spans="1:20" hidden="1" x14ac:dyDescent="0.25">
      <c r="A190" s="337">
        <v>4000</v>
      </c>
      <c r="B190" s="237" t="s">
        <v>206</v>
      </c>
      <c r="C190" s="238">
        <f t="shared" si="14"/>
        <v>0</v>
      </c>
      <c r="D190" s="239">
        <f>SUM(D191,D194)</f>
        <v>0</v>
      </c>
      <c r="E190" s="245">
        <f>SUM(E191,E194)</f>
        <v>0</v>
      </c>
      <c r="F190" s="320">
        <f t="shared" si="15"/>
        <v>0</v>
      </c>
      <c r="G190" s="239">
        <f>SUM(G191,G194)</f>
        <v>0</v>
      </c>
      <c r="H190" s="242">
        <f>SUM(H191,H194)</f>
        <v>0</v>
      </c>
      <c r="I190" s="243">
        <f t="shared" si="16"/>
        <v>0</v>
      </c>
      <c r="J190" s="239">
        <f>SUM(J191,J194)</f>
        <v>0</v>
      </c>
      <c r="K190" s="242">
        <f>SUM(K191,K194)</f>
        <v>0</v>
      </c>
      <c r="L190" s="243">
        <f t="shared" si="17"/>
        <v>0</v>
      </c>
      <c r="M190" s="244">
        <f>SUM(M191,M194)</f>
        <v>0</v>
      </c>
      <c r="N190" s="245">
        <f>SUM(N191,N194)</f>
        <v>0</v>
      </c>
      <c r="O190" s="243">
        <f t="shared" si="18"/>
        <v>0</v>
      </c>
      <c r="P190" s="246"/>
      <c r="R190" s="53"/>
      <c r="S190" s="53"/>
      <c r="T190" s="53"/>
    </row>
    <row r="191" spans="1:20" ht="24" hidden="1" x14ac:dyDescent="0.25">
      <c r="A191" s="338">
        <v>4200</v>
      </c>
      <c r="B191" s="247" t="s">
        <v>207</v>
      </c>
      <c r="C191" s="100">
        <f t="shared" si="14"/>
        <v>0</v>
      </c>
      <c r="D191" s="112">
        <f>SUM(D192,D193)</f>
        <v>0</v>
      </c>
      <c r="E191" s="293">
        <f>SUM(E192,E193)</f>
        <v>0</v>
      </c>
      <c r="F191" s="313">
        <f t="shared" si="15"/>
        <v>0</v>
      </c>
      <c r="G191" s="112">
        <f>SUM(G192,G193)</f>
        <v>0</v>
      </c>
      <c r="H191" s="113">
        <f>SUM(H192,H193)</f>
        <v>0</v>
      </c>
      <c r="I191" s="114">
        <f t="shared" si="16"/>
        <v>0</v>
      </c>
      <c r="J191" s="112">
        <f>SUM(J192,J193)</f>
        <v>0</v>
      </c>
      <c r="K191" s="113">
        <f>SUM(K192,K193)</f>
        <v>0</v>
      </c>
      <c r="L191" s="114">
        <f t="shared" si="17"/>
        <v>0</v>
      </c>
      <c r="M191" s="292">
        <f>SUM(M192,M193)</f>
        <v>0</v>
      </c>
      <c r="N191" s="293">
        <f>SUM(N192,N193)</f>
        <v>0</v>
      </c>
      <c r="O191" s="114">
        <f t="shared" si="18"/>
        <v>0</v>
      </c>
      <c r="P191" s="109"/>
      <c r="R191" s="53"/>
      <c r="S191" s="53"/>
      <c r="T191" s="53"/>
    </row>
    <row r="192" spans="1:20" ht="36" hidden="1" x14ac:dyDescent="0.25">
      <c r="A192" s="294">
        <v>4240</v>
      </c>
      <c r="B192" s="116" t="s">
        <v>208</v>
      </c>
      <c r="C192" s="117">
        <f t="shared" si="14"/>
        <v>0</v>
      </c>
      <c r="D192" s="123"/>
      <c r="E192" s="262"/>
      <c r="F192" s="263">
        <f t="shared" si="15"/>
        <v>0</v>
      </c>
      <c r="G192" s="123"/>
      <c r="H192" s="124"/>
      <c r="I192" s="125">
        <f t="shared" si="16"/>
        <v>0</v>
      </c>
      <c r="J192" s="123"/>
      <c r="K192" s="124"/>
      <c r="L192" s="125">
        <f t="shared" si="17"/>
        <v>0</v>
      </c>
      <c r="M192" s="264"/>
      <c r="N192" s="262"/>
      <c r="O192" s="125">
        <f t="shared" si="18"/>
        <v>0</v>
      </c>
      <c r="P192" s="74"/>
      <c r="R192" s="53"/>
      <c r="S192" s="53"/>
      <c r="T192" s="53"/>
    </row>
    <row r="193" spans="1:20" ht="24" hidden="1" x14ac:dyDescent="0.25">
      <c r="A193" s="276">
        <v>4250</v>
      </c>
      <c r="B193" s="127" t="s">
        <v>209</v>
      </c>
      <c r="C193" s="128">
        <f t="shared" si="14"/>
        <v>0</v>
      </c>
      <c r="D193" s="134"/>
      <c r="E193" s="285"/>
      <c r="F193" s="286">
        <f t="shared" si="15"/>
        <v>0</v>
      </c>
      <c r="G193" s="134"/>
      <c r="H193" s="135"/>
      <c r="I193" s="136">
        <f t="shared" si="16"/>
        <v>0</v>
      </c>
      <c r="J193" s="134"/>
      <c r="K193" s="135"/>
      <c r="L193" s="136">
        <f t="shared" si="17"/>
        <v>0</v>
      </c>
      <c r="M193" s="284"/>
      <c r="N193" s="285"/>
      <c r="O193" s="136">
        <f t="shared" si="18"/>
        <v>0</v>
      </c>
      <c r="P193" s="85"/>
      <c r="R193" s="53"/>
      <c r="S193" s="53"/>
      <c r="T193" s="53"/>
    </row>
    <row r="194" spans="1:20" hidden="1" x14ac:dyDescent="0.25">
      <c r="A194" s="99">
        <v>4300</v>
      </c>
      <c r="B194" s="247" t="s">
        <v>210</v>
      </c>
      <c r="C194" s="100">
        <f t="shared" si="14"/>
        <v>0</v>
      </c>
      <c r="D194" s="112">
        <f>SUM(D195)</f>
        <v>0</v>
      </c>
      <c r="E194" s="293">
        <f>SUM(E195)</f>
        <v>0</v>
      </c>
      <c r="F194" s="313">
        <f t="shared" si="15"/>
        <v>0</v>
      </c>
      <c r="G194" s="112">
        <f>SUM(G195)</f>
        <v>0</v>
      </c>
      <c r="H194" s="113">
        <f>SUM(H195)</f>
        <v>0</v>
      </c>
      <c r="I194" s="114">
        <f t="shared" si="16"/>
        <v>0</v>
      </c>
      <c r="J194" s="112">
        <f>SUM(J195)</f>
        <v>0</v>
      </c>
      <c r="K194" s="113">
        <f>SUM(K195)</f>
        <v>0</v>
      </c>
      <c r="L194" s="114">
        <f t="shared" si="17"/>
        <v>0</v>
      </c>
      <c r="M194" s="292">
        <f>SUM(M195)</f>
        <v>0</v>
      </c>
      <c r="N194" s="293">
        <f>SUM(N195)</f>
        <v>0</v>
      </c>
      <c r="O194" s="114">
        <f t="shared" si="18"/>
        <v>0</v>
      </c>
      <c r="P194" s="109"/>
      <c r="R194" s="53"/>
      <c r="S194" s="53"/>
      <c r="T194" s="53"/>
    </row>
    <row r="195" spans="1:20" ht="24" hidden="1" x14ac:dyDescent="0.25">
      <c r="A195" s="294">
        <v>4310</v>
      </c>
      <c r="B195" s="116" t="s">
        <v>211</v>
      </c>
      <c r="C195" s="117">
        <f t="shared" si="14"/>
        <v>0</v>
      </c>
      <c r="D195" s="297">
        <f>SUM(D196:D196)</f>
        <v>0</v>
      </c>
      <c r="E195" s="301">
        <f>SUM(E196:E196)</f>
        <v>0</v>
      </c>
      <c r="F195" s="263">
        <f t="shared" si="15"/>
        <v>0</v>
      </c>
      <c r="G195" s="297">
        <f>SUM(G196:G196)</f>
        <v>0</v>
      </c>
      <c r="H195" s="299">
        <f>SUM(H196:H196)</f>
        <v>0</v>
      </c>
      <c r="I195" s="125">
        <f t="shared" si="16"/>
        <v>0</v>
      </c>
      <c r="J195" s="297">
        <f>SUM(J196:J196)</f>
        <v>0</v>
      </c>
      <c r="K195" s="299">
        <f>SUM(K196:K196)</f>
        <v>0</v>
      </c>
      <c r="L195" s="125">
        <f t="shared" si="17"/>
        <v>0</v>
      </c>
      <c r="M195" s="300">
        <f>SUM(M196:M196)</f>
        <v>0</v>
      </c>
      <c r="N195" s="301">
        <f>SUM(N196:N196)</f>
        <v>0</v>
      </c>
      <c r="O195" s="125">
        <f t="shared" si="18"/>
        <v>0</v>
      </c>
      <c r="P195" s="74"/>
      <c r="R195" s="53"/>
      <c r="S195" s="53"/>
      <c r="T195" s="53"/>
    </row>
    <row r="196" spans="1:20" ht="36" hidden="1" x14ac:dyDescent="0.25">
      <c r="A196" s="76">
        <v>4311</v>
      </c>
      <c r="B196" s="127" t="s">
        <v>212</v>
      </c>
      <c r="C196" s="128">
        <f t="shared" si="14"/>
        <v>0</v>
      </c>
      <c r="D196" s="134"/>
      <c r="E196" s="285"/>
      <c r="F196" s="286">
        <f t="shared" si="15"/>
        <v>0</v>
      </c>
      <c r="G196" s="134"/>
      <c r="H196" s="135"/>
      <c r="I196" s="136">
        <f t="shared" si="16"/>
        <v>0</v>
      </c>
      <c r="J196" s="134"/>
      <c r="K196" s="135"/>
      <c r="L196" s="136">
        <f t="shared" si="17"/>
        <v>0</v>
      </c>
      <c r="M196" s="284"/>
      <c r="N196" s="285"/>
      <c r="O196" s="136">
        <f t="shared" si="18"/>
        <v>0</v>
      </c>
      <c r="P196" s="85"/>
      <c r="R196" s="53"/>
      <c r="S196" s="53"/>
      <c r="T196" s="53"/>
    </row>
    <row r="197" spans="1:20" s="41" customFormat="1" ht="24" x14ac:dyDescent="0.25">
      <c r="A197" s="339"/>
      <c r="B197" s="31" t="s">
        <v>213</v>
      </c>
      <c r="C197" s="229">
        <f t="shared" si="14"/>
        <v>37126</v>
      </c>
      <c r="D197" s="230">
        <f>SUM(D198,D233,D271)</f>
        <v>32426</v>
      </c>
      <c r="E197" s="231">
        <f>SUM(E198,E233,E271)</f>
        <v>0</v>
      </c>
      <c r="F197" s="232">
        <f t="shared" si="15"/>
        <v>32426</v>
      </c>
      <c r="G197" s="230">
        <f>SUM(G198,G233,G271)</f>
        <v>4700</v>
      </c>
      <c r="H197" s="233">
        <f>SUM(H198,H233,H271)</f>
        <v>0</v>
      </c>
      <c r="I197" s="234">
        <f t="shared" si="16"/>
        <v>4700</v>
      </c>
      <c r="J197" s="230">
        <f>SUM(J198,J233,J271)</f>
        <v>0</v>
      </c>
      <c r="K197" s="233">
        <f>SUM(K198,K233,K271)</f>
        <v>0</v>
      </c>
      <c r="L197" s="234">
        <f t="shared" si="17"/>
        <v>0</v>
      </c>
      <c r="M197" s="340">
        <f>SUM(M198,M233,M271)</f>
        <v>0</v>
      </c>
      <c r="N197" s="341">
        <f>SUM(N198,N233,N271)</f>
        <v>0</v>
      </c>
      <c r="O197" s="342">
        <f t="shared" si="18"/>
        <v>0</v>
      </c>
      <c r="P197" s="343"/>
      <c r="R197" s="53"/>
      <c r="S197" s="53"/>
      <c r="T197" s="53"/>
    </row>
    <row r="198" spans="1:20" x14ac:dyDescent="0.25">
      <c r="A198" s="237">
        <v>5000</v>
      </c>
      <c r="B198" s="237" t="s">
        <v>214</v>
      </c>
      <c r="C198" s="238">
        <f>F198+I198+L198+O198</f>
        <v>37126</v>
      </c>
      <c r="D198" s="239">
        <f>D199+D207</f>
        <v>32426</v>
      </c>
      <c r="E198" s="240">
        <f>E199+E207</f>
        <v>0</v>
      </c>
      <c r="F198" s="241">
        <f t="shared" si="15"/>
        <v>32426</v>
      </c>
      <c r="G198" s="239">
        <f>G199+G207</f>
        <v>4700</v>
      </c>
      <c r="H198" s="242">
        <f>H199+H207</f>
        <v>0</v>
      </c>
      <c r="I198" s="243">
        <f t="shared" si="16"/>
        <v>4700</v>
      </c>
      <c r="J198" s="239">
        <f>J199+J207</f>
        <v>0</v>
      </c>
      <c r="K198" s="242">
        <f>K199+K207</f>
        <v>0</v>
      </c>
      <c r="L198" s="243">
        <f t="shared" si="17"/>
        <v>0</v>
      </c>
      <c r="M198" s="244">
        <f>M199+M207</f>
        <v>0</v>
      </c>
      <c r="N198" s="245">
        <f>N199+N207</f>
        <v>0</v>
      </c>
      <c r="O198" s="243">
        <f t="shared" si="18"/>
        <v>0</v>
      </c>
      <c r="P198" s="246"/>
      <c r="R198" s="53"/>
      <c r="S198" s="53"/>
      <c r="T198" s="53"/>
    </row>
    <row r="199" spans="1:20" x14ac:dyDescent="0.25">
      <c r="A199" s="99">
        <v>5100</v>
      </c>
      <c r="B199" s="247" t="s">
        <v>215</v>
      </c>
      <c r="C199" s="100">
        <f t="shared" si="14"/>
        <v>2295</v>
      </c>
      <c r="D199" s="112">
        <f>D200+D201+D204+D205+D206</f>
        <v>2295</v>
      </c>
      <c r="E199" s="248">
        <f>E200+E201+E204+E205+E206</f>
        <v>0</v>
      </c>
      <c r="F199" s="249">
        <f t="shared" si="15"/>
        <v>2295</v>
      </c>
      <c r="G199" s="112">
        <f>G200+G201+G204+G205+G206</f>
        <v>0</v>
      </c>
      <c r="H199" s="113">
        <f>H200+H201+H204+H205+H206</f>
        <v>0</v>
      </c>
      <c r="I199" s="114">
        <f t="shared" si="16"/>
        <v>0</v>
      </c>
      <c r="J199" s="112">
        <f>J200+J201+J204+J205+J206</f>
        <v>0</v>
      </c>
      <c r="K199" s="113">
        <f>K200+K201+K204+K205+K206</f>
        <v>0</v>
      </c>
      <c r="L199" s="114">
        <f t="shared" si="17"/>
        <v>0</v>
      </c>
      <c r="M199" s="292">
        <f>M200+M201+M204+M205+M206</f>
        <v>0</v>
      </c>
      <c r="N199" s="293">
        <f>N200+N201+N204+N205+N206</f>
        <v>0</v>
      </c>
      <c r="O199" s="114">
        <f t="shared" si="18"/>
        <v>0</v>
      </c>
      <c r="P199" s="109"/>
      <c r="R199" s="53"/>
      <c r="S199" s="53"/>
      <c r="T199" s="53"/>
    </row>
    <row r="200" spans="1:20" hidden="1" x14ac:dyDescent="0.25">
      <c r="A200" s="294">
        <v>5110</v>
      </c>
      <c r="B200" s="116" t="s">
        <v>216</v>
      </c>
      <c r="C200" s="117">
        <f t="shared" si="14"/>
        <v>0</v>
      </c>
      <c r="D200" s="123"/>
      <c r="E200" s="262"/>
      <c r="F200" s="263">
        <f t="shared" si="15"/>
        <v>0</v>
      </c>
      <c r="G200" s="123"/>
      <c r="H200" s="124"/>
      <c r="I200" s="125">
        <f t="shared" si="16"/>
        <v>0</v>
      </c>
      <c r="J200" s="123"/>
      <c r="K200" s="124"/>
      <c r="L200" s="125">
        <f t="shared" si="17"/>
        <v>0</v>
      </c>
      <c r="M200" s="264"/>
      <c r="N200" s="262"/>
      <c r="O200" s="125">
        <f t="shared" si="18"/>
        <v>0</v>
      </c>
      <c r="P200" s="74"/>
      <c r="R200" s="53"/>
      <c r="S200" s="53"/>
      <c r="T200" s="53"/>
    </row>
    <row r="201" spans="1:20" ht="24" x14ac:dyDescent="0.25">
      <c r="A201" s="276">
        <v>5120</v>
      </c>
      <c r="B201" s="127" t="s">
        <v>217</v>
      </c>
      <c r="C201" s="128">
        <f t="shared" si="14"/>
        <v>2295</v>
      </c>
      <c r="D201" s="277">
        <f>D202+D203</f>
        <v>2295</v>
      </c>
      <c r="E201" s="278">
        <f>E202+E203</f>
        <v>0</v>
      </c>
      <c r="F201" s="279">
        <f t="shared" si="15"/>
        <v>2295</v>
      </c>
      <c r="G201" s="277">
        <f>G202+G203</f>
        <v>0</v>
      </c>
      <c r="H201" s="280">
        <f>H202+H203</f>
        <v>0</v>
      </c>
      <c r="I201" s="136">
        <f t="shared" si="16"/>
        <v>0</v>
      </c>
      <c r="J201" s="277">
        <f>J202+J203</f>
        <v>0</v>
      </c>
      <c r="K201" s="280">
        <f>K202+K203</f>
        <v>0</v>
      </c>
      <c r="L201" s="136">
        <f t="shared" si="17"/>
        <v>0</v>
      </c>
      <c r="M201" s="281">
        <f>M202+M203</f>
        <v>0</v>
      </c>
      <c r="N201" s="282">
        <f>N202+N203</f>
        <v>0</v>
      </c>
      <c r="O201" s="136">
        <f t="shared" si="18"/>
        <v>0</v>
      </c>
      <c r="P201" s="85"/>
      <c r="R201" s="53"/>
      <c r="S201" s="53"/>
      <c r="T201" s="53"/>
    </row>
    <row r="202" spans="1:20" x14ac:dyDescent="0.25">
      <c r="A202" s="76">
        <v>5121</v>
      </c>
      <c r="B202" s="127" t="s">
        <v>218</v>
      </c>
      <c r="C202" s="128">
        <f t="shared" si="14"/>
        <v>2295</v>
      </c>
      <c r="D202" s="134">
        <v>2295</v>
      </c>
      <c r="E202" s="283"/>
      <c r="F202" s="279">
        <f t="shared" si="15"/>
        <v>2295</v>
      </c>
      <c r="G202" s="134"/>
      <c r="H202" s="135"/>
      <c r="I202" s="136">
        <f t="shared" si="16"/>
        <v>0</v>
      </c>
      <c r="J202" s="134"/>
      <c r="K202" s="135"/>
      <c r="L202" s="136">
        <f t="shared" si="17"/>
        <v>0</v>
      </c>
      <c r="M202" s="284"/>
      <c r="N202" s="285"/>
      <c r="O202" s="136">
        <f t="shared" si="18"/>
        <v>0</v>
      </c>
      <c r="P202" s="85"/>
      <c r="R202" s="53"/>
      <c r="S202" s="53"/>
      <c r="T202" s="53"/>
    </row>
    <row r="203" spans="1:20" ht="24" hidden="1" x14ac:dyDescent="0.25">
      <c r="A203" s="76">
        <v>5129</v>
      </c>
      <c r="B203" s="127" t="s">
        <v>219</v>
      </c>
      <c r="C203" s="128">
        <f t="shared" si="14"/>
        <v>0</v>
      </c>
      <c r="D203" s="134"/>
      <c r="E203" s="285"/>
      <c r="F203" s="286">
        <f t="shared" si="15"/>
        <v>0</v>
      </c>
      <c r="G203" s="134"/>
      <c r="H203" s="135"/>
      <c r="I203" s="136">
        <f t="shared" si="16"/>
        <v>0</v>
      </c>
      <c r="J203" s="134"/>
      <c r="K203" s="135"/>
      <c r="L203" s="136">
        <f t="shared" si="17"/>
        <v>0</v>
      </c>
      <c r="M203" s="284"/>
      <c r="N203" s="285"/>
      <c r="O203" s="136">
        <f t="shared" si="18"/>
        <v>0</v>
      </c>
      <c r="P203" s="85"/>
      <c r="R203" s="53"/>
      <c r="S203" s="53"/>
      <c r="T203" s="53"/>
    </row>
    <row r="204" spans="1:20" hidden="1" x14ac:dyDescent="0.25">
      <c r="A204" s="276">
        <v>5130</v>
      </c>
      <c r="B204" s="127" t="s">
        <v>220</v>
      </c>
      <c r="C204" s="128">
        <f t="shared" si="14"/>
        <v>0</v>
      </c>
      <c r="D204" s="134"/>
      <c r="E204" s="285"/>
      <c r="F204" s="286">
        <f t="shared" si="15"/>
        <v>0</v>
      </c>
      <c r="G204" s="134"/>
      <c r="H204" s="135"/>
      <c r="I204" s="136">
        <f t="shared" si="16"/>
        <v>0</v>
      </c>
      <c r="J204" s="134"/>
      <c r="K204" s="135"/>
      <c r="L204" s="136">
        <f t="shared" si="17"/>
        <v>0</v>
      </c>
      <c r="M204" s="284"/>
      <c r="N204" s="285"/>
      <c r="O204" s="136">
        <f t="shared" si="18"/>
        <v>0</v>
      </c>
      <c r="P204" s="85"/>
      <c r="R204" s="53"/>
      <c r="S204" s="53"/>
      <c r="T204" s="53"/>
    </row>
    <row r="205" spans="1:20" hidden="1" x14ac:dyDescent="0.25">
      <c r="A205" s="276">
        <v>5140</v>
      </c>
      <c r="B205" s="127" t="s">
        <v>221</v>
      </c>
      <c r="C205" s="128">
        <f t="shared" si="14"/>
        <v>0</v>
      </c>
      <c r="D205" s="134"/>
      <c r="E205" s="285"/>
      <c r="F205" s="286">
        <f t="shared" si="15"/>
        <v>0</v>
      </c>
      <c r="G205" s="134"/>
      <c r="H205" s="135"/>
      <c r="I205" s="136">
        <f t="shared" si="16"/>
        <v>0</v>
      </c>
      <c r="J205" s="134"/>
      <c r="K205" s="135"/>
      <c r="L205" s="136">
        <f t="shared" si="17"/>
        <v>0</v>
      </c>
      <c r="M205" s="284"/>
      <c r="N205" s="285"/>
      <c r="O205" s="136">
        <f t="shared" si="18"/>
        <v>0</v>
      </c>
      <c r="P205" s="85"/>
      <c r="R205" s="53"/>
      <c r="S205" s="53"/>
      <c r="T205" s="53"/>
    </row>
    <row r="206" spans="1:20" ht="24" hidden="1" x14ac:dyDescent="0.25">
      <c r="A206" s="276">
        <v>5170</v>
      </c>
      <c r="B206" s="127" t="s">
        <v>222</v>
      </c>
      <c r="C206" s="128">
        <f t="shared" si="14"/>
        <v>0</v>
      </c>
      <c r="D206" s="134"/>
      <c r="E206" s="285"/>
      <c r="F206" s="286">
        <f t="shared" si="15"/>
        <v>0</v>
      </c>
      <c r="G206" s="134"/>
      <c r="H206" s="135"/>
      <c r="I206" s="136">
        <f t="shared" si="16"/>
        <v>0</v>
      </c>
      <c r="J206" s="134"/>
      <c r="K206" s="135"/>
      <c r="L206" s="136">
        <f t="shared" si="17"/>
        <v>0</v>
      </c>
      <c r="M206" s="284"/>
      <c r="N206" s="285"/>
      <c r="O206" s="136">
        <f t="shared" si="18"/>
        <v>0</v>
      </c>
      <c r="P206" s="85"/>
      <c r="R206" s="53"/>
      <c r="S206" s="53"/>
      <c r="T206" s="53"/>
    </row>
    <row r="207" spans="1:20" x14ac:dyDescent="0.25">
      <c r="A207" s="99">
        <v>5200</v>
      </c>
      <c r="B207" s="247" t="s">
        <v>223</v>
      </c>
      <c r="C207" s="100">
        <f t="shared" si="14"/>
        <v>34831</v>
      </c>
      <c r="D207" s="112">
        <f>D208+D218+D219+D228+D229+D230+D232</f>
        <v>30131</v>
      </c>
      <c r="E207" s="248">
        <f>E208+E218+E219+E228+E229+E230+E232</f>
        <v>0</v>
      </c>
      <c r="F207" s="249">
        <f t="shared" si="15"/>
        <v>30131</v>
      </c>
      <c r="G207" s="112">
        <f>G208+G218+G219+G228+G229+G230+G232</f>
        <v>4700</v>
      </c>
      <c r="H207" s="113">
        <f>H208+H218+H219+H228+H229+H230+H232</f>
        <v>0</v>
      </c>
      <c r="I207" s="114">
        <f t="shared" si="16"/>
        <v>4700</v>
      </c>
      <c r="J207" s="112">
        <f>J208+J218+J219+J228+J229+J230+J232</f>
        <v>0</v>
      </c>
      <c r="K207" s="113">
        <f>K208+K218+K219+K228+K229+K230+K232</f>
        <v>0</v>
      </c>
      <c r="L207" s="114">
        <f t="shared" si="17"/>
        <v>0</v>
      </c>
      <c r="M207" s="292">
        <f>M208+M218+M219+M228+M229+M230+M232</f>
        <v>0</v>
      </c>
      <c r="N207" s="293">
        <f>N208+N218+N219+N228+N229+N230+N232</f>
        <v>0</v>
      </c>
      <c r="O207" s="114">
        <f t="shared" si="18"/>
        <v>0</v>
      </c>
      <c r="P207" s="109"/>
      <c r="R207" s="53"/>
      <c r="S207" s="53"/>
      <c r="T207" s="53"/>
    </row>
    <row r="208" spans="1:20" hidden="1" x14ac:dyDescent="0.25">
      <c r="A208" s="254">
        <v>5210</v>
      </c>
      <c r="B208" s="179" t="s">
        <v>224</v>
      </c>
      <c r="C208" s="191">
        <f t="shared" si="14"/>
        <v>0</v>
      </c>
      <c r="D208" s="255">
        <f>SUM(D209:D217)</f>
        <v>0</v>
      </c>
      <c r="E208" s="261">
        <f>SUM(E209:E217)</f>
        <v>0</v>
      </c>
      <c r="F208" s="310">
        <f t="shared" si="15"/>
        <v>0</v>
      </c>
      <c r="G208" s="255">
        <f>SUM(G209:G217)</f>
        <v>0</v>
      </c>
      <c r="H208" s="258">
        <f>SUM(H209:H217)</f>
        <v>0</v>
      </c>
      <c r="I208" s="259">
        <f t="shared" si="16"/>
        <v>0</v>
      </c>
      <c r="J208" s="255">
        <f>SUM(J209:J217)</f>
        <v>0</v>
      </c>
      <c r="K208" s="258">
        <f>SUM(K209:K217)</f>
        <v>0</v>
      </c>
      <c r="L208" s="259">
        <f t="shared" si="17"/>
        <v>0</v>
      </c>
      <c r="M208" s="260">
        <f>SUM(M209:M217)</f>
        <v>0</v>
      </c>
      <c r="N208" s="261">
        <f>SUM(N209:N217)</f>
        <v>0</v>
      </c>
      <c r="O208" s="259">
        <f t="shared" si="18"/>
        <v>0</v>
      </c>
      <c r="P208" s="189"/>
      <c r="R208" s="53"/>
      <c r="S208" s="53"/>
      <c r="T208" s="53"/>
    </row>
    <row r="209" spans="1:20" hidden="1" x14ac:dyDescent="0.25">
      <c r="A209" s="66">
        <v>5211</v>
      </c>
      <c r="B209" s="116" t="s">
        <v>225</v>
      </c>
      <c r="C209" s="279">
        <f t="shared" si="14"/>
        <v>0</v>
      </c>
      <c r="D209" s="123"/>
      <c r="E209" s="262"/>
      <c r="F209" s="263">
        <f t="shared" si="15"/>
        <v>0</v>
      </c>
      <c r="G209" s="123"/>
      <c r="H209" s="124"/>
      <c r="I209" s="125">
        <f t="shared" si="16"/>
        <v>0</v>
      </c>
      <c r="J209" s="123"/>
      <c r="K209" s="124"/>
      <c r="L209" s="125">
        <f t="shared" si="17"/>
        <v>0</v>
      </c>
      <c r="M209" s="264"/>
      <c r="N209" s="262"/>
      <c r="O209" s="125">
        <f t="shared" si="18"/>
        <v>0</v>
      </c>
      <c r="P209" s="74"/>
      <c r="R209" s="53"/>
      <c r="S209" s="53"/>
      <c r="T209" s="53"/>
    </row>
    <row r="210" spans="1:20" hidden="1" x14ac:dyDescent="0.25">
      <c r="A210" s="76">
        <v>5212</v>
      </c>
      <c r="B210" s="127" t="s">
        <v>226</v>
      </c>
      <c r="C210" s="279">
        <f t="shared" si="14"/>
        <v>0</v>
      </c>
      <c r="D210" s="134"/>
      <c r="E210" s="285"/>
      <c r="F210" s="286">
        <f t="shared" si="15"/>
        <v>0</v>
      </c>
      <c r="G210" s="134"/>
      <c r="H210" s="135"/>
      <c r="I210" s="136">
        <f t="shared" si="16"/>
        <v>0</v>
      </c>
      <c r="J210" s="134"/>
      <c r="K210" s="135"/>
      <c r="L210" s="136">
        <f t="shared" si="17"/>
        <v>0</v>
      </c>
      <c r="M210" s="284"/>
      <c r="N210" s="285"/>
      <c r="O210" s="136">
        <f t="shared" si="18"/>
        <v>0</v>
      </c>
      <c r="P210" s="85"/>
      <c r="R210" s="53"/>
      <c r="S210" s="53"/>
      <c r="T210" s="53"/>
    </row>
    <row r="211" spans="1:20" hidden="1" x14ac:dyDescent="0.25">
      <c r="A211" s="76">
        <v>5213</v>
      </c>
      <c r="B211" s="127" t="s">
        <v>227</v>
      </c>
      <c r="C211" s="279">
        <f t="shared" si="14"/>
        <v>0</v>
      </c>
      <c r="D211" s="134"/>
      <c r="E211" s="285"/>
      <c r="F211" s="286">
        <f t="shared" si="15"/>
        <v>0</v>
      </c>
      <c r="G211" s="134"/>
      <c r="H211" s="135"/>
      <c r="I211" s="136">
        <f t="shared" si="16"/>
        <v>0</v>
      </c>
      <c r="J211" s="134"/>
      <c r="K211" s="135"/>
      <c r="L211" s="136">
        <f t="shared" si="17"/>
        <v>0</v>
      </c>
      <c r="M211" s="284"/>
      <c r="N211" s="285"/>
      <c r="O211" s="136">
        <f t="shared" si="18"/>
        <v>0</v>
      </c>
      <c r="P211" s="85"/>
      <c r="R211" s="53"/>
      <c r="S211" s="53"/>
      <c r="T211" s="53"/>
    </row>
    <row r="212" spans="1:20" hidden="1" x14ac:dyDescent="0.25">
      <c r="A212" s="76">
        <v>5214</v>
      </c>
      <c r="B212" s="127" t="s">
        <v>228</v>
      </c>
      <c r="C212" s="279">
        <f t="shared" si="14"/>
        <v>0</v>
      </c>
      <c r="D212" s="134"/>
      <c r="E212" s="285"/>
      <c r="F212" s="286">
        <f t="shared" si="15"/>
        <v>0</v>
      </c>
      <c r="G212" s="134"/>
      <c r="H212" s="135"/>
      <c r="I212" s="136">
        <f t="shared" si="16"/>
        <v>0</v>
      </c>
      <c r="J212" s="134"/>
      <c r="K212" s="135"/>
      <c r="L212" s="136">
        <f t="shared" si="17"/>
        <v>0</v>
      </c>
      <c r="M212" s="284"/>
      <c r="N212" s="285"/>
      <c r="O212" s="136">
        <f t="shared" si="18"/>
        <v>0</v>
      </c>
      <c r="P212" s="85"/>
      <c r="R212" s="53"/>
      <c r="S212" s="53"/>
      <c r="T212" s="53"/>
    </row>
    <row r="213" spans="1:20" hidden="1" x14ac:dyDescent="0.25">
      <c r="A213" s="76">
        <v>5215</v>
      </c>
      <c r="B213" s="127" t="s">
        <v>229</v>
      </c>
      <c r="C213" s="279">
        <f t="shared" si="14"/>
        <v>0</v>
      </c>
      <c r="D213" s="134"/>
      <c r="E213" s="285"/>
      <c r="F213" s="286">
        <f t="shared" si="15"/>
        <v>0</v>
      </c>
      <c r="G213" s="134"/>
      <c r="H213" s="135"/>
      <c r="I213" s="136">
        <f t="shared" si="16"/>
        <v>0</v>
      </c>
      <c r="J213" s="134"/>
      <c r="K213" s="135"/>
      <c r="L213" s="136">
        <f t="shared" si="17"/>
        <v>0</v>
      </c>
      <c r="M213" s="284"/>
      <c r="N213" s="285"/>
      <c r="O213" s="136">
        <f t="shared" si="18"/>
        <v>0</v>
      </c>
      <c r="P213" s="85"/>
      <c r="R213" s="53"/>
      <c r="S213" s="53"/>
      <c r="T213" s="53"/>
    </row>
    <row r="214" spans="1:20" ht="24" hidden="1" x14ac:dyDescent="0.25">
      <c r="A214" s="76">
        <v>5216</v>
      </c>
      <c r="B214" s="127" t="s">
        <v>230</v>
      </c>
      <c r="C214" s="279">
        <f t="shared" si="14"/>
        <v>0</v>
      </c>
      <c r="D214" s="134"/>
      <c r="E214" s="285"/>
      <c r="F214" s="286">
        <f t="shared" si="15"/>
        <v>0</v>
      </c>
      <c r="G214" s="134"/>
      <c r="H214" s="135"/>
      <c r="I214" s="136">
        <f t="shared" si="16"/>
        <v>0</v>
      </c>
      <c r="J214" s="134"/>
      <c r="K214" s="135"/>
      <c r="L214" s="136">
        <f t="shared" si="17"/>
        <v>0</v>
      </c>
      <c r="M214" s="284"/>
      <c r="N214" s="285"/>
      <c r="O214" s="136">
        <f t="shared" si="18"/>
        <v>0</v>
      </c>
      <c r="P214" s="85"/>
      <c r="R214" s="53"/>
      <c r="S214" s="53"/>
      <c r="T214" s="53"/>
    </row>
    <row r="215" spans="1:20" hidden="1" x14ac:dyDescent="0.25">
      <c r="A215" s="76">
        <v>5217</v>
      </c>
      <c r="B215" s="127" t="s">
        <v>231</v>
      </c>
      <c r="C215" s="279">
        <f t="shared" si="14"/>
        <v>0</v>
      </c>
      <c r="D215" s="134"/>
      <c r="E215" s="285"/>
      <c r="F215" s="286">
        <f t="shared" si="15"/>
        <v>0</v>
      </c>
      <c r="G215" s="134"/>
      <c r="H215" s="135"/>
      <c r="I215" s="136">
        <f t="shared" si="16"/>
        <v>0</v>
      </c>
      <c r="J215" s="134"/>
      <c r="K215" s="135"/>
      <c r="L215" s="136">
        <f t="shared" si="17"/>
        <v>0</v>
      </c>
      <c r="M215" s="284"/>
      <c r="N215" s="285"/>
      <c r="O215" s="136">
        <f t="shared" si="18"/>
        <v>0</v>
      </c>
      <c r="P215" s="85"/>
      <c r="R215" s="53"/>
      <c r="S215" s="53"/>
      <c r="T215" s="53"/>
    </row>
    <row r="216" spans="1:20" hidden="1" x14ac:dyDescent="0.25">
      <c r="A216" s="76">
        <v>5218</v>
      </c>
      <c r="B216" s="127" t="s">
        <v>232</v>
      </c>
      <c r="C216" s="279">
        <f t="shared" si="14"/>
        <v>0</v>
      </c>
      <c r="D216" s="134"/>
      <c r="E216" s="285"/>
      <c r="F216" s="286">
        <f t="shared" si="15"/>
        <v>0</v>
      </c>
      <c r="G216" s="134"/>
      <c r="H216" s="135"/>
      <c r="I216" s="136">
        <f t="shared" si="16"/>
        <v>0</v>
      </c>
      <c r="J216" s="134"/>
      <c r="K216" s="135"/>
      <c r="L216" s="136">
        <f t="shared" si="17"/>
        <v>0</v>
      </c>
      <c r="M216" s="284"/>
      <c r="N216" s="285"/>
      <c r="O216" s="136">
        <f t="shared" si="18"/>
        <v>0</v>
      </c>
      <c r="P216" s="85"/>
      <c r="R216" s="53"/>
      <c r="S216" s="53"/>
      <c r="T216" s="53"/>
    </row>
    <row r="217" spans="1:20" hidden="1" x14ac:dyDescent="0.25">
      <c r="A217" s="76">
        <v>5219</v>
      </c>
      <c r="B217" s="127" t="s">
        <v>233</v>
      </c>
      <c r="C217" s="279">
        <f t="shared" si="14"/>
        <v>0</v>
      </c>
      <c r="D217" s="134"/>
      <c r="E217" s="285"/>
      <c r="F217" s="286">
        <f t="shared" si="15"/>
        <v>0</v>
      </c>
      <c r="G217" s="134"/>
      <c r="H217" s="135"/>
      <c r="I217" s="136">
        <f t="shared" si="16"/>
        <v>0</v>
      </c>
      <c r="J217" s="134"/>
      <c r="K217" s="135"/>
      <c r="L217" s="136">
        <f t="shared" si="17"/>
        <v>0</v>
      </c>
      <c r="M217" s="284"/>
      <c r="N217" s="285"/>
      <c r="O217" s="136">
        <f t="shared" si="18"/>
        <v>0</v>
      </c>
      <c r="P217" s="85"/>
      <c r="R217" s="53"/>
      <c r="S217" s="53"/>
      <c r="T217" s="53"/>
    </row>
    <row r="218" spans="1:20" hidden="1" x14ac:dyDescent="0.25">
      <c r="A218" s="276">
        <v>5220</v>
      </c>
      <c r="B218" s="127" t="s">
        <v>234</v>
      </c>
      <c r="C218" s="279">
        <f t="shared" si="14"/>
        <v>0</v>
      </c>
      <c r="D218" s="134"/>
      <c r="E218" s="285"/>
      <c r="F218" s="286">
        <f t="shared" si="15"/>
        <v>0</v>
      </c>
      <c r="G218" s="134"/>
      <c r="H218" s="135"/>
      <c r="I218" s="136">
        <f t="shared" si="16"/>
        <v>0</v>
      </c>
      <c r="J218" s="134"/>
      <c r="K218" s="135"/>
      <c r="L218" s="136">
        <f t="shared" si="17"/>
        <v>0</v>
      </c>
      <c r="M218" s="284"/>
      <c r="N218" s="285"/>
      <c r="O218" s="136">
        <f t="shared" si="18"/>
        <v>0</v>
      </c>
      <c r="P218" s="85"/>
      <c r="R218" s="53"/>
      <c r="S218" s="53"/>
      <c r="T218" s="53"/>
    </row>
    <row r="219" spans="1:20" x14ac:dyDescent="0.25">
      <c r="A219" s="276">
        <v>5230</v>
      </c>
      <c r="B219" s="127" t="s">
        <v>235</v>
      </c>
      <c r="C219" s="279">
        <f t="shared" si="14"/>
        <v>34831</v>
      </c>
      <c r="D219" s="277">
        <f>SUM(D220:D227)</f>
        <v>30131</v>
      </c>
      <c r="E219" s="278">
        <f>SUM(E220:E227)</f>
        <v>0</v>
      </c>
      <c r="F219" s="279">
        <f t="shared" si="15"/>
        <v>30131</v>
      </c>
      <c r="G219" s="277">
        <f>SUM(G220:G227)</f>
        <v>4700</v>
      </c>
      <c r="H219" s="280">
        <f>SUM(H220:H227)</f>
        <v>0</v>
      </c>
      <c r="I219" s="136">
        <f t="shared" si="16"/>
        <v>4700</v>
      </c>
      <c r="J219" s="277">
        <f>SUM(J220:J227)</f>
        <v>0</v>
      </c>
      <c r="K219" s="280">
        <f>SUM(K220:K227)</f>
        <v>0</v>
      </c>
      <c r="L219" s="136">
        <f t="shared" si="17"/>
        <v>0</v>
      </c>
      <c r="M219" s="281">
        <f>SUM(M220:M227)</f>
        <v>0</v>
      </c>
      <c r="N219" s="282">
        <f>SUM(N220:N227)</f>
        <v>0</v>
      </c>
      <c r="O219" s="136">
        <f t="shared" si="18"/>
        <v>0</v>
      </c>
      <c r="P219" s="85"/>
      <c r="R219" s="53"/>
      <c r="S219" s="53"/>
      <c r="T219" s="53"/>
    </row>
    <row r="220" spans="1:20" hidden="1" x14ac:dyDescent="0.25">
      <c r="A220" s="76">
        <v>5231</v>
      </c>
      <c r="B220" s="127" t="s">
        <v>236</v>
      </c>
      <c r="C220" s="279">
        <f t="shared" si="14"/>
        <v>0</v>
      </c>
      <c r="D220" s="134"/>
      <c r="E220" s="285"/>
      <c r="F220" s="286">
        <f t="shared" si="15"/>
        <v>0</v>
      </c>
      <c r="G220" s="134"/>
      <c r="H220" s="135"/>
      <c r="I220" s="136">
        <f t="shared" si="16"/>
        <v>0</v>
      </c>
      <c r="J220" s="134"/>
      <c r="K220" s="135"/>
      <c r="L220" s="136">
        <f t="shared" si="17"/>
        <v>0</v>
      </c>
      <c r="M220" s="284"/>
      <c r="N220" s="285"/>
      <c r="O220" s="136">
        <f t="shared" si="18"/>
        <v>0</v>
      </c>
      <c r="P220" s="85"/>
      <c r="R220" s="53"/>
      <c r="S220" s="53"/>
      <c r="T220" s="53"/>
    </row>
    <row r="221" spans="1:20" hidden="1" x14ac:dyDescent="0.25">
      <c r="A221" s="76">
        <v>5232</v>
      </c>
      <c r="B221" s="127" t="s">
        <v>237</v>
      </c>
      <c r="C221" s="279">
        <f t="shared" si="14"/>
        <v>0</v>
      </c>
      <c r="D221" s="134"/>
      <c r="E221" s="285"/>
      <c r="F221" s="286">
        <f t="shared" si="15"/>
        <v>0</v>
      </c>
      <c r="G221" s="134"/>
      <c r="H221" s="135"/>
      <c r="I221" s="136">
        <f t="shared" si="16"/>
        <v>0</v>
      </c>
      <c r="J221" s="134"/>
      <c r="K221" s="135"/>
      <c r="L221" s="136">
        <f t="shared" si="17"/>
        <v>0</v>
      </c>
      <c r="M221" s="284"/>
      <c r="N221" s="285"/>
      <c r="O221" s="136">
        <f t="shared" si="18"/>
        <v>0</v>
      </c>
      <c r="P221" s="85"/>
      <c r="R221" s="53"/>
      <c r="S221" s="53"/>
      <c r="T221" s="53"/>
    </row>
    <row r="222" spans="1:20" x14ac:dyDescent="0.25">
      <c r="A222" s="76">
        <v>5233</v>
      </c>
      <c r="B222" s="127" t="s">
        <v>238</v>
      </c>
      <c r="C222" s="279">
        <f t="shared" si="14"/>
        <v>9200</v>
      </c>
      <c r="D222" s="134">
        <v>4500</v>
      </c>
      <c r="E222" s="283"/>
      <c r="F222" s="279">
        <f t="shared" si="15"/>
        <v>4500</v>
      </c>
      <c r="G222" s="134">
        <v>4700</v>
      </c>
      <c r="H222" s="135"/>
      <c r="I222" s="136">
        <f t="shared" si="16"/>
        <v>4700</v>
      </c>
      <c r="J222" s="134"/>
      <c r="K222" s="135"/>
      <c r="L222" s="136">
        <f t="shared" si="17"/>
        <v>0</v>
      </c>
      <c r="M222" s="284"/>
      <c r="N222" s="285"/>
      <c r="O222" s="136">
        <f t="shared" si="18"/>
        <v>0</v>
      </c>
      <c r="P222" s="85"/>
      <c r="R222" s="53"/>
      <c r="S222" s="53"/>
      <c r="T222" s="53"/>
    </row>
    <row r="223" spans="1:20" ht="24" hidden="1" x14ac:dyDescent="0.25">
      <c r="A223" s="76">
        <v>5234</v>
      </c>
      <c r="B223" s="127" t="s">
        <v>239</v>
      </c>
      <c r="C223" s="279">
        <f t="shared" si="14"/>
        <v>0</v>
      </c>
      <c r="D223" s="134"/>
      <c r="E223" s="285"/>
      <c r="F223" s="286">
        <f t="shared" si="15"/>
        <v>0</v>
      </c>
      <c r="G223" s="134"/>
      <c r="H223" s="135"/>
      <c r="I223" s="136">
        <f t="shared" si="16"/>
        <v>0</v>
      </c>
      <c r="J223" s="134"/>
      <c r="K223" s="135"/>
      <c r="L223" s="136">
        <f t="shared" si="17"/>
        <v>0</v>
      </c>
      <c r="M223" s="284"/>
      <c r="N223" s="285"/>
      <c r="O223" s="136">
        <f t="shared" si="18"/>
        <v>0</v>
      </c>
      <c r="P223" s="85"/>
      <c r="R223" s="53"/>
      <c r="S223" s="53"/>
      <c r="T223" s="53"/>
    </row>
    <row r="224" spans="1:20" hidden="1" x14ac:dyDescent="0.25">
      <c r="A224" s="76">
        <v>5236</v>
      </c>
      <c r="B224" s="127" t="s">
        <v>240</v>
      </c>
      <c r="C224" s="279">
        <f t="shared" si="14"/>
        <v>0</v>
      </c>
      <c r="D224" s="134"/>
      <c r="E224" s="285"/>
      <c r="F224" s="286">
        <f t="shared" si="15"/>
        <v>0</v>
      </c>
      <c r="G224" s="134"/>
      <c r="H224" s="135"/>
      <c r="I224" s="136">
        <f t="shared" si="16"/>
        <v>0</v>
      </c>
      <c r="J224" s="134"/>
      <c r="K224" s="135"/>
      <c r="L224" s="136">
        <f t="shared" si="17"/>
        <v>0</v>
      </c>
      <c r="M224" s="284"/>
      <c r="N224" s="285"/>
      <c r="O224" s="136">
        <f t="shared" si="18"/>
        <v>0</v>
      </c>
      <c r="P224" s="85"/>
      <c r="R224" s="53"/>
      <c r="S224" s="53"/>
      <c r="T224" s="53"/>
    </row>
    <row r="225" spans="1:20" hidden="1" x14ac:dyDescent="0.25">
      <c r="A225" s="76">
        <v>5237</v>
      </c>
      <c r="B225" s="127" t="s">
        <v>241</v>
      </c>
      <c r="C225" s="279">
        <f t="shared" si="14"/>
        <v>0</v>
      </c>
      <c r="D225" s="134"/>
      <c r="E225" s="285"/>
      <c r="F225" s="286">
        <f t="shared" si="15"/>
        <v>0</v>
      </c>
      <c r="G225" s="134"/>
      <c r="H225" s="135"/>
      <c r="I225" s="136">
        <f t="shared" si="16"/>
        <v>0</v>
      </c>
      <c r="J225" s="134"/>
      <c r="K225" s="135"/>
      <c r="L225" s="136">
        <f t="shared" si="17"/>
        <v>0</v>
      </c>
      <c r="M225" s="284"/>
      <c r="N225" s="285"/>
      <c r="O225" s="136">
        <f t="shared" si="18"/>
        <v>0</v>
      </c>
      <c r="P225" s="85"/>
      <c r="R225" s="53"/>
      <c r="S225" s="53"/>
      <c r="T225" s="53"/>
    </row>
    <row r="226" spans="1:20" ht="24" x14ac:dyDescent="0.25">
      <c r="A226" s="76">
        <v>5238</v>
      </c>
      <c r="B226" s="127" t="s">
        <v>242</v>
      </c>
      <c r="C226" s="279">
        <f t="shared" si="14"/>
        <v>24280</v>
      </c>
      <c r="D226" s="134">
        <v>24280</v>
      </c>
      <c r="E226" s="283"/>
      <c r="F226" s="279">
        <f t="shared" si="15"/>
        <v>24280</v>
      </c>
      <c r="G226" s="134"/>
      <c r="H226" s="135"/>
      <c r="I226" s="136">
        <f t="shared" si="16"/>
        <v>0</v>
      </c>
      <c r="J226" s="134"/>
      <c r="K226" s="135"/>
      <c r="L226" s="136">
        <f t="shared" si="17"/>
        <v>0</v>
      </c>
      <c r="M226" s="284"/>
      <c r="N226" s="285"/>
      <c r="O226" s="136">
        <f t="shared" si="18"/>
        <v>0</v>
      </c>
      <c r="P226" s="85"/>
      <c r="R226" s="53"/>
      <c r="S226" s="53"/>
      <c r="T226" s="53"/>
    </row>
    <row r="227" spans="1:20" ht="24" x14ac:dyDescent="0.25">
      <c r="A227" s="76">
        <v>5239</v>
      </c>
      <c r="B227" s="127" t="s">
        <v>243</v>
      </c>
      <c r="C227" s="279">
        <f t="shared" si="14"/>
        <v>1351</v>
      </c>
      <c r="D227" s="134">
        <v>1351</v>
      </c>
      <c r="E227" s="283"/>
      <c r="F227" s="279">
        <f t="shared" si="15"/>
        <v>1351</v>
      </c>
      <c r="G227" s="134"/>
      <c r="H227" s="135"/>
      <c r="I227" s="136">
        <f t="shared" si="16"/>
        <v>0</v>
      </c>
      <c r="J227" s="134"/>
      <c r="K227" s="135"/>
      <c r="L227" s="136">
        <f t="shared" si="17"/>
        <v>0</v>
      </c>
      <c r="M227" s="284"/>
      <c r="N227" s="285"/>
      <c r="O227" s="136">
        <f t="shared" si="18"/>
        <v>0</v>
      </c>
      <c r="P227" s="85"/>
      <c r="R227" s="53"/>
      <c r="S227" s="53"/>
      <c r="T227" s="53"/>
    </row>
    <row r="228" spans="1:20" ht="24" hidden="1" x14ac:dyDescent="0.25">
      <c r="A228" s="276">
        <v>5240</v>
      </c>
      <c r="B228" s="127" t="s">
        <v>244</v>
      </c>
      <c r="C228" s="279">
        <f t="shared" si="14"/>
        <v>0</v>
      </c>
      <c r="D228" s="134"/>
      <c r="E228" s="285"/>
      <c r="F228" s="286">
        <f t="shared" si="15"/>
        <v>0</v>
      </c>
      <c r="G228" s="134"/>
      <c r="H228" s="135"/>
      <c r="I228" s="136">
        <f t="shared" si="16"/>
        <v>0</v>
      </c>
      <c r="J228" s="134"/>
      <c r="K228" s="135"/>
      <c r="L228" s="136">
        <f t="shared" si="17"/>
        <v>0</v>
      </c>
      <c r="M228" s="284"/>
      <c r="N228" s="285"/>
      <c r="O228" s="136">
        <f t="shared" si="18"/>
        <v>0</v>
      </c>
      <c r="P228" s="85"/>
      <c r="R228" s="53"/>
      <c r="S228" s="53"/>
      <c r="T228" s="53"/>
    </row>
    <row r="229" spans="1:20" hidden="1" x14ac:dyDescent="0.25">
      <c r="A229" s="276">
        <v>5250</v>
      </c>
      <c r="B229" s="127" t="s">
        <v>245</v>
      </c>
      <c r="C229" s="279">
        <f t="shared" si="14"/>
        <v>0</v>
      </c>
      <c r="D229" s="134"/>
      <c r="E229" s="285"/>
      <c r="F229" s="286">
        <f t="shared" si="15"/>
        <v>0</v>
      </c>
      <c r="G229" s="134"/>
      <c r="H229" s="135"/>
      <c r="I229" s="136">
        <f t="shared" si="16"/>
        <v>0</v>
      </c>
      <c r="J229" s="134"/>
      <c r="K229" s="135"/>
      <c r="L229" s="136">
        <f t="shared" si="17"/>
        <v>0</v>
      </c>
      <c r="M229" s="284"/>
      <c r="N229" s="285"/>
      <c r="O229" s="136">
        <f t="shared" si="18"/>
        <v>0</v>
      </c>
      <c r="P229" s="85"/>
      <c r="R229" s="53"/>
      <c r="S229" s="53"/>
      <c r="T229" s="53"/>
    </row>
    <row r="230" spans="1:20" hidden="1" x14ac:dyDescent="0.25">
      <c r="A230" s="276">
        <v>5260</v>
      </c>
      <c r="B230" s="127" t="s">
        <v>246</v>
      </c>
      <c r="C230" s="279">
        <f t="shared" si="14"/>
        <v>0</v>
      </c>
      <c r="D230" s="277">
        <f>SUM(D231)</f>
        <v>0</v>
      </c>
      <c r="E230" s="282">
        <f>SUM(E231)</f>
        <v>0</v>
      </c>
      <c r="F230" s="286">
        <f t="shared" si="15"/>
        <v>0</v>
      </c>
      <c r="G230" s="277">
        <f>SUM(G231)</f>
        <v>0</v>
      </c>
      <c r="H230" s="280">
        <f>SUM(H231)</f>
        <v>0</v>
      </c>
      <c r="I230" s="136">
        <f t="shared" si="16"/>
        <v>0</v>
      </c>
      <c r="J230" s="277">
        <f>SUM(J231)</f>
        <v>0</v>
      </c>
      <c r="K230" s="280">
        <f>SUM(K231)</f>
        <v>0</v>
      </c>
      <c r="L230" s="136">
        <f t="shared" si="17"/>
        <v>0</v>
      </c>
      <c r="M230" s="281">
        <f>SUM(M231)</f>
        <v>0</v>
      </c>
      <c r="N230" s="282">
        <f>SUM(N231)</f>
        <v>0</v>
      </c>
      <c r="O230" s="136">
        <f t="shared" si="18"/>
        <v>0</v>
      </c>
      <c r="P230" s="85"/>
      <c r="R230" s="53"/>
      <c r="S230" s="53"/>
      <c r="T230" s="53"/>
    </row>
    <row r="231" spans="1:20" ht="24" hidden="1" x14ac:dyDescent="0.25">
      <c r="A231" s="76">
        <v>5269</v>
      </c>
      <c r="B231" s="127" t="s">
        <v>247</v>
      </c>
      <c r="C231" s="279">
        <f t="shared" si="14"/>
        <v>0</v>
      </c>
      <c r="D231" s="134"/>
      <c r="E231" s="285"/>
      <c r="F231" s="286">
        <f t="shared" si="15"/>
        <v>0</v>
      </c>
      <c r="G231" s="134"/>
      <c r="H231" s="135"/>
      <c r="I231" s="136">
        <f t="shared" si="16"/>
        <v>0</v>
      </c>
      <c r="J231" s="134"/>
      <c r="K231" s="135"/>
      <c r="L231" s="136">
        <f t="shared" si="17"/>
        <v>0</v>
      </c>
      <c r="M231" s="284"/>
      <c r="N231" s="285"/>
      <c r="O231" s="136">
        <f t="shared" si="18"/>
        <v>0</v>
      </c>
      <c r="P231" s="85"/>
      <c r="R231" s="53"/>
      <c r="S231" s="53"/>
      <c r="T231" s="53"/>
    </row>
    <row r="232" spans="1:20" ht="24" hidden="1" x14ac:dyDescent="0.25">
      <c r="A232" s="254">
        <v>5270</v>
      </c>
      <c r="B232" s="179" t="s">
        <v>248</v>
      </c>
      <c r="C232" s="302">
        <f t="shared" si="14"/>
        <v>0</v>
      </c>
      <c r="D232" s="287"/>
      <c r="E232" s="291"/>
      <c r="F232" s="310">
        <f t="shared" si="15"/>
        <v>0</v>
      </c>
      <c r="G232" s="287"/>
      <c r="H232" s="289"/>
      <c r="I232" s="259">
        <f t="shared" si="16"/>
        <v>0</v>
      </c>
      <c r="J232" s="287"/>
      <c r="K232" s="289"/>
      <c r="L232" s="259">
        <f t="shared" si="17"/>
        <v>0</v>
      </c>
      <c r="M232" s="290"/>
      <c r="N232" s="291"/>
      <c r="O232" s="259">
        <f t="shared" si="18"/>
        <v>0</v>
      </c>
      <c r="P232" s="189"/>
      <c r="R232" s="53"/>
      <c r="S232" s="53"/>
      <c r="T232" s="53"/>
    </row>
    <row r="233" spans="1:20" hidden="1" x14ac:dyDescent="0.25">
      <c r="A233" s="237">
        <v>6000</v>
      </c>
      <c r="B233" s="237" t="s">
        <v>249</v>
      </c>
      <c r="C233" s="238">
        <f t="shared" si="14"/>
        <v>0</v>
      </c>
      <c r="D233" s="239">
        <f>D234+D254+D261</f>
        <v>0</v>
      </c>
      <c r="E233" s="245">
        <f>E234+E254+E261</f>
        <v>0</v>
      </c>
      <c r="F233" s="320">
        <f t="shared" si="15"/>
        <v>0</v>
      </c>
      <c r="G233" s="239">
        <f>G234+G254+G261</f>
        <v>0</v>
      </c>
      <c r="H233" s="242">
        <f>H234+H254+H261</f>
        <v>0</v>
      </c>
      <c r="I233" s="243">
        <f t="shared" si="16"/>
        <v>0</v>
      </c>
      <c r="J233" s="239">
        <f>J234+J254+J261</f>
        <v>0</v>
      </c>
      <c r="K233" s="242">
        <f>K234+K254+K261</f>
        <v>0</v>
      </c>
      <c r="L233" s="243">
        <f t="shared" si="17"/>
        <v>0</v>
      </c>
      <c r="M233" s="244">
        <f>M234+M254+M261</f>
        <v>0</v>
      </c>
      <c r="N233" s="245">
        <f>N234+N254+N261</f>
        <v>0</v>
      </c>
      <c r="O233" s="243">
        <f t="shared" si="18"/>
        <v>0</v>
      </c>
      <c r="P233" s="246"/>
      <c r="R233" s="53"/>
      <c r="S233" s="53"/>
      <c r="T233" s="53"/>
    </row>
    <row r="234" spans="1:20"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16"/>
        <v>0</v>
      </c>
      <c r="J234" s="334">
        <f>SUM(J235,J236,J238,J241,J247,J248,J249)</f>
        <v>0</v>
      </c>
      <c r="K234" s="336">
        <f>SUM(K235,K236,K238,K241,K247,K248,K249)</f>
        <v>0</v>
      </c>
      <c r="L234" s="252">
        <f t="shared" si="17"/>
        <v>0</v>
      </c>
      <c r="M234" s="250">
        <f>SUM(M235,M236,M238,M241,M247,M248,M249)</f>
        <v>0</v>
      </c>
      <c r="N234" s="251">
        <f>SUM(N235,N236,N238,N241,N247,N248,N249)</f>
        <v>0</v>
      </c>
      <c r="O234" s="252">
        <f t="shared" si="18"/>
        <v>0</v>
      </c>
      <c r="P234" s="253"/>
      <c r="R234" s="53"/>
      <c r="S234" s="53"/>
      <c r="T234" s="53"/>
    </row>
    <row r="235" spans="1:20" ht="24" hidden="1" x14ac:dyDescent="0.25">
      <c r="A235" s="294">
        <v>6220</v>
      </c>
      <c r="B235" s="116" t="s">
        <v>251</v>
      </c>
      <c r="C235" s="298">
        <f t="shared" si="14"/>
        <v>0</v>
      </c>
      <c r="D235" s="123"/>
      <c r="E235" s="262"/>
      <c r="F235" s="263">
        <f t="shared" si="15"/>
        <v>0</v>
      </c>
      <c r="G235" s="123"/>
      <c r="H235" s="124"/>
      <c r="I235" s="125">
        <f t="shared" si="16"/>
        <v>0</v>
      </c>
      <c r="J235" s="123"/>
      <c r="K235" s="124"/>
      <c r="L235" s="125">
        <f t="shared" si="17"/>
        <v>0</v>
      </c>
      <c r="M235" s="264"/>
      <c r="N235" s="262"/>
      <c r="O235" s="125">
        <f t="shared" si="18"/>
        <v>0</v>
      </c>
      <c r="P235" s="74"/>
      <c r="R235" s="53"/>
      <c r="S235" s="53"/>
      <c r="T235" s="53"/>
    </row>
    <row r="236" spans="1:20" hidden="1" x14ac:dyDescent="0.25">
      <c r="A236" s="276">
        <v>6230</v>
      </c>
      <c r="B236" s="127" t="s">
        <v>252</v>
      </c>
      <c r="C236" s="278">
        <f t="shared" si="14"/>
        <v>0</v>
      </c>
      <c r="D236" s="277">
        <f>SUM(D237)</f>
        <v>0</v>
      </c>
      <c r="E236" s="280">
        <f>SUM(E237)</f>
        <v>0</v>
      </c>
      <c r="F236" s="286">
        <f t="shared" si="15"/>
        <v>0</v>
      </c>
      <c r="G236" s="277">
        <f>SUM(G237)</f>
        <v>0</v>
      </c>
      <c r="H236" s="280">
        <f>SUM(H237)</f>
        <v>0</v>
      </c>
      <c r="I236" s="136">
        <f t="shared" si="16"/>
        <v>0</v>
      </c>
      <c r="J236" s="277">
        <f>SUM(J237)</f>
        <v>0</v>
      </c>
      <c r="K236" s="280">
        <f>SUM(K237)</f>
        <v>0</v>
      </c>
      <c r="L236" s="136">
        <f t="shared" si="17"/>
        <v>0</v>
      </c>
      <c r="M236" s="277">
        <f>SUM(M237)</f>
        <v>0</v>
      </c>
      <c r="N236" s="280">
        <f>SUM(N237)</f>
        <v>0</v>
      </c>
      <c r="O236" s="136">
        <f t="shared" si="18"/>
        <v>0</v>
      </c>
      <c r="P236" s="85"/>
      <c r="R236" s="53"/>
      <c r="S236" s="53"/>
      <c r="T236" s="53"/>
    </row>
    <row r="237" spans="1:20" ht="24" hidden="1" x14ac:dyDescent="0.25">
      <c r="A237" s="76">
        <v>6239</v>
      </c>
      <c r="B237" s="116" t="s">
        <v>253</v>
      </c>
      <c r="C237" s="278">
        <f t="shared" si="14"/>
        <v>0</v>
      </c>
      <c r="D237" s="134"/>
      <c r="E237" s="285"/>
      <c r="F237" s="286">
        <f t="shared" si="15"/>
        <v>0</v>
      </c>
      <c r="G237" s="134"/>
      <c r="H237" s="135"/>
      <c r="I237" s="136">
        <f t="shared" si="16"/>
        <v>0</v>
      </c>
      <c r="J237" s="134"/>
      <c r="K237" s="135"/>
      <c r="L237" s="136">
        <f t="shared" si="17"/>
        <v>0</v>
      </c>
      <c r="M237" s="284"/>
      <c r="N237" s="285"/>
      <c r="O237" s="136">
        <f t="shared" si="18"/>
        <v>0</v>
      </c>
      <c r="P237" s="85"/>
      <c r="R237" s="53"/>
      <c r="S237" s="53"/>
      <c r="T237" s="53"/>
    </row>
    <row r="238" spans="1:20" ht="24" hidden="1" x14ac:dyDescent="0.25">
      <c r="A238" s="276">
        <v>6240</v>
      </c>
      <c r="B238" s="127" t="s">
        <v>254</v>
      </c>
      <c r="C238" s="278">
        <f t="shared" si="14"/>
        <v>0</v>
      </c>
      <c r="D238" s="277">
        <f>SUM(D239:D240)</f>
        <v>0</v>
      </c>
      <c r="E238" s="282">
        <f>SUM(E239:E240)</f>
        <v>0</v>
      </c>
      <c r="F238" s="286">
        <f t="shared" si="15"/>
        <v>0</v>
      </c>
      <c r="G238" s="277">
        <f>SUM(G239:G240)</f>
        <v>0</v>
      </c>
      <c r="H238" s="280">
        <f>SUM(H239:H240)</f>
        <v>0</v>
      </c>
      <c r="I238" s="136">
        <f t="shared" si="16"/>
        <v>0</v>
      </c>
      <c r="J238" s="277">
        <f>SUM(J239:J240)</f>
        <v>0</v>
      </c>
      <c r="K238" s="280">
        <f>SUM(K239:K240)</f>
        <v>0</v>
      </c>
      <c r="L238" s="136">
        <f t="shared" si="17"/>
        <v>0</v>
      </c>
      <c r="M238" s="281">
        <f>SUM(M239:M240)</f>
        <v>0</v>
      </c>
      <c r="N238" s="282">
        <f>SUM(N239:N240)</f>
        <v>0</v>
      </c>
      <c r="O238" s="136">
        <f t="shared" si="18"/>
        <v>0</v>
      </c>
      <c r="P238" s="85"/>
      <c r="R238" s="53"/>
      <c r="S238" s="53"/>
      <c r="T238" s="53"/>
    </row>
    <row r="239" spans="1:20" hidden="1" x14ac:dyDescent="0.25">
      <c r="A239" s="76">
        <v>6241</v>
      </c>
      <c r="B239" s="127" t="s">
        <v>255</v>
      </c>
      <c r="C239" s="278">
        <f t="shared" si="14"/>
        <v>0</v>
      </c>
      <c r="D239" s="134"/>
      <c r="E239" s="285"/>
      <c r="F239" s="286">
        <f t="shared" si="15"/>
        <v>0</v>
      </c>
      <c r="G239" s="134"/>
      <c r="H239" s="135"/>
      <c r="I239" s="136">
        <f t="shared" si="16"/>
        <v>0</v>
      </c>
      <c r="J239" s="134"/>
      <c r="K239" s="135"/>
      <c r="L239" s="136">
        <f t="shared" si="17"/>
        <v>0</v>
      </c>
      <c r="M239" s="284"/>
      <c r="N239" s="285"/>
      <c r="O239" s="136">
        <f t="shared" si="18"/>
        <v>0</v>
      </c>
      <c r="P239" s="85"/>
      <c r="R239" s="53"/>
      <c r="S239" s="53"/>
      <c r="T239" s="53"/>
    </row>
    <row r="240" spans="1:20" hidden="1" x14ac:dyDescent="0.25">
      <c r="A240" s="76">
        <v>6242</v>
      </c>
      <c r="B240" s="127" t="s">
        <v>256</v>
      </c>
      <c r="C240" s="278">
        <f t="shared" si="14"/>
        <v>0</v>
      </c>
      <c r="D240" s="134"/>
      <c r="E240" s="285"/>
      <c r="F240" s="286">
        <f t="shared" si="15"/>
        <v>0</v>
      </c>
      <c r="G240" s="134"/>
      <c r="H240" s="135"/>
      <c r="I240" s="136">
        <f t="shared" si="16"/>
        <v>0</v>
      </c>
      <c r="J240" s="134"/>
      <c r="K240" s="135"/>
      <c r="L240" s="136">
        <f t="shared" si="17"/>
        <v>0</v>
      </c>
      <c r="M240" s="284"/>
      <c r="N240" s="285"/>
      <c r="O240" s="136">
        <f t="shared" si="18"/>
        <v>0</v>
      </c>
      <c r="P240" s="85"/>
      <c r="R240" s="53"/>
      <c r="S240" s="53"/>
      <c r="T240" s="53"/>
    </row>
    <row r="241" spans="1:20" ht="24" hidden="1" x14ac:dyDescent="0.25">
      <c r="A241" s="276">
        <v>6250</v>
      </c>
      <c r="B241" s="127" t="s">
        <v>257</v>
      </c>
      <c r="C241" s="278">
        <f t="shared" si="14"/>
        <v>0</v>
      </c>
      <c r="D241" s="277">
        <f>SUM(D242:D246)</f>
        <v>0</v>
      </c>
      <c r="E241" s="282">
        <f>SUM(E242:E246)</f>
        <v>0</v>
      </c>
      <c r="F241" s="286">
        <f t="shared" si="15"/>
        <v>0</v>
      </c>
      <c r="G241" s="277">
        <f>SUM(G242:G246)</f>
        <v>0</v>
      </c>
      <c r="H241" s="280">
        <f>SUM(H242:H246)</f>
        <v>0</v>
      </c>
      <c r="I241" s="136">
        <f t="shared" si="16"/>
        <v>0</v>
      </c>
      <c r="J241" s="277">
        <f>SUM(J242:J246)</f>
        <v>0</v>
      </c>
      <c r="K241" s="280">
        <f>SUM(K242:K246)</f>
        <v>0</v>
      </c>
      <c r="L241" s="136">
        <f t="shared" si="17"/>
        <v>0</v>
      </c>
      <c r="M241" s="281">
        <f>SUM(M242:M246)</f>
        <v>0</v>
      </c>
      <c r="N241" s="282">
        <f>SUM(N242:N246)</f>
        <v>0</v>
      </c>
      <c r="O241" s="136">
        <f t="shared" si="18"/>
        <v>0</v>
      </c>
      <c r="P241" s="85"/>
      <c r="R241" s="53"/>
      <c r="S241" s="53"/>
      <c r="T241" s="53"/>
    </row>
    <row r="242" spans="1:20" hidden="1" x14ac:dyDescent="0.25">
      <c r="A242" s="76">
        <v>6252</v>
      </c>
      <c r="B242" s="127" t="s">
        <v>258</v>
      </c>
      <c r="C242" s="278">
        <f t="shared" si="14"/>
        <v>0</v>
      </c>
      <c r="D242" s="134"/>
      <c r="E242" s="285"/>
      <c r="F242" s="286">
        <f t="shared" si="15"/>
        <v>0</v>
      </c>
      <c r="G242" s="134"/>
      <c r="H242" s="135"/>
      <c r="I242" s="136">
        <f t="shared" si="16"/>
        <v>0</v>
      </c>
      <c r="J242" s="134"/>
      <c r="K242" s="135"/>
      <c r="L242" s="136">
        <f t="shared" si="17"/>
        <v>0</v>
      </c>
      <c r="M242" s="284"/>
      <c r="N242" s="285"/>
      <c r="O242" s="136">
        <f t="shared" si="18"/>
        <v>0</v>
      </c>
      <c r="P242" s="85"/>
      <c r="R242" s="53"/>
      <c r="S242" s="53"/>
      <c r="T242" s="53"/>
    </row>
    <row r="243" spans="1:20" hidden="1" x14ac:dyDescent="0.25">
      <c r="A243" s="76">
        <v>6253</v>
      </c>
      <c r="B243" s="127" t="s">
        <v>259</v>
      </c>
      <c r="C243" s="278">
        <f t="shared" si="14"/>
        <v>0</v>
      </c>
      <c r="D243" s="134"/>
      <c r="E243" s="285"/>
      <c r="F243" s="286">
        <f t="shared" si="15"/>
        <v>0</v>
      </c>
      <c r="G243" s="134"/>
      <c r="H243" s="135"/>
      <c r="I243" s="136">
        <f t="shared" si="16"/>
        <v>0</v>
      </c>
      <c r="J243" s="134"/>
      <c r="K243" s="135"/>
      <c r="L243" s="136">
        <f t="shared" si="17"/>
        <v>0</v>
      </c>
      <c r="M243" s="284"/>
      <c r="N243" s="285"/>
      <c r="O243" s="136">
        <f t="shared" si="18"/>
        <v>0</v>
      </c>
      <c r="P243" s="85"/>
      <c r="R243" s="53"/>
      <c r="S243" s="53"/>
      <c r="T243" s="53"/>
    </row>
    <row r="244" spans="1:20" ht="24" hidden="1" x14ac:dyDescent="0.25">
      <c r="A244" s="76">
        <v>6254</v>
      </c>
      <c r="B244" s="127" t="s">
        <v>260</v>
      </c>
      <c r="C244" s="278">
        <f t="shared" si="14"/>
        <v>0</v>
      </c>
      <c r="D244" s="134"/>
      <c r="E244" s="285"/>
      <c r="F244" s="286">
        <f t="shared" si="15"/>
        <v>0</v>
      </c>
      <c r="G244" s="134"/>
      <c r="H244" s="135"/>
      <c r="I244" s="136">
        <f t="shared" si="16"/>
        <v>0</v>
      </c>
      <c r="J244" s="134"/>
      <c r="K244" s="135"/>
      <c r="L244" s="136">
        <f t="shared" si="17"/>
        <v>0</v>
      </c>
      <c r="M244" s="284"/>
      <c r="N244" s="285"/>
      <c r="O244" s="136">
        <f t="shared" si="18"/>
        <v>0</v>
      </c>
      <c r="P244" s="85"/>
      <c r="R244" s="53"/>
      <c r="S244" s="53"/>
      <c r="T244" s="53"/>
    </row>
    <row r="245" spans="1:20" ht="24" hidden="1" x14ac:dyDescent="0.25">
      <c r="A245" s="76">
        <v>6255</v>
      </c>
      <c r="B245" s="127" t="s">
        <v>261</v>
      </c>
      <c r="C245" s="278">
        <f t="shared" si="14"/>
        <v>0</v>
      </c>
      <c r="D245" s="134"/>
      <c r="E245" s="285"/>
      <c r="F245" s="286">
        <f t="shared" si="15"/>
        <v>0</v>
      </c>
      <c r="G245" s="134"/>
      <c r="H245" s="135"/>
      <c r="I245" s="136">
        <f t="shared" si="16"/>
        <v>0</v>
      </c>
      <c r="J245" s="134"/>
      <c r="K245" s="135"/>
      <c r="L245" s="136">
        <f t="shared" si="17"/>
        <v>0</v>
      </c>
      <c r="M245" s="284"/>
      <c r="N245" s="285"/>
      <c r="O245" s="136">
        <f t="shared" si="18"/>
        <v>0</v>
      </c>
      <c r="P245" s="85"/>
      <c r="R245" s="53"/>
      <c r="S245" s="53"/>
      <c r="T245" s="53"/>
    </row>
    <row r="246" spans="1:20" hidden="1" x14ac:dyDescent="0.25">
      <c r="A246" s="76">
        <v>6259</v>
      </c>
      <c r="B246" s="127" t="s">
        <v>262</v>
      </c>
      <c r="C246" s="278">
        <f t="shared" si="14"/>
        <v>0</v>
      </c>
      <c r="D246" s="134"/>
      <c r="E246" s="285"/>
      <c r="F246" s="286">
        <f t="shared" si="15"/>
        <v>0</v>
      </c>
      <c r="G246" s="134"/>
      <c r="H246" s="135"/>
      <c r="I246" s="136">
        <f t="shared" si="16"/>
        <v>0</v>
      </c>
      <c r="J246" s="134"/>
      <c r="K246" s="135"/>
      <c r="L246" s="136">
        <f t="shared" si="17"/>
        <v>0</v>
      </c>
      <c r="M246" s="284"/>
      <c r="N246" s="285"/>
      <c r="O246" s="136">
        <f t="shared" si="18"/>
        <v>0</v>
      </c>
      <c r="P246" s="85"/>
      <c r="R246" s="53"/>
      <c r="S246" s="53"/>
      <c r="T246" s="53"/>
    </row>
    <row r="247" spans="1:20" ht="24" hidden="1" x14ac:dyDescent="0.25">
      <c r="A247" s="276">
        <v>6260</v>
      </c>
      <c r="B247" s="127" t="s">
        <v>263</v>
      </c>
      <c r="C247" s="278">
        <f t="shared" si="14"/>
        <v>0</v>
      </c>
      <c r="D247" s="134"/>
      <c r="E247" s="285"/>
      <c r="F247" s="286">
        <f t="shared" ref="F247:F299" si="19">D247+E247</f>
        <v>0</v>
      </c>
      <c r="G247" s="134"/>
      <c r="H247" s="135"/>
      <c r="I247" s="136">
        <f t="shared" ref="I247:I299" si="20">G247+H247</f>
        <v>0</v>
      </c>
      <c r="J247" s="134"/>
      <c r="K247" s="135"/>
      <c r="L247" s="136">
        <f t="shared" ref="L247:L299" si="21">J247+K247</f>
        <v>0</v>
      </c>
      <c r="M247" s="284"/>
      <c r="N247" s="285"/>
      <c r="O247" s="136">
        <f t="shared" ref="O247:O276" si="22">M247+N247</f>
        <v>0</v>
      </c>
      <c r="P247" s="85"/>
      <c r="R247" s="53"/>
      <c r="S247" s="53"/>
      <c r="T247" s="53"/>
    </row>
    <row r="248" spans="1:20" hidden="1" x14ac:dyDescent="0.25">
      <c r="A248" s="276">
        <v>6270</v>
      </c>
      <c r="B248" s="127" t="s">
        <v>264</v>
      </c>
      <c r="C248" s="278">
        <f t="shared" si="14"/>
        <v>0</v>
      </c>
      <c r="D248" s="134"/>
      <c r="E248" s="285"/>
      <c r="F248" s="286">
        <f t="shared" si="19"/>
        <v>0</v>
      </c>
      <c r="G248" s="134"/>
      <c r="H248" s="135"/>
      <c r="I248" s="136">
        <f t="shared" si="20"/>
        <v>0</v>
      </c>
      <c r="J248" s="134"/>
      <c r="K248" s="135"/>
      <c r="L248" s="136">
        <f t="shared" si="21"/>
        <v>0</v>
      </c>
      <c r="M248" s="284"/>
      <c r="N248" s="285"/>
      <c r="O248" s="136">
        <f t="shared" si="22"/>
        <v>0</v>
      </c>
      <c r="P248" s="85"/>
      <c r="R248" s="53"/>
      <c r="S248" s="53"/>
      <c r="T248" s="53"/>
    </row>
    <row r="249" spans="1:20" ht="24" hidden="1" x14ac:dyDescent="0.25">
      <c r="A249" s="294">
        <v>6290</v>
      </c>
      <c r="B249" s="116" t="s">
        <v>265</v>
      </c>
      <c r="C249" s="278">
        <f t="shared" si="14"/>
        <v>0</v>
      </c>
      <c r="D249" s="297">
        <f>SUM(D250:D253)</f>
        <v>0</v>
      </c>
      <c r="E249" s="301">
        <f>SUM(E250:E253)</f>
        <v>0</v>
      </c>
      <c r="F249" s="263">
        <f t="shared" si="19"/>
        <v>0</v>
      </c>
      <c r="G249" s="297">
        <f>SUM(G250:G253)</f>
        <v>0</v>
      </c>
      <c r="H249" s="299">
        <f>SUM(H250:H253)</f>
        <v>0</v>
      </c>
      <c r="I249" s="125">
        <f t="shared" si="20"/>
        <v>0</v>
      </c>
      <c r="J249" s="297">
        <f>SUM(J250:J253)</f>
        <v>0</v>
      </c>
      <c r="K249" s="299">
        <f>SUM(K250:K253)</f>
        <v>0</v>
      </c>
      <c r="L249" s="125">
        <f t="shared" si="21"/>
        <v>0</v>
      </c>
      <c r="M249" s="322">
        <f>SUM(M250:M253)</f>
        <v>0</v>
      </c>
      <c r="N249" s="323">
        <f>SUM(N250:N253)</f>
        <v>0</v>
      </c>
      <c r="O249" s="324">
        <f t="shared" si="22"/>
        <v>0</v>
      </c>
      <c r="P249" s="325"/>
      <c r="R249" s="53"/>
      <c r="S249" s="53"/>
      <c r="T249" s="53"/>
    </row>
    <row r="250" spans="1:20" hidden="1" x14ac:dyDescent="0.25">
      <c r="A250" s="76">
        <v>6291</v>
      </c>
      <c r="B250" s="127" t="s">
        <v>266</v>
      </c>
      <c r="C250" s="278">
        <f t="shared" si="14"/>
        <v>0</v>
      </c>
      <c r="D250" s="134"/>
      <c r="E250" s="285"/>
      <c r="F250" s="286">
        <f t="shared" si="19"/>
        <v>0</v>
      </c>
      <c r="G250" s="134"/>
      <c r="H250" s="135"/>
      <c r="I250" s="136">
        <f t="shared" si="20"/>
        <v>0</v>
      </c>
      <c r="J250" s="134"/>
      <c r="K250" s="135"/>
      <c r="L250" s="136">
        <f t="shared" si="21"/>
        <v>0</v>
      </c>
      <c r="M250" s="284"/>
      <c r="N250" s="285"/>
      <c r="O250" s="136">
        <f t="shared" si="22"/>
        <v>0</v>
      </c>
      <c r="P250" s="85"/>
      <c r="R250" s="53"/>
      <c r="S250" s="53"/>
      <c r="T250" s="53"/>
    </row>
    <row r="251" spans="1:20" hidden="1" x14ac:dyDescent="0.25">
      <c r="A251" s="76">
        <v>6292</v>
      </c>
      <c r="B251" s="127" t="s">
        <v>267</v>
      </c>
      <c r="C251" s="278">
        <f t="shared" si="14"/>
        <v>0</v>
      </c>
      <c r="D251" s="134"/>
      <c r="E251" s="285"/>
      <c r="F251" s="286">
        <f t="shared" si="19"/>
        <v>0</v>
      </c>
      <c r="G251" s="134"/>
      <c r="H251" s="135"/>
      <c r="I251" s="136">
        <f t="shared" si="20"/>
        <v>0</v>
      </c>
      <c r="J251" s="134"/>
      <c r="K251" s="135"/>
      <c r="L251" s="136">
        <f t="shared" si="21"/>
        <v>0</v>
      </c>
      <c r="M251" s="284"/>
      <c r="N251" s="285"/>
      <c r="O251" s="136">
        <f t="shared" si="22"/>
        <v>0</v>
      </c>
      <c r="P251" s="85"/>
      <c r="R251" s="53"/>
      <c r="S251" s="53"/>
      <c r="T251" s="53"/>
    </row>
    <row r="252" spans="1:20" ht="72" hidden="1" x14ac:dyDescent="0.25">
      <c r="A252" s="76">
        <v>6296</v>
      </c>
      <c r="B252" s="127" t="s">
        <v>268</v>
      </c>
      <c r="C252" s="278">
        <f t="shared" si="14"/>
        <v>0</v>
      </c>
      <c r="D252" s="134"/>
      <c r="E252" s="285"/>
      <c r="F252" s="286">
        <f t="shared" si="19"/>
        <v>0</v>
      </c>
      <c r="G252" s="134"/>
      <c r="H252" s="135"/>
      <c r="I252" s="136">
        <f t="shared" si="20"/>
        <v>0</v>
      </c>
      <c r="J252" s="134"/>
      <c r="K252" s="135"/>
      <c r="L252" s="136">
        <f t="shared" si="21"/>
        <v>0</v>
      </c>
      <c r="M252" s="284"/>
      <c r="N252" s="285"/>
      <c r="O252" s="136">
        <f t="shared" si="22"/>
        <v>0</v>
      </c>
      <c r="P252" s="85"/>
      <c r="R252" s="53"/>
      <c r="S252" s="53"/>
      <c r="T252" s="53"/>
    </row>
    <row r="253" spans="1:20" ht="36" hidden="1" x14ac:dyDescent="0.25">
      <c r="A253" s="76">
        <v>6299</v>
      </c>
      <c r="B253" s="127" t="s">
        <v>269</v>
      </c>
      <c r="C253" s="278">
        <f t="shared" si="14"/>
        <v>0</v>
      </c>
      <c r="D253" s="134"/>
      <c r="E253" s="285"/>
      <c r="F253" s="286">
        <f t="shared" si="19"/>
        <v>0</v>
      </c>
      <c r="G253" s="134"/>
      <c r="H253" s="135"/>
      <c r="I253" s="136">
        <f t="shared" si="20"/>
        <v>0</v>
      </c>
      <c r="J253" s="134"/>
      <c r="K253" s="135"/>
      <c r="L253" s="136">
        <f t="shared" si="21"/>
        <v>0</v>
      </c>
      <c r="M253" s="284"/>
      <c r="N253" s="285"/>
      <c r="O253" s="136">
        <f t="shared" si="22"/>
        <v>0</v>
      </c>
      <c r="P253" s="85"/>
      <c r="R253" s="53"/>
      <c r="S253" s="53"/>
      <c r="T253" s="53"/>
    </row>
    <row r="254" spans="1:20" hidden="1" x14ac:dyDescent="0.25">
      <c r="A254" s="99">
        <v>6300</v>
      </c>
      <c r="B254" s="247" t="s">
        <v>270</v>
      </c>
      <c r="C254" s="100">
        <f t="shared" si="14"/>
        <v>0</v>
      </c>
      <c r="D254" s="112">
        <f>SUM(D255,D259,D260)</f>
        <v>0</v>
      </c>
      <c r="E254" s="293">
        <f>SUM(E255,E259,E260)</f>
        <v>0</v>
      </c>
      <c r="F254" s="313">
        <f t="shared" si="19"/>
        <v>0</v>
      </c>
      <c r="G254" s="112">
        <f>SUM(G255,G259,G260)</f>
        <v>0</v>
      </c>
      <c r="H254" s="113">
        <f>SUM(H255,H259,H260)</f>
        <v>0</v>
      </c>
      <c r="I254" s="114">
        <f t="shared" si="20"/>
        <v>0</v>
      </c>
      <c r="J254" s="112">
        <f>SUM(J255,J259,J260)</f>
        <v>0</v>
      </c>
      <c r="K254" s="113">
        <f>SUM(K255,K259,K260)</f>
        <v>0</v>
      </c>
      <c r="L254" s="114">
        <f t="shared" si="21"/>
        <v>0</v>
      </c>
      <c r="M254" s="303">
        <f>SUM(M255,M259,M260)</f>
        <v>0</v>
      </c>
      <c r="N254" s="304">
        <f>SUM(N255,N259,N260)</f>
        <v>0</v>
      </c>
      <c r="O254" s="305">
        <f t="shared" si="22"/>
        <v>0</v>
      </c>
      <c r="P254" s="306"/>
      <c r="R254" s="53"/>
      <c r="S254" s="53"/>
      <c r="T254" s="53"/>
    </row>
    <row r="255" spans="1:20" ht="24" hidden="1" x14ac:dyDescent="0.25">
      <c r="A255" s="294">
        <v>6320</v>
      </c>
      <c r="B255" s="116" t="s">
        <v>271</v>
      </c>
      <c r="C255" s="322">
        <f t="shared" si="14"/>
        <v>0</v>
      </c>
      <c r="D255" s="297">
        <f>SUM(D256:D258)</f>
        <v>0</v>
      </c>
      <c r="E255" s="301">
        <f>SUM(E256:E258)</f>
        <v>0</v>
      </c>
      <c r="F255" s="263">
        <f t="shared" si="19"/>
        <v>0</v>
      </c>
      <c r="G255" s="297">
        <f>SUM(G256:G258)</f>
        <v>0</v>
      </c>
      <c r="H255" s="299">
        <f>SUM(H256:H258)</f>
        <v>0</v>
      </c>
      <c r="I255" s="125">
        <f t="shared" si="20"/>
        <v>0</v>
      </c>
      <c r="J255" s="297">
        <f>SUM(J256:J258)</f>
        <v>0</v>
      </c>
      <c r="K255" s="299">
        <f>SUM(K256:K258)</f>
        <v>0</v>
      </c>
      <c r="L255" s="125">
        <f t="shared" si="21"/>
        <v>0</v>
      </c>
      <c r="M255" s="300">
        <f>SUM(M256:M258)</f>
        <v>0</v>
      </c>
      <c r="N255" s="301">
        <f>SUM(N256:N258)</f>
        <v>0</v>
      </c>
      <c r="O255" s="125">
        <f t="shared" si="22"/>
        <v>0</v>
      </c>
      <c r="P255" s="74"/>
      <c r="R255" s="53"/>
      <c r="S255" s="53"/>
      <c r="T255" s="53"/>
    </row>
    <row r="256" spans="1:20" hidden="1" x14ac:dyDescent="0.25">
      <c r="A256" s="76">
        <v>6322</v>
      </c>
      <c r="B256" s="127" t="s">
        <v>272</v>
      </c>
      <c r="C256" s="281">
        <f t="shared" si="14"/>
        <v>0</v>
      </c>
      <c r="D256" s="134"/>
      <c r="E256" s="285"/>
      <c r="F256" s="286">
        <f t="shared" si="19"/>
        <v>0</v>
      </c>
      <c r="G256" s="134"/>
      <c r="H256" s="135"/>
      <c r="I256" s="136">
        <f t="shared" si="20"/>
        <v>0</v>
      </c>
      <c r="J256" s="134"/>
      <c r="K256" s="135"/>
      <c r="L256" s="136">
        <f t="shared" si="21"/>
        <v>0</v>
      </c>
      <c r="M256" s="284"/>
      <c r="N256" s="285"/>
      <c r="O256" s="136">
        <f t="shared" si="22"/>
        <v>0</v>
      </c>
      <c r="P256" s="85"/>
      <c r="R256" s="53"/>
      <c r="S256" s="53"/>
      <c r="T256" s="53"/>
    </row>
    <row r="257" spans="1:20" ht="24" hidden="1" x14ac:dyDescent="0.25">
      <c r="A257" s="76">
        <v>6323</v>
      </c>
      <c r="B257" s="127" t="s">
        <v>273</v>
      </c>
      <c r="C257" s="281">
        <f t="shared" si="14"/>
        <v>0</v>
      </c>
      <c r="D257" s="134"/>
      <c r="E257" s="285"/>
      <c r="F257" s="286">
        <f t="shared" si="19"/>
        <v>0</v>
      </c>
      <c r="G257" s="134"/>
      <c r="H257" s="135"/>
      <c r="I257" s="136">
        <f t="shared" si="20"/>
        <v>0</v>
      </c>
      <c r="J257" s="134"/>
      <c r="K257" s="135"/>
      <c r="L257" s="136">
        <f t="shared" si="21"/>
        <v>0</v>
      </c>
      <c r="M257" s="284"/>
      <c r="N257" s="285"/>
      <c r="O257" s="136">
        <f t="shared" si="22"/>
        <v>0</v>
      </c>
      <c r="P257" s="85"/>
      <c r="R257" s="53"/>
      <c r="S257" s="53"/>
      <c r="T257" s="53"/>
    </row>
    <row r="258" spans="1:20" ht="24" hidden="1" x14ac:dyDescent="0.25">
      <c r="A258" s="66">
        <v>6324</v>
      </c>
      <c r="B258" s="116" t="s">
        <v>274</v>
      </c>
      <c r="C258" s="281">
        <f t="shared" si="14"/>
        <v>0</v>
      </c>
      <c r="D258" s="123"/>
      <c r="E258" s="262"/>
      <c r="F258" s="263">
        <f t="shared" si="19"/>
        <v>0</v>
      </c>
      <c r="G258" s="123"/>
      <c r="H258" s="124"/>
      <c r="I258" s="125">
        <f t="shared" si="20"/>
        <v>0</v>
      </c>
      <c r="J258" s="123"/>
      <c r="K258" s="124"/>
      <c r="L258" s="125">
        <f t="shared" si="21"/>
        <v>0</v>
      </c>
      <c r="M258" s="264"/>
      <c r="N258" s="262"/>
      <c r="O258" s="125">
        <f t="shared" si="22"/>
        <v>0</v>
      </c>
      <c r="P258" s="74"/>
      <c r="R258" s="53"/>
      <c r="S258" s="53"/>
      <c r="T258" s="53"/>
    </row>
    <row r="259" spans="1:20" ht="24" hidden="1" x14ac:dyDescent="0.25">
      <c r="A259" s="344">
        <v>6330</v>
      </c>
      <c r="B259" s="345" t="s">
        <v>275</v>
      </c>
      <c r="C259" s="281">
        <f t="shared" ref="C259:C286" si="23">F259+I259+L259+O259</f>
        <v>0</v>
      </c>
      <c r="D259" s="328"/>
      <c r="E259" s="329"/>
      <c r="F259" s="330">
        <f t="shared" si="19"/>
        <v>0</v>
      </c>
      <c r="G259" s="328"/>
      <c r="H259" s="331"/>
      <c r="I259" s="324">
        <f t="shared" si="20"/>
        <v>0</v>
      </c>
      <c r="J259" s="328"/>
      <c r="K259" s="331"/>
      <c r="L259" s="324">
        <f t="shared" si="21"/>
        <v>0</v>
      </c>
      <c r="M259" s="332"/>
      <c r="N259" s="329"/>
      <c r="O259" s="324">
        <f t="shared" si="22"/>
        <v>0</v>
      </c>
      <c r="P259" s="325"/>
      <c r="R259" s="53"/>
      <c r="S259" s="53"/>
      <c r="T259" s="53"/>
    </row>
    <row r="260" spans="1:20" hidden="1" x14ac:dyDescent="0.25">
      <c r="A260" s="276">
        <v>6360</v>
      </c>
      <c r="B260" s="127" t="s">
        <v>276</v>
      </c>
      <c r="C260" s="281">
        <f t="shared" si="23"/>
        <v>0</v>
      </c>
      <c r="D260" s="134"/>
      <c r="E260" s="285"/>
      <c r="F260" s="286">
        <f t="shared" si="19"/>
        <v>0</v>
      </c>
      <c r="G260" s="134"/>
      <c r="H260" s="135"/>
      <c r="I260" s="136">
        <f t="shared" si="20"/>
        <v>0</v>
      </c>
      <c r="J260" s="134"/>
      <c r="K260" s="135"/>
      <c r="L260" s="136">
        <f t="shared" si="21"/>
        <v>0</v>
      </c>
      <c r="M260" s="284"/>
      <c r="N260" s="285"/>
      <c r="O260" s="136">
        <f t="shared" si="22"/>
        <v>0</v>
      </c>
      <c r="P260" s="85"/>
      <c r="R260" s="53"/>
      <c r="S260" s="53"/>
      <c r="T260" s="53"/>
    </row>
    <row r="261" spans="1:20" ht="36" hidden="1" x14ac:dyDescent="0.25">
      <c r="A261" s="99">
        <v>6400</v>
      </c>
      <c r="B261" s="247" t="s">
        <v>277</v>
      </c>
      <c r="C261" s="100">
        <f t="shared" si="23"/>
        <v>0</v>
      </c>
      <c r="D261" s="112">
        <f>SUM(D262,D266)</f>
        <v>0</v>
      </c>
      <c r="E261" s="293">
        <f>SUM(E262,E266)</f>
        <v>0</v>
      </c>
      <c r="F261" s="313">
        <f t="shared" si="19"/>
        <v>0</v>
      </c>
      <c r="G261" s="112">
        <f>SUM(G262,G266)</f>
        <v>0</v>
      </c>
      <c r="H261" s="113">
        <f>SUM(H262,H266)</f>
        <v>0</v>
      </c>
      <c r="I261" s="114">
        <f t="shared" si="20"/>
        <v>0</v>
      </c>
      <c r="J261" s="112">
        <f>SUM(J262,J266)</f>
        <v>0</v>
      </c>
      <c r="K261" s="113">
        <f>SUM(K262,K266)</f>
        <v>0</v>
      </c>
      <c r="L261" s="114">
        <f t="shared" si="21"/>
        <v>0</v>
      </c>
      <c r="M261" s="303">
        <f>SUM(M262,M266)</f>
        <v>0</v>
      </c>
      <c r="N261" s="304">
        <f>SUM(N262,N266)</f>
        <v>0</v>
      </c>
      <c r="O261" s="305">
        <f t="shared" si="22"/>
        <v>0</v>
      </c>
      <c r="P261" s="306"/>
      <c r="R261" s="53"/>
      <c r="S261" s="53"/>
      <c r="T261" s="53"/>
    </row>
    <row r="262" spans="1:20" ht="24" hidden="1" x14ac:dyDescent="0.25">
      <c r="A262" s="294">
        <v>6410</v>
      </c>
      <c r="B262" s="116" t="s">
        <v>278</v>
      </c>
      <c r="C262" s="300">
        <f t="shared" si="23"/>
        <v>0</v>
      </c>
      <c r="D262" s="297">
        <f>SUM(D263:D265)</f>
        <v>0</v>
      </c>
      <c r="E262" s="301">
        <f>SUM(E263:E265)</f>
        <v>0</v>
      </c>
      <c r="F262" s="263">
        <f t="shared" si="19"/>
        <v>0</v>
      </c>
      <c r="G262" s="297">
        <f>SUM(G263:G265)</f>
        <v>0</v>
      </c>
      <c r="H262" s="299">
        <f>SUM(H263:H265)</f>
        <v>0</v>
      </c>
      <c r="I262" s="125">
        <f t="shared" si="20"/>
        <v>0</v>
      </c>
      <c r="J262" s="297">
        <f>SUM(J263:J265)</f>
        <v>0</v>
      </c>
      <c r="K262" s="299">
        <f>SUM(K263:K265)</f>
        <v>0</v>
      </c>
      <c r="L262" s="125">
        <f t="shared" si="21"/>
        <v>0</v>
      </c>
      <c r="M262" s="317">
        <f>SUM(M263:M265)</f>
        <v>0</v>
      </c>
      <c r="N262" s="318">
        <f>SUM(N263:N265)</f>
        <v>0</v>
      </c>
      <c r="O262" s="151">
        <f t="shared" si="22"/>
        <v>0</v>
      </c>
      <c r="P262" s="153"/>
      <c r="R262" s="53"/>
      <c r="S262" s="53"/>
      <c r="T262" s="53"/>
    </row>
    <row r="263" spans="1:20" hidden="1" x14ac:dyDescent="0.25">
      <c r="A263" s="76">
        <v>6411</v>
      </c>
      <c r="B263" s="346" t="s">
        <v>279</v>
      </c>
      <c r="C263" s="278">
        <f t="shared" si="23"/>
        <v>0</v>
      </c>
      <c r="D263" s="134"/>
      <c r="E263" s="285"/>
      <c r="F263" s="286">
        <f t="shared" si="19"/>
        <v>0</v>
      </c>
      <c r="G263" s="134"/>
      <c r="H263" s="135"/>
      <c r="I263" s="136">
        <f t="shared" si="20"/>
        <v>0</v>
      </c>
      <c r="J263" s="134"/>
      <c r="K263" s="135"/>
      <c r="L263" s="136">
        <f t="shared" si="21"/>
        <v>0</v>
      </c>
      <c r="M263" s="284"/>
      <c r="N263" s="285"/>
      <c r="O263" s="136">
        <f t="shared" si="22"/>
        <v>0</v>
      </c>
      <c r="P263" s="85"/>
      <c r="R263" s="53"/>
      <c r="S263" s="53"/>
      <c r="T263" s="53"/>
    </row>
    <row r="264" spans="1:20" ht="36" hidden="1" x14ac:dyDescent="0.25">
      <c r="A264" s="76">
        <v>6412</v>
      </c>
      <c r="B264" s="127" t="s">
        <v>280</v>
      </c>
      <c r="C264" s="278">
        <f t="shared" si="23"/>
        <v>0</v>
      </c>
      <c r="D264" s="134"/>
      <c r="E264" s="285"/>
      <c r="F264" s="286">
        <f t="shared" si="19"/>
        <v>0</v>
      </c>
      <c r="G264" s="134"/>
      <c r="H264" s="135"/>
      <c r="I264" s="136">
        <f t="shared" si="20"/>
        <v>0</v>
      </c>
      <c r="J264" s="134"/>
      <c r="K264" s="135"/>
      <c r="L264" s="136">
        <f t="shared" si="21"/>
        <v>0</v>
      </c>
      <c r="M264" s="284"/>
      <c r="N264" s="285"/>
      <c r="O264" s="136">
        <f t="shared" si="22"/>
        <v>0</v>
      </c>
      <c r="P264" s="85"/>
      <c r="R264" s="53"/>
      <c r="S264" s="53"/>
      <c r="T264" s="53"/>
    </row>
    <row r="265" spans="1:20" ht="36" hidden="1" x14ac:dyDescent="0.25">
      <c r="A265" s="76">
        <v>6419</v>
      </c>
      <c r="B265" s="127" t="s">
        <v>281</v>
      </c>
      <c r="C265" s="278">
        <f t="shared" si="23"/>
        <v>0</v>
      </c>
      <c r="D265" s="134"/>
      <c r="E265" s="285"/>
      <c r="F265" s="286">
        <f t="shared" si="19"/>
        <v>0</v>
      </c>
      <c r="G265" s="134"/>
      <c r="H265" s="135"/>
      <c r="I265" s="136">
        <f t="shared" si="20"/>
        <v>0</v>
      </c>
      <c r="J265" s="134"/>
      <c r="K265" s="135"/>
      <c r="L265" s="136">
        <f t="shared" si="21"/>
        <v>0</v>
      </c>
      <c r="M265" s="284"/>
      <c r="N265" s="285"/>
      <c r="O265" s="136">
        <f t="shared" si="22"/>
        <v>0</v>
      </c>
      <c r="P265" s="85"/>
      <c r="R265" s="53"/>
      <c r="S265" s="53"/>
      <c r="T265" s="53"/>
    </row>
    <row r="266" spans="1:20" ht="36" hidden="1" x14ac:dyDescent="0.25">
      <c r="A266" s="276">
        <v>6420</v>
      </c>
      <c r="B266" s="127" t="s">
        <v>282</v>
      </c>
      <c r="C266" s="278">
        <f t="shared" si="23"/>
        <v>0</v>
      </c>
      <c r="D266" s="277">
        <f>SUM(D267:D270)</f>
        <v>0</v>
      </c>
      <c r="E266" s="282">
        <f>SUM(E267:E270)</f>
        <v>0</v>
      </c>
      <c r="F266" s="286">
        <f t="shared" si="19"/>
        <v>0</v>
      </c>
      <c r="G266" s="277">
        <f>SUM(G267:G270)</f>
        <v>0</v>
      </c>
      <c r="H266" s="280">
        <f>SUM(H267:H270)</f>
        <v>0</v>
      </c>
      <c r="I266" s="136">
        <f t="shared" si="20"/>
        <v>0</v>
      </c>
      <c r="J266" s="277">
        <f>SUM(J267:J270)</f>
        <v>0</v>
      </c>
      <c r="K266" s="280">
        <f>SUM(K267:K270)</f>
        <v>0</v>
      </c>
      <c r="L266" s="136">
        <f t="shared" si="21"/>
        <v>0</v>
      </c>
      <c r="M266" s="281">
        <f>SUM(M267:M270)</f>
        <v>0</v>
      </c>
      <c r="N266" s="282">
        <f>SUM(N267:N270)</f>
        <v>0</v>
      </c>
      <c r="O266" s="136">
        <f t="shared" si="22"/>
        <v>0</v>
      </c>
      <c r="P266" s="85"/>
      <c r="R266" s="53"/>
      <c r="S266" s="53"/>
      <c r="T266" s="53"/>
    </row>
    <row r="267" spans="1:20" hidden="1" x14ac:dyDescent="0.25">
      <c r="A267" s="76">
        <v>6421</v>
      </c>
      <c r="B267" s="127" t="s">
        <v>283</v>
      </c>
      <c r="C267" s="278">
        <f t="shared" si="23"/>
        <v>0</v>
      </c>
      <c r="D267" s="134"/>
      <c r="E267" s="285"/>
      <c r="F267" s="286">
        <f t="shared" si="19"/>
        <v>0</v>
      </c>
      <c r="G267" s="134"/>
      <c r="H267" s="135"/>
      <c r="I267" s="136">
        <f t="shared" si="20"/>
        <v>0</v>
      </c>
      <c r="J267" s="134"/>
      <c r="K267" s="135"/>
      <c r="L267" s="136">
        <f t="shared" si="21"/>
        <v>0</v>
      </c>
      <c r="M267" s="284"/>
      <c r="N267" s="285"/>
      <c r="O267" s="136">
        <f t="shared" si="22"/>
        <v>0</v>
      </c>
      <c r="P267" s="85"/>
      <c r="R267" s="53"/>
      <c r="S267" s="53"/>
      <c r="T267" s="53"/>
    </row>
    <row r="268" spans="1:20" hidden="1" x14ac:dyDescent="0.25">
      <c r="A268" s="76">
        <v>6422</v>
      </c>
      <c r="B268" s="127" t="s">
        <v>284</v>
      </c>
      <c r="C268" s="278">
        <f t="shared" si="23"/>
        <v>0</v>
      </c>
      <c r="D268" s="134"/>
      <c r="E268" s="285"/>
      <c r="F268" s="286">
        <f t="shared" si="19"/>
        <v>0</v>
      </c>
      <c r="G268" s="134"/>
      <c r="H268" s="135"/>
      <c r="I268" s="136">
        <f t="shared" si="20"/>
        <v>0</v>
      </c>
      <c r="J268" s="134"/>
      <c r="K268" s="135"/>
      <c r="L268" s="136">
        <f t="shared" si="21"/>
        <v>0</v>
      </c>
      <c r="M268" s="284"/>
      <c r="N268" s="285"/>
      <c r="O268" s="136">
        <f t="shared" si="22"/>
        <v>0</v>
      </c>
      <c r="P268" s="85"/>
      <c r="R268" s="53"/>
      <c r="S268" s="53"/>
      <c r="T268" s="53"/>
    </row>
    <row r="269" spans="1:20" ht="24" hidden="1" x14ac:dyDescent="0.25">
      <c r="A269" s="76">
        <v>6423</v>
      </c>
      <c r="B269" s="127" t="s">
        <v>285</v>
      </c>
      <c r="C269" s="278">
        <f t="shared" si="23"/>
        <v>0</v>
      </c>
      <c r="D269" s="134"/>
      <c r="E269" s="285"/>
      <c r="F269" s="286">
        <f t="shared" si="19"/>
        <v>0</v>
      </c>
      <c r="G269" s="134"/>
      <c r="H269" s="135"/>
      <c r="I269" s="136">
        <f t="shared" si="20"/>
        <v>0</v>
      </c>
      <c r="J269" s="134"/>
      <c r="K269" s="135"/>
      <c r="L269" s="136">
        <f t="shared" si="21"/>
        <v>0</v>
      </c>
      <c r="M269" s="284"/>
      <c r="N269" s="285"/>
      <c r="O269" s="136">
        <f t="shared" si="22"/>
        <v>0</v>
      </c>
      <c r="P269" s="85"/>
      <c r="R269" s="53"/>
      <c r="S269" s="53"/>
      <c r="T269" s="53"/>
    </row>
    <row r="270" spans="1:20" ht="36" hidden="1" x14ac:dyDescent="0.25">
      <c r="A270" s="76">
        <v>6424</v>
      </c>
      <c r="B270" s="127" t="s">
        <v>286</v>
      </c>
      <c r="C270" s="278">
        <f t="shared" si="23"/>
        <v>0</v>
      </c>
      <c r="D270" s="134"/>
      <c r="E270" s="285"/>
      <c r="F270" s="286">
        <f t="shared" si="19"/>
        <v>0</v>
      </c>
      <c r="G270" s="134"/>
      <c r="H270" s="135"/>
      <c r="I270" s="136">
        <f t="shared" si="20"/>
        <v>0</v>
      </c>
      <c r="J270" s="134"/>
      <c r="K270" s="135"/>
      <c r="L270" s="136">
        <f t="shared" si="21"/>
        <v>0</v>
      </c>
      <c r="M270" s="284"/>
      <c r="N270" s="285"/>
      <c r="O270" s="136">
        <f t="shared" si="22"/>
        <v>0</v>
      </c>
      <c r="P270" s="85"/>
      <c r="R270" s="53"/>
      <c r="S270" s="53"/>
      <c r="T270" s="53"/>
    </row>
    <row r="271" spans="1:20" ht="36" hidden="1" x14ac:dyDescent="0.25">
      <c r="A271" s="347">
        <v>7000</v>
      </c>
      <c r="B271" s="347" t="s">
        <v>287</v>
      </c>
      <c r="C271" s="348">
        <f t="shared" si="23"/>
        <v>0</v>
      </c>
      <c r="D271" s="349">
        <f>SUM(D272,D282)</f>
        <v>0</v>
      </c>
      <c r="E271" s="407">
        <f>SUM(E272,E282)</f>
        <v>0</v>
      </c>
      <c r="F271" s="408">
        <f t="shared" si="19"/>
        <v>0</v>
      </c>
      <c r="G271" s="349">
        <f>SUM(G272,G282)</f>
        <v>0</v>
      </c>
      <c r="H271" s="352">
        <f>SUM(H272,H282)</f>
        <v>0</v>
      </c>
      <c r="I271" s="353">
        <f t="shared" si="20"/>
        <v>0</v>
      </c>
      <c r="J271" s="349">
        <f>SUM(J272,J282)</f>
        <v>0</v>
      </c>
      <c r="K271" s="352">
        <f>SUM(K272,K282)</f>
        <v>0</v>
      </c>
      <c r="L271" s="353">
        <f t="shared" si="21"/>
        <v>0</v>
      </c>
      <c r="M271" s="354">
        <f>SUM(M272,M282)</f>
        <v>0</v>
      </c>
      <c r="N271" s="355">
        <f>SUM(N272,N282)</f>
        <v>0</v>
      </c>
      <c r="O271" s="356">
        <f t="shared" si="22"/>
        <v>0</v>
      </c>
      <c r="P271" s="357"/>
      <c r="R271" s="53"/>
      <c r="S271" s="53"/>
      <c r="T271" s="53"/>
    </row>
    <row r="272" spans="1:20" ht="24" hidden="1" x14ac:dyDescent="0.25">
      <c r="A272" s="99">
        <v>7200</v>
      </c>
      <c r="B272" s="247" t="s">
        <v>288</v>
      </c>
      <c r="C272" s="100">
        <f t="shared" si="23"/>
        <v>0</v>
      </c>
      <c r="D272" s="112">
        <f>SUM(D273,D274,D277,D278,D281)</f>
        <v>0</v>
      </c>
      <c r="E272" s="293">
        <f>SUM(E273,E274,E277,E278,E281)</f>
        <v>0</v>
      </c>
      <c r="F272" s="313">
        <f t="shared" si="19"/>
        <v>0</v>
      </c>
      <c r="G272" s="112">
        <f>SUM(G273,G274,G277,G278,G281)</f>
        <v>0</v>
      </c>
      <c r="H272" s="113">
        <f>SUM(H273,H274,H277,H278,H281)</f>
        <v>0</v>
      </c>
      <c r="I272" s="114">
        <f t="shared" si="20"/>
        <v>0</v>
      </c>
      <c r="J272" s="112">
        <f>SUM(J273,J274,J277,J278,J281)</f>
        <v>0</v>
      </c>
      <c r="K272" s="113">
        <f>SUM(K273,K274,K277,K278,K281)</f>
        <v>0</v>
      </c>
      <c r="L272" s="114">
        <f t="shared" si="21"/>
        <v>0</v>
      </c>
      <c r="M272" s="250">
        <f>SUM(M273,M274,M277,M278,M281)</f>
        <v>0</v>
      </c>
      <c r="N272" s="251">
        <f>SUM(N273,N274,N277,N278,N281)</f>
        <v>0</v>
      </c>
      <c r="O272" s="252">
        <f t="shared" si="22"/>
        <v>0</v>
      </c>
      <c r="P272" s="253"/>
      <c r="R272" s="53"/>
      <c r="S272" s="53"/>
      <c r="T272" s="53"/>
    </row>
    <row r="273" spans="1:20" ht="24" hidden="1" x14ac:dyDescent="0.25">
      <c r="A273" s="294">
        <v>7210</v>
      </c>
      <c r="B273" s="116" t="s">
        <v>289</v>
      </c>
      <c r="C273" s="117">
        <f t="shared" si="23"/>
        <v>0</v>
      </c>
      <c r="D273" s="123"/>
      <c r="E273" s="262"/>
      <c r="F273" s="263">
        <f t="shared" si="19"/>
        <v>0</v>
      </c>
      <c r="G273" s="123"/>
      <c r="H273" s="124"/>
      <c r="I273" s="125">
        <f t="shared" si="20"/>
        <v>0</v>
      </c>
      <c r="J273" s="123"/>
      <c r="K273" s="124"/>
      <c r="L273" s="125">
        <f t="shared" si="21"/>
        <v>0</v>
      </c>
      <c r="M273" s="264"/>
      <c r="N273" s="262"/>
      <c r="O273" s="125">
        <f t="shared" si="22"/>
        <v>0</v>
      </c>
      <c r="P273" s="74"/>
      <c r="R273" s="53"/>
      <c r="S273" s="53"/>
      <c r="T273" s="53"/>
    </row>
    <row r="274" spans="1:20" s="358" customFormat="1" ht="36" hidden="1" x14ac:dyDescent="0.25">
      <c r="A274" s="276">
        <v>7220</v>
      </c>
      <c r="B274" s="127" t="s">
        <v>290</v>
      </c>
      <c r="C274" s="128">
        <f t="shared" si="23"/>
        <v>0</v>
      </c>
      <c r="D274" s="277">
        <f>SUM(D275:D276)</f>
        <v>0</v>
      </c>
      <c r="E274" s="282">
        <f>SUM(E275:E276)</f>
        <v>0</v>
      </c>
      <c r="F274" s="286">
        <f t="shared" si="19"/>
        <v>0</v>
      </c>
      <c r="G274" s="277">
        <f>SUM(G275:G276)</f>
        <v>0</v>
      </c>
      <c r="H274" s="280">
        <f>SUM(H275:H276)</f>
        <v>0</v>
      </c>
      <c r="I274" s="136">
        <f t="shared" si="20"/>
        <v>0</v>
      </c>
      <c r="J274" s="277">
        <f>SUM(J275:J276)</f>
        <v>0</v>
      </c>
      <c r="K274" s="280">
        <f>SUM(K275:K276)</f>
        <v>0</v>
      </c>
      <c r="L274" s="136">
        <f t="shared" si="21"/>
        <v>0</v>
      </c>
      <c r="M274" s="281">
        <f>SUM(M275:M276)</f>
        <v>0</v>
      </c>
      <c r="N274" s="282">
        <f>SUM(N275:N276)</f>
        <v>0</v>
      </c>
      <c r="O274" s="136">
        <f t="shared" si="22"/>
        <v>0</v>
      </c>
      <c r="P274" s="85"/>
      <c r="R274" s="53"/>
      <c r="S274" s="53"/>
      <c r="T274" s="53"/>
    </row>
    <row r="275" spans="1:20" s="358" customFormat="1" ht="36" hidden="1" x14ac:dyDescent="0.25">
      <c r="A275" s="76">
        <v>7221</v>
      </c>
      <c r="B275" s="127" t="s">
        <v>291</v>
      </c>
      <c r="C275" s="128">
        <f t="shared" si="23"/>
        <v>0</v>
      </c>
      <c r="D275" s="134"/>
      <c r="E275" s="285"/>
      <c r="F275" s="286">
        <f t="shared" si="19"/>
        <v>0</v>
      </c>
      <c r="G275" s="134"/>
      <c r="H275" s="135"/>
      <c r="I275" s="136">
        <f t="shared" si="20"/>
        <v>0</v>
      </c>
      <c r="J275" s="134"/>
      <c r="K275" s="135"/>
      <c r="L275" s="136">
        <f t="shared" si="21"/>
        <v>0</v>
      </c>
      <c r="M275" s="284"/>
      <c r="N275" s="285"/>
      <c r="O275" s="136">
        <f t="shared" si="22"/>
        <v>0</v>
      </c>
      <c r="P275" s="85"/>
      <c r="R275" s="53"/>
      <c r="S275" s="53"/>
      <c r="T275" s="53"/>
    </row>
    <row r="276" spans="1:20" s="358" customFormat="1" ht="36" hidden="1" x14ac:dyDescent="0.25">
      <c r="A276" s="76">
        <v>7222</v>
      </c>
      <c r="B276" s="127" t="s">
        <v>292</v>
      </c>
      <c r="C276" s="128">
        <f t="shared" si="23"/>
        <v>0</v>
      </c>
      <c r="D276" s="134"/>
      <c r="E276" s="285"/>
      <c r="F276" s="286">
        <f t="shared" si="19"/>
        <v>0</v>
      </c>
      <c r="G276" s="134"/>
      <c r="H276" s="135"/>
      <c r="I276" s="136">
        <f t="shared" si="20"/>
        <v>0</v>
      </c>
      <c r="J276" s="134"/>
      <c r="K276" s="135"/>
      <c r="L276" s="136">
        <f t="shared" si="21"/>
        <v>0</v>
      </c>
      <c r="M276" s="284"/>
      <c r="N276" s="285"/>
      <c r="O276" s="136">
        <f t="shared" si="22"/>
        <v>0</v>
      </c>
      <c r="P276" s="85"/>
      <c r="R276" s="53"/>
      <c r="S276" s="53"/>
      <c r="T276" s="53"/>
    </row>
    <row r="277" spans="1:20" s="358" customFormat="1" ht="24" hidden="1" x14ac:dyDescent="0.25">
      <c r="A277" s="276">
        <v>7230</v>
      </c>
      <c r="B277" s="127" t="s">
        <v>293</v>
      </c>
      <c r="C277" s="128">
        <f t="shared" si="23"/>
        <v>0</v>
      </c>
      <c r="D277" s="134"/>
      <c r="E277" s="285"/>
      <c r="F277" s="286">
        <f t="shared" si="19"/>
        <v>0</v>
      </c>
      <c r="G277" s="134"/>
      <c r="H277" s="135"/>
      <c r="I277" s="136">
        <f t="shared" si="20"/>
        <v>0</v>
      </c>
      <c r="J277" s="134"/>
      <c r="K277" s="135"/>
      <c r="L277" s="136">
        <f t="shared" si="21"/>
        <v>0</v>
      </c>
      <c r="M277" s="284"/>
      <c r="N277" s="285"/>
      <c r="O277" s="136">
        <f>M277+N277</f>
        <v>0</v>
      </c>
      <c r="P277" s="85"/>
      <c r="R277" s="53"/>
      <c r="S277" s="53"/>
      <c r="T277" s="53"/>
    </row>
    <row r="278" spans="1:20" ht="24" hidden="1" x14ac:dyDescent="0.25">
      <c r="A278" s="276">
        <v>7240</v>
      </c>
      <c r="B278" s="127" t="s">
        <v>294</v>
      </c>
      <c r="C278" s="128">
        <f t="shared" si="23"/>
        <v>0</v>
      </c>
      <c r="D278" s="277">
        <f>SUM(D279:D280)</f>
        <v>0</v>
      </c>
      <c r="E278" s="282">
        <f>SUM(E279:E280)</f>
        <v>0</v>
      </c>
      <c r="F278" s="286">
        <f t="shared" si="19"/>
        <v>0</v>
      </c>
      <c r="G278" s="277">
        <f>SUM(G279:G280)</f>
        <v>0</v>
      </c>
      <c r="H278" s="280">
        <f>SUM(H279:H280)</f>
        <v>0</v>
      </c>
      <c r="I278" s="136">
        <f t="shared" si="20"/>
        <v>0</v>
      </c>
      <c r="J278" s="277">
        <f>SUM(J279:J280)</f>
        <v>0</v>
      </c>
      <c r="K278" s="280">
        <f>SUM(K279:K280)</f>
        <v>0</v>
      </c>
      <c r="L278" s="136">
        <f t="shared" si="21"/>
        <v>0</v>
      </c>
      <c r="M278" s="281">
        <f>SUM(M279:M280)</f>
        <v>0</v>
      </c>
      <c r="N278" s="282">
        <f>SUM(N279:N280)</f>
        <v>0</v>
      </c>
      <c r="O278" s="136">
        <f>SUM(O279:O280)</f>
        <v>0</v>
      </c>
      <c r="P278" s="85"/>
      <c r="R278" s="53"/>
      <c r="S278" s="53"/>
      <c r="T278" s="53"/>
    </row>
    <row r="279" spans="1:20" ht="48" hidden="1" x14ac:dyDescent="0.25">
      <c r="A279" s="76">
        <v>7245</v>
      </c>
      <c r="B279" s="127" t="s">
        <v>295</v>
      </c>
      <c r="C279" s="128">
        <f t="shared" si="23"/>
        <v>0</v>
      </c>
      <c r="D279" s="134"/>
      <c r="E279" s="285"/>
      <c r="F279" s="286">
        <f t="shared" si="19"/>
        <v>0</v>
      </c>
      <c r="G279" s="134"/>
      <c r="H279" s="135"/>
      <c r="I279" s="136">
        <f t="shared" si="20"/>
        <v>0</v>
      </c>
      <c r="J279" s="134"/>
      <c r="K279" s="135"/>
      <c r="L279" s="136">
        <f t="shared" si="21"/>
        <v>0</v>
      </c>
      <c r="M279" s="284"/>
      <c r="N279" s="285"/>
      <c r="O279" s="136">
        <f>M279+N279</f>
        <v>0</v>
      </c>
      <c r="P279" s="85"/>
      <c r="R279" s="53"/>
      <c r="S279" s="53"/>
      <c r="T279" s="53"/>
    </row>
    <row r="280" spans="1:20" ht="96" hidden="1" x14ac:dyDescent="0.25">
      <c r="A280" s="76">
        <v>7246</v>
      </c>
      <c r="B280" s="127" t="s">
        <v>296</v>
      </c>
      <c r="C280" s="128">
        <f t="shared" si="23"/>
        <v>0</v>
      </c>
      <c r="D280" s="134"/>
      <c r="E280" s="285"/>
      <c r="F280" s="286">
        <f t="shared" si="19"/>
        <v>0</v>
      </c>
      <c r="G280" s="134"/>
      <c r="H280" s="135"/>
      <c r="I280" s="136">
        <f t="shared" si="20"/>
        <v>0</v>
      </c>
      <c r="J280" s="134"/>
      <c r="K280" s="135"/>
      <c r="L280" s="136">
        <f t="shared" si="21"/>
        <v>0</v>
      </c>
      <c r="M280" s="284"/>
      <c r="N280" s="285"/>
      <c r="O280" s="136">
        <f>M280+N280</f>
        <v>0</v>
      </c>
      <c r="P280" s="85"/>
      <c r="R280" s="53"/>
      <c r="S280" s="53"/>
      <c r="T280" s="53"/>
    </row>
    <row r="281" spans="1:20" ht="24" hidden="1" x14ac:dyDescent="0.25">
      <c r="A281" s="276">
        <v>7260</v>
      </c>
      <c r="B281" s="127" t="s">
        <v>297</v>
      </c>
      <c r="C281" s="128">
        <f t="shared" si="23"/>
        <v>0</v>
      </c>
      <c r="D281" s="123"/>
      <c r="E281" s="262"/>
      <c r="F281" s="263">
        <f t="shared" si="19"/>
        <v>0</v>
      </c>
      <c r="G281" s="123"/>
      <c r="H281" s="124"/>
      <c r="I281" s="125">
        <f t="shared" si="20"/>
        <v>0</v>
      </c>
      <c r="J281" s="123"/>
      <c r="K281" s="124"/>
      <c r="L281" s="125">
        <f t="shared" si="21"/>
        <v>0</v>
      </c>
      <c r="M281" s="264"/>
      <c r="N281" s="262"/>
      <c r="O281" s="125">
        <f>M281+N281</f>
        <v>0</v>
      </c>
      <c r="P281" s="74"/>
      <c r="R281" s="53"/>
      <c r="S281" s="53"/>
      <c r="T281" s="53"/>
    </row>
    <row r="282" spans="1:20" hidden="1" x14ac:dyDescent="0.25">
      <c r="A282" s="99">
        <v>7700</v>
      </c>
      <c r="B282" s="247" t="s">
        <v>298</v>
      </c>
      <c r="C282" s="359">
        <f t="shared" si="23"/>
        <v>0</v>
      </c>
      <c r="D282" s="360">
        <f>D283</f>
        <v>0</v>
      </c>
      <c r="E282" s="304">
        <f>SUM(E283)</f>
        <v>0</v>
      </c>
      <c r="F282" s="316">
        <f t="shared" si="19"/>
        <v>0</v>
      </c>
      <c r="G282" s="360">
        <f>G283</f>
        <v>0</v>
      </c>
      <c r="H282" s="361">
        <f>SUM(H283)</f>
        <v>0</v>
      </c>
      <c r="I282" s="305">
        <f t="shared" si="20"/>
        <v>0</v>
      </c>
      <c r="J282" s="360">
        <f>J283</f>
        <v>0</v>
      </c>
      <c r="K282" s="361">
        <f>SUM(K283)</f>
        <v>0</v>
      </c>
      <c r="L282" s="305">
        <f t="shared" si="21"/>
        <v>0</v>
      </c>
      <c r="M282" s="303">
        <f>SUM(M283)</f>
        <v>0</v>
      </c>
      <c r="N282" s="304">
        <f>SUM(N283)</f>
        <v>0</v>
      </c>
      <c r="O282" s="305">
        <f>M282+N282</f>
        <v>0</v>
      </c>
      <c r="P282" s="306"/>
      <c r="R282" s="53"/>
      <c r="S282" s="53"/>
      <c r="T282" s="53"/>
    </row>
    <row r="283" spans="1:20" hidden="1" x14ac:dyDescent="0.25">
      <c r="A283" s="141">
        <v>7720</v>
      </c>
      <c r="B283" s="142" t="s">
        <v>299</v>
      </c>
      <c r="C283" s="362">
        <f t="shared" si="23"/>
        <v>0</v>
      </c>
      <c r="D283" s="149"/>
      <c r="E283" s="363"/>
      <c r="F283" s="364">
        <f t="shared" si="19"/>
        <v>0</v>
      </c>
      <c r="G283" s="149"/>
      <c r="H283" s="150"/>
      <c r="I283" s="151">
        <f t="shared" si="20"/>
        <v>0</v>
      </c>
      <c r="J283" s="149"/>
      <c r="K283" s="150"/>
      <c r="L283" s="151">
        <f t="shared" si="21"/>
        <v>0</v>
      </c>
      <c r="M283" s="365"/>
      <c r="N283" s="363"/>
      <c r="O283" s="151">
        <f>M283+N283</f>
        <v>0</v>
      </c>
      <c r="P283" s="153"/>
      <c r="R283" s="53"/>
      <c r="S283" s="53"/>
      <c r="T283" s="53"/>
    </row>
    <row r="284" spans="1:20" hidden="1" x14ac:dyDescent="0.25">
      <c r="A284" s="366"/>
      <c r="B284" s="179" t="s">
        <v>300</v>
      </c>
      <c r="C284" s="117">
        <f t="shared" si="23"/>
        <v>0</v>
      </c>
      <c r="D284" s="255">
        <f>SUM(D285:D286)</f>
        <v>0</v>
      </c>
      <c r="E284" s="261">
        <f>SUM(E285:E286)</f>
        <v>0</v>
      </c>
      <c r="F284" s="310">
        <f t="shared" si="19"/>
        <v>0</v>
      </c>
      <c r="G284" s="255">
        <f>SUM(G285:G286)</f>
        <v>0</v>
      </c>
      <c r="H284" s="258">
        <f>SUM(H285:H286)</f>
        <v>0</v>
      </c>
      <c r="I284" s="259">
        <f t="shared" si="20"/>
        <v>0</v>
      </c>
      <c r="J284" s="255">
        <f>SUM(J285:J286)</f>
        <v>0</v>
      </c>
      <c r="K284" s="258">
        <f>SUM(K285:K286)</f>
        <v>0</v>
      </c>
      <c r="L284" s="259">
        <f t="shared" si="21"/>
        <v>0</v>
      </c>
      <c r="M284" s="260">
        <f>SUM(M285:M286)</f>
        <v>0</v>
      </c>
      <c r="N284" s="261">
        <f>SUM(N285:N286)</f>
        <v>0</v>
      </c>
      <c r="O284" s="259">
        <f t="shared" ref="O284:O299" si="24">M284+N284</f>
        <v>0</v>
      </c>
      <c r="P284" s="189"/>
      <c r="R284" s="53"/>
      <c r="S284" s="53"/>
      <c r="T284" s="53"/>
    </row>
    <row r="285" spans="1:20" hidden="1" x14ac:dyDescent="0.25">
      <c r="A285" s="346" t="s">
        <v>301</v>
      </c>
      <c r="B285" s="76" t="s">
        <v>302</v>
      </c>
      <c r="C285" s="279">
        <f t="shared" si="23"/>
        <v>0</v>
      </c>
      <c r="D285" s="134"/>
      <c r="E285" s="285"/>
      <c r="F285" s="286">
        <f t="shared" si="19"/>
        <v>0</v>
      </c>
      <c r="G285" s="134"/>
      <c r="H285" s="135"/>
      <c r="I285" s="136">
        <f t="shared" si="20"/>
        <v>0</v>
      </c>
      <c r="J285" s="134"/>
      <c r="K285" s="135"/>
      <c r="L285" s="136">
        <f t="shared" si="21"/>
        <v>0</v>
      </c>
      <c r="M285" s="284"/>
      <c r="N285" s="285"/>
      <c r="O285" s="136">
        <f t="shared" si="24"/>
        <v>0</v>
      </c>
      <c r="P285" s="85"/>
      <c r="R285" s="53"/>
      <c r="S285" s="53"/>
      <c r="T285" s="53"/>
    </row>
    <row r="286" spans="1:20" ht="24" hidden="1" x14ac:dyDescent="0.25">
      <c r="A286" s="346" t="s">
        <v>303</v>
      </c>
      <c r="B286" s="367" t="s">
        <v>304</v>
      </c>
      <c r="C286" s="117">
        <f t="shared" si="23"/>
        <v>0</v>
      </c>
      <c r="D286" s="123"/>
      <c r="E286" s="262"/>
      <c r="F286" s="263">
        <f t="shared" si="19"/>
        <v>0</v>
      </c>
      <c r="G286" s="123"/>
      <c r="H286" s="124"/>
      <c r="I286" s="125">
        <f t="shared" si="20"/>
        <v>0</v>
      </c>
      <c r="J286" s="123"/>
      <c r="K286" s="124"/>
      <c r="L286" s="125">
        <f t="shared" si="21"/>
        <v>0</v>
      </c>
      <c r="M286" s="264"/>
      <c r="N286" s="262"/>
      <c r="O286" s="125">
        <f t="shared" si="24"/>
        <v>0</v>
      </c>
      <c r="P286" s="74"/>
      <c r="R286" s="53"/>
      <c r="S286" s="53"/>
      <c r="T286" s="53"/>
    </row>
    <row r="287" spans="1:20" x14ac:dyDescent="0.25">
      <c r="A287" s="368"/>
      <c r="B287" s="369" t="s">
        <v>305</v>
      </c>
      <c r="C287" s="370">
        <f>SUM(C284,C271,C233,C198,C190,C176,C78,C56)</f>
        <v>925048</v>
      </c>
      <c r="D287" s="371">
        <f>SUM(D284,D271,D233,D198,D190,D176,D78,D56)</f>
        <v>422784</v>
      </c>
      <c r="E287" s="372">
        <f>SUM(E284,E271,E233,E198,E190,E176,E78,E56)</f>
        <v>0</v>
      </c>
      <c r="F287" s="373">
        <f t="shared" si="19"/>
        <v>422784</v>
      </c>
      <c r="G287" s="371">
        <f>SUM(G284,G271,G233,G198,G190,G176,G78,G56)</f>
        <v>488481</v>
      </c>
      <c r="H287" s="374">
        <f>SUM(H284,H271,H233,H198,H190,H176,H78,H56)</f>
        <v>0</v>
      </c>
      <c r="I287" s="375">
        <f t="shared" si="20"/>
        <v>488481</v>
      </c>
      <c r="J287" s="371">
        <f>SUM(J284,J271,J233,J198,J190,J176,J78,J56)</f>
        <v>13783</v>
      </c>
      <c r="K287" s="374">
        <f>SUM(K284,K271,K233,K198,K190,K176,K78,K56)</f>
        <v>0</v>
      </c>
      <c r="L287" s="375">
        <f t="shared" si="21"/>
        <v>13783</v>
      </c>
      <c r="M287" s="250">
        <f>SUM(M284,M271,M233,M198,M190,M176,M78,M56)</f>
        <v>0</v>
      </c>
      <c r="N287" s="251">
        <f>SUM(N284,N271,N233,N198,N190,N176,N78,N56)</f>
        <v>0</v>
      </c>
      <c r="O287" s="252">
        <f t="shared" si="24"/>
        <v>0</v>
      </c>
      <c r="P287" s="253"/>
      <c r="R287" s="53"/>
      <c r="S287" s="53"/>
      <c r="T287" s="53"/>
    </row>
    <row r="288" spans="1:20" x14ac:dyDescent="0.25">
      <c r="A288" s="376" t="s">
        <v>306</v>
      </c>
      <c r="B288" s="377"/>
      <c r="C288" s="378">
        <f>F288+I288+L288+O288</f>
        <v>-2705</v>
      </c>
      <c r="D288" s="379">
        <f>SUM(D28,D29,D45)-D54</f>
        <v>0</v>
      </c>
      <c r="E288" s="380">
        <f>SUM(E28,E29,E45)-E54</f>
        <v>0</v>
      </c>
      <c r="F288" s="381">
        <f t="shared" si="19"/>
        <v>0</v>
      </c>
      <c r="G288" s="379">
        <f>SUM(G28,G29,G45)-G54</f>
        <v>0</v>
      </c>
      <c r="H288" s="382">
        <f>SUM(H28,H29,H45)-H54</f>
        <v>0</v>
      </c>
      <c r="I288" s="383">
        <f t="shared" si="20"/>
        <v>0</v>
      </c>
      <c r="J288" s="379">
        <f>(J30+J46)-J54</f>
        <v>-2705</v>
      </c>
      <c r="K288" s="382">
        <f>(K30+K46)-K54</f>
        <v>0</v>
      </c>
      <c r="L288" s="383">
        <f t="shared" si="21"/>
        <v>-2705</v>
      </c>
      <c r="M288" s="378">
        <f>M48-M54</f>
        <v>0</v>
      </c>
      <c r="N288" s="384">
        <f>N48-N54</f>
        <v>0</v>
      </c>
      <c r="O288" s="383">
        <f t="shared" si="24"/>
        <v>0</v>
      </c>
      <c r="P288" s="385"/>
      <c r="R288" s="53"/>
      <c r="S288" s="53"/>
      <c r="T288" s="53"/>
    </row>
    <row r="289" spans="1:20" s="41" customFormat="1" x14ac:dyDescent="0.25">
      <c r="A289" s="376" t="s">
        <v>307</v>
      </c>
      <c r="B289" s="377"/>
      <c r="C289" s="380">
        <f>SUM(C290,C291)-C298+C299</f>
        <v>2705</v>
      </c>
      <c r="D289" s="379">
        <f>SUM(D290,D291)-D298+D299</f>
        <v>0</v>
      </c>
      <c r="E289" s="380">
        <f>SUM(E290,E291)-E298+E299</f>
        <v>0</v>
      </c>
      <c r="F289" s="381">
        <f t="shared" si="19"/>
        <v>0</v>
      </c>
      <c r="G289" s="379">
        <f>SUM(G290,G291)-G298+G299</f>
        <v>0</v>
      </c>
      <c r="H289" s="382">
        <f>SUM(H290,H291)-H298+H299</f>
        <v>0</v>
      </c>
      <c r="I289" s="383">
        <f t="shared" si="20"/>
        <v>0</v>
      </c>
      <c r="J289" s="379">
        <f>SUM(J290,J291)-J298+J299</f>
        <v>2705</v>
      </c>
      <c r="K289" s="382">
        <f>SUM(K290,K291)-K298+K299</f>
        <v>0</v>
      </c>
      <c r="L289" s="383">
        <f t="shared" si="21"/>
        <v>2705</v>
      </c>
      <c r="M289" s="378">
        <f>SUM(M290,M291)-M298+M299</f>
        <v>0</v>
      </c>
      <c r="N289" s="384">
        <f>SUM(N290,N291)-N298+N299</f>
        <v>0</v>
      </c>
      <c r="O289" s="383">
        <f t="shared" si="24"/>
        <v>0</v>
      </c>
      <c r="P289" s="385"/>
      <c r="R289" s="53"/>
      <c r="S289" s="53"/>
      <c r="T289" s="53"/>
    </row>
    <row r="290" spans="1:20" s="41" customFormat="1" x14ac:dyDescent="0.25">
      <c r="A290" s="386" t="s">
        <v>308</v>
      </c>
      <c r="B290" s="386" t="s">
        <v>309</v>
      </c>
      <c r="C290" s="380">
        <f>C25-C284</f>
        <v>2705</v>
      </c>
      <c r="D290" s="379">
        <f>D25-D284</f>
        <v>0</v>
      </c>
      <c r="E290" s="380">
        <f>E25-E284</f>
        <v>0</v>
      </c>
      <c r="F290" s="381">
        <f t="shared" si="19"/>
        <v>0</v>
      </c>
      <c r="G290" s="379">
        <f>G25-G284</f>
        <v>0</v>
      </c>
      <c r="H290" s="382">
        <f>H25-H284</f>
        <v>0</v>
      </c>
      <c r="I290" s="383">
        <f t="shared" si="20"/>
        <v>0</v>
      </c>
      <c r="J290" s="379">
        <f>J25-J284</f>
        <v>2705</v>
      </c>
      <c r="K290" s="382">
        <f>K25-K284</f>
        <v>0</v>
      </c>
      <c r="L290" s="383">
        <f t="shared" si="21"/>
        <v>2705</v>
      </c>
      <c r="M290" s="378">
        <f>M25-M284</f>
        <v>0</v>
      </c>
      <c r="N290" s="384">
        <f>N25-N284</f>
        <v>0</v>
      </c>
      <c r="O290" s="383">
        <f t="shared" si="24"/>
        <v>0</v>
      </c>
      <c r="P290" s="385"/>
      <c r="R290" s="53"/>
      <c r="S290" s="53"/>
      <c r="T290" s="53"/>
    </row>
    <row r="291" spans="1:20" s="41" customFormat="1" hidden="1" x14ac:dyDescent="0.25">
      <c r="A291" s="387" t="s">
        <v>310</v>
      </c>
      <c r="B291" s="387" t="s">
        <v>311</v>
      </c>
      <c r="C291" s="380">
        <f>SUM(C292,C294,C296)-SUM(C293,C295,C297)</f>
        <v>0</v>
      </c>
      <c r="D291" s="379">
        <f>SUM(D292,D294,D296)-SUM(D293,D295,D297)</f>
        <v>0</v>
      </c>
      <c r="E291" s="384">
        <f>SUM(E292,E294,E296)-SUM(E293,E295,E297)</f>
        <v>0</v>
      </c>
      <c r="F291" s="388">
        <f t="shared" si="19"/>
        <v>0</v>
      </c>
      <c r="G291" s="379">
        <f>SUM(G292,G294,G296)-SUM(G293,G295,G297)</f>
        <v>0</v>
      </c>
      <c r="H291" s="382">
        <f>SUM(H292,H294,H296)-SUM(H293,H295,H297)</f>
        <v>0</v>
      </c>
      <c r="I291" s="383">
        <f t="shared" si="20"/>
        <v>0</v>
      </c>
      <c r="J291" s="379">
        <f>SUM(J292,J294,J296)-SUM(J293,J295,J297)</f>
        <v>0</v>
      </c>
      <c r="K291" s="382">
        <f>SUM(K292,K294,K296)-SUM(K293,K295,K297)</f>
        <v>0</v>
      </c>
      <c r="L291" s="383">
        <f t="shared" si="21"/>
        <v>0</v>
      </c>
      <c r="M291" s="378">
        <f>SUM(M292,M294,M296)-SUM(M293,M295,M297)</f>
        <v>0</v>
      </c>
      <c r="N291" s="384">
        <f>SUM(N292,N294,N296)-SUM(N293,N295,N297)</f>
        <v>0</v>
      </c>
      <c r="O291" s="383">
        <f t="shared" si="24"/>
        <v>0</v>
      </c>
      <c r="P291" s="385"/>
      <c r="R291" s="53"/>
      <c r="S291" s="53"/>
      <c r="T291" s="53"/>
    </row>
    <row r="292" spans="1:20" s="41" customFormat="1" hidden="1" x14ac:dyDescent="0.25">
      <c r="A292" s="366" t="s">
        <v>312</v>
      </c>
      <c r="B292" s="190" t="s">
        <v>313</v>
      </c>
      <c r="C292" s="143">
        <f t="shared" ref="C292:C299" si="25">F292+I292+L292+O292</f>
        <v>0</v>
      </c>
      <c r="D292" s="149"/>
      <c r="E292" s="363"/>
      <c r="F292" s="364">
        <f t="shared" si="19"/>
        <v>0</v>
      </c>
      <c r="G292" s="149"/>
      <c r="H292" s="150"/>
      <c r="I292" s="151">
        <f t="shared" si="20"/>
        <v>0</v>
      </c>
      <c r="J292" s="149"/>
      <c r="K292" s="150"/>
      <c r="L292" s="151">
        <f t="shared" si="21"/>
        <v>0</v>
      </c>
      <c r="M292" s="365"/>
      <c r="N292" s="363"/>
      <c r="O292" s="151">
        <f t="shared" si="24"/>
        <v>0</v>
      </c>
      <c r="P292" s="153"/>
      <c r="R292" s="53"/>
      <c r="S292" s="53"/>
      <c r="T292" s="53"/>
    </row>
    <row r="293" spans="1:20" ht="24" hidden="1" x14ac:dyDescent="0.25">
      <c r="A293" s="346" t="s">
        <v>314</v>
      </c>
      <c r="B293" s="75" t="s">
        <v>315</v>
      </c>
      <c r="C293" s="128">
        <f t="shared" si="25"/>
        <v>0</v>
      </c>
      <c r="D293" s="134"/>
      <c r="E293" s="285"/>
      <c r="F293" s="286">
        <f t="shared" si="19"/>
        <v>0</v>
      </c>
      <c r="G293" s="134"/>
      <c r="H293" s="135"/>
      <c r="I293" s="136">
        <f t="shared" si="20"/>
        <v>0</v>
      </c>
      <c r="J293" s="134"/>
      <c r="K293" s="135"/>
      <c r="L293" s="136">
        <f t="shared" si="21"/>
        <v>0</v>
      </c>
      <c r="M293" s="284"/>
      <c r="N293" s="285"/>
      <c r="O293" s="136">
        <f t="shared" si="24"/>
        <v>0</v>
      </c>
      <c r="P293" s="85"/>
      <c r="R293" s="53"/>
      <c r="S293" s="53"/>
      <c r="T293" s="53"/>
    </row>
    <row r="294" spans="1:20" hidden="1" x14ac:dyDescent="0.25">
      <c r="A294" s="346" t="s">
        <v>316</v>
      </c>
      <c r="B294" s="75" t="s">
        <v>317</v>
      </c>
      <c r="C294" s="128">
        <f t="shared" si="25"/>
        <v>0</v>
      </c>
      <c r="D294" s="134"/>
      <c r="E294" s="285"/>
      <c r="F294" s="286">
        <f t="shared" si="19"/>
        <v>0</v>
      </c>
      <c r="G294" s="134"/>
      <c r="H294" s="135"/>
      <c r="I294" s="136">
        <f t="shared" si="20"/>
        <v>0</v>
      </c>
      <c r="J294" s="134"/>
      <c r="K294" s="135"/>
      <c r="L294" s="136">
        <f t="shared" si="21"/>
        <v>0</v>
      </c>
      <c r="M294" s="284"/>
      <c r="N294" s="285"/>
      <c r="O294" s="136">
        <f t="shared" si="24"/>
        <v>0</v>
      </c>
      <c r="P294" s="85"/>
      <c r="R294" s="53"/>
      <c r="S294" s="53"/>
      <c r="T294" s="53"/>
    </row>
    <row r="295" spans="1:20" ht="24" hidden="1" x14ac:dyDescent="0.25">
      <c r="A295" s="346" t="s">
        <v>318</v>
      </c>
      <c r="B295" s="75" t="s">
        <v>319</v>
      </c>
      <c r="C295" s="128">
        <f t="shared" si="25"/>
        <v>0</v>
      </c>
      <c r="D295" s="134"/>
      <c r="E295" s="285"/>
      <c r="F295" s="286">
        <f t="shared" si="19"/>
        <v>0</v>
      </c>
      <c r="G295" s="134"/>
      <c r="H295" s="135"/>
      <c r="I295" s="136">
        <f t="shared" si="20"/>
        <v>0</v>
      </c>
      <c r="J295" s="134"/>
      <c r="K295" s="135"/>
      <c r="L295" s="136">
        <f t="shared" si="21"/>
        <v>0</v>
      </c>
      <c r="M295" s="284"/>
      <c r="N295" s="285"/>
      <c r="O295" s="136">
        <f t="shared" si="24"/>
        <v>0</v>
      </c>
      <c r="P295" s="85"/>
      <c r="R295" s="53"/>
      <c r="S295" s="53"/>
      <c r="T295" s="53"/>
    </row>
    <row r="296" spans="1:20" hidden="1" x14ac:dyDescent="0.25">
      <c r="A296" s="346" t="s">
        <v>320</v>
      </c>
      <c r="B296" s="75" t="s">
        <v>321</v>
      </c>
      <c r="C296" s="128">
        <f t="shared" si="25"/>
        <v>0</v>
      </c>
      <c r="D296" s="134"/>
      <c r="E296" s="285"/>
      <c r="F296" s="286">
        <f t="shared" si="19"/>
        <v>0</v>
      </c>
      <c r="G296" s="134"/>
      <c r="H296" s="135"/>
      <c r="I296" s="136">
        <f t="shared" si="20"/>
        <v>0</v>
      </c>
      <c r="J296" s="134"/>
      <c r="K296" s="135"/>
      <c r="L296" s="136">
        <f t="shared" si="21"/>
        <v>0</v>
      </c>
      <c r="M296" s="284"/>
      <c r="N296" s="285"/>
      <c r="O296" s="136">
        <f t="shared" si="24"/>
        <v>0</v>
      </c>
      <c r="P296" s="85"/>
      <c r="R296" s="53"/>
      <c r="S296" s="53"/>
      <c r="T296" s="53"/>
    </row>
    <row r="297" spans="1:20" ht="24" hidden="1" x14ac:dyDescent="0.25">
      <c r="A297" s="389" t="s">
        <v>322</v>
      </c>
      <c r="B297" s="390" t="s">
        <v>323</v>
      </c>
      <c r="C297" s="327">
        <f t="shared" si="25"/>
        <v>0</v>
      </c>
      <c r="D297" s="328"/>
      <c r="E297" s="329"/>
      <c r="F297" s="330">
        <f t="shared" si="19"/>
        <v>0</v>
      </c>
      <c r="G297" s="328"/>
      <c r="H297" s="331"/>
      <c r="I297" s="324">
        <f t="shared" si="20"/>
        <v>0</v>
      </c>
      <c r="J297" s="328"/>
      <c r="K297" s="331"/>
      <c r="L297" s="324">
        <f t="shared" si="21"/>
        <v>0</v>
      </c>
      <c r="M297" s="332"/>
      <c r="N297" s="329"/>
      <c r="O297" s="324">
        <f t="shared" si="24"/>
        <v>0</v>
      </c>
      <c r="P297" s="325"/>
      <c r="R297" s="53"/>
      <c r="S297" s="53"/>
      <c r="T297" s="53"/>
    </row>
    <row r="298" spans="1:20" hidden="1" x14ac:dyDescent="0.25">
      <c r="A298" s="387" t="s">
        <v>324</v>
      </c>
      <c r="B298" s="387" t="s">
        <v>325</v>
      </c>
      <c r="C298" s="391">
        <f t="shared" si="25"/>
        <v>0</v>
      </c>
      <c r="D298" s="392"/>
      <c r="E298" s="393"/>
      <c r="F298" s="388">
        <f t="shared" si="19"/>
        <v>0</v>
      </c>
      <c r="G298" s="392"/>
      <c r="H298" s="394"/>
      <c r="I298" s="383">
        <f t="shared" si="20"/>
        <v>0</v>
      </c>
      <c r="J298" s="392"/>
      <c r="K298" s="394"/>
      <c r="L298" s="383">
        <f t="shared" si="21"/>
        <v>0</v>
      </c>
      <c r="M298" s="395"/>
      <c r="N298" s="393"/>
      <c r="O298" s="383">
        <f t="shared" si="24"/>
        <v>0</v>
      </c>
      <c r="P298" s="385"/>
      <c r="R298" s="53"/>
      <c r="S298" s="53"/>
      <c r="T298" s="53"/>
    </row>
    <row r="299" spans="1:20" s="41" customFormat="1" ht="48" hidden="1" x14ac:dyDescent="0.25">
      <c r="A299" s="387" t="s">
        <v>326</v>
      </c>
      <c r="B299" s="396" t="s">
        <v>327</v>
      </c>
      <c r="C299" s="397">
        <f t="shared" si="25"/>
        <v>0</v>
      </c>
      <c r="D299" s="398"/>
      <c r="E299" s="399"/>
      <c r="F299" s="400">
        <f t="shared" si="19"/>
        <v>0</v>
      </c>
      <c r="G299" s="392"/>
      <c r="H299" s="394"/>
      <c r="I299" s="383">
        <f t="shared" si="20"/>
        <v>0</v>
      </c>
      <c r="J299" s="392"/>
      <c r="K299" s="394"/>
      <c r="L299" s="383">
        <f t="shared" si="21"/>
        <v>0</v>
      </c>
      <c r="M299" s="395"/>
      <c r="N299" s="393"/>
      <c r="O299" s="383">
        <f t="shared" si="24"/>
        <v>0</v>
      </c>
      <c r="P299" s="385"/>
      <c r="R299" s="53"/>
      <c r="S299" s="53"/>
      <c r="T299" s="53"/>
    </row>
    <row r="300" spans="1:20"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20" ht="12.75" thickBot="1" x14ac:dyDescent="0.3">
      <c r="A301" s="404"/>
      <c r="B301" s="405"/>
      <c r="C301" s="405"/>
      <c r="D301" s="405"/>
      <c r="E301" s="405"/>
      <c r="F301" s="405"/>
      <c r="G301" s="405"/>
      <c r="H301" s="405"/>
      <c r="I301" s="405"/>
      <c r="J301" s="405"/>
      <c r="K301" s="405"/>
      <c r="L301" s="405"/>
      <c r="M301" s="405"/>
      <c r="N301" s="405"/>
      <c r="O301" s="405"/>
      <c r="P301" s="406"/>
      <c r="Q301" s="7"/>
    </row>
    <row r="302" spans="1:20" x14ac:dyDescent="0.25">
      <c r="A302" s="5"/>
      <c r="B302" s="5"/>
      <c r="C302" s="5"/>
      <c r="D302" s="5"/>
      <c r="E302" s="5"/>
      <c r="F302" s="5"/>
      <c r="G302" s="5"/>
      <c r="H302" s="5"/>
      <c r="I302" s="5"/>
      <c r="J302" s="5"/>
      <c r="K302" s="5"/>
      <c r="L302" s="5"/>
      <c r="M302" s="5"/>
      <c r="N302" s="5"/>
      <c r="O302" s="5"/>
    </row>
    <row r="303" spans="1:20" x14ac:dyDescent="0.25">
      <c r="A303" s="5"/>
      <c r="B303" s="5"/>
      <c r="C303" s="5"/>
      <c r="D303" s="5"/>
      <c r="E303" s="5"/>
      <c r="F303" s="5"/>
      <c r="G303" s="5"/>
      <c r="H303" s="5"/>
      <c r="I303" s="5"/>
      <c r="J303" s="5"/>
      <c r="K303" s="5"/>
      <c r="L303" s="5"/>
      <c r="M303" s="5"/>
      <c r="N303" s="5"/>
      <c r="O303" s="5"/>
    </row>
    <row r="304" spans="1:20"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0SCZldGAVKsIyiYBgFNfHJtJ+y6KKF3myaLMi7LgAAYwhZRs65Qj/4SRmh2aZLGph4PSqX3oF7j53tggME4PYA==" saltValue="riT9jEbi6V33byCfFwzw5w==" spinCount="100000" sheet="1" objects="1" scenarios="1" formatCells="0" formatColumns="0" formatRows="0"/>
  <autoFilter ref="A22:P300">
    <filterColumn colId="2">
      <filters blank="1">
        <filter val="1 298"/>
        <filter val="1 351"/>
        <filter val="1 352"/>
        <filter val="1 390"/>
        <filter val="1 432"/>
        <filter val="1 547"/>
        <filter val="1 725"/>
        <filter val="1 821"/>
        <filter val="1 923"/>
        <filter val="100"/>
        <filter val="103 439"/>
        <filter val="11 078"/>
        <filter val="11 630"/>
        <filter val="13 434"/>
        <filter val="136 935"/>
        <filter val="139 589"/>
        <filter val="14 300"/>
        <filter val="179 594"/>
        <filter val="2 295"/>
        <filter val="2 462"/>
        <filter val="2 488"/>
        <filter val="2 509"/>
        <filter val="2 705"/>
        <filter val="-2 705"/>
        <filter val="2 838"/>
        <filter val="214"/>
        <filter val="24 280"/>
        <filter val="24 997"/>
        <filter val="242"/>
        <filter val="26 345"/>
        <filter val="26 512"/>
        <filter val="26 563"/>
        <filter val="3 187"/>
        <filter val="3 485"/>
        <filter val="3 749"/>
        <filter val="31 675"/>
        <filter val="34 831"/>
        <filter val="37 126"/>
        <filter val="4 028"/>
        <filter val="4 290"/>
        <filter val="40 005"/>
        <filter val="42"/>
        <filter val="427"/>
        <filter val="440"/>
        <filter val="47"/>
        <filter val="494"/>
        <filter val="5 032"/>
        <filter val="5 850"/>
        <filter val="507 729"/>
        <filter val="53 350"/>
        <filter val="540"/>
        <filter val="571 393"/>
        <filter val="6 061"/>
        <filter val="61 939"/>
        <filter val="7 050"/>
        <filter val="708"/>
        <filter val="750 987"/>
        <filter val="804"/>
        <filter val="842"/>
        <filter val="86 567"/>
        <filter val="870"/>
        <filter val="887 922"/>
        <filter val="9 200"/>
        <filter val="9 820"/>
        <filter val="910"/>
        <filter val="911 265"/>
        <filter val="917"/>
        <filter val="922"/>
        <filter val="925 048"/>
        <filter val="951"/>
      </filters>
    </filterColumn>
  </autoFilter>
  <mergeCells count="3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 ref="C16:P16"/>
    <mergeCell ref="A3:P3"/>
    <mergeCell ref="A4:P4"/>
    <mergeCell ref="C6:P6"/>
    <mergeCell ref="C7:P7"/>
    <mergeCell ref="C8:P8"/>
    <mergeCell ref="C9:P9"/>
    <mergeCell ref="C10:P10"/>
    <mergeCell ref="C11:P11"/>
    <mergeCell ref="C13:P13"/>
    <mergeCell ref="C14:P14"/>
    <mergeCell ref="C15:P15"/>
    <mergeCell ref="A19:A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88.pielikums Jūrmalas pilsētas domes
2017.gada 30.janvāra saistošajiem noteikumiem Nr.10
(Protokols Nr.4, 1.punkts)
 </firstHeader>
    <firstFooter>&amp;L&amp;9&amp;D; &amp;T&amp;R&amp;9&amp;P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1"/>
  <sheetViews>
    <sheetView view="pageLayout" zoomScaleNormal="100" workbookViewId="0">
      <selection activeCell="S13" sqref="S13"/>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1092</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7"/>
    </row>
    <row r="4" spans="1:17" ht="15.75"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330</v>
      </c>
      <c r="D6" s="1555"/>
      <c r="E6" s="1555"/>
      <c r="F6" s="1555"/>
      <c r="G6" s="1555"/>
      <c r="H6" s="1555"/>
      <c r="I6" s="1555"/>
      <c r="J6" s="1555"/>
      <c r="K6" s="1555"/>
      <c r="L6" s="1555"/>
      <c r="M6" s="1555"/>
      <c r="N6" s="1555"/>
      <c r="O6" s="1555"/>
      <c r="P6" s="1556"/>
      <c r="Q6" s="7"/>
    </row>
    <row r="7" spans="1:17" ht="12.75" x14ac:dyDescent="0.25">
      <c r="A7" s="13" t="s">
        <v>4</v>
      </c>
      <c r="B7" s="14"/>
      <c r="C7" s="1555" t="s">
        <v>331</v>
      </c>
      <c r="D7" s="1555"/>
      <c r="E7" s="1555"/>
      <c r="F7" s="1555"/>
      <c r="G7" s="1555"/>
      <c r="H7" s="1555"/>
      <c r="I7" s="1555"/>
      <c r="J7" s="1555"/>
      <c r="K7" s="1555"/>
      <c r="L7" s="1555"/>
      <c r="M7" s="1555"/>
      <c r="N7" s="1555"/>
      <c r="O7" s="1555"/>
      <c r="P7" s="1556"/>
      <c r="Q7" s="7"/>
    </row>
    <row r="8" spans="1:17" x14ac:dyDescent="0.25">
      <c r="A8" s="8" t="s">
        <v>6</v>
      </c>
      <c r="B8" s="9"/>
      <c r="C8" s="1553" t="s">
        <v>332</v>
      </c>
      <c r="D8" s="1553"/>
      <c r="E8" s="1553"/>
      <c r="F8" s="1553"/>
      <c r="G8" s="1553"/>
      <c r="H8" s="1553"/>
      <c r="I8" s="1553"/>
      <c r="J8" s="1553"/>
      <c r="K8" s="1553"/>
      <c r="L8" s="1553"/>
      <c r="M8" s="1553"/>
      <c r="N8" s="1553"/>
      <c r="O8" s="1553"/>
      <c r="P8" s="1554"/>
      <c r="Q8" s="7"/>
    </row>
    <row r="9" spans="1:17" x14ac:dyDescent="0.25">
      <c r="A9" s="8" t="s">
        <v>8</v>
      </c>
      <c r="B9" s="9"/>
      <c r="C9" s="1553" t="s">
        <v>333</v>
      </c>
      <c r="D9" s="1553"/>
      <c r="E9" s="1553"/>
      <c r="F9" s="1553"/>
      <c r="G9" s="1553"/>
      <c r="H9" s="1553"/>
      <c r="I9" s="1553"/>
      <c r="J9" s="1553"/>
      <c r="K9" s="1553"/>
      <c r="L9" s="1553"/>
      <c r="M9" s="1553"/>
      <c r="N9" s="1553"/>
      <c r="O9" s="1553"/>
      <c r="P9" s="1554"/>
      <c r="Q9" s="7"/>
    </row>
    <row r="10" spans="1:17" ht="24" customHeight="1" x14ac:dyDescent="0.25">
      <c r="A10" s="8" t="s">
        <v>10</v>
      </c>
      <c r="B10" s="9"/>
      <c r="C10" s="1555" t="s">
        <v>334</v>
      </c>
      <c r="D10" s="1555"/>
      <c r="E10" s="1555"/>
      <c r="F10" s="1555"/>
      <c r="G10" s="1555"/>
      <c r="H10" s="1555"/>
      <c r="I10" s="1555"/>
      <c r="J10" s="1555"/>
      <c r="K10" s="1555"/>
      <c r="L10" s="1555"/>
      <c r="M10" s="1555"/>
      <c r="N10" s="1555"/>
      <c r="O10" s="1555"/>
      <c r="P10" s="1556"/>
      <c r="Q10" s="7"/>
    </row>
    <row r="11" spans="1:17" x14ac:dyDescent="0.25">
      <c r="A11" s="8" t="s">
        <v>12</v>
      </c>
      <c r="B11" s="9"/>
      <c r="C11" s="1555" t="s">
        <v>335</v>
      </c>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336</v>
      </c>
      <c r="D13" s="1553"/>
      <c r="E13" s="1553"/>
      <c r="F13" s="1553"/>
      <c r="G13" s="1553"/>
      <c r="H13" s="1553"/>
      <c r="I13" s="1553"/>
      <c r="J13" s="1553"/>
      <c r="K13" s="1553"/>
      <c r="L13" s="1553"/>
      <c r="M13" s="1553"/>
      <c r="N13" s="1553"/>
      <c r="O13" s="1553"/>
      <c r="P13" s="1554"/>
      <c r="Q13" s="7"/>
    </row>
    <row r="14" spans="1:17" x14ac:dyDescent="0.25">
      <c r="A14" s="8"/>
      <c r="B14" s="9" t="s">
        <v>17</v>
      </c>
      <c r="C14" s="1553" t="s">
        <v>337</v>
      </c>
      <c r="D14" s="1553"/>
      <c r="E14" s="1553"/>
      <c r="F14" s="1553"/>
      <c r="G14" s="1553"/>
      <c r="H14" s="1553"/>
      <c r="I14" s="1553"/>
      <c r="J14" s="1553"/>
      <c r="K14" s="1553"/>
      <c r="L14" s="1553"/>
      <c r="M14" s="1553"/>
      <c r="N14" s="1553"/>
      <c r="O14" s="1553"/>
      <c r="P14" s="1554"/>
      <c r="Q14" s="7"/>
    </row>
    <row r="15" spans="1:17" x14ac:dyDescent="0.25">
      <c r="A15" s="8"/>
      <c r="B15" s="9" t="s">
        <v>19</v>
      </c>
      <c r="C15" s="1553"/>
      <c r="D15" s="1553"/>
      <c r="E15" s="1553"/>
      <c r="F15" s="1553"/>
      <c r="G15" s="1553"/>
      <c r="H15" s="1553"/>
      <c r="I15" s="1553"/>
      <c r="J15" s="1553"/>
      <c r="K15" s="1553"/>
      <c r="L15" s="1553"/>
      <c r="M15" s="1553"/>
      <c r="N15" s="1553"/>
      <c r="O15" s="1553"/>
      <c r="P15" s="1554"/>
      <c r="Q15" s="7"/>
    </row>
    <row r="16" spans="1:17" x14ac:dyDescent="0.25">
      <c r="A16" s="8"/>
      <c r="B16" s="9" t="s">
        <v>20</v>
      </c>
      <c r="C16" s="1553" t="s">
        <v>338</v>
      </c>
      <c r="D16" s="1553"/>
      <c r="E16" s="1553"/>
      <c r="F16" s="1553"/>
      <c r="G16" s="1553"/>
      <c r="H16" s="1553"/>
      <c r="I16" s="1553"/>
      <c r="J16" s="1553"/>
      <c r="K16" s="1553"/>
      <c r="L16" s="1553"/>
      <c r="M16" s="1553"/>
      <c r="N16" s="1553"/>
      <c r="O16" s="1553"/>
      <c r="P16" s="1554"/>
      <c r="Q16" s="7"/>
    </row>
    <row r="17" spans="1:20" x14ac:dyDescent="0.25">
      <c r="A17" s="8"/>
      <c r="B17" s="9" t="s">
        <v>22</v>
      </c>
      <c r="C17" s="1553" t="s">
        <v>339</v>
      </c>
      <c r="D17" s="1553"/>
      <c r="E17" s="1553"/>
      <c r="F17" s="1553"/>
      <c r="G17" s="1553"/>
      <c r="H17" s="1553"/>
      <c r="I17" s="1553"/>
      <c r="J17" s="1553"/>
      <c r="K17" s="1553"/>
      <c r="L17" s="1553"/>
      <c r="M17" s="1553"/>
      <c r="N17" s="1553"/>
      <c r="O17" s="1553"/>
      <c r="P17" s="1554"/>
      <c r="Q17" s="7"/>
    </row>
    <row r="18" spans="1:20" x14ac:dyDescent="0.25">
      <c r="A18" s="18"/>
      <c r="B18" s="19"/>
      <c r="C18" s="1569"/>
      <c r="D18" s="1569"/>
      <c r="E18" s="1569"/>
      <c r="F18" s="1569"/>
      <c r="G18" s="1569"/>
      <c r="H18" s="1569"/>
      <c r="I18" s="1569"/>
      <c r="J18" s="1569"/>
      <c r="K18" s="1569"/>
      <c r="L18" s="1569"/>
      <c r="M18" s="1569"/>
      <c r="N18" s="1569"/>
      <c r="O18" s="1569"/>
      <c r="P18" s="1570"/>
      <c r="Q18" s="7"/>
    </row>
    <row r="19" spans="1:20"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0"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20" s="21" customFormat="1" ht="55.5" customHeight="1" thickBot="1" x14ac:dyDescent="0.3">
      <c r="A21" s="1573"/>
      <c r="B21" s="1576"/>
      <c r="C21" s="1581"/>
      <c r="D21" s="1566"/>
      <c r="E21" s="1568"/>
      <c r="F21" s="1564"/>
      <c r="G21" s="1566"/>
      <c r="H21" s="1568"/>
      <c r="I21" s="1564"/>
      <c r="J21" s="1566"/>
      <c r="K21" s="1568"/>
      <c r="L21" s="1564"/>
      <c r="M21" s="1566"/>
      <c r="N21" s="1568"/>
      <c r="O21" s="1564"/>
      <c r="P21" s="1576"/>
    </row>
    <row r="22" spans="1:20"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0" s="41" customFormat="1" x14ac:dyDescent="0.25">
      <c r="A23" s="30"/>
      <c r="B23" s="31" t="s">
        <v>41</v>
      </c>
      <c r="C23" s="32"/>
      <c r="D23" s="33"/>
      <c r="E23" s="34"/>
      <c r="F23" s="35"/>
      <c r="G23" s="33"/>
      <c r="H23" s="36"/>
      <c r="I23" s="37"/>
      <c r="J23" s="33"/>
      <c r="K23" s="38"/>
      <c r="L23" s="37"/>
      <c r="M23" s="38"/>
      <c r="N23" s="39"/>
      <c r="O23" s="37"/>
      <c r="P23" s="40"/>
    </row>
    <row r="24" spans="1:20" s="41" customFormat="1" ht="12.75" thickBot="1" x14ac:dyDescent="0.3">
      <c r="A24" s="42"/>
      <c r="B24" s="43" t="s">
        <v>42</v>
      </c>
      <c r="C24" s="44">
        <f>F24+I24+L24+O24</f>
        <v>925048</v>
      </c>
      <c r="D24" s="45">
        <f>SUM(D25,D28,D29,D45,D46)</f>
        <v>422784</v>
      </c>
      <c r="E24" s="46">
        <f>SUM(E25,E28,E29,E45,E46)</f>
        <v>0</v>
      </c>
      <c r="F24" s="47">
        <f t="shared" ref="F24:F29" si="0">D24+E24</f>
        <v>422784</v>
      </c>
      <c r="G24" s="45">
        <f>SUM(G25,G28,G46)</f>
        <v>488481</v>
      </c>
      <c r="H24" s="48">
        <f>SUM(H25,H28,H46)</f>
        <v>0</v>
      </c>
      <c r="I24" s="49">
        <f>G24+H24</f>
        <v>488481</v>
      </c>
      <c r="J24" s="45">
        <f>SUM(J25,J30,J46)</f>
        <v>13783</v>
      </c>
      <c r="K24" s="48">
        <f>SUM(K25,K30,K46)</f>
        <v>0</v>
      </c>
      <c r="L24" s="49">
        <f>J24+K24</f>
        <v>13783</v>
      </c>
      <c r="M24" s="50">
        <f>SUM(M25,M48)</f>
        <v>0</v>
      </c>
      <c r="N24" s="51">
        <f>SUM(N25,N48)</f>
        <v>0</v>
      </c>
      <c r="O24" s="49">
        <f>M24+N24</f>
        <v>0</v>
      </c>
      <c r="P24" s="52"/>
      <c r="R24" s="53"/>
      <c r="S24" s="53"/>
      <c r="T24" s="53"/>
    </row>
    <row r="25" spans="1:20" ht="12.75" thickTop="1" x14ac:dyDescent="0.25">
      <c r="A25" s="54"/>
      <c r="B25" s="55" t="s">
        <v>43</v>
      </c>
      <c r="C25" s="56">
        <f>F25+I25+L25+O25</f>
        <v>2705</v>
      </c>
      <c r="D25" s="57">
        <f>SUM(D26:D27)</f>
        <v>0</v>
      </c>
      <c r="E25" s="58">
        <f>SUM(E26:E27)</f>
        <v>0</v>
      </c>
      <c r="F25" s="59">
        <f t="shared" si="0"/>
        <v>0</v>
      </c>
      <c r="G25" s="57">
        <f>SUM(G26:G27)</f>
        <v>0</v>
      </c>
      <c r="H25" s="60">
        <f>SUM(H26:H27)</f>
        <v>0</v>
      </c>
      <c r="I25" s="61">
        <f>G25+H25</f>
        <v>0</v>
      </c>
      <c r="J25" s="57">
        <f>SUM(J26:J27)</f>
        <v>2705</v>
      </c>
      <c r="K25" s="60">
        <f>SUM(K26:K27)</f>
        <v>0</v>
      </c>
      <c r="L25" s="61">
        <f>J25+K25</f>
        <v>2705</v>
      </c>
      <c r="M25" s="62">
        <f>SUM(M26:M27)</f>
        <v>0</v>
      </c>
      <c r="N25" s="63">
        <f>SUM(N26:N27)</f>
        <v>0</v>
      </c>
      <c r="O25" s="61">
        <f>M25+N25</f>
        <v>0</v>
      </c>
      <c r="P25" s="64"/>
      <c r="R25" s="53"/>
      <c r="S25" s="53"/>
      <c r="T25" s="53"/>
    </row>
    <row r="26" spans="1:20" hidden="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c r="R26" s="53"/>
      <c r="S26" s="53"/>
      <c r="T26" s="53"/>
    </row>
    <row r="27" spans="1:20" x14ac:dyDescent="0.25">
      <c r="A27" s="75"/>
      <c r="B27" s="76" t="s">
        <v>45</v>
      </c>
      <c r="C27" s="77">
        <f>F27+I27+L27+O27</f>
        <v>2705</v>
      </c>
      <c r="D27" s="78"/>
      <c r="E27" s="79"/>
      <c r="F27" s="80">
        <f t="shared" si="0"/>
        <v>0</v>
      </c>
      <c r="G27" s="78"/>
      <c r="H27" s="81"/>
      <c r="I27" s="82">
        <f>G27+H27</f>
        <v>0</v>
      </c>
      <c r="J27" s="78">
        <v>2705</v>
      </c>
      <c r="K27" s="81"/>
      <c r="L27" s="82">
        <f>J27+K27</f>
        <v>2705</v>
      </c>
      <c r="M27" s="83"/>
      <c r="N27" s="84"/>
      <c r="O27" s="82">
        <f>M27+N27</f>
        <v>0</v>
      </c>
      <c r="P27" s="85"/>
      <c r="R27" s="53"/>
      <c r="S27" s="53"/>
      <c r="T27" s="53"/>
    </row>
    <row r="28" spans="1:20" s="41" customFormat="1" ht="24.75" thickBot="1" x14ac:dyDescent="0.3">
      <c r="A28" s="86">
        <v>19300</v>
      </c>
      <c r="B28" s="86" t="s">
        <v>46</v>
      </c>
      <c r="C28" s="87">
        <f>SUM(F28,I28)</f>
        <v>911265</v>
      </c>
      <c r="D28" s="88">
        <f>430726-7942</f>
        <v>422784</v>
      </c>
      <c r="E28" s="89"/>
      <c r="F28" s="90">
        <f t="shared" si="0"/>
        <v>422784</v>
      </c>
      <c r="G28" s="88">
        <f>466569+21912</f>
        <v>488481</v>
      </c>
      <c r="H28" s="91"/>
      <c r="I28" s="92">
        <f>G28+H28</f>
        <v>488481</v>
      </c>
      <c r="J28" s="93" t="s">
        <v>47</v>
      </c>
      <c r="K28" s="94" t="s">
        <v>47</v>
      </c>
      <c r="L28" s="95" t="s">
        <v>47</v>
      </c>
      <c r="M28" s="96" t="s">
        <v>47</v>
      </c>
      <c r="N28" s="97" t="s">
        <v>47</v>
      </c>
      <c r="O28" s="95" t="s">
        <v>47</v>
      </c>
      <c r="P28" s="98"/>
      <c r="R28" s="53"/>
      <c r="S28" s="53"/>
      <c r="T28" s="53"/>
    </row>
    <row r="29" spans="1:20" s="41" customFormat="1" ht="24.75" hidden="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c r="R29" s="53"/>
      <c r="S29" s="53"/>
      <c r="T29" s="53"/>
    </row>
    <row r="30" spans="1:20" s="41" customFormat="1" ht="28.5" customHeight="1" thickTop="1" x14ac:dyDescent="0.25">
      <c r="A30" s="99">
        <v>21300</v>
      </c>
      <c r="B30" s="99" t="s">
        <v>49</v>
      </c>
      <c r="C30" s="100">
        <f t="shared" ref="C30:C44" si="1">L30</f>
        <v>11078</v>
      </c>
      <c r="D30" s="104" t="s">
        <v>47</v>
      </c>
      <c r="E30" s="110" t="s">
        <v>47</v>
      </c>
      <c r="F30" s="111" t="s">
        <v>47</v>
      </c>
      <c r="G30" s="104" t="s">
        <v>47</v>
      </c>
      <c r="H30" s="105" t="s">
        <v>47</v>
      </c>
      <c r="I30" s="106" t="s">
        <v>47</v>
      </c>
      <c r="J30" s="112">
        <f>SUM(J31,J35,J37,J40)</f>
        <v>11078</v>
      </c>
      <c r="K30" s="113">
        <f>SUM(K31,K35,K37,K40)</f>
        <v>0</v>
      </c>
      <c r="L30" s="114">
        <f t="shared" ref="L30:L44" si="2">J30+K30</f>
        <v>11078</v>
      </c>
      <c r="M30" s="107" t="s">
        <v>47</v>
      </c>
      <c r="N30" s="108" t="s">
        <v>47</v>
      </c>
      <c r="O30" s="106" t="s">
        <v>47</v>
      </c>
      <c r="P30" s="109"/>
      <c r="R30" s="53"/>
      <c r="S30" s="53"/>
      <c r="T30" s="53"/>
    </row>
    <row r="31" spans="1:20" s="41" customFormat="1" ht="24" hidden="1" x14ac:dyDescent="0.25">
      <c r="A31" s="115">
        <v>21350</v>
      </c>
      <c r="B31" s="99" t="s">
        <v>50</v>
      </c>
      <c r="C31" s="100">
        <f t="shared" si="1"/>
        <v>0</v>
      </c>
      <c r="D31" s="104" t="s">
        <v>47</v>
      </c>
      <c r="E31" s="108" t="s">
        <v>47</v>
      </c>
      <c r="F31" s="140" t="s">
        <v>47</v>
      </c>
      <c r="G31" s="104" t="s">
        <v>47</v>
      </c>
      <c r="H31" s="105" t="s">
        <v>47</v>
      </c>
      <c r="I31" s="106" t="s">
        <v>47</v>
      </c>
      <c r="J31" s="112">
        <f>SUM(J32:J34)</f>
        <v>0</v>
      </c>
      <c r="K31" s="113">
        <f>SUM(K32:K34)</f>
        <v>0</v>
      </c>
      <c r="L31" s="114">
        <f t="shared" si="2"/>
        <v>0</v>
      </c>
      <c r="M31" s="107" t="s">
        <v>47</v>
      </c>
      <c r="N31" s="108" t="s">
        <v>47</v>
      </c>
      <c r="O31" s="106" t="s">
        <v>47</v>
      </c>
      <c r="P31" s="109"/>
      <c r="R31" s="53"/>
      <c r="S31" s="53"/>
      <c r="T31" s="53"/>
    </row>
    <row r="32" spans="1:20" hidden="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c r="R32" s="53"/>
      <c r="S32" s="53"/>
      <c r="T32" s="53"/>
    </row>
    <row r="33" spans="1:20" hidden="1" x14ac:dyDescent="0.25">
      <c r="A33" s="75">
        <v>21352</v>
      </c>
      <c r="B33" s="127" t="s">
        <v>52</v>
      </c>
      <c r="C33" s="128">
        <f t="shared" si="1"/>
        <v>0</v>
      </c>
      <c r="D33" s="129" t="s">
        <v>47</v>
      </c>
      <c r="E33" s="138" t="s">
        <v>47</v>
      </c>
      <c r="F33" s="139" t="s">
        <v>47</v>
      </c>
      <c r="G33" s="129" t="s">
        <v>47</v>
      </c>
      <c r="H33" s="132" t="s">
        <v>47</v>
      </c>
      <c r="I33" s="133" t="s">
        <v>47</v>
      </c>
      <c r="J33" s="134"/>
      <c r="K33" s="135"/>
      <c r="L33" s="136">
        <f t="shared" si="2"/>
        <v>0</v>
      </c>
      <c r="M33" s="137" t="s">
        <v>47</v>
      </c>
      <c r="N33" s="138" t="s">
        <v>47</v>
      </c>
      <c r="O33" s="133" t="s">
        <v>47</v>
      </c>
      <c r="P33" s="85"/>
      <c r="R33" s="53"/>
      <c r="S33" s="53"/>
      <c r="T33" s="53"/>
    </row>
    <row r="34" spans="1:20" ht="24" hidden="1" x14ac:dyDescent="0.25">
      <c r="A34" s="75">
        <v>21359</v>
      </c>
      <c r="B34" s="127" t="s">
        <v>53</v>
      </c>
      <c r="C34" s="128">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c r="R34" s="53"/>
      <c r="S34" s="53"/>
      <c r="T34" s="53"/>
    </row>
    <row r="35" spans="1:20" s="41" customFormat="1" ht="36" hidden="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c r="R35" s="53"/>
      <c r="S35" s="53"/>
      <c r="T35" s="53"/>
    </row>
    <row r="36" spans="1:20" ht="36" hidden="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c r="R36" s="53"/>
      <c r="S36" s="53"/>
      <c r="T36" s="53"/>
    </row>
    <row r="37" spans="1:20" s="41" customFormat="1" x14ac:dyDescent="0.25">
      <c r="A37" s="115">
        <v>21380</v>
      </c>
      <c r="B37" s="99" t="s">
        <v>56</v>
      </c>
      <c r="C37" s="100">
        <f t="shared" si="1"/>
        <v>7050</v>
      </c>
      <c r="D37" s="104" t="s">
        <v>47</v>
      </c>
      <c r="E37" s="110" t="s">
        <v>47</v>
      </c>
      <c r="F37" s="111" t="s">
        <v>47</v>
      </c>
      <c r="G37" s="104" t="s">
        <v>47</v>
      </c>
      <c r="H37" s="105" t="s">
        <v>47</v>
      </c>
      <c r="I37" s="106" t="s">
        <v>47</v>
      </c>
      <c r="J37" s="112">
        <f>SUM(J38:J39)</f>
        <v>7050</v>
      </c>
      <c r="K37" s="113">
        <f>SUM(K38:K39)</f>
        <v>0</v>
      </c>
      <c r="L37" s="114">
        <f t="shared" si="2"/>
        <v>7050</v>
      </c>
      <c r="M37" s="107" t="s">
        <v>47</v>
      </c>
      <c r="N37" s="108" t="s">
        <v>47</v>
      </c>
      <c r="O37" s="106" t="s">
        <v>47</v>
      </c>
      <c r="P37" s="109"/>
      <c r="R37" s="53"/>
      <c r="S37" s="53"/>
      <c r="T37" s="53"/>
    </row>
    <row r="38" spans="1:20" x14ac:dyDescent="0.25">
      <c r="A38" s="66">
        <v>21381</v>
      </c>
      <c r="B38" s="116" t="s">
        <v>57</v>
      </c>
      <c r="C38" s="117">
        <f t="shared" si="1"/>
        <v>7050</v>
      </c>
      <c r="D38" s="118" t="s">
        <v>47</v>
      </c>
      <c r="E38" s="154" t="s">
        <v>47</v>
      </c>
      <c r="F38" s="155" t="s">
        <v>47</v>
      </c>
      <c r="G38" s="118" t="s">
        <v>47</v>
      </c>
      <c r="H38" s="121" t="s">
        <v>47</v>
      </c>
      <c r="I38" s="122" t="s">
        <v>47</v>
      </c>
      <c r="J38" s="123">
        <v>7050</v>
      </c>
      <c r="K38" s="124"/>
      <c r="L38" s="125">
        <f t="shared" si="2"/>
        <v>7050</v>
      </c>
      <c r="M38" s="126" t="s">
        <v>47</v>
      </c>
      <c r="N38" s="119" t="s">
        <v>47</v>
      </c>
      <c r="O38" s="122" t="s">
        <v>47</v>
      </c>
      <c r="P38" s="74"/>
      <c r="R38" s="53"/>
      <c r="S38" s="53"/>
      <c r="T38" s="53"/>
    </row>
    <row r="39" spans="1:20" ht="24" hidden="1" x14ac:dyDescent="0.25">
      <c r="A39" s="76">
        <v>21383</v>
      </c>
      <c r="B39" s="127" t="s">
        <v>58</v>
      </c>
      <c r="C39" s="128">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c r="R39" s="53"/>
      <c r="S39" s="53"/>
      <c r="T39" s="53"/>
    </row>
    <row r="40" spans="1:20" s="41" customFormat="1" ht="24" x14ac:dyDescent="0.25">
      <c r="A40" s="115">
        <v>21390</v>
      </c>
      <c r="B40" s="99" t="s">
        <v>59</v>
      </c>
      <c r="C40" s="100">
        <f t="shared" si="1"/>
        <v>4028</v>
      </c>
      <c r="D40" s="104" t="s">
        <v>47</v>
      </c>
      <c r="E40" s="110" t="s">
        <v>47</v>
      </c>
      <c r="F40" s="111" t="s">
        <v>47</v>
      </c>
      <c r="G40" s="104" t="s">
        <v>47</v>
      </c>
      <c r="H40" s="105" t="s">
        <v>47</v>
      </c>
      <c r="I40" s="106" t="s">
        <v>47</v>
      </c>
      <c r="J40" s="112">
        <f>SUM(J41:J44)</f>
        <v>4028</v>
      </c>
      <c r="K40" s="113">
        <f>SUM(K41:K44)</f>
        <v>0</v>
      </c>
      <c r="L40" s="114">
        <f t="shared" si="2"/>
        <v>4028</v>
      </c>
      <c r="M40" s="107" t="s">
        <v>47</v>
      </c>
      <c r="N40" s="108" t="s">
        <v>47</v>
      </c>
      <c r="O40" s="106" t="s">
        <v>47</v>
      </c>
      <c r="P40" s="109"/>
      <c r="R40" s="53"/>
      <c r="S40" s="53"/>
      <c r="T40" s="53"/>
    </row>
    <row r="41" spans="1:20" ht="24" hidden="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c r="R41" s="53"/>
      <c r="S41" s="53"/>
      <c r="T41" s="53"/>
    </row>
    <row r="42" spans="1:20" hidden="1" x14ac:dyDescent="0.25">
      <c r="A42" s="76">
        <v>21393</v>
      </c>
      <c r="B42" s="127" t="s">
        <v>61</v>
      </c>
      <c r="C42" s="128">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c r="R42" s="53"/>
      <c r="S42" s="53"/>
      <c r="T42" s="53"/>
    </row>
    <row r="43" spans="1:20" hidden="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c r="R43" s="53"/>
      <c r="S43" s="53"/>
      <c r="T43" s="53"/>
    </row>
    <row r="44" spans="1:20" ht="24" x14ac:dyDescent="0.25">
      <c r="A44" s="76">
        <v>21399</v>
      </c>
      <c r="B44" s="127" t="s">
        <v>63</v>
      </c>
      <c r="C44" s="128">
        <f t="shared" si="1"/>
        <v>4028</v>
      </c>
      <c r="D44" s="129" t="s">
        <v>47</v>
      </c>
      <c r="E44" s="130" t="s">
        <v>47</v>
      </c>
      <c r="F44" s="131" t="s">
        <v>47</v>
      </c>
      <c r="G44" s="129" t="s">
        <v>47</v>
      </c>
      <c r="H44" s="132" t="s">
        <v>47</v>
      </c>
      <c r="I44" s="133" t="s">
        <v>47</v>
      </c>
      <c r="J44" s="134">
        <f>3645+383</f>
        <v>4028</v>
      </c>
      <c r="K44" s="135"/>
      <c r="L44" s="136">
        <f t="shared" si="2"/>
        <v>4028</v>
      </c>
      <c r="M44" s="137" t="s">
        <v>47</v>
      </c>
      <c r="N44" s="138" t="s">
        <v>47</v>
      </c>
      <c r="O44" s="133" t="s">
        <v>47</v>
      </c>
      <c r="P44" s="85"/>
      <c r="R44" s="53"/>
      <c r="S44" s="53"/>
      <c r="T44" s="53"/>
    </row>
    <row r="45" spans="1:20" s="41" customFormat="1" ht="24" hidden="1" x14ac:dyDescent="0.25">
      <c r="A45" s="115">
        <v>21420</v>
      </c>
      <c r="B45" s="99" t="s">
        <v>64</v>
      </c>
      <c r="C45" s="156">
        <f>F45</f>
        <v>0</v>
      </c>
      <c r="D45" s="157"/>
      <c r="E45" s="158"/>
      <c r="F45" s="103">
        <f>D45+E45</f>
        <v>0</v>
      </c>
      <c r="G45" s="104" t="s">
        <v>47</v>
      </c>
      <c r="H45" s="105" t="s">
        <v>47</v>
      </c>
      <c r="I45" s="106" t="s">
        <v>47</v>
      </c>
      <c r="J45" s="104" t="s">
        <v>47</v>
      </c>
      <c r="K45" s="105" t="s">
        <v>47</v>
      </c>
      <c r="L45" s="106" t="s">
        <v>47</v>
      </c>
      <c r="M45" s="107" t="s">
        <v>47</v>
      </c>
      <c r="N45" s="108" t="s">
        <v>47</v>
      </c>
      <c r="O45" s="106" t="s">
        <v>47</v>
      </c>
      <c r="P45" s="109"/>
      <c r="R45" s="53"/>
      <c r="S45" s="53"/>
      <c r="T45" s="53"/>
    </row>
    <row r="46" spans="1:20" s="41" customFormat="1" ht="24" hidden="1" x14ac:dyDescent="0.25">
      <c r="A46" s="159">
        <v>21490</v>
      </c>
      <c r="B46" s="160" t="s">
        <v>65</v>
      </c>
      <c r="C46" s="156">
        <f>F46+I46+L46</f>
        <v>0</v>
      </c>
      <c r="D46" s="161">
        <f>D47</f>
        <v>0</v>
      </c>
      <c r="E46" s="162">
        <f>E47</f>
        <v>0</v>
      </c>
      <c r="F46" s="163">
        <f>D46+E46</f>
        <v>0</v>
      </c>
      <c r="G46" s="161">
        <f>G47</f>
        <v>0</v>
      </c>
      <c r="H46" s="164">
        <f>H47</f>
        <v>0</v>
      </c>
      <c r="I46" s="165">
        <f>G46+H46</f>
        <v>0</v>
      </c>
      <c r="J46" s="161">
        <f>J47</f>
        <v>0</v>
      </c>
      <c r="K46" s="164">
        <f>K47</f>
        <v>0</v>
      </c>
      <c r="L46" s="165">
        <f>J46+K46</f>
        <v>0</v>
      </c>
      <c r="M46" s="107" t="s">
        <v>47</v>
      </c>
      <c r="N46" s="108" t="s">
        <v>47</v>
      </c>
      <c r="O46" s="106" t="s">
        <v>47</v>
      </c>
      <c r="P46" s="109"/>
      <c r="R46" s="53"/>
      <c r="S46" s="53"/>
      <c r="T46" s="53"/>
    </row>
    <row r="47" spans="1:20" s="41" customFormat="1" ht="24" hidden="1" x14ac:dyDescent="0.25">
      <c r="A47" s="76">
        <v>21499</v>
      </c>
      <c r="B47" s="127" t="s">
        <v>66</v>
      </c>
      <c r="C47" s="166">
        <f>F47+I47+L47</f>
        <v>0</v>
      </c>
      <c r="D47" s="68"/>
      <c r="E47" s="69"/>
      <c r="F47" s="70">
        <f>D47+E47</f>
        <v>0</v>
      </c>
      <c r="G47" s="167"/>
      <c r="H47" s="71"/>
      <c r="I47" s="72">
        <f>G47+H47</f>
        <v>0</v>
      </c>
      <c r="J47" s="68"/>
      <c r="K47" s="71"/>
      <c r="L47" s="72">
        <f>J47+K47</f>
        <v>0</v>
      </c>
      <c r="M47" s="152" t="s">
        <v>47</v>
      </c>
      <c r="N47" s="145" t="s">
        <v>47</v>
      </c>
      <c r="O47" s="148" t="s">
        <v>47</v>
      </c>
      <c r="P47" s="153"/>
      <c r="R47" s="53"/>
      <c r="S47" s="53"/>
      <c r="T47" s="53"/>
    </row>
    <row r="48" spans="1:20" ht="24" hidden="1" x14ac:dyDescent="0.25">
      <c r="A48" s="168">
        <v>23000</v>
      </c>
      <c r="B48" s="169" t="s">
        <v>67</v>
      </c>
      <c r="C48" s="156">
        <f>O48</f>
        <v>0</v>
      </c>
      <c r="D48" s="170" t="s">
        <v>47</v>
      </c>
      <c r="E48" s="171" t="s">
        <v>47</v>
      </c>
      <c r="F48" s="172" t="s">
        <v>47</v>
      </c>
      <c r="G48" s="170" t="s">
        <v>47</v>
      </c>
      <c r="H48" s="173" t="s">
        <v>47</v>
      </c>
      <c r="I48" s="174" t="s">
        <v>47</v>
      </c>
      <c r="J48" s="170" t="s">
        <v>47</v>
      </c>
      <c r="K48" s="173" t="s">
        <v>47</v>
      </c>
      <c r="L48" s="174" t="s">
        <v>47</v>
      </c>
      <c r="M48" s="175">
        <f>SUM(M49:M50)</f>
        <v>0</v>
      </c>
      <c r="N48" s="176">
        <f>SUM(N49:N50)</f>
        <v>0</v>
      </c>
      <c r="O48" s="177">
        <f>M48+N48</f>
        <v>0</v>
      </c>
      <c r="P48" s="109"/>
      <c r="R48" s="53"/>
      <c r="S48" s="53"/>
      <c r="T48" s="53"/>
    </row>
    <row r="49" spans="1:20" ht="24" hidden="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c r="R49" s="53"/>
      <c r="S49" s="53"/>
      <c r="T49" s="53"/>
    </row>
    <row r="50" spans="1:20" ht="24" hidden="1" x14ac:dyDescent="0.25">
      <c r="A50" s="178">
        <v>23510</v>
      </c>
      <c r="B50" s="179" t="s">
        <v>69</v>
      </c>
      <c r="C50" s="180">
        <f>O50</f>
        <v>0</v>
      </c>
      <c r="D50" s="181" t="s">
        <v>47</v>
      </c>
      <c r="E50" s="182" t="s">
        <v>47</v>
      </c>
      <c r="F50" s="183" t="s">
        <v>47</v>
      </c>
      <c r="G50" s="181" t="s">
        <v>47</v>
      </c>
      <c r="H50" s="184" t="s">
        <v>47</v>
      </c>
      <c r="I50" s="185" t="s">
        <v>47</v>
      </c>
      <c r="J50" s="181" t="s">
        <v>47</v>
      </c>
      <c r="K50" s="184" t="s">
        <v>47</v>
      </c>
      <c r="L50" s="185" t="s">
        <v>47</v>
      </c>
      <c r="M50" s="186"/>
      <c r="N50" s="187"/>
      <c r="O50" s="188">
        <f>M50+N50</f>
        <v>0</v>
      </c>
      <c r="P50" s="189"/>
      <c r="R50" s="53"/>
      <c r="S50" s="53"/>
      <c r="T50" s="53"/>
    </row>
    <row r="51" spans="1:20" x14ac:dyDescent="0.25">
      <c r="A51" s="190"/>
      <c r="B51" s="179"/>
      <c r="C51" s="191"/>
      <c r="D51" s="192"/>
      <c r="E51" s="193"/>
      <c r="F51" s="194"/>
      <c r="G51" s="192"/>
      <c r="H51" s="195"/>
      <c r="I51" s="185"/>
      <c r="J51" s="196"/>
      <c r="K51" s="197"/>
      <c r="L51" s="188"/>
      <c r="M51" s="186"/>
      <c r="N51" s="187"/>
      <c r="O51" s="188"/>
      <c r="P51" s="189"/>
      <c r="R51" s="53"/>
      <c r="S51" s="53"/>
      <c r="T51" s="53"/>
    </row>
    <row r="52" spans="1:20" s="41" customFormat="1" x14ac:dyDescent="0.25">
      <c r="A52" s="198"/>
      <c r="B52" s="199" t="s">
        <v>70</v>
      </c>
      <c r="C52" s="200"/>
      <c r="D52" s="201"/>
      <c r="E52" s="202"/>
      <c r="F52" s="203"/>
      <c r="G52" s="201"/>
      <c r="H52" s="204"/>
      <c r="I52" s="205"/>
      <c r="J52" s="201"/>
      <c r="K52" s="204"/>
      <c r="L52" s="205"/>
      <c r="M52" s="206"/>
      <c r="N52" s="207"/>
      <c r="O52" s="205"/>
      <c r="P52" s="208"/>
      <c r="R52" s="53"/>
      <c r="S52" s="53"/>
      <c r="T52" s="53"/>
    </row>
    <row r="53" spans="1:20" s="41" customFormat="1" ht="12.75" thickBot="1" x14ac:dyDescent="0.3">
      <c r="A53" s="209"/>
      <c r="B53" s="42" t="s">
        <v>71</v>
      </c>
      <c r="C53" s="210">
        <f t="shared" ref="C53:C116" si="3">F53+I53+L53+O53</f>
        <v>925048</v>
      </c>
      <c r="D53" s="211">
        <f>SUM(D54,D284)</f>
        <v>422784</v>
      </c>
      <c r="E53" s="212">
        <f>SUM(E54,E284)</f>
        <v>0</v>
      </c>
      <c r="F53" s="213">
        <f t="shared" ref="F53:F117" si="4">D53+E53</f>
        <v>422784</v>
      </c>
      <c r="G53" s="211">
        <f>SUM(G54,G284)</f>
        <v>488481</v>
      </c>
      <c r="H53" s="214">
        <f>SUM(H54,H284)</f>
        <v>0</v>
      </c>
      <c r="I53" s="215">
        <f t="shared" ref="I53:I117" si="5">G53+H53</f>
        <v>488481</v>
      </c>
      <c r="J53" s="211">
        <f>SUM(J54,J284)</f>
        <v>13783</v>
      </c>
      <c r="K53" s="214">
        <f>SUM(K54,K284)</f>
        <v>0</v>
      </c>
      <c r="L53" s="215">
        <f t="shared" ref="L53:L117" si="6">J53+K53</f>
        <v>13783</v>
      </c>
      <c r="M53" s="216">
        <f>SUM(M54,M284)</f>
        <v>0</v>
      </c>
      <c r="N53" s="217">
        <f>SUM(N54,N284)</f>
        <v>0</v>
      </c>
      <c r="O53" s="215">
        <f t="shared" ref="O53:O117" si="7">M53+N53</f>
        <v>0</v>
      </c>
      <c r="P53" s="52"/>
      <c r="R53" s="53"/>
      <c r="S53" s="53"/>
      <c r="T53" s="53"/>
    </row>
    <row r="54" spans="1:20" s="41" customFormat="1" ht="36.75" thickTop="1" x14ac:dyDescent="0.25">
      <c r="A54" s="218"/>
      <c r="B54" s="219" t="s">
        <v>72</v>
      </c>
      <c r="C54" s="220">
        <f t="shared" si="3"/>
        <v>925048</v>
      </c>
      <c r="D54" s="221">
        <f>SUM(D55,D197)</f>
        <v>422784</v>
      </c>
      <c r="E54" s="222">
        <f>SUM(E55,E197)</f>
        <v>0</v>
      </c>
      <c r="F54" s="223">
        <f t="shared" si="4"/>
        <v>422784</v>
      </c>
      <c r="G54" s="221">
        <f>SUM(G55,G197)</f>
        <v>488481</v>
      </c>
      <c r="H54" s="224">
        <f>SUM(H55,H197)</f>
        <v>0</v>
      </c>
      <c r="I54" s="225">
        <f t="shared" si="5"/>
        <v>488481</v>
      </c>
      <c r="J54" s="221">
        <f>SUM(J55,J197)</f>
        <v>13783</v>
      </c>
      <c r="K54" s="224">
        <f>SUM(K55,K197)</f>
        <v>0</v>
      </c>
      <c r="L54" s="225">
        <f t="shared" si="6"/>
        <v>13783</v>
      </c>
      <c r="M54" s="226">
        <f>SUM(M55,M197)</f>
        <v>0</v>
      </c>
      <c r="N54" s="227">
        <f>SUM(N55,N197)</f>
        <v>0</v>
      </c>
      <c r="O54" s="225">
        <f t="shared" si="7"/>
        <v>0</v>
      </c>
      <c r="P54" s="228"/>
      <c r="R54" s="53"/>
      <c r="S54" s="53"/>
      <c r="T54" s="53"/>
    </row>
    <row r="55" spans="1:20" s="41" customFormat="1" ht="24" x14ac:dyDescent="0.25">
      <c r="A55" s="35"/>
      <c r="B55" s="30" t="s">
        <v>73</v>
      </c>
      <c r="C55" s="229">
        <f t="shared" si="3"/>
        <v>887922</v>
      </c>
      <c r="D55" s="230">
        <f>SUM(D56,D78,D176,D190)</f>
        <v>390358</v>
      </c>
      <c r="E55" s="231">
        <f>SUM(E56,E78,E176,E190)</f>
        <v>0</v>
      </c>
      <c r="F55" s="232">
        <f t="shared" si="4"/>
        <v>390358</v>
      </c>
      <c r="G55" s="230">
        <f>SUM(G56,G78,G176,G190)</f>
        <v>483781</v>
      </c>
      <c r="H55" s="233">
        <f>SUM(H56,H78,H176,H190)</f>
        <v>0</v>
      </c>
      <c r="I55" s="234">
        <f t="shared" si="5"/>
        <v>483781</v>
      </c>
      <c r="J55" s="230">
        <f>SUM(J56,J78,J176,J190)</f>
        <v>13783</v>
      </c>
      <c r="K55" s="233">
        <f>SUM(K56,K78,K176,K190)</f>
        <v>0</v>
      </c>
      <c r="L55" s="234">
        <f t="shared" si="6"/>
        <v>13783</v>
      </c>
      <c r="M55" s="53">
        <f>SUM(M56,M78,M176,M190)</f>
        <v>0</v>
      </c>
      <c r="N55" s="235">
        <f>SUM(N56,N78,N176,N190)</f>
        <v>0</v>
      </c>
      <c r="O55" s="234">
        <f t="shared" si="7"/>
        <v>0</v>
      </c>
      <c r="P55" s="236"/>
      <c r="R55" s="53"/>
      <c r="S55" s="53"/>
      <c r="T55" s="53"/>
    </row>
    <row r="56" spans="1:20" s="41" customFormat="1" x14ac:dyDescent="0.25">
      <c r="A56" s="237">
        <v>1000</v>
      </c>
      <c r="B56" s="237" t="s">
        <v>74</v>
      </c>
      <c r="C56" s="238">
        <f t="shared" si="3"/>
        <v>750987</v>
      </c>
      <c r="D56" s="239">
        <f>SUM(D57,D70)</f>
        <v>271268</v>
      </c>
      <c r="E56" s="240">
        <f>SUM(E57,E70)</f>
        <v>0</v>
      </c>
      <c r="F56" s="241">
        <f t="shared" si="4"/>
        <v>271268</v>
      </c>
      <c r="G56" s="239">
        <f>SUM(G57,G70)</f>
        <v>479719</v>
      </c>
      <c r="H56" s="242">
        <f>SUM(H57,H70)</f>
        <v>0</v>
      </c>
      <c r="I56" s="243">
        <f t="shared" si="5"/>
        <v>479719</v>
      </c>
      <c r="J56" s="239">
        <f>SUM(J57,J70)</f>
        <v>0</v>
      </c>
      <c r="K56" s="242">
        <f>SUM(K57,K70)</f>
        <v>0</v>
      </c>
      <c r="L56" s="243">
        <f t="shared" si="6"/>
        <v>0</v>
      </c>
      <c r="M56" s="244">
        <f>SUM(M57,M70)</f>
        <v>0</v>
      </c>
      <c r="N56" s="245">
        <f>SUM(N57,N70)</f>
        <v>0</v>
      </c>
      <c r="O56" s="243">
        <f t="shared" si="7"/>
        <v>0</v>
      </c>
      <c r="P56" s="246"/>
      <c r="R56" s="53"/>
      <c r="S56" s="53"/>
      <c r="T56" s="53"/>
    </row>
    <row r="57" spans="1:20" x14ac:dyDescent="0.25">
      <c r="A57" s="99">
        <v>1100</v>
      </c>
      <c r="B57" s="247" t="s">
        <v>75</v>
      </c>
      <c r="C57" s="100">
        <f t="shared" si="3"/>
        <v>571993</v>
      </c>
      <c r="D57" s="112">
        <f>SUM(D58,D61,D69)</f>
        <v>186259</v>
      </c>
      <c r="E57" s="248">
        <f>SUM(E58,E61,E69)</f>
        <v>0</v>
      </c>
      <c r="F57" s="249">
        <f t="shared" si="4"/>
        <v>186259</v>
      </c>
      <c r="G57" s="112">
        <f>SUM(G58,G61,G69)</f>
        <v>385134</v>
      </c>
      <c r="H57" s="113">
        <f>SUM(H58,H61,H69)</f>
        <v>600</v>
      </c>
      <c r="I57" s="114">
        <f t="shared" si="5"/>
        <v>385734</v>
      </c>
      <c r="J57" s="112">
        <f>SUM(J58,J61,J69)</f>
        <v>0</v>
      </c>
      <c r="K57" s="113">
        <f>SUM(K58,K61,K69)</f>
        <v>0</v>
      </c>
      <c r="L57" s="114">
        <f t="shared" si="6"/>
        <v>0</v>
      </c>
      <c r="M57" s="250">
        <f>SUM(M58,M61,M69)</f>
        <v>0</v>
      </c>
      <c r="N57" s="251">
        <f>SUM(N58,N61,N69)</f>
        <v>0</v>
      </c>
      <c r="O57" s="252">
        <f t="shared" si="7"/>
        <v>0</v>
      </c>
      <c r="P57" s="253"/>
      <c r="R57" s="53"/>
      <c r="S57" s="53"/>
      <c r="T57" s="53"/>
    </row>
    <row r="58" spans="1:20" x14ac:dyDescent="0.25">
      <c r="A58" s="254">
        <v>1110</v>
      </c>
      <c r="B58" s="179" t="s">
        <v>76</v>
      </c>
      <c r="C58" s="191">
        <f t="shared" si="3"/>
        <v>512329</v>
      </c>
      <c r="D58" s="255">
        <f>SUM(D59:D60)</f>
        <v>158098</v>
      </c>
      <c r="E58" s="256">
        <f>SUM(E59:E60)</f>
        <v>0</v>
      </c>
      <c r="F58" s="257">
        <f t="shared" si="4"/>
        <v>158098</v>
      </c>
      <c r="G58" s="255">
        <f>SUM(G59:G60)</f>
        <v>349631</v>
      </c>
      <c r="H58" s="258">
        <f>SUM(H59:H60)</f>
        <v>4600</v>
      </c>
      <c r="I58" s="259">
        <f t="shared" si="5"/>
        <v>354231</v>
      </c>
      <c r="J58" s="255">
        <f>SUM(J59:J60)</f>
        <v>0</v>
      </c>
      <c r="K58" s="258">
        <f>SUM(K59:K60)</f>
        <v>0</v>
      </c>
      <c r="L58" s="259">
        <f t="shared" si="6"/>
        <v>0</v>
      </c>
      <c r="M58" s="260">
        <f>SUM(M59:M60)</f>
        <v>0</v>
      </c>
      <c r="N58" s="261">
        <f>SUM(N59:N60)</f>
        <v>0</v>
      </c>
      <c r="O58" s="259">
        <f t="shared" si="7"/>
        <v>0</v>
      </c>
      <c r="P58" s="189"/>
      <c r="R58" s="53"/>
      <c r="S58" s="53"/>
      <c r="T58" s="53"/>
    </row>
    <row r="59" spans="1:20" hidden="1" x14ac:dyDescent="0.25">
      <c r="A59" s="66">
        <v>1111</v>
      </c>
      <c r="B59" s="116" t="s">
        <v>77</v>
      </c>
      <c r="C59" s="117">
        <f t="shared" si="3"/>
        <v>0</v>
      </c>
      <c r="D59" s="123"/>
      <c r="E59" s="262"/>
      <c r="F59" s="263">
        <f t="shared" si="4"/>
        <v>0</v>
      </c>
      <c r="G59" s="123"/>
      <c r="H59" s="124"/>
      <c r="I59" s="125">
        <f t="shared" si="5"/>
        <v>0</v>
      </c>
      <c r="J59" s="123"/>
      <c r="K59" s="124"/>
      <c r="L59" s="125">
        <f t="shared" si="6"/>
        <v>0</v>
      </c>
      <c r="M59" s="264"/>
      <c r="N59" s="262"/>
      <c r="O59" s="125">
        <f t="shared" si="7"/>
        <v>0</v>
      </c>
      <c r="P59" s="74"/>
      <c r="R59" s="53"/>
      <c r="S59" s="53"/>
      <c r="T59" s="53"/>
    </row>
    <row r="60" spans="1:20" ht="34.5" customHeight="1" x14ac:dyDescent="0.25">
      <c r="A60" s="76">
        <v>1119</v>
      </c>
      <c r="B60" s="127" t="s">
        <v>78</v>
      </c>
      <c r="C60" s="128">
        <f t="shared" si="3"/>
        <v>512329</v>
      </c>
      <c r="D60" s="134">
        <v>158098</v>
      </c>
      <c r="E60" s="283"/>
      <c r="F60" s="279">
        <f t="shared" si="4"/>
        <v>158098</v>
      </c>
      <c r="G60" s="134">
        <f>344668+4963</f>
        <v>349631</v>
      </c>
      <c r="H60" s="135">
        <v>4600</v>
      </c>
      <c r="I60" s="136">
        <f t="shared" si="5"/>
        <v>354231</v>
      </c>
      <c r="J60" s="134"/>
      <c r="K60" s="135"/>
      <c r="L60" s="136">
        <f t="shared" si="6"/>
        <v>0</v>
      </c>
      <c r="M60" s="284"/>
      <c r="N60" s="285"/>
      <c r="O60" s="136">
        <f t="shared" si="7"/>
        <v>0</v>
      </c>
      <c r="P60" s="85" t="s">
        <v>1093</v>
      </c>
      <c r="R60" s="53"/>
      <c r="S60" s="53"/>
      <c r="T60" s="53"/>
    </row>
    <row r="61" spans="1:20" ht="24" x14ac:dyDescent="0.25">
      <c r="A61" s="276">
        <v>1140</v>
      </c>
      <c r="B61" s="127" t="s">
        <v>79</v>
      </c>
      <c r="C61" s="128">
        <f t="shared" si="3"/>
        <v>57939</v>
      </c>
      <c r="D61" s="277">
        <f>SUM(D62:D68)</f>
        <v>26436</v>
      </c>
      <c r="E61" s="278">
        <f>SUM(E62:E68)</f>
        <v>0</v>
      </c>
      <c r="F61" s="279">
        <f>D61+E61</f>
        <v>26436</v>
      </c>
      <c r="G61" s="277">
        <f>SUM(G62:G68)</f>
        <v>35503</v>
      </c>
      <c r="H61" s="280">
        <f>SUM(H62:H68)</f>
        <v>-4000</v>
      </c>
      <c r="I61" s="136">
        <f t="shared" si="5"/>
        <v>31503</v>
      </c>
      <c r="J61" s="277">
        <f>SUM(J62:J68)</f>
        <v>0</v>
      </c>
      <c r="K61" s="280">
        <f>SUM(K62:K68)</f>
        <v>0</v>
      </c>
      <c r="L61" s="136">
        <f t="shared" si="6"/>
        <v>0</v>
      </c>
      <c r="M61" s="281">
        <f>SUM(M62:M68)</f>
        <v>0</v>
      </c>
      <c r="N61" s="282">
        <f>SUM(N62:N68)</f>
        <v>0</v>
      </c>
      <c r="O61" s="136">
        <f t="shared" si="7"/>
        <v>0</v>
      </c>
      <c r="P61" s="85"/>
      <c r="R61" s="53"/>
      <c r="S61" s="53"/>
      <c r="T61" s="53"/>
    </row>
    <row r="62" spans="1:20" x14ac:dyDescent="0.25">
      <c r="A62" s="76">
        <v>1141</v>
      </c>
      <c r="B62" s="127" t="s">
        <v>80</v>
      </c>
      <c r="C62" s="128">
        <f t="shared" si="3"/>
        <v>3749</v>
      </c>
      <c r="D62" s="134">
        <v>3749</v>
      </c>
      <c r="E62" s="283"/>
      <c r="F62" s="279">
        <f t="shared" si="4"/>
        <v>3749</v>
      </c>
      <c r="G62" s="134"/>
      <c r="H62" s="135"/>
      <c r="I62" s="136">
        <f t="shared" si="5"/>
        <v>0</v>
      </c>
      <c r="J62" s="134"/>
      <c r="K62" s="135"/>
      <c r="L62" s="136">
        <f t="shared" si="6"/>
        <v>0</v>
      </c>
      <c r="M62" s="284"/>
      <c r="N62" s="285"/>
      <c r="O62" s="136">
        <f t="shared" si="7"/>
        <v>0</v>
      </c>
      <c r="P62" s="85"/>
      <c r="R62" s="53"/>
      <c r="S62" s="53"/>
      <c r="T62" s="53"/>
    </row>
    <row r="63" spans="1:20" ht="24" x14ac:dyDescent="0.25">
      <c r="A63" s="76">
        <v>1142</v>
      </c>
      <c r="B63" s="127" t="s">
        <v>81</v>
      </c>
      <c r="C63" s="128">
        <f t="shared" si="3"/>
        <v>922</v>
      </c>
      <c r="D63" s="134">
        <v>922</v>
      </c>
      <c r="E63" s="283"/>
      <c r="F63" s="279">
        <f t="shared" si="4"/>
        <v>922</v>
      </c>
      <c r="G63" s="134"/>
      <c r="H63" s="135"/>
      <c r="I63" s="136">
        <f t="shared" si="5"/>
        <v>0</v>
      </c>
      <c r="J63" s="134"/>
      <c r="K63" s="135"/>
      <c r="L63" s="136">
        <f t="shared" si="6"/>
        <v>0</v>
      </c>
      <c r="M63" s="284"/>
      <c r="N63" s="285"/>
      <c r="O63" s="136">
        <f t="shared" si="7"/>
        <v>0</v>
      </c>
      <c r="P63" s="85"/>
      <c r="R63" s="53"/>
      <c r="S63" s="53"/>
      <c r="T63" s="53"/>
    </row>
    <row r="64" spans="1:20" ht="24" x14ac:dyDescent="0.25">
      <c r="A64" s="76">
        <v>1145</v>
      </c>
      <c r="B64" s="127" t="s">
        <v>82</v>
      </c>
      <c r="C64" s="128">
        <f t="shared" si="3"/>
        <v>1923</v>
      </c>
      <c r="D64" s="134"/>
      <c r="E64" s="283"/>
      <c r="F64" s="279">
        <f t="shared" si="4"/>
        <v>0</v>
      </c>
      <c r="G64" s="134">
        <f>2651-728</f>
        <v>1923</v>
      </c>
      <c r="H64" s="135"/>
      <c r="I64" s="136">
        <f t="shared" si="5"/>
        <v>1923</v>
      </c>
      <c r="J64" s="134"/>
      <c r="K64" s="135"/>
      <c r="L64" s="136">
        <f t="shared" si="6"/>
        <v>0</v>
      </c>
      <c r="M64" s="284"/>
      <c r="N64" s="285"/>
      <c r="O64" s="136">
        <f t="shared" si="7"/>
        <v>0</v>
      </c>
      <c r="P64" s="85"/>
      <c r="R64" s="53"/>
      <c r="S64" s="53"/>
      <c r="T64" s="53"/>
    </row>
    <row r="65" spans="1:20" ht="24" hidden="1" x14ac:dyDescent="0.25">
      <c r="A65" s="76">
        <v>1146</v>
      </c>
      <c r="B65" s="127" t="s">
        <v>83</v>
      </c>
      <c r="C65" s="128">
        <f t="shared" si="3"/>
        <v>0</v>
      </c>
      <c r="D65" s="134"/>
      <c r="E65" s="285"/>
      <c r="F65" s="286">
        <f t="shared" si="4"/>
        <v>0</v>
      </c>
      <c r="G65" s="134"/>
      <c r="H65" s="135"/>
      <c r="I65" s="136">
        <f t="shared" si="5"/>
        <v>0</v>
      </c>
      <c r="J65" s="134"/>
      <c r="K65" s="135"/>
      <c r="L65" s="136">
        <f t="shared" si="6"/>
        <v>0</v>
      </c>
      <c r="M65" s="284"/>
      <c r="N65" s="285"/>
      <c r="O65" s="136">
        <f t="shared" si="7"/>
        <v>0</v>
      </c>
      <c r="P65" s="85"/>
      <c r="R65" s="53"/>
      <c r="S65" s="53"/>
      <c r="T65" s="53"/>
    </row>
    <row r="66" spans="1:20" x14ac:dyDescent="0.25">
      <c r="A66" s="76">
        <v>1147</v>
      </c>
      <c r="B66" s="127" t="s">
        <v>84</v>
      </c>
      <c r="C66" s="128">
        <f t="shared" si="3"/>
        <v>2488</v>
      </c>
      <c r="D66" s="134">
        <f>2702-214</f>
        <v>2488</v>
      </c>
      <c r="E66" s="283"/>
      <c r="F66" s="279">
        <f t="shared" si="4"/>
        <v>2488</v>
      </c>
      <c r="G66" s="134"/>
      <c r="H66" s="135"/>
      <c r="I66" s="136">
        <f t="shared" si="5"/>
        <v>0</v>
      </c>
      <c r="J66" s="134"/>
      <c r="K66" s="135"/>
      <c r="L66" s="136">
        <f t="shared" si="6"/>
        <v>0</v>
      </c>
      <c r="M66" s="284"/>
      <c r="N66" s="285"/>
      <c r="O66" s="136">
        <f t="shared" si="7"/>
        <v>0</v>
      </c>
      <c r="P66" s="85"/>
      <c r="R66" s="53"/>
      <c r="S66" s="53"/>
      <c r="T66" s="53"/>
    </row>
    <row r="67" spans="1:20" ht="18.75" customHeight="1" x14ac:dyDescent="0.25">
      <c r="A67" s="76">
        <v>1148</v>
      </c>
      <c r="B67" s="127" t="s">
        <v>85</v>
      </c>
      <c r="C67" s="128">
        <f t="shared" si="3"/>
        <v>30112</v>
      </c>
      <c r="D67" s="134">
        <f>24938-6426</f>
        <v>18512</v>
      </c>
      <c r="E67" s="283"/>
      <c r="F67" s="279">
        <f t="shared" si="4"/>
        <v>18512</v>
      </c>
      <c r="G67" s="134">
        <v>8000</v>
      </c>
      <c r="H67" s="135">
        <v>3600</v>
      </c>
      <c r="I67" s="136">
        <f t="shared" si="5"/>
        <v>11600</v>
      </c>
      <c r="J67" s="134"/>
      <c r="K67" s="135"/>
      <c r="L67" s="136">
        <f t="shared" si="6"/>
        <v>0</v>
      </c>
      <c r="M67" s="284"/>
      <c r="N67" s="285"/>
      <c r="O67" s="136">
        <f t="shared" si="7"/>
        <v>0</v>
      </c>
      <c r="P67" s="85" t="s">
        <v>1094</v>
      </c>
      <c r="R67" s="53"/>
      <c r="S67" s="53"/>
      <c r="T67" s="53"/>
    </row>
    <row r="68" spans="1:20" ht="39" customHeight="1" x14ac:dyDescent="0.25">
      <c r="A68" s="76">
        <v>1149</v>
      </c>
      <c r="B68" s="127" t="s">
        <v>86</v>
      </c>
      <c r="C68" s="128">
        <f t="shared" si="3"/>
        <v>18745</v>
      </c>
      <c r="D68" s="134">
        <v>765</v>
      </c>
      <c r="E68" s="283"/>
      <c r="F68" s="279">
        <f t="shared" si="4"/>
        <v>765</v>
      </c>
      <c r="G68" s="134">
        <f>20011+5569</f>
        <v>25580</v>
      </c>
      <c r="H68" s="135">
        <v>-7600</v>
      </c>
      <c r="I68" s="136">
        <f t="shared" si="5"/>
        <v>17980</v>
      </c>
      <c r="J68" s="134"/>
      <c r="K68" s="135"/>
      <c r="L68" s="136">
        <f t="shared" si="6"/>
        <v>0</v>
      </c>
      <c r="M68" s="284"/>
      <c r="N68" s="285"/>
      <c r="O68" s="136">
        <f t="shared" si="7"/>
        <v>0</v>
      </c>
      <c r="P68" s="85" t="s">
        <v>1095</v>
      </c>
      <c r="R68" s="53"/>
      <c r="S68" s="53"/>
      <c r="T68" s="53"/>
    </row>
    <row r="69" spans="1:20" ht="36" x14ac:dyDescent="0.25">
      <c r="A69" s="254">
        <v>1150</v>
      </c>
      <c r="B69" s="179" t="s">
        <v>87</v>
      </c>
      <c r="C69" s="128">
        <f t="shared" si="3"/>
        <v>1725</v>
      </c>
      <c r="D69" s="287">
        <v>1725</v>
      </c>
      <c r="E69" s="288"/>
      <c r="F69" s="257">
        <f t="shared" si="4"/>
        <v>1725</v>
      </c>
      <c r="G69" s="287"/>
      <c r="H69" s="289"/>
      <c r="I69" s="259">
        <f t="shared" si="5"/>
        <v>0</v>
      </c>
      <c r="J69" s="287"/>
      <c r="K69" s="289"/>
      <c r="L69" s="259">
        <f t="shared" si="6"/>
        <v>0</v>
      </c>
      <c r="M69" s="290"/>
      <c r="N69" s="291"/>
      <c r="O69" s="259">
        <f t="shared" si="7"/>
        <v>0</v>
      </c>
      <c r="P69" s="189"/>
      <c r="R69" s="53"/>
      <c r="S69" s="53"/>
      <c r="T69" s="53"/>
    </row>
    <row r="70" spans="1:20" ht="36" x14ac:dyDescent="0.25">
      <c r="A70" s="99">
        <v>1200</v>
      </c>
      <c r="B70" s="247" t="s">
        <v>88</v>
      </c>
      <c r="C70" s="100">
        <f t="shared" si="3"/>
        <v>178994</v>
      </c>
      <c r="D70" s="112">
        <f>SUM(D71:D72)</f>
        <v>85009</v>
      </c>
      <c r="E70" s="248">
        <f>SUM(E71:E72)</f>
        <v>0</v>
      </c>
      <c r="F70" s="249">
        <f>D70+E70</f>
        <v>85009</v>
      </c>
      <c r="G70" s="112">
        <f>SUM(G71:G72)</f>
        <v>94585</v>
      </c>
      <c r="H70" s="113">
        <f>SUM(H71:H72)</f>
        <v>-600</v>
      </c>
      <c r="I70" s="114">
        <f t="shared" si="5"/>
        <v>93985</v>
      </c>
      <c r="J70" s="112">
        <f>SUM(J71:J72)</f>
        <v>0</v>
      </c>
      <c r="K70" s="113">
        <f>SUM(K71:K72)</f>
        <v>0</v>
      </c>
      <c r="L70" s="114">
        <f t="shared" si="6"/>
        <v>0</v>
      </c>
      <c r="M70" s="292">
        <f>SUM(M71:M72)</f>
        <v>0</v>
      </c>
      <c r="N70" s="293">
        <f>SUM(N71:N72)</f>
        <v>0</v>
      </c>
      <c r="O70" s="114">
        <f t="shared" si="7"/>
        <v>0</v>
      </c>
      <c r="P70" s="109"/>
      <c r="R70" s="53"/>
      <c r="S70" s="53"/>
      <c r="T70" s="53"/>
    </row>
    <row r="71" spans="1:20" ht="27.75" customHeight="1" x14ac:dyDescent="0.25">
      <c r="A71" s="656">
        <v>1210</v>
      </c>
      <c r="B71" s="116" t="s">
        <v>89</v>
      </c>
      <c r="C71" s="117">
        <f t="shared" si="3"/>
        <v>138989</v>
      </c>
      <c r="D71" s="123">
        <f>50470-1516</f>
        <v>48954</v>
      </c>
      <c r="E71" s="295"/>
      <c r="F71" s="296">
        <f t="shared" si="4"/>
        <v>48954</v>
      </c>
      <c r="G71" s="123">
        <f>86457+4178</f>
        <v>90635</v>
      </c>
      <c r="H71" s="124">
        <v>-600</v>
      </c>
      <c r="I71" s="125">
        <f t="shared" si="5"/>
        <v>90035</v>
      </c>
      <c r="J71" s="123"/>
      <c r="K71" s="124"/>
      <c r="L71" s="125">
        <f t="shared" si="6"/>
        <v>0</v>
      </c>
      <c r="M71" s="264"/>
      <c r="N71" s="262"/>
      <c r="O71" s="125">
        <f t="shared" si="7"/>
        <v>0</v>
      </c>
      <c r="P71" s="74" t="s">
        <v>1096</v>
      </c>
      <c r="R71" s="53"/>
      <c r="S71" s="53"/>
      <c r="T71" s="53"/>
    </row>
    <row r="72" spans="1:20" ht="24" x14ac:dyDescent="0.25">
      <c r="A72" s="276">
        <v>1220</v>
      </c>
      <c r="B72" s="127" t="s">
        <v>90</v>
      </c>
      <c r="C72" s="128">
        <f t="shared" si="3"/>
        <v>40005</v>
      </c>
      <c r="D72" s="277">
        <f>SUM(D73:D77)</f>
        <v>36055</v>
      </c>
      <c r="E72" s="278">
        <f>SUM(E73:E77)</f>
        <v>0</v>
      </c>
      <c r="F72" s="279">
        <f t="shared" si="4"/>
        <v>36055</v>
      </c>
      <c r="G72" s="277">
        <f>SUM(G73:G77)</f>
        <v>3950</v>
      </c>
      <c r="H72" s="280">
        <f>SUM(H73:H77)</f>
        <v>0</v>
      </c>
      <c r="I72" s="136">
        <f t="shared" si="5"/>
        <v>3950</v>
      </c>
      <c r="J72" s="277">
        <f>SUM(J73:J77)</f>
        <v>0</v>
      </c>
      <c r="K72" s="280">
        <f>SUM(K73:K77)</f>
        <v>0</v>
      </c>
      <c r="L72" s="136">
        <f t="shared" si="6"/>
        <v>0</v>
      </c>
      <c r="M72" s="281">
        <f>SUM(M73:M77)</f>
        <v>0</v>
      </c>
      <c r="N72" s="282">
        <f>SUM(N73:N77)</f>
        <v>0</v>
      </c>
      <c r="O72" s="136">
        <f t="shared" si="7"/>
        <v>0</v>
      </c>
      <c r="P72" s="85"/>
      <c r="R72" s="53"/>
      <c r="S72" s="53"/>
      <c r="T72" s="53"/>
    </row>
    <row r="73" spans="1:20" ht="60" x14ac:dyDescent="0.25">
      <c r="A73" s="76">
        <v>1221</v>
      </c>
      <c r="B73" s="127" t="s">
        <v>91</v>
      </c>
      <c r="C73" s="128">
        <f t="shared" si="3"/>
        <v>24997</v>
      </c>
      <c r="D73" s="134">
        <v>21047</v>
      </c>
      <c r="E73" s="283"/>
      <c r="F73" s="279">
        <f t="shared" si="4"/>
        <v>21047</v>
      </c>
      <c r="G73" s="134">
        <f>4020-70</f>
        <v>3950</v>
      </c>
      <c r="H73" s="135"/>
      <c r="I73" s="136">
        <f t="shared" si="5"/>
        <v>3950</v>
      </c>
      <c r="J73" s="134"/>
      <c r="K73" s="135"/>
      <c r="L73" s="136">
        <f t="shared" si="6"/>
        <v>0</v>
      </c>
      <c r="M73" s="284"/>
      <c r="N73" s="285"/>
      <c r="O73" s="136">
        <f t="shared" si="7"/>
        <v>0</v>
      </c>
      <c r="P73" s="85"/>
      <c r="R73" s="53"/>
      <c r="S73" s="53"/>
      <c r="T73" s="53"/>
    </row>
    <row r="74" spans="1:20" hidden="1" x14ac:dyDescent="0.25">
      <c r="A74" s="76">
        <v>1223</v>
      </c>
      <c r="B74" s="127" t="s">
        <v>92</v>
      </c>
      <c r="C74" s="128">
        <f t="shared" si="3"/>
        <v>0</v>
      </c>
      <c r="D74" s="134"/>
      <c r="E74" s="285"/>
      <c r="F74" s="286">
        <f t="shared" si="4"/>
        <v>0</v>
      </c>
      <c r="G74" s="134"/>
      <c r="H74" s="135"/>
      <c r="I74" s="136">
        <f t="shared" si="5"/>
        <v>0</v>
      </c>
      <c r="J74" s="134"/>
      <c r="K74" s="135"/>
      <c r="L74" s="136">
        <f t="shared" si="6"/>
        <v>0</v>
      </c>
      <c r="M74" s="284"/>
      <c r="N74" s="285"/>
      <c r="O74" s="136">
        <f t="shared" si="7"/>
        <v>0</v>
      </c>
      <c r="P74" s="85"/>
      <c r="R74" s="53"/>
      <c r="S74" s="53"/>
      <c r="T74" s="53"/>
    </row>
    <row r="75" spans="1:20" hidden="1" x14ac:dyDescent="0.25">
      <c r="A75" s="76">
        <v>1225</v>
      </c>
      <c r="B75" s="127" t="s">
        <v>93</v>
      </c>
      <c r="C75" s="128">
        <f t="shared" si="3"/>
        <v>0</v>
      </c>
      <c r="D75" s="134"/>
      <c r="E75" s="285"/>
      <c r="F75" s="286">
        <f t="shared" si="4"/>
        <v>0</v>
      </c>
      <c r="G75" s="134"/>
      <c r="H75" s="135"/>
      <c r="I75" s="136">
        <f t="shared" si="5"/>
        <v>0</v>
      </c>
      <c r="J75" s="134"/>
      <c r="K75" s="135"/>
      <c r="L75" s="136">
        <f t="shared" si="6"/>
        <v>0</v>
      </c>
      <c r="M75" s="284"/>
      <c r="N75" s="285"/>
      <c r="O75" s="136">
        <f t="shared" si="7"/>
        <v>0</v>
      </c>
      <c r="P75" s="85"/>
      <c r="R75" s="53"/>
      <c r="S75" s="53"/>
      <c r="T75" s="53"/>
    </row>
    <row r="76" spans="1:20" ht="36" x14ac:dyDescent="0.25">
      <c r="A76" s="76">
        <v>1227</v>
      </c>
      <c r="B76" s="127" t="s">
        <v>94</v>
      </c>
      <c r="C76" s="128">
        <f t="shared" si="3"/>
        <v>14300</v>
      </c>
      <c r="D76" s="134">
        <v>14300</v>
      </c>
      <c r="E76" s="283"/>
      <c r="F76" s="279">
        <f t="shared" si="4"/>
        <v>14300</v>
      </c>
      <c r="G76" s="134"/>
      <c r="H76" s="135"/>
      <c r="I76" s="136">
        <f t="shared" si="5"/>
        <v>0</v>
      </c>
      <c r="J76" s="134"/>
      <c r="K76" s="135"/>
      <c r="L76" s="136">
        <f t="shared" si="6"/>
        <v>0</v>
      </c>
      <c r="M76" s="284"/>
      <c r="N76" s="285"/>
      <c r="O76" s="136">
        <f t="shared" si="7"/>
        <v>0</v>
      </c>
      <c r="P76" s="85"/>
      <c r="R76" s="53"/>
      <c r="S76" s="53"/>
      <c r="T76" s="53"/>
    </row>
    <row r="77" spans="1:20" ht="60" x14ac:dyDescent="0.25">
      <c r="A77" s="76">
        <v>1228</v>
      </c>
      <c r="B77" s="127" t="s">
        <v>95</v>
      </c>
      <c r="C77" s="128">
        <f t="shared" si="3"/>
        <v>708</v>
      </c>
      <c r="D77" s="134">
        <f>494+214</f>
        <v>708</v>
      </c>
      <c r="E77" s="283"/>
      <c r="F77" s="279">
        <f t="shared" si="4"/>
        <v>708</v>
      </c>
      <c r="G77" s="134"/>
      <c r="H77" s="135"/>
      <c r="I77" s="136">
        <f t="shared" si="5"/>
        <v>0</v>
      </c>
      <c r="J77" s="134"/>
      <c r="K77" s="135"/>
      <c r="L77" s="136">
        <f t="shared" si="6"/>
        <v>0</v>
      </c>
      <c r="M77" s="284"/>
      <c r="N77" s="285"/>
      <c r="O77" s="136">
        <f t="shared" si="7"/>
        <v>0</v>
      </c>
      <c r="P77" s="85"/>
      <c r="R77" s="53"/>
      <c r="S77" s="53"/>
      <c r="T77" s="53"/>
    </row>
    <row r="78" spans="1:20" x14ac:dyDescent="0.25">
      <c r="A78" s="237">
        <v>2000</v>
      </c>
      <c r="B78" s="237" t="s">
        <v>96</v>
      </c>
      <c r="C78" s="238">
        <f t="shared" si="3"/>
        <v>136935</v>
      </c>
      <c r="D78" s="239">
        <f>SUM(D79,D86,D133,D167,D168,D175)</f>
        <v>119090</v>
      </c>
      <c r="E78" s="240">
        <f>SUM(E79,E86,E133,E167,E168,E175)</f>
        <v>0</v>
      </c>
      <c r="F78" s="241">
        <f t="shared" si="4"/>
        <v>119090</v>
      </c>
      <c r="G78" s="239">
        <f>SUM(G79,G86,G133,G167,G168,G175)</f>
        <v>4062</v>
      </c>
      <c r="H78" s="242">
        <f>SUM(H79,H86,H133,H167,H168,H175)</f>
        <v>0</v>
      </c>
      <c r="I78" s="243">
        <f t="shared" si="5"/>
        <v>4062</v>
      </c>
      <c r="J78" s="239">
        <f>SUM(J79,J86,J133,J167,J168,J175)</f>
        <v>13783</v>
      </c>
      <c r="K78" s="242">
        <f>SUM(K79,K86,K133,K167,K168,K175)</f>
        <v>0</v>
      </c>
      <c r="L78" s="243">
        <f t="shared" si="6"/>
        <v>13783</v>
      </c>
      <c r="M78" s="244">
        <f>SUM(M79,M86,M133,M167,M168,M175)</f>
        <v>0</v>
      </c>
      <c r="N78" s="245">
        <f>SUM(N79,N86,N133,N167,N168,N175)</f>
        <v>0</v>
      </c>
      <c r="O78" s="243">
        <f t="shared" si="7"/>
        <v>0</v>
      </c>
      <c r="P78" s="246"/>
      <c r="R78" s="53"/>
      <c r="S78" s="53"/>
      <c r="T78" s="53"/>
    </row>
    <row r="79" spans="1:20" ht="24" x14ac:dyDescent="0.25">
      <c r="A79" s="99">
        <v>2100</v>
      </c>
      <c r="B79" s="247" t="s">
        <v>97</v>
      </c>
      <c r="C79" s="100">
        <f t="shared" si="3"/>
        <v>1821</v>
      </c>
      <c r="D79" s="112">
        <f>SUM(D80,D83)</f>
        <v>1821</v>
      </c>
      <c r="E79" s="248">
        <f>SUM(E80,E83)</f>
        <v>0</v>
      </c>
      <c r="F79" s="249">
        <f t="shared" si="4"/>
        <v>1821</v>
      </c>
      <c r="G79" s="112">
        <f>SUM(G80,G83)</f>
        <v>0</v>
      </c>
      <c r="H79" s="113">
        <f>SUM(H80,H83)</f>
        <v>0</v>
      </c>
      <c r="I79" s="114">
        <f t="shared" si="5"/>
        <v>0</v>
      </c>
      <c r="J79" s="112">
        <f>SUM(J80,J83)</f>
        <v>0</v>
      </c>
      <c r="K79" s="113">
        <f>SUM(K80,K83)</f>
        <v>0</v>
      </c>
      <c r="L79" s="114">
        <f t="shared" si="6"/>
        <v>0</v>
      </c>
      <c r="M79" s="292">
        <f>SUM(M80,M83)</f>
        <v>0</v>
      </c>
      <c r="N79" s="293">
        <f>SUM(N80,N83)</f>
        <v>0</v>
      </c>
      <c r="O79" s="114">
        <f t="shared" si="7"/>
        <v>0</v>
      </c>
      <c r="P79" s="109"/>
      <c r="R79" s="53"/>
      <c r="S79" s="53"/>
      <c r="T79" s="53"/>
    </row>
    <row r="80" spans="1:20" ht="24" hidden="1" x14ac:dyDescent="0.25">
      <c r="A80" s="656">
        <v>2110</v>
      </c>
      <c r="B80" s="116" t="s">
        <v>98</v>
      </c>
      <c r="C80" s="117">
        <f t="shared" si="3"/>
        <v>0</v>
      </c>
      <c r="D80" s="297">
        <f>SUM(D81:D82)</f>
        <v>0</v>
      </c>
      <c r="E80" s="301">
        <f>SUM(E81:E82)</f>
        <v>0</v>
      </c>
      <c r="F80" s="263">
        <f t="shared" si="4"/>
        <v>0</v>
      </c>
      <c r="G80" s="297">
        <f>SUM(G81:G82)</f>
        <v>0</v>
      </c>
      <c r="H80" s="299">
        <f>SUM(H81:H82)</f>
        <v>0</v>
      </c>
      <c r="I80" s="125">
        <f t="shared" si="5"/>
        <v>0</v>
      </c>
      <c r="J80" s="297">
        <f>SUM(J81:J82)</f>
        <v>0</v>
      </c>
      <c r="K80" s="299">
        <f>SUM(K81:K82)</f>
        <v>0</v>
      </c>
      <c r="L80" s="125">
        <f t="shared" si="6"/>
        <v>0</v>
      </c>
      <c r="M80" s="300">
        <f>SUM(M81:M82)</f>
        <v>0</v>
      </c>
      <c r="N80" s="301">
        <f>SUM(N81:N82)</f>
        <v>0</v>
      </c>
      <c r="O80" s="125">
        <f t="shared" si="7"/>
        <v>0</v>
      </c>
      <c r="P80" s="74"/>
      <c r="R80" s="53"/>
      <c r="S80" s="53"/>
      <c r="T80" s="53"/>
    </row>
    <row r="81" spans="1:20" hidden="1" x14ac:dyDescent="0.25">
      <c r="A81" s="76">
        <v>2111</v>
      </c>
      <c r="B81" s="127" t="s">
        <v>99</v>
      </c>
      <c r="C81" s="128">
        <f t="shared" si="3"/>
        <v>0</v>
      </c>
      <c r="D81" s="134"/>
      <c r="E81" s="285"/>
      <c r="F81" s="286">
        <f t="shared" si="4"/>
        <v>0</v>
      </c>
      <c r="G81" s="134"/>
      <c r="H81" s="135"/>
      <c r="I81" s="136">
        <f t="shared" si="5"/>
        <v>0</v>
      </c>
      <c r="J81" s="134"/>
      <c r="K81" s="135"/>
      <c r="L81" s="136">
        <f t="shared" si="6"/>
        <v>0</v>
      </c>
      <c r="M81" s="284"/>
      <c r="N81" s="285"/>
      <c r="O81" s="136">
        <f t="shared" si="7"/>
        <v>0</v>
      </c>
      <c r="P81" s="85"/>
      <c r="R81" s="53"/>
      <c r="S81" s="53"/>
      <c r="T81" s="53"/>
    </row>
    <row r="82" spans="1:20" ht="24" hidden="1" x14ac:dyDescent="0.25">
      <c r="A82" s="76">
        <v>2112</v>
      </c>
      <c r="B82" s="127" t="s">
        <v>100</v>
      </c>
      <c r="C82" s="128">
        <f t="shared" si="3"/>
        <v>0</v>
      </c>
      <c r="D82" s="134"/>
      <c r="E82" s="285"/>
      <c r="F82" s="286">
        <f t="shared" si="4"/>
        <v>0</v>
      </c>
      <c r="G82" s="134"/>
      <c r="H82" s="135"/>
      <c r="I82" s="136">
        <f t="shared" si="5"/>
        <v>0</v>
      </c>
      <c r="J82" s="134"/>
      <c r="K82" s="135"/>
      <c r="L82" s="136">
        <f t="shared" si="6"/>
        <v>0</v>
      </c>
      <c r="M82" s="284"/>
      <c r="N82" s="285"/>
      <c r="O82" s="136">
        <f t="shared" si="7"/>
        <v>0</v>
      </c>
      <c r="P82" s="85"/>
      <c r="R82" s="53"/>
      <c r="S82" s="53"/>
      <c r="T82" s="53"/>
    </row>
    <row r="83" spans="1:20" ht="24" x14ac:dyDescent="0.25">
      <c r="A83" s="276">
        <v>2120</v>
      </c>
      <c r="B83" s="127" t="s">
        <v>101</v>
      </c>
      <c r="C83" s="128">
        <f t="shared" si="3"/>
        <v>1821</v>
      </c>
      <c r="D83" s="277">
        <f>SUM(D84:D85)</f>
        <v>1821</v>
      </c>
      <c r="E83" s="278">
        <f>SUM(E84:E85)</f>
        <v>0</v>
      </c>
      <c r="F83" s="279">
        <f t="shared" si="4"/>
        <v>1821</v>
      </c>
      <c r="G83" s="277">
        <f>SUM(G84:G85)</f>
        <v>0</v>
      </c>
      <c r="H83" s="280">
        <f>SUM(H84:H85)</f>
        <v>0</v>
      </c>
      <c r="I83" s="136">
        <f t="shared" si="5"/>
        <v>0</v>
      </c>
      <c r="J83" s="277">
        <f>SUM(J84:J85)</f>
        <v>0</v>
      </c>
      <c r="K83" s="280">
        <f>SUM(K84:K85)</f>
        <v>0</v>
      </c>
      <c r="L83" s="136">
        <f t="shared" si="6"/>
        <v>0</v>
      </c>
      <c r="M83" s="281">
        <f>SUM(M84:M85)</f>
        <v>0</v>
      </c>
      <c r="N83" s="282">
        <f>SUM(N84:N85)</f>
        <v>0</v>
      </c>
      <c r="O83" s="136">
        <f t="shared" si="7"/>
        <v>0</v>
      </c>
      <c r="P83" s="85"/>
      <c r="R83" s="53"/>
      <c r="S83" s="53"/>
      <c r="T83" s="53"/>
    </row>
    <row r="84" spans="1:20" x14ac:dyDescent="0.25">
      <c r="A84" s="76">
        <v>2121</v>
      </c>
      <c r="B84" s="127" t="s">
        <v>99</v>
      </c>
      <c r="C84" s="128">
        <f t="shared" si="3"/>
        <v>870</v>
      </c>
      <c r="D84" s="134">
        <v>870</v>
      </c>
      <c r="E84" s="283"/>
      <c r="F84" s="279">
        <f t="shared" si="4"/>
        <v>870</v>
      </c>
      <c r="G84" s="134"/>
      <c r="H84" s="135"/>
      <c r="I84" s="136">
        <f t="shared" si="5"/>
        <v>0</v>
      </c>
      <c r="J84" s="134"/>
      <c r="K84" s="135"/>
      <c r="L84" s="136">
        <f t="shared" si="6"/>
        <v>0</v>
      </c>
      <c r="M84" s="284"/>
      <c r="N84" s="285"/>
      <c r="O84" s="136">
        <f t="shared" si="7"/>
        <v>0</v>
      </c>
      <c r="P84" s="85"/>
      <c r="R84" s="53"/>
      <c r="S84" s="53"/>
      <c r="T84" s="53"/>
    </row>
    <row r="85" spans="1:20" ht="24" x14ac:dyDescent="0.25">
      <c r="A85" s="76">
        <v>2122</v>
      </c>
      <c r="B85" s="127" t="s">
        <v>100</v>
      </c>
      <c r="C85" s="128">
        <f t="shared" si="3"/>
        <v>951</v>
      </c>
      <c r="D85" s="134">
        <v>951</v>
      </c>
      <c r="E85" s="283"/>
      <c r="F85" s="279">
        <f t="shared" si="4"/>
        <v>951</v>
      </c>
      <c r="G85" s="134"/>
      <c r="H85" s="135"/>
      <c r="I85" s="136">
        <f t="shared" si="5"/>
        <v>0</v>
      </c>
      <c r="J85" s="134"/>
      <c r="K85" s="135"/>
      <c r="L85" s="136">
        <f t="shared" si="6"/>
        <v>0</v>
      </c>
      <c r="M85" s="284"/>
      <c r="N85" s="285"/>
      <c r="O85" s="136">
        <f t="shared" si="7"/>
        <v>0</v>
      </c>
      <c r="P85" s="85"/>
      <c r="R85" s="53"/>
      <c r="S85" s="53"/>
      <c r="T85" s="53"/>
    </row>
    <row r="86" spans="1:20" x14ac:dyDescent="0.25">
      <c r="A86" s="99">
        <v>2200</v>
      </c>
      <c r="B86" s="247" t="s">
        <v>102</v>
      </c>
      <c r="C86" s="302">
        <f t="shared" si="3"/>
        <v>103439</v>
      </c>
      <c r="D86" s="112">
        <f>SUM(D87,D92,D98,D106,D115,D119,D125,D131)</f>
        <v>90281</v>
      </c>
      <c r="E86" s="248">
        <f>SUM(E87,E92,E98,E106,E115,E119,E125,E131)</f>
        <v>0</v>
      </c>
      <c r="F86" s="249">
        <f t="shared" si="4"/>
        <v>90281</v>
      </c>
      <c r="G86" s="112">
        <f>SUM(G87,G92,G98,G106,G115,G119,G125,G131)</f>
        <v>0</v>
      </c>
      <c r="H86" s="113">
        <f>SUM(H87,H92,H98,H106,H115,H119,H125,H131)</f>
        <v>0</v>
      </c>
      <c r="I86" s="114">
        <f t="shared" si="5"/>
        <v>0</v>
      </c>
      <c r="J86" s="112">
        <f>SUM(J87,J92,J98,J106,J115,J119,J125,J131)</f>
        <v>13158</v>
      </c>
      <c r="K86" s="113">
        <f>SUM(K87,K92,K98,K106,K115,K119,K125,K131)</f>
        <v>0</v>
      </c>
      <c r="L86" s="114">
        <f t="shared" si="6"/>
        <v>13158</v>
      </c>
      <c r="M86" s="303">
        <f>SUM(M87,M92,M98,M106,M115,M119,M125,M131)</f>
        <v>0</v>
      </c>
      <c r="N86" s="304">
        <f>SUM(N87,N92,N98,N106,N115,N119,N125,N131)</f>
        <v>0</v>
      </c>
      <c r="O86" s="305">
        <f t="shared" si="7"/>
        <v>0</v>
      </c>
      <c r="P86" s="306"/>
      <c r="R86" s="53"/>
      <c r="S86" s="53"/>
      <c r="T86" s="53"/>
    </row>
    <row r="87" spans="1:20" ht="24" x14ac:dyDescent="0.25">
      <c r="A87" s="254">
        <v>2210</v>
      </c>
      <c r="B87" s="179" t="s">
        <v>103</v>
      </c>
      <c r="C87" s="191">
        <f t="shared" si="3"/>
        <v>1298</v>
      </c>
      <c r="D87" s="255">
        <f>SUM(D88:D91)</f>
        <v>799</v>
      </c>
      <c r="E87" s="256">
        <f>SUM(E88:E91)</f>
        <v>0</v>
      </c>
      <c r="F87" s="257">
        <f t="shared" si="4"/>
        <v>799</v>
      </c>
      <c r="G87" s="255">
        <f>SUM(G88:G91)</f>
        <v>0</v>
      </c>
      <c r="H87" s="258">
        <f>SUM(H88:H91)</f>
        <v>0</v>
      </c>
      <c r="I87" s="259">
        <f t="shared" si="5"/>
        <v>0</v>
      </c>
      <c r="J87" s="255">
        <f>SUM(J88:J91)</f>
        <v>499</v>
      </c>
      <c r="K87" s="258">
        <f>SUM(K88:K91)</f>
        <v>0</v>
      </c>
      <c r="L87" s="259">
        <f t="shared" si="6"/>
        <v>499</v>
      </c>
      <c r="M87" s="260">
        <f>SUM(M88:M91)</f>
        <v>0</v>
      </c>
      <c r="N87" s="261">
        <f>SUM(N88:N91)</f>
        <v>0</v>
      </c>
      <c r="O87" s="259">
        <f t="shared" si="7"/>
        <v>0</v>
      </c>
      <c r="P87" s="189"/>
      <c r="R87" s="53"/>
      <c r="S87" s="53"/>
      <c r="T87" s="53"/>
    </row>
    <row r="88" spans="1:20" ht="24" hidden="1" x14ac:dyDescent="0.25">
      <c r="A88" s="66">
        <v>2211</v>
      </c>
      <c r="B88" s="116" t="s">
        <v>104</v>
      </c>
      <c r="C88" s="128">
        <f t="shared" si="3"/>
        <v>0</v>
      </c>
      <c r="D88" s="123"/>
      <c r="E88" s="262"/>
      <c r="F88" s="263">
        <f t="shared" si="4"/>
        <v>0</v>
      </c>
      <c r="G88" s="123"/>
      <c r="H88" s="124"/>
      <c r="I88" s="125">
        <f t="shared" si="5"/>
        <v>0</v>
      </c>
      <c r="J88" s="123"/>
      <c r="K88" s="124"/>
      <c r="L88" s="125">
        <f t="shared" si="6"/>
        <v>0</v>
      </c>
      <c r="M88" s="264"/>
      <c r="N88" s="262"/>
      <c r="O88" s="125">
        <f t="shared" si="7"/>
        <v>0</v>
      </c>
      <c r="P88" s="74"/>
      <c r="R88" s="53"/>
      <c r="S88" s="53"/>
      <c r="T88" s="53"/>
    </row>
    <row r="89" spans="1:20" ht="36" x14ac:dyDescent="0.25">
      <c r="A89" s="76">
        <v>2212</v>
      </c>
      <c r="B89" s="127" t="s">
        <v>105</v>
      </c>
      <c r="C89" s="128">
        <f t="shared" si="3"/>
        <v>842</v>
      </c>
      <c r="D89" s="134">
        <f>1072-729</f>
        <v>343</v>
      </c>
      <c r="E89" s="283"/>
      <c r="F89" s="279">
        <f t="shared" si="4"/>
        <v>343</v>
      </c>
      <c r="G89" s="134"/>
      <c r="H89" s="135"/>
      <c r="I89" s="136">
        <f t="shared" si="5"/>
        <v>0</v>
      </c>
      <c r="J89" s="134">
        <f>800-301</f>
        <v>499</v>
      </c>
      <c r="K89" s="135"/>
      <c r="L89" s="136">
        <f t="shared" si="6"/>
        <v>499</v>
      </c>
      <c r="M89" s="284"/>
      <c r="N89" s="285"/>
      <c r="O89" s="136">
        <f t="shared" si="7"/>
        <v>0</v>
      </c>
      <c r="P89" s="85"/>
      <c r="R89" s="53"/>
      <c r="S89" s="53"/>
      <c r="T89" s="53"/>
    </row>
    <row r="90" spans="1:20" ht="24" x14ac:dyDescent="0.25">
      <c r="A90" s="76">
        <v>2214</v>
      </c>
      <c r="B90" s="127" t="s">
        <v>106</v>
      </c>
      <c r="C90" s="128">
        <f t="shared" si="3"/>
        <v>242</v>
      </c>
      <c r="D90" s="134">
        <v>242</v>
      </c>
      <c r="E90" s="283"/>
      <c r="F90" s="279">
        <f t="shared" si="4"/>
        <v>242</v>
      </c>
      <c r="G90" s="134"/>
      <c r="H90" s="135"/>
      <c r="I90" s="136">
        <f t="shared" si="5"/>
        <v>0</v>
      </c>
      <c r="J90" s="134"/>
      <c r="K90" s="135"/>
      <c r="L90" s="136">
        <f t="shared" si="6"/>
        <v>0</v>
      </c>
      <c r="M90" s="284"/>
      <c r="N90" s="285"/>
      <c r="O90" s="136">
        <f t="shared" si="7"/>
        <v>0</v>
      </c>
      <c r="P90" s="85"/>
      <c r="R90" s="53"/>
      <c r="S90" s="53"/>
      <c r="T90" s="53"/>
    </row>
    <row r="91" spans="1:20" x14ac:dyDescent="0.25">
      <c r="A91" s="76">
        <v>2219</v>
      </c>
      <c r="B91" s="127" t="s">
        <v>107</v>
      </c>
      <c r="C91" s="128">
        <f t="shared" si="3"/>
        <v>214</v>
      </c>
      <c r="D91" s="134">
        <v>214</v>
      </c>
      <c r="E91" s="283"/>
      <c r="F91" s="279">
        <f t="shared" si="4"/>
        <v>214</v>
      </c>
      <c r="G91" s="134"/>
      <c r="H91" s="135"/>
      <c r="I91" s="136">
        <f t="shared" si="5"/>
        <v>0</v>
      </c>
      <c r="J91" s="134"/>
      <c r="K91" s="135"/>
      <c r="L91" s="136">
        <f t="shared" si="6"/>
        <v>0</v>
      </c>
      <c r="M91" s="284"/>
      <c r="N91" s="285"/>
      <c r="O91" s="136">
        <f t="shared" si="7"/>
        <v>0</v>
      </c>
      <c r="P91" s="85"/>
      <c r="R91" s="53"/>
      <c r="S91" s="53"/>
      <c r="T91" s="53"/>
    </row>
    <row r="92" spans="1:20" ht="24" x14ac:dyDescent="0.25">
      <c r="A92" s="276">
        <v>2220</v>
      </c>
      <c r="B92" s="127" t="s">
        <v>108</v>
      </c>
      <c r="C92" s="128">
        <f t="shared" si="3"/>
        <v>86567</v>
      </c>
      <c r="D92" s="277">
        <f>SUM(D93:D97)</f>
        <v>73955</v>
      </c>
      <c r="E92" s="278">
        <f>SUM(E93:E97)</f>
        <v>0</v>
      </c>
      <c r="F92" s="279">
        <f t="shared" si="4"/>
        <v>73955</v>
      </c>
      <c r="G92" s="277">
        <f>SUM(G93:G97)</f>
        <v>0</v>
      </c>
      <c r="H92" s="280">
        <f>SUM(H93:H97)</f>
        <v>0</v>
      </c>
      <c r="I92" s="136">
        <f t="shared" si="5"/>
        <v>0</v>
      </c>
      <c r="J92" s="277">
        <f>SUM(J93:J97)</f>
        <v>12612</v>
      </c>
      <c r="K92" s="280">
        <f>SUM(K93:K97)</f>
        <v>0</v>
      </c>
      <c r="L92" s="136">
        <f t="shared" si="6"/>
        <v>12612</v>
      </c>
      <c r="M92" s="281">
        <f>SUM(M93:M97)</f>
        <v>0</v>
      </c>
      <c r="N92" s="282">
        <f>SUM(N93:N97)</f>
        <v>0</v>
      </c>
      <c r="O92" s="136">
        <f t="shared" si="7"/>
        <v>0</v>
      </c>
      <c r="P92" s="85"/>
      <c r="R92" s="53"/>
      <c r="S92" s="53"/>
      <c r="T92" s="53"/>
    </row>
    <row r="93" spans="1:20" x14ac:dyDescent="0.25">
      <c r="A93" s="76">
        <v>2221</v>
      </c>
      <c r="B93" s="127" t="s">
        <v>109</v>
      </c>
      <c r="C93" s="128">
        <f t="shared" si="3"/>
        <v>53350</v>
      </c>
      <c r="D93" s="134">
        <v>45045</v>
      </c>
      <c r="E93" s="283"/>
      <c r="F93" s="279">
        <f t="shared" si="4"/>
        <v>45045</v>
      </c>
      <c r="G93" s="134"/>
      <c r="H93" s="135"/>
      <c r="I93" s="136">
        <f t="shared" si="5"/>
        <v>0</v>
      </c>
      <c r="J93" s="134">
        <v>8305</v>
      </c>
      <c r="K93" s="135"/>
      <c r="L93" s="136">
        <f t="shared" si="6"/>
        <v>8305</v>
      </c>
      <c r="M93" s="284"/>
      <c r="N93" s="285"/>
      <c r="O93" s="136">
        <f t="shared" si="7"/>
        <v>0</v>
      </c>
      <c r="P93" s="85"/>
      <c r="R93" s="53"/>
      <c r="S93" s="53"/>
      <c r="T93" s="53"/>
    </row>
    <row r="94" spans="1:20" x14ac:dyDescent="0.25">
      <c r="A94" s="76">
        <v>2222</v>
      </c>
      <c r="B94" s="127" t="s">
        <v>110</v>
      </c>
      <c r="C94" s="128">
        <f t="shared" si="3"/>
        <v>5850</v>
      </c>
      <c r="D94" s="134">
        <v>4550</v>
      </c>
      <c r="E94" s="283"/>
      <c r="F94" s="279">
        <f t="shared" si="4"/>
        <v>4550</v>
      </c>
      <c r="G94" s="134"/>
      <c r="H94" s="135"/>
      <c r="I94" s="136">
        <f t="shared" si="5"/>
        <v>0</v>
      </c>
      <c r="J94" s="134">
        <v>1300</v>
      </c>
      <c r="K94" s="135"/>
      <c r="L94" s="136">
        <f t="shared" si="6"/>
        <v>1300</v>
      </c>
      <c r="M94" s="284"/>
      <c r="N94" s="285"/>
      <c r="O94" s="136">
        <f t="shared" si="7"/>
        <v>0</v>
      </c>
      <c r="P94" s="85"/>
      <c r="R94" s="53"/>
      <c r="S94" s="53"/>
      <c r="T94" s="53"/>
    </row>
    <row r="95" spans="1:20" x14ac:dyDescent="0.25">
      <c r="A95" s="76">
        <v>2223</v>
      </c>
      <c r="B95" s="127" t="s">
        <v>111</v>
      </c>
      <c r="C95" s="128">
        <f t="shared" si="3"/>
        <v>26563</v>
      </c>
      <c r="D95" s="134">
        <f>23250+729</f>
        <v>23979</v>
      </c>
      <c r="E95" s="283"/>
      <c r="F95" s="279">
        <f t="shared" si="4"/>
        <v>23979</v>
      </c>
      <c r="G95" s="134"/>
      <c r="H95" s="135"/>
      <c r="I95" s="136">
        <f t="shared" si="5"/>
        <v>0</v>
      </c>
      <c r="J95" s="134">
        <f>1900+684</f>
        <v>2584</v>
      </c>
      <c r="K95" s="135"/>
      <c r="L95" s="136">
        <f t="shared" si="6"/>
        <v>2584</v>
      </c>
      <c r="M95" s="284"/>
      <c r="N95" s="285"/>
      <c r="O95" s="136">
        <f t="shared" si="7"/>
        <v>0</v>
      </c>
      <c r="P95" s="85"/>
      <c r="R95" s="53"/>
      <c r="S95" s="53"/>
      <c r="T95" s="53"/>
    </row>
    <row r="96" spans="1:20" ht="48" x14ac:dyDescent="0.25">
      <c r="A96" s="76">
        <v>2224</v>
      </c>
      <c r="B96" s="127" t="s">
        <v>112</v>
      </c>
      <c r="C96" s="128">
        <f t="shared" si="3"/>
        <v>804</v>
      </c>
      <c r="D96" s="134">
        <v>381</v>
      </c>
      <c r="E96" s="283"/>
      <c r="F96" s="279">
        <f t="shared" si="4"/>
        <v>381</v>
      </c>
      <c r="G96" s="134"/>
      <c r="H96" s="135"/>
      <c r="I96" s="136">
        <f t="shared" si="5"/>
        <v>0</v>
      </c>
      <c r="J96" s="134">
        <v>423</v>
      </c>
      <c r="K96" s="135"/>
      <c r="L96" s="136">
        <f t="shared" si="6"/>
        <v>423</v>
      </c>
      <c r="M96" s="284"/>
      <c r="N96" s="285"/>
      <c r="O96" s="136">
        <f t="shared" si="7"/>
        <v>0</v>
      </c>
      <c r="P96" s="85"/>
      <c r="R96" s="53"/>
      <c r="S96" s="53"/>
      <c r="T96" s="53"/>
    </row>
    <row r="97" spans="1:20" ht="24" hidden="1" x14ac:dyDescent="0.25">
      <c r="A97" s="76">
        <v>2229</v>
      </c>
      <c r="B97" s="127" t="s">
        <v>113</v>
      </c>
      <c r="C97" s="128">
        <f t="shared" si="3"/>
        <v>0</v>
      </c>
      <c r="D97" s="134"/>
      <c r="E97" s="285"/>
      <c r="F97" s="286">
        <f t="shared" si="4"/>
        <v>0</v>
      </c>
      <c r="G97" s="134"/>
      <c r="H97" s="135"/>
      <c r="I97" s="136">
        <f t="shared" si="5"/>
        <v>0</v>
      </c>
      <c r="J97" s="134"/>
      <c r="K97" s="135"/>
      <c r="L97" s="136">
        <f t="shared" si="6"/>
        <v>0</v>
      </c>
      <c r="M97" s="284"/>
      <c r="N97" s="285"/>
      <c r="O97" s="136">
        <f t="shared" si="7"/>
        <v>0</v>
      </c>
      <c r="P97" s="85"/>
      <c r="R97" s="53"/>
      <c r="S97" s="53"/>
      <c r="T97" s="53"/>
    </row>
    <row r="98" spans="1:20" ht="36" x14ac:dyDescent="0.25">
      <c r="A98" s="276">
        <v>2230</v>
      </c>
      <c r="B98" s="127" t="s">
        <v>114</v>
      </c>
      <c r="C98" s="128">
        <f t="shared" si="3"/>
        <v>1432</v>
      </c>
      <c r="D98" s="277">
        <f>SUM(D99:D105)</f>
        <v>1432</v>
      </c>
      <c r="E98" s="278">
        <f>SUM(E99:E105)</f>
        <v>0</v>
      </c>
      <c r="F98" s="279">
        <f t="shared" si="4"/>
        <v>1432</v>
      </c>
      <c r="G98" s="277">
        <f>SUM(G99:G105)</f>
        <v>0</v>
      </c>
      <c r="H98" s="280">
        <f>SUM(H99:H105)</f>
        <v>0</v>
      </c>
      <c r="I98" s="136">
        <f t="shared" si="5"/>
        <v>0</v>
      </c>
      <c r="J98" s="277">
        <f>SUM(J99:J105)</f>
        <v>0</v>
      </c>
      <c r="K98" s="280">
        <f>SUM(K99:K105)</f>
        <v>0</v>
      </c>
      <c r="L98" s="136">
        <f t="shared" si="6"/>
        <v>0</v>
      </c>
      <c r="M98" s="281">
        <f>SUM(M99:M105)</f>
        <v>0</v>
      </c>
      <c r="N98" s="282">
        <f>SUM(N99:N105)</f>
        <v>0</v>
      </c>
      <c r="O98" s="136">
        <f t="shared" si="7"/>
        <v>0</v>
      </c>
      <c r="P98" s="85"/>
      <c r="R98" s="53"/>
      <c r="S98" s="53"/>
      <c r="T98" s="53"/>
    </row>
    <row r="99" spans="1:20" ht="24" hidden="1" x14ac:dyDescent="0.25">
      <c r="A99" s="76">
        <v>2231</v>
      </c>
      <c r="B99" s="127" t="s">
        <v>115</v>
      </c>
      <c r="C99" s="128">
        <f t="shared" si="3"/>
        <v>0</v>
      </c>
      <c r="D99" s="134"/>
      <c r="E99" s="285"/>
      <c r="F99" s="286">
        <f t="shared" si="4"/>
        <v>0</v>
      </c>
      <c r="G99" s="134"/>
      <c r="H99" s="135"/>
      <c r="I99" s="136">
        <f t="shared" si="5"/>
        <v>0</v>
      </c>
      <c r="J99" s="134"/>
      <c r="K99" s="135"/>
      <c r="L99" s="136">
        <f t="shared" si="6"/>
        <v>0</v>
      </c>
      <c r="M99" s="284"/>
      <c r="N99" s="285"/>
      <c r="O99" s="136">
        <f t="shared" si="7"/>
        <v>0</v>
      </c>
      <c r="P99" s="85"/>
      <c r="R99" s="53"/>
      <c r="S99" s="53"/>
      <c r="T99" s="53"/>
    </row>
    <row r="100" spans="1:20" ht="36" hidden="1" x14ac:dyDescent="0.25">
      <c r="A100" s="76">
        <v>2232</v>
      </c>
      <c r="B100" s="127" t="s">
        <v>116</v>
      </c>
      <c r="C100" s="128">
        <f t="shared" si="3"/>
        <v>0</v>
      </c>
      <c r="D100" s="134"/>
      <c r="E100" s="285"/>
      <c r="F100" s="286">
        <f t="shared" si="4"/>
        <v>0</v>
      </c>
      <c r="G100" s="134"/>
      <c r="H100" s="135"/>
      <c r="I100" s="136">
        <f t="shared" si="5"/>
        <v>0</v>
      </c>
      <c r="J100" s="134"/>
      <c r="K100" s="135"/>
      <c r="L100" s="136">
        <f t="shared" si="6"/>
        <v>0</v>
      </c>
      <c r="M100" s="284"/>
      <c r="N100" s="285"/>
      <c r="O100" s="136">
        <f t="shared" si="7"/>
        <v>0</v>
      </c>
      <c r="P100" s="85"/>
      <c r="R100" s="53"/>
      <c r="S100" s="53"/>
      <c r="T100" s="53"/>
    </row>
    <row r="101" spans="1:20" ht="24" hidden="1" x14ac:dyDescent="0.25">
      <c r="A101" s="66">
        <v>2233</v>
      </c>
      <c r="B101" s="116" t="s">
        <v>117</v>
      </c>
      <c r="C101" s="128">
        <f t="shared" si="3"/>
        <v>0</v>
      </c>
      <c r="D101" s="123"/>
      <c r="E101" s="262"/>
      <c r="F101" s="263">
        <f t="shared" si="4"/>
        <v>0</v>
      </c>
      <c r="G101" s="123"/>
      <c r="H101" s="124"/>
      <c r="I101" s="125">
        <f t="shared" si="5"/>
        <v>0</v>
      </c>
      <c r="J101" s="123"/>
      <c r="K101" s="124"/>
      <c r="L101" s="125">
        <f t="shared" si="6"/>
        <v>0</v>
      </c>
      <c r="M101" s="264"/>
      <c r="N101" s="262"/>
      <c r="O101" s="125">
        <f t="shared" si="7"/>
        <v>0</v>
      </c>
      <c r="P101" s="74"/>
      <c r="R101" s="53"/>
      <c r="S101" s="53"/>
      <c r="T101" s="53"/>
    </row>
    <row r="102" spans="1:20" ht="36" x14ac:dyDescent="0.25">
      <c r="A102" s="76">
        <v>2234</v>
      </c>
      <c r="B102" s="127" t="s">
        <v>118</v>
      </c>
      <c r="C102" s="128">
        <f t="shared" si="3"/>
        <v>42</v>
      </c>
      <c r="D102" s="134">
        <v>42</v>
      </c>
      <c r="E102" s="283"/>
      <c r="F102" s="279">
        <f t="shared" si="4"/>
        <v>42</v>
      </c>
      <c r="G102" s="134"/>
      <c r="H102" s="135"/>
      <c r="I102" s="136">
        <f t="shared" si="5"/>
        <v>0</v>
      </c>
      <c r="J102" s="134"/>
      <c r="K102" s="135"/>
      <c r="L102" s="136">
        <f t="shared" si="6"/>
        <v>0</v>
      </c>
      <c r="M102" s="284"/>
      <c r="N102" s="285"/>
      <c r="O102" s="136">
        <f t="shared" si="7"/>
        <v>0</v>
      </c>
      <c r="P102" s="85"/>
      <c r="R102" s="53"/>
      <c r="S102" s="53"/>
      <c r="T102" s="53"/>
    </row>
    <row r="103" spans="1:20" ht="24" hidden="1" x14ac:dyDescent="0.25">
      <c r="A103" s="76">
        <v>2235</v>
      </c>
      <c r="B103" s="127" t="s">
        <v>119</v>
      </c>
      <c r="C103" s="128">
        <f t="shared" si="3"/>
        <v>0</v>
      </c>
      <c r="D103" s="134"/>
      <c r="E103" s="285"/>
      <c r="F103" s="286">
        <f t="shared" si="4"/>
        <v>0</v>
      </c>
      <c r="G103" s="134"/>
      <c r="H103" s="135"/>
      <c r="I103" s="136">
        <f t="shared" si="5"/>
        <v>0</v>
      </c>
      <c r="J103" s="134"/>
      <c r="K103" s="135"/>
      <c r="L103" s="136">
        <f t="shared" si="6"/>
        <v>0</v>
      </c>
      <c r="M103" s="284"/>
      <c r="N103" s="285"/>
      <c r="O103" s="136">
        <f t="shared" si="7"/>
        <v>0</v>
      </c>
      <c r="P103" s="85"/>
      <c r="R103" s="53"/>
      <c r="S103" s="53"/>
      <c r="T103" s="53"/>
    </row>
    <row r="104" spans="1:20" hidden="1" x14ac:dyDescent="0.25">
      <c r="A104" s="76">
        <v>2236</v>
      </c>
      <c r="B104" s="127" t="s">
        <v>120</v>
      </c>
      <c r="C104" s="128">
        <f t="shared" si="3"/>
        <v>0</v>
      </c>
      <c r="D104" s="134"/>
      <c r="E104" s="285"/>
      <c r="F104" s="286">
        <f t="shared" si="4"/>
        <v>0</v>
      </c>
      <c r="G104" s="134"/>
      <c r="H104" s="135"/>
      <c r="I104" s="136">
        <f t="shared" si="5"/>
        <v>0</v>
      </c>
      <c r="J104" s="134"/>
      <c r="K104" s="135"/>
      <c r="L104" s="136">
        <f t="shared" si="6"/>
        <v>0</v>
      </c>
      <c r="M104" s="284"/>
      <c r="N104" s="285"/>
      <c r="O104" s="136">
        <f t="shared" si="7"/>
        <v>0</v>
      </c>
      <c r="P104" s="85"/>
      <c r="R104" s="53"/>
      <c r="S104" s="53"/>
      <c r="T104" s="53"/>
    </row>
    <row r="105" spans="1:20" ht="24" x14ac:dyDescent="0.25">
      <c r="A105" s="76">
        <v>2239</v>
      </c>
      <c r="B105" s="127" t="s">
        <v>121</v>
      </c>
      <c r="C105" s="128">
        <f t="shared" si="3"/>
        <v>1390</v>
      </c>
      <c r="D105" s="134">
        <v>1390</v>
      </c>
      <c r="E105" s="283"/>
      <c r="F105" s="279">
        <f t="shared" si="4"/>
        <v>1390</v>
      </c>
      <c r="G105" s="134"/>
      <c r="H105" s="135"/>
      <c r="I105" s="136">
        <f t="shared" si="5"/>
        <v>0</v>
      </c>
      <c r="J105" s="134"/>
      <c r="K105" s="135"/>
      <c r="L105" s="136">
        <f t="shared" si="6"/>
        <v>0</v>
      </c>
      <c r="M105" s="284"/>
      <c r="N105" s="285"/>
      <c r="O105" s="136">
        <f t="shared" si="7"/>
        <v>0</v>
      </c>
      <c r="P105" s="85"/>
      <c r="R105" s="53"/>
      <c r="S105" s="53"/>
      <c r="T105" s="53"/>
    </row>
    <row r="106" spans="1:20" ht="36" x14ac:dyDescent="0.25">
      <c r="A106" s="276">
        <v>2240</v>
      </c>
      <c r="B106" s="127" t="s">
        <v>122</v>
      </c>
      <c r="C106" s="128">
        <f t="shared" si="3"/>
        <v>5032</v>
      </c>
      <c r="D106" s="277">
        <f>SUM(D107:D114)</f>
        <v>5032</v>
      </c>
      <c r="E106" s="278">
        <f>SUM(E107:E114)</f>
        <v>0</v>
      </c>
      <c r="F106" s="279">
        <f t="shared" si="4"/>
        <v>5032</v>
      </c>
      <c r="G106" s="277">
        <f>SUM(G107:G114)</f>
        <v>0</v>
      </c>
      <c r="H106" s="280">
        <f>SUM(H107:H114)</f>
        <v>0</v>
      </c>
      <c r="I106" s="136">
        <f t="shared" si="5"/>
        <v>0</v>
      </c>
      <c r="J106" s="277">
        <f>SUM(J107:J114)</f>
        <v>0</v>
      </c>
      <c r="K106" s="280">
        <f>SUM(K107:K114)</f>
        <v>0</v>
      </c>
      <c r="L106" s="136">
        <f t="shared" si="6"/>
        <v>0</v>
      </c>
      <c r="M106" s="281">
        <f>SUM(M107:M114)</f>
        <v>0</v>
      </c>
      <c r="N106" s="282">
        <f>SUM(N107:N114)</f>
        <v>0</v>
      </c>
      <c r="O106" s="136">
        <f t="shared" si="7"/>
        <v>0</v>
      </c>
      <c r="P106" s="85"/>
      <c r="R106" s="53"/>
      <c r="S106" s="53"/>
      <c r="T106" s="53"/>
    </row>
    <row r="107" spans="1:20" hidden="1" x14ac:dyDescent="0.25">
      <c r="A107" s="76">
        <v>2241</v>
      </c>
      <c r="B107" s="127" t="s">
        <v>123</v>
      </c>
      <c r="C107" s="128">
        <f t="shared" si="3"/>
        <v>0</v>
      </c>
      <c r="D107" s="134"/>
      <c r="E107" s="285"/>
      <c r="F107" s="286">
        <f t="shared" si="4"/>
        <v>0</v>
      </c>
      <c r="G107" s="134"/>
      <c r="H107" s="135"/>
      <c r="I107" s="136">
        <f t="shared" si="5"/>
        <v>0</v>
      </c>
      <c r="J107" s="134"/>
      <c r="K107" s="135"/>
      <c r="L107" s="136">
        <f t="shared" si="6"/>
        <v>0</v>
      </c>
      <c r="M107" s="284"/>
      <c r="N107" s="285"/>
      <c r="O107" s="136">
        <f t="shared" si="7"/>
        <v>0</v>
      </c>
      <c r="P107" s="85"/>
      <c r="R107" s="53"/>
      <c r="S107" s="53"/>
      <c r="T107" s="53"/>
    </row>
    <row r="108" spans="1:20" ht="24" hidden="1" x14ac:dyDescent="0.25">
      <c r="A108" s="76">
        <v>2242</v>
      </c>
      <c r="B108" s="127" t="s">
        <v>124</v>
      </c>
      <c r="C108" s="128">
        <f t="shared" si="3"/>
        <v>0</v>
      </c>
      <c r="D108" s="134"/>
      <c r="E108" s="285"/>
      <c r="F108" s="286">
        <f t="shared" si="4"/>
        <v>0</v>
      </c>
      <c r="G108" s="134"/>
      <c r="H108" s="135"/>
      <c r="I108" s="136">
        <f t="shared" si="5"/>
        <v>0</v>
      </c>
      <c r="J108" s="134"/>
      <c r="K108" s="135"/>
      <c r="L108" s="136">
        <f t="shared" si="6"/>
        <v>0</v>
      </c>
      <c r="M108" s="284"/>
      <c r="N108" s="285"/>
      <c r="O108" s="136">
        <f t="shared" si="7"/>
        <v>0</v>
      </c>
      <c r="P108" s="85"/>
      <c r="R108" s="53"/>
      <c r="S108" s="53"/>
      <c r="T108" s="53"/>
    </row>
    <row r="109" spans="1:20" ht="24" x14ac:dyDescent="0.25">
      <c r="A109" s="76">
        <v>2243</v>
      </c>
      <c r="B109" s="127" t="s">
        <v>125</v>
      </c>
      <c r="C109" s="128">
        <f t="shared" si="3"/>
        <v>1547</v>
      </c>
      <c r="D109" s="134">
        <v>1547</v>
      </c>
      <c r="E109" s="283"/>
      <c r="F109" s="279">
        <f t="shared" si="4"/>
        <v>1547</v>
      </c>
      <c r="G109" s="134"/>
      <c r="H109" s="135"/>
      <c r="I109" s="136">
        <f t="shared" si="5"/>
        <v>0</v>
      </c>
      <c r="J109" s="134"/>
      <c r="K109" s="135"/>
      <c r="L109" s="136">
        <f t="shared" si="6"/>
        <v>0</v>
      </c>
      <c r="M109" s="284"/>
      <c r="N109" s="285"/>
      <c r="O109" s="136">
        <f t="shared" si="7"/>
        <v>0</v>
      </c>
      <c r="P109" s="85"/>
      <c r="R109" s="53"/>
      <c r="S109" s="53"/>
      <c r="T109" s="53"/>
    </row>
    <row r="110" spans="1:20" x14ac:dyDescent="0.25">
      <c r="A110" s="76">
        <v>2244</v>
      </c>
      <c r="B110" s="127" t="s">
        <v>126</v>
      </c>
      <c r="C110" s="128">
        <f t="shared" si="3"/>
        <v>3485</v>
      </c>
      <c r="D110" s="134">
        <v>3485</v>
      </c>
      <c r="E110" s="283"/>
      <c r="F110" s="279">
        <f t="shared" si="4"/>
        <v>3485</v>
      </c>
      <c r="G110" s="134"/>
      <c r="H110" s="135"/>
      <c r="I110" s="136">
        <f t="shared" si="5"/>
        <v>0</v>
      </c>
      <c r="J110" s="134"/>
      <c r="K110" s="135"/>
      <c r="L110" s="136">
        <f t="shared" si="6"/>
        <v>0</v>
      </c>
      <c r="M110" s="284"/>
      <c r="N110" s="285"/>
      <c r="O110" s="136">
        <f t="shared" si="7"/>
        <v>0</v>
      </c>
      <c r="P110" s="85"/>
      <c r="R110" s="53"/>
      <c r="S110" s="53"/>
      <c r="T110" s="53"/>
    </row>
    <row r="111" spans="1:20" ht="24" hidden="1" x14ac:dyDescent="0.25">
      <c r="A111" s="76">
        <v>2246</v>
      </c>
      <c r="B111" s="127" t="s">
        <v>127</v>
      </c>
      <c r="C111" s="128">
        <f t="shared" si="3"/>
        <v>0</v>
      </c>
      <c r="D111" s="134"/>
      <c r="E111" s="285"/>
      <c r="F111" s="286">
        <f t="shared" si="4"/>
        <v>0</v>
      </c>
      <c r="G111" s="134"/>
      <c r="H111" s="135"/>
      <c r="I111" s="136">
        <f t="shared" si="5"/>
        <v>0</v>
      </c>
      <c r="J111" s="134"/>
      <c r="K111" s="135"/>
      <c r="L111" s="136">
        <f t="shared" si="6"/>
        <v>0</v>
      </c>
      <c r="M111" s="284"/>
      <c r="N111" s="285"/>
      <c r="O111" s="136">
        <f t="shared" si="7"/>
        <v>0</v>
      </c>
      <c r="P111" s="85"/>
      <c r="R111" s="53"/>
      <c r="S111" s="53"/>
      <c r="T111" s="53"/>
    </row>
    <row r="112" spans="1:20" hidden="1" x14ac:dyDescent="0.25">
      <c r="A112" s="76">
        <v>2247</v>
      </c>
      <c r="B112" s="127" t="s">
        <v>128</v>
      </c>
      <c r="C112" s="128">
        <f t="shared" si="3"/>
        <v>0</v>
      </c>
      <c r="D112" s="134"/>
      <c r="E112" s="285"/>
      <c r="F112" s="286">
        <f t="shared" si="4"/>
        <v>0</v>
      </c>
      <c r="G112" s="134"/>
      <c r="H112" s="135"/>
      <c r="I112" s="136">
        <f t="shared" si="5"/>
        <v>0</v>
      </c>
      <c r="J112" s="134"/>
      <c r="K112" s="135"/>
      <c r="L112" s="136">
        <f t="shared" si="6"/>
        <v>0</v>
      </c>
      <c r="M112" s="284"/>
      <c r="N112" s="285"/>
      <c r="O112" s="136">
        <f t="shared" si="7"/>
        <v>0</v>
      </c>
      <c r="P112" s="85"/>
      <c r="R112" s="53"/>
      <c r="S112" s="53"/>
      <c r="T112" s="53"/>
    </row>
    <row r="113" spans="1:20" ht="24" hidden="1" x14ac:dyDescent="0.25">
      <c r="A113" s="76">
        <v>2248</v>
      </c>
      <c r="B113" s="127" t="s">
        <v>129</v>
      </c>
      <c r="C113" s="128">
        <f t="shared" si="3"/>
        <v>0</v>
      </c>
      <c r="D113" s="134"/>
      <c r="E113" s="285"/>
      <c r="F113" s="286">
        <f t="shared" si="4"/>
        <v>0</v>
      </c>
      <c r="G113" s="134"/>
      <c r="H113" s="135"/>
      <c r="I113" s="136">
        <f t="shared" si="5"/>
        <v>0</v>
      </c>
      <c r="J113" s="134"/>
      <c r="K113" s="135"/>
      <c r="L113" s="136">
        <f t="shared" si="6"/>
        <v>0</v>
      </c>
      <c r="M113" s="284"/>
      <c r="N113" s="285"/>
      <c r="O113" s="136">
        <f t="shared" si="7"/>
        <v>0</v>
      </c>
      <c r="P113" s="85"/>
      <c r="R113" s="53"/>
      <c r="S113" s="53"/>
      <c r="T113" s="53"/>
    </row>
    <row r="114" spans="1:20" ht="24" hidden="1" x14ac:dyDescent="0.25">
      <c r="A114" s="76">
        <v>2249</v>
      </c>
      <c r="B114" s="127" t="s">
        <v>130</v>
      </c>
      <c r="C114" s="128">
        <f t="shared" si="3"/>
        <v>0</v>
      </c>
      <c r="D114" s="134"/>
      <c r="E114" s="285"/>
      <c r="F114" s="286">
        <f t="shared" si="4"/>
        <v>0</v>
      </c>
      <c r="G114" s="134"/>
      <c r="H114" s="135"/>
      <c r="I114" s="136">
        <f t="shared" si="5"/>
        <v>0</v>
      </c>
      <c r="J114" s="134"/>
      <c r="K114" s="135"/>
      <c r="L114" s="136">
        <f t="shared" si="6"/>
        <v>0</v>
      </c>
      <c r="M114" s="284"/>
      <c r="N114" s="285"/>
      <c r="O114" s="136">
        <f t="shared" si="7"/>
        <v>0</v>
      </c>
      <c r="P114" s="85"/>
      <c r="R114" s="53"/>
      <c r="S114" s="53"/>
      <c r="T114" s="53"/>
    </row>
    <row r="115" spans="1:20" x14ac:dyDescent="0.25">
      <c r="A115" s="276">
        <v>2250</v>
      </c>
      <c r="B115" s="127" t="s">
        <v>131</v>
      </c>
      <c r="C115" s="128">
        <f t="shared" si="3"/>
        <v>540</v>
      </c>
      <c r="D115" s="277">
        <f>SUM(D116:D118)</f>
        <v>540</v>
      </c>
      <c r="E115" s="278">
        <f>SUM(E116:E118)</f>
        <v>0</v>
      </c>
      <c r="F115" s="279">
        <f t="shared" si="4"/>
        <v>540</v>
      </c>
      <c r="G115" s="277">
        <f>SUM(G116:G118)</f>
        <v>0</v>
      </c>
      <c r="H115" s="280">
        <f>SUM(H116:H118)</f>
        <v>0</v>
      </c>
      <c r="I115" s="136">
        <f t="shared" si="5"/>
        <v>0</v>
      </c>
      <c r="J115" s="277">
        <f>SUM(J116:J118)</f>
        <v>0</v>
      </c>
      <c r="K115" s="280">
        <f>SUM(K116:K118)</f>
        <v>0</v>
      </c>
      <c r="L115" s="136">
        <f t="shared" si="6"/>
        <v>0</v>
      </c>
      <c r="M115" s="281">
        <f>SUM(M116:M118)</f>
        <v>0</v>
      </c>
      <c r="N115" s="282">
        <f>SUM(N116:N118)</f>
        <v>0</v>
      </c>
      <c r="O115" s="136">
        <f t="shared" si="7"/>
        <v>0</v>
      </c>
      <c r="P115" s="85"/>
      <c r="R115" s="53"/>
      <c r="S115" s="53"/>
      <c r="T115" s="53"/>
    </row>
    <row r="116" spans="1:20" hidden="1" x14ac:dyDescent="0.25">
      <c r="A116" s="76">
        <v>2251</v>
      </c>
      <c r="B116" s="127" t="s">
        <v>132</v>
      </c>
      <c r="C116" s="128">
        <f t="shared" si="3"/>
        <v>0</v>
      </c>
      <c r="D116" s="134"/>
      <c r="E116" s="285"/>
      <c r="F116" s="286">
        <f t="shared" si="4"/>
        <v>0</v>
      </c>
      <c r="G116" s="134"/>
      <c r="H116" s="135"/>
      <c r="I116" s="136">
        <f t="shared" si="5"/>
        <v>0</v>
      </c>
      <c r="J116" s="134"/>
      <c r="K116" s="135"/>
      <c r="L116" s="136">
        <f t="shared" si="6"/>
        <v>0</v>
      </c>
      <c r="M116" s="284"/>
      <c r="N116" s="285"/>
      <c r="O116" s="136">
        <f t="shared" si="7"/>
        <v>0</v>
      </c>
      <c r="P116" s="85"/>
      <c r="R116" s="53"/>
      <c r="S116" s="53"/>
      <c r="T116" s="53"/>
    </row>
    <row r="117" spans="1:20" ht="24" x14ac:dyDescent="0.25">
      <c r="A117" s="76">
        <v>2252</v>
      </c>
      <c r="B117" s="127" t="s">
        <v>133</v>
      </c>
      <c r="C117" s="128">
        <f t="shared" ref="C117:C181" si="8">F117+I117+L117+O117</f>
        <v>100</v>
      </c>
      <c r="D117" s="134">
        <v>100</v>
      </c>
      <c r="E117" s="283"/>
      <c r="F117" s="279">
        <f t="shared" si="4"/>
        <v>100</v>
      </c>
      <c r="G117" s="134"/>
      <c r="H117" s="135"/>
      <c r="I117" s="136">
        <f t="shared" si="5"/>
        <v>0</v>
      </c>
      <c r="J117" s="134"/>
      <c r="K117" s="135"/>
      <c r="L117" s="136">
        <f t="shared" si="6"/>
        <v>0</v>
      </c>
      <c r="M117" s="284"/>
      <c r="N117" s="285"/>
      <c r="O117" s="136">
        <f t="shared" si="7"/>
        <v>0</v>
      </c>
      <c r="P117" s="85"/>
      <c r="R117" s="53"/>
      <c r="S117" s="53"/>
      <c r="T117" s="53"/>
    </row>
    <row r="118" spans="1:20" ht="24" x14ac:dyDescent="0.25">
      <c r="A118" s="76">
        <v>2259</v>
      </c>
      <c r="B118" s="127" t="s">
        <v>134</v>
      </c>
      <c r="C118" s="128">
        <f t="shared" si="8"/>
        <v>440</v>
      </c>
      <c r="D118" s="134">
        <v>440</v>
      </c>
      <c r="E118" s="283"/>
      <c r="F118" s="279">
        <f t="shared" ref="F118:F182" si="9">D118+E118</f>
        <v>440</v>
      </c>
      <c r="G118" s="134"/>
      <c r="H118" s="135"/>
      <c r="I118" s="136">
        <f t="shared" ref="I118:I182" si="10">G118+H118</f>
        <v>0</v>
      </c>
      <c r="J118" s="134"/>
      <c r="K118" s="135"/>
      <c r="L118" s="136">
        <f t="shared" ref="L118:L182" si="11">J118+K118</f>
        <v>0</v>
      </c>
      <c r="M118" s="284"/>
      <c r="N118" s="285"/>
      <c r="O118" s="136">
        <f t="shared" ref="O118:O182" si="12">M118+N118</f>
        <v>0</v>
      </c>
      <c r="P118" s="85"/>
      <c r="R118" s="53"/>
      <c r="S118" s="53"/>
      <c r="T118" s="53"/>
    </row>
    <row r="119" spans="1:20" x14ac:dyDescent="0.25">
      <c r="A119" s="276">
        <v>2260</v>
      </c>
      <c r="B119" s="127" t="s">
        <v>135</v>
      </c>
      <c r="C119" s="128">
        <f t="shared" si="8"/>
        <v>2509</v>
      </c>
      <c r="D119" s="277">
        <f>SUM(D120:D124)</f>
        <v>2462</v>
      </c>
      <c r="E119" s="278">
        <f>SUM(E120:E124)</f>
        <v>0</v>
      </c>
      <c r="F119" s="279">
        <f t="shared" si="9"/>
        <v>2462</v>
      </c>
      <c r="G119" s="277">
        <f>SUM(G120:G124)</f>
        <v>0</v>
      </c>
      <c r="H119" s="280">
        <f>SUM(H120:H124)</f>
        <v>0</v>
      </c>
      <c r="I119" s="136">
        <f t="shared" si="10"/>
        <v>0</v>
      </c>
      <c r="J119" s="277">
        <f>SUM(J120:J124)</f>
        <v>47</v>
      </c>
      <c r="K119" s="280">
        <f>SUM(K120:K124)</f>
        <v>0</v>
      </c>
      <c r="L119" s="136">
        <f t="shared" si="11"/>
        <v>47</v>
      </c>
      <c r="M119" s="281">
        <f>SUM(M120:M124)</f>
        <v>0</v>
      </c>
      <c r="N119" s="282">
        <f>SUM(N120:N124)</f>
        <v>0</v>
      </c>
      <c r="O119" s="136">
        <f t="shared" si="12"/>
        <v>0</v>
      </c>
      <c r="P119" s="85"/>
      <c r="R119" s="53"/>
      <c r="S119" s="53"/>
      <c r="T119" s="53"/>
    </row>
    <row r="120" spans="1:20" hidden="1" x14ac:dyDescent="0.25">
      <c r="A120" s="76">
        <v>2261</v>
      </c>
      <c r="B120" s="127" t="s">
        <v>136</v>
      </c>
      <c r="C120" s="128">
        <f t="shared" si="8"/>
        <v>0</v>
      </c>
      <c r="D120" s="134"/>
      <c r="E120" s="285"/>
      <c r="F120" s="286">
        <f t="shared" si="9"/>
        <v>0</v>
      </c>
      <c r="G120" s="134"/>
      <c r="H120" s="135"/>
      <c r="I120" s="136">
        <f t="shared" si="10"/>
        <v>0</v>
      </c>
      <c r="J120" s="134"/>
      <c r="K120" s="135"/>
      <c r="L120" s="136">
        <f t="shared" si="11"/>
        <v>0</v>
      </c>
      <c r="M120" s="284"/>
      <c r="N120" s="285"/>
      <c r="O120" s="136">
        <f t="shared" si="12"/>
        <v>0</v>
      </c>
      <c r="P120" s="85"/>
      <c r="R120" s="53"/>
      <c r="S120" s="53"/>
      <c r="T120" s="53"/>
    </row>
    <row r="121" spans="1:20" x14ac:dyDescent="0.25">
      <c r="A121" s="76">
        <v>2262</v>
      </c>
      <c r="B121" s="127" t="s">
        <v>137</v>
      </c>
      <c r="C121" s="128">
        <f t="shared" si="8"/>
        <v>2462</v>
      </c>
      <c r="D121" s="134">
        <v>2462</v>
      </c>
      <c r="E121" s="283"/>
      <c r="F121" s="279">
        <f t="shared" si="9"/>
        <v>2462</v>
      </c>
      <c r="G121" s="134"/>
      <c r="H121" s="135"/>
      <c r="I121" s="136">
        <f t="shared" si="10"/>
        <v>0</v>
      </c>
      <c r="J121" s="134"/>
      <c r="K121" s="135"/>
      <c r="L121" s="136">
        <f t="shared" si="11"/>
        <v>0</v>
      </c>
      <c r="M121" s="284"/>
      <c r="N121" s="285"/>
      <c r="O121" s="136">
        <f t="shared" si="12"/>
        <v>0</v>
      </c>
      <c r="P121" s="85"/>
      <c r="R121" s="53"/>
      <c r="S121" s="53"/>
      <c r="T121" s="53"/>
    </row>
    <row r="122" spans="1:20" hidden="1" x14ac:dyDescent="0.25">
      <c r="A122" s="76">
        <v>2263</v>
      </c>
      <c r="B122" s="127" t="s">
        <v>138</v>
      </c>
      <c r="C122" s="128">
        <f t="shared" si="8"/>
        <v>0</v>
      </c>
      <c r="D122" s="134"/>
      <c r="E122" s="285"/>
      <c r="F122" s="286">
        <f t="shared" si="9"/>
        <v>0</v>
      </c>
      <c r="G122" s="134"/>
      <c r="H122" s="135"/>
      <c r="I122" s="136">
        <f t="shared" si="10"/>
        <v>0</v>
      </c>
      <c r="J122" s="134"/>
      <c r="K122" s="135"/>
      <c r="L122" s="136">
        <f t="shared" si="11"/>
        <v>0</v>
      </c>
      <c r="M122" s="284"/>
      <c r="N122" s="285"/>
      <c r="O122" s="136">
        <f t="shared" si="12"/>
        <v>0</v>
      </c>
      <c r="P122" s="85"/>
      <c r="R122" s="53"/>
      <c r="S122" s="53"/>
      <c r="T122" s="53"/>
    </row>
    <row r="123" spans="1:20" ht="24" hidden="1" x14ac:dyDescent="0.25">
      <c r="A123" s="76">
        <v>2264</v>
      </c>
      <c r="B123" s="127" t="s">
        <v>139</v>
      </c>
      <c r="C123" s="128">
        <f t="shared" si="8"/>
        <v>0</v>
      </c>
      <c r="D123" s="134"/>
      <c r="E123" s="285"/>
      <c r="F123" s="286">
        <f t="shared" si="9"/>
        <v>0</v>
      </c>
      <c r="G123" s="134"/>
      <c r="H123" s="135"/>
      <c r="I123" s="136">
        <f t="shared" si="10"/>
        <v>0</v>
      </c>
      <c r="J123" s="134"/>
      <c r="K123" s="135"/>
      <c r="L123" s="136">
        <f t="shared" si="11"/>
        <v>0</v>
      </c>
      <c r="M123" s="284"/>
      <c r="N123" s="285"/>
      <c r="O123" s="136">
        <f t="shared" si="12"/>
        <v>0</v>
      </c>
      <c r="P123" s="85"/>
      <c r="R123" s="53"/>
      <c r="S123" s="53"/>
      <c r="T123" s="53"/>
    </row>
    <row r="124" spans="1:20" x14ac:dyDescent="0.25">
      <c r="A124" s="76">
        <v>2269</v>
      </c>
      <c r="B124" s="127" t="s">
        <v>140</v>
      </c>
      <c r="C124" s="128">
        <f t="shared" si="8"/>
        <v>47</v>
      </c>
      <c r="D124" s="134"/>
      <c r="E124" s="283"/>
      <c r="F124" s="279">
        <f t="shared" si="9"/>
        <v>0</v>
      </c>
      <c r="G124" s="134"/>
      <c r="H124" s="135"/>
      <c r="I124" s="136">
        <f t="shared" si="10"/>
        <v>0</v>
      </c>
      <c r="J124" s="134">
        <v>47</v>
      </c>
      <c r="K124" s="135"/>
      <c r="L124" s="136">
        <f t="shared" si="11"/>
        <v>47</v>
      </c>
      <c r="M124" s="284"/>
      <c r="N124" s="285"/>
      <c r="O124" s="136">
        <f t="shared" si="12"/>
        <v>0</v>
      </c>
      <c r="P124" s="85"/>
      <c r="R124" s="53"/>
      <c r="S124" s="53"/>
      <c r="T124" s="53"/>
    </row>
    <row r="125" spans="1:20" x14ac:dyDescent="0.25">
      <c r="A125" s="276">
        <v>2270</v>
      </c>
      <c r="B125" s="127" t="s">
        <v>141</v>
      </c>
      <c r="C125" s="128">
        <f t="shared" si="8"/>
        <v>6061</v>
      </c>
      <c r="D125" s="277">
        <f>SUM(D126:D130)</f>
        <v>6061</v>
      </c>
      <c r="E125" s="278">
        <f>SUM(E126:E130)</f>
        <v>0</v>
      </c>
      <c r="F125" s="279">
        <f t="shared" si="9"/>
        <v>6061</v>
      </c>
      <c r="G125" s="277">
        <f>SUM(G126:G130)</f>
        <v>0</v>
      </c>
      <c r="H125" s="280">
        <f>SUM(H126:H130)</f>
        <v>0</v>
      </c>
      <c r="I125" s="136">
        <f t="shared" si="10"/>
        <v>0</v>
      </c>
      <c r="J125" s="277">
        <f>SUM(J126:J130)</f>
        <v>0</v>
      </c>
      <c r="K125" s="280">
        <f>SUM(K126:K130)</f>
        <v>0</v>
      </c>
      <c r="L125" s="136">
        <f t="shared" si="11"/>
        <v>0</v>
      </c>
      <c r="M125" s="281">
        <f>SUM(M126:M130)</f>
        <v>0</v>
      </c>
      <c r="N125" s="282">
        <f>SUM(N126:N130)</f>
        <v>0</v>
      </c>
      <c r="O125" s="136">
        <f t="shared" si="12"/>
        <v>0</v>
      </c>
      <c r="P125" s="85"/>
      <c r="R125" s="53"/>
      <c r="S125" s="53"/>
      <c r="T125" s="53"/>
    </row>
    <row r="126" spans="1:20" hidden="1" x14ac:dyDescent="0.25">
      <c r="A126" s="76">
        <v>2272</v>
      </c>
      <c r="B126" s="5" t="s">
        <v>142</v>
      </c>
      <c r="C126" s="128">
        <f t="shared" si="8"/>
        <v>0</v>
      </c>
      <c r="D126" s="134"/>
      <c r="E126" s="285"/>
      <c r="F126" s="286">
        <f t="shared" si="9"/>
        <v>0</v>
      </c>
      <c r="G126" s="134"/>
      <c r="H126" s="135"/>
      <c r="I126" s="136">
        <f t="shared" si="10"/>
        <v>0</v>
      </c>
      <c r="J126" s="134"/>
      <c r="K126" s="135"/>
      <c r="L126" s="136">
        <f t="shared" si="11"/>
        <v>0</v>
      </c>
      <c r="M126" s="284"/>
      <c r="N126" s="285"/>
      <c r="O126" s="136">
        <f t="shared" si="12"/>
        <v>0</v>
      </c>
      <c r="P126" s="85"/>
      <c r="R126" s="53"/>
      <c r="S126" s="53"/>
      <c r="T126" s="53"/>
    </row>
    <row r="127" spans="1:20" ht="24" hidden="1" x14ac:dyDescent="0.25">
      <c r="A127" s="76">
        <v>2275</v>
      </c>
      <c r="B127" s="127" t="s">
        <v>143</v>
      </c>
      <c r="C127" s="128">
        <f t="shared" si="8"/>
        <v>0</v>
      </c>
      <c r="D127" s="134"/>
      <c r="E127" s="285"/>
      <c r="F127" s="286">
        <f t="shared" si="9"/>
        <v>0</v>
      </c>
      <c r="G127" s="134"/>
      <c r="H127" s="135"/>
      <c r="I127" s="136">
        <f t="shared" si="10"/>
        <v>0</v>
      </c>
      <c r="J127" s="134"/>
      <c r="K127" s="135"/>
      <c r="L127" s="136">
        <f t="shared" si="11"/>
        <v>0</v>
      </c>
      <c r="M127" s="284"/>
      <c r="N127" s="285"/>
      <c r="O127" s="136">
        <f t="shared" si="12"/>
        <v>0</v>
      </c>
      <c r="P127" s="85"/>
      <c r="R127" s="53"/>
      <c r="S127" s="53"/>
      <c r="T127" s="53"/>
    </row>
    <row r="128" spans="1:20" ht="36" hidden="1" x14ac:dyDescent="0.25">
      <c r="A128" s="76">
        <v>2276</v>
      </c>
      <c r="B128" s="127" t="s">
        <v>144</v>
      </c>
      <c r="C128" s="128">
        <f t="shared" si="8"/>
        <v>0</v>
      </c>
      <c r="D128" s="134"/>
      <c r="E128" s="285"/>
      <c r="F128" s="286">
        <f t="shared" si="9"/>
        <v>0</v>
      </c>
      <c r="G128" s="134"/>
      <c r="H128" s="135"/>
      <c r="I128" s="136">
        <f t="shared" si="10"/>
        <v>0</v>
      </c>
      <c r="J128" s="134"/>
      <c r="K128" s="135"/>
      <c r="L128" s="136">
        <f t="shared" si="11"/>
        <v>0</v>
      </c>
      <c r="M128" s="284"/>
      <c r="N128" s="285"/>
      <c r="O128" s="136">
        <f t="shared" si="12"/>
        <v>0</v>
      </c>
      <c r="P128" s="85"/>
      <c r="R128" s="53"/>
      <c r="S128" s="53"/>
      <c r="T128" s="53"/>
    </row>
    <row r="129" spans="1:20" ht="24" hidden="1" x14ac:dyDescent="0.25">
      <c r="A129" s="76">
        <v>2278</v>
      </c>
      <c r="B129" s="127" t="s">
        <v>145</v>
      </c>
      <c r="C129" s="128">
        <f t="shared" si="8"/>
        <v>0</v>
      </c>
      <c r="D129" s="134"/>
      <c r="E129" s="285"/>
      <c r="F129" s="286">
        <f t="shared" si="9"/>
        <v>0</v>
      </c>
      <c r="G129" s="134"/>
      <c r="H129" s="135"/>
      <c r="I129" s="136">
        <f t="shared" si="10"/>
        <v>0</v>
      </c>
      <c r="J129" s="134"/>
      <c r="K129" s="135"/>
      <c r="L129" s="136">
        <f t="shared" si="11"/>
        <v>0</v>
      </c>
      <c r="M129" s="284"/>
      <c r="N129" s="285"/>
      <c r="O129" s="136">
        <f t="shared" si="12"/>
        <v>0</v>
      </c>
      <c r="P129" s="85"/>
      <c r="R129" s="53"/>
      <c r="S129" s="53"/>
      <c r="T129" s="53"/>
    </row>
    <row r="130" spans="1:20" ht="24" x14ac:dyDescent="0.25">
      <c r="A130" s="76">
        <v>2279</v>
      </c>
      <c r="B130" s="127" t="s">
        <v>146</v>
      </c>
      <c r="C130" s="128">
        <f t="shared" si="8"/>
        <v>6061</v>
      </c>
      <c r="D130" s="134">
        <v>6061</v>
      </c>
      <c r="E130" s="283"/>
      <c r="F130" s="279">
        <f t="shared" si="9"/>
        <v>6061</v>
      </c>
      <c r="G130" s="134"/>
      <c r="H130" s="135"/>
      <c r="I130" s="136">
        <f t="shared" si="10"/>
        <v>0</v>
      </c>
      <c r="J130" s="134"/>
      <c r="K130" s="135"/>
      <c r="L130" s="136">
        <f t="shared" si="11"/>
        <v>0</v>
      </c>
      <c r="M130" s="284"/>
      <c r="N130" s="285"/>
      <c r="O130" s="136">
        <f t="shared" si="12"/>
        <v>0</v>
      </c>
      <c r="P130" s="85"/>
      <c r="R130" s="53"/>
      <c r="S130" s="53"/>
      <c r="T130" s="53"/>
    </row>
    <row r="131" spans="1:20" ht="24" hidden="1" x14ac:dyDescent="0.25">
      <c r="A131" s="656">
        <v>2280</v>
      </c>
      <c r="B131" s="116" t="s">
        <v>147</v>
      </c>
      <c r="C131" s="128">
        <f t="shared" si="8"/>
        <v>0</v>
      </c>
      <c r="D131" s="297">
        <f t="shared" ref="D131:N131" si="13">SUM(D132)</f>
        <v>0</v>
      </c>
      <c r="E131" s="301">
        <f t="shared" si="13"/>
        <v>0</v>
      </c>
      <c r="F131" s="263">
        <f t="shared" si="9"/>
        <v>0</v>
      </c>
      <c r="G131" s="297">
        <f>SUM(G132)</f>
        <v>0</v>
      </c>
      <c r="H131" s="299">
        <f t="shared" si="13"/>
        <v>0</v>
      </c>
      <c r="I131" s="125">
        <f t="shared" si="10"/>
        <v>0</v>
      </c>
      <c r="J131" s="297">
        <f>SUM(J132)</f>
        <v>0</v>
      </c>
      <c r="K131" s="299">
        <f t="shared" si="13"/>
        <v>0</v>
      </c>
      <c r="L131" s="125">
        <f t="shared" si="11"/>
        <v>0</v>
      </c>
      <c r="M131" s="281">
        <f t="shared" si="13"/>
        <v>0</v>
      </c>
      <c r="N131" s="282">
        <f t="shared" si="13"/>
        <v>0</v>
      </c>
      <c r="O131" s="136">
        <f t="shared" si="12"/>
        <v>0</v>
      </c>
      <c r="P131" s="85"/>
      <c r="R131" s="53"/>
      <c r="S131" s="53"/>
      <c r="T131" s="53"/>
    </row>
    <row r="132" spans="1:20" ht="24" hidden="1" x14ac:dyDescent="0.25">
      <c r="A132" s="76">
        <v>2283</v>
      </c>
      <c r="B132" s="127" t="s">
        <v>148</v>
      </c>
      <c r="C132" s="128">
        <f t="shared" si="8"/>
        <v>0</v>
      </c>
      <c r="D132" s="134"/>
      <c r="E132" s="285"/>
      <c r="F132" s="286">
        <f t="shared" si="9"/>
        <v>0</v>
      </c>
      <c r="G132" s="134"/>
      <c r="H132" s="135"/>
      <c r="I132" s="136">
        <f t="shared" si="10"/>
        <v>0</v>
      </c>
      <c r="J132" s="134"/>
      <c r="K132" s="135"/>
      <c r="L132" s="136">
        <f t="shared" si="11"/>
        <v>0</v>
      </c>
      <c r="M132" s="284"/>
      <c r="N132" s="285"/>
      <c r="O132" s="136">
        <f t="shared" si="12"/>
        <v>0</v>
      </c>
      <c r="P132" s="85"/>
      <c r="R132" s="53"/>
      <c r="S132" s="53"/>
      <c r="T132" s="53"/>
    </row>
    <row r="133" spans="1:20" ht="36" x14ac:dyDescent="0.25">
      <c r="A133" s="99">
        <v>2300</v>
      </c>
      <c r="B133" s="247" t="s">
        <v>149</v>
      </c>
      <c r="C133" s="100">
        <f t="shared" si="8"/>
        <v>31675</v>
      </c>
      <c r="D133" s="112">
        <f>SUM(D134,D139,D143,D144,D147,D154,D162,D163,D166)</f>
        <v>26988</v>
      </c>
      <c r="E133" s="248">
        <f>SUM(E134,E139,E143,E144,E147,E154,E162,E163,E166)</f>
        <v>0</v>
      </c>
      <c r="F133" s="249">
        <f t="shared" si="9"/>
        <v>26988</v>
      </c>
      <c r="G133" s="112">
        <f>SUM(G134,G139,G143,G144,G147,G154,G162,G163,G166)</f>
        <v>4062</v>
      </c>
      <c r="H133" s="113">
        <f>SUM(H134,H139,H143,H144,H147,H154,H162,H163,H166)</f>
        <v>0</v>
      </c>
      <c r="I133" s="114">
        <f t="shared" si="10"/>
        <v>4062</v>
      </c>
      <c r="J133" s="112">
        <f>SUM(J134,J139,J143,J144,J147,J154,J162,J163,J166)</f>
        <v>625</v>
      </c>
      <c r="K133" s="113">
        <f>SUM(K134,K139,K143,K144,K147,K154,K162,K163,K166)</f>
        <v>0</v>
      </c>
      <c r="L133" s="114">
        <f t="shared" si="11"/>
        <v>625</v>
      </c>
      <c r="M133" s="292">
        <f>SUM(M134,M139,M143,M144,M147,M154,M162,M163,M166)</f>
        <v>0</v>
      </c>
      <c r="N133" s="293">
        <f>SUM(N134,N139,N143,N144,N147,N154,N162,N163,N166)</f>
        <v>0</v>
      </c>
      <c r="O133" s="114">
        <f t="shared" si="12"/>
        <v>0</v>
      </c>
      <c r="P133" s="109"/>
      <c r="R133" s="53"/>
      <c r="S133" s="53"/>
      <c r="T133" s="53"/>
    </row>
    <row r="134" spans="1:20" ht="24" x14ac:dyDescent="0.25">
      <c r="A134" s="656">
        <v>2310</v>
      </c>
      <c r="B134" s="116" t="s">
        <v>150</v>
      </c>
      <c r="C134" s="117">
        <f t="shared" si="8"/>
        <v>13434</v>
      </c>
      <c r="D134" s="308">
        <f>SUM(D135:D138)</f>
        <v>13434</v>
      </c>
      <c r="E134" s="300">
        <f>SUM(E135:E138)</f>
        <v>0</v>
      </c>
      <c r="F134" s="296">
        <f t="shared" si="9"/>
        <v>13434</v>
      </c>
      <c r="G134" s="297">
        <f>SUM(G135:G138)</f>
        <v>0</v>
      </c>
      <c r="H134" s="299">
        <f>SUM(H135:H138)</f>
        <v>0</v>
      </c>
      <c r="I134" s="125">
        <f t="shared" si="10"/>
        <v>0</v>
      </c>
      <c r="J134" s="297">
        <f>SUM(J135:J138)</f>
        <v>0</v>
      </c>
      <c r="K134" s="299">
        <f>SUM(K135:K138)</f>
        <v>0</v>
      </c>
      <c r="L134" s="125">
        <f t="shared" si="11"/>
        <v>0</v>
      </c>
      <c r="M134" s="300">
        <f>SUM(M135:M138)</f>
        <v>0</v>
      </c>
      <c r="N134" s="301">
        <f>SUM(N135:N138)</f>
        <v>0</v>
      </c>
      <c r="O134" s="125">
        <f t="shared" si="12"/>
        <v>0</v>
      </c>
      <c r="P134" s="74"/>
      <c r="R134" s="53"/>
      <c r="S134" s="53"/>
      <c r="T134" s="53"/>
    </row>
    <row r="135" spans="1:20" x14ac:dyDescent="0.25">
      <c r="A135" s="76">
        <v>2311</v>
      </c>
      <c r="B135" s="127" t="s">
        <v>151</v>
      </c>
      <c r="C135" s="128">
        <f t="shared" si="8"/>
        <v>3187</v>
      </c>
      <c r="D135" s="134">
        <v>3187</v>
      </c>
      <c r="E135" s="283"/>
      <c r="F135" s="279">
        <f t="shared" si="9"/>
        <v>3187</v>
      </c>
      <c r="G135" s="134"/>
      <c r="H135" s="135"/>
      <c r="I135" s="136">
        <f t="shared" si="10"/>
        <v>0</v>
      </c>
      <c r="J135" s="134"/>
      <c r="K135" s="135"/>
      <c r="L135" s="136">
        <f t="shared" si="11"/>
        <v>0</v>
      </c>
      <c r="M135" s="284"/>
      <c r="N135" s="285"/>
      <c r="O135" s="136">
        <f t="shared" si="12"/>
        <v>0</v>
      </c>
      <c r="P135" s="85"/>
      <c r="R135" s="53"/>
      <c r="S135" s="53"/>
      <c r="T135" s="53"/>
    </row>
    <row r="136" spans="1:20" x14ac:dyDescent="0.25">
      <c r="A136" s="76">
        <v>2312</v>
      </c>
      <c r="B136" s="127" t="s">
        <v>152</v>
      </c>
      <c r="C136" s="128">
        <f t="shared" si="8"/>
        <v>9820</v>
      </c>
      <c r="D136" s="134">
        <v>9820</v>
      </c>
      <c r="E136" s="283"/>
      <c r="F136" s="279">
        <f t="shared" si="9"/>
        <v>9820</v>
      </c>
      <c r="G136" s="134"/>
      <c r="H136" s="135"/>
      <c r="I136" s="136">
        <f t="shared" si="10"/>
        <v>0</v>
      </c>
      <c r="J136" s="134"/>
      <c r="K136" s="135"/>
      <c r="L136" s="136">
        <f t="shared" si="11"/>
        <v>0</v>
      </c>
      <c r="M136" s="284"/>
      <c r="N136" s="285"/>
      <c r="O136" s="136">
        <f t="shared" si="12"/>
        <v>0</v>
      </c>
      <c r="P136" s="85"/>
      <c r="R136" s="53"/>
      <c r="S136" s="53"/>
      <c r="T136" s="53"/>
    </row>
    <row r="137" spans="1:20" hidden="1" x14ac:dyDescent="0.25">
      <c r="A137" s="76">
        <v>2313</v>
      </c>
      <c r="B137" s="127" t="s">
        <v>153</v>
      </c>
      <c r="C137" s="128">
        <f t="shared" si="8"/>
        <v>0</v>
      </c>
      <c r="D137" s="134"/>
      <c r="E137" s="285"/>
      <c r="F137" s="286">
        <f t="shared" si="9"/>
        <v>0</v>
      </c>
      <c r="G137" s="134"/>
      <c r="H137" s="135"/>
      <c r="I137" s="136">
        <f t="shared" si="10"/>
        <v>0</v>
      </c>
      <c r="J137" s="134"/>
      <c r="K137" s="135"/>
      <c r="L137" s="136">
        <f t="shared" si="11"/>
        <v>0</v>
      </c>
      <c r="M137" s="284"/>
      <c r="N137" s="285"/>
      <c r="O137" s="136">
        <f t="shared" si="12"/>
        <v>0</v>
      </c>
      <c r="P137" s="85"/>
      <c r="R137" s="53"/>
      <c r="S137" s="53"/>
      <c r="T137" s="53"/>
    </row>
    <row r="138" spans="1:20" ht="24.75" customHeight="1" x14ac:dyDescent="0.25">
      <c r="A138" s="76">
        <v>2314</v>
      </c>
      <c r="B138" s="127" t="s">
        <v>154</v>
      </c>
      <c r="C138" s="128">
        <f t="shared" si="8"/>
        <v>427</v>
      </c>
      <c r="D138" s="134">
        <v>427</v>
      </c>
      <c r="E138" s="283"/>
      <c r="F138" s="279">
        <f t="shared" si="9"/>
        <v>427</v>
      </c>
      <c r="G138" s="134"/>
      <c r="H138" s="135"/>
      <c r="I138" s="136">
        <f t="shared" si="10"/>
        <v>0</v>
      </c>
      <c r="J138" s="134"/>
      <c r="K138" s="135"/>
      <c r="L138" s="136">
        <f t="shared" si="11"/>
        <v>0</v>
      </c>
      <c r="M138" s="284"/>
      <c r="N138" s="285"/>
      <c r="O138" s="136">
        <f t="shared" si="12"/>
        <v>0</v>
      </c>
      <c r="P138" s="85"/>
      <c r="R138" s="53"/>
      <c r="S138" s="53"/>
      <c r="T138" s="53"/>
    </row>
    <row r="139" spans="1:20" x14ac:dyDescent="0.25">
      <c r="A139" s="276">
        <v>2320</v>
      </c>
      <c r="B139" s="127" t="s">
        <v>155</v>
      </c>
      <c r="C139" s="128">
        <f t="shared" si="8"/>
        <v>917</v>
      </c>
      <c r="D139" s="277">
        <f>SUM(D140:D142)</f>
        <v>292</v>
      </c>
      <c r="E139" s="278">
        <f>SUM(E140:E142)</f>
        <v>0</v>
      </c>
      <c r="F139" s="279">
        <f t="shared" si="9"/>
        <v>292</v>
      </c>
      <c r="G139" s="277">
        <f>SUM(G140:G142)</f>
        <v>0</v>
      </c>
      <c r="H139" s="280">
        <f>SUM(H140:H142)</f>
        <v>0</v>
      </c>
      <c r="I139" s="136">
        <f t="shared" si="10"/>
        <v>0</v>
      </c>
      <c r="J139" s="277">
        <f>SUM(J140:J142)</f>
        <v>625</v>
      </c>
      <c r="K139" s="280">
        <f>SUM(K140:K142)</f>
        <v>0</v>
      </c>
      <c r="L139" s="136">
        <f t="shared" si="11"/>
        <v>625</v>
      </c>
      <c r="M139" s="281">
        <f>SUM(M140:M142)</f>
        <v>0</v>
      </c>
      <c r="N139" s="282">
        <f>SUM(N140:N142)</f>
        <v>0</v>
      </c>
      <c r="O139" s="136">
        <f t="shared" si="12"/>
        <v>0</v>
      </c>
      <c r="P139" s="85"/>
      <c r="R139" s="53"/>
      <c r="S139" s="53"/>
      <c r="T139" s="53"/>
    </row>
    <row r="140" spans="1:20" hidden="1" x14ac:dyDescent="0.25">
      <c r="A140" s="76">
        <v>2321</v>
      </c>
      <c r="B140" s="127" t="s">
        <v>156</v>
      </c>
      <c r="C140" s="128">
        <f t="shared" si="8"/>
        <v>0</v>
      </c>
      <c r="D140" s="134"/>
      <c r="E140" s="285"/>
      <c r="F140" s="286">
        <f t="shared" si="9"/>
        <v>0</v>
      </c>
      <c r="G140" s="134"/>
      <c r="H140" s="135"/>
      <c r="I140" s="136">
        <f t="shared" si="10"/>
        <v>0</v>
      </c>
      <c r="J140" s="134"/>
      <c r="K140" s="135"/>
      <c r="L140" s="136">
        <f t="shared" si="11"/>
        <v>0</v>
      </c>
      <c r="M140" s="284"/>
      <c r="N140" s="285"/>
      <c r="O140" s="136">
        <f t="shared" si="12"/>
        <v>0</v>
      </c>
      <c r="P140" s="85"/>
      <c r="R140" s="53"/>
      <c r="S140" s="53"/>
      <c r="T140" s="53"/>
    </row>
    <row r="141" spans="1:20" x14ac:dyDescent="0.25">
      <c r="A141" s="76">
        <v>2322</v>
      </c>
      <c r="B141" s="127" t="s">
        <v>157</v>
      </c>
      <c r="C141" s="128">
        <f t="shared" si="8"/>
        <v>917</v>
      </c>
      <c r="D141" s="134">
        <v>292</v>
      </c>
      <c r="E141" s="283"/>
      <c r="F141" s="279">
        <f t="shared" si="9"/>
        <v>292</v>
      </c>
      <c r="G141" s="134"/>
      <c r="H141" s="135"/>
      <c r="I141" s="136">
        <f t="shared" si="10"/>
        <v>0</v>
      </c>
      <c r="J141" s="134">
        <v>625</v>
      </c>
      <c r="K141" s="135"/>
      <c r="L141" s="136">
        <f t="shared" si="11"/>
        <v>625</v>
      </c>
      <c r="M141" s="284"/>
      <c r="N141" s="285"/>
      <c r="O141" s="136">
        <f t="shared" si="12"/>
        <v>0</v>
      </c>
      <c r="P141" s="85"/>
      <c r="R141" s="53"/>
      <c r="S141" s="53"/>
      <c r="T141" s="53"/>
    </row>
    <row r="142" spans="1:20" hidden="1" x14ac:dyDescent="0.25">
      <c r="A142" s="76">
        <v>2329</v>
      </c>
      <c r="B142" s="127" t="s">
        <v>158</v>
      </c>
      <c r="C142" s="128">
        <f t="shared" si="8"/>
        <v>0</v>
      </c>
      <c r="D142" s="134"/>
      <c r="E142" s="285"/>
      <c r="F142" s="286">
        <f t="shared" si="9"/>
        <v>0</v>
      </c>
      <c r="G142" s="134"/>
      <c r="H142" s="135"/>
      <c r="I142" s="136">
        <f t="shared" si="10"/>
        <v>0</v>
      </c>
      <c r="J142" s="134"/>
      <c r="K142" s="135"/>
      <c r="L142" s="136">
        <f t="shared" si="11"/>
        <v>0</v>
      </c>
      <c r="M142" s="284"/>
      <c r="N142" s="285"/>
      <c r="O142" s="136">
        <f t="shared" si="12"/>
        <v>0</v>
      </c>
      <c r="P142" s="85"/>
      <c r="R142" s="53"/>
      <c r="S142" s="53"/>
      <c r="T142" s="53"/>
    </row>
    <row r="143" spans="1:20" hidden="1" x14ac:dyDescent="0.25">
      <c r="A143" s="276">
        <v>2330</v>
      </c>
      <c r="B143" s="127" t="s">
        <v>159</v>
      </c>
      <c r="C143" s="128">
        <f t="shared" si="8"/>
        <v>0</v>
      </c>
      <c r="D143" s="134"/>
      <c r="E143" s="285"/>
      <c r="F143" s="286">
        <f t="shared" si="9"/>
        <v>0</v>
      </c>
      <c r="G143" s="134"/>
      <c r="H143" s="135"/>
      <c r="I143" s="136">
        <f t="shared" si="10"/>
        <v>0</v>
      </c>
      <c r="J143" s="134"/>
      <c r="K143" s="135"/>
      <c r="L143" s="136">
        <f t="shared" si="11"/>
        <v>0</v>
      </c>
      <c r="M143" s="284"/>
      <c r="N143" s="285"/>
      <c r="O143" s="136">
        <f t="shared" si="12"/>
        <v>0</v>
      </c>
      <c r="P143" s="85"/>
      <c r="R143" s="53"/>
      <c r="S143" s="53"/>
      <c r="T143" s="53"/>
    </row>
    <row r="144" spans="1:20" ht="36" customHeight="1" x14ac:dyDescent="0.25">
      <c r="A144" s="276">
        <v>2340</v>
      </c>
      <c r="B144" s="127" t="s">
        <v>160</v>
      </c>
      <c r="C144" s="128">
        <f t="shared" si="8"/>
        <v>494</v>
      </c>
      <c r="D144" s="277">
        <f>SUM(D145:D146)</f>
        <v>494</v>
      </c>
      <c r="E144" s="278">
        <f>SUM(E145:E146)</f>
        <v>0</v>
      </c>
      <c r="F144" s="279">
        <f t="shared" si="9"/>
        <v>494</v>
      </c>
      <c r="G144" s="277">
        <f>SUM(G145:G146)</f>
        <v>0</v>
      </c>
      <c r="H144" s="280">
        <f>SUM(H145:H146)</f>
        <v>0</v>
      </c>
      <c r="I144" s="136">
        <f t="shared" si="10"/>
        <v>0</v>
      </c>
      <c r="J144" s="277">
        <f>SUM(J145:J146)</f>
        <v>0</v>
      </c>
      <c r="K144" s="280">
        <f>SUM(K145:K146)</f>
        <v>0</v>
      </c>
      <c r="L144" s="136">
        <f t="shared" si="11"/>
        <v>0</v>
      </c>
      <c r="M144" s="281">
        <f>SUM(M145:M146)</f>
        <v>0</v>
      </c>
      <c r="N144" s="282">
        <f>SUM(N145:N146)</f>
        <v>0</v>
      </c>
      <c r="O144" s="136">
        <f t="shared" si="12"/>
        <v>0</v>
      </c>
      <c r="P144" s="85"/>
      <c r="R144" s="53"/>
      <c r="S144" s="53"/>
      <c r="T144" s="53"/>
    </row>
    <row r="145" spans="1:20" x14ac:dyDescent="0.25">
      <c r="A145" s="76">
        <v>2341</v>
      </c>
      <c r="B145" s="127" t="s">
        <v>161</v>
      </c>
      <c r="C145" s="128">
        <f t="shared" si="8"/>
        <v>494</v>
      </c>
      <c r="D145" s="134">
        <v>494</v>
      </c>
      <c r="E145" s="283"/>
      <c r="F145" s="279">
        <f t="shared" si="9"/>
        <v>494</v>
      </c>
      <c r="G145" s="134"/>
      <c r="H145" s="135"/>
      <c r="I145" s="136">
        <f t="shared" si="10"/>
        <v>0</v>
      </c>
      <c r="J145" s="134"/>
      <c r="K145" s="135"/>
      <c r="L145" s="136">
        <f t="shared" si="11"/>
        <v>0</v>
      </c>
      <c r="M145" s="284"/>
      <c r="N145" s="285"/>
      <c r="O145" s="136">
        <f t="shared" si="12"/>
        <v>0</v>
      </c>
      <c r="P145" s="85"/>
      <c r="R145" s="53"/>
      <c r="S145" s="53"/>
      <c r="T145" s="53"/>
    </row>
    <row r="146" spans="1:20" ht="24" hidden="1" x14ac:dyDescent="0.25">
      <c r="A146" s="76">
        <v>2344</v>
      </c>
      <c r="B146" s="127" t="s">
        <v>162</v>
      </c>
      <c r="C146" s="128">
        <f t="shared" si="8"/>
        <v>0</v>
      </c>
      <c r="D146" s="134"/>
      <c r="E146" s="285"/>
      <c r="F146" s="286">
        <f t="shared" si="9"/>
        <v>0</v>
      </c>
      <c r="G146" s="134"/>
      <c r="H146" s="135"/>
      <c r="I146" s="136">
        <f t="shared" si="10"/>
        <v>0</v>
      </c>
      <c r="J146" s="134"/>
      <c r="K146" s="135"/>
      <c r="L146" s="136">
        <f t="shared" si="11"/>
        <v>0</v>
      </c>
      <c r="M146" s="284"/>
      <c r="N146" s="285"/>
      <c r="O146" s="136">
        <f t="shared" si="12"/>
        <v>0</v>
      </c>
      <c r="P146" s="85"/>
      <c r="R146" s="53"/>
      <c r="S146" s="53"/>
      <c r="T146" s="53"/>
    </row>
    <row r="147" spans="1:20" ht="24" x14ac:dyDescent="0.25">
      <c r="A147" s="254">
        <v>2350</v>
      </c>
      <c r="B147" s="179" t="s">
        <v>163</v>
      </c>
      <c r="C147" s="128">
        <f t="shared" si="8"/>
        <v>4290</v>
      </c>
      <c r="D147" s="255">
        <f>SUM(D148:D153)</f>
        <v>4290</v>
      </c>
      <c r="E147" s="256">
        <f>SUM(E148:E153)</f>
        <v>0</v>
      </c>
      <c r="F147" s="257">
        <f t="shared" si="9"/>
        <v>4290</v>
      </c>
      <c r="G147" s="255">
        <f>SUM(G148:G153)</f>
        <v>0</v>
      </c>
      <c r="H147" s="258">
        <f>SUM(H148:H153)</f>
        <v>0</v>
      </c>
      <c r="I147" s="259">
        <f t="shared" si="10"/>
        <v>0</v>
      </c>
      <c r="J147" s="255">
        <f>SUM(J148:J153)</f>
        <v>0</v>
      </c>
      <c r="K147" s="258">
        <f>SUM(K148:K153)</f>
        <v>0</v>
      </c>
      <c r="L147" s="259">
        <f t="shared" si="11"/>
        <v>0</v>
      </c>
      <c r="M147" s="260">
        <f>SUM(M148:M153)</f>
        <v>0</v>
      </c>
      <c r="N147" s="261">
        <f>SUM(N148:N153)</f>
        <v>0</v>
      </c>
      <c r="O147" s="259">
        <f t="shared" si="12"/>
        <v>0</v>
      </c>
      <c r="P147" s="189"/>
      <c r="R147" s="53"/>
      <c r="S147" s="53"/>
      <c r="T147" s="53"/>
    </row>
    <row r="148" spans="1:20" x14ac:dyDescent="0.25">
      <c r="A148" s="66">
        <v>2351</v>
      </c>
      <c r="B148" s="116" t="s">
        <v>164</v>
      </c>
      <c r="C148" s="128">
        <f t="shared" si="8"/>
        <v>1352</v>
      </c>
      <c r="D148" s="123">
        <v>1352</v>
      </c>
      <c r="E148" s="295"/>
      <c r="F148" s="296">
        <f t="shared" si="9"/>
        <v>1352</v>
      </c>
      <c r="G148" s="123"/>
      <c r="H148" s="124"/>
      <c r="I148" s="125">
        <f t="shared" si="10"/>
        <v>0</v>
      </c>
      <c r="J148" s="123"/>
      <c r="K148" s="124"/>
      <c r="L148" s="125">
        <f t="shared" si="11"/>
        <v>0</v>
      </c>
      <c r="M148" s="264"/>
      <c r="N148" s="262"/>
      <c r="O148" s="125">
        <f t="shared" si="12"/>
        <v>0</v>
      </c>
      <c r="P148" s="74"/>
      <c r="R148" s="53"/>
      <c r="S148" s="53"/>
      <c r="T148" s="53"/>
    </row>
    <row r="149" spans="1:20" x14ac:dyDescent="0.25">
      <c r="A149" s="76">
        <v>2352</v>
      </c>
      <c r="B149" s="127" t="s">
        <v>165</v>
      </c>
      <c r="C149" s="128">
        <f t="shared" si="8"/>
        <v>2838</v>
      </c>
      <c r="D149" s="134">
        <v>2838</v>
      </c>
      <c r="E149" s="283"/>
      <c r="F149" s="279">
        <f t="shared" si="9"/>
        <v>2838</v>
      </c>
      <c r="G149" s="134"/>
      <c r="H149" s="135"/>
      <c r="I149" s="136">
        <f t="shared" si="10"/>
        <v>0</v>
      </c>
      <c r="J149" s="134"/>
      <c r="K149" s="135"/>
      <c r="L149" s="136">
        <f t="shared" si="11"/>
        <v>0</v>
      </c>
      <c r="M149" s="284"/>
      <c r="N149" s="285"/>
      <c r="O149" s="136">
        <f t="shared" si="12"/>
        <v>0</v>
      </c>
      <c r="P149" s="85"/>
      <c r="R149" s="53"/>
      <c r="S149" s="53"/>
      <c r="T149" s="53"/>
    </row>
    <row r="150" spans="1:20" ht="24" hidden="1" x14ac:dyDescent="0.25">
      <c r="A150" s="76">
        <v>2353</v>
      </c>
      <c r="B150" s="127" t="s">
        <v>166</v>
      </c>
      <c r="C150" s="128">
        <f t="shared" si="8"/>
        <v>0</v>
      </c>
      <c r="D150" s="134"/>
      <c r="E150" s="285"/>
      <c r="F150" s="286">
        <f t="shared" si="9"/>
        <v>0</v>
      </c>
      <c r="G150" s="134"/>
      <c r="H150" s="135"/>
      <c r="I150" s="136">
        <f t="shared" si="10"/>
        <v>0</v>
      </c>
      <c r="J150" s="134"/>
      <c r="K150" s="135"/>
      <c r="L150" s="136">
        <f t="shared" si="11"/>
        <v>0</v>
      </c>
      <c r="M150" s="284"/>
      <c r="N150" s="285"/>
      <c r="O150" s="136">
        <f t="shared" si="12"/>
        <v>0</v>
      </c>
      <c r="P150" s="85"/>
      <c r="R150" s="53"/>
      <c r="S150" s="53"/>
      <c r="T150" s="53"/>
    </row>
    <row r="151" spans="1:20" ht="24" hidden="1" x14ac:dyDescent="0.25">
      <c r="A151" s="76">
        <v>2354</v>
      </c>
      <c r="B151" s="127" t="s">
        <v>167</v>
      </c>
      <c r="C151" s="128">
        <f t="shared" si="8"/>
        <v>0</v>
      </c>
      <c r="D151" s="134"/>
      <c r="E151" s="285"/>
      <c r="F151" s="286">
        <f t="shared" si="9"/>
        <v>0</v>
      </c>
      <c r="G151" s="134"/>
      <c r="H151" s="135"/>
      <c r="I151" s="136">
        <f t="shared" si="10"/>
        <v>0</v>
      </c>
      <c r="J151" s="134"/>
      <c r="K151" s="135"/>
      <c r="L151" s="136">
        <f t="shared" si="11"/>
        <v>0</v>
      </c>
      <c r="M151" s="284"/>
      <c r="N151" s="285"/>
      <c r="O151" s="136">
        <f t="shared" si="12"/>
        <v>0</v>
      </c>
      <c r="P151" s="85"/>
      <c r="R151" s="53"/>
      <c r="S151" s="53"/>
      <c r="T151" s="53"/>
    </row>
    <row r="152" spans="1:20" ht="24" x14ac:dyDescent="0.25">
      <c r="A152" s="76">
        <v>2355</v>
      </c>
      <c r="B152" s="127" t="s">
        <v>168</v>
      </c>
      <c r="C152" s="128">
        <f t="shared" si="8"/>
        <v>100</v>
      </c>
      <c r="D152" s="134">
        <v>100</v>
      </c>
      <c r="E152" s="283"/>
      <c r="F152" s="279">
        <f t="shared" si="9"/>
        <v>100</v>
      </c>
      <c r="G152" s="134"/>
      <c r="H152" s="135"/>
      <c r="I152" s="136">
        <f t="shared" si="10"/>
        <v>0</v>
      </c>
      <c r="J152" s="134"/>
      <c r="K152" s="135"/>
      <c r="L152" s="136">
        <f t="shared" si="11"/>
        <v>0</v>
      </c>
      <c r="M152" s="284"/>
      <c r="N152" s="285"/>
      <c r="O152" s="136">
        <f t="shared" si="12"/>
        <v>0</v>
      </c>
      <c r="P152" s="85"/>
      <c r="R152" s="53"/>
      <c r="S152" s="53"/>
      <c r="T152" s="53"/>
    </row>
    <row r="153" spans="1:20" ht="24" hidden="1" x14ac:dyDescent="0.25">
      <c r="A153" s="76">
        <v>2359</v>
      </c>
      <c r="B153" s="127" t="s">
        <v>169</v>
      </c>
      <c r="C153" s="128">
        <f t="shared" si="8"/>
        <v>0</v>
      </c>
      <c r="D153" s="134"/>
      <c r="E153" s="285"/>
      <c r="F153" s="286">
        <f t="shared" si="9"/>
        <v>0</v>
      </c>
      <c r="G153" s="134"/>
      <c r="H153" s="135"/>
      <c r="I153" s="136">
        <f t="shared" si="10"/>
        <v>0</v>
      </c>
      <c r="J153" s="134"/>
      <c r="K153" s="135"/>
      <c r="L153" s="136">
        <f t="shared" si="11"/>
        <v>0</v>
      </c>
      <c r="M153" s="284"/>
      <c r="N153" s="285"/>
      <c r="O153" s="136">
        <f t="shared" si="12"/>
        <v>0</v>
      </c>
      <c r="P153" s="85"/>
      <c r="R153" s="53"/>
      <c r="S153" s="53"/>
      <c r="T153" s="53"/>
    </row>
    <row r="154" spans="1:20" ht="24" x14ac:dyDescent="0.25">
      <c r="A154" s="276">
        <v>2360</v>
      </c>
      <c r="B154" s="127" t="s">
        <v>170</v>
      </c>
      <c r="C154" s="128">
        <f t="shared" si="8"/>
        <v>910</v>
      </c>
      <c r="D154" s="277">
        <f>SUM(D155:D161)</f>
        <v>910</v>
      </c>
      <c r="E154" s="278">
        <f>SUM(E155:E161)</f>
        <v>0</v>
      </c>
      <c r="F154" s="279">
        <f t="shared" si="9"/>
        <v>910</v>
      </c>
      <c r="G154" s="277">
        <f>SUM(G155:G161)</f>
        <v>0</v>
      </c>
      <c r="H154" s="280">
        <f>SUM(H155:H161)</f>
        <v>0</v>
      </c>
      <c r="I154" s="136">
        <f t="shared" si="10"/>
        <v>0</v>
      </c>
      <c r="J154" s="277">
        <f>SUM(J155:J161)</f>
        <v>0</v>
      </c>
      <c r="K154" s="280">
        <f>SUM(K155:K161)</f>
        <v>0</v>
      </c>
      <c r="L154" s="136">
        <f t="shared" si="11"/>
        <v>0</v>
      </c>
      <c r="M154" s="281">
        <f>SUM(M155:M161)</f>
        <v>0</v>
      </c>
      <c r="N154" s="282">
        <f>SUM(N155:N161)</f>
        <v>0</v>
      </c>
      <c r="O154" s="136">
        <f t="shared" si="12"/>
        <v>0</v>
      </c>
      <c r="P154" s="85"/>
      <c r="R154" s="53"/>
      <c r="S154" s="53"/>
      <c r="T154" s="53"/>
    </row>
    <row r="155" spans="1:20" hidden="1" x14ac:dyDescent="0.25">
      <c r="A155" s="75">
        <v>2361</v>
      </c>
      <c r="B155" s="127" t="s">
        <v>171</v>
      </c>
      <c r="C155" s="128">
        <f t="shared" si="8"/>
        <v>0</v>
      </c>
      <c r="D155" s="134"/>
      <c r="E155" s="285"/>
      <c r="F155" s="286">
        <f t="shared" si="9"/>
        <v>0</v>
      </c>
      <c r="G155" s="134"/>
      <c r="H155" s="135"/>
      <c r="I155" s="136">
        <f t="shared" si="10"/>
        <v>0</v>
      </c>
      <c r="J155" s="134"/>
      <c r="K155" s="135"/>
      <c r="L155" s="136">
        <f t="shared" si="11"/>
        <v>0</v>
      </c>
      <c r="M155" s="284"/>
      <c r="N155" s="285"/>
      <c r="O155" s="136">
        <f t="shared" si="12"/>
        <v>0</v>
      </c>
      <c r="P155" s="85"/>
      <c r="R155" s="53"/>
      <c r="S155" s="53"/>
      <c r="T155" s="53"/>
    </row>
    <row r="156" spans="1:20" ht="24" hidden="1" x14ac:dyDescent="0.25">
      <c r="A156" s="75">
        <v>2362</v>
      </c>
      <c r="B156" s="127" t="s">
        <v>172</v>
      </c>
      <c r="C156" s="128">
        <f t="shared" si="8"/>
        <v>0</v>
      </c>
      <c r="D156" s="134"/>
      <c r="E156" s="285"/>
      <c r="F156" s="286">
        <f t="shared" si="9"/>
        <v>0</v>
      </c>
      <c r="G156" s="134"/>
      <c r="H156" s="135"/>
      <c r="I156" s="136">
        <f t="shared" si="10"/>
        <v>0</v>
      </c>
      <c r="J156" s="134"/>
      <c r="K156" s="135"/>
      <c r="L156" s="136">
        <f t="shared" si="11"/>
        <v>0</v>
      </c>
      <c r="M156" s="284"/>
      <c r="N156" s="285"/>
      <c r="O156" s="136">
        <f t="shared" si="12"/>
        <v>0</v>
      </c>
      <c r="P156" s="85"/>
      <c r="R156" s="53"/>
      <c r="S156" s="53"/>
      <c r="T156" s="53"/>
    </row>
    <row r="157" spans="1:20" x14ac:dyDescent="0.25">
      <c r="A157" s="75">
        <v>2363</v>
      </c>
      <c r="B157" s="127" t="s">
        <v>173</v>
      </c>
      <c r="C157" s="128">
        <f t="shared" si="8"/>
        <v>910</v>
      </c>
      <c r="D157" s="134">
        <v>910</v>
      </c>
      <c r="E157" s="283"/>
      <c r="F157" s="279">
        <f t="shared" si="9"/>
        <v>910</v>
      </c>
      <c r="G157" s="134"/>
      <c r="H157" s="135"/>
      <c r="I157" s="136">
        <f t="shared" si="10"/>
        <v>0</v>
      </c>
      <c r="J157" s="134"/>
      <c r="K157" s="135"/>
      <c r="L157" s="136">
        <f t="shared" si="11"/>
        <v>0</v>
      </c>
      <c r="M157" s="284"/>
      <c r="N157" s="285"/>
      <c r="O157" s="136">
        <f t="shared" si="12"/>
        <v>0</v>
      </c>
      <c r="P157" s="85"/>
      <c r="R157" s="53"/>
      <c r="S157" s="53"/>
      <c r="T157" s="53"/>
    </row>
    <row r="158" spans="1:20" hidden="1" x14ac:dyDescent="0.25">
      <c r="A158" s="75">
        <v>2364</v>
      </c>
      <c r="B158" s="127" t="s">
        <v>174</v>
      </c>
      <c r="C158" s="128">
        <f t="shared" si="8"/>
        <v>0</v>
      </c>
      <c r="D158" s="134"/>
      <c r="E158" s="285"/>
      <c r="F158" s="286">
        <f t="shared" si="9"/>
        <v>0</v>
      </c>
      <c r="G158" s="134"/>
      <c r="H158" s="135"/>
      <c r="I158" s="136">
        <f t="shared" si="10"/>
        <v>0</v>
      </c>
      <c r="J158" s="134"/>
      <c r="K158" s="135"/>
      <c r="L158" s="136">
        <f t="shared" si="11"/>
        <v>0</v>
      </c>
      <c r="M158" s="284"/>
      <c r="N158" s="285"/>
      <c r="O158" s="136">
        <f t="shared" si="12"/>
        <v>0</v>
      </c>
      <c r="P158" s="85"/>
      <c r="R158" s="53"/>
      <c r="S158" s="53"/>
      <c r="T158" s="53"/>
    </row>
    <row r="159" spans="1:20" hidden="1" x14ac:dyDescent="0.25">
      <c r="A159" s="75">
        <v>2365</v>
      </c>
      <c r="B159" s="127" t="s">
        <v>175</v>
      </c>
      <c r="C159" s="128">
        <f t="shared" si="8"/>
        <v>0</v>
      </c>
      <c r="D159" s="134"/>
      <c r="E159" s="285"/>
      <c r="F159" s="286">
        <f t="shared" si="9"/>
        <v>0</v>
      </c>
      <c r="G159" s="134"/>
      <c r="H159" s="135"/>
      <c r="I159" s="136">
        <f t="shared" si="10"/>
        <v>0</v>
      </c>
      <c r="J159" s="134"/>
      <c r="K159" s="135"/>
      <c r="L159" s="136">
        <f t="shared" si="11"/>
        <v>0</v>
      </c>
      <c r="M159" s="284"/>
      <c r="N159" s="285"/>
      <c r="O159" s="136">
        <f t="shared" si="12"/>
        <v>0</v>
      </c>
      <c r="P159" s="85"/>
      <c r="R159" s="53"/>
      <c r="S159" s="53"/>
      <c r="T159" s="53"/>
    </row>
    <row r="160" spans="1:20" ht="36" hidden="1" x14ac:dyDescent="0.25">
      <c r="A160" s="75">
        <v>2366</v>
      </c>
      <c r="B160" s="127" t="s">
        <v>176</v>
      </c>
      <c r="C160" s="128">
        <f t="shared" si="8"/>
        <v>0</v>
      </c>
      <c r="D160" s="134"/>
      <c r="E160" s="285"/>
      <c r="F160" s="286">
        <f t="shared" si="9"/>
        <v>0</v>
      </c>
      <c r="G160" s="134"/>
      <c r="H160" s="135"/>
      <c r="I160" s="136">
        <f t="shared" si="10"/>
        <v>0</v>
      </c>
      <c r="J160" s="134"/>
      <c r="K160" s="135"/>
      <c r="L160" s="136">
        <f t="shared" si="11"/>
        <v>0</v>
      </c>
      <c r="M160" s="284"/>
      <c r="N160" s="285"/>
      <c r="O160" s="136">
        <f t="shared" si="12"/>
        <v>0</v>
      </c>
      <c r="P160" s="85"/>
      <c r="R160" s="53"/>
      <c r="S160" s="53"/>
      <c r="T160" s="53"/>
    </row>
    <row r="161" spans="1:20" ht="48" hidden="1" x14ac:dyDescent="0.25">
      <c r="A161" s="75">
        <v>2369</v>
      </c>
      <c r="B161" s="127" t="s">
        <v>177</v>
      </c>
      <c r="C161" s="128">
        <f t="shared" si="8"/>
        <v>0</v>
      </c>
      <c r="D161" s="134"/>
      <c r="E161" s="285"/>
      <c r="F161" s="286">
        <f t="shared" si="9"/>
        <v>0</v>
      </c>
      <c r="G161" s="134"/>
      <c r="H161" s="135"/>
      <c r="I161" s="136">
        <f t="shared" si="10"/>
        <v>0</v>
      </c>
      <c r="J161" s="134"/>
      <c r="K161" s="135"/>
      <c r="L161" s="136">
        <f t="shared" si="11"/>
        <v>0</v>
      </c>
      <c r="M161" s="284"/>
      <c r="N161" s="285"/>
      <c r="O161" s="136">
        <f t="shared" si="12"/>
        <v>0</v>
      </c>
      <c r="P161" s="85"/>
      <c r="R161" s="53"/>
      <c r="S161" s="53"/>
      <c r="T161" s="53"/>
    </row>
    <row r="162" spans="1:20" x14ac:dyDescent="0.25">
      <c r="A162" s="254">
        <v>2370</v>
      </c>
      <c r="B162" s="179" t="s">
        <v>178</v>
      </c>
      <c r="C162" s="128">
        <f t="shared" si="8"/>
        <v>11630</v>
      </c>
      <c r="D162" s="287">
        <v>7568</v>
      </c>
      <c r="E162" s="288"/>
      <c r="F162" s="257">
        <f t="shared" si="9"/>
        <v>7568</v>
      </c>
      <c r="G162" s="287">
        <v>4062</v>
      </c>
      <c r="H162" s="289"/>
      <c r="I162" s="259">
        <f t="shared" si="10"/>
        <v>4062</v>
      </c>
      <c r="J162" s="287"/>
      <c r="K162" s="289"/>
      <c r="L162" s="259">
        <f t="shared" si="11"/>
        <v>0</v>
      </c>
      <c r="M162" s="290"/>
      <c r="N162" s="291"/>
      <c r="O162" s="259">
        <f t="shared" si="12"/>
        <v>0</v>
      </c>
      <c r="P162" s="189"/>
      <c r="R162" s="53"/>
      <c r="S162" s="53"/>
      <c r="T162" s="53"/>
    </row>
    <row r="163" spans="1:20" hidden="1" x14ac:dyDescent="0.25">
      <c r="A163" s="254">
        <v>2380</v>
      </c>
      <c r="B163" s="179" t="s">
        <v>179</v>
      </c>
      <c r="C163" s="128">
        <f t="shared" si="8"/>
        <v>0</v>
      </c>
      <c r="D163" s="255">
        <f>SUM(D164:D165)</f>
        <v>0</v>
      </c>
      <c r="E163" s="261">
        <f>SUM(E164:E165)</f>
        <v>0</v>
      </c>
      <c r="F163" s="310">
        <f t="shared" si="9"/>
        <v>0</v>
      </c>
      <c r="G163" s="255">
        <f>SUM(G164:G165)</f>
        <v>0</v>
      </c>
      <c r="H163" s="258">
        <f>SUM(H164:H165)</f>
        <v>0</v>
      </c>
      <c r="I163" s="259">
        <f t="shared" si="10"/>
        <v>0</v>
      </c>
      <c r="J163" s="255">
        <f>SUM(J164:J165)</f>
        <v>0</v>
      </c>
      <c r="K163" s="258">
        <f>SUM(K164:K165)</f>
        <v>0</v>
      </c>
      <c r="L163" s="259">
        <f t="shared" si="11"/>
        <v>0</v>
      </c>
      <c r="M163" s="260">
        <f>SUM(M164:M165)</f>
        <v>0</v>
      </c>
      <c r="N163" s="261">
        <f>SUM(N164:N165)</f>
        <v>0</v>
      </c>
      <c r="O163" s="259">
        <f t="shared" si="12"/>
        <v>0</v>
      </c>
      <c r="P163" s="189"/>
      <c r="R163" s="53"/>
      <c r="S163" s="53"/>
      <c r="T163" s="53"/>
    </row>
    <row r="164" spans="1:20" hidden="1" x14ac:dyDescent="0.25">
      <c r="A164" s="65">
        <v>2381</v>
      </c>
      <c r="B164" s="116" t="s">
        <v>180</v>
      </c>
      <c r="C164" s="128">
        <f t="shared" si="8"/>
        <v>0</v>
      </c>
      <c r="D164" s="123"/>
      <c r="E164" s="262"/>
      <c r="F164" s="263">
        <f t="shared" si="9"/>
        <v>0</v>
      </c>
      <c r="G164" s="123"/>
      <c r="H164" s="124"/>
      <c r="I164" s="125">
        <f t="shared" si="10"/>
        <v>0</v>
      </c>
      <c r="J164" s="123"/>
      <c r="K164" s="124"/>
      <c r="L164" s="125">
        <f t="shared" si="11"/>
        <v>0</v>
      </c>
      <c r="M164" s="264"/>
      <c r="N164" s="262"/>
      <c r="O164" s="125">
        <f t="shared" si="12"/>
        <v>0</v>
      </c>
      <c r="P164" s="74"/>
      <c r="R164" s="53"/>
      <c r="S164" s="53"/>
      <c r="T164" s="53"/>
    </row>
    <row r="165" spans="1:20" ht="24" hidden="1" x14ac:dyDescent="0.25">
      <c r="A165" s="75">
        <v>2389</v>
      </c>
      <c r="B165" s="127" t="s">
        <v>181</v>
      </c>
      <c r="C165" s="128">
        <f t="shared" si="8"/>
        <v>0</v>
      </c>
      <c r="D165" s="134"/>
      <c r="E165" s="285"/>
      <c r="F165" s="286">
        <f t="shared" si="9"/>
        <v>0</v>
      </c>
      <c r="G165" s="134"/>
      <c r="H165" s="135"/>
      <c r="I165" s="136">
        <f t="shared" si="10"/>
        <v>0</v>
      </c>
      <c r="J165" s="134"/>
      <c r="K165" s="135"/>
      <c r="L165" s="136">
        <f t="shared" si="11"/>
        <v>0</v>
      </c>
      <c r="M165" s="284"/>
      <c r="N165" s="285"/>
      <c r="O165" s="136">
        <f t="shared" si="12"/>
        <v>0</v>
      </c>
      <c r="P165" s="85"/>
      <c r="R165" s="53"/>
      <c r="S165" s="53"/>
      <c r="T165" s="53"/>
    </row>
    <row r="166" spans="1:20" hidden="1" x14ac:dyDescent="0.25">
      <c r="A166" s="254">
        <v>2390</v>
      </c>
      <c r="B166" s="179" t="s">
        <v>182</v>
      </c>
      <c r="C166" s="128">
        <f t="shared" si="8"/>
        <v>0</v>
      </c>
      <c r="D166" s="287"/>
      <c r="E166" s="291"/>
      <c r="F166" s="310">
        <f t="shared" si="9"/>
        <v>0</v>
      </c>
      <c r="G166" s="287"/>
      <c r="H166" s="289"/>
      <c r="I166" s="259">
        <f t="shared" si="10"/>
        <v>0</v>
      </c>
      <c r="J166" s="287"/>
      <c r="K166" s="289"/>
      <c r="L166" s="259">
        <f t="shared" si="11"/>
        <v>0</v>
      </c>
      <c r="M166" s="290"/>
      <c r="N166" s="291"/>
      <c r="O166" s="259">
        <f t="shared" si="12"/>
        <v>0</v>
      </c>
      <c r="P166" s="189"/>
      <c r="R166" s="53"/>
      <c r="S166" s="53"/>
      <c r="T166" s="53"/>
    </row>
    <row r="167" spans="1:20" hidden="1" x14ac:dyDescent="0.25">
      <c r="A167" s="99">
        <v>2400</v>
      </c>
      <c r="B167" s="247" t="s">
        <v>183</v>
      </c>
      <c r="C167" s="100">
        <f t="shared" si="8"/>
        <v>0</v>
      </c>
      <c r="D167" s="311"/>
      <c r="E167" s="312"/>
      <c r="F167" s="313">
        <f t="shared" si="9"/>
        <v>0</v>
      </c>
      <c r="G167" s="311"/>
      <c r="H167" s="314"/>
      <c r="I167" s="114">
        <f t="shared" si="10"/>
        <v>0</v>
      </c>
      <c r="J167" s="311"/>
      <c r="K167" s="314"/>
      <c r="L167" s="114">
        <f t="shared" si="11"/>
        <v>0</v>
      </c>
      <c r="M167" s="315"/>
      <c r="N167" s="312"/>
      <c r="O167" s="114">
        <f t="shared" si="12"/>
        <v>0</v>
      </c>
      <c r="P167" s="109"/>
      <c r="R167" s="53"/>
      <c r="S167" s="53"/>
      <c r="T167" s="53"/>
    </row>
    <row r="168" spans="1:20" ht="24" hidden="1" x14ac:dyDescent="0.25">
      <c r="A168" s="99">
        <v>2500</v>
      </c>
      <c r="B168" s="247" t="s">
        <v>184</v>
      </c>
      <c r="C168" s="100">
        <f t="shared" si="8"/>
        <v>0</v>
      </c>
      <c r="D168" s="112">
        <f>SUM(D169,D174)</f>
        <v>0</v>
      </c>
      <c r="E168" s="293">
        <f>SUM(E169,E174)</f>
        <v>0</v>
      </c>
      <c r="F168" s="313">
        <f t="shared" si="9"/>
        <v>0</v>
      </c>
      <c r="G168" s="112">
        <f>SUM(G169,G174)</f>
        <v>0</v>
      </c>
      <c r="H168" s="113">
        <f>SUM(H169,H174)</f>
        <v>0</v>
      </c>
      <c r="I168" s="114">
        <f t="shared" si="10"/>
        <v>0</v>
      </c>
      <c r="J168" s="112">
        <f>SUM(J169,J174)</f>
        <v>0</v>
      </c>
      <c r="K168" s="113">
        <f>SUM(K169,K174)</f>
        <v>0</v>
      </c>
      <c r="L168" s="114">
        <f t="shared" si="11"/>
        <v>0</v>
      </c>
      <c r="M168" s="250">
        <f>SUM(M169,M174)</f>
        <v>0</v>
      </c>
      <c r="N168" s="251">
        <f>SUM(N169,N174)</f>
        <v>0</v>
      </c>
      <c r="O168" s="252">
        <f t="shared" si="12"/>
        <v>0</v>
      </c>
      <c r="P168" s="253"/>
      <c r="R168" s="53"/>
      <c r="S168" s="53"/>
      <c r="T168" s="53"/>
    </row>
    <row r="169" spans="1:20" hidden="1" x14ac:dyDescent="0.25">
      <c r="A169" s="656">
        <v>2510</v>
      </c>
      <c r="B169" s="116" t="s">
        <v>185</v>
      </c>
      <c r="C169" s="117">
        <f t="shared" si="8"/>
        <v>0</v>
      </c>
      <c r="D169" s="297">
        <f>SUM(D170:D173)</f>
        <v>0</v>
      </c>
      <c r="E169" s="301">
        <f>SUM(E170:E173)</f>
        <v>0</v>
      </c>
      <c r="F169" s="263">
        <f t="shared" si="9"/>
        <v>0</v>
      </c>
      <c r="G169" s="297">
        <f>SUM(G170:G173)</f>
        <v>0</v>
      </c>
      <c r="H169" s="299">
        <f>SUM(H170:H173)</f>
        <v>0</v>
      </c>
      <c r="I169" s="125">
        <f t="shared" si="10"/>
        <v>0</v>
      </c>
      <c r="J169" s="297">
        <f>SUM(J170:J173)</f>
        <v>0</v>
      </c>
      <c r="K169" s="299">
        <f>SUM(K170:K173)</f>
        <v>0</v>
      </c>
      <c r="L169" s="125">
        <f t="shared" si="11"/>
        <v>0</v>
      </c>
      <c r="M169" s="317">
        <f>SUM(M170:M173)</f>
        <v>0</v>
      </c>
      <c r="N169" s="318">
        <f>SUM(N170:N173)</f>
        <v>0</v>
      </c>
      <c r="O169" s="151">
        <f t="shared" si="12"/>
        <v>0</v>
      </c>
      <c r="P169" s="153"/>
      <c r="R169" s="53"/>
      <c r="S169" s="53"/>
      <c r="T169" s="53"/>
    </row>
    <row r="170" spans="1:20" ht="24" hidden="1" x14ac:dyDescent="0.25">
      <c r="A170" s="76">
        <v>2512</v>
      </c>
      <c r="B170" s="127" t="s">
        <v>186</v>
      </c>
      <c r="C170" s="128">
        <f t="shared" si="8"/>
        <v>0</v>
      </c>
      <c r="D170" s="134"/>
      <c r="E170" s="285"/>
      <c r="F170" s="286">
        <f t="shared" si="9"/>
        <v>0</v>
      </c>
      <c r="G170" s="134"/>
      <c r="H170" s="135"/>
      <c r="I170" s="136">
        <f t="shared" si="10"/>
        <v>0</v>
      </c>
      <c r="J170" s="134"/>
      <c r="K170" s="135"/>
      <c r="L170" s="136">
        <f t="shared" si="11"/>
        <v>0</v>
      </c>
      <c r="M170" s="284"/>
      <c r="N170" s="285"/>
      <c r="O170" s="136">
        <f t="shared" si="12"/>
        <v>0</v>
      </c>
      <c r="P170" s="85"/>
      <c r="R170" s="53"/>
      <c r="S170" s="53"/>
      <c r="T170" s="53"/>
    </row>
    <row r="171" spans="1:20" ht="36" hidden="1" x14ac:dyDescent="0.25">
      <c r="A171" s="76">
        <v>2513</v>
      </c>
      <c r="B171" s="127" t="s">
        <v>187</v>
      </c>
      <c r="C171" s="128">
        <f t="shared" si="8"/>
        <v>0</v>
      </c>
      <c r="D171" s="134"/>
      <c r="E171" s="285"/>
      <c r="F171" s="286">
        <f t="shared" si="9"/>
        <v>0</v>
      </c>
      <c r="G171" s="134"/>
      <c r="H171" s="135"/>
      <c r="I171" s="136">
        <f t="shared" si="10"/>
        <v>0</v>
      </c>
      <c r="J171" s="134"/>
      <c r="K171" s="135"/>
      <c r="L171" s="136">
        <f t="shared" si="11"/>
        <v>0</v>
      </c>
      <c r="M171" s="284"/>
      <c r="N171" s="285"/>
      <c r="O171" s="136">
        <f t="shared" si="12"/>
        <v>0</v>
      </c>
      <c r="P171" s="85"/>
      <c r="R171" s="53"/>
      <c r="S171" s="53"/>
      <c r="T171" s="53"/>
    </row>
    <row r="172" spans="1:20" ht="24" hidden="1" x14ac:dyDescent="0.25">
      <c r="A172" s="76">
        <v>2515</v>
      </c>
      <c r="B172" s="127" t="s">
        <v>188</v>
      </c>
      <c r="C172" s="128">
        <f t="shared" si="8"/>
        <v>0</v>
      </c>
      <c r="D172" s="134"/>
      <c r="E172" s="285"/>
      <c r="F172" s="286">
        <f t="shared" si="9"/>
        <v>0</v>
      </c>
      <c r="G172" s="134"/>
      <c r="H172" s="135"/>
      <c r="I172" s="136">
        <f t="shared" si="10"/>
        <v>0</v>
      </c>
      <c r="J172" s="134"/>
      <c r="K172" s="135"/>
      <c r="L172" s="136">
        <f t="shared" si="11"/>
        <v>0</v>
      </c>
      <c r="M172" s="284"/>
      <c r="N172" s="285"/>
      <c r="O172" s="136">
        <f t="shared" si="12"/>
        <v>0</v>
      </c>
      <c r="P172" s="85"/>
      <c r="R172" s="53"/>
      <c r="S172" s="53"/>
      <c r="T172" s="53"/>
    </row>
    <row r="173" spans="1:20" ht="24" hidden="1" x14ac:dyDescent="0.25">
      <c r="A173" s="76">
        <v>2519</v>
      </c>
      <c r="B173" s="127" t="s">
        <v>189</v>
      </c>
      <c r="C173" s="128">
        <f t="shared" si="8"/>
        <v>0</v>
      </c>
      <c r="D173" s="134"/>
      <c r="E173" s="285"/>
      <c r="F173" s="286">
        <f t="shared" si="9"/>
        <v>0</v>
      </c>
      <c r="G173" s="134"/>
      <c r="H173" s="135"/>
      <c r="I173" s="136">
        <f t="shared" si="10"/>
        <v>0</v>
      </c>
      <c r="J173" s="134"/>
      <c r="K173" s="135"/>
      <c r="L173" s="136">
        <f t="shared" si="11"/>
        <v>0</v>
      </c>
      <c r="M173" s="284"/>
      <c r="N173" s="285"/>
      <c r="O173" s="136">
        <f t="shared" si="12"/>
        <v>0</v>
      </c>
      <c r="P173" s="85"/>
      <c r="R173" s="53"/>
      <c r="S173" s="53"/>
      <c r="T173" s="53"/>
    </row>
    <row r="174" spans="1:20" ht="24" hidden="1" x14ac:dyDescent="0.25">
      <c r="A174" s="276">
        <v>2520</v>
      </c>
      <c r="B174" s="127" t="s">
        <v>190</v>
      </c>
      <c r="C174" s="128">
        <f t="shared" si="8"/>
        <v>0</v>
      </c>
      <c r="D174" s="134"/>
      <c r="E174" s="285"/>
      <c r="F174" s="286">
        <f t="shared" si="9"/>
        <v>0</v>
      </c>
      <c r="G174" s="134"/>
      <c r="H174" s="135"/>
      <c r="I174" s="136">
        <f t="shared" si="10"/>
        <v>0</v>
      </c>
      <c r="J174" s="134"/>
      <c r="K174" s="135"/>
      <c r="L174" s="136">
        <f t="shared" si="11"/>
        <v>0</v>
      </c>
      <c r="M174" s="284"/>
      <c r="N174" s="285"/>
      <c r="O174" s="136">
        <f t="shared" si="12"/>
        <v>0</v>
      </c>
      <c r="P174" s="85"/>
      <c r="R174" s="53"/>
      <c r="S174" s="53"/>
      <c r="T174" s="53"/>
    </row>
    <row r="175" spans="1:20" s="319" customFormat="1" ht="48" hidden="1" x14ac:dyDescent="0.25">
      <c r="A175" s="31">
        <v>2800</v>
      </c>
      <c r="B175" s="116" t="s">
        <v>191</v>
      </c>
      <c r="C175" s="117">
        <f t="shared" si="8"/>
        <v>0</v>
      </c>
      <c r="D175" s="68"/>
      <c r="E175" s="69"/>
      <c r="F175" s="70">
        <f t="shared" si="9"/>
        <v>0</v>
      </c>
      <c r="G175" s="68"/>
      <c r="H175" s="71"/>
      <c r="I175" s="72">
        <f t="shared" si="10"/>
        <v>0</v>
      </c>
      <c r="J175" s="68"/>
      <c r="K175" s="71"/>
      <c r="L175" s="72">
        <f t="shared" si="11"/>
        <v>0</v>
      </c>
      <c r="M175" s="73"/>
      <c r="N175" s="69"/>
      <c r="O175" s="72">
        <f t="shared" si="12"/>
        <v>0</v>
      </c>
      <c r="P175" s="74"/>
      <c r="R175" s="53"/>
      <c r="S175" s="53"/>
      <c r="T175" s="53"/>
    </row>
    <row r="176" spans="1:20" hidden="1" x14ac:dyDescent="0.25">
      <c r="A176" s="237">
        <v>3000</v>
      </c>
      <c r="B176" s="237" t="s">
        <v>192</v>
      </c>
      <c r="C176" s="238">
        <f t="shared" si="8"/>
        <v>0</v>
      </c>
      <c r="D176" s="239">
        <f>SUM(D177,D187)</f>
        <v>0</v>
      </c>
      <c r="E176" s="245">
        <f>SUM(E177,E187)</f>
        <v>0</v>
      </c>
      <c r="F176" s="320">
        <f t="shared" si="9"/>
        <v>0</v>
      </c>
      <c r="G176" s="239">
        <f>SUM(G177,G187)</f>
        <v>0</v>
      </c>
      <c r="H176" s="242">
        <f>SUM(H177,H187)</f>
        <v>0</v>
      </c>
      <c r="I176" s="243">
        <f t="shared" si="10"/>
        <v>0</v>
      </c>
      <c r="J176" s="239">
        <f>SUM(J177,J187)</f>
        <v>0</v>
      </c>
      <c r="K176" s="242">
        <f>SUM(K177,K187)</f>
        <v>0</v>
      </c>
      <c r="L176" s="243">
        <f t="shared" si="11"/>
        <v>0</v>
      </c>
      <c r="M176" s="244">
        <f>SUM(M177,M187)</f>
        <v>0</v>
      </c>
      <c r="N176" s="245">
        <f>SUM(N177,N187)</f>
        <v>0</v>
      </c>
      <c r="O176" s="243">
        <f t="shared" si="12"/>
        <v>0</v>
      </c>
      <c r="P176" s="246"/>
      <c r="R176" s="53"/>
      <c r="S176" s="53"/>
      <c r="T176" s="53"/>
    </row>
    <row r="177" spans="1:20" ht="24" hidden="1" x14ac:dyDescent="0.25">
      <c r="A177" s="99">
        <v>3200</v>
      </c>
      <c r="B177" s="321" t="s">
        <v>193</v>
      </c>
      <c r="C177" s="100">
        <f t="shared" si="8"/>
        <v>0</v>
      </c>
      <c r="D177" s="112">
        <f>SUM(D178,D182)</f>
        <v>0</v>
      </c>
      <c r="E177" s="293">
        <f>SUM(E178,E182)</f>
        <v>0</v>
      </c>
      <c r="F177" s="313">
        <f t="shared" si="9"/>
        <v>0</v>
      </c>
      <c r="G177" s="112">
        <f>SUM(G178,G182)</f>
        <v>0</v>
      </c>
      <c r="H177" s="113">
        <f>SUM(H178,H182)</f>
        <v>0</v>
      </c>
      <c r="I177" s="114">
        <f t="shared" si="10"/>
        <v>0</v>
      </c>
      <c r="J177" s="112">
        <f>SUM(J178,J182)</f>
        <v>0</v>
      </c>
      <c r="K177" s="113">
        <f>SUM(K178,K182)</f>
        <v>0</v>
      </c>
      <c r="L177" s="114">
        <f t="shared" si="11"/>
        <v>0</v>
      </c>
      <c r="M177" s="250">
        <f>SUM(M178,M182)</f>
        <v>0</v>
      </c>
      <c r="N177" s="251">
        <f>SUM(N178,N182)</f>
        <v>0</v>
      </c>
      <c r="O177" s="252">
        <f t="shared" si="12"/>
        <v>0</v>
      </c>
      <c r="P177" s="253"/>
      <c r="R177" s="53"/>
      <c r="S177" s="53"/>
      <c r="T177" s="53"/>
    </row>
    <row r="178" spans="1:20" ht="36" hidden="1" x14ac:dyDescent="0.25">
      <c r="A178" s="656">
        <v>3260</v>
      </c>
      <c r="B178" s="116" t="s">
        <v>194</v>
      </c>
      <c r="C178" s="117">
        <f t="shared" si="8"/>
        <v>0</v>
      </c>
      <c r="D178" s="297">
        <f>SUM(D179:D181)</f>
        <v>0</v>
      </c>
      <c r="E178" s="301">
        <f>SUM(E179:E181)</f>
        <v>0</v>
      </c>
      <c r="F178" s="263">
        <f t="shared" si="9"/>
        <v>0</v>
      </c>
      <c r="G178" s="297">
        <f>SUM(G179:G181)</f>
        <v>0</v>
      </c>
      <c r="H178" s="299">
        <f>SUM(H179:H181)</f>
        <v>0</v>
      </c>
      <c r="I178" s="125">
        <f t="shared" si="10"/>
        <v>0</v>
      </c>
      <c r="J178" s="297">
        <f>SUM(J179:J181)</f>
        <v>0</v>
      </c>
      <c r="K178" s="299">
        <f>SUM(K179:K181)</f>
        <v>0</v>
      </c>
      <c r="L178" s="125">
        <f t="shared" si="11"/>
        <v>0</v>
      </c>
      <c r="M178" s="300">
        <f>SUM(M179:M181)</f>
        <v>0</v>
      </c>
      <c r="N178" s="301">
        <f>SUM(N179:N181)</f>
        <v>0</v>
      </c>
      <c r="O178" s="125">
        <f t="shared" si="12"/>
        <v>0</v>
      </c>
      <c r="P178" s="74"/>
      <c r="R178" s="53"/>
      <c r="S178" s="53"/>
      <c r="T178" s="53"/>
    </row>
    <row r="179" spans="1:20" ht="24" hidden="1" x14ac:dyDescent="0.25">
      <c r="A179" s="76">
        <v>3261</v>
      </c>
      <c r="B179" s="127" t="s">
        <v>195</v>
      </c>
      <c r="C179" s="128">
        <f t="shared" si="8"/>
        <v>0</v>
      </c>
      <c r="D179" s="134"/>
      <c r="E179" s="285"/>
      <c r="F179" s="286">
        <f t="shared" si="9"/>
        <v>0</v>
      </c>
      <c r="G179" s="134"/>
      <c r="H179" s="135"/>
      <c r="I179" s="136">
        <f t="shared" si="10"/>
        <v>0</v>
      </c>
      <c r="J179" s="134"/>
      <c r="K179" s="135"/>
      <c r="L179" s="136">
        <f t="shared" si="11"/>
        <v>0</v>
      </c>
      <c r="M179" s="284"/>
      <c r="N179" s="285"/>
      <c r="O179" s="136">
        <f t="shared" si="12"/>
        <v>0</v>
      </c>
      <c r="P179" s="85"/>
      <c r="R179" s="53"/>
      <c r="S179" s="53"/>
      <c r="T179" s="53"/>
    </row>
    <row r="180" spans="1:20" ht="36" hidden="1" x14ac:dyDescent="0.25">
      <c r="A180" s="76">
        <v>3262</v>
      </c>
      <c r="B180" s="127" t="s">
        <v>196</v>
      </c>
      <c r="C180" s="128">
        <f t="shared" si="8"/>
        <v>0</v>
      </c>
      <c r="D180" s="134"/>
      <c r="E180" s="285"/>
      <c r="F180" s="286">
        <f t="shared" si="9"/>
        <v>0</v>
      </c>
      <c r="G180" s="134"/>
      <c r="H180" s="135"/>
      <c r="I180" s="136">
        <f t="shared" si="10"/>
        <v>0</v>
      </c>
      <c r="J180" s="134"/>
      <c r="K180" s="135"/>
      <c r="L180" s="136">
        <f t="shared" si="11"/>
        <v>0</v>
      </c>
      <c r="M180" s="284"/>
      <c r="N180" s="285"/>
      <c r="O180" s="136">
        <f t="shared" si="12"/>
        <v>0</v>
      </c>
      <c r="P180" s="85"/>
      <c r="R180" s="53"/>
      <c r="S180" s="53"/>
      <c r="T180" s="53"/>
    </row>
    <row r="181" spans="1:20" ht="24" hidden="1" x14ac:dyDescent="0.25">
      <c r="A181" s="76">
        <v>3263</v>
      </c>
      <c r="B181" s="127" t="s">
        <v>197</v>
      </c>
      <c r="C181" s="128">
        <f t="shared" si="8"/>
        <v>0</v>
      </c>
      <c r="D181" s="134"/>
      <c r="E181" s="285"/>
      <c r="F181" s="286">
        <f t="shared" si="9"/>
        <v>0</v>
      </c>
      <c r="G181" s="134"/>
      <c r="H181" s="135"/>
      <c r="I181" s="136">
        <f t="shared" si="10"/>
        <v>0</v>
      </c>
      <c r="J181" s="134"/>
      <c r="K181" s="135"/>
      <c r="L181" s="136">
        <f t="shared" si="11"/>
        <v>0</v>
      </c>
      <c r="M181" s="284"/>
      <c r="N181" s="285"/>
      <c r="O181" s="136">
        <f t="shared" si="12"/>
        <v>0</v>
      </c>
      <c r="P181" s="85"/>
      <c r="R181" s="53"/>
      <c r="S181" s="53"/>
      <c r="T181" s="53"/>
    </row>
    <row r="182" spans="1:20" ht="84" hidden="1" x14ac:dyDescent="0.25">
      <c r="A182" s="656">
        <v>3290</v>
      </c>
      <c r="B182" s="116" t="s">
        <v>198</v>
      </c>
      <c r="C182" s="128">
        <f t="shared" ref="C182:C258" si="14">F182+I182+L182+O182</f>
        <v>0</v>
      </c>
      <c r="D182" s="297">
        <f>SUM(D183:D186)</f>
        <v>0</v>
      </c>
      <c r="E182" s="301">
        <f>SUM(E183:E186)</f>
        <v>0</v>
      </c>
      <c r="F182" s="263">
        <f t="shared" si="9"/>
        <v>0</v>
      </c>
      <c r="G182" s="297">
        <f>SUM(G183:G186)</f>
        <v>0</v>
      </c>
      <c r="H182" s="299">
        <f>SUM(H183:H186)</f>
        <v>0</v>
      </c>
      <c r="I182" s="125">
        <f t="shared" si="10"/>
        <v>0</v>
      </c>
      <c r="J182" s="297">
        <f>SUM(J183:J186)</f>
        <v>0</v>
      </c>
      <c r="K182" s="299">
        <f>SUM(K183:K186)</f>
        <v>0</v>
      </c>
      <c r="L182" s="125">
        <f t="shared" si="11"/>
        <v>0</v>
      </c>
      <c r="M182" s="322">
        <f>SUM(M183:M186)</f>
        <v>0</v>
      </c>
      <c r="N182" s="323">
        <f>SUM(N183:N186)</f>
        <v>0</v>
      </c>
      <c r="O182" s="324">
        <f t="shared" si="12"/>
        <v>0</v>
      </c>
      <c r="P182" s="325"/>
      <c r="R182" s="53"/>
      <c r="S182" s="53"/>
      <c r="T182" s="53"/>
    </row>
    <row r="183" spans="1:20" ht="72" hidden="1" x14ac:dyDescent="0.25">
      <c r="A183" s="76">
        <v>3291</v>
      </c>
      <c r="B183" s="127" t="s">
        <v>199</v>
      </c>
      <c r="C183" s="128">
        <f t="shared" si="14"/>
        <v>0</v>
      </c>
      <c r="D183" s="134"/>
      <c r="E183" s="285"/>
      <c r="F183" s="286">
        <f t="shared" ref="F183:F246" si="15">D183+E183</f>
        <v>0</v>
      </c>
      <c r="G183" s="134"/>
      <c r="H183" s="135"/>
      <c r="I183" s="136">
        <f t="shared" ref="I183:I246" si="16">G183+H183</f>
        <v>0</v>
      </c>
      <c r="J183" s="134"/>
      <c r="K183" s="135"/>
      <c r="L183" s="136">
        <f t="shared" ref="L183:L246" si="17">J183+K183</f>
        <v>0</v>
      </c>
      <c r="M183" s="284"/>
      <c r="N183" s="285"/>
      <c r="O183" s="136">
        <f t="shared" ref="O183:O246" si="18">M183+N183</f>
        <v>0</v>
      </c>
      <c r="P183" s="85"/>
      <c r="R183" s="53"/>
      <c r="S183" s="53"/>
      <c r="T183" s="53"/>
    </row>
    <row r="184" spans="1:20" ht="72" hidden="1" x14ac:dyDescent="0.25">
      <c r="A184" s="76">
        <v>3292</v>
      </c>
      <c r="B184" s="127" t="s">
        <v>200</v>
      </c>
      <c r="C184" s="128">
        <f t="shared" si="14"/>
        <v>0</v>
      </c>
      <c r="D184" s="134"/>
      <c r="E184" s="285"/>
      <c r="F184" s="286">
        <f t="shared" si="15"/>
        <v>0</v>
      </c>
      <c r="G184" s="134"/>
      <c r="H184" s="135"/>
      <c r="I184" s="136">
        <f t="shared" si="16"/>
        <v>0</v>
      </c>
      <c r="J184" s="134"/>
      <c r="K184" s="135"/>
      <c r="L184" s="136">
        <f t="shared" si="17"/>
        <v>0</v>
      </c>
      <c r="M184" s="284"/>
      <c r="N184" s="285"/>
      <c r="O184" s="136">
        <f t="shared" si="18"/>
        <v>0</v>
      </c>
      <c r="P184" s="85"/>
      <c r="R184" s="53"/>
      <c r="S184" s="53"/>
      <c r="T184" s="53"/>
    </row>
    <row r="185" spans="1:20" ht="72" hidden="1" x14ac:dyDescent="0.25">
      <c r="A185" s="76">
        <v>3293</v>
      </c>
      <c r="B185" s="127" t="s">
        <v>201</v>
      </c>
      <c r="C185" s="128">
        <f t="shared" si="14"/>
        <v>0</v>
      </c>
      <c r="D185" s="134"/>
      <c r="E185" s="285"/>
      <c r="F185" s="286">
        <f t="shared" si="15"/>
        <v>0</v>
      </c>
      <c r="G185" s="134"/>
      <c r="H185" s="135"/>
      <c r="I185" s="136">
        <f t="shared" si="16"/>
        <v>0</v>
      </c>
      <c r="J185" s="134"/>
      <c r="K185" s="135"/>
      <c r="L185" s="136">
        <f t="shared" si="17"/>
        <v>0</v>
      </c>
      <c r="M185" s="284"/>
      <c r="N185" s="285"/>
      <c r="O185" s="136">
        <f t="shared" si="18"/>
        <v>0</v>
      </c>
      <c r="P185" s="85"/>
      <c r="R185" s="53"/>
      <c r="S185" s="53"/>
      <c r="T185" s="53"/>
    </row>
    <row r="186" spans="1:20" ht="60" hidden="1" x14ac:dyDescent="0.25">
      <c r="A186" s="326">
        <v>3294</v>
      </c>
      <c r="B186" s="127" t="s">
        <v>202</v>
      </c>
      <c r="C186" s="327">
        <f t="shared" si="14"/>
        <v>0</v>
      </c>
      <c r="D186" s="328"/>
      <c r="E186" s="329"/>
      <c r="F186" s="330">
        <f t="shared" si="15"/>
        <v>0</v>
      </c>
      <c r="G186" s="328"/>
      <c r="H186" s="331"/>
      <c r="I186" s="324">
        <f t="shared" si="16"/>
        <v>0</v>
      </c>
      <c r="J186" s="328"/>
      <c r="K186" s="331"/>
      <c r="L186" s="324">
        <f t="shared" si="17"/>
        <v>0</v>
      </c>
      <c r="M186" s="332"/>
      <c r="N186" s="329"/>
      <c r="O186" s="324">
        <f t="shared" si="18"/>
        <v>0</v>
      </c>
      <c r="P186" s="325"/>
      <c r="R186" s="53"/>
      <c r="S186" s="53"/>
      <c r="T186" s="53"/>
    </row>
    <row r="187" spans="1:20" ht="48" hidden="1" x14ac:dyDescent="0.25">
      <c r="A187" s="160">
        <v>3300</v>
      </c>
      <c r="B187" s="321" t="s">
        <v>203</v>
      </c>
      <c r="C187" s="333">
        <f t="shared" si="14"/>
        <v>0</v>
      </c>
      <c r="D187" s="334">
        <f>SUM(D188:D189)</f>
        <v>0</v>
      </c>
      <c r="E187" s="251">
        <f>SUM(E188:E189)</f>
        <v>0</v>
      </c>
      <c r="F187" s="335">
        <f t="shared" si="15"/>
        <v>0</v>
      </c>
      <c r="G187" s="334">
        <f>SUM(G188:G189)</f>
        <v>0</v>
      </c>
      <c r="H187" s="336">
        <f>SUM(H188:H189)</f>
        <v>0</v>
      </c>
      <c r="I187" s="252">
        <f t="shared" si="16"/>
        <v>0</v>
      </c>
      <c r="J187" s="334">
        <f>SUM(J188:J189)</f>
        <v>0</v>
      </c>
      <c r="K187" s="336">
        <f>SUM(K188:K189)</f>
        <v>0</v>
      </c>
      <c r="L187" s="252">
        <f t="shared" si="17"/>
        <v>0</v>
      </c>
      <c r="M187" s="250">
        <f>SUM(M188:M189)</f>
        <v>0</v>
      </c>
      <c r="N187" s="251">
        <f>SUM(N188:N189)</f>
        <v>0</v>
      </c>
      <c r="O187" s="252">
        <f t="shared" si="18"/>
        <v>0</v>
      </c>
      <c r="P187" s="253"/>
      <c r="R187" s="53"/>
      <c r="S187" s="53"/>
      <c r="T187" s="53"/>
    </row>
    <row r="188" spans="1:20" ht="48" hidden="1" x14ac:dyDescent="0.25">
      <c r="A188" s="178">
        <v>3310</v>
      </c>
      <c r="B188" s="179" t="s">
        <v>204</v>
      </c>
      <c r="C188" s="191">
        <f t="shared" si="14"/>
        <v>0</v>
      </c>
      <c r="D188" s="287"/>
      <c r="E188" s="291"/>
      <c r="F188" s="310">
        <f t="shared" si="15"/>
        <v>0</v>
      </c>
      <c r="G188" s="287"/>
      <c r="H188" s="289"/>
      <c r="I188" s="259">
        <f t="shared" si="16"/>
        <v>0</v>
      </c>
      <c r="J188" s="287"/>
      <c r="K188" s="289"/>
      <c r="L188" s="259">
        <f t="shared" si="17"/>
        <v>0</v>
      </c>
      <c r="M188" s="290"/>
      <c r="N188" s="291"/>
      <c r="O188" s="259">
        <f t="shared" si="18"/>
        <v>0</v>
      </c>
      <c r="P188" s="189"/>
      <c r="R188" s="53"/>
      <c r="S188" s="53"/>
      <c r="T188" s="53"/>
    </row>
    <row r="189" spans="1:20" ht="60" hidden="1" x14ac:dyDescent="0.25">
      <c r="A189" s="66">
        <v>3320</v>
      </c>
      <c r="B189" s="116" t="s">
        <v>205</v>
      </c>
      <c r="C189" s="117">
        <f t="shared" si="14"/>
        <v>0</v>
      </c>
      <c r="D189" s="123"/>
      <c r="E189" s="262"/>
      <c r="F189" s="263">
        <f t="shared" si="15"/>
        <v>0</v>
      </c>
      <c r="G189" s="123"/>
      <c r="H189" s="124"/>
      <c r="I189" s="125">
        <f t="shared" si="16"/>
        <v>0</v>
      </c>
      <c r="J189" s="123"/>
      <c r="K189" s="124"/>
      <c r="L189" s="125">
        <f t="shared" si="17"/>
        <v>0</v>
      </c>
      <c r="M189" s="264"/>
      <c r="N189" s="262"/>
      <c r="O189" s="125">
        <f t="shared" si="18"/>
        <v>0</v>
      </c>
      <c r="P189" s="74"/>
      <c r="R189" s="53"/>
      <c r="S189" s="53"/>
      <c r="T189" s="53"/>
    </row>
    <row r="190" spans="1:20" hidden="1" x14ac:dyDescent="0.25">
      <c r="A190" s="337">
        <v>4000</v>
      </c>
      <c r="B190" s="237" t="s">
        <v>206</v>
      </c>
      <c r="C190" s="238">
        <f t="shared" si="14"/>
        <v>0</v>
      </c>
      <c r="D190" s="239">
        <f>SUM(D191,D194)</f>
        <v>0</v>
      </c>
      <c r="E190" s="245">
        <f>SUM(E191,E194)</f>
        <v>0</v>
      </c>
      <c r="F190" s="320">
        <f t="shared" si="15"/>
        <v>0</v>
      </c>
      <c r="G190" s="239">
        <f>SUM(G191,G194)</f>
        <v>0</v>
      </c>
      <c r="H190" s="242">
        <f>SUM(H191,H194)</f>
        <v>0</v>
      </c>
      <c r="I190" s="243">
        <f t="shared" si="16"/>
        <v>0</v>
      </c>
      <c r="J190" s="239">
        <f>SUM(J191,J194)</f>
        <v>0</v>
      </c>
      <c r="K190" s="242">
        <f>SUM(K191,K194)</f>
        <v>0</v>
      </c>
      <c r="L190" s="243">
        <f t="shared" si="17"/>
        <v>0</v>
      </c>
      <c r="M190" s="244">
        <f>SUM(M191,M194)</f>
        <v>0</v>
      </c>
      <c r="N190" s="245">
        <f>SUM(N191,N194)</f>
        <v>0</v>
      </c>
      <c r="O190" s="243">
        <f t="shared" si="18"/>
        <v>0</v>
      </c>
      <c r="P190" s="246"/>
      <c r="R190" s="53"/>
      <c r="S190" s="53"/>
      <c r="T190" s="53"/>
    </row>
    <row r="191" spans="1:20" ht="24" hidden="1" x14ac:dyDescent="0.25">
      <c r="A191" s="338">
        <v>4200</v>
      </c>
      <c r="B191" s="247" t="s">
        <v>207</v>
      </c>
      <c r="C191" s="100">
        <f t="shared" si="14"/>
        <v>0</v>
      </c>
      <c r="D191" s="112">
        <f>SUM(D192,D193)</f>
        <v>0</v>
      </c>
      <c r="E191" s="293">
        <f>SUM(E192,E193)</f>
        <v>0</v>
      </c>
      <c r="F191" s="313">
        <f t="shared" si="15"/>
        <v>0</v>
      </c>
      <c r="G191" s="112">
        <f>SUM(G192,G193)</f>
        <v>0</v>
      </c>
      <c r="H191" s="113">
        <f>SUM(H192,H193)</f>
        <v>0</v>
      </c>
      <c r="I191" s="114">
        <f t="shared" si="16"/>
        <v>0</v>
      </c>
      <c r="J191" s="112">
        <f>SUM(J192,J193)</f>
        <v>0</v>
      </c>
      <c r="K191" s="113">
        <f>SUM(K192,K193)</f>
        <v>0</v>
      </c>
      <c r="L191" s="114">
        <f t="shared" si="17"/>
        <v>0</v>
      </c>
      <c r="M191" s="292">
        <f>SUM(M192,M193)</f>
        <v>0</v>
      </c>
      <c r="N191" s="293">
        <f>SUM(N192,N193)</f>
        <v>0</v>
      </c>
      <c r="O191" s="114">
        <f t="shared" si="18"/>
        <v>0</v>
      </c>
      <c r="P191" s="109"/>
      <c r="R191" s="53"/>
      <c r="S191" s="53"/>
      <c r="T191" s="53"/>
    </row>
    <row r="192" spans="1:20" ht="36" hidden="1" x14ac:dyDescent="0.25">
      <c r="A192" s="656">
        <v>4240</v>
      </c>
      <c r="B192" s="116" t="s">
        <v>208</v>
      </c>
      <c r="C192" s="117">
        <f t="shared" si="14"/>
        <v>0</v>
      </c>
      <c r="D192" s="123"/>
      <c r="E192" s="262"/>
      <c r="F192" s="263">
        <f t="shared" si="15"/>
        <v>0</v>
      </c>
      <c r="G192" s="123"/>
      <c r="H192" s="124"/>
      <c r="I192" s="125">
        <f t="shared" si="16"/>
        <v>0</v>
      </c>
      <c r="J192" s="123"/>
      <c r="K192" s="124"/>
      <c r="L192" s="125">
        <f t="shared" si="17"/>
        <v>0</v>
      </c>
      <c r="M192" s="264"/>
      <c r="N192" s="262"/>
      <c r="O192" s="125">
        <f t="shared" si="18"/>
        <v>0</v>
      </c>
      <c r="P192" s="74"/>
      <c r="R192" s="53"/>
      <c r="S192" s="53"/>
      <c r="T192" s="53"/>
    </row>
    <row r="193" spans="1:20" ht="24" hidden="1" x14ac:dyDescent="0.25">
      <c r="A193" s="276">
        <v>4250</v>
      </c>
      <c r="B193" s="127" t="s">
        <v>209</v>
      </c>
      <c r="C193" s="128">
        <f t="shared" si="14"/>
        <v>0</v>
      </c>
      <c r="D193" s="134"/>
      <c r="E193" s="285"/>
      <c r="F193" s="286">
        <f t="shared" si="15"/>
        <v>0</v>
      </c>
      <c r="G193" s="134"/>
      <c r="H193" s="135"/>
      <c r="I193" s="136">
        <f t="shared" si="16"/>
        <v>0</v>
      </c>
      <c r="J193" s="134"/>
      <c r="K193" s="135"/>
      <c r="L193" s="136">
        <f t="shared" si="17"/>
        <v>0</v>
      </c>
      <c r="M193" s="284"/>
      <c r="N193" s="285"/>
      <c r="O193" s="136">
        <f t="shared" si="18"/>
        <v>0</v>
      </c>
      <c r="P193" s="85"/>
      <c r="R193" s="53"/>
      <c r="S193" s="53"/>
      <c r="T193" s="53"/>
    </row>
    <row r="194" spans="1:20" hidden="1" x14ac:dyDescent="0.25">
      <c r="A194" s="99">
        <v>4300</v>
      </c>
      <c r="B194" s="247" t="s">
        <v>210</v>
      </c>
      <c r="C194" s="100">
        <f t="shared" si="14"/>
        <v>0</v>
      </c>
      <c r="D194" s="112">
        <f>SUM(D195)</f>
        <v>0</v>
      </c>
      <c r="E194" s="293">
        <f>SUM(E195)</f>
        <v>0</v>
      </c>
      <c r="F194" s="313">
        <f t="shared" si="15"/>
        <v>0</v>
      </c>
      <c r="G194" s="112">
        <f>SUM(G195)</f>
        <v>0</v>
      </c>
      <c r="H194" s="113">
        <f>SUM(H195)</f>
        <v>0</v>
      </c>
      <c r="I194" s="114">
        <f t="shared" si="16"/>
        <v>0</v>
      </c>
      <c r="J194" s="112">
        <f>SUM(J195)</f>
        <v>0</v>
      </c>
      <c r="K194" s="113">
        <f>SUM(K195)</f>
        <v>0</v>
      </c>
      <c r="L194" s="114">
        <f t="shared" si="17"/>
        <v>0</v>
      </c>
      <c r="M194" s="292">
        <f>SUM(M195)</f>
        <v>0</v>
      </c>
      <c r="N194" s="293">
        <f>SUM(N195)</f>
        <v>0</v>
      </c>
      <c r="O194" s="114">
        <f t="shared" si="18"/>
        <v>0</v>
      </c>
      <c r="P194" s="109"/>
      <c r="R194" s="53"/>
      <c r="S194" s="53"/>
      <c r="T194" s="53"/>
    </row>
    <row r="195" spans="1:20" ht="24" hidden="1" x14ac:dyDescent="0.25">
      <c r="A195" s="656">
        <v>4310</v>
      </c>
      <c r="B195" s="116" t="s">
        <v>211</v>
      </c>
      <c r="C195" s="117">
        <f t="shared" si="14"/>
        <v>0</v>
      </c>
      <c r="D195" s="297">
        <f>SUM(D196:D196)</f>
        <v>0</v>
      </c>
      <c r="E195" s="301">
        <f>SUM(E196:E196)</f>
        <v>0</v>
      </c>
      <c r="F195" s="263">
        <f t="shared" si="15"/>
        <v>0</v>
      </c>
      <c r="G195" s="297">
        <f>SUM(G196:G196)</f>
        <v>0</v>
      </c>
      <c r="H195" s="299">
        <f>SUM(H196:H196)</f>
        <v>0</v>
      </c>
      <c r="I195" s="125">
        <f t="shared" si="16"/>
        <v>0</v>
      </c>
      <c r="J195" s="297">
        <f>SUM(J196:J196)</f>
        <v>0</v>
      </c>
      <c r="K195" s="299">
        <f>SUM(K196:K196)</f>
        <v>0</v>
      </c>
      <c r="L195" s="125">
        <f t="shared" si="17"/>
        <v>0</v>
      </c>
      <c r="M195" s="300">
        <f>SUM(M196:M196)</f>
        <v>0</v>
      </c>
      <c r="N195" s="301">
        <f>SUM(N196:N196)</f>
        <v>0</v>
      </c>
      <c r="O195" s="125">
        <f t="shared" si="18"/>
        <v>0</v>
      </c>
      <c r="P195" s="74"/>
      <c r="R195" s="53"/>
      <c r="S195" s="53"/>
      <c r="T195" s="53"/>
    </row>
    <row r="196" spans="1:20" ht="36" hidden="1" x14ac:dyDescent="0.25">
      <c r="A196" s="76">
        <v>4311</v>
      </c>
      <c r="B196" s="127" t="s">
        <v>212</v>
      </c>
      <c r="C196" s="128">
        <f t="shared" si="14"/>
        <v>0</v>
      </c>
      <c r="D196" s="134"/>
      <c r="E196" s="285"/>
      <c r="F196" s="286">
        <f t="shared" si="15"/>
        <v>0</v>
      </c>
      <c r="G196" s="134"/>
      <c r="H196" s="135"/>
      <c r="I196" s="136">
        <f t="shared" si="16"/>
        <v>0</v>
      </c>
      <c r="J196" s="134"/>
      <c r="K196" s="135"/>
      <c r="L196" s="136">
        <f t="shared" si="17"/>
        <v>0</v>
      </c>
      <c r="M196" s="284"/>
      <c r="N196" s="285"/>
      <c r="O196" s="136">
        <f t="shared" si="18"/>
        <v>0</v>
      </c>
      <c r="P196" s="85"/>
      <c r="R196" s="53"/>
      <c r="S196" s="53"/>
      <c r="T196" s="53"/>
    </row>
    <row r="197" spans="1:20" s="41" customFormat="1" ht="24" x14ac:dyDescent="0.25">
      <c r="A197" s="339"/>
      <c r="B197" s="31" t="s">
        <v>213</v>
      </c>
      <c r="C197" s="229">
        <f t="shared" si="14"/>
        <v>37126</v>
      </c>
      <c r="D197" s="230">
        <f>SUM(D198,D233,D271)</f>
        <v>32426</v>
      </c>
      <c r="E197" s="231">
        <f>SUM(E198,E233,E271)</f>
        <v>0</v>
      </c>
      <c r="F197" s="232">
        <f t="shared" si="15"/>
        <v>32426</v>
      </c>
      <c r="G197" s="230">
        <f>SUM(G198,G233,G271)</f>
        <v>4700</v>
      </c>
      <c r="H197" s="233">
        <f>SUM(H198,H233,H271)</f>
        <v>0</v>
      </c>
      <c r="I197" s="234">
        <f t="shared" si="16"/>
        <v>4700</v>
      </c>
      <c r="J197" s="230">
        <f>SUM(J198,J233,J271)</f>
        <v>0</v>
      </c>
      <c r="K197" s="233">
        <f>SUM(K198,K233,K271)</f>
        <v>0</v>
      </c>
      <c r="L197" s="234">
        <f t="shared" si="17"/>
        <v>0</v>
      </c>
      <c r="M197" s="340">
        <f>SUM(M198,M233,M271)</f>
        <v>0</v>
      </c>
      <c r="N197" s="341">
        <f>SUM(N198,N233,N271)</f>
        <v>0</v>
      </c>
      <c r="O197" s="342">
        <f t="shared" si="18"/>
        <v>0</v>
      </c>
      <c r="P197" s="343"/>
      <c r="R197" s="53"/>
      <c r="S197" s="53"/>
      <c r="T197" s="53"/>
    </row>
    <row r="198" spans="1:20" x14ac:dyDescent="0.25">
      <c r="A198" s="237">
        <v>5000</v>
      </c>
      <c r="B198" s="237" t="s">
        <v>214</v>
      </c>
      <c r="C198" s="238">
        <f>F198+I198+L198+O198</f>
        <v>37126</v>
      </c>
      <c r="D198" s="239">
        <f>D199+D207</f>
        <v>32426</v>
      </c>
      <c r="E198" s="240">
        <f>E199+E207</f>
        <v>0</v>
      </c>
      <c r="F198" s="241">
        <f t="shared" si="15"/>
        <v>32426</v>
      </c>
      <c r="G198" s="239">
        <f>G199+G207</f>
        <v>4700</v>
      </c>
      <c r="H198" s="242">
        <f>H199+H207</f>
        <v>0</v>
      </c>
      <c r="I198" s="243">
        <f t="shared" si="16"/>
        <v>4700</v>
      </c>
      <c r="J198" s="239">
        <f>J199+J207</f>
        <v>0</v>
      </c>
      <c r="K198" s="242">
        <f>K199+K207</f>
        <v>0</v>
      </c>
      <c r="L198" s="243">
        <f t="shared" si="17"/>
        <v>0</v>
      </c>
      <c r="M198" s="244">
        <f>M199+M207</f>
        <v>0</v>
      </c>
      <c r="N198" s="245">
        <f>N199+N207</f>
        <v>0</v>
      </c>
      <c r="O198" s="243">
        <f t="shared" si="18"/>
        <v>0</v>
      </c>
      <c r="P198" s="246"/>
      <c r="R198" s="53"/>
      <c r="S198" s="53"/>
      <c r="T198" s="53"/>
    </row>
    <row r="199" spans="1:20" x14ac:dyDescent="0.25">
      <c r="A199" s="99">
        <v>5100</v>
      </c>
      <c r="B199" s="247" t="s">
        <v>215</v>
      </c>
      <c r="C199" s="100">
        <f t="shared" si="14"/>
        <v>2295</v>
      </c>
      <c r="D199" s="112">
        <f>D200+D201+D204+D205+D206</f>
        <v>2295</v>
      </c>
      <c r="E199" s="248">
        <f>E200+E201+E204+E205+E206</f>
        <v>0</v>
      </c>
      <c r="F199" s="249">
        <f t="shared" si="15"/>
        <v>2295</v>
      </c>
      <c r="G199" s="112">
        <f>G200+G201+G204+G205+G206</f>
        <v>0</v>
      </c>
      <c r="H199" s="113">
        <f>H200+H201+H204+H205+H206</f>
        <v>0</v>
      </c>
      <c r="I199" s="114">
        <f t="shared" si="16"/>
        <v>0</v>
      </c>
      <c r="J199" s="112">
        <f>J200+J201+J204+J205+J206</f>
        <v>0</v>
      </c>
      <c r="K199" s="113">
        <f>K200+K201+K204+K205+K206</f>
        <v>0</v>
      </c>
      <c r="L199" s="114">
        <f t="shared" si="17"/>
        <v>0</v>
      </c>
      <c r="M199" s="292">
        <f>M200+M201+M204+M205+M206</f>
        <v>0</v>
      </c>
      <c r="N199" s="293">
        <f>N200+N201+N204+N205+N206</f>
        <v>0</v>
      </c>
      <c r="O199" s="114">
        <f t="shared" si="18"/>
        <v>0</v>
      </c>
      <c r="P199" s="109"/>
      <c r="R199" s="53"/>
      <c r="S199" s="53"/>
      <c r="T199" s="53"/>
    </row>
    <row r="200" spans="1:20" hidden="1" x14ac:dyDescent="0.25">
      <c r="A200" s="656">
        <v>5110</v>
      </c>
      <c r="B200" s="116" t="s">
        <v>216</v>
      </c>
      <c r="C200" s="117">
        <f t="shared" si="14"/>
        <v>0</v>
      </c>
      <c r="D200" s="123"/>
      <c r="E200" s="262"/>
      <c r="F200" s="263">
        <f t="shared" si="15"/>
        <v>0</v>
      </c>
      <c r="G200" s="123"/>
      <c r="H200" s="124"/>
      <c r="I200" s="125">
        <f t="shared" si="16"/>
        <v>0</v>
      </c>
      <c r="J200" s="123"/>
      <c r="K200" s="124"/>
      <c r="L200" s="125">
        <f t="shared" si="17"/>
        <v>0</v>
      </c>
      <c r="M200" s="264"/>
      <c r="N200" s="262"/>
      <c r="O200" s="125">
        <f t="shared" si="18"/>
        <v>0</v>
      </c>
      <c r="P200" s="74"/>
      <c r="R200" s="53"/>
      <c r="S200" s="53"/>
      <c r="T200" s="53"/>
    </row>
    <row r="201" spans="1:20" ht="24" x14ac:dyDescent="0.25">
      <c r="A201" s="276">
        <v>5120</v>
      </c>
      <c r="B201" s="127" t="s">
        <v>217</v>
      </c>
      <c r="C201" s="128">
        <f t="shared" si="14"/>
        <v>2295</v>
      </c>
      <c r="D201" s="277">
        <f>D202+D203</f>
        <v>2295</v>
      </c>
      <c r="E201" s="278">
        <f>E202+E203</f>
        <v>0</v>
      </c>
      <c r="F201" s="279">
        <f t="shared" si="15"/>
        <v>2295</v>
      </c>
      <c r="G201" s="277">
        <f>G202+G203</f>
        <v>0</v>
      </c>
      <c r="H201" s="280">
        <f>H202+H203</f>
        <v>0</v>
      </c>
      <c r="I201" s="136">
        <f t="shared" si="16"/>
        <v>0</v>
      </c>
      <c r="J201" s="277">
        <f>J202+J203</f>
        <v>0</v>
      </c>
      <c r="K201" s="280">
        <f>K202+K203</f>
        <v>0</v>
      </c>
      <c r="L201" s="136">
        <f t="shared" si="17"/>
        <v>0</v>
      </c>
      <c r="M201" s="281">
        <f>M202+M203</f>
        <v>0</v>
      </c>
      <c r="N201" s="282">
        <f>N202+N203</f>
        <v>0</v>
      </c>
      <c r="O201" s="136">
        <f t="shared" si="18"/>
        <v>0</v>
      </c>
      <c r="P201" s="85"/>
      <c r="R201" s="53"/>
      <c r="S201" s="53"/>
      <c r="T201" s="53"/>
    </row>
    <row r="202" spans="1:20" x14ac:dyDescent="0.25">
      <c r="A202" s="76">
        <v>5121</v>
      </c>
      <c r="B202" s="127" t="s">
        <v>218</v>
      </c>
      <c r="C202" s="128">
        <f t="shared" si="14"/>
        <v>2295</v>
      </c>
      <c r="D202" s="134">
        <v>2295</v>
      </c>
      <c r="E202" s="283"/>
      <c r="F202" s="279">
        <f t="shared" si="15"/>
        <v>2295</v>
      </c>
      <c r="G202" s="134"/>
      <c r="H202" s="135"/>
      <c r="I202" s="136">
        <f t="shared" si="16"/>
        <v>0</v>
      </c>
      <c r="J202" s="134"/>
      <c r="K202" s="135"/>
      <c r="L202" s="136">
        <f t="shared" si="17"/>
        <v>0</v>
      </c>
      <c r="M202" s="284"/>
      <c r="N202" s="285"/>
      <c r="O202" s="136">
        <f t="shared" si="18"/>
        <v>0</v>
      </c>
      <c r="P202" s="85"/>
      <c r="R202" s="53"/>
      <c r="S202" s="53"/>
      <c r="T202" s="53"/>
    </row>
    <row r="203" spans="1:20" ht="24" hidden="1" x14ac:dyDescent="0.25">
      <c r="A203" s="76">
        <v>5129</v>
      </c>
      <c r="B203" s="127" t="s">
        <v>219</v>
      </c>
      <c r="C203" s="128">
        <f t="shared" si="14"/>
        <v>0</v>
      </c>
      <c r="D203" s="134"/>
      <c r="E203" s="285"/>
      <c r="F203" s="286">
        <f t="shared" si="15"/>
        <v>0</v>
      </c>
      <c r="G203" s="134"/>
      <c r="H203" s="135"/>
      <c r="I203" s="136">
        <f t="shared" si="16"/>
        <v>0</v>
      </c>
      <c r="J203" s="134"/>
      <c r="K203" s="135"/>
      <c r="L203" s="136">
        <f t="shared" si="17"/>
        <v>0</v>
      </c>
      <c r="M203" s="284"/>
      <c r="N203" s="285"/>
      <c r="O203" s="136">
        <f t="shared" si="18"/>
        <v>0</v>
      </c>
      <c r="P203" s="85"/>
      <c r="R203" s="53"/>
      <c r="S203" s="53"/>
      <c r="T203" s="53"/>
    </row>
    <row r="204" spans="1:20" hidden="1" x14ac:dyDescent="0.25">
      <c r="A204" s="276">
        <v>5130</v>
      </c>
      <c r="B204" s="127" t="s">
        <v>220</v>
      </c>
      <c r="C204" s="128">
        <f t="shared" si="14"/>
        <v>0</v>
      </c>
      <c r="D204" s="134"/>
      <c r="E204" s="285"/>
      <c r="F204" s="286">
        <f t="shared" si="15"/>
        <v>0</v>
      </c>
      <c r="G204" s="134"/>
      <c r="H204" s="135"/>
      <c r="I204" s="136">
        <f t="shared" si="16"/>
        <v>0</v>
      </c>
      <c r="J204" s="134"/>
      <c r="K204" s="135"/>
      <c r="L204" s="136">
        <f t="shared" si="17"/>
        <v>0</v>
      </c>
      <c r="M204" s="284"/>
      <c r="N204" s="285"/>
      <c r="O204" s="136">
        <f t="shared" si="18"/>
        <v>0</v>
      </c>
      <c r="P204" s="85"/>
      <c r="R204" s="53"/>
      <c r="S204" s="53"/>
      <c r="T204" s="53"/>
    </row>
    <row r="205" spans="1:20" hidden="1" x14ac:dyDescent="0.25">
      <c r="A205" s="276">
        <v>5140</v>
      </c>
      <c r="B205" s="127" t="s">
        <v>221</v>
      </c>
      <c r="C205" s="128">
        <f t="shared" si="14"/>
        <v>0</v>
      </c>
      <c r="D205" s="134"/>
      <c r="E205" s="285"/>
      <c r="F205" s="286">
        <f t="shared" si="15"/>
        <v>0</v>
      </c>
      <c r="G205" s="134"/>
      <c r="H205" s="135"/>
      <c r="I205" s="136">
        <f t="shared" si="16"/>
        <v>0</v>
      </c>
      <c r="J205" s="134"/>
      <c r="K205" s="135"/>
      <c r="L205" s="136">
        <f t="shared" si="17"/>
        <v>0</v>
      </c>
      <c r="M205" s="284"/>
      <c r="N205" s="285"/>
      <c r="O205" s="136">
        <f t="shared" si="18"/>
        <v>0</v>
      </c>
      <c r="P205" s="85"/>
      <c r="R205" s="53"/>
      <c r="S205" s="53"/>
      <c r="T205" s="53"/>
    </row>
    <row r="206" spans="1:20" ht="24" hidden="1" x14ac:dyDescent="0.25">
      <c r="A206" s="276">
        <v>5170</v>
      </c>
      <c r="B206" s="127" t="s">
        <v>222</v>
      </c>
      <c r="C206" s="128">
        <f t="shared" si="14"/>
        <v>0</v>
      </c>
      <c r="D206" s="134"/>
      <c r="E206" s="285"/>
      <c r="F206" s="286">
        <f t="shared" si="15"/>
        <v>0</v>
      </c>
      <c r="G206" s="134"/>
      <c r="H206" s="135"/>
      <c r="I206" s="136">
        <f t="shared" si="16"/>
        <v>0</v>
      </c>
      <c r="J206" s="134"/>
      <c r="K206" s="135"/>
      <c r="L206" s="136">
        <f t="shared" si="17"/>
        <v>0</v>
      </c>
      <c r="M206" s="284"/>
      <c r="N206" s="285"/>
      <c r="O206" s="136">
        <f t="shared" si="18"/>
        <v>0</v>
      </c>
      <c r="P206" s="85"/>
      <c r="R206" s="53"/>
      <c r="S206" s="53"/>
      <c r="T206" s="53"/>
    </row>
    <row r="207" spans="1:20" x14ac:dyDescent="0.25">
      <c r="A207" s="99">
        <v>5200</v>
      </c>
      <c r="B207" s="247" t="s">
        <v>223</v>
      </c>
      <c r="C207" s="100">
        <f t="shared" si="14"/>
        <v>34831</v>
      </c>
      <c r="D207" s="112">
        <f>D208+D218+D219+D228+D229+D230+D232</f>
        <v>30131</v>
      </c>
      <c r="E207" s="248">
        <f>E208+E218+E219+E228+E229+E230+E232</f>
        <v>0</v>
      </c>
      <c r="F207" s="249">
        <f t="shared" si="15"/>
        <v>30131</v>
      </c>
      <c r="G207" s="112">
        <f>G208+G218+G219+G228+G229+G230+G232</f>
        <v>4700</v>
      </c>
      <c r="H207" s="113">
        <f>H208+H218+H219+H228+H229+H230+H232</f>
        <v>0</v>
      </c>
      <c r="I207" s="114">
        <f t="shared" si="16"/>
        <v>4700</v>
      </c>
      <c r="J207" s="112">
        <f>J208+J218+J219+J228+J229+J230+J232</f>
        <v>0</v>
      </c>
      <c r="K207" s="113">
        <f>K208+K218+K219+K228+K229+K230+K232</f>
        <v>0</v>
      </c>
      <c r="L207" s="114">
        <f t="shared" si="17"/>
        <v>0</v>
      </c>
      <c r="M207" s="292">
        <f>M208+M218+M219+M228+M229+M230+M232</f>
        <v>0</v>
      </c>
      <c r="N207" s="293">
        <f>N208+N218+N219+N228+N229+N230+N232</f>
        <v>0</v>
      </c>
      <c r="O207" s="114">
        <f t="shared" si="18"/>
        <v>0</v>
      </c>
      <c r="P207" s="109"/>
      <c r="R207" s="53"/>
      <c r="S207" s="53"/>
      <c r="T207" s="53"/>
    </row>
    <row r="208" spans="1:20" hidden="1" x14ac:dyDescent="0.25">
      <c r="A208" s="254">
        <v>5210</v>
      </c>
      <c r="B208" s="179" t="s">
        <v>224</v>
      </c>
      <c r="C208" s="191">
        <f t="shared" si="14"/>
        <v>0</v>
      </c>
      <c r="D208" s="255">
        <f>SUM(D209:D217)</f>
        <v>0</v>
      </c>
      <c r="E208" s="261">
        <f>SUM(E209:E217)</f>
        <v>0</v>
      </c>
      <c r="F208" s="310">
        <f t="shared" si="15"/>
        <v>0</v>
      </c>
      <c r="G208" s="255">
        <f>SUM(G209:G217)</f>
        <v>0</v>
      </c>
      <c r="H208" s="258">
        <f>SUM(H209:H217)</f>
        <v>0</v>
      </c>
      <c r="I208" s="259">
        <f t="shared" si="16"/>
        <v>0</v>
      </c>
      <c r="J208" s="255">
        <f>SUM(J209:J217)</f>
        <v>0</v>
      </c>
      <c r="K208" s="258">
        <f>SUM(K209:K217)</f>
        <v>0</v>
      </c>
      <c r="L208" s="259">
        <f t="shared" si="17"/>
        <v>0</v>
      </c>
      <c r="M208" s="260">
        <f>SUM(M209:M217)</f>
        <v>0</v>
      </c>
      <c r="N208" s="261">
        <f>SUM(N209:N217)</f>
        <v>0</v>
      </c>
      <c r="O208" s="259">
        <f t="shared" si="18"/>
        <v>0</v>
      </c>
      <c r="P208" s="189"/>
      <c r="R208" s="53"/>
      <c r="S208" s="53"/>
      <c r="T208" s="53"/>
    </row>
    <row r="209" spans="1:20" hidden="1" x14ac:dyDescent="0.25">
      <c r="A209" s="66">
        <v>5211</v>
      </c>
      <c r="B209" s="116" t="s">
        <v>225</v>
      </c>
      <c r="C209" s="279">
        <f t="shared" si="14"/>
        <v>0</v>
      </c>
      <c r="D209" s="123"/>
      <c r="E209" s="262"/>
      <c r="F209" s="263">
        <f t="shared" si="15"/>
        <v>0</v>
      </c>
      <c r="G209" s="123"/>
      <c r="H209" s="124"/>
      <c r="I209" s="125">
        <f t="shared" si="16"/>
        <v>0</v>
      </c>
      <c r="J209" s="123"/>
      <c r="K209" s="124"/>
      <c r="L209" s="125">
        <f t="shared" si="17"/>
        <v>0</v>
      </c>
      <c r="M209" s="264"/>
      <c r="N209" s="262"/>
      <c r="O209" s="125">
        <f t="shared" si="18"/>
        <v>0</v>
      </c>
      <c r="P209" s="74"/>
      <c r="R209" s="53"/>
      <c r="S209" s="53"/>
      <c r="T209" s="53"/>
    </row>
    <row r="210" spans="1:20" hidden="1" x14ac:dyDescent="0.25">
      <c r="A210" s="76">
        <v>5212</v>
      </c>
      <c r="B210" s="127" t="s">
        <v>226</v>
      </c>
      <c r="C210" s="279">
        <f t="shared" si="14"/>
        <v>0</v>
      </c>
      <c r="D210" s="134"/>
      <c r="E210" s="285"/>
      <c r="F210" s="286">
        <f t="shared" si="15"/>
        <v>0</v>
      </c>
      <c r="G210" s="134"/>
      <c r="H210" s="135"/>
      <c r="I210" s="136">
        <f t="shared" si="16"/>
        <v>0</v>
      </c>
      <c r="J210" s="134"/>
      <c r="K210" s="135"/>
      <c r="L210" s="136">
        <f t="shared" si="17"/>
        <v>0</v>
      </c>
      <c r="M210" s="284"/>
      <c r="N210" s="285"/>
      <c r="O210" s="136">
        <f t="shared" si="18"/>
        <v>0</v>
      </c>
      <c r="P210" s="85"/>
      <c r="R210" s="53"/>
      <c r="S210" s="53"/>
      <c r="T210" s="53"/>
    </row>
    <row r="211" spans="1:20" hidden="1" x14ac:dyDescent="0.25">
      <c r="A211" s="76">
        <v>5213</v>
      </c>
      <c r="B211" s="127" t="s">
        <v>227</v>
      </c>
      <c r="C211" s="279">
        <f t="shared" si="14"/>
        <v>0</v>
      </c>
      <c r="D211" s="134"/>
      <c r="E211" s="285"/>
      <c r="F211" s="286">
        <f t="shared" si="15"/>
        <v>0</v>
      </c>
      <c r="G211" s="134"/>
      <c r="H211" s="135"/>
      <c r="I211" s="136">
        <f t="shared" si="16"/>
        <v>0</v>
      </c>
      <c r="J211" s="134"/>
      <c r="K211" s="135"/>
      <c r="L211" s="136">
        <f t="shared" si="17"/>
        <v>0</v>
      </c>
      <c r="M211" s="284"/>
      <c r="N211" s="285"/>
      <c r="O211" s="136">
        <f t="shared" si="18"/>
        <v>0</v>
      </c>
      <c r="P211" s="85"/>
      <c r="R211" s="53"/>
      <c r="S211" s="53"/>
      <c r="T211" s="53"/>
    </row>
    <row r="212" spans="1:20" hidden="1" x14ac:dyDescent="0.25">
      <c r="A212" s="76">
        <v>5214</v>
      </c>
      <c r="B212" s="127" t="s">
        <v>228</v>
      </c>
      <c r="C212" s="279">
        <f t="shared" si="14"/>
        <v>0</v>
      </c>
      <c r="D212" s="134"/>
      <c r="E212" s="285"/>
      <c r="F212" s="286">
        <f t="shared" si="15"/>
        <v>0</v>
      </c>
      <c r="G212" s="134"/>
      <c r="H212" s="135"/>
      <c r="I212" s="136">
        <f t="shared" si="16"/>
        <v>0</v>
      </c>
      <c r="J212" s="134"/>
      <c r="K212" s="135"/>
      <c r="L212" s="136">
        <f t="shared" si="17"/>
        <v>0</v>
      </c>
      <c r="M212" s="284"/>
      <c r="N212" s="285"/>
      <c r="O212" s="136">
        <f t="shared" si="18"/>
        <v>0</v>
      </c>
      <c r="P212" s="85"/>
      <c r="R212" s="53"/>
      <c r="S212" s="53"/>
      <c r="T212" s="53"/>
    </row>
    <row r="213" spans="1:20" hidden="1" x14ac:dyDescent="0.25">
      <c r="A213" s="76">
        <v>5215</v>
      </c>
      <c r="B213" s="127" t="s">
        <v>229</v>
      </c>
      <c r="C213" s="279">
        <f t="shared" si="14"/>
        <v>0</v>
      </c>
      <c r="D213" s="134"/>
      <c r="E213" s="285"/>
      <c r="F213" s="286">
        <f t="shared" si="15"/>
        <v>0</v>
      </c>
      <c r="G213" s="134"/>
      <c r="H213" s="135"/>
      <c r="I213" s="136">
        <f t="shared" si="16"/>
        <v>0</v>
      </c>
      <c r="J213" s="134"/>
      <c r="K213" s="135"/>
      <c r="L213" s="136">
        <f t="shared" si="17"/>
        <v>0</v>
      </c>
      <c r="M213" s="284"/>
      <c r="N213" s="285"/>
      <c r="O213" s="136">
        <f t="shared" si="18"/>
        <v>0</v>
      </c>
      <c r="P213" s="85"/>
      <c r="R213" s="53"/>
      <c r="S213" s="53"/>
      <c r="T213" s="53"/>
    </row>
    <row r="214" spans="1:20" ht="24" hidden="1" x14ac:dyDescent="0.25">
      <c r="A214" s="76">
        <v>5216</v>
      </c>
      <c r="B214" s="127" t="s">
        <v>230</v>
      </c>
      <c r="C214" s="279">
        <f t="shared" si="14"/>
        <v>0</v>
      </c>
      <c r="D214" s="134"/>
      <c r="E214" s="285"/>
      <c r="F214" s="286">
        <f t="shared" si="15"/>
        <v>0</v>
      </c>
      <c r="G214" s="134"/>
      <c r="H214" s="135"/>
      <c r="I214" s="136">
        <f t="shared" si="16"/>
        <v>0</v>
      </c>
      <c r="J214" s="134"/>
      <c r="K214" s="135"/>
      <c r="L214" s="136">
        <f t="shared" si="17"/>
        <v>0</v>
      </c>
      <c r="M214" s="284"/>
      <c r="N214" s="285"/>
      <c r="O214" s="136">
        <f t="shared" si="18"/>
        <v>0</v>
      </c>
      <c r="P214" s="85"/>
      <c r="R214" s="53"/>
      <c r="S214" s="53"/>
      <c r="T214" s="53"/>
    </row>
    <row r="215" spans="1:20" hidden="1" x14ac:dyDescent="0.25">
      <c r="A215" s="76">
        <v>5217</v>
      </c>
      <c r="B215" s="127" t="s">
        <v>231</v>
      </c>
      <c r="C215" s="279">
        <f t="shared" si="14"/>
        <v>0</v>
      </c>
      <c r="D215" s="134"/>
      <c r="E215" s="285"/>
      <c r="F215" s="286">
        <f t="shared" si="15"/>
        <v>0</v>
      </c>
      <c r="G215" s="134"/>
      <c r="H215" s="135"/>
      <c r="I215" s="136">
        <f t="shared" si="16"/>
        <v>0</v>
      </c>
      <c r="J215" s="134"/>
      <c r="K215" s="135"/>
      <c r="L215" s="136">
        <f t="shared" si="17"/>
        <v>0</v>
      </c>
      <c r="M215" s="284"/>
      <c r="N215" s="285"/>
      <c r="O215" s="136">
        <f t="shared" si="18"/>
        <v>0</v>
      </c>
      <c r="P215" s="85"/>
      <c r="R215" s="53"/>
      <c r="S215" s="53"/>
      <c r="T215" s="53"/>
    </row>
    <row r="216" spans="1:20" hidden="1" x14ac:dyDescent="0.25">
      <c r="A216" s="76">
        <v>5218</v>
      </c>
      <c r="B216" s="127" t="s">
        <v>232</v>
      </c>
      <c r="C216" s="279">
        <f t="shared" si="14"/>
        <v>0</v>
      </c>
      <c r="D216" s="134"/>
      <c r="E216" s="285"/>
      <c r="F216" s="286">
        <f t="shared" si="15"/>
        <v>0</v>
      </c>
      <c r="G216" s="134"/>
      <c r="H216" s="135"/>
      <c r="I216" s="136">
        <f t="shared" si="16"/>
        <v>0</v>
      </c>
      <c r="J216" s="134"/>
      <c r="K216" s="135"/>
      <c r="L216" s="136">
        <f t="shared" si="17"/>
        <v>0</v>
      </c>
      <c r="M216" s="284"/>
      <c r="N216" s="285"/>
      <c r="O216" s="136">
        <f t="shared" si="18"/>
        <v>0</v>
      </c>
      <c r="P216" s="85"/>
      <c r="R216" s="53"/>
      <c r="S216" s="53"/>
      <c r="T216" s="53"/>
    </row>
    <row r="217" spans="1:20" hidden="1" x14ac:dyDescent="0.25">
      <c r="A217" s="76">
        <v>5219</v>
      </c>
      <c r="B217" s="127" t="s">
        <v>233</v>
      </c>
      <c r="C217" s="279">
        <f t="shared" si="14"/>
        <v>0</v>
      </c>
      <c r="D217" s="134"/>
      <c r="E217" s="285"/>
      <c r="F217" s="286">
        <f t="shared" si="15"/>
        <v>0</v>
      </c>
      <c r="G217" s="134"/>
      <c r="H217" s="135"/>
      <c r="I217" s="136">
        <f t="shared" si="16"/>
        <v>0</v>
      </c>
      <c r="J217" s="134"/>
      <c r="K217" s="135"/>
      <c r="L217" s="136">
        <f t="shared" si="17"/>
        <v>0</v>
      </c>
      <c r="M217" s="284"/>
      <c r="N217" s="285"/>
      <c r="O217" s="136">
        <f t="shared" si="18"/>
        <v>0</v>
      </c>
      <c r="P217" s="85"/>
      <c r="R217" s="53"/>
      <c r="S217" s="53"/>
      <c r="T217" s="53"/>
    </row>
    <row r="218" spans="1:20" hidden="1" x14ac:dyDescent="0.25">
      <c r="A218" s="276">
        <v>5220</v>
      </c>
      <c r="B218" s="127" t="s">
        <v>234</v>
      </c>
      <c r="C218" s="279">
        <f t="shared" si="14"/>
        <v>0</v>
      </c>
      <c r="D218" s="134"/>
      <c r="E218" s="285"/>
      <c r="F218" s="286">
        <f t="shared" si="15"/>
        <v>0</v>
      </c>
      <c r="G218" s="134"/>
      <c r="H218" s="135"/>
      <c r="I218" s="136">
        <f t="shared" si="16"/>
        <v>0</v>
      </c>
      <c r="J218" s="134"/>
      <c r="K218" s="135"/>
      <c r="L218" s="136">
        <f t="shared" si="17"/>
        <v>0</v>
      </c>
      <c r="M218" s="284"/>
      <c r="N218" s="285"/>
      <c r="O218" s="136">
        <f t="shared" si="18"/>
        <v>0</v>
      </c>
      <c r="P218" s="85"/>
      <c r="R218" s="53"/>
      <c r="S218" s="53"/>
      <c r="T218" s="53"/>
    </row>
    <row r="219" spans="1:20" x14ac:dyDescent="0.25">
      <c r="A219" s="276">
        <v>5230</v>
      </c>
      <c r="B219" s="127" t="s">
        <v>235</v>
      </c>
      <c r="C219" s="279">
        <f t="shared" si="14"/>
        <v>34831</v>
      </c>
      <c r="D219" s="277">
        <f>SUM(D220:D227)</f>
        <v>30131</v>
      </c>
      <c r="E219" s="278">
        <f>SUM(E220:E227)</f>
        <v>0</v>
      </c>
      <c r="F219" s="279">
        <f t="shared" si="15"/>
        <v>30131</v>
      </c>
      <c r="G219" s="277">
        <f>SUM(G220:G227)</f>
        <v>4700</v>
      </c>
      <c r="H219" s="280">
        <f>SUM(H220:H227)</f>
        <v>0</v>
      </c>
      <c r="I219" s="136">
        <f t="shared" si="16"/>
        <v>4700</v>
      </c>
      <c r="J219" s="277">
        <f>SUM(J220:J227)</f>
        <v>0</v>
      </c>
      <c r="K219" s="280">
        <f>SUM(K220:K227)</f>
        <v>0</v>
      </c>
      <c r="L219" s="136">
        <f t="shared" si="17"/>
        <v>0</v>
      </c>
      <c r="M219" s="281">
        <f>SUM(M220:M227)</f>
        <v>0</v>
      </c>
      <c r="N219" s="282">
        <f>SUM(N220:N227)</f>
        <v>0</v>
      </c>
      <c r="O219" s="136">
        <f t="shared" si="18"/>
        <v>0</v>
      </c>
      <c r="P219" s="85"/>
      <c r="R219" s="53"/>
      <c r="S219" s="53"/>
      <c r="T219" s="53"/>
    </row>
    <row r="220" spans="1:20" hidden="1" x14ac:dyDescent="0.25">
      <c r="A220" s="76">
        <v>5231</v>
      </c>
      <c r="B220" s="127" t="s">
        <v>236</v>
      </c>
      <c r="C220" s="279">
        <f t="shared" si="14"/>
        <v>0</v>
      </c>
      <c r="D220" s="134"/>
      <c r="E220" s="285"/>
      <c r="F220" s="286">
        <f t="shared" si="15"/>
        <v>0</v>
      </c>
      <c r="G220" s="134"/>
      <c r="H220" s="135"/>
      <c r="I220" s="136">
        <f t="shared" si="16"/>
        <v>0</v>
      </c>
      <c r="J220" s="134"/>
      <c r="K220" s="135"/>
      <c r="L220" s="136">
        <f t="shared" si="17"/>
        <v>0</v>
      </c>
      <c r="M220" s="284"/>
      <c r="N220" s="285"/>
      <c r="O220" s="136">
        <f t="shared" si="18"/>
        <v>0</v>
      </c>
      <c r="P220" s="85"/>
      <c r="R220" s="53"/>
      <c r="S220" s="53"/>
      <c r="T220" s="53"/>
    </row>
    <row r="221" spans="1:20" hidden="1" x14ac:dyDescent="0.25">
      <c r="A221" s="76">
        <v>5232</v>
      </c>
      <c r="B221" s="127" t="s">
        <v>237</v>
      </c>
      <c r="C221" s="279">
        <f t="shared" si="14"/>
        <v>0</v>
      </c>
      <c r="D221" s="134"/>
      <c r="E221" s="285"/>
      <c r="F221" s="286">
        <f t="shared" si="15"/>
        <v>0</v>
      </c>
      <c r="G221" s="134"/>
      <c r="H221" s="135"/>
      <c r="I221" s="136">
        <f t="shared" si="16"/>
        <v>0</v>
      </c>
      <c r="J221" s="134"/>
      <c r="K221" s="135"/>
      <c r="L221" s="136">
        <f t="shared" si="17"/>
        <v>0</v>
      </c>
      <c r="M221" s="284"/>
      <c r="N221" s="285"/>
      <c r="O221" s="136">
        <f t="shared" si="18"/>
        <v>0</v>
      </c>
      <c r="P221" s="85"/>
      <c r="R221" s="53"/>
      <c r="S221" s="53"/>
      <c r="T221" s="53"/>
    </row>
    <row r="222" spans="1:20" x14ac:dyDescent="0.25">
      <c r="A222" s="76">
        <v>5233</v>
      </c>
      <c r="B222" s="127" t="s">
        <v>238</v>
      </c>
      <c r="C222" s="279">
        <f t="shared" si="14"/>
        <v>9200</v>
      </c>
      <c r="D222" s="134">
        <v>4500</v>
      </c>
      <c r="E222" s="283"/>
      <c r="F222" s="279">
        <f t="shared" si="15"/>
        <v>4500</v>
      </c>
      <c r="G222" s="134">
        <v>4700</v>
      </c>
      <c r="H222" s="135"/>
      <c r="I222" s="136">
        <f t="shared" si="16"/>
        <v>4700</v>
      </c>
      <c r="J222" s="134"/>
      <c r="K222" s="135"/>
      <c r="L222" s="136">
        <f t="shared" si="17"/>
        <v>0</v>
      </c>
      <c r="M222" s="284"/>
      <c r="N222" s="285"/>
      <c r="O222" s="136">
        <f t="shared" si="18"/>
        <v>0</v>
      </c>
      <c r="P222" s="85"/>
      <c r="R222" s="53"/>
      <c r="S222" s="53"/>
      <c r="T222" s="53"/>
    </row>
    <row r="223" spans="1:20" ht="24" hidden="1" x14ac:dyDescent="0.25">
      <c r="A223" s="76">
        <v>5234</v>
      </c>
      <c r="B223" s="127" t="s">
        <v>239</v>
      </c>
      <c r="C223" s="279">
        <f t="shared" si="14"/>
        <v>0</v>
      </c>
      <c r="D223" s="134"/>
      <c r="E223" s="285"/>
      <c r="F223" s="286">
        <f t="shared" si="15"/>
        <v>0</v>
      </c>
      <c r="G223" s="134"/>
      <c r="H223" s="135"/>
      <c r="I223" s="136">
        <f t="shared" si="16"/>
        <v>0</v>
      </c>
      <c r="J223" s="134"/>
      <c r="K223" s="135"/>
      <c r="L223" s="136">
        <f t="shared" si="17"/>
        <v>0</v>
      </c>
      <c r="M223" s="284"/>
      <c r="N223" s="285"/>
      <c r="O223" s="136">
        <f t="shared" si="18"/>
        <v>0</v>
      </c>
      <c r="P223" s="85"/>
      <c r="R223" s="53"/>
      <c r="S223" s="53"/>
      <c r="T223" s="53"/>
    </row>
    <row r="224" spans="1:20" hidden="1" x14ac:dyDescent="0.25">
      <c r="A224" s="76">
        <v>5236</v>
      </c>
      <c r="B224" s="127" t="s">
        <v>240</v>
      </c>
      <c r="C224" s="279">
        <f t="shared" si="14"/>
        <v>0</v>
      </c>
      <c r="D224" s="134"/>
      <c r="E224" s="285"/>
      <c r="F224" s="286">
        <f t="shared" si="15"/>
        <v>0</v>
      </c>
      <c r="G224" s="134"/>
      <c r="H224" s="135"/>
      <c r="I224" s="136">
        <f t="shared" si="16"/>
        <v>0</v>
      </c>
      <c r="J224" s="134"/>
      <c r="K224" s="135"/>
      <c r="L224" s="136">
        <f t="shared" si="17"/>
        <v>0</v>
      </c>
      <c r="M224" s="284"/>
      <c r="N224" s="285"/>
      <c r="O224" s="136">
        <f t="shared" si="18"/>
        <v>0</v>
      </c>
      <c r="P224" s="85"/>
      <c r="R224" s="53"/>
      <c r="S224" s="53"/>
      <c r="T224" s="53"/>
    </row>
    <row r="225" spans="1:20" hidden="1" x14ac:dyDescent="0.25">
      <c r="A225" s="76">
        <v>5237</v>
      </c>
      <c r="B225" s="127" t="s">
        <v>241</v>
      </c>
      <c r="C225" s="279">
        <f t="shared" si="14"/>
        <v>0</v>
      </c>
      <c r="D225" s="134"/>
      <c r="E225" s="285"/>
      <c r="F225" s="286">
        <f t="shared" si="15"/>
        <v>0</v>
      </c>
      <c r="G225" s="134"/>
      <c r="H225" s="135"/>
      <c r="I225" s="136">
        <f t="shared" si="16"/>
        <v>0</v>
      </c>
      <c r="J225" s="134"/>
      <c r="K225" s="135"/>
      <c r="L225" s="136">
        <f t="shared" si="17"/>
        <v>0</v>
      </c>
      <c r="M225" s="284"/>
      <c r="N225" s="285"/>
      <c r="O225" s="136">
        <f t="shared" si="18"/>
        <v>0</v>
      </c>
      <c r="P225" s="85"/>
      <c r="R225" s="53"/>
      <c r="S225" s="53"/>
      <c r="T225" s="53"/>
    </row>
    <row r="226" spans="1:20" ht="24" x14ac:dyDescent="0.25">
      <c r="A226" s="76">
        <v>5238</v>
      </c>
      <c r="B226" s="127" t="s">
        <v>242</v>
      </c>
      <c r="C226" s="279">
        <f t="shared" si="14"/>
        <v>24280</v>
      </c>
      <c r="D226" s="134">
        <v>24280</v>
      </c>
      <c r="E226" s="283"/>
      <c r="F226" s="279">
        <f t="shared" si="15"/>
        <v>24280</v>
      </c>
      <c r="G226" s="134"/>
      <c r="H226" s="135"/>
      <c r="I226" s="136">
        <f t="shared" si="16"/>
        <v>0</v>
      </c>
      <c r="J226" s="134"/>
      <c r="K226" s="135"/>
      <c r="L226" s="136">
        <f t="shared" si="17"/>
        <v>0</v>
      </c>
      <c r="M226" s="284"/>
      <c r="N226" s="285"/>
      <c r="O226" s="136">
        <f t="shared" si="18"/>
        <v>0</v>
      </c>
      <c r="P226" s="85"/>
      <c r="R226" s="53"/>
      <c r="S226" s="53"/>
      <c r="T226" s="53"/>
    </row>
    <row r="227" spans="1:20" ht="24" x14ac:dyDescent="0.25">
      <c r="A227" s="76">
        <v>5239</v>
      </c>
      <c r="B227" s="127" t="s">
        <v>243</v>
      </c>
      <c r="C227" s="279">
        <f t="shared" si="14"/>
        <v>1351</v>
      </c>
      <c r="D227" s="134">
        <v>1351</v>
      </c>
      <c r="E227" s="283"/>
      <c r="F227" s="279">
        <f t="shared" si="15"/>
        <v>1351</v>
      </c>
      <c r="G227" s="134"/>
      <c r="H227" s="135"/>
      <c r="I227" s="136">
        <f t="shared" si="16"/>
        <v>0</v>
      </c>
      <c r="J227" s="134"/>
      <c r="K227" s="135"/>
      <c r="L227" s="136">
        <f t="shared" si="17"/>
        <v>0</v>
      </c>
      <c r="M227" s="284"/>
      <c r="N227" s="285"/>
      <c r="O227" s="136">
        <f t="shared" si="18"/>
        <v>0</v>
      </c>
      <c r="P227" s="85"/>
      <c r="R227" s="53"/>
      <c r="S227" s="53"/>
      <c r="T227" s="53"/>
    </row>
    <row r="228" spans="1:20" ht="24" hidden="1" x14ac:dyDescent="0.25">
      <c r="A228" s="276">
        <v>5240</v>
      </c>
      <c r="B228" s="127" t="s">
        <v>244</v>
      </c>
      <c r="C228" s="279">
        <f t="shared" si="14"/>
        <v>0</v>
      </c>
      <c r="D228" s="134"/>
      <c r="E228" s="285"/>
      <c r="F228" s="286">
        <f t="shared" si="15"/>
        <v>0</v>
      </c>
      <c r="G228" s="134"/>
      <c r="H228" s="135"/>
      <c r="I228" s="136">
        <f t="shared" si="16"/>
        <v>0</v>
      </c>
      <c r="J228" s="134"/>
      <c r="K228" s="135"/>
      <c r="L228" s="136">
        <f t="shared" si="17"/>
        <v>0</v>
      </c>
      <c r="M228" s="284"/>
      <c r="N228" s="285"/>
      <c r="O228" s="136">
        <f t="shared" si="18"/>
        <v>0</v>
      </c>
      <c r="P228" s="85"/>
      <c r="R228" s="53"/>
      <c r="S228" s="53"/>
      <c r="T228" s="53"/>
    </row>
    <row r="229" spans="1:20" hidden="1" x14ac:dyDescent="0.25">
      <c r="A229" s="276">
        <v>5250</v>
      </c>
      <c r="B229" s="127" t="s">
        <v>245</v>
      </c>
      <c r="C229" s="279">
        <f t="shared" si="14"/>
        <v>0</v>
      </c>
      <c r="D229" s="134"/>
      <c r="E229" s="285"/>
      <c r="F229" s="286">
        <f t="shared" si="15"/>
        <v>0</v>
      </c>
      <c r="G229" s="134"/>
      <c r="H229" s="135"/>
      <c r="I229" s="136">
        <f t="shared" si="16"/>
        <v>0</v>
      </c>
      <c r="J229" s="134"/>
      <c r="K229" s="135"/>
      <c r="L229" s="136">
        <f t="shared" si="17"/>
        <v>0</v>
      </c>
      <c r="M229" s="284"/>
      <c r="N229" s="285"/>
      <c r="O229" s="136">
        <f t="shared" si="18"/>
        <v>0</v>
      </c>
      <c r="P229" s="85"/>
      <c r="R229" s="53"/>
      <c r="S229" s="53"/>
      <c r="T229" s="53"/>
    </row>
    <row r="230" spans="1:20" hidden="1" x14ac:dyDescent="0.25">
      <c r="A230" s="276">
        <v>5260</v>
      </c>
      <c r="B230" s="127" t="s">
        <v>246</v>
      </c>
      <c r="C230" s="279">
        <f t="shared" si="14"/>
        <v>0</v>
      </c>
      <c r="D230" s="277">
        <f>SUM(D231)</f>
        <v>0</v>
      </c>
      <c r="E230" s="282">
        <f>SUM(E231)</f>
        <v>0</v>
      </c>
      <c r="F230" s="286">
        <f t="shared" si="15"/>
        <v>0</v>
      </c>
      <c r="G230" s="277">
        <f>SUM(G231)</f>
        <v>0</v>
      </c>
      <c r="H230" s="280">
        <f>SUM(H231)</f>
        <v>0</v>
      </c>
      <c r="I230" s="136">
        <f t="shared" si="16"/>
        <v>0</v>
      </c>
      <c r="J230" s="277">
        <f>SUM(J231)</f>
        <v>0</v>
      </c>
      <c r="K230" s="280">
        <f>SUM(K231)</f>
        <v>0</v>
      </c>
      <c r="L230" s="136">
        <f t="shared" si="17"/>
        <v>0</v>
      </c>
      <c r="M230" s="281">
        <f>SUM(M231)</f>
        <v>0</v>
      </c>
      <c r="N230" s="282">
        <f>SUM(N231)</f>
        <v>0</v>
      </c>
      <c r="O230" s="136">
        <f t="shared" si="18"/>
        <v>0</v>
      </c>
      <c r="P230" s="85"/>
      <c r="R230" s="53"/>
      <c r="S230" s="53"/>
      <c r="T230" s="53"/>
    </row>
    <row r="231" spans="1:20" ht="24" hidden="1" x14ac:dyDescent="0.25">
      <c r="A231" s="76">
        <v>5269</v>
      </c>
      <c r="B231" s="127" t="s">
        <v>247</v>
      </c>
      <c r="C231" s="279">
        <f t="shared" si="14"/>
        <v>0</v>
      </c>
      <c r="D231" s="134"/>
      <c r="E231" s="285"/>
      <c r="F231" s="286">
        <f t="shared" si="15"/>
        <v>0</v>
      </c>
      <c r="G231" s="134"/>
      <c r="H231" s="135"/>
      <c r="I231" s="136">
        <f t="shared" si="16"/>
        <v>0</v>
      </c>
      <c r="J231" s="134"/>
      <c r="K231" s="135"/>
      <c r="L231" s="136">
        <f t="shared" si="17"/>
        <v>0</v>
      </c>
      <c r="M231" s="284"/>
      <c r="N231" s="285"/>
      <c r="O231" s="136">
        <f t="shared" si="18"/>
        <v>0</v>
      </c>
      <c r="P231" s="85"/>
      <c r="R231" s="53"/>
      <c r="S231" s="53"/>
      <c r="T231" s="53"/>
    </row>
    <row r="232" spans="1:20" ht="24" hidden="1" x14ac:dyDescent="0.25">
      <c r="A232" s="254">
        <v>5270</v>
      </c>
      <c r="B232" s="179" t="s">
        <v>248</v>
      </c>
      <c r="C232" s="302">
        <f t="shared" si="14"/>
        <v>0</v>
      </c>
      <c r="D232" s="287"/>
      <c r="E232" s="291"/>
      <c r="F232" s="310">
        <f t="shared" si="15"/>
        <v>0</v>
      </c>
      <c r="G232" s="287"/>
      <c r="H232" s="289"/>
      <c r="I232" s="259">
        <f t="shared" si="16"/>
        <v>0</v>
      </c>
      <c r="J232" s="287"/>
      <c r="K232" s="289"/>
      <c r="L232" s="259">
        <f t="shared" si="17"/>
        <v>0</v>
      </c>
      <c r="M232" s="290"/>
      <c r="N232" s="291"/>
      <c r="O232" s="259">
        <f t="shared" si="18"/>
        <v>0</v>
      </c>
      <c r="P232" s="189"/>
      <c r="R232" s="53"/>
      <c r="S232" s="53"/>
      <c r="T232" s="53"/>
    </row>
    <row r="233" spans="1:20" hidden="1" x14ac:dyDescent="0.25">
      <c r="A233" s="237">
        <v>6000</v>
      </c>
      <c r="B233" s="237" t="s">
        <v>249</v>
      </c>
      <c r="C233" s="238">
        <f t="shared" si="14"/>
        <v>0</v>
      </c>
      <c r="D233" s="239">
        <f>D234+D254+D261</f>
        <v>0</v>
      </c>
      <c r="E233" s="245">
        <f>E234+E254+E261</f>
        <v>0</v>
      </c>
      <c r="F233" s="320">
        <f t="shared" si="15"/>
        <v>0</v>
      </c>
      <c r="G233" s="239">
        <f>G234+G254+G261</f>
        <v>0</v>
      </c>
      <c r="H233" s="242">
        <f>H234+H254+H261</f>
        <v>0</v>
      </c>
      <c r="I233" s="243">
        <f t="shared" si="16"/>
        <v>0</v>
      </c>
      <c r="J233" s="239">
        <f>J234+J254+J261</f>
        <v>0</v>
      </c>
      <c r="K233" s="242">
        <f>K234+K254+K261</f>
        <v>0</v>
      </c>
      <c r="L233" s="243">
        <f t="shared" si="17"/>
        <v>0</v>
      </c>
      <c r="M233" s="244">
        <f>M234+M254+M261</f>
        <v>0</v>
      </c>
      <c r="N233" s="245">
        <f>N234+N254+N261</f>
        <v>0</v>
      </c>
      <c r="O233" s="243">
        <f t="shared" si="18"/>
        <v>0</v>
      </c>
      <c r="P233" s="246"/>
      <c r="R233" s="53"/>
      <c r="S233" s="53"/>
      <c r="T233" s="53"/>
    </row>
    <row r="234" spans="1:20"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16"/>
        <v>0</v>
      </c>
      <c r="J234" s="334">
        <f>SUM(J235,J236,J238,J241,J247,J248,J249)</f>
        <v>0</v>
      </c>
      <c r="K234" s="336">
        <f>SUM(K235,K236,K238,K241,K247,K248,K249)</f>
        <v>0</v>
      </c>
      <c r="L234" s="252">
        <f t="shared" si="17"/>
        <v>0</v>
      </c>
      <c r="M234" s="250">
        <f>SUM(M235,M236,M238,M241,M247,M248,M249)</f>
        <v>0</v>
      </c>
      <c r="N234" s="251">
        <f>SUM(N235,N236,N238,N241,N247,N248,N249)</f>
        <v>0</v>
      </c>
      <c r="O234" s="252">
        <f t="shared" si="18"/>
        <v>0</v>
      </c>
      <c r="P234" s="253"/>
      <c r="R234" s="53"/>
      <c r="S234" s="53"/>
      <c r="T234" s="53"/>
    </row>
    <row r="235" spans="1:20" ht="24" hidden="1" x14ac:dyDescent="0.25">
      <c r="A235" s="656">
        <v>6220</v>
      </c>
      <c r="B235" s="116" t="s">
        <v>251</v>
      </c>
      <c r="C235" s="298">
        <f t="shared" si="14"/>
        <v>0</v>
      </c>
      <c r="D235" s="123"/>
      <c r="E235" s="262"/>
      <c r="F235" s="263">
        <f t="shared" si="15"/>
        <v>0</v>
      </c>
      <c r="G235" s="123"/>
      <c r="H235" s="124"/>
      <c r="I235" s="125">
        <f t="shared" si="16"/>
        <v>0</v>
      </c>
      <c r="J235" s="123"/>
      <c r="K235" s="124"/>
      <c r="L235" s="125">
        <f t="shared" si="17"/>
        <v>0</v>
      </c>
      <c r="M235" s="264"/>
      <c r="N235" s="262"/>
      <c r="O235" s="125">
        <f t="shared" si="18"/>
        <v>0</v>
      </c>
      <c r="P235" s="74"/>
      <c r="R235" s="53"/>
      <c r="S235" s="53"/>
      <c r="T235" s="53"/>
    </row>
    <row r="236" spans="1:20" hidden="1" x14ac:dyDescent="0.25">
      <c r="A236" s="276">
        <v>6230</v>
      </c>
      <c r="B236" s="127" t="s">
        <v>252</v>
      </c>
      <c r="C236" s="278">
        <f t="shared" si="14"/>
        <v>0</v>
      </c>
      <c r="D236" s="277">
        <f>SUM(D237)</f>
        <v>0</v>
      </c>
      <c r="E236" s="280">
        <f>SUM(E237)</f>
        <v>0</v>
      </c>
      <c r="F236" s="286">
        <f t="shared" si="15"/>
        <v>0</v>
      </c>
      <c r="G236" s="277">
        <f>SUM(G237)</f>
        <v>0</v>
      </c>
      <c r="H236" s="280">
        <f>SUM(H237)</f>
        <v>0</v>
      </c>
      <c r="I236" s="136">
        <f t="shared" si="16"/>
        <v>0</v>
      </c>
      <c r="J236" s="277">
        <f>SUM(J237)</f>
        <v>0</v>
      </c>
      <c r="K236" s="280">
        <f>SUM(K237)</f>
        <v>0</v>
      </c>
      <c r="L236" s="136">
        <f t="shared" si="17"/>
        <v>0</v>
      </c>
      <c r="M236" s="277">
        <f>SUM(M237)</f>
        <v>0</v>
      </c>
      <c r="N236" s="280">
        <f>SUM(N237)</f>
        <v>0</v>
      </c>
      <c r="O236" s="136">
        <f t="shared" si="18"/>
        <v>0</v>
      </c>
      <c r="P236" s="85"/>
      <c r="R236" s="53"/>
      <c r="S236" s="53"/>
      <c r="T236" s="53"/>
    </row>
    <row r="237" spans="1:20" ht="24" hidden="1" x14ac:dyDescent="0.25">
      <c r="A237" s="76">
        <v>6239</v>
      </c>
      <c r="B237" s="116" t="s">
        <v>253</v>
      </c>
      <c r="C237" s="278">
        <f t="shared" si="14"/>
        <v>0</v>
      </c>
      <c r="D237" s="134"/>
      <c r="E237" s="285"/>
      <c r="F237" s="286">
        <f t="shared" si="15"/>
        <v>0</v>
      </c>
      <c r="G237" s="134"/>
      <c r="H237" s="135"/>
      <c r="I237" s="136">
        <f t="shared" si="16"/>
        <v>0</v>
      </c>
      <c r="J237" s="134"/>
      <c r="K237" s="135"/>
      <c r="L237" s="136">
        <f t="shared" si="17"/>
        <v>0</v>
      </c>
      <c r="M237" s="284"/>
      <c r="N237" s="285"/>
      <c r="O237" s="136">
        <f t="shared" si="18"/>
        <v>0</v>
      </c>
      <c r="P237" s="85"/>
      <c r="R237" s="53"/>
      <c r="S237" s="53"/>
      <c r="T237" s="53"/>
    </row>
    <row r="238" spans="1:20" ht="24" hidden="1" x14ac:dyDescent="0.25">
      <c r="A238" s="276">
        <v>6240</v>
      </c>
      <c r="B238" s="127" t="s">
        <v>254</v>
      </c>
      <c r="C238" s="278">
        <f t="shared" si="14"/>
        <v>0</v>
      </c>
      <c r="D238" s="277">
        <f>SUM(D239:D240)</f>
        <v>0</v>
      </c>
      <c r="E238" s="282">
        <f>SUM(E239:E240)</f>
        <v>0</v>
      </c>
      <c r="F238" s="286">
        <f t="shared" si="15"/>
        <v>0</v>
      </c>
      <c r="G238" s="277">
        <f>SUM(G239:G240)</f>
        <v>0</v>
      </c>
      <c r="H238" s="280">
        <f>SUM(H239:H240)</f>
        <v>0</v>
      </c>
      <c r="I238" s="136">
        <f t="shared" si="16"/>
        <v>0</v>
      </c>
      <c r="J238" s="277">
        <f>SUM(J239:J240)</f>
        <v>0</v>
      </c>
      <c r="K238" s="280">
        <f>SUM(K239:K240)</f>
        <v>0</v>
      </c>
      <c r="L238" s="136">
        <f t="shared" si="17"/>
        <v>0</v>
      </c>
      <c r="M238" s="281">
        <f>SUM(M239:M240)</f>
        <v>0</v>
      </c>
      <c r="N238" s="282">
        <f>SUM(N239:N240)</f>
        <v>0</v>
      </c>
      <c r="O238" s="136">
        <f t="shared" si="18"/>
        <v>0</v>
      </c>
      <c r="P238" s="85"/>
      <c r="R238" s="53"/>
      <c r="S238" s="53"/>
      <c r="T238" s="53"/>
    </row>
    <row r="239" spans="1:20" hidden="1" x14ac:dyDescent="0.25">
      <c r="A239" s="76">
        <v>6241</v>
      </c>
      <c r="B239" s="127" t="s">
        <v>255</v>
      </c>
      <c r="C239" s="278">
        <f t="shared" si="14"/>
        <v>0</v>
      </c>
      <c r="D239" s="134"/>
      <c r="E239" s="285"/>
      <c r="F239" s="286">
        <f t="shared" si="15"/>
        <v>0</v>
      </c>
      <c r="G239" s="134"/>
      <c r="H239" s="135"/>
      <c r="I239" s="136">
        <f t="shared" si="16"/>
        <v>0</v>
      </c>
      <c r="J239" s="134"/>
      <c r="K239" s="135"/>
      <c r="L239" s="136">
        <f t="shared" si="17"/>
        <v>0</v>
      </c>
      <c r="M239" s="284"/>
      <c r="N239" s="285"/>
      <c r="O239" s="136">
        <f t="shared" si="18"/>
        <v>0</v>
      </c>
      <c r="P239" s="85"/>
      <c r="R239" s="53"/>
      <c r="S239" s="53"/>
      <c r="T239" s="53"/>
    </row>
    <row r="240" spans="1:20" hidden="1" x14ac:dyDescent="0.25">
      <c r="A240" s="76">
        <v>6242</v>
      </c>
      <c r="B240" s="127" t="s">
        <v>256</v>
      </c>
      <c r="C240" s="278">
        <f t="shared" si="14"/>
        <v>0</v>
      </c>
      <c r="D240" s="134"/>
      <c r="E240" s="285"/>
      <c r="F240" s="286">
        <f t="shared" si="15"/>
        <v>0</v>
      </c>
      <c r="G240" s="134"/>
      <c r="H240" s="135"/>
      <c r="I240" s="136">
        <f t="shared" si="16"/>
        <v>0</v>
      </c>
      <c r="J240" s="134"/>
      <c r="K240" s="135"/>
      <c r="L240" s="136">
        <f t="shared" si="17"/>
        <v>0</v>
      </c>
      <c r="M240" s="284"/>
      <c r="N240" s="285"/>
      <c r="O240" s="136">
        <f t="shared" si="18"/>
        <v>0</v>
      </c>
      <c r="P240" s="85"/>
      <c r="R240" s="53"/>
      <c r="S240" s="53"/>
      <c r="T240" s="53"/>
    </row>
    <row r="241" spans="1:20" ht="24" hidden="1" x14ac:dyDescent="0.25">
      <c r="A241" s="276">
        <v>6250</v>
      </c>
      <c r="B241" s="127" t="s">
        <v>257</v>
      </c>
      <c r="C241" s="278">
        <f t="shared" si="14"/>
        <v>0</v>
      </c>
      <c r="D241" s="277">
        <f>SUM(D242:D246)</f>
        <v>0</v>
      </c>
      <c r="E241" s="282">
        <f>SUM(E242:E246)</f>
        <v>0</v>
      </c>
      <c r="F241" s="286">
        <f t="shared" si="15"/>
        <v>0</v>
      </c>
      <c r="G241" s="277">
        <f>SUM(G242:G246)</f>
        <v>0</v>
      </c>
      <c r="H241" s="280">
        <f>SUM(H242:H246)</f>
        <v>0</v>
      </c>
      <c r="I241" s="136">
        <f t="shared" si="16"/>
        <v>0</v>
      </c>
      <c r="J241" s="277">
        <f>SUM(J242:J246)</f>
        <v>0</v>
      </c>
      <c r="K241" s="280">
        <f>SUM(K242:K246)</f>
        <v>0</v>
      </c>
      <c r="L241" s="136">
        <f t="shared" si="17"/>
        <v>0</v>
      </c>
      <c r="M241" s="281">
        <f>SUM(M242:M246)</f>
        <v>0</v>
      </c>
      <c r="N241" s="282">
        <f>SUM(N242:N246)</f>
        <v>0</v>
      </c>
      <c r="O241" s="136">
        <f t="shared" si="18"/>
        <v>0</v>
      </c>
      <c r="P241" s="85"/>
      <c r="R241" s="53"/>
      <c r="S241" s="53"/>
      <c r="T241" s="53"/>
    </row>
    <row r="242" spans="1:20" hidden="1" x14ac:dyDescent="0.25">
      <c r="A242" s="76">
        <v>6252</v>
      </c>
      <c r="B242" s="127" t="s">
        <v>258</v>
      </c>
      <c r="C242" s="278">
        <f t="shared" si="14"/>
        <v>0</v>
      </c>
      <c r="D242" s="134"/>
      <c r="E242" s="285"/>
      <c r="F242" s="286">
        <f t="shared" si="15"/>
        <v>0</v>
      </c>
      <c r="G242" s="134"/>
      <c r="H242" s="135"/>
      <c r="I242" s="136">
        <f t="shared" si="16"/>
        <v>0</v>
      </c>
      <c r="J242" s="134"/>
      <c r="K242" s="135"/>
      <c r="L242" s="136">
        <f t="shared" si="17"/>
        <v>0</v>
      </c>
      <c r="M242" s="284"/>
      <c r="N242" s="285"/>
      <c r="O242" s="136">
        <f t="shared" si="18"/>
        <v>0</v>
      </c>
      <c r="P242" s="85"/>
      <c r="R242" s="53"/>
      <c r="S242" s="53"/>
      <c r="T242" s="53"/>
    </row>
    <row r="243" spans="1:20" hidden="1" x14ac:dyDescent="0.25">
      <c r="A243" s="76">
        <v>6253</v>
      </c>
      <c r="B243" s="127" t="s">
        <v>259</v>
      </c>
      <c r="C243" s="278">
        <f t="shared" si="14"/>
        <v>0</v>
      </c>
      <c r="D243" s="134"/>
      <c r="E243" s="285"/>
      <c r="F243" s="286">
        <f t="shared" si="15"/>
        <v>0</v>
      </c>
      <c r="G243" s="134"/>
      <c r="H243" s="135"/>
      <c r="I243" s="136">
        <f t="shared" si="16"/>
        <v>0</v>
      </c>
      <c r="J243" s="134"/>
      <c r="K243" s="135"/>
      <c r="L243" s="136">
        <f t="shared" si="17"/>
        <v>0</v>
      </c>
      <c r="M243" s="284"/>
      <c r="N243" s="285"/>
      <c r="O243" s="136">
        <f t="shared" si="18"/>
        <v>0</v>
      </c>
      <c r="P243" s="85"/>
      <c r="R243" s="53"/>
      <c r="S243" s="53"/>
      <c r="T243" s="53"/>
    </row>
    <row r="244" spans="1:20" ht="24" hidden="1" x14ac:dyDescent="0.25">
      <c r="A244" s="76">
        <v>6254</v>
      </c>
      <c r="B244" s="127" t="s">
        <v>260</v>
      </c>
      <c r="C244" s="278">
        <f t="shared" si="14"/>
        <v>0</v>
      </c>
      <c r="D244" s="134"/>
      <c r="E244" s="285"/>
      <c r="F244" s="286">
        <f t="shared" si="15"/>
        <v>0</v>
      </c>
      <c r="G244" s="134"/>
      <c r="H244" s="135"/>
      <c r="I244" s="136">
        <f t="shared" si="16"/>
        <v>0</v>
      </c>
      <c r="J244" s="134"/>
      <c r="K244" s="135"/>
      <c r="L244" s="136">
        <f t="shared" si="17"/>
        <v>0</v>
      </c>
      <c r="M244" s="284"/>
      <c r="N244" s="285"/>
      <c r="O244" s="136">
        <f t="shared" si="18"/>
        <v>0</v>
      </c>
      <c r="P244" s="85"/>
      <c r="R244" s="53"/>
      <c r="S244" s="53"/>
      <c r="T244" s="53"/>
    </row>
    <row r="245" spans="1:20" ht="24" hidden="1" x14ac:dyDescent="0.25">
      <c r="A245" s="76">
        <v>6255</v>
      </c>
      <c r="B245" s="127" t="s">
        <v>261</v>
      </c>
      <c r="C245" s="278">
        <f t="shared" si="14"/>
        <v>0</v>
      </c>
      <c r="D245" s="134"/>
      <c r="E245" s="285"/>
      <c r="F245" s="286">
        <f t="shared" si="15"/>
        <v>0</v>
      </c>
      <c r="G245" s="134"/>
      <c r="H245" s="135"/>
      <c r="I245" s="136">
        <f t="shared" si="16"/>
        <v>0</v>
      </c>
      <c r="J245" s="134"/>
      <c r="K245" s="135"/>
      <c r="L245" s="136">
        <f t="shared" si="17"/>
        <v>0</v>
      </c>
      <c r="M245" s="284"/>
      <c r="N245" s="285"/>
      <c r="O245" s="136">
        <f t="shared" si="18"/>
        <v>0</v>
      </c>
      <c r="P245" s="85"/>
      <c r="R245" s="53"/>
      <c r="S245" s="53"/>
      <c r="T245" s="53"/>
    </row>
    <row r="246" spans="1:20" hidden="1" x14ac:dyDescent="0.25">
      <c r="A246" s="76">
        <v>6259</v>
      </c>
      <c r="B246" s="127" t="s">
        <v>262</v>
      </c>
      <c r="C246" s="278">
        <f t="shared" si="14"/>
        <v>0</v>
      </c>
      <c r="D246" s="134"/>
      <c r="E246" s="285"/>
      <c r="F246" s="286">
        <f t="shared" si="15"/>
        <v>0</v>
      </c>
      <c r="G246" s="134"/>
      <c r="H246" s="135"/>
      <c r="I246" s="136">
        <f t="shared" si="16"/>
        <v>0</v>
      </c>
      <c r="J246" s="134"/>
      <c r="K246" s="135"/>
      <c r="L246" s="136">
        <f t="shared" si="17"/>
        <v>0</v>
      </c>
      <c r="M246" s="284"/>
      <c r="N246" s="285"/>
      <c r="O246" s="136">
        <f t="shared" si="18"/>
        <v>0</v>
      </c>
      <c r="P246" s="85"/>
      <c r="R246" s="53"/>
      <c r="S246" s="53"/>
      <c r="T246" s="53"/>
    </row>
    <row r="247" spans="1:20" ht="24" hidden="1" x14ac:dyDescent="0.25">
      <c r="A247" s="276">
        <v>6260</v>
      </c>
      <c r="B247" s="127" t="s">
        <v>263</v>
      </c>
      <c r="C247" s="278">
        <f t="shared" si="14"/>
        <v>0</v>
      </c>
      <c r="D247" s="134"/>
      <c r="E247" s="285"/>
      <c r="F247" s="286">
        <f t="shared" ref="F247:F299" si="19">D247+E247</f>
        <v>0</v>
      </c>
      <c r="G247" s="134"/>
      <c r="H247" s="135"/>
      <c r="I247" s="136">
        <f t="shared" ref="I247:I299" si="20">G247+H247</f>
        <v>0</v>
      </c>
      <c r="J247" s="134"/>
      <c r="K247" s="135"/>
      <c r="L247" s="136">
        <f t="shared" ref="L247:L299" si="21">J247+K247</f>
        <v>0</v>
      </c>
      <c r="M247" s="284"/>
      <c r="N247" s="285"/>
      <c r="O247" s="136">
        <f t="shared" ref="O247:O276" si="22">M247+N247</f>
        <v>0</v>
      </c>
      <c r="P247" s="85"/>
      <c r="R247" s="53"/>
      <c r="S247" s="53"/>
      <c r="T247" s="53"/>
    </row>
    <row r="248" spans="1:20" hidden="1" x14ac:dyDescent="0.25">
      <c r="A248" s="276">
        <v>6270</v>
      </c>
      <c r="B248" s="127" t="s">
        <v>264</v>
      </c>
      <c r="C248" s="278">
        <f t="shared" si="14"/>
        <v>0</v>
      </c>
      <c r="D248" s="134"/>
      <c r="E248" s="285"/>
      <c r="F248" s="286">
        <f t="shared" si="19"/>
        <v>0</v>
      </c>
      <c r="G248" s="134"/>
      <c r="H248" s="135"/>
      <c r="I248" s="136">
        <f t="shared" si="20"/>
        <v>0</v>
      </c>
      <c r="J248" s="134"/>
      <c r="K248" s="135"/>
      <c r="L248" s="136">
        <f t="shared" si="21"/>
        <v>0</v>
      </c>
      <c r="M248" s="284"/>
      <c r="N248" s="285"/>
      <c r="O248" s="136">
        <f t="shared" si="22"/>
        <v>0</v>
      </c>
      <c r="P248" s="85"/>
      <c r="R248" s="53"/>
      <c r="S248" s="53"/>
      <c r="T248" s="53"/>
    </row>
    <row r="249" spans="1:20" ht="24" hidden="1" x14ac:dyDescent="0.25">
      <c r="A249" s="656">
        <v>6290</v>
      </c>
      <c r="B249" s="116" t="s">
        <v>265</v>
      </c>
      <c r="C249" s="278">
        <f t="shared" si="14"/>
        <v>0</v>
      </c>
      <c r="D249" s="297">
        <f>SUM(D250:D253)</f>
        <v>0</v>
      </c>
      <c r="E249" s="301">
        <f>SUM(E250:E253)</f>
        <v>0</v>
      </c>
      <c r="F249" s="263">
        <f t="shared" si="19"/>
        <v>0</v>
      </c>
      <c r="G249" s="297">
        <f>SUM(G250:G253)</f>
        <v>0</v>
      </c>
      <c r="H249" s="299">
        <f>SUM(H250:H253)</f>
        <v>0</v>
      </c>
      <c r="I249" s="125">
        <f t="shared" si="20"/>
        <v>0</v>
      </c>
      <c r="J249" s="297">
        <f>SUM(J250:J253)</f>
        <v>0</v>
      </c>
      <c r="K249" s="299">
        <f>SUM(K250:K253)</f>
        <v>0</v>
      </c>
      <c r="L249" s="125">
        <f t="shared" si="21"/>
        <v>0</v>
      </c>
      <c r="M249" s="322">
        <f>SUM(M250:M253)</f>
        <v>0</v>
      </c>
      <c r="N249" s="323">
        <f>SUM(N250:N253)</f>
        <v>0</v>
      </c>
      <c r="O249" s="324">
        <f t="shared" si="22"/>
        <v>0</v>
      </c>
      <c r="P249" s="325"/>
      <c r="R249" s="53"/>
      <c r="S249" s="53"/>
      <c r="T249" s="53"/>
    </row>
    <row r="250" spans="1:20" hidden="1" x14ac:dyDescent="0.25">
      <c r="A250" s="76">
        <v>6291</v>
      </c>
      <c r="B250" s="127" t="s">
        <v>266</v>
      </c>
      <c r="C250" s="278">
        <f t="shared" si="14"/>
        <v>0</v>
      </c>
      <c r="D250" s="134"/>
      <c r="E250" s="285"/>
      <c r="F250" s="286">
        <f t="shared" si="19"/>
        <v>0</v>
      </c>
      <c r="G250" s="134"/>
      <c r="H250" s="135"/>
      <c r="I250" s="136">
        <f t="shared" si="20"/>
        <v>0</v>
      </c>
      <c r="J250" s="134"/>
      <c r="K250" s="135"/>
      <c r="L250" s="136">
        <f t="shared" si="21"/>
        <v>0</v>
      </c>
      <c r="M250" s="284"/>
      <c r="N250" s="285"/>
      <c r="O250" s="136">
        <f t="shared" si="22"/>
        <v>0</v>
      </c>
      <c r="P250" s="85"/>
      <c r="R250" s="53"/>
      <c r="S250" s="53"/>
      <c r="T250" s="53"/>
    </row>
    <row r="251" spans="1:20" hidden="1" x14ac:dyDescent="0.25">
      <c r="A251" s="76">
        <v>6292</v>
      </c>
      <c r="B251" s="127" t="s">
        <v>267</v>
      </c>
      <c r="C251" s="278">
        <f t="shared" si="14"/>
        <v>0</v>
      </c>
      <c r="D251" s="134"/>
      <c r="E251" s="285"/>
      <c r="F251" s="286">
        <f t="shared" si="19"/>
        <v>0</v>
      </c>
      <c r="G251" s="134"/>
      <c r="H251" s="135"/>
      <c r="I251" s="136">
        <f t="shared" si="20"/>
        <v>0</v>
      </c>
      <c r="J251" s="134"/>
      <c r="K251" s="135"/>
      <c r="L251" s="136">
        <f t="shared" si="21"/>
        <v>0</v>
      </c>
      <c r="M251" s="284"/>
      <c r="N251" s="285"/>
      <c r="O251" s="136">
        <f t="shared" si="22"/>
        <v>0</v>
      </c>
      <c r="P251" s="85"/>
      <c r="R251" s="53"/>
      <c r="S251" s="53"/>
      <c r="T251" s="53"/>
    </row>
    <row r="252" spans="1:20" ht="72" hidden="1" x14ac:dyDescent="0.25">
      <c r="A252" s="76">
        <v>6296</v>
      </c>
      <c r="B252" s="127" t="s">
        <v>268</v>
      </c>
      <c r="C252" s="278">
        <f t="shared" si="14"/>
        <v>0</v>
      </c>
      <c r="D252" s="134"/>
      <c r="E252" s="285"/>
      <c r="F252" s="286">
        <f t="shared" si="19"/>
        <v>0</v>
      </c>
      <c r="G252" s="134"/>
      <c r="H252" s="135"/>
      <c r="I252" s="136">
        <f t="shared" si="20"/>
        <v>0</v>
      </c>
      <c r="J252" s="134"/>
      <c r="K252" s="135"/>
      <c r="L252" s="136">
        <f t="shared" si="21"/>
        <v>0</v>
      </c>
      <c r="M252" s="284"/>
      <c r="N252" s="285"/>
      <c r="O252" s="136">
        <f t="shared" si="22"/>
        <v>0</v>
      </c>
      <c r="P252" s="85"/>
      <c r="R252" s="53"/>
      <c r="S252" s="53"/>
      <c r="T252" s="53"/>
    </row>
    <row r="253" spans="1:20" ht="36" hidden="1" x14ac:dyDescent="0.25">
      <c r="A253" s="76">
        <v>6299</v>
      </c>
      <c r="B253" s="127" t="s">
        <v>269</v>
      </c>
      <c r="C253" s="278">
        <f t="shared" si="14"/>
        <v>0</v>
      </c>
      <c r="D253" s="134"/>
      <c r="E253" s="285"/>
      <c r="F253" s="286">
        <f t="shared" si="19"/>
        <v>0</v>
      </c>
      <c r="G253" s="134"/>
      <c r="H253" s="135"/>
      <c r="I253" s="136">
        <f t="shared" si="20"/>
        <v>0</v>
      </c>
      <c r="J253" s="134"/>
      <c r="K253" s="135"/>
      <c r="L253" s="136">
        <f t="shared" si="21"/>
        <v>0</v>
      </c>
      <c r="M253" s="284"/>
      <c r="N253" s="285"/>
      <c r="O253" s="136">
        <f t="shared" si="22"/>
        <v>0</v>
      </c>
      <c r="P253" s="85"/>
      <c r="R253" s="53"/>
      <c r="S253" s="53"/>
      <c r="T253" s="53"/>
    </row>
    <row r="254" spans="1:20" hidden="1" x14ac:dyDescent="0.25">
      <c r="A254" s="99">
        <v>6300</v>
      </c>
      <c r="B254" s="247" t="s">
        <v>270</v>
      </c>
      <c r="C254" s="100">
        <f t="shared" si="14"/>
        <v>0</v>
      </c>
      <c r="D254" s="112">
        <f>SUM(D255,D259,D260)</f>
        <v>0</v>
      </c>
      <c r="E254" s="293">
        <f>SUM(E255,E259,E260)</f>
        <v>0</v>
      </c>
      <c r="F254" s="313">
        <f t="shared" si="19"/>
        <v>0</v>
      </c>
      <c r="G254" s="112">
        <f>SUM(G255,G259,G260)</f>
        <v>0</v>
      </c>
      <c r="H254" s="113">
        <f>SUM(H255,H259,H260)</f>
        <v>0</v>
      </c>
      <c r="I254" s="114">
        <f t="shared" si="20"/>
        <v>0</v>
      </c>
      <c r="J254" s="112">
        <f>SUM(J255,J259,J260)</f>
        <v>0</v>
      </c>
      <c r="K254" s="113">
        <f>SUM(K255,K259,K260)</f>
        <v>0</v>
      </c>
      <c r="L254" s="114">
        <f t="shared" si="21"/>
        <v>0</v>
      </c>
      <c r="M254" s="303">
        <f>SUM(M255,M259,M260)</f>
        <v>0</v>
      </c>
      <c r="N254" s="304">
        <f>SUM(N255,N259,N260)</f>
        <v>0</v>
      </c>
      <c r="O254" s="305">
        <f t="shared" si="22"/>
        <v>0</v>
      </c>
      <c r="P254" s="306"/>
      <c r="R254" s="53"/>
      <c r="S254" s="53"/>
      <c r="T254" s="53"/>
    </row>
    <row r="255" spans="1:20" ht="24" hidden="1" x14ac:dyDescent="0.25">
      <c r="A255" s="656">
        <v>6320</v>
      </c>
      <c r="B255" s="116" t="s">
        <v>271</v>
      </c>
      <c r="C255" s="322">
        <f t="shared" si="14"/>
        <v>0</v>
      </c>
      <c r="D255" s="297">
        <f>SUM(D256:D258)</f>
        <v>0</v>
      </c>
      <c r="E255" s="301">
        <f>SUM(E256:E258)</f>
        <v>0</v>
      </c>
      <c r="F255" s="263">
        <f t="shared" si="19"/>
        <v>0</v>
      </c>
      <c r="G255" s="297">
        <f>SUM(G256:G258)</f>
        <v>0</v>
      </c>
      <c r="H255" s="299">
        <f>SUM(H256:H258)</f>
        <v>0</v>
      </c>
      <c r="I255" s="125">
        <f t="shared" si="20"/>
        <v>0</v>
      </c>
      <c r="J255" s="297">
        <f>SUM(J256:J258)</f>
        <v>0</v>
      </c>
      <c r="K255" s="299">
        <f>SUM(K256:K258)</f>
        <v>0</v>
      </c>
      <c r="L255" s="125">
        <f t="shared" si="21"/>
        <v>0</v>
      </c>
      <c r="M255" s="300">
        <f>SUM(M256:M258)</f>
        <v>0</v>
      </c>
      <c r="N255" s="301">
        <f>SUM(N256:N258)</f>
        <v>0</v>
      </c>
      <c r="O255" s="125">
        <f t="shared" si="22"/>
        <v>0</v>
      </c>
      <c r="P255" s="74"/>
      <c r="R255" s="53"/>
      <c r="S255" s="53"/>
      <c r="T255" s="53"/>
    </row>
    <row r="256" spans="1:20" hidden="1" x14ac:dyDescent="0.25">
      <c r="A256" s="76">
        <v>6322</v>
      </c>
      <c r="B256" s="127" t="s">
        <v>272</v>
      </c>
      <c r="C256" s="281">
        <f t="shared" si="14"/>
        <v>0</v>
      </c>
      <c r="D256" s="134"/>
      <c r="E256" s="285"/>
      <c r="F256" s="286">
        <f t="shared" si="19"/>
        <v>0</v>
      </c>
      <c r="G256" s="134"/>
      <c r="H256" s="135"/>
      <c r="I256" s="136">
        <f t="shared" si="20"/>
        <v>0</v>
      </c>
      <c r="J256" s="134"/>
      <c r="K256" s="135"/>
      <c r="L256" s="136">
        <f t="shared" si="21"/>
        <v>0</v>
      </c>
      <c r="M256" s="284"/>
      <c r="N256" s="285"/>
      <c r="O256" s="136">
        <f t="shared" si="22"/>
        <v>0</v>
      </c>
      <c r="P256" s="85"/>
      <c r="R256" s="53"/>
      <c r="S256" s="53"/>
      <c r="T256" s="53"/>
    </row>
    <row r="257" spans="1:20" ht="24" hidden="1" x14ac:dyDescent="0.25">
      <c r="A257" s="76">
        <v>6323</v>
      </c>
      <c r="B257" s="127" t="s">
        <v>273</v>
      </c>
      <c r="C257" s="281">
        <f t="shared" si="14"/>
        <v>0</v>
      </c>
      <c r="D257" s="134"/>
      <c r="E257" s="285"/>
      <c r="F257" s="286">
        <f t="shared" si="19"/>
        <v>0</v>
      </c>
      <c r="G257" s="134"/>
      <c r="H257" s="135"/>
      <c r="I257" s="136">
        <f t="shared" si="20"/>
        <v>0</v>
      </c>
      <c r="J257" s="134"/>
      <c r="K257" s="135"/>
      <c r="L257" s="136">
        <f t="shared" si="21"/>
        <v>0</v>
      </c>
      <c r="M257" s="284"/>
      <c r="N257" s="285"/>
      <c r="O257" s="136">
        <f t="shared" si="22"/>
        <v>0</v>
      </c>
      <c r="P257" s="85"/>
      <c r="R257" s="53"/>
      <c r="S257" s="53"/>
      <c r="T257" s="53"/>
    </row>
    <row r="258" spans="1:20" ht="24" hidden="1" x14ac:dyDescent="0.25">
      <c r="A258" s="66">
        <v>6324</v>
      </c>
      <c r="B258" s="116" t="s">
        <v>274</v>
      </c>
      <c r="C258" s="281">
        <f t="shared" si="14"/>
        <v>0</v>
      </c>
      <c r="D258" s="123"/>
      <c r="E258" s="262"/>
      <c r="F258" s="263">
        <f t="shared" si="19"/>
        <v>0</v>
      </c>
      <c r="G258" s="123"/>
      <c r="H258" s="124"/>
      <c r="I258" s="125">
        <f t="shared" si="20"/>
        <v>0</v>
      </c>
      <c r="J258" s="123"/>
      <c r="K258" s="124"/>
      <c r="L258" s="125">
        <f t="shared" si="21"/>
        <v>0</v>
      </c>
      <c r="M258" s="264"/>
      <c r="N258" s="262"/>
      <c r="O258" s="125">
        <f t="shared" si="22"/>
        <v>0</v>
      </c>
      <c r="P258" s="74"/>
      <c r="R258" s="53"/>
      <c r="S258" s="53"/>
      <c r="T258" s="53"/>
    </row>
    <row r="259" spans="1:20" ht="24" hidden="1" x14ac:dyDescent="0.25">
      <c r="A259" s="344">
        <v>6330</v>
      </c>
      <c r="B259" s="345" t="s">
        <v>275</v>
      </c>
      <c r="C259" s="281">
        <f t="shared" ref="C259:C286" si="23">F259+I259+L259+O259</f>
        <v>0</v>
      </c>
      <c r="D259" s="328"/>
      <c r="E259" s="329"/>
      <c r="F259" s="330">
        <f t="shared" si="19"/>
        <v>0</v>
      </c>
      <c r="G259" s="328"/>
      <c r="H259" s="331"/>
      <c r="I259" s="324">
        <f t="shared" si="20"/>
        <v>0</v>
      </c>
      <c r="J259" s="328"/>
      <c r="K259" s="331"/>
      <c r="L259" s="324">
        <f t="shared" si="21"/>
        <v>0</v>
      </c>
      <c r="M259" s="332"/>
      <c r="N259" s="329"/>
      <c r="O259" s="324">
        <f t="shared" si="22"/>
        <v>0</v>
      </c>
      <c r="P259" s="325"/>
      <c r="R259" s="53"/>
      <c r="S259" s="53"/>
      <c r="T259" s="53"/>
    </row>
    <row r="260" spans="1:20" hidden="1" x14ac:dyDescent="0.25">
      <c r="A260" s="276">
        <v>6360</v>
      </c>
      <c r="B260" s="127" t="s">
        <v>276</v>
      </c>
      <c r="C260" s="281">
        <f t="shared" si="23"/>
        <v>0</v>
      </c>
      <c r="D260" s="134"/>
      <c r="E260" s="285"/>
      <c r="F260" s="286">
        <f t="shared" si="19"/>
        <v>0</v>
      </c>
      <c r="G260" s="134"/>
      <c r="H260" s="135"/>
      <c r="I260" s="136">
        <f t="shared" si="20"/>
        <v>0</v>
      </c>
      <c r="J260" s="134"/>
      <c r="K260" s="135"/>
      <c r="L260" s="136">
        <f t="shared" si="21"/>
        <v>0</v>
      </c>
      <c r="M260" s="284"/>
      <c r="N260" s="285"/>
      <c r="O260" s="136">
        <f t="shared" si="22"/>
        <v>0</v>
      </c>
      <c r="P260" s="85"/>
      <c r="R260" s="53"/>
      <c r="S260" s="53"/>
      <c r="T260" s="53"/>
    </row>
    <row r="261" spans="1:20" ht="36" hidden="1" x14ac:dyDescent="0.25">
      <c r="A261" s="99">
        <v>6400</v>
      </c>
      <c r="B261" s="247" t="s">
        <v>277</v>
      </c>
      <c r="C261" s="100">
        <f t="shared" si="23"/>
        <v>0</v>
      </c>
      <c r="D261" s="112">
        <f>SUM(D262,D266)</f>
        <v>0</v>
      </c>
      <c r="E261" s="293">
        <f>SUM(E262,E266)</f>
        <v>0</v>
      </c>
      <c r="F261" s="313">
        <f t="shared" si="19"/>
        <v>0</v>
      </c>
      <c r="G261" s="112">
        <f>SUM(G262,G266)</f>
        <v>0</v>
      </c>
      <c r="H261" s="113">
        <f>SUM(H262,H266)</f>
        <v>0</v>
      </c>
      <c r="I261" s="114">
        <f t="shared" si="20"/>
        <v>0</v>
      </c>
      <c r="J261" s="112">
        <f>SUM(J262,J266)</f>
        <v>0</v>
      </c>
      <c r="K261" s="113">
        <f>SUM(K262,K266)</f>
        <v>0</v>
      </c>
      <c r="L261" s="114">
        <f t="shared" si="21"/>
        <v>0</v>
      </c>
      <c r="M261" s="303">
        <f>SUM(M262,M266)</f>
        <v>0</v>
      </c>
      <c r="N261" s="304">
        <f>SUM(N262,N266)</f>
        <v>0</v>
      </c>
      <c r="O261" s="305">
        <f t="shared" si="22"/>
        <v>0</v>
      </c>
      <c r="P261" s="306"/>
      <c r="R261" s="53"/>
      <c r="S261" s="53"/>
      <c r="T261" s="53"/>
    </row>
    <row r="262" spans="1:20" ht="24" hidden="1" x14ac:dyDescent="0.25">
      <c r="A262" s="656">
        <v>6410</v>
      </c>
      <c r="B262" s="116" t="s">
        <v>278</v>
      </c>
      <c r="C262" s="300">
        <f t="shared" si="23"/>
        <v>0</v>
      </c>
      <c r="D262" s="297">
        <f>SUM(D263:D265)</f>
        <v>0</v>
      </c>
      <c r="E262" s="301">
        <f>SUM(E263:E265)</f>
        <v>0</v>
      </c>
      <c r="F262" s="263">
        <f t="shared" si="19"/>
        <v>0</v>
      </c>
      <c r="G262" s="297">
        <f>SUM(G263:G265)</f>
        <v>0</v>
      </c>
      <c r="H262" s="299">
        <f>SUM(H263:H265)</f>
        <v>0</v>
      </c>
      <c r="I262" s="125">
        <f t="shared" si="20"/>
        <v>0</v>
      </c>
      <c r="J262" s="297">
        <f>SUM(J263:J265)</f>
        <v>0</v>
      </c>
      <c r="K262" s="299">
        <f>SUM(K263:K265)</f>
        <v>0</v>
      </c>
      <c r="L262" s="125">
        <f t="shared" si="21"/>
        <v>0</v>
      </c>
      <c r="M262" s="317">
        <f>SUM(M263:M265)</f>
        <v>0</v>
      </c>
      <c r="N262" s="318">
        <f>SUM(N263:N265)</f>
        <v>0</v>
      </c>
      <c r="O262" s="151">
        <f t="shared" si="22"/>
        <v>0</v>
      </c>
      <c r="P262" s="153"/>
      <c r="R262" s="53"/>
      <c r="S262" s="53"/>
      <c r="T262" s="53"/>
    </row>
    <row r="263" spans="1:20" hidden="1" x14ac:dyDescent="0.25">
      <c r="A263" s="76">
        <v>6411</v>
      </c>
      <c r="B263" s="346" t="s">
        <v>279</v>
      </c>
      <c r="C263" s="278">
        <f t="shared" si="23"/>
        <v>0</v>
      </c>
      <c r="D263" s="134"/>
      <c r="E263" s="285"/>
      <c r="F263" s="286">
        <f t="shared" si="19"/>
        <v>0</v>
      </c>
      <c r="G263" s="134"/>
      <c r="H263" s="135"/>
      <c r="I263" s="136">
        <f t="shared" si="20"/>
        <v>0</v>
      </c>
      <c r="J263" s="134"/>
      <c r="K263" s="135"/>
      <c r="L263" s="136">
        <f t="shared" si="21"/>
        <v>0</v>
      </c>
      <c r="M263" s="284"/>
      <c r="N263" s="285"/>
      <c r="O263" s="136">
        <f t="shared" si="22"/>
        <v>0</v>
      </c>
      <c r="P263" s="85"/>
      <c r="R263" s="53"/>
      <c r="S263" s="53"/>
      <c r="T263" s="53"/>
    </row>
    <row r="264" spans="1:20" ht="36" hidden="1" x14ac:dyDescent="0.25">
      <c r="A264" s="76">
        <v>6412</v>
      </c>
      <c r="B264" s="127" t="s">
        <v>280</v>
      </c>
      <c r="C264" s="278">
        <f t="shared" si="23"/>
        <v>0</v>
      </c>
      <c r="D264" s="134"/>
      <c r="E264" s="285"/>
      <c r="F264" s="286">
        <f t="shared" si="19"/>
        <v>0</v>
      </c>
      <c r="G264" s="134"/>
      <c r="H264" s="135"/>
      <c r="I264" s="136">
        <f t="shared" si="20"/>
        <v>0</v>
      </c>
      <c r="J264" s="134"/>
      <c r="K264" s="135"/>
      <c r="L264" s="136">
        <f t="shared" si="21"/>
        <v>0</v>
      </c>
      <c r="M264" s="284"/>
      <c r="N264" s="285"/>
      <c r="O264" s="136">
        <f t="shared" si="22"/>
        <v>0</v>
      </c>
      <c r="P264" s="85"/>
      <c r="R264" s="53"/>
      <c r="S264" s="53"/>
      <c r="T264" s="53"/>
    </row>
    <row r="265" spans="1:20" ht="36" hidden="1" x14ac:dyDescent="0.25">
      <c r="A265" s="76">
        <v>6419</v>
      </c>
      <c r="B265" s="127" t="s">
        <v>281</v>
      </c>
      <c r="C265" s="278">
        <f t="shared" si="23"/>
        <v>0</v>
      </c>
      <c r="D265" s="134"/>
      <c r="E265" s="285"/>
      <c r="F265" s="286">
        <f t="shared" si="19"/>
        <v>0</v>
      </c>
      <c r="G265" s="134"/>
      <c r="H265" s="135"/>
      <c r="I265" s="136">
        <f t="shared" si="20"/>
        <v>0</v>
      </c>
      <c r="J265" s="134"/>
      <c r="K265" s="135"/>
      <c r="L265" s="136">
        <f t="shared" si="21"/>
        <v>0</v>
      </c>
      <c r="M265" s="284"/>
      <c r="N265" s="285"/>
      <c r="O265" s="136">
        <f t="shared" si="22"/>
        <v>0</v>
      </c>
      <c r="P265" s="85"/>
      <c r="R265" s="53"/>
      <c r="S265" s="53"/>
      <c r="T265" s="53"/>
    </row>
    <row r="266" spans="1:20" ht="36" hidden="1" x14ac:dyDescent="0.25">
      <c r="A266" s="276">
        <v>6420</v>
      </c>
      <c r="B266" s="127" t="s">
        <v>282</v>
      </c>
      <c r="C266" s="278">
        <f t="shared" si="23"/>
        <v>0</v>
      </c>
      <c r="D266" s="277">
        <f>SUM(D267:D270)</f>
        <v>0</v>
      </c>
      <c r="E266" s="282">
        <f>SUM(E267:E270)</f>
        <v>0</v>
      </c>
      <c r="F266" s="286">
        <f t="shared" si="19"/>
        <v>0</v>
      </c>
      <c r="G266" s="277">
        <f>SUM(G267:G270)</f>
        <v>0</v>
      </c>
      <c r="H266" s="280">
        <f>SUM(H267:H270)</f>
        <v>0</v>
      </c>
      <c r="I266" s="136">
        <f t="shared" si="20"/>
        <v>0</v>
      </c>
      <c r="J266" s="277">
        <f>SUM(J267:J270)</f>
        <v>0</v>
      </c>
      <c r="K266" s="280">
        <f>SUM(K267:K270)</f>
        <v>0</v>
      </c>
      <c r="L266" s="136">
        <f t="shared" si="21"/>
        <v>0</v>
      </c>
      <c r="M266" s="281">
        <f>SUM(M267:M270)</f>
        <v>0</v>
      </c>
      <c r="N266" s="282">
        <f>SUM(N267:N270)</f>
        <v>0</v>
      </c>
      <c r="O266" s="136">
        <f t="shared" si="22"/>
        <v>0</v>
      </c>
      <c r="P266" s="85"/>
      <c r="R266" s="53"/>
      <c r="S266" s="53"/>
      <c r="T266" s="53"/>
    </row>
    <row r="267" spans="1:20" hidden="1" x14ac:dyDescent="0.25">
      <c r="A267" s="76">
        <v>6421</v>
      </c>
      <c r="B267" s="127" t="s">
        <v>283</v>
      </c>
      <c r="C267" s="278">
        <f t="shared" si="23"/>
        <v>0</v>
      </c>
      <c r="D267" s="134"/>
      <c r="E267" s="285"/>
      <c r="F267" s="286">
        <f t="shared" si="19"/>
        <v>0</v>
      </c>
      <c r="G267" s="134"/>
      <c r="H267" s="135"/>
      <c r="I267" s="136">
        <f t="shared" si="20"/>
        <v>0</v>
      </c>
      <c r="J267" s="134"/>
      <c r="K267" s="135"/>
      <c r="L267" s="136">
        <f t="shared" si="21"/>
        <v>0</v>
      </c>
      <c r="M267" s="284"/>
      <c r="N267" s="285"/>
      <c r="O267" s="136">
        <f t="shared" si="22"/>
        <v>0</v>
      </c>
      <c r="P267" s="85"/>
      <c r="R267" s="53"/>
      <c r="S267" s="53"/>
      <c r="T267" s="53"/>
    </row>
    <row r="268" spans="1:20" hidden="1" x14ac:dyDescent="0.25">
      <c r="A268" s="76">
        <v>6422</v>
      </c>
      <c r="B268" s="127" t="s">
        <v>284</v>
      </c>
      <c r="C268" s="278">
        <f t="shared" si="23"/>
        <v>0</v>
      </c>
      <c r="D268" s="134"/>
      <c r="E268" s="285"/>
      <c r="F268" s="286">
        <f t="shared" si="19"/>
        <v>0</v>
      </c>
      <c r="G268" s="134"/>
      <c r="H268" s="135"/>
      <c r="I268" s="136">
        <f t="shared" si="20"/>
        <v>0</v>
      </c>
      <c r="J268" s="134"/>
      <c r="K268" s="135"/>
      <c r="L268" s="136">
        <f t="shared" si="21"/>
        <v>0</v>
      </c>
      <c r="M268" s="284"/>
      <c r="N268" s="285"/>
      <c r="O268" s="136">
        <f t="shared" si="22"/>
        <v>0</v>
      </c>
      <c r="P268" s="85"/>
      <c r="R268" s="53"/>
      <c r="S268" s="53"/>
      <c r="T268" s="53"/>
    </row>
    <row r="269" spans="1:20" ht="24" hidden="1" x14ac:dyDescent="0.25">
      <c r="A269" s="76">
        <v>6423</v>
      </c>
      <c r="B269" s="127" t="s">
        <v>285</v>
      </c>
      <c r="C269" s="278">
        <f t="shared" si="23"/>
        <v>0</v>
      </c>
      <c r="D269" s="134"/>
      <c r="E269" s="285"/>
      <c r="F269" s="286">
        <f t="shared" si="19"/>
        <v>0</v>
      </c>
      <c r="G269" s="134"/>
      <c r="H269" s="135"/>
      <c r="I269" s="136">
        <f t="shared" si="20"/>
        <v>0</v>
      </c>
      <c r="J269" s="134"/>
      <c r="K269" s="135"/>
      <c r="L269" s="136">
        <f t="shared" si="21"/>
        <v>0</v>
      </c>
      <c r="M269" s="284"/>
      <c r="N269" s="285"/>
      <c r="O269" s="136">
        <f t="shared" si="22"/>
        <v>0</v>
      </c>
      <c r="P269" s="85"/>
      <c r="R269" s="53"/>
      <c r="S269" s="53"/>
      <c r="T269" s="53"/>
    </row>
    <row r="270" spans="1:20" ht="36" hidden="1" x14ac:dyDescent="0.25">
      <c r="A270" s="76">
        <v>6424</v>
      </c>
      <c r="B270" s="127" t="s">
        <v>286</v>
      </c>
      <c r="C270" s="278">
        <f t="shared" si="23"/>
        <v>0</v>
      </c>
      <c r="D270" s="134"/>
      <c r="E270" s="285"/>
      <c r="F270" s="286">
        <f t="shared" si="19"/>
        <v>0</v>
      </c>
      <c r="G270" s="134"/>
      <c r="H270" s="135"/>
      <c r="I270" s="136">
        <f t="shared" si="20"/>
        <v>0</v>
      </c>
      <c r="J270" s="134"/>
      <c r="K270" s="135"/>
      <c r="L270" s="136">
        <f t="shared" si="21"/>
        <v>0</v>
      </c>
      <c r="M270" s="284"/>
      <c r="N270" s="285"/>
      <c r="O270" s="136">
        <f t="shared" si="22"/>
        <v>0</v>
      </c>
      <c r="P270" s="85"/>
      <c r="R270" s="53"/>
      <c r="S270" s="53"/>
      <c r="T270" s="53"/>
    </row>
    <row r="271" spans="1:20" ht="36" hidden="1" x14ac:dyDescent="0.25">
      <c r="A271" s="347">
        <v>7000</v>
      </c>
      <c r="B271" s="347" t="s">
        <v>287</v>
      </c>
      <c r="C271" s="348">
        <f t="shared" si="23"/>
        <v>0</v>
      </c>
      <c r="D271" s="349">
        <f>SUM(D272,D282)</f>
        <v>0</v>
      </c>
      <c r="E271" s="407">
        <f>SUM(E272,E282)</f>
        <v>0</v>
      </c>
      <c r="F271" s="408">
        <f t="shared" si="19"/>
        <v>0</v>
      </c>
      <c r="G271" s="349">
        <f>SUM(G272,G282)</f>
        <v>0</v>
      </c>
      <c r="H271" s="352">
        <f>SUM(H272,H282)</f>
        <v>0</v>
      </c>
      <c r="I271" s="353">
        <f t="shared" si="20"/>
        <v>0</v>
      </c>
      <c r="J271" s="349">
        <f>SUM(J272,J282)</f>
        <v>0</v>
      </c>
      <c r="K271" s="352">
        <f>SUM(K272,K282)</f>
        <v>0</v>
      </c>
      <c r="L271" s="353">
        <f t="shared" si="21"/>
        <v>0</v>
      </c>
      <c r="M271" s="354">
        <f>SUM(M272,M282)</f>
        <v>0</v>
      </c>
      <c r="N271" s="355">
        <f>SUM(N272,N282)</f>
        <v>0</v>
      </c>
      <c r="O271" s="356">
        <f t="shared" si="22"/>
        <v>0</v>
      </c>
      <c r="P271" s="357"/>
      <c r="R271" s="53"/>
      <c r="S271" s="53"/>
      <c r="T271" s="53"/>
    </row>
    <row r="272" spans="1:20" ht="24" hidden="1" x14ac:dyDescent="0.25">
      <c r="A272" s="99">
        <v>7200</v>
      </c>
      <c r="B272" s="247" t="s">
        <v>288</v>
      </c>
      <c r="C272" s="100">
        <f t="shared" si="23"/>
        <v>0</v>
      </c>
      <c r="D272" s="112">
        <f>SUM(D273,D274,D277,D278,D281)</f>
        <v>0</v>
      </c>
      <c r="E272" s="293">
        <f>SUM(E273,E274,E277,E278,E281)</f>
        <v>0</v>
      </c>
      <c r="F272" s="313">
        <f t="shared" si="19"/>
        <v>0</v>
      </c>
      <c r="G272" s="112">
        <f>SUM(G273,G274,G277,G278,G281)</f>
        <v>0</v>
      </c>
      <c r="H272" s="113">
        <f>SUM(H273,H274,H277,H278,H281)</f>
        <v>0</v>
      </c>
      <c r="I272" s="114">
        <f t="shared" si="20"/>
        <v>0</v>
      </c>
      <c r="J272" s="112">
        <f>SUM(J273,J274,J277,J278,J281)</f>
        <v>0</v>
      </c>
      <c r="K272" s="113">
        <f>SUM(K273,K274,K277,K278,K281)</f>
        <v>0</v>
      </c>
      <c r="L272" s="114">
        <f t="shared" si="21"/>
        <v>0</v>
      </c>
      <c r="M272" s="250">
        <f>SUM(M273,M274,M277,M278,M281)</f>
        <v>0</v>
      </c>
      <c r="N272" s="251">
        <f>SUM(N273,N274,N277,N278,N281)</f>
        <v>0</v>
      </c>
      <c r="O272" s="252">
        <f t="shared" si="22"/>
        <v>0</v>
      </c>
      <c r="P272" s="253"/>
      <c r="R272" s="53"/>
      <c r="S272" s="53"/>
      <c r="T272" s="53"/>
    </row>
    <row r="273" spans="1:20" ht="24" hidden="1" x14ac:dyDescent="0.25">
      <c r="A273" s="656">
        <v>7210</v>
      </c>
      <c r="B273" s="116" t="s">
        <v>289</v>
      </c>
      <c r="C273" s="117">
        <f t="shared" si="23"/>
        <v>0</v>
      </c>
      <c r="D273" s="123"/>
      <c r="E273" s="262"/>
      <c r="F273" s="263">
        <f t="shared" si="19"/>
        <v>0</v>
      </c>
      <c r="G273" s="123"/>
      <c r="H273" s="124"/>
      <c r="I273" s="125">
        <f t="shared" si="20"/>
        <v>0</v>
      </c>
      <c r="J273" s="123"/>
      <c r="K273" s="124"/>
      <c r="L273" s="125">
        <f t="shared" si="21"/>
        <v>0</v>
      </c>
      <c r="M273" s="264"/>
      <c r="N273" s="262"/>
      <c r="O273" s="125">
        <f t="shared" si="22"/>
        <v>0</v>
      </c>
      <c r="P273" s="74"/>
      <c r="R273" s="53"/>
      <c r="S273" s="53"/>
      <c r="T273" s="53"/>
    </row>
    <row r="274" spans="1:20" s="358" customFormat="1" ht="36" hidden="1" x14ac:dyDescent="0.25">
      <c r="A274" s="276">
        <v>7220</v>
      </c>
      <c r="B274" s="127" t="s">
        <v>290</v>
      </c>
      <c r="C274" s="128">
        <f t="shared" si="23"/>
        <v>0</v>
      </c>
      <c r="D274" s="277">
        <f>SUM(D275:D276)</f>
        <v>0</v>
      </c>
      <c r="E274" s="282">
        <f>SUM(E275:E276)</f>
        <v>0</v>
      </c>
      <c r="F274" s="286">
        <f t="shared" si="19"/>
        <v>0</v>
      </c>
      <c r="G274" s="277">
        <f>SUM(G275:G276)</f>
        <v>0</v>
      </c>
      <c r="H274" s="280">
        <f>SUM(H275:H276)</f>
        <v>0</v>
      </c>
      <c r="I274" s="136">
        <f t="shared" si="20"/>
        <v>0</v>
      </c>
      <c r="J274" s="277">
        <f>SUM(J275:J276)</f>
        <v>0</v>
      </c>
      <c r="K274" s="280">
        <f>SUM(K275:K276)</f>
        <v>0</v>
      </c>
      <c r="L274" s="136">
        <f t="shared" si="21"/>
        <v>0</v>
      </c>
      <c r="M274" s="281">
        <f>SUM(M275:M276)</f>
        <v>0</v>
      </c>
      <c r="N274" s="282">
        <f>SUM(N275:N276)</f>
        <v>0</v>
      </c>
      <c r="O274" s="136">
        <f t="shared" si="22"/>
        <v>0</v>
      </c>
      <c r="P274" s="85"/>
      <c r="R274" s="53"/>
      <c r="S274" s="53"/>
      <c r="T274" s="53"/>
    </row>
    <row r="275" spans="1:20" s="358" customFormat="1" ht="36" hidden="1" x14ac:dyDescent="0.25">
      <c r="A275" s="76">
        <v>7221</v>
      </c>
      <c r="B275" s="127" t="s">
        <v>291</v>
      </c>
      <c r="C275" s="128">
        <f t="shared" si="23"/>
        <v>0</v>
      </c>
      <c r="D275" s="134"/>
      <c r="E275" s="285"/>
      <c r="F275" s="286">
        <f t="shared" si="19"/>
        <v>0</v>
      </c>
      <c r="G275" s="134"/>
      <c r="H275" s="135"/>
      <c r="I275" s="136">
        <f t="shared" si="20"/>
        <v>0</v>
      </c>
      <c r="J275" s="134"/>
      <c r="K275" s="135"/>
      <c r="L275" s="136">
        <f t="shared" si="21"/>
        <v>0</v>
      </c>
      <c r="M275" s="284"/>
      <c r="N275" s="285"/>
      <c r="O275" s="136">
        <f t="shared" si="22"/>
        <v>0</v>
      </c>
      <c r="P275" s="85"/>
      <c r="R275" s="53"/>
      <c r="S275" s="53"/>
      <c r="T275" s="53"/>
    </row>
    <row r="276" spans="1:20" s="358" customFormat="1" ht="36" hidden="1" x14ac:dyDescent="0.25">
      <c r="A276" s="76">
        <v>7222</v>
      </c>
      <c r="B276" s="127" t="s">
        <v>292</v>
      </c>
      <c r="C276" s="128">
        <f t="shared" si="23"/>
        <v>0</v>
      </c>
      <c r="D276" s="134"/>
      <c r="E276" s="285"/>
      <c r="F276" s="286">
        <f t="shared" si="19"/>
        <v>0</v>
      </c>
      <c r="G276" s="134"/>
      <c r="H276" s="135"/>
      <c r="I276" s="136">
        <f t="shared" si="20"/>
        <v>0</v>
      </c>
      <c r="J276" s="134"/>
      <c r="K276" s="135"/>
      <c r="L276" s="136">
        <f t="shared" si="21"/>
        <v>0</v>
      </c>
      <c r="M276" s="284"/>
      <c r="N276" s="285"/>
      <c r="O276" s="136">
        <f t="shared" si="22"/>
        <v>0</v>
      </c>
      <c r="P276" s="85"/>
      <c r="R276" s="53"/>
      <c r="S276" s="53"/>
      <c r="T276" s="53"/>
    </row>
    <row r="277" spans="1:20" s="358" customFormat="1" ht="24" hidden="1" x14ac:dyDescent="0.25">
      <c r="A277" s="276">
        <v>7230</v>
      </c>
      <c r="B277" s="127" t="s">
        <v>293</v>
      </c>
      <c r="C277" s="128">
        <f t="shared" si="23"/>
        <v>0</v>
      </c>
      <c r="D277" s="134"/>
      <c r="E277" s="285"/>
      <c r="F277" s="286">
        <f t="shared" si="19"/>
        <v>0</v>
      </c>
      <c r="G277" s="134"/>
      <c r="H277" s="135"/>
      <c r="I277" s="136">
        <f t="shared" si="20"/>
        <v>0</v>
      </c>
      <c r="J277" s="134"/>
      <c r="K277" s="135"/>
      <c r="L277" s="136">
        <f t="shared" si="21"/>
        <v>0</v>
      </c>
      <c r="M277" s="284"/>
      <c r="N277" s="285"/>
      <c r="O277" s="136">
        <f>M277+N277</f>
        <v>0</v>
      </c>
      <c r="P277" s="85"/>
      <c r="R277" s="53"/>
      <c r="S277" s="53"/>
      <c r="T277" s="53"/>
    </row>
    <row r="278" spans="1:20" ht="24" hidden="1" x14ac:dyDescent="0.25">
      <c r="A278" s="276">
        <v>7240</v>
      </c>
      <c r="B278" s="127" t="s">
        <v>294</v>
      </c>
      <c r="C278" s="128">
        <f t="shared" si="23"/>
        <v>0</v>
      </c>
      <c r="D278" s="277">
        <f>SUM(D279:D280)</f>
        <v>0</v>
      </c>
      <c r="E278" s="282">
        <f>SUM(E279:E280)</f>
        <v>0</v>
      </c>
      <c r="F278" s="286">
        <f t="shared" si="19"/>
        <v>0</v>
      </c>
      <c r="G278" s="277">
        <f>SUM(G279:G280)</f>
        <v>0</v>
      </c>
      <c r="H278" s="280">
        <f>SUM(H279:H280)</f>
        <v>0</v>
      </c>
      <c r="I278" s="136">
        <f t="shared" si="20"/>
        <v>0</v>
      </c>
      <c r="J278" s="277">
        <f>SUM(J279:J280)</f>
        <v>0</v>
      </c>
      <c r="K278" s="280">
        <f>SUM(K279:K280)</f>
        <v>0</v>
      </c>
      <c r="L278" s="136">
        <f t="shared" si="21"/>
        <v>0</v>
      </c>
      <c r="M278" s="281">
        <f>SUM(M279:M280)</f>
        <v>0</v>
      </c>
      <c r="N278" s="282">
        <f>SUM(N279:N280)</f>
        <v>0</v>
      </c>
      <c r="O278" s="136">
        <f>SUM(O279:O280)</f>
        <v>0</v>
      </c>
      <c r="P278" s="85"/>
      <c r="R278" s="53"/>
      <c r="S278" s="53"/>
      <c r="T278" s="53"/>
    </row>
    <row r="279" spans="1:20" ht="48" hidden="1" x14ac:dyDescent="0.25">
      <c r="A279" s="76">
        <v>7245</v>
      </c>
      <c r="B279" s="127" t="s">
        <v>295</v>
      </c>
      <c r="C279" s="128">
        <f t="shared" si="23"/>
        <v>0</v>
      </c>
      <c r="D279" s="134"/>
      <c r="E279" s="285"/>
      <c r="F279" s="286">
        <f t="shared" si="19"/>
        <v>0</v>
      </c>
      <c r="G279" s="134"/>
      <c r="H279" s="135"/>
      <c r="I279" s="136">
        <f t="shared" si="20"/>
        <v>0</v>
      </c>
      <c r="J279" s="134"/>
      <c r="K279" s="135"/>
      <c r="L279" s="136">
        <f t="shared" si="21"/>
        <v>0</v>
      </c>
      <c r="M279" s="284"/>
      <c r="N279" s="285"/>
      <c r="O279" s="136">
        <f>M279+N279</f>
        <v>0</v>
      </c>
      <c r="P279" s="85"/>
      <c r="R279" s="53"/>
      <c r="S279" s="53"/>
      <c r="T279" s="53"/>
    </row>
    <row r="280" spans="1:20" ht="96" hidden="1" x14ac:dyDescent="0.25">
      <c r="A280" s="76">
        <v>7246</v>
      </c>
      <c r="B280" s="127" t="s">
        <v>296</v>
      </c>
      <c r="C280" s="128">
        <f t="shared" si="23"/>
        <v>0</v>
      </c>
      <c r="D280" s="134"/>
      <c r="E280" s="285"/>
      <c r="F280" s="286">
        <f t="shared" si="19"/>
        <v>0</v>
      </c>
      <c r="G280" s="134"/>
      <c r="H280" s="135"/>
      <c r="I280" s="136">
        <f t="shared" si="20"/>
        <v>0</v>
      </c>
      <c r="J280" s="134"/>
      <c r="K280" s="135"/>
      <c r="L280" s="136">
        <f t="shared" si="21"/>
        <v>0</v>
      </c>
      <c r="M280" s="284"/>
      <c r="N280" s="285"/>
      <c r="O280" s="136">
        <f>M280+N280</f>
        <v>0</v>
      </c>
      <c r="P280" s="85"/>
      <c r="R280" s="53"/>
      <c r="S280" s="53"/>
      <c r="T280" s="53"/>
    </row>
    <row r="281" spans="1:20" ht="24" hidden="1" x14ac:dyDescent="0.25">
      <c r="A281" s="276">
        <v>7260</v>
      </c>
      <c r="B281" s="127" t="s">
        <v>297</v>
      </c>
      <c r="C281" s="128">
        <f t="shared" si="23"/>
        <v>0</v>
      </c>
      <c r="D281" s="123"/>
      <c r="E281" s="262"/>
      <c r="F281" s="263">
        <f t="shared" si="19"/>
        <v>0</v>
      </c>
      <c r="G281" s="123"/>
      <c r="H281" s="124"/>
      <c r="I281" s="125">
        <f t="shared" si="20"/>
        <v>0</v>
      </c>
      <c r="J281" s="123"/>
      <c r="K281" s="124"/>
      <c r="L281" s="125">
        <f t="shared" si="21"/>
        <v>0</v>
      </c>
      <c r="M281" s="264"/>
      <c r="N281" s="262"/>
      <c r="O281" s="125">
        <f>M281+N281</f>
        <v>0</v>
      </c>
      <c r="P281" s="74"/>
      <c r="R281" s="53"/>
      <c r="S281" s="53"/>
      <c r="T281" s="53"/>
    </row>
    <row r="282" spans="1:20" hidden="1" x14ac:dyDescent="0.25">
      <c r="A282" s="99">
        <v>7700</v>
      </c>
      <c r="B282" s="247" t="s">
        <v>298</v>
      </c>
      <c r="C282" s="359">
        <f t="shared" si="23"/>
        <v>0</v>
      </c>
      <c r="D282" s="360">
        <f>D283</f>
        <v>0</v>
      </c>
      <c r="E282" s="304">
        <f>SUM(E283)</f>
        <v>0</v>
      </c>
      <c r="F282" s="316">
        <f t="shared" si="19"/>
        <v>0</v>
      </c>
      <c r="G282" s="360">
        <f>G283</f>
        <v>0</v>
      </c>
      <c r="H282" s="361">
        <f>SUM(H283)</f>
        <v>0</v>
      </c>
      <c r="I282" s="305">
        <f t="shared" si="20"/>
        <v>0</v>
      </c>
      <c r="J282" s="360">
        <f>J283</f>
        <v>0</v>
      </c>
      <c r="K282" s="361">
        <f>SUM(K283)</f>
        <v>0</v>
      </c>
      <c r="L282" s="305">
        <f t="shared" si="21"/>
        <v>0</v>
      </c>
      <c r="M282" s="303">
        <f>SUM(M283)</f>
        <v>0</v>
      </c>
      <c r="N282" s="304">
        <f>SUM(N283)</f>
        <v>0</v>
      </c>
      <c r="O282" s="305">
        <f>M282+N282</f>
        <v>0</v>
      </c>
      <c r="P282" s="306"/>
      <c r="R282" s="53"/>
      <c r="S282" s="53"/>
      <c r="T282" s="53"/>
    </row>
    <row r="283" spans="1:20" hidden="1" x14ac:dyDescent="0.25">
      <c r="A283" s="141">
        <v>7720</v>
      </c>
      <c r="B283" s="142" t="s">
        <v>299</v>
      </c>
      <c r="C283" s="362">
        <f t="shared" si="23"/>
        <v>0</v>
      </c>
      <c r="D283" s="149"/>
      <c r="E283" s="363"/>
      <c r="F283" s="364">
        <f t="shared" si="19"/>
        <v>0</v>
      </c>
      <c r="G283" s="149"/>
      <c r="H283" s="150"/>
      <c r="I283" s="151">
        <f t="shared" si="20"/>
        <v>0</v>
      </c>
      <c r="J283" s="149"/>
      <c r="K283" s="150"/>
      <c r="L283" s="151">
        <f t="shared" si="21"/>
        <v>0</v>
      </c>
      <c r="M283" s="365"/>
      <c r="N283" s="363"/>
      <c r="O283" s="151">
        <f>M283+N283</f>
        <v>0</v>
      </c>
      <c r="P283" s="153"/>
      <c r="R283" s="53"/>
      <c r="S283" s="53"/>
      <c r="T283" s="53"/>
    </row>
    <row r="284" spans="1:20" hidden="1" x14ac:dyDescent="0.25">
      <c r="A284" s="366"/>
      <c r="B284" s="179" t="s">
        <v>300</v>
      </c>
      <c r="C284" s="117">
        <f t="shared" si="23"/>
        <v>0</v>
      </c>
      <c r="D284" s="255">
        <f>SUM(D285:D286)</f>
        <v>0</v>
      </c>
      <c r="E284" s="261">
        <f>SUM(E285:E286)</f>
        <v>0</v>
      </c>
      <c r="F284" s="310">
        <f t="shared" si="19"/>
        <v>0</v>
      </c>
      <c r="G284" s="255">
        <f>SUM(G285:G286)</f>
        <v>0</v>
      </c>
      <c r="H284" s="258">
        <f>SUM(H285:H286)</f>
        <v>0</v>
      </c>
      <c r="I284" s="259">
        <f t="shared" si="20"/>
        <v>0</v>
      </c>
      <c r="J284" s="255">
        <f>SUM(J285:J286)</f>
        <v>0</v>
      </c>
      <c r="K284" s="258">
        <f>SUM(K285:K286)</f>
        <v>0</v>
      </c>
      <c r="L284" s="259">
        <f t="shared" si="21"/>
        <v>0</v>
      </c>
      <c r="M284" s="260">
        <f>SUM(M285:M286)</f>
        <v>0</v>
      </c>
      <c r="N284" s="261">
        <f>SUM(N285:N286)</f>
        <v>0</v>
      </c>
      <c r="O284" s="259">
        <f t="shared" ref="O284:O299" si="24">M284+N284</f>
        <v>0</v>
      </c>
      <c r="P284" s="189"/>
      <c r="R284" s="53"/>
      <c r="S284" s="53"/>
      <c r="T284" s="53"/>
    </row>
    <row r="285" spans="1:20" hidden="1" x14ac:dyDescent="0.25">
      <c r="A285" s="346" t="s">
        <v>301</v>
      </c>
      <c r="B285" s="76" t="s">
        <v>302</v>
      </c>
      <c r="C285" s="279">
        <f t="shared" si="23"/>
        <v>0</v>
      </c>
      <c r="D285" s="134"/>
      <c r="E285" s="285"/>
      <c r="F285" s="286">
        <f t="shared" si="19"/>
        <v>0</v>
      </c>
      <c r="G285" s="134"/>
      <c r="H285" s="135"/>
      <c r="I285" s="136">
        <f t="shared" si="20"/>
        <v>0</v>
      </c>
      <c r="J285" s="134"/>
      <c r="K285" s="135"/>
      <c r="L285" s="136">
        <f t="shared" si="21"/>
        <v>0</v>
      </c>
      <c r="M285" s="284"/>
      <c r="N285" s="285"/>
      <c r="O285" s="136">
        <f t="shared" si="24"/>
        <v>0</v>
      </c>
      <c r="P285" s="85"/>
      <c r="R285" s="53"/>
      <c r="S285" s="53"/>
      <c r="T285" s="53"/>
    </row>
    <row r="286" spans="1:20" ht="24" hidden="1" x14ac:dyDescent="0.25">
      <c r="A286" s="346" t="s">
        <v>303</v>
      </c>
      <c r="B286" s="367" t="s">
        <v>304</v>
      </c>
      <c r="C286" s="117">
        <f t="shared" si="23"/>
        <v>0</v>
      </c>
      <c r="D286" s="123"/>
      <c r="E286" s="262"/>
      <c r="F286" s="263">
        <f t="shared" si="19"/>
        <v>0</v>
      </c>
      <c r="G286" s="123"/>
      <c r="H286" s="124"/>
      <c r="I286" s="125">
        <f t="shared" si="20"/>
        <v>0</v>
      </c>
      <c r="J286" s="123"/>
      <c r="K286" s="124"/>
      <c r="L286" s="125">
        <f t="shared" si="21"/>
        <v>0</v>
      </c>
      <c r="M286" s="264"/>
      <c r="N286" s="262"/>
      <c r="O286" s="125">
        <f t="shared" si="24"/>
        <v>0</v>
      </c>
      <c r="P286" s="74"/>
      <c r="R286" s="53"/>
      <c r="S286" s="53"/>
      <c r="T286" s="53"/>
    </row>
    <row r="287" spans="1:20" x14ac:dyDescent="0.25">
      <c r="A287" s="368"/>
      <c r="B287" s="369" t="s">
        <v>305</v>
      </c>
      <c r="C287" s="370">
        <f>SUM(C284,C271,C233,C198,C190,C176,C78,C56)</f>
        <v>925048</v>
      </c>
      <c r="D287" s="371">
        <f>SUM(D284,D271,D233,D198,D190,D176,D78,D56)</f>
        <v>422784</v>
      </c>
      <c r="E287" s="372">
        <f>SUM(E284,E271,E233,E198,E190,E176,E78,E56)</f>
        <v>0</v>
      </c>
      <c r="F287" s="373">
        <f t="shared" si="19"/>
        <v>422784</v>
      </c>
      <c r="G287" s="371">
        <f>SUM(G284,G271,G233,G198,G190,G176,G78,G56)</f>
        <v>488481</v>
      </c>
      <c r="H287" s="374">
        <f>SUM(H284,H271,H233,H198,H190,H176,H78,H56)</f>
        <v>0</v>
      </c>
      <c r="I287" s="375">
        <f t="shared" si="20"/>
        <v>488481</v>
      </c>
      <c r="J287" s="371">
        <f>SUM(J284,J271,J233,J198,J190,J176,J78,J56)</f>
        <v>13783</v>
      </c>
      <c r="K287" s="374">
        <f>SUM(K284,K271,K233,K198,K190,K176,K78,K56)</f>
        <v>0</v>
      </c>
      <c r="L287" s="375">
        <f t="shared" si="21"/>
        <v>13783</v>
      </c>
      <c r="M287" s="250">
        <f>SUM(M284,M271,M233,M198,M190,M176,M78,M56)</f>
        <v>0</v>
      </c>
      <c r="N287" s="251">
        <f>SUM(N284,N271,N233,N198,N190,N176,N78,N56)</f>
        <v>0</v>
      </c>
      <c r="O287" s="252">
        <f t="shared" si="24"/>
        <v>0</v>
      </c>
      <c r="P287" s="253"/>
      <c r="R287" s="53"/>
      <c r="S287" s="53"/>
      <c r="T287" s="53"/>
    </row>
    <row r="288" spans="1:20" x14ac:dyDescent="0.25">
      <c r="A288" s="376" t="s">
        <v>306</v>
      </c>
      <c r="B288" s="377"/>
      <c r="C288" s="378">
        <f>F288+I288+L288+O288</f>
        <v>-2705</v>
      </c>
      <c r="D288" s="379">
        <f>SUM(D28,D29,D45)-D54</f>
        <v>0</v>
      </c>
      <c r="E288" s="380">
        <f>SUM(E28,E29,E45)-E54</f>
        <v>0</v>
      </c>
      <c r="F288" s="381">
        <f t="shared" si="19"/>
        <v>0</v>
      </c>
      <c r="G288" s="379">
        <f>SUM(G28,G29,G45)-G54</f>
        <v>0</v>
      </c>
      <c r="H288" s="382">
        <f>SUM(H28,H29,H45)-H54</f>
        <v>0</v>
      </c>
      <c r="I288" s="383">
        <f t="shared" si="20"/>
        <v>0</v>
      </c>
      <c r="J288" s="379">
        <f>(J30+J46)-J54</f>
        <v>-2705</v>
      </c>
      <c r="K288" s="382">
        <f>(K30+K46)-K54</f>
        <v>0</v>
      </c>
      <c r="L288" s="383">
        <f t="shared" si="21"/>
        <v>-2705</v>
      </c>
      <c r="M288" s="378">
        <f>M48-M54</f>
        <v>0</v>
      </c>
      <c r="N288" s="384">
        <f>N48-N54</f>
        <v>0</v>
      </c>
      <c r="O288" s="383">
        <f t="shared" si="24"/>
        <v>0</v>
      </c>
      <c r="P288" s="385"/>
      <c r="R288" s="53"/>
      <c r="S288" s="53"/>
      <c r="T288" s="53"/>
    </row>
    <row r="289" spans="1:20" s="41" customFormat="1" x14ac:dyDescent="0.25">
      <c r="A289" s="376" t="s">
        <v>307</v>
      </c>
      <c r="B289" s="377"/>
      <c r="C289" s="380">
        <f>SUM(C290,C291)-C298+C299</f>
        <v>2705</v>
      </c>
      <c r="D289" s="379">
        <f>SUM(D290,D291)-D298+D299</f>
        <v>0</v>
      </c>
      <c r="E289" s="380">
        <f>SUM(E290,E291)-E298+E299</f>
        <v>0</v>
      </c>
      <c r="F289" s="381">
        <f t="shared" si="19"/>
        <v>0</v>
      </c>
      <c r="G289" s="379">
        <f>SUM(G290,G291)-G298+G299</f>
        <v>0</v>
      </c>
      <c r="H289" s="382">
        <f>SUM(H290,H291)-H298+H299</f>
        <v>0</v>
      </c>
      <c r="I289" s="383">
        <f t="shared" si="20"/>
        <v>0</v>
      </c>
      <c r="J289" s="379">
        <f>SUM(J290,J291)-J298+J299</f>
        <v>2705</v>
      </c>
      <c r="K289" s="382">
        <f>SUM(K290,K291)-K298+K299</f>
        <v>0</v>
      </c>
      <c r="L289" s="383">
        <f t="shared" si="21"/>
        <v>2705</v>
      </c>
      <c r="M289" s="378">
        <f>SUM(M290,M291)-M298+M299</f>
        <v>0</v>
      </c>
      <c r="N289" s="384">
        <f>SUM(N290,N291)-N298+N299</f>
        <v>0</v>
      </c>
      <c r="O289" s="383">
        <f t="shared" si="24"/>
        <v>0</v>
      </c>
      <c r="P289" s="385"/>
      <c r="R289" s="53"/>
      <c r="S289" s="53"/>
      <c r="T289" s="53"/>
    </row>
    <row r="290" spans="1:20" s="41" customFormat="1" x14ac:dyDescent="0.25">
      <c r="A290" s="386" t="s">
        <v>308</v>
      </c>
      <c r="B290" s="386" t="s">
        <v>309</v>
      </c>
      <c r="C290" s="380">
        <f>C25-C284</f>
        <v>2705</v>
      </c>
      <c r="D290" s="379">
        <f>D25-D284</f>
        <v>0</v>
      </c>
      <c r="E290" s="380">
        <f>E25-E284</f>
        <v>0</v>
      </c>
      <c r="F290" s="381">
        <f t="shared" si="19"/>
        <v>0</v>
      </c>
      <c r="G290" s="379">
        <f>G25-G284</f>
        <v>0</v>
      </c>
      <c r="H290" s="382">
        <f>H25-H284</f>
        <v>0</v>
      </c>
      <c r="I290" s="383">
        <f t="shared" si="20"/>
        <v>0</v>
      </c>
      <c r="J290" s="379">
        <f>J25-J284</f>
        <v>2705</v>
      </c>
      <c r="K290" s="382">
        <f>K25-K284</f>
        <v>0</v>
      </c>
      <c r="L290" s="383">
        <f t="shared" si="21"/>
        <v>2705</v>
      </c>
      <c r="M290" s="378">
        <f>M25-M284</f>
        <v>0</v>
      </c>
      <c r="N290" s="384">
        <f>N25-N284</f>
        <v>0</v>
      </c>
      <c r="O290" s="383">
        <f t="shared" si="24"/>
        <v>0</v>
      </c>
      <c r="P290" s="385"/>
      <c r="R290" s="53"/>
      <c r="S290" s="53"/>
      <c r="T290" s="53"/>
    </row>
    <row r="291" spans="1:20" s="41" customFormat="1" hidden="1" x14ac:dyDescent="0.25">
      <c r="A291" s="387" t="s">
        <v>310</v>
      </c>
      <c r="B291" s="387" t="s">
        <v>311</v>
      </c>
      <c r="C291" s="380">
        <f>SUM(C292,C294,C296)-SUM(C293,C295,C297)</f>
        <v>0</v>
      </c>
      <c r="D291" s="379">
        <f>SUM(D292,D294,D296)-SUM(D293,D295,D297)</f>
        <v>0</v>
      </c>
      <c r="E291" s="384">
        <f>SUM(E292,E294,E296)-SUM(E293,E295,E297)</f>
        <v>0</v>
      </c>
      <c r="F291" s="388">
        <f t="shared" si="19"/>
        <v>0</v>
      </c>
      <c r="G291" s="379">
        <f>SUM(G292,G294,G296)-SUM(G293,G295,G297)</f>
        <v>0</v>
      </c>
      <c r="H291" s="382">
        <f>SUM(H292,H294,H296)-SUM(H293,H295,H297)</f>
        <v>0</v>
      </c>
      <c r="I291" s="383">
        <f t="shared" si="20"/>
        <v>0</v>
      </c>
      <c r="J291" s="379">
        <f>SUM(J292,J294,J296)-SUM(J293,J295,J297)</f>
        <v>0</v>
      </c>
      <c r="K291" s="382">
        <f>SUM(K292,K294,K296)-SUM(K293,K295,K297)</f>
        <v>0</v>
      </c>
      <c r="L291" s="383">
        <f t="shared" si="21"/>
        <v>0</v>
      </c>
      <c r="M291" s="378">
        <f>SUM(M292,M294,M296)-SUM(M293,M295,M297)</f>
        <v>0</v>
      </c>
      <c r="N291" s="384">
        <f>SUM(N292,N294,N296)-SUM(N293,N295,N297)</f>
        <v>0</v>
      </c>
      <c r="O291" s="383">
        <f t="shared" si="24"/>
        <v>0</v>
      </c>
      <c r="P291" s="385"/>
      <c r="R291" s="53"/>
      <c r="S291" s="53"/>
      <c r="T291" s="53"/>
    </row>
    <row r="292" spans="1:20" s="41" customFormat="1" hidden="1" x14ac:dyDescent="0.25">
      <c r="A292" s="366" t="s">
        <v>312</v>
      </c>
      <c r="B292" s="190" t="s">
        <v>313</v>
      </c>
      <c r="C292" s="143">
        <f t="shared" ref="C292:C299" si="25">F292+I292+L292+O292</f>
        <v>0</v>
      </c>
      <c r="D292" s="149"/>
      <c r="E292" s="363"/>
      <c r="F292" s="364">
        <f t="shared" si="19"/>
        <v>0</v>
      </c>
      <c r="G292" s="149"/>
      <c r="H292" s="150"/>
      <c r="I292" s="151">
        <f t="shared" si="20"/>
        <v>0</v>
      </c>
      <c r="J292" s="149"/>
      <c r="K292" s="150"/>
      <c r="L292" s="151">
        <f t="shared" si="21"/>
        <v>0</v>
      </c>
      <c r="M292" s="365"/>
      <c r="N292" s="363"/>
      <c r="O292" s="151">
        <f t="shared" si="24"/>
        <v>0</v>
      </c>
      <c r="P292" s="153"/>
      <c r="R292" s="53"/>
      <c r="S292" s="53"/>
      <c r="T292" s="53"/>
    </row>
    <row r="293" spans="1:20" ht="24" hidden="1" x14ac:dyDescent="0.25">
      <c r="A293" s="346" t="s">
        <v>314</v>
      </c>
      <c r="B293" s="75" t="s">
        <v>315</v>
      </c>
      <c r="C293" s="128">
        <f t="shared" si="25"/>
        <v>0</v>
      </c>
      <c r="D293" s="134"/>
      <c r="E293" s="285"/>
      <c r="F293" s="286">
        <f t="shared" si="19"/>
        <v>0</v>
      </c>
      <c r="G293" s="134"/>
      <c r="H293" s="135"/>
      <c r="I293" s="136">
        <f t="shared" si="20"/>
        <v>0</v>
      </c>
      <c r="J293" s="134"/>
      <c r="K293" s="135"/>
      <c r="L293" s="136">
        <f t="shared" si="21"/>
        <v>0</v>
      </c>
      <c r="M293" s="284"/>
      <c r="N293" s="285"/>
      <c r="O293" s="136">
        <f t="shared" si="24"/>
        <v>0</v>
      </c>
      <c r="P293" s="85"/>
      <c r="R293" s="53"/>
      <c r="S293" s="53"/>
      <c r="T293" s="53"/>
    </row>
    <row r="294" spans="1:20" hidden="1" x14ac:dyDescent="0.25">
      <c r="A294" s="346" t="s">
        <v>316</v>
      </c>
      <c r="B294" s="75" t="s">
        <v>317</v>
      </c>
      <c r="C294" s="128">
        <f t="shared" si="25"/>
        <v>0</v>
      </c>
      <c r="D294" s="134"/>
      <c r="E294" s="285"/>
      <c r="F294" s="286">
        <f t="shared" si="19"/>
        <v>0</v>
      </c>
      <c r="G294" s="134"/>
      <c r="H294" s="135"/>
      <c r="I294" s="136">
        <f t="shared" si="20"/>
        <v>0</v>
      </c>
      <c r="J294" s="134"/>
      <c r="K294" s="135"/>
      <c r="L294" s="136">
        <f t="shared" si="21"/>
        <v>0</v>
      </c>
      <c r="M294" s="284"/>
      <c r="N294" s="285"/>
      <c r="O294" s="136">
        <f t="shared" si="24"/>
        <v>0</v>
      </c>
      <c r="P294" s="85"/>
      <c r="R294" s="53"/>
      <c r="S294" s="53"/>
      <c r="T294" s="53"/>
    </row>
    <row r="295" spans="1:20" ht="24" hidden="1" x14ac:dyDescent="0.25">
      <c r="A295" s="346" t="s">
        <v>318</v>
      </c>
      <c r="B295" s="75" t="s">
        <v>319</v>
      </c>
      <c r="C295" s="128">
        <f t="shared" si="25"/>
        <v>0</v>
      </c>
      <c r="D295" s="134"/>
      <c r="E295" s="285"/>
      <c r="F295" s="286">
        <f t="shared" si="19"/>
        <v>0</v>
      </c>
      <c r="G295" s="134"/>
      <c r="H295" s="135"/>
      <c r="I295" s="136">
        <f t="shared" si="20"/>
        <v>0</v>
      </c>
      <c r="J295" s="134"/>
      <c r="K295" s="135"/>
      <c r="L295" s="136">
        <f t="shared" si="21"/>
        <v>0</v>
      </c>
      <c r="M295" s="284"/>
      <c r="N295" s="285"/>
      <c r="O295" s="136">
        <f t="shared" si="24"/>
        <v>0</v>
      </c>
      <c r="P295" s="85"/>
      <c r="R295" s="53"/>
      <c r="S295" s="53"/>
      <c r="T295" s="53"/>
    </row>
    <row r="296" spans="1:20" hidden="1" x14ac:dyDescent="0.25">
      <c r="A296" s="346" t="s">
        <v>320</v>
      </c>
      <c r="B296" s="75" t="s">
        <v>321</v>
      </c>
      <c r="C296" s="128">
        <f t="shared" si="25"/>
        <v>0</v>
      </c>
      <c r="D296" s="134"/>
      <c r="E296" s="285"/>
      <c r="F296" s="286">
        <f t="shared" si="19"/>
        <v>0</v>
      </c>
      <c r="G296" s="134"/>
      <c r="H296" s="135"/>
      <c r="I296" s="136">
        <f t="shared" si="20"/>
        <v>0</v>
      </c>
      <c r="J296" s="134"/>
      <c r="K296" s="135"/>
      <c r="L296" s="136">
        <f t="shared" si="21"/>
        <v>0</v>
      </c>
      <c r="M296" s="284"/>
      <c r="N296" s="285"/>
      <c r="O296" s="136">
        <f t="shared" si="24"/>
        <v>0</v>
      </c>
      <c r="P296" s="85"/>
      <c r="R296" s="53"/>
      <c r="S296" s="53"/>
      <c r="T296" s="53"/>
    </row>
    <row r="297" spans="1:20" ht="24" hidden="1" x14ac:dyDescent="0.25">
      <c r="A297" s="389" t="s">
        <v>322</v>
      </c>
      <c r="B297" s="390" t="s">
        <v>323</v>
      </c>
      <c r="C297" s="327">
        <f t="shared" si="25"/>
        <v>0</v>
      </c>
      <c r="D297" s="328"/>
      <c r="E297" s="329"/>
      <c r="F297" s="330">
        <f t="shared" si="19"/>
        <v>0</v>
      </c>
      <c r="G297" s="328"/>
      <c r="H297" s="331"/>
      <c r="I297" s="324">
        <f t="shared" si="20"/>
        <v>0</v>
      </c>
      <c r="J297" s="328"/>
      <c r="K297" s="331"/>
      <c r="L297" s="324">
        <f t="shared" si="21"/>
        <v>0</v>
      </c>
      <c r="M297" s="332"/>
      <c r="N297" s="329"/>
      <c r="O297" s="324">
        <f t="shared" si="24"/>
        <v>0</v>
      </c>
      <c r="P297" s="325"/>
      <c r="R297" s="53"/>
      <c r="S297" s="53"/>
      <c r="T297" s="53"/>
    </row>
    <row r="298" spans="1:20" hidden="1" x14ac:dyDescent="0.25">
      <c r="A298" s="387" t="s">
        <v>324</v>
      </c>
      <c r="B298" s="387" t="s">
        <v>325</v>
      </c>
      <c r="C298" s="391">
        <f t="shared" si="25"/>
        <v>0</v>
      </c>
      <c r="D298" s="392"/>
      <c r="E298" s="393"/>
      <c r="F298" s="388">
        <f t="shared" si="19"/>
        <v>0</v>
      </c>
      <c r="G298" s="392"/>
      <c r="H298" s="394"/>
      <c r="I298" s="383">
        <f t="shared" si="20"/>
        <v>0</v>
      </c>
      <c r="J298" s="392"/>
      <c r="K298" s="394"/>
      <c r="L298" s="383">
        <f t="shared" si="21"/>
        <v>0</v>
      </c>
      <c r="M298" s="395"/>
      <c r="N298" s="393"/>
      <c r="O298" s="383">
        <f t="shared" si="24"/>
        <v>0</v>
      </c>
      <c r="P298" s="385"/>
      <c r="R298" s="53"/>
      <c r="S298" s="53"/>
      <c r="T298" s="53"/>
    </row>
    <row r="299" spans="1:20" s="41" customFormat="1" ht="48" hidden="1" x14ac:dyDescent="0.25">
      <c r="A299" s="387" t="s">
        <v>326</v>
      </c>
      <c r="B299" s="396" t="s">
        <v>327</v>
      </c>
      <c r="C299" s="397">
        <f t="shared" si="25"/>
        <v>0</v>
      </c>
      <c r="D299" s="398"/>
      <c r="E299" s="399"/>
      <c r="F299" s="400">
        <f t="shared" si="19"/>
        <v>0</v>
      </c>
      <c r="G299" s="392"/>
      <c r="H299" s="394"/>
      <c r="I299" s="383">
        <f t="shared" si="20"/>
        <v>0</v>
      </c>
      <c r="J299" s="392"/>
      <c r="K299" s="394"/>
      <c r="L299" s="383">
        <f t="shared" si="21"/>
        <v>0</v>
      </c>
      <c r="M299" s="395"/>
      <c r="N299" s="393"/>
      <c r="O299" s="383">
        <f t="shared" si="24"/>
        <v>0</v>
      </c>
      <c r="P299" s="385"/>
      <c r="R299" s="53"/>
      <c r="S299" s="53"/>
      <c r="T299" s="53"/>
    </row>
    <row r="300" spans="1:20"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20" ht="7.5" customHeight="1" thickBot="1" x14ac:dyDescent="0.3">
      <c r="A301" s="404"/>
      <c r="B301" s="405"/>
      <c r="C301" s="405"/>
      <c r="D301" s="405"/>
      <c r="E301" s="405"/>
      <c r="F301" s="405"/>
      <c r="G301" s="405"/>
      <c r="H301" s="405"/>
      <c r="I301" s="405"/>
      <c r="J301" s="405"/>
      <c r="K301" s="405"/>
      <c r="L301" s="405"/>
      <c r="M301" s="405"/>
      <c r="N301" s="405"/>
      <c r="O301" s="405"/>
      <c r="P301" s="406"/>
      <c r="Q301" s="7"/>
    </row>
    <row r="302" spans="1:20" x14ac:dyDescent="0.25">
      <c r="A302" s="5"/>
      <c r="B302" s="5"/>
      <c r="C302" s="5"/>
      <c r="D302" s="5"/>
      <c r="E302" s="5"/>
      <c r="F302" s="5"/>
      <c r="G302" s="5"/>
      <c r="H302" s="5"/>
      <c r="I302" s="5"/>
      <c r="J302" s="5"/>
      <c r="K302" s="5"/>
      <c r="L302" s="5"/>
      <c r="M302" s="5"/>
      <c r="N302" s="5"/>
      <c r="O302" s="5"/>
    </row>
    <row r="303" spans="1:20" x14ac:dyDescent="0.25">
      <c r="A303" s="5"/>
      <c r="B303" s="5"/>
      <c r="C303" s="5"/>
      <c r="D303" s="5"/>
      <c r="E303" s="5"/>
      <c r="F303" s="5"/>
      <c r="G303" s="5"/>
      <c r="H303" s="5"/>
      <c r="I303" s="5"/>
      <c r="J303" s="5"/>
      <c r="K303" s="5"/>
      <c r="L303" s="5"/>
      <c r="M303" s="5"/>
      <c r="N303" s="5"/>
      <c r="O303" s="5"/>
    </row>
    <row r="304" spans="1:20"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XkIJvXzA4Iw+SCZfHshC7zfZu+eKr3QTyjLIPWYp3N5RExehVizf3UOg8OBgs9JVMrGAIChMQxXjeLX0UV46rQ==" saltValue="QX0FIK+wmhAb5Ld3RSlgGw==" spinCount="100000" sheet="1" objects="1" scenarios="1" selectLockedCells="1" selectUnlockedCells="1"/>
  <autoFilter ref="A22:P300">
    <filterColumn colId="2">
      <filters blank="1">
        <filter val="1 298"/>
        <filter val="1 351"/>
        <filter val="1 352"/>
        <filter val="1 390"/>
        <filter val="1 432"/>
        <filter val="1 547"/>
        <filter val="1 725"/>
        <filter val="1 821"/>
        <filter val="1 923"/>
        <filter val="100"/>
        <filter val="103 439"/>
        <filter val="11 078"/>
        <filter val="11 630"/>
        <filter val="13 434"/>
        <filter val="136 935"/>
        <filter val="138 989"/>
        <filter val="14 300"/>
        <filter val="178 994"/>
        <filter val="18 745"/>
        <filter val="2 295"/>
        <filter val="2 462"/>
        <filter val="2 488"/>
        <filter val="2 509"/>
        <filter val="2 705"/>
        <filter val="-2 705"/>
        <filter val="2 838"/>
        <filter val="214"/>
        <filter val="24 280"/>
        <filter val="24 997"/>
        <filter val="242"/>
        <filter val="26 563"/>
        <filter val="3 187"/>
        <filter val="3 485"/>
        <filter val="3 749"/>
        <filter val="30 112"/>
        <filter val="31 675"/>
        <filter val="34 831"/>
        <filter val="37 126"/>
        <filter val="4 028"/>
        <filter val="4 290"/>
        <filter val="40 005"/>
        <filter val="42"/>
        <filter val="427"/>
        <filter val="440"/>
        <filter val="47"/>
        <filter val="494"/>
        <filter val="5 032"/>
        <filter val="5 850"/>
        <filter val="512 329"/>
        <filter val="53 350"/>
        <filter val="540"/>
        <filter val="57 939"/>
        <filter val="571 993"/>
        <filter val="6 061"/>
        <filter val="7 050"/>
        <filter val="708"/>
        <filter val="750 987"/>
        <filter val="804"/>
        <filter val="842"/>
        <filter val="86 567"/>
        <filter val="870"/>
        <filter val="887 922"/>
        <filter val="9 200"/>
        <filter val="9 820"/>
        <filter val="910"/>
        <filter val="911 265"/>
        <filter val="917"/>
        <filter val="922"/>
        <filter val="925 048"/>
        <filter val="951"/>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89.pielikums Jūrmalas pilsētas domes
2017.gada 30.janvāra saistošajiem noteikumiem Nr.10
(Protokols Nr.4, 1.punkts)
 </firstHeader>
    <firstFooter>&amp;L&amp;9&amp;D; &amp;T&amp;R&amp;9&amp;P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W322"/>
  <sheetViews>
    <sheetView showGridLines="0" view="pageLayout" zoomScaleNormal="100" workbookViewId="0">
      <selection activeCell="S13" sqref="S13"/>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1097</v>
      </c>
    </row>
    <row r="2" spans="1:17" x14ac:dyDescent="0.25">
      <c r="B2" s="2"/>
      <c r="C2" s="2"/>
      <c r="D2" s="2"/>
      <c r="E2" s="2"/>
      <c r="F2" s="2"/>
      <c r="G2" s="2"/>
      <c r="H2" s="2"/>
      <c r="I2" s="2"/>
      <c r="J2" s="2"/>
      <c r="K2" s="2"/>
      <c r="L2" s="2"/>
      <c r="M2" s="3"/>
      <c r="N2" s="3"/>
      <c r="O2" s="4"/>
    </row>
    <row r="3" spans="1:17" x14ac:dyDescent="0.25">
      <c r="A3" s="411"/>
      <c r="B3" s="924"/>
      <c r="C3" s="924"/>
      <c r="D3" s="924"/>
      <c r="E3" s="924"/>
      <c r="F3" s="924"/>
      <c r="G3" s="924"/>
      <c r="H3" s="924"/>
      <c r="I3" s="924"/>
      <c r="J3" s="924"/>
      <c r="K3" s="924"/>
      <c r="L3" s="924"/>
      <c r="M3" s="925"/>
      <c r="N3" s="925"/>
      <c r="O3" s="926"/>
      <c r="P3" s="927"/>
      <c r="Q3" s="7"/>
    </row>
    <row r="4" spans="1:17" ht="15.75" x14ac:dyDescent="0.25">
      <c r="A4" s="1560" t="s">
        <v>1</v>
      </c>
      <c r="B4" s="1561"/>
      <c r="C4" s="1561"/>
      <c r="D4" s="1561"/>
      <c r="E4" s="1561"/>
      <c r="F4" s="1561"/>
      <c r="G4" s="1561"/>
      <c r="H4" s="1561"/>
      <c r="I4" s="1561"/>
      <c r="J4" s="1561"/>
      <c r="K4" s="1561"/>
      <c r="L4" s="1561"/>
      <c r="M4" s="1561"/>
      <c r="N4" s="1561"/>
      <c r="O4" s="1561"/>
      <c r="P4" s="1561"/>
      <c r="Q4" s="7"/>
    </row>
    <row r="5" spans="1:17" ht="15.75" x14ac:dyDescent="0.25">
      <c r="A5" s="653"/>
      <c r="B5" s="654"/>
      <c r="C5" s="654"/>
      <c r="D5" s="654"/>
      <c r="E5" s="654"/>
      <c r="F5" s="654"/>
      <c r="G5" s="654"/>
      <c r="H5" s="654"/>
      <c r="I5" s="654"/>
      <c r="J5" s="654"/>
      <c r="K5" s="654"/>
      <c r="L5" s="654"/>
      <c r="M5" s="654"/>
      <c r="N5" s="654"/>
      <c r="O5" s="654"/>
      <c r="P5" s="654"/>
      <c r="Q5" s="7"/>
    </row>
    <row r="6" spans="1:17" ht="12.75" x14ac:dyDescent="0.25">
      <c r="A6" s="13" t="s">
        <v>2</v>
      </c>
      <c r="B6" s="14"/>
      <c r="C6" s="1555" t="s">
        <v>467</v>
      </c>
      <c r="D6" s="1555"/>
      <c r="E6" s="1555"/>
      <c r="F6" s="1555"/>
      <c r="G6" s="1555"/>
      <c r="H6" s="1555"/>
      <c r="I6" s="1555"/>
      <c r="J6" s="1555"/>
      <c r="K6" s="1555"/>
      <c r="L6" s="1555"/>
      <c r="M6" s="1555"/>
      <c r="N6" s="1555"/>
      <c r="O6" s="1555"/>
      <c r="P6" s="1555"/>
      <c r="Q6" s="7"/>
    </row>
    <row r="7" spans="1:17" ht="12.75" x14ac:dyDescent="0.25">
      <c r="A7" s="13" t="s">
        <v>4</v>
      </c>
      <c r="B7" s="14"/>
      <c r="C7" s="1555" t="s">
        <v>1098</v>
      </c>
      <c r="D7" s="1555"/>
      <c r="E7" s="1555"/>
      <c r="F7" s="1555"/>
      <c r="G7" s="1555"/>
      <c r="H7" s="1555"/>
      <c r="I7" s="1555"/>
      <c r="J7" s="1555"/>
      <c r="K7" s="1555"/>
      <c r="L7" s="1555"/>
      <c r="M7" s="1555"/>
      <c r="N7" s="1555"/>
      <c r="O7" s="1555"/>
      <c r="P7" s="1555"/>
      <c r="Q7" s="7"/>
    </row>
    <row r="8" spans="1:17" x14ac:dyDescent="0.25">
      <c r="A8" s="8" t="s">
        <v>6</v>
      </c>
      <c r="B8" s="9"/>
      <c r="C8" s="1553" t="s">
        <v>1099</v>
      </c>
      <c r="D8" s="1553"/>
      <c r="E8" s="1553"/>
      <c r="F8" s="1553"/>
      <c r="G8" s="1553"/>
      <c r="H8" s="1553"/>
      <c r="I8" s="1553"/>
      <c r="J8" s="1553"/>
      <c r="K8" s="1553"/>
      <c r="L8" s="1553"/>
      <c r="M8" s="1553"/>
      <c r="N8" s="1553"/>
      <c r="O8" s="1553"/>
      <c r="P8" s="1553"/>
      <c r="Q8" s="7"/>
    </row>
    <row r="9" spans="1:17" x14ac:dyDescent="0.25">
      <c r="A9" s="8" t="s">
        <v>8</v>
      </c>
      <c r="B9" s="9"/>
      <c r="C9" s="1553" t="s">
        <v>333</v>
      </c>
      <c r="D9" s="1553"/>
      <c r="E9" s="1553"/>
      <c r="F9" s="1553"/>
      <c r="G9" s="1553"/>
      <c r="H9" s="1553"/>
      <c r="I9" s="1553"/>
      <c r="J9" s="1553"/>
      <c r="K9" s="1553"/>
      <c r="L9" s="1553"/>
      <c r="M9" s="1553"/>
      <c r="N9" s="1553"/>
      <c r="O9" s="1553"/>
      <c r="P9" s="1553"/>
      <c r="Q9" s="7"/>
    </row>
    <row r="10" spans="1:17" ht="24.75" customHeight="1" x14ac:dyDescent="0.25">
      <c r="A10" s="8" t="s">
        <v>10</v>
      </c>
      <c r="B10" s="9"/>
      <c r="C10" s="1555" t="s">
        <v>334</v>
      </c>
      <c r="D10" s="1555"/>
      <c r="E10" s="1555"/>
      <c r="F10" s="1555"/>
      <c r="G10" s="1555"/>
      <c r="H10" s="1555"/>
      <c r="I10" s="1555"/>
      <c r="J10" s="1555"/>
      <c r="K10" s="1555"/>
      <c r="L10" s="1555"/>
      <c r="M10" s="1555"/>
      <c r="N10" s="1555"/>
      <c r="O10" s="1555"/>
      <c r="P10" s="1555"/>
      <c r="Q10" s="7"/>
    </row>
    <row r="11" spans="1:17" x14ac:dyDescent="0.25">
      <c r="A11" s="8" t="s">
        <v>12</v>
      </c>
      <c r="B11" s="9"/>
      <c r="C11" s="1555" t="s">
        <v>1100</v>
      </c>
      <c r="D11" s="1555"/>
      <c r="E11" s="1555"/>
      <c r="F11" s="1555"/>
      <c r="G11" s="1555"/>
      <c r="H11" s="1555"/>
      <c r="I11" s="1555"/>
      <c r="J11" s="1555"/>
      <c r="K11" s="1555"/>
      <c r="L11" s="1555"/>
      <c r="M11" s="1555"/>
      <c r="N11" s="1555"/>
      <c r="O11" s="1555"/>
      <c r="P11" s="1555"/>
      <c r="Q11" s="7"/>
    </row>
    <row r="12" spans="1:17" x14ac:dyDescent="0.25">
      <c r="A12" s="15" t="s">
        <v>14</v>
      </c>
      <c r="B12" s="9"/>
      <c r="C12" s="16"/>
      <c r="D12" s="16"/>
      <c r="E12" s="16"/>
      <c r="F12" s="16"/>
      <c r="G12" s="16"/>
      <c r="H12" s="16"/>
      <c r="I12" s="16"/>
      <c r="J12" s="16"/>
      <c r="K12" s="16"/>
      <c r="L12" s="16"/>
      <c r="M12" s="16"/>
      <c r="N12" s="16"/>
      <c r="O12" s="16"/>
      <c r="P12" s="624"/>
      <c r="Q12" s="7"/>
    </row>
    <row r="13" spans="1:17" x14ac:dyDescent="0.25">
      <c r="A13" s="8"/>
      <c r="B13" s="9" t="s">
        <v>15</v>
      </c>
      <c r="C13" s="1553" t="s">
        <v>1101</v>
      </c>
      <c r="D13" s="1553"/>
      <c r="E13" s="1553"/>
      <c r="F13" s="1553"/>
      <c r="G13" s="1553"/>
      <c r="H13" s="1553"/>
      <c r="I13" s="1553"/>
      <c r="J13" s="1553"/>
      <c r="K13" s="1553"/>
      <c r="L13" s="1553"/>
      <c r="M13" s="1553"/>
      <c r="N13" s="1553"/>
      <c r="O13" s="1553"/>
      <c r="P13" s="1553"/>
      <c r="Q13" s="7"/>
    </row>
    <row r="14" spans="1:17" x14ac:dyDescent="0.25">
      <c r="A14" s="8"/>
      <c r="B14" s="9" t="s">
        <v>17</v>
      </c>
      <c r="C14" s="1553" t="s">
        <v>1102</v>
      </c>
      <c r="D14" s="1553"/>
      <c r="E14" s="1553"/>
      <c r="F14" s="1553"/>
      <c r="G14" s="1553"/>
      <c r="H14" s="1553"/>
      <c r="I14" s="1553"/>
      <c r="J14" s="1553"/>
      <c r="K14" s="1553"/>
      <c r="L14" s="1553"/>
      <c r="M14" s="1553"/>
      <c r="N14" s="1553"/>
      <c r="O14" s="1553"/>
      <c r="P14" s="1553"/>
      <c r="Q14" s="7"/>
    </row>
    <row r="15" spans="1:17" x14ac:dyDescent="0.25">
      <c r="A15" s="8"/>
      <c r="B15" s="9" t="s">
        <v>19</v>
      </c>
      <c r="C15" s="1553"/>
      <c r="D15" s="1553"/>
      <c r="E15" s="1553"/>
      <c r="F15" s="1553"/>
      <c r="G15" s="1553"/>
      <c r="H15" s="1553"/>
      <c r="I15" s="1553"/>
      <c r="J15" s="1553"/>
      <c r="K15" s="1553"/>
      <c r="L15" s="1553"/>
      <c r="M15" s="1553"/>
      <c r="N15" s="1553"/>
      <c r="O15" s="1553"/>
      <c r="P15" s="1553"/>
      <c r="Q15" s="7"/>
    </row>
    <row r="16" spans="1:17" x14ac:dyDescent="0.25">
      <c r="A16" s="8"/>
      <c r="B16" s="9" t="s">
        <v>20</v>
      </c>
      <c r="C16" s="1553" t="s">
        <v>1103</v>
      </c>
      <c r="D16" s="1553"/>
      <c r="E16" s="1553"/>
      <c r="F16" s="1553"/>
      <c r="G16" s="1553"/>
      <c r="H16" s="1553"/>
      <c r="I16" s="1553"/>
      <c r="J16" s="1553"/>
      <c r="K16" s="1553"/>
      <c r="L16" s="1553"/>
      <c r="M16" s="1553"/>
      <c r="N16" s="1553"/>
      <c r="O16" s="1553"/>
      <c r="P16" s="1553"/>
      <c r="Q16" s="7"/>
    </row>
    <row r="17" spans="1:20" x14ac:dyDescent="0.25">
      <c r="A17" s="8"/>
      <c r="B17" s="9" t="s">
        <v>22</v>
      </c>
      <c r="C17" s="1553"/>
      <c r="D17" s="1553"/>
      <c r="E17" s="1553"/>
      <c r="F17" s="1553"/>
      <c r="G17" s="1553"/>
      <c r="H17" s="1553"/>
      <c r="I17" s="1553"/>
      <c r="J17" s="1553"/>
      <c r="K17" s="1553"/>
      <c r="L17" s="1553"/>
      <c r="M17" s="1553"/>
      <c r="N17" s="1553"/>
      <c r="O17" s="1553"/>
      <c r="P17" s="1553"/>
      <c r="Q17" s="7"/>
    </row>
    <row r="18" spans="1:20" x14ac:dyDescent="0.25">
      <c r="A18" s="18"/>
      <c r="B18" s="19"/>
      <c r="C18" s="1569"/>
      <c r="D18" s="1569"/>
      <c r="E18" s="1569"/>
      <c r="F18" s="1569"/>
      <c r="G18" s="1569"/>
      <c r="H18" s="1569"/>
      <c r="I18" s="1569"/>
      <c r="J18" s="1569"/>
      <c r="K18" s="1569"/>
      <c r="L18" s="1569"/>
      <c r="M18" s="1569"/>
      <c r="N18" s="1569"/>
      <c r="O18" s="1569"/>
      <c r="P18" s="1569"/>
      <c r="Q18" s="7"/>
    </row>
    <row r="19" spans="1:20"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0" s="20" customFormat="1" x14ac:dyDescent="0.25">
      <c r="A20" s="1572"/>
      <c r="B20" s="1575"/>
      <c r="C20" s="1580" t="s">
        <v>27</v>
      </c>
      <c r="D20" s="1565" t="s">
        <v>28</v>
      </c>
      <c r="E20" s="1582" t="s">
        <v>29</v>
      </c>
      <c r="F20" s="1584" t="s">
        <v>30</v>
      </c>
      <c r="G20" s="1565" t="s">
        <v>31</v>
      </c>
      <c r="H20" s="1567" t="s">
        <v>32</v>
      </c>
      <c r="I20" s="1563" t="s">
        <v>33</v>
      </c>
      <c r="J20" s="1565" t="s">
        <v>34</v>
      </c>
      <c r="K20" s="1567" t="s">
        <v>35</v>
      </c>
      <c r="L20" s="1563" t="s">
        <v>36</v>
      </c>
      <c r="M20" s="1565" t="s">
        <v>37</v>
      </c>
      <c r="N20" s="1567" t="s">
        <v>38</v>
      </c>
      <c r="O20" s="1563" t="s">
        <v>39</v>
      </c>
      <c r="P20" s="1575"/>
    </row>
    <row r="21" spans="1:20" s="21" customFormat="1" ht="55.5" customHeight="1" thickBot="1" x14ac:dyDescent="0.3">
      <c r="A21" s="1573"/>
      <c r="B21" s="1576"/>
      <c r="C21" s="1581"/>
      <c r="D21" s="1566"/>
      <c r="E21" s="1583"/>
      <c r="F21" s="1585"/>
      <c r="G21" s="1566"/>
      <c r="H21" s="1568"/>
      <c r="I21" s="1564"/>
      <c r="J21" s="1566"/>
      <c r="K21" s="1568"/>
      <c r="L21" s="1564"/>
      <c r="M21" s="1566"/>
      <c r="N21" s="1568"/>
      <c r="O21" s="1564"/>
      <c r="P21" s="1576"/>
    </row>
    <row r="22" spans="1:20" s="21" customFormat="1" ht="9" thickTop="1" x14ac:dyDescent="0.25">
      <c r="A22" s="22">
        <v>1</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0" s="41" customFormat="1" x14ac:dyDescent="0.25">
      <c r="A23" s="30"/>
      <c r="B23" s="31" t="s">
        <v>41</v>
      </c>
      <c r="C23" s="32"/>
      <c r="D23" s="33"/>
      <c r="E23" s="34"/>
      <c r="F23" s="35"/>
      <c r="G23" s="33"/>
      <c r="H23" s="36"/>
      <c r="I23" s="37"/>
      <c r="J23" s="33"/>
      <c r="K23" s="38"/>
      <c r="L23" s="37"/>
      <c r="M23" s="38"/>
      <c r="N23" s="39"/>
      <c r="O23" s="37"/>
      <c r="P23" s="40"/>
    </row>
    <row r="24" spans="1:20" s="41" customFormat="1" ht="12.75" thickBot="1" x14ac:dyDescent="0.3">
      <c r="A24" s="42"/>
      <c r="B24" s="43" t="s">
        <v>42</v>
      </c>
      <c r="C24" s="44">
        <f t="shared" ref="C24:C50" si="0">SUM(F24,I24,L24,O24)</f>
        <v>980754</v>
      </c>
      <c r="D24" s="45">
        <f>SUM(D25,D28,D29,D45,D46)</f>
        <v>477905</v>
      </c>
      <c r="E24" s="46">
        <f>SUM(E25,E28,E29,E45,E46)</f>
        <v>0</v>
      </c>
      <c r="F24" s="47">
        <f t="shared" ref="F24:F29" si="1">D24+E24</f>
        <v>477905</v>
      </c>
      <c r="G24" s="45">
        <f>SUM(G25,G28,G29,G45,G46)</f>
        <v>489214</v>
      </c>
      <c r="H24" s="48">
        <f>SUM(H25,H28,H46)</f>
        <v>0</v>
      </c>
      <c r="I24" s="49">
        <f>G24+H24</f>
        <v>489214</v>
      </c>
      <c r="J24" s="45">
        <f>SUM(J25,J30,J46)</f>
        <v>13635</v>
      </c>
      <c r="K24" s="48">
        <f>SUM(K25,K30,K46)</f>
        <v>0</v>
      </c>
      <c r="L24" s="49">
        <f>J24+K24</f>
        <v>13635</v>
      </c>
      <c r="M24" s="50">
        <f>SUM(M25,M48)</f>
        <v>0</v>
      </c>
      <c r="N24" s="51">
        <f>SUM(N25,N48)</f>
        <v>0</v>
      </c>
      <c r="O24" s="49">
        <f>M24+N24</f>
        <v>0</v>
      </c>
      <c r="P24" s="52"/>
      <c r="R24" s="53"/>
      <c r="S24" s="53"/>
      <c r="T24" s="53"/>
    </row>
    <row r="25" spans="1:20" ht="12.75" thickTop="1" x14ac:dyDescent="0.25">
      <c r="A25" s="54"/>
      <c r="B25" s="55" t="s">
        <v>43</v>
      </c>
      <c r="C25" s="56">
        <f t="shared" si="0"/>
        <v>4743</v>
      </c>
      <c r="D25" s="57">
        <f>SUM(D26:D27)</f>
        <v>0</v>
      </c>
      <c r="E25" s="58">
        <f>SUM(E26:E27)</f>
        <v>0</v>
      </c>
      <c r="F25" s="59">
        <f t="shared" si="1"/>
        <v>0</v>
      </c>
      <c r="G25" s="57">
        <f>SUM(G26:G27)</f>
        <v>0</v>
      </c>
      <c r="H25" s="60">
        <f>SUM(H26:H27)</f>
        <v>0</v>
      </c>
      <c r="I25" s="61">
        <f>G25+H25</f>
        <v>0</v>
      </c>
      <c r="J25" s="57">
        <f>SUM(J26:J27)</f>
        <v>4743</v>
      </c>
      <c r="K25" s="60">
        <f>SUM(K26:K27)</f>
        <v>0</v>
      </c>
      <c r="L25" s="61">
        <f>J25+K25</f>
        <v>4743</v>
      </c>
      <c r="M25" s="62">
        <f>SUM(M26:M27)</f>
        <v>0</v>
      </c>
      <c r="N25" s="63">
        <f>SUM(N26:N27)</f>
        <v>0</v>
      </c>
      <c r="O25" s="61">
        <f>M25+N25</f>
        <v>0</v>
      </c>
      <c r="P25" s="64"/>
      <c r="R25" s="53"/>
      <c r="S25" s="53"/>
      <c r="T25" s="53"/>
    </row>
    <row r="26" spans="1:20" hidden="1" x14ac:dyDescent="0.25">
      <c r="A26" s="65"/>
      <c r="B26" s="66" t="s">
        <v>44</v>
      </c>
      <c r="C26" s="67">
        <f t="shared" si="0"/>
        <v>0</v>
      </c>
      <c r="D26" s="68"/>
      <c r="E26" s="673"/>
      <c r="F26" s="625">
        <f t="shared" si="1"/>
        <v>0</v>
      </c>
      <c r="G26" s="68"/>
      <c r="H26" s="71"/>
      <c r="I26" s="72">
        <f>G26+H26</f>
        <v>0</v>
      </c>
      <c r="J26" s="68"/>
      <c r="K26" s="71"/>
      <c r="L26" s="72">
        <f>J26+K26</f>
        <v>0</v>
      </c>
      <c r="M26" s="73"/>
      <c r="N26" s="69"/>
      <c r="O26" s="72">
        <f>M26+N26</f>
        <v>0</v>
      </c>
      <c r="P26" s="74"/>
      <c r="R26" s="53"/>
      <c r="S26" s="53"/>
      <c r="T26" s="53"/>
    </row>
    <row r="27" spans="1:20" x14ac:dyDescent="0.25">
      <c r="A27" s="75"/>
      <c r="B27" s="76" t="s">
        <v>45</v>
      </c>
      <c r="C27" s="77">
        <f t="shared" si="0"/>
        <v>4743</v>
      </c>
      <c r="D27" s="78"/>
      <c r="E27" s="79"/>
      <c r="F27" s="80">
        <f t="shared" si="1"/>
        <v>0</v>
      </c>
      <c r="G27" s="78"/>
      <c r="H27" s="81"/>
      <c r="I27" s="82">
        <f>G27+H27</f>
        <v>0</v>
      </c>
      <c r="J27" s="78">
        <v>4743</v>
      </c>
      <c r="K27" s="81"/>
      <c r="L27" s="82">
        <f>J27+K27</f>
        <v>4743</v>
      </c>
      <c r="M27" s="83"/>
      <c r="N27" s="84"/>
      <c r="O27" s="82">
        <f>M27+N27</f>
        <v>0</v>
      </c>
      <c r="P27" s="85"/>
      <c r="R27" s="53"/>
      <c r="S27" s="53"/>
      <c r="T27" s="53"/>
    </row>
    <row r="28" spans="1:20" s="41" customFormat="1" ht="24.75" thickBot="1" x14ac:dyDescent="0.3">
      <c r="A28" s="86">
        <v>19300</v>
      </c>
      <c r="B28" s="86" t="s">
        <v>46</v>
      </c>
      <c r="C28" s="87">
        <f t="shared" si="0"/>
        <v>967119</v>
      </c>
      <c r="D28" s="88">
        <f>481704-11551+8201-449</f>
        <v>477905</v>
      </c>
      <c r="E28" s="89"/>
      <c r="F28" s="90">
        <f t="shared" si="1"/>
        <v>477905</v>
      </c>
      <c r="G28" s="88">
        <f>467329+8724+13161</f>
        <v>489214</v>
      </c>
      <c r="H28" s="91"/>
      <c r="I28" s="92">
        <f>G28+H28</f>
        <v>489214</v>
      </c>
      <c r="J28" s="93" t="s">
        <v>47</v>
      </c>
      <c r="K28" s="94" t="s">
        <v>47</v>
      </c>
      <c r="L28" s="95" t="s">
        <v>47</v>
      </c>
      <c r="M28" s="96" t="s">
        <v>47</v>
      </c>
      <c r="N28" s="97" t="s">
        <v>47</v>
      </c>
      <c r="O28" s="95" t="s">
        <v>47</v>
      </c>
      <c r="P28" s="98"/>
      <c r="R28" s="53"/>
      <c r="S28" s="53"/>
      <c r="T28" s="53"/>
    </row>
    <row r="29" spans="1:20" s="41" customFormat="1" ht="24.75" hidden="1" thickTop="1" x14ac:dyDescent="0.25">
      <c r="A29" s="99"/>
      <c r="B29" s="99" t="s">
        <v>48</v>
      </c>
      <c r="C29" s="100">
        <f t="shared" si="0"/>
        <v>0</v>
      </c>
      <c r="D29" s="101"/>
      <c r="E29" s="665"/>
      <c r="F29" s="634">
        <f t="shared" si="1"/>
        <v>0</v>
      </c>
      <c r="G29" s="104" t="s">
        <v>47</v>
      </c>
      <c r="H29" s="105" t="s">
        <v>47</v>
      </c>
      <c r="I29" s="106" t="s">
        <v>47</v>
      </c>
      <c r="J29" s="104" t="s">
        <v>47</v>
      </c>
      <c r="K29" s="105" t="s">
        <v>47</v>
      </c>
      <c r="L29" s="106" t="s">
        <v>47</v>
      </c>
      <c r="M29" s="107" t="s">
        <v>47</v>
      </c>
      <c r="N29" s="108" t="s">
        <v>47</v>
      </c>
      <c r="O29" s="106" t="s">
        <v>47</v>
      </c>
      <c r="P29" s="109"/>
      <c r="R29" s="53"/>
      <c r="S29" s="53"/>
      <c r="T29" s="53"/>
    </row>
    <row r="30" spans="1:20" s="41" customFormat="1" ht="28.5" customHeight="1" thickTop="1" x14ac:dyDescent="0.25">
      <c r="A30" s="99">
        <v>21300</v>
      </c>
      <c r="B30" s="99" t="s">
        <v>49</v>
      </c>
      <c r="C30" s="100">
        <f t="shared" si="0"/>
        <v>8892</v>
      </c>
      <c r="D30" s="104" t="s">
        <v>47</v>
      </c>
      <c r="E30" s="110" t="s">
        <v>47</v>
      </c>
      <c r="F30" s="111" t="s">
        <v>47</v>
      </c>
      <c r="G30" s="104" t="s">
        <v>47</v>
      </c>
      <c r="H30" s="105" t="s">
        <v>47</v>
      </c>
      <c r="I30" s="106" t="s">
        <v>47</v>
      </c>
      <c r="J30" s="112">
        <f>SUM(J31,J35,J37,J40)</f>
        <v>8892</v>
      </c>
      <c r="K30" s="113">
        <f>SUM(K31,K35,K37,K40)</f>
        <v>0</v>
      </c>
      <c r="L30" s="114">
        <f t="shared" ref="L30:L44" si="2">J30+K30</f>
        <v>8892</v>
      </c>
      <c r="M30" s="107" t="s">
        <v>47</v>
      </c>
      <c r="N30" s="108" t="s">
        <v>47</v>
      </c>
      <c r="O30" s="106" t="s">
        <v>47</v>
      </c>
      <c r="P30" s="109"/>
      <c r="R30" s="53"/>
      <c r="S30" s="53"/>
      <c r="T30" s="53"/>
    </row>
    <row r="31" spans="1:20" s="41" customFormat="1" ht="24" hidden="1" x14ac:dyDescent="0.25">
      <c r="A31" s="115">
        <v>21350</v>
      </c>
      <c r="B31" s="99" t="s">
        <v>50</v>
      </c>
      <c r="C31" s="100">
        <f t="shared" si="0"/>
        <v>0</v>
      </c>
      <c r="D31" s="104" t="s">
        <v>47</v>
      </c>
      <c r="E31" s="110" t="s">
        <v>47</v>
      </c>
      <c r="F31" s="111" t="s">
        <v>47</v>
      </c>
      <c r="G31" s="104" t="s">
        <v>47</v>
      </c>
      <c r="H31" s="105" t="s">
        <v>47</v>
      </c>
      <c r="I31" s="106" t="s">
        <v>47</v>
      </c>
      <c r="J31" s="112">
        <f>SUM(J32:J34)</f>
        <v>0</v>
      </c>
      <c r="K31" s="113">
        <f>SUM(K32:K34)</f>
        <v>0</v>
      </c>
      <c r="L31" s="114">
        <f t="shared" si="2"/>
        <v>0</v>
      </c>
      <c r="M31" s="107" t="s">
        <v>47</v>
      </c>
      <c r="N31" s="108" t="s">
        <v>47</v>
      </c>
      <c r="O31" s="106" t="s">
        <v>47</v>
      </c>
      <c r="P31" s="109"/>
      <c r="R31" s="53"/>
      <c r="S31" s="53"/>
      <c r="T31" s="53"/>
    </row>
    <row r="32" spans="1:20" hidden="1" x14ac:dyDescent="0.25">
      <c r="A32" s="65">
        <v>21351</v>
      </c>
      <c r="B32" s="116" t="s">
        <v>51</v>
      </c>
      <c r="C32" s="117">
        <f t="shared" si="0"/>
        <v>0</v>
      </c>
      <c r="D32" s="118" t="s">
        <v>47</v>
      </c>
      <c r="E32" s="154" t="s">
        <v>47</v>
      </c>
      <c r="F32" s="155" t="s">
        <v>47</v>
      </c>
      <c r="G32" s="118" t="s">
        <v>47</v>
      </c>
      <c r="H32" s="121" t="s">
        <v>47</v>
      </c>
      <c r="I32" s="122" t="s">
        <v>47</v>
      </c>
      <c r="J32" s="123"/>
      <c r="K32" s="124"/>
      <c r="L32" s="125">
        <f t="shared" si="2"/>
        <v>0</v>
      </c>
      <c r="M32" s="126" t="s">
        <v>47</v>
      </c>
      <c r="N32" s="119" t="s">
        <v>47</v>
      </c>
      <c r="O32" s="122" t="s">
        <v>47</v>
      </c>
      <c r="P32" s="74"/>
      <c r="R32" s="53"/>
      <c r="S32" s="53"/>
      <c r="T32" s="53"/>
    </row>
    <row r="33" spans="1:20" hidden="1" x14ac:dyDescent="0.25">
      <c r="A33" s="75">
        <v>21352</v>
      </c>
      <c r="B33" s="127" t="s">
        <v>52</v>
      </c>
      <c r="C33" s="128">
        <f t="shared" si="0"/>
        <v>0</v>
      </c>
      <c r="D33" s="129" t="s">
        <v>47</v>
      </c>
      <c r="E33" s="130" t="s">
        <v>47</v>
      </c>
      <c r="F33" s="131" t="s">
        <v>47</v>
      </c>
      <c r="G33" s="129" t="s">
        <v>47</v>
      </c>
      <c r="H33" s="132" t="s">
        <v>47</v>
      </c>
      <c r="I33" s="133" t="s">
        <v>47</v>
      </c>
      <c r="J33" s="134"/>
      <c r="K33" s="135"/>
      <c r="L33" s="136">
        <f t="shared" si="2"/>
        <v>0</v>
      </c>
      <c r="M33" s="137" t="s">
        <v>47</v>
      </c>
      <c r="N33" s="138" t="s">
        <v>47</v>
      </c>
      <c r="O33" s="133" t="s">
        <v>47</v>
      </c>
      <c r="P33" s="85"/>
      <c r="R33" s="53"/>
      <c r="S33" s="53"/>
      <c r="T33" s="53"/>
    </row>
    <row r="34" spans="1:20" ht="24" hidden="1" x14ac:dyDescent="0.25">
      <c r="A34" s="75">
        <v>21359</v>
      </c>
      <c r="B34" s="127" t="s">
        <v>53</v>
      </c>
      <c r="C34" s="128">
        <f t="shared" si="0"/>
        <v>0</v>
      </c>
      <c r="D34" s="129" t="s">
        <v>47</v>
      </c>
      <c r="E34" s="130" t="s">
        <v>47</v>
      </c>
      <c r="F34" s="131" t="s">
        <v>47</v>
      </c>
      <c r="G34" s="129" t="s">
        <v>47</v>
      </c>
      <c r="H34" s="132" t="s">
        <v>47</v>
      </c>
      <c r="I34" s="133" t="s">
        <v>47</v>
      </c>
      <c r="J34" s="134"/>
      <c r="K34" s="135"/>
      <c r="L34" s="136">
        <f t="shared" si="2"/>
        <v>0</v>
      </c>
      <c r="M34" s="137" t="s">
        <v>47</v>
      </c>
      <c r="N34" s="138" t="s">
        <v>47</v>
      </c>
      <c r="O34" s="133" t="s">
        <v>47</v>
      </c>
      <c r="P34" s="85"/>
      <c r="R34" s="53"/>
      <c r="S34" s="53"/>
      <c r="T34" s="53"/>
    </row>
    <row r="35" spans="1:20" s="41" customFormat="1" ht="36" hidden="1" x14ac:dyDescent="0.25">
      <c r="A35" s="115">
        <v>21370</v>
      </c>
      <c r="B35" s="99" t="s">
        <v>54</v>
      </c>
      <c r="C35" s="100">
        <f t="shared" si="0"/>
        <v>0</v>
      </c>
      <c r="D35" s="104" t="s">
        <v>47</v>
      </c>
      <c r="E35" s="110" t="s">
        <v>47</v>
      </c>
      <c r="F35" s="111" t="s">
        <v>47</v>
      </c>
      <c r="G35" s="104" t="s">
        <v>47</v>
      </c>
      <c r="H35" s="105" t="s">
        <v>47</v>
      </c>
      <c r="I35" s="106" t="s">
        <v>47</v>
      </c>
      <c r="J35" s="112">
        <f>SUM(J36)</f>
        <v>0</v>
      </c>
      <c r="K35" s="113">
        <f>SUM(K36)</f>
        <v>0</v>
      </c>
      <c r="L35" s="114">
        <f t="shared" si="2"/>
        <v>0</v>
      </c>
      <c r="M35" s="107" t="s">
        <v>47</v>
      </c>
      <c r="N35" s="108" t="s">
        <v>47</v>
      </c>
      <c r="O35" s="106" t="s">
        <v>47</v>
      </c>
      <c r="P35" s="109"/>
      <c r="R35" s="53"/>
      <c r="S35" s="53"/>
      <c r="T35" s="53"/>
    </row>
    <row r="36" spans="1:20" ht="36" hidden="1" x14ac:dyDescent="0.25">
      <c r="A36" s="141">
        <v>21379</v>
      </c>
      <c r="B36" s="142" t="s">
        <v>55</v>
      </c>
      <c r="C36" s="143">
        <f t="shared" si="0"/>
        <v>0</v>
      </c>
      <c r="D36" s="144" t="s">
        <v>47</v>
      </c>
      <c r="E36" s="668" t="s">
        <v>47</v>
      </c>
      <c r="F36" s="773" t="s">
        <v>47</v>
      </c>
      <c r="G36" s="144" t="s">
        <v>47</v>
      </c>
      <c r="H36" s="147" t="s">
        <v>47</v>
      </c>
      <c r="I36" s="148" t="s">
        <v>47</v>
      </c>
      <c r="J36" s="149"/>
      <c r="K36" s="150"/>
      <c r="L36" s="151">
        <f t="shared" si="2"/>
        <v>0</v>
      </c>
      <c r="M36" s="152" t="s">
        <v>47</v>
      </c>
      <c r="N36" s="145" t="s">
        <v>47</v>
      </c>
      <c r="O36" s="148" t="s">
        <v>47</v>
      </c>
      <c r="P36" s="153"/>
      <c r="R36" s="53"/>
      <c r="S36" s="53"/>
      <c r="T36" s="53"/>
    </row>
    <row r="37" spans="1:20" s="41" customFormat="1" x14ac:dyDescent="0.25">
      <c r="A37" s="115">
        <v>21380</v>
      </c>
      <c r="B37" s="99" t="s">
        <v>56</v>
      </c>
      <c r="C37" s="100">
        <f t="shared" si="0"/>
        <v>8892</v>
      </c>
      <c r="D37" s="104" t="s">
        <v>47</v>
      </c>
      <c r="E37" s="110" t="s">
        <v>47</v>
      </c>
      <c r="F37" s="111" t="s">
        <v>47</v>
      </c>
      <c r="G37" s="104" t="s">
        <v>47</v>
      </c>
      <c r="H37" s="105" t="s">
        <v>47</v>
      </c>
      <c r="I37" s="106" t="s">
        <v>47</v>
      </c>
      <c r="J37" s="112">
        <f>SUM(J38:J39)</f>
        <v>8892</v>
      </c>
      <c r="K37" s="113">
        <f>SUM(K38:K39)</f>
        <v>0</v>
      </c>
      <c r="L37" s="114">
        <f t="shared" si="2"/>
        <v>8892</v>
      </c>
      <c r="M37" s="107" t="s">
        <v>47</v>
      </c>
      <c r="N37" s="108" t="s">
        <v>47</v>
      </c>
      <c r="O37" s="106" t="s">
        <v>47</v>
      </c>
      <c r="P37" s="109"/>
      <c r="R37" s="53"/>
      <c r="S37" s="53"/>
      <c r="T37" s="53"/>
    </row>
    <row r="38" spans="1:20" x14ac:dyDescent="0.25">
      <c r="A38" s="66">
        <v>21381</v>
      </c>
      <c r="B38" s="116" t="s">
        <v>57</v>
      </c>
      <c r="C38" s="117">
        <f t="shared" si="0"/>
        <v>8892</v>
      </c>
      <c r="D38" s="118" t="s">
        <v>47</v>
      </c>
      <c r="E38" s="154" t="s">
        <v>47</v>
      </c>
      <c r="F38" s="155" t="s">
        <v>47</v>
      </c>
      <c r="G38" s="118" t="s">
        <v>47</v>
      </c>
      <c r="H38" s="121" t="s">
        <v>47</v>
      </c>
      <c r="I38" s="122" t="s">
        <v>47</v>
      </c>
      <c r="J38" s="123">
        <v>8892</v>
      </c>
      <c r="K38" s="124"/>
      <c r="L38" s="125">
        <f t="shared" si="2"/>
        <v>8892</v>
      </c>
      <c r="M38" s="126" t="s">
        <v>47</v>
      </c>
      <c r="N38" s="119" t="s">
        <v>47</v>
      </c>
      <c r="O38" s="122" t="s">
        <v>47</v>
      </c>
      <c r="P38" s="74"/>
      <c r="R38" s="53"/>
      <c r="S38" s="53"/>
      <c r="T38" s="53"/>
    </row>
    <row r="39" spans="1:20" ht="24" hidden="1" x14ac:dyDescent="0.25">
      <c r="A39" s="76">
        <v>21383</v>
      </c>
      <c r="B39" s="127" t="s">
        <v>58</v>
      </c>
      <c r="C39" s="128">
        <f t="shared" si="0"/>
        <v>0</v>
      </c>
      <c r="D39" s="129" t="s">
        <v>47</v>
      </c>
      <c r="E39" s="130" t="s">
        <v>47</v>
      </c>
      <c r="F39" s="131" t="s">
        <v>47</v>
      </c>
      <c r="G39" s="129" t="s">
        <v>47</v>
      </c>
      <c r="H39" s="132" t="s">
        <v>47</v>
      </c>
      <c r="I39" s="133" t="s">
        <v>47</v>
      </c>
      <c r="J39" s="134"/>
      <c r="K39" s="135"/>
      <c r="L39" s="136">
        <f t="shared" si="2"/>
        <v>0</v>
      </c>
      <c r="M39" s="137" t="s">
        <v>47</v>
      </c>
      <c r="N39" s="138" t="s">
        <v>47</v>
      </c>
      <c r="O39" s="133" t="s">
        <v>47</v>
      </c>
      <c r="P39" s="85"/>
      <c r="R39" s="53"/>
      <c r="S39" s="53"/>
      <c r="T39" s="53"/>
    </row>
    <row r="40" spans="1:20" s="41" customFormat="1" ht="24" hidden="1" x14ac:dyDescent="0.25">
      <c r="A40" s="115">
        <v>21390</v>
      </c>
      <c r="B40" s="99" t="s">
        <v>59</v>
      </c>
      <c r="C40" s="100">
        <f t="shared" si="0"/>
        <v>0</v>
      </c>
      <c r="D40" s="104" t="s">
        <v>47</v>
      </c>
      <c r="E40" s="110" t="s">
        <v>47</v>
      </c>
      <c r="F40" s="111" t="s">
        <v>47</v>
      </c>
      <c r="G40" s="104" t="s">
        <v>47</v>
      </c>
      <c r="H40" s="105" t="s">
        <v>47</v>
      </c>
      <c r="I40" s="106" t="s">
        <v>47</v>
      </c>
      <c r="J40" s="112">
        <f>SUM(J41:J44)</f>
        <v>0</v>
      </c>
      <c r="K40" s="113">
        <f>SUM(K41:K44)</f>
        <v>0</v>
      </c>
      <c r="L40" s="114">
        <f t="shared" si="2"/>
        <v>0</v>
      </c>
      <c r="M40" s="107" t="s">
        <v>47</v>
      </c>
      <c r="N40" s="108" t="s">
        <v>47</v>
      </c>
      <c r="O40" s="106" t="s">
        <v>47</v>
      </c>
      <c r="P40" s="109"/>
      <c r="R40" s="53"/>
      <c r="S40" s="53"/>
      <c r="T40" s="53"/>
    </row>
    <row r="41" spans="1:20" ht="24" hidden="1" x14ac:dyDescent="0.25">
      <c r="A41" s="66">
        <v>21391</v>
      </c>
      <c r="B41" s="116" t="s">
        <v>60</v>
      </c>
      <c r="C41" s="117">
        <f t="shared" si="0"/>
        <v>0</v>
      </c>
      <c r="D41" s="118" t="s">
        <v>47</v>
      </c>
      <c r="E41" s="154" t="s">
        <v>47</v>
      </c>
      <c r="F41" s="155" t="s">
        <v>47</v>
      </c>
      <c r="G41" s="118" t="s">
        <v>47</v>
      </c>
      <c r="H41" s="121" t="s">
        <v>47</v>
      </c>
      <c r="I41" s="122" t="s">
        <v>47</v>
      </c>
      <c r="J41" s="123"/>
      <c r="K41" s="124"/>
      <c r="L41" s="125">
        <f t="shared" si="2"/>
        <v>0</v>
      </c>
      <c r="M41" s="126" t="s">
        <v>47</v>
      </c>
      <c r="N41" s="119" t="s">
        <v>47</v>
      </c>
      <c r="O41" s="122" t="s">
        <v>47</v>
      </c>
      <c r="P41" s="74"/>
      <c r="R41" s="53"/>
      <c r="S41" s="53"/>
      <c r="T41" s="53"/>
    </row>
    <row r="42" spans="1:20" hidden="1" x14ac:dyDescent="0.25">
      <c r="A42" s="76">
        <v>21393</v>
      </c>
      <c r="B42" s="127" t="s">
        <v>61</v>
      </c>
      <c r="C42" s="128">
        <f t="shared" si="0"/>
        <v>0</v>
      </c>
      <c r="D42" s="129" t="s">
        <v>47</v>
      </c>
      <c r="E42" s="130" t="s">
        <v>47</v>
      </c>
      <c r="F42" s="131" t="s">
        <v>47</v>
      </c>
      <c r="G42" s="129" t="s">
        <v>47</v>
      </c>
      <c r="H42" s="132" t="s">
        <v>47</v>
      </c>
      <c r="I42" s="133" t="s">
        <v>47</v>
      </c>
      <c r="J42" s="134"/>
      <c r="K42" s="135"/>
      <c r="L42" s="136">
        <f t="shared" si="2"/>
        <v>0</v>
      </c>
      <c r="M42" s="137" t="s">
        <v>47</v>
      </c>
      <c r="N42" s="138" t="s">
        <v>47</v>
      </c>
      <c r="O42" s="133" t="s">
        <v>47</v>
      </c>
      <c r="P42" s="85"/>
      <c r="R42" s="53"/>
      <c r="S42" s="53"/>
      <c r="T42" s="53"/>
    </row>
    <row r="43" spans="1:20" hidden="1" x14ac:dyDescent="0.25">
      <c r="A43" s="76">
        <v>21395</v>
      </c>
      <c r="B43" s="127" t="s">
        <v>62</v>
      </c>
      <c r="C43" s="128">
        <f t="shared" si="0"/>
        <v>0</v>
      </c>
      <c r="D43" s="129" t="s">
        <v>47</v>
      </c>
      <c r="E43" s="130" t="s">
        <v>47</v>
      </c>
      <c r="F43" s="131" t="s">
        <v>47</v>
      </c>
      <c r="G43" s="129" t="s">
        <v>47</v>
      </c>
      <c r="H43" s="132" t="s">
        <v>47</v>
      </c>
      <c r="I43" s="133" t="s">
        <v>47</v>
      </c>
      <c r="J43" s="134"/>
      <c r="K43" s="135"/>
      <c r="L43" s="136">
        <f t="shared" si="2"/>
        <v>0</v>
      </c>
      <c r="M43" s="137" t="s">
        <v>47</v>
      </c>
      <c r="N43" s="138" t="s">
        <v>47</v>
      </c>
      <c r="O43" s="133" t="s">
        <v>47</v>
      </c>
      <c r="P43" s="85"/>
      <c r="R43" s="53"/>
      <c r="S43" s="53"/>
      <c r="T43" s="53"/>
    </row>
    <row r="44" spans="1:20" ht="24" hidden="1" x14ac:dyDescent="0.25">
      <c r="A44" s="76">
        <v>21399</v>
      </c>
      <c r="B44" s="127" t="s">
        <v>63</v>
      </c>
      <c r="C44" s="128">
        <f t="shared" si="0"/>
        <v>0</v>
      </c>
      <c r="D44" s="129" t="s">
        <v>47</v>
      </c>
      <c r="E44" s="130" t="s">
        <v>47</v>
      </c>
      <c r="F44" s="131" t="s">
        <v>47</v>
      </c>
      <c r="G44" s="129" t="s">
        <v>47</v>
      </c>
      <c r="H44" s="132" t="s">
        <v>47</v>
      </c>
      <c r="I44" s="133" t="s">
        <v>47</v>
      </c>
      <c r="J44" s="134"/>
      <c r="K44" s="135"/>
      <c r="L44" s="136">
        <f t="shared" si="2"/>
        <v>0</v>
      </c>
      <c r="M44" s="137" t="s">
        <v>47</v>
      </c>
      <c r="N44" s="138" t="s">
        <v>47</v>
      </c>
      <c r="O44" s="133" t="s">
        <v>47</v>
      </c>
      <c r="P44" s="85"/>
      <c r="R44" s="53"/>
      <c r="S44" s="53"/>
      <c r="T44" s="53"/>
    </row>
    <row r="45" spans="1:20" s="41" customFormat="1" ht="24" hidden="1" x14ac:dyDescent="0.25">
      <c r="A45" s="115">
        <v>21420</v>
      </c>
      <c r="B45" s="99" t="s">
        <v>64</v>
      </c>
      <c r="C45" s="156">
        <f t="shared" si="0"/>
        <v>0</v>
      </c>
      <c r="D45" s="157"/>
      <c r="E45" s="702"/>
      <c r="F45" s="634">
        <f>D45+E45</f>
        <v>0</v>
      </c>
      <c r="G45" s="104" t="s">
        <v>47</v>
      </c>
      <c r="H45" s="105" t="s">
        <v>47</v>
      </c>
      <c r="I45" s="106" t="s">
        <v>47</v>
      </c>
      <c r="J45" s="104" t="s">
        <v>47</v>
      </c>
      <c r="K45" s="105" t="s">
        <v>47</v>
      </c>
      <c r="L45" s="106" t="s">
        <v>47</v>
      </c>
      <c r="M45" s="107" t="s">
        <v>47</v>
      </c>
      <c r="N45" s="108" t="s">
        <v>47</v>
      </c>
      <c r="O45" s="106" t="s">
        <v>47</v>
      </c>
      <c r="P45" s="109"/>
      <c r="R45" s="53"/>
      <c r="S45" s="53"/>
      <c r="T45" s="53"/>
    </row>
    <row r="46" spans="1:20" s="41" customFormat="1" ht="24" hidden="1" x14ac:dyDescent="0.25">
      <c r="A46" s="159">
        <v>21490</v>
      </c>
      <c r="B46" s="160" t="s">
        <v>65</v>
      </c>
      <c r="C46" s="156">
        <f t="shared" si="0"/>
        <v>0</v>
      </c>
      <c r="D46" s="161">
        <f>D47</f>
        <v>0</v>
      </c>
      <c r="E46" s="672">
        <f>E47</f>
        <v>0</v>
      </c>
      <c r="F46" s="774">
        <f>D46+E46</f>
        <v>0</v>
      </c>
      <c r="G46" s="161">
        <f>G47</f>
        <v>0</v>
      </c>
      <c r="H46" s="164">
        <f>H47</f>
        <v>0</v>
      </c>
      <c r="I46" s="165">
        <f>G46+H46</f>
        <v>0</v>
      </c>
      <c r="J46" s="161">
        <f>J47</f>
        <v>0</v>
      </c>
      <c r="K46" s="164">
        <f>K47</f>
        <v>0</v>
      </c>
      <c r="L46" s="165">
        <f>J46+K46</f>
        <v>0</v>
      </c>
      <c r="M46" s="107" t="s">
        <v>47</v>
      </c>
      <c r="N46" s="108" t="s">
        <v>47</v>
      </c>
      <c r="O46" s="106" t="s">
        <v>47</v>
      </c>
      <c r="P46" s="109"/>
      <c r="R46" s="53"/>
      <c r="S46" s="53"/>
      <c r="T46" s="53"/>
    </row>
    <row r="47" spans="1:20" s="41" customFormat="1" ht="24" hidden="1" x14ac:dyDescent="0.25">
      <c r="A47" s="76">
        <v>21499</v>
      </c>
      <c r="B47" s="127" t="s">
        <v>66</v>
      </c>
      <c r="C47" s="166">
        <f t="shared" si="0"/>
        <v>0</v>
      </c>
      <c r="D47" s="68"/>
      <c r="E47" s="673"/>
      <c r="F47" s="625">
        <f>D47+E47</f>
        <v>0</v>
      </c>
      <c r="G47" s="167"/>
      <c r="H47" s="71"/>
      <c r="I47" s="72">
        <f>G47+H47</f>
        <v>0</v>
      </c>
      <c r="J47" s="68"/>
      <c r="K47" s="71"/>
      <c r="L47" s="72">
        <f>J47+K47</f>
        <v>0</v>
      </c>
      <c r="M47" s="152" t="s">
        <v>47</v>
      </c>
      <c r="N47" s="145" t="s">
        <v>47</v>
      </c>
      <c r="O47" s="148" t="s">
        <v>47</v>
      </c>
      <c r="P47" s="153"/>
      <c r="R47" s="53"/>
      <c r="S47" s="53"/>
      <c r="T47" s="53"/>
    </row>
    <row r="48" spans="1:20" ht="24" hidden="1" x14ac:dyDescent="0.25">
      <c r="A48" s="168">
        <v>23000</v>
      </c>
      <c r="B48" s="169" t="s">
        <v>67</v>
      </c>
      <c r="C48" s="156">
        <f t="shared" si="0"/>
        <v>0</v>
      </c>
      <c r="D48" s="170" t="s">
        <v>47</v>
      </c>
      <c r="E48" s="669" t="s">
        <v>47</v>
      </c>
      <c r="F48" s="907" t="s">
        <v>47</v>
      </c>
      <c r="G48" s="170" t="s">
        <v>47</v>
      </c>
      <c r="H48" s="173" t="s">
        <v>47</v>
      </c>
      <c r="I48" s="174" t="s">
        <v>47</v>
      </c>
      <c r="J48" s="170" t="s">
        <v>47</v>
      </c>
      <c r="K48" s="173" t="s">
        <v>47</v>
      </c>
      <c r="L48" s="174" t="s">
        <v>47</v>
      </c>
      <c r="M48" s="175">
        <f>SUM(M49:M50)</f>
        <v>0</v>
      </c>
      <c r="N48" s="176">
        <f>SUM(N49:N50)</f>
        <v>0</v>
      </c>
      <c r="O48" s="177">
        <f>M48+N48</f>
        <v>0</v>
      </c>
      <c r="P48" s="109"/>
      <c r="R48" s="53"/>
      <c r="S48" s="53"/>
      <c r="T48" s="53"/>
    </row>
    <row r="49" spans="1:20" ht="24" hidden="1" x14ac:dyDescent="0.25">
      <c r="A49" s="178">
        <v>23410</v>
      </c>
      <c r="B49" s="179" t="s">
        <v>68</v>
      </c>
      <c r="C49" s="180">
        <f t="shared" si="0"/>
        <v>0</v>
      </c>
      <c r="D49" s="181" t="s">
        <v>47</v>
      </c>
      <c r="E49" s="674" t="s">
        <v>47</v>
      </c>
      <c r="F49" s="908" t="s">
        <v>47</v>
      </c>
      <c r="G49" s="181" t="s">
        <v>47</v>
      </c>
      <c r="H49" s="184" t="s">
        <v>47</v>
      </c>
      <c r="I49" s="185" t="s">
        <v>47</v>
      </c>
      <c r="J49" s="181" t="s">
        <v>47</v>
      </c>
      <c r="K49" s="184" t="s">
        <v>47</v>
      </c>
      <c r="L49" s="185" t="s">
        <v>47</v>
      </c>
      <c r="M49" s="186"/>
      <c r="N49" s="187"/>
      <c r="O49" s="188">
        <f>M49+N49</f>
        <v>0</v>
      </c>
      <c r="P49" s="189"/>
      <c r="R49" s="53"/>
      <c r="S49" s="53"/>
      <c r="T49" s="53"/>
    </row>
    <row r="50" spans="1:20" ht="24" hidden="1" x14ac:dyDescent="0.25">
      <c r="A50" s="178">
        <v>23510</v>
      </c>
      <c r="B50" s="179" t="s">
        <v>69</v>
      </c>
      <c r="C50" s="180">
        <f t="shared" si="0"/>
        <v>0</v>
      </c>
      <c r="D50" s="181" t="s">
        <v>47</v>
      </c>
      <c r="E50" s="674" t="s">
        <v>47</v>
      </c>
      <c r="F50" s="908" t="s">
        <v>47</v>
      </c>
      <c r="G50" s="181" t="s">
        <v>47</v>
      </c>
      <c r="H50" s="184" t="s">
        <v>47</v>
      </c>
      <c r="I50" s="185" t="s">
        <v>47</v>
      </c>
      <c r="J50" s="181" t="s">
        <v>47</v>
      </c>
      <c r="K50" s="184" t="s">
        <v>47</v>
      </c>
      <c r="L50" s="185" t="s">
        <v>47</v>
      </c>
      <c r="M50" s="186"/>
      <c r="N50" s="187"/>
      <c r="O50" s="188">
        <f>M50+N50</f>
        <v>0</v>
      </c>
      <c r="P50" s="189"/>
      <c r="R50" s="53"/>
      <c r="S50" s="53"/>
      <c r="T50" s="53"/>
    </row>
    <row r="51" spans="1:20" x14ac:dyDescent="0.25">
      <c r="A51" s="190"/>
      <c r="B51" s="179"/>
      <c r="C51" s="191"/>
      <c r="D51" s="192"/>
      <c r="E51" s="193"/>
      <c r="F51" s="194"/>
      <c r="G51" s="192"/>
      <c r="H51" s="195"/>
      <c r="I51" s="185"/>
      <c r="J51" s="196"/>
      <c r="K51" s="197"/>
      <c r="L51" s="188"/>
      <c r="M51" s="186"/>
      <c r="N51" s="187"/>
      <c r="O51" s="188"/>
      <c r="P51" s="189"/>
      <c r="R51" s="53"/>
      <c r="S51" s="53"/>
      <c r="T51" s="53"/>
    </row>
    <row r="52" spans="1:20" s="41" customFormat="1" x14ac:dyDescent="0.25">
      <c r="A52" s="198"/>
      <c r="B52" s="199" t="s">
        <v>70</v>
      </c>
      <c r="C52" s="200"/>
      <c r="D52" s="201"/>
      <c r="E52" s="202"/>
      <c r="F52" s="203"/>
      <c r="G52" s="201"/>
      <c r="H52" s="204"/>
      <c r="I52" s="205"/>
      <c r="J52" s="201"/>
      <c r="K52" s="204"/>
      <c r="L52" s="205"/>
      <c r="M52" s="206"/>
      <c r="N52" s="207"/>
      <c r="O52" s="205"/>
      <c r="P52" s="208"/>
      <c r="R52" s="53"/>
      <c r="S52" s="53"/>
      <c r="T52" s="53"/>
    </row>
    <row r="53" spans="1:20" s="41" customFormat="1" ht="12.75" thickBot="1" x14ac:dyDescent="0.3">
      <c r="A53" s="209"/>
      <c r="B53" s="42" t="s">
        <v>71</v>
      </c>
      <c r="C53" s="210">
        <f t="shared" ref="C53:C116" si="3">SUM(F53,I53,L53,O53)</f>
        <v>980754</v>
      </c>
      <c r="D53" s="211">
        <f>SUM(D54,D284)</f>
        <v>477905</v>
      </c>
      <c r="E53" s="212">
        <f>SUM(E54,E284)</f>
        <v>0</v>
      </c>
      <c r="F53" s="213">
        <f t="shared" ref="F53:F116" si="4">D53+E53</f>
        <v>477905</v>
      </c>
      <c r="G53" s="211">
        <f>SUM(G54,G284)</f>
        <v>489214</v>
      </c>
      <c r="H53" s="214">
        <f>SUM(H54,H284)</f>
        <v>0</v>
      </c>
      <c r="I53" s="215">
        <f t="shared" ref="I53:I116" si="5">G53+H53</f>
        <v>489214</v>
      </c>
      <c r="J53" s="211">
        <f>SUM(J54,J284)</f>
        <v>13635</v>
      </c>
      <c r="K53" s="214">
        <f>SUM(K54,K284)</f>
        <v>0</v>
      </c>
      <c r="L53" s="215">
        <f t="shared" ref="L53:L116" si="6">J53+K53</f>
        <v>13635</v>
      </c>
      <c r="M53" s="216">
        <f>SUM(M54,M284)</f>
        <v>0</v>
      </c>
      <c r="N53" s="217">
        <f>SUM(N54,N284)</f>
        <v>0</v>
      </c>
      <c r="O53" s="215">
        <f t="shared" ref="O53:O116" si="7">M53+N53</f>
        <v>0</v>
      </c>
      <c r="P53" s="52"/>
      <c r="R53" s="53"/>
      <c r="S53" s="53"/>
      <c r="T53" s="53"/>
    </row>
    <row r="54" spans="1:20" s="41" customFormat="1" ht="36.75" thickTop="1" x14ac:dyDescent="0.25">
      <c r="A54" s="218"/>
      <c r="B54" s="219" t="s">
        <v>72</v>
      </c>
      <c r="C54" s="220">
        <f t="shared" si="3"/>
        <v>980754</v>
      </c>
      <c r="D54" s="221">
        <f>SUM(D55,D197)</f>
        <v>477905</v>
      </c>
      <c r="E54" s="222">
        <f>SUM(E55,E197)</f>
        <v>0</v>
      </c>
      <c r="F54" s="223">
        <f t="shared" si="4"/>
        <v>477905</v>
      </c>
      <c r="G54" s="221">
        <f>SUM(G55,G197)</f>
        <v>489214</v>
      </c>
      <c r="H54" s="224">
        <f>SUM(H55,H197)</f>
        <v>0</v>
      </c>
      <c r="I54" s="225">
        <f t="shared" si="5"/>
        <v>489214</v>
      </c>
      <c r="J54" s="221">
        <f>SUM(J55,J197)</f>
        <v>13635</v>
      </c>
      <c r="K54" s="224">
        <f>SUM(K55,K197)</f>
        <v>0</v>
      </c>
      <c r="L54" s="225">
        <f t="shared" si="6"/>
        <v>13635</v>
      </c>
      <c r="M54" s="226">
        <f>SUM(M55,M197)</f>
        <v>0</v>
      </c>
      <c r="N54" s="227">
        <f>SUM(N55,N197)</f>
        <v>0</v>
      </c>
      <c r="O54" s="225">
        <f t="shared" si="7"/>
        <v>0</v>
      </c>
      <c r="P54" s="228"/>
      <c r="R54" s="53"/>
      <c r="S54" s="53"/>
      <c r="T54" s="53"/>
    </row>
    <row r="55" spans="1:20" s="41" customFormat="1" ht="24" x14ac:dyDescent="0.25">
      <c r="A55" s="35"/>
      <c r="B55" s="30" t="s">
        <v>73</v>
      </c>
      <c r="C55" s="229">
        <f t="shared" si="3"/>
        <v>947247</v>
      </c>
      <c r="D55" s="230">
        <f>SUM(D56,D78,D176,D190)</f>
        <v>451431</v>
      </c>
      <c r="E55" s="231">
        <f>SUM(E56,E78,E176,E190)</f>
        <v>0</v>
      </c>
      <c r="F55" s="232">
        <f t="shared" si="4"/>
        <v>451431</v>
      </c>
      <c r="G55" s="230">
        <f>SUM(G56,G78,G176,G190)</f>
        <v>485064</v>
      </c>
      <c r="H55" s="233">
        <f>SUM(H56,H78,H176,H190)</f>
        <v>0</v>
      </c>
      <c r="I55" s="234">
        <f t="shared" si="5"/>
        <v>485064</v>
      </c>
      <c r="J55" s="230">
        <f>SUM(J56,J78,J176,J190)</f>
        <v>10752</v>
      </c>
      <c r="K55" s="233">
        <f>SUM(K56,K78,K176,K190)</f>
        <v>0</v>
      </c>
      <c r="L55" s="234">
        <f t="shared" si="6"/>
        <v>10752</v>
      </c>
      <c r="M55" s="53">
        <f>SUM(M56,M78,M176,M190)</f>
        <v>0</v>
      </c>
      <c r="N55" s="235">
        <f>SUM(N56,N78,N176,N190)</f>
        <v>0</v>
      </c>
      <c r="O55" s="234">
        <f t="shared" si="7"/>
        <v>0</v>
      </c>
      <c r="P55" s="236"/>
      <c r="R55" s="53"/>
      <c r="S55" s="53"/>
      <c r="T55" s="53"/>
    </row>
    <row r="56" spans="1:20" s="41" customFormat="1" x14ac:dyDescent="0.25">
      <c r="A56" s="237">
        <v>1000</v>
      </c>
      <c r="B56" s="237" t="s">
        <v>74</v>
      </c>
      <c r="C56" s="238">
        <f t="shared" si="3"/>
        <v>796284</v>
      </c>
      <c r="D56" s="239">
        <f>SUM(D57,D70)</f>
        <v>315794</v>
      </c>
      <c r="E56" s="240">
        <f>SUM(E57,E70)</f>
        <v>0</v>
      </c>
      <c r="F56" s="241">
        <f t="shared" si="4"/>
        <v>315794</v>
      </c>
      <c r="G56" s="239">
        <f>SUM(G57,G70)</f>
        <v>480490</v>
      </c>
      <c r="H56" s="242">
        <f>SUM(H57,H70)</f>
        <v>0</v>
      </c>
      <c r="I56" s="243">
        <f t="shared" si="5"/>
        <v>480490</v>
      </c>
      <c r="J56" s="239">
        <f>SUM(J57,J70)</f>
        <v>0</v>
      </c>
      <c r="K56" s="242">
        <f>SUM(K57,K70)</f>
        <v>0</v>
      </c>
      <c r="L56" s="243">
        <f t="shared" si="6"/>
        <v>0</v>
      </c>
      <c r="M56" s="244">
        <f>SUM(M57,M70)</f>
        <v>0</v>
      </c>
      <c r="N56" s="245">
        <f>SUM(N57,N70)</f>
        <v>0</v>
      </c>
      <c r="O56" s="243">
        <f t="shared" si="7"/>
        <v>0</v>
      </c>
      <c r="P56" s="246"/>
      <c r="R56" s="53"/>
      <c r="S56" s="53"/>
      <c r="T56" s="53"/>
    </row>
    <row r="57" spans="1:20" x14ac:dyDescent="0.25">
      <c r="A57" s="99">
        <v>1100</v>
      </c>
      <c r="B57" s="247" t="s">
        <v>75</v>
      </c>
      <c r="C57" s="100">
        <f t="shared" si="3"/>
        <v>608876</v>
      </c>
      <c r="D57" s="112">
        <f>SUM(D58,D61,D69)</f>
        <v>221502</v>
      </c>
      <c r="E57" s="248">
        <f>SUM(E58,E61,E69)</f>
        <v>0</v>
      </c>
      <c r="F57" s="249">
        <f t="shared" si="4"/>
        <v>221502</v>
      </c>
      <c r="G57" s="112">
        <f>SUM(G58,G61,G69)</f>
        <v>387374</v>
      </c>
      <c r="H57" s="113">
        <f>SUM(H58,H61,H69)</f>
        <v>0</v>
      </c>
      <c r="I57" s="114">
        <f t="shared" si="5"/>
        <v>387374</v>
      </c>
      <c r="J57" s="112">
        <f>SUM(J58,J61,J69)</f>
        <v>0</v>
      </c>
      <c r="K57" s="113">
        <f>SUM(K58,K61,K69)</f>
        <v>0</v>
      </c>
      <c r="L57" s="114">
        <f t="shared" si="6"/>
        <v>0</v>
      </c>
      <c r="M57" s="250">
        <f>SUM(M58,M61,M69)</f>
        <v>0</v>
      </c>
      <c r="N57" s="251">
        <f>SUM(N58,N61,N69)</f>
        <v>0</v>
      </c>
      <c r="O57" s="252">
        <f t="shared" si="7"/>
        <v>0</v>
      </c>
      <c r="P57" s="253"/>
      <c r="R57" s="53"/>
      <c r="S57" s="53"/>
      <c r="T57" s="53"/>
    </row>
    <row r="58" spans="1:20" x14ac:dyDescent="0.25">
      <c r="A58" s="254">
        <v>1110</v>
      </c>
      <c r="B58" s="179" t="s">
        <v>76</v>
      </c>
      <c r="C58" s="191">
        <f t="shared" si="3"/>
        <v>555936</v>
      </c>
      <c r="D58" s="255">
        <f>SUM(D59:D60)</f>
        <v>190220</v>
      </c>
      <c r="E58" s="256">
        <f>SUM(E59:E60)</f>
        <v>0</v>
      </c>
      <c r="F58" s="257">
        <f t="shared" si="4"/>
        <v>190220</v>
      </c>
      <c r="G58" s="255">
        <f>SUM(G59:G60)</f>
        <v>365716</v>
      </c>
      <c r="H58" s="258">
        <f>SUM(H59:H60)</f>
        <v>0</v>
      </c>
      <c r="I58" s="259">
        <f t="shared" si="5"/>
        <v>365716</v>
      </c>
      <c r="J58" s="255">
        <f>SUM(J59:J60)</f>
        <v>0</v>
      </c>
      <c r="K58" s="258">
        <f>SUM(K59:K60)</f>
        <v>0</v>
      </c>
      <c r="L58" s="259">
        <f t="shared" si="6"/>
        <v>0</v>
      </c>
      <c r="M58" s="260">
        <f>SUM(M59:M60)</f>
        <v>0</v>
      </c>
      <c r="N58" s="261">
        <f>SUM(N59:N60)</f>
        <v>0</v>
      </c>
      <c r="O58" s="259">
        <f t="shared" si="7"/>
        <v>0</v>
      </c>
      <c r="P58" s="189"/>
      <c r="R58" s="53"/>
      <c r="S58" s="53"/>
      <c r="T58" s="53"/>
    </row>
    <row r="59" spans="1:20" hidden="1" x14ac:dyDescent="0.25">
      <c r="A59" s="66">
        <v>1111</v>
      </c>
      <c r="B59" s="116" t="s">
        <v>77</v>
      </c>
      <c r="C59" s="117">
        <f t="shared" si="3"/>
        <v>0</v>
      </c>
      <c r="D59" s="123"/>
      <c r="E59" s="295"/>
      <c r="F59" s="296">
        <f t="shared" si="4"/>
        <v>0</v>
      </c>
      <c r="G59" s="123"/>
      <c r="H59" s="124"/>
      <c r="I59" s="125">
        <f t="shared" si="5"/>
        <v>0</v>
      </c>
      <c r="J59" s="123"/>
      <c r="K59" s="124"/>
      <c r="L59" s="125">
        <f t="shared" si="6"/>
        <v>0</v>
      </c>
      <c r="M59" s="264"/>
      <c r="N59" s="262"/>
      <c r="O59" s="125">
        <f t="shared" si="7"/>
        <v>0</v>
      </c>
      <c r="P59" s="74"/>
      <c r="R59" s="53"/>
      <c r="S59" s="53"/>
      <c r="T59" s="53"/>
    </row>
    <row r="60" spans="1:20" ht="24" x14ac:dyDescent="0.25">
      <c r="A60" s="76">
        <v>1119</v>
      </c>
      <c r="B60" s="127" t="s">
        <v>78</v>
      </c>
      <c r="C60" s="128">
        <f t="shared" si="3"/>
        <v>555936</v>
      </c>
      <c r="D60" s="134">
        <f>184550+466+5414-210</f>
        <v>190220</v>
      </c>
      <c r="E60" s="283"/>
      <c r="F60" s="279">
        <f t="shared" si="4"/>
        <v>190220</v>
      </c>
      <c r="G60" s="134">
        <f>357407+8309</f>
        <v>365716</v>
      </c>
      <c r="H60" s="135"/>
      <c r="I60" s="136">
        <f t="shared" si="5"/>
        <v>365716</v>
      </c>
      <c r="J60" s="134"/>
      <c r="K60" s="135"/>
      <c r="L60" s="136">
        <f t="shared" si="6"/>
        <v>0</v>
      </c>
      <c r="M60" s="284"/>
      <c r="N60" s="285"/>
      <c r="O60" s="136">
        <f t="shared" si="7"/>
        <v>0</v>
      </c>
      <c r="P60" s="85"/>
      <c r="R60" s="53"/>
      <c r="S60" s="53"/>
      <c r="T60" s="53"/>
    </row>
    <row r="61" spans="1:20" ht="24" x14ac:dyDescent="0.25">
      <c r="A61" s="276">
        <v>1140</v>
      </c>
      <c r="B61" s="127" t="s">
        <v>79</v>
      </c>
      <c r="C61" s="128">
        <f t="shared" si="3"/>
        <v>51665</v>
      </c>
      <c r="D61" s="277">
        <f>SUM(D62:D68)</f>
        <v>30007</v>
      </c>
      <c r="E61" s="278">
        <f>SUM(E62:E68)</f>
        <v>0</v>
      </c>
      <c r="F61" s="279">
        <f t="shared" si="4"/>
        <v>30007</v>
      </c>
      <c r="G61" s="277">
        <f>SUM(G62:G68)</f>
        <v>21658</v>
      </c>
      <c r="H61" s="280">
        <f>SUM(H62:H68)</f>
        <v>0</v>
      </c>
      <c r="I61" s="136">
        <f t="shared" si="5"/>
        <v>21658</v>
      </c>
      <c r="J61" s="277">
        <f>SUM(J62:J68)</f>
        <v>0</v>
      </c>
      <c r="K61" s="280">
        <f>SUM(K62:K68)</f>
        <v>0</v>
      </c>
      <c r="L61" s="136">
        <f t="shared" si="6"/>
        <v>0</v>
      </c>
      <c r="M61" s="281">
        <f>SUM(M62:M68)</f>
        <v>0</v>
      </c>
      <c r="N61" s="282">
        <f>SUM(N62:N68)</f>
        <v>0</v>
      </c>
      <c r="O61" s="136">
        <f t="shared" si="7"/>
        <v>0</v>
      </c>
      <c r="P61" s="85"/>
      <c r="R61" s="53"/>
      <c r="S61" s="53"/>
      <c r="T61" s="53"/>
    </row>
    <row r="62" spans="1:20" x14ac:dyDescent="0.25">
      <c r="A62" s="76">
        <v>1141</v>
      </c>
      <c r="B62" s="127" t="s">
        <v>80</v>
      </c>
      <c r="C62" s="128">
        <f t="shared" si="3"/>
        <v>3748</v>
      </c>
      <c r="D62" s="134">
        <v>3748</v>
      </c>
      <c r="E62" s="283"/>
      <c r="F62" s="279">
        <f t="shared" si="4"/>
        <v>3748</v>
      </c>
      <c r="G62" s="134"/>
      <c r="H62" s="135"/>
      <c r="I62" s="136">
        <f t="shared" si="5"/>
        <v>0</v>
      </c>
      <c r="J62" s="134"/>
      <c r="K62" s="135"/>
      <c r="L62" s="136">
        <f t="shared" si="6"/>
        <v>0</v>
      </c>
      <c r="M62" s="284"/>
      <c r="N62" s="285"/>
      <c r="O62" s="136">
        <f t="shared" si="7"/>
        <v>0</v>
      </c>
      <c r="P62" s="85"/>
      <c r="R62" s="53"/>
      <c r="S62" s="53"/>
      <c r="T62" s="53"/>
    </row>
    <row r="63" spans="1:20" ht="24" x14ac:dyDescent="0.25">
      <c r="A63" s="76">
        <v>1142</v>
      </c>
      <c r="B63" s="127" t="s">
        <v>81</v>
      </c>
      <c r="C63" s="128">
        <f t="shared" si="3"/>
        <v>922</v>
      </c>
      <c r="D63" s="134">
        <v>922</v>
      </c>
      <c r="E63" s="283"/>
      <c r="F63" s="279">
        <f t="shared" si="4"/>
        <v>922</v>
      </c>
      <c r="G63" s="134"/>
      <c r="H63" s="135"/>
      <c r="I63" s="136">
        <f t="shared" si="5"/>
        <v>0</v>
      </c>
      <c r="J63" s="134"/>
      <c r="K63" s="135"/>
      <c r="L63" s="136">
        <f t="shared" si="6"/>
        <v>0</v>
      </c>
      <c r="M63" s="284"/>
      <c r="N63" s="285"/>
      <c r="O63" s="136">
        <f t="shared" si="7"/>
        <v>0</v>
      </c>
      <c r="P63" s="85"/>
      <c r="R63" s="53"/>
      <c r="S63" s="53"/>
      <c r="T63" s="53"/>
    </row>
    <row r="64" spans="1:20" ht="24" x14ac:dyDescent="0.25">
      <c r="A64" s="76">
        <v>1145</v>
      </c>
      <c r="B64" s="127" t="s">
        <v>82</v>
      </c>
      <c r="C64" s="128">
        <f t="shared" si="3"/>
        <v>1037</v>
      </c>
      <c r="D64" s="134">
        <f>324+45-174</f>
        <v>195</v>
      </c>
      <c r="E64" s="283"/>
      <c r="F64" s="279">
        <f t="shared" si="4"/>
        <v>195</v>
      </c>
      <c r="G64" s="134">
        <f>2845-2003</f>
        <v>842</v>
      </c>
      <c r="H64" s="135"/>
      <c r="I64" s="136">
        <f t="shared" si="5"/>
        <v>842</v>
      </c>
      <c r="J64" s="134"/>
      <c r="K64" s="135"/>
      <c r="L64" s="136">
        <f t="shared" si="6"/>
        <v>0</v>
      </c>
      <c r="M64" s="284"/>
      <c r="N64" s="285"/>
      <c r="O64" s="136">
        <f t="shared" si="7"/>
        <v>0</v>
      </c>
      <c r="P64" s="85"/>
      <c r="R64" s="53"/>
      <c r="S64" s="53"/>
      <c r="T64" s="53"/>
    </row>
    <row r="65" spans="1:20" ht="24" hidden="1" x14ac:dyDescent="0.25">
      <c r="A65" s="76">
        <v>1146</v>
      </c>
      <c r="B65" s="127" t="s">
        <v>83</v>
      </c>
      <c r="C65" s="128">
        <f t="shared" si="3"/>
        <v>0</v>
      </c>
      <c r="D65" s="134">
        <v>0</v>
      </c>
      <c r="E65" s="283"/>
      <c r="F65" s="279">
        <f t="shared" si="4"/>
        <v>0</v>
      </c>
      <c r="G65" s="134"/>
      <c r="H65" s="135"/>
      <c r="I65" s="136">
        <f t="shared" si="5"/>
        <v>0</v>
      </c>
      <c r="J65" s="134"/>
      <c r="K65" s="135"/>
      <c r="L65" s="136">
        <f t="shared" si="6"/>
        <v>0</v>
      </c>
      <c r="M65" s="284"/>
      <c r="N65" s="285"/>
      <c r="O65" s="136">
        <f t="shared" si="7"/>
        <v>0</v>
      </c>
      <c r="P65" s="85"/>
      <c r="R65" s="53"/>
      <c r="S65" s="53"/>
      <c r="T65" s="53"/>
    </row>
    <row r="66" spans="1:20" x14ac:dyDescent="0.25">
      <c r="A66" s="76">
        <v>1147</v>
      </c>
      <c r="B66" s="127" t="s">
        <v>84</v>
      </c>
      <c r="C66" s="128">
        <f t="shared" si="3"/>
        <v>3599</v>
      </c>
      <c r="D66" s="134">
        <v>3599</v>
      </c>
      <c r="E66" s="283"/>
      <c r="F66" s="279">
        <f t="shared" si="4"/>
        <v>3599</v>
      </c>
      <c r="G66" s="134"/>
      <c r="H66" s="135"/>
      <c r="I66" s="136">
        <f t="shared" si="5"/>
        <v>0</v>
      </c>
      <c r="J66" s="134"/>
      <c r="K66" s="135"/>
      <c r="L66" s="136">
        <f t="shared" si="6"/>
        <v>0</v>
      </c>
      <c r="M66" s="284"/>
      <c r="N66" s="285"/>
      <c r="O66" s="136">
        <f t="shared" si="7"/>
        <v>0</v>
      </c>
      <c r="P66" s="85"/>
      <c r="R66" s="53"/>
      <c r="S66" s="53"/>
      <c r="T66" s="53"/>
    </row>
    <row r="67" spans="1:20" ht="24" x14ac:dyDescent="0.25">
      <c r="A67" s="76">
        <v>1148</v>
      </c>
      <c r="B67" s="127" t="s">
        <v>85</v>
      </c>
      <c r="C67" s="128">
        <f t="shared" si="3"/>
        <v>27918</v>
      </c>
      <c r="D67" s="134">
        <f>19210+619-167</f>
        <v>19662</v>
      </c>
      <c r="E67" s="283"/>
      <c r="F67" s="279">
        <f t="shared" si="4"/>
        <v>19662</v>
      </c>
      <c r="G67" s="134">
        <v>2756</v>
      </c>
      <c r="H67" s="135">
        <v>5500</v>
      </c>
      <c r="I67" s="136">
        <f t="shared" si="5"/>
        <v>8256</v>
      </c>
      <c r="J67" s="134"/>
      <c r="K67" s="135"/>
      <c r="L67" s="136">
        <f t="shared" si="6"/>
        <v>0</v>
      </c>
      <c r="M67" s="284"/>
      <c r="N67" s="285"/>
      <c r="O67" s="136">
        <f t="shared" si="7"/>
        <v>0</v>
      </c>
      <c r="P67" s="85" t="s">
        <v>1104</v>
      </c>
      <c r="R67" s="53"/>
      <c r="S67" s="53"/>
      <c r="T67" s="53"/>
    </row>
    <row r="68" spans="1:20" ht="48" x14ac:dyDescent="0.25">
      <c r="A68" s="76">
        <v>1149</v>
      </c>
      <c r="B68" s="127" t="s">
        <v>86</v>
      </c>
      <c r="C68" s="128">
        <f t="shared" si="3"/>
        <v>14441</v>
      </c>
      <c r="D68" s="134">
        <f>1723+158</f>
        <v>1881</v>
      </c>
      <c r="E68" s="283"/>
      <c r="F68" s="279">
        <f t="shared" si="4"/>
        <v>1881</v>
      </c>
      <c r="G68" s="134">
        <f>16476+1584</f>
        <v>18060</v>
      </c>
      <c r="H68" s="135">
        <v>-5500</v>
      </c>
      <c r="I68" s="136">
        <f t="shared" si="5"/>
        <v>12560</v>
      </c>
      <c r="J68" s="134"/>
      <c r="K68" s="135"/>
      <c r="L68" s="136">
        <f t="shared" si="6"/>
        <v>0</v>
      </c>
      <c r="M68" s="284"/>
      <c r="N68" s="285"/>
      <c r="O68" s="136">
        <f t="shared" si="7"/>
        <v>0</v>
      </c>
      <c r="P68" s="85" t="s">
        <v>1105</v>
      </c>
      <c r="R68" s="53"/>
      <c r="S68" s="53"/>
      <c r="T68" s="53"/>
    </row>
    <row r="69" spans="1:20" ht="36" x14ac:dyDescent="0.25">
      <c r="A69" s="254">
        <v>1150</v>
      </c>
      <c r="B69" s="179" t="s">
        <v>87</v>
      </c>
      <c r="C69" s="128">
        <f t="shared" si="3"/>
        <v>1275</v>
      </c>
      <c r="D69" s="287">
        <v>1275</v>
      </c>
      <c r="E69" s="288"/>
      <c r="F69" s="257">
        <f t="shared" si="4"/>
        <v>1275</v>
      </c>
      <c r="G69" s="287"/>
      <c r="H69" s="289"/>
      <c r="I69" s="259">
        <f t="shared" si="5"/>
        <v>0</v>
      </c>
      <c r="J69" s="287"/>
      <c r="K69" s="289"/>
      <c r="L69" s="259">
        <f t="shared" si="6"/>
        <v>0</v>
      </c>
      <c r="M69" s="290"/>
      <c r="N69" s="291"/>
      <c r="O69" s="259">
        <f t="shared" si="7"/>
        <v>0</v>
      </c>
      <c r="P69" s="189"/>
      <c r="R69" s="53"/>
      <c r="S69" s="53"/>
      <c r="T69" s="53"/>
    </row>
    <row r="70" spans="1:20" ht="36" x14ac:dyDescent="0.25">
      <c r="A70" s="99">
        <v>1200</v>
      </c>
      <c r="B70" s="247" t="s">
        <v>88</v>
      </c>
      <c r="C70" s="100">
        <f t="shared" si="3"/>
        <v>187408</v>
      </c>
      <c r="D70" s="112">
        <f>SUM(D71:D72)</f>
        <v>94292</v>
      </c>
      <c r="E70" s="248">
        <f>SUM(E71:E72)</f>
        <v>0</v>
      </c>
      <c r="F70" s="249">
        <f t="shared" si="4"/>
        <v>94292</v>
      </c>
      <c r="G70" s="112">
        <f>SUM(G71:G72)</f>
        <v>93116</v>
      </c>
      <c r="H70" s="113">
        <f>SUM(H71:H72)</f>
        <v>0</v>
      </c>
      <c r="I70" s="114">
        <f t="shared" si="5"/>
        <v>93116</v>
      </c>
      <c r="J70" s="112">
        <f>SUM(J71:J72)</f>
        <v>0</v>
      </c>
      <c r="K70" s="113">
        <f>SUM(K71:K72)</f>
        <v>0</v>
      </c>
      <c r="L70" s="114">
        <f t="shared" si="6"/>
        <v>0</v>
      </c>
      <c r="M70" s="292">
        <f>SUM(M71:M72)</f>
        <v>0</v>
      </c>
      <c r="N70" s="293">
        <f>SUM(N71:N72)</f>
        <v>0</v>
      </c>
      <c r="O70" s="114">
        <f t="shared" si="7"/>
        <v>0</v>
      </c>
      <c r="P70" s="109"/>
      <c r="R70" s="53"/>
      <c r="S70" s="53"/>
      <c r="T70" s="53"/>
    </row>
    <row r="71" spans="1:20" ht="24" x14ac:dyDescent="0.25">
      <c r="A71" s="656">
        <v>1210</v>
      </c>
      <c r="B71" s="116" t="s">
        <v>89</v>
      </c>
      <c r="C71" s="117">
        <f t="shared" si="3"/>
        <v>146433</v>
      </c>
      <c r="D71" s="123">
        <f>57543+110-1632-427-370+1565-72</f>
        <v>56717</v>
      </c>
      <c r="E71" s="295"/>
      <c r="F71" s="296">
        <f t="shared" si="4"/>
        <v>56717</v>
      </c>
      <c r="G71" s="123">
        <f>87201+2515</f>
        <v>89716</v>
      </c>
      <c r="H71" s="124"/>
      <c r="I71" s="125">
        <f t="shared" si="5"/>
        <v>89716</v>
      </c>
      <c r="J71" s="123"/>
      <c r="K71" s="124"/>
      <c r="L71" s="125">
        <f t="shared" si="6"/>
        <v>0</v>
      </c>
      <c r="M71" s="264"/>
      <c r="N71" s="262"/>
      <c r="O71" s="125">
        <f t="shared" si="7"/>
        <v>0</v>
      </c>
      <c r="P71" s="74"/>
      <c r="R71" s="53"/>
      <c r="S71" s="53"/>
      <c r="T71" s="53"/>
    </row>
    <row r="72" spans="1:20" ht="24" x14ac:dyDescent="0.25">
      <c r="A72" s="276">
        <v>1220</v>
      </c>
      <c r="B72" s="127" t="s">
        <v>90</v>
      </c>
      <c r="C72" s="128">
        <f t="shared" si="3"/>
        <v>40975</v>
      </c>
      <c r="D72" s="277">
        <f>SUM(D73:D77)</f>
        <v>37575</v>
      </c>
      <c r="E72" s="278">
        <f>SUM(E73:E77)</f>
        <v>0</v>
      </c>
      <c r="F72" s="279">
        <f t="shared" si="4"/>
        <v>37575</v>
      </c>
      <c r="G72" s="277">
        <f>SUM(G73:G77)</f>
        <v>3400</v>
      </c>
      <c r="H72" s="280">
        <f>SUM(H73:H77)</f>
        <v>0</v>
      </c>
      <c r="I72" s="136">
        <f t="shared" si="5"/>
        <v>3400</v>
      </c>
      <c r="J72" s="277">
        <f>SUM(J73:J77)</f>
        <v>0</v>
      </c>
      <c r="K72" s="280">
        <f>SUM(K73:K77)</f>
        <v>0</v>
      </c>
      <c r="L72" s="136">
        <f t="shared" si="6"/>
        <v>0</v>
      </c>
      <c r="M72" s="281">
        <f>SUM(M73:M77)</f>
        <v>0</v>
      </c>
      <c r="N72" s="282">
        <f>SUM(N73:N77)</f>
        <v>0</v>
      </c>
      <c r="O72" s="136">
        <f t="shared" si="7"/>
        <v>0</v>
      </c>
      <c r="P72" s="85"/>
      <c r="R72" s="53"/>
      <c r="S72" s="53"/>
      <c r="T72" s="53"/>
    </row>
    <row r="73" spans="1:20" ht="60" x14ac:dyDescent="0.25">
      <c r="A73" s="76">
        <v>1221</v>
      </c>
      <c r="B73" s="127" t="s">
        <v>91</v>
      </c>
      <c r="C73" s="128">
        <f t="shared" si="3"/>
        <v>25219</v>
      </c>
      <c r="D73" s="134">
        <f>21662+157</f>
        <v>21819</v>
      </c>
      <c r="E73" s="283"/>
      <c r="F73" s="279">
        <f t="shared" si="4"/>
        <v>21819</v>
      </c>
      <c r="G73" s="134">
        <v>3400</v>
      </c>
      <c r="H73" s="135"/>
      <c r="I73" s="136">
        <f t="shared" si="5"/>
        <v>3400</v>
      </c>
      <c r="J73" s="134"/>
      <c r="K73" s="135"/>
      <c r="L73" s="136">
        <f t="shared" si="6"/>
        <v>0</v>
      </c>
      <c r="M73" s="284"/>
      <c r="N73" s="285"/>
      <c r="O73" s="136">
        <f t="shared" si="7"/>
        <v>0</v>
      </c>
      <c r="P73" s="85" t="s">
        <v>1106</v>
      </c>
      <c r="R73" s="53"/>
      <c r="S73" s="53"/>
      <c r="T73" s="53"/>
    </row>
    <row r="74" spans="1:20" hidden="1" x14ac:dyDescent="0.25">
      <c r="A74" s="76">
        <v>1223</v>
      </c>
      <c r="B74" s="127" t="s">
        <v>92</v>
      </c>
      <c r="C74" s="128">
        <f t="shared" si="3"/>
        <v>0</v>
      </c>
      <c r="D74" s="134"/>
      <c r="E74" s="283"/>
      <c r="F74" s="279">
        <f t="shared" si="4"/>
        <v>0</v>
      </c>
      <c r="G74" s="134"/>
      <c r="H74" s="135"/>
      <c r="I74" s="136">
        <f t="shared" si="5"/>
        <v>0</v>
      </c>
      <c r="J74" s="134"/>
      <c r="K74" s="135"/>
      <c r="L74" s="136">
        <f t="shared" si="6"/>
        <v>0</v>
      </c>
      <c r="M74" s="284"/>
      <c r="N74" s="285"/>
      <c r="O74" s="136">
        <f t="shared" si="7"/>
        <v>0</v>
      </c>
      <c r="P74" s="85"/>
      <c r="R74" s="53"/>
      <c r="S74" s="53"/>
      <c r="T74" s="53"/>
    </row>
    <row r="75" spans="1:20" hidden="1" x14ac:dyDescent="0.25">
      <c r="A75" s="76">
        <v>1225</v>
      </c>
      <c r="B75" s="127" t="s">
        <v>93</v>
      </c>
      <c r="C75" s="128">
        <f t="shared" si="3"/>
        <v>0</v>
      </c>
      <c r="D75" s="134"/>
      <c r="E75" s="283"/>
      <c r="F75" s="279">
        <f t="shared" si="4"/>
        <v>0</v>
      </c>
      <c r="G75" s="134"/>
      <c r="H75" s="135"/>
      <c r="I75" s="136">
        <f t="shared" si="5"/>
        <v>0</v>
      </c>
      <c r="J75" s="134"/>
      <c r="K75" s="135"/>
      <c r="L75" s="136">
        <f t="shared" si="6"/>
        <v>0</v>
      </c>
      <c r="M75" s="284"/>
      <c r="N75" s="285"/>
      <c r="O75" s="136">
        <f t="shared" si="7"/>
        <v>0</v>
      </c>
      <c r="P75" s="85"/>
      <c r="R75" s="53"/>
      <c r="S75" s="53"/>
      <c r="T75" s="53"/>
    </row>
    <row r="76" spans="1:20" ht="36" x14ac:dyDescent="0.25">
      <c r="A76" s="76">
        <v>1227</v>
      </c>
      <c r="B76" s="127" t="s">
        <v>94</v>
      </c>
      <c r="C76" s="128">
        <f t="shared" si="3"/>
        <v>14688</v>
      </c>
      <c r="D76" s="134">
        <f>14514+174</f>
        <v>14688</v>
      </c>
      <c r="E76" s="283"/>
      <c r="F76" s="279">
        <f t="shared" si="4"/>
        <v>14688</v>
      </c>
      <c r="G76" s="134"/>
      <c r="H76" s="135"/>
      <c r="I76" s="136">
        <f t="shared" si="5"/>
        <v>0</v>
      </c>
      <c r="J76" s="134"/>
      <c r="K76" s="135"/>
      <c r="L76" s="136">
        <f t="shared" si="6"/>
        <v>0</v>
      </c>
      <c r="M76" s="284"/>
      <c r="N76" s="285"/>
      <c r="O76" s="136">
        <f t="shared" si="7"/>
        <v>0</v>
      </c>
      <c r="P76" s="85"/>
      <c r="R76" s="53"/>
      <c r="S76" s="53"/>
      <c r="T76" s="53"/>
    </row>
    <row r="77" spans="1:20" ht="60" x14ac:dyDescent="0.25">
      <c r="A77" s="76">
        <v>1228</v>
      </c>
      <c r="B77" s="127" t="s">
        <v>95</v>
      </c>
      <c r="C77" s="128">
        <f t="shared" si="3"/>
        <v>1068</v>
      </c>
      <c r="D77" s="134">
        <f>428+427+213</f>
        <v>1068</v>
      </c>
      <c r="E77" s="283"/>
      <c r="F77" s="279">
        <f t="shared" si="4"/>
        <v>1068</v>
      </c>
      <c r="G77" s="134"/>
      <c r="H77" s="135"/>
      <c r="I77" s="136">
        <f t="shared" si="5"/>
        <v>0</v>
      </c>
      <c r="J77" s="134"/>
      <c r="K77" s="135"/>
      <c r="L77" s="136">
        <f t="shared" si="6"/>
        <v>0</v>
      </c>
      <c r="M77" s="284"/>
      <c r="N77" s="285"/>
      <c r="O77" s="136">
        <f t="shared" si="7"/>
        <v>0</v>
      </c>
      <c r="P77" s="85"/>
      <c r="R77" s="53"/>
      <c r="S77" s="53"/>
      <c r="T77" s="53"/>
    </row>
    <row r="78" spans="1:20" x14ac:dyDescent="0.25">
      <c r="A78" s="237">
        <v>2000</v>
      </c>
      <c r="B78" s="237" t="s">
        <v>96</v>
      </c>
      <c r="C78" s="238">
        <f t="shared" si="3"/>
        <v>150963</v>
      </c>
      <c r="D78" s="239">
        <f>SUM(D79,D86,D133,D167,D168,D175)</f>
        <v>135637</v>
      </c>
      <c r="E78" s="240">
        <f>SUM(E79,E86,E133,E167,E168,E175)</f>
        <v>0</v>
      </c>
      <c r="F78" s="241">
        <f t="shared" si="4"/>
        <v>135637</v>
      </c>
      <c r="G78" s="239">
        <f>SUM(G79,G86,G133,G167,G168,G175)</f>
        <v>4574</v>
      </c>
      <c r="H78" s="242">
        <f>SUM(H79,H86,H133,H167,H168,H175)</f>
        <v>0</v>
      </c>
      <c r="I78" s="243">
        <f t="shared" si="5"/>
        <v>4574</v>
      </c>
      <c r="J78" s="239">
        <f>SUM(J79,J86,J133,J167,J168,J175)</f>
        <v>10752</v>
      </c>
      <c r="K78" s="242">
        <f>SUM(K79,K86,K133,K167,K168,K175)</f>
        <v>0</v>
      </c>
      <c r="L78" s="243">
        <f t="shared" si="6"/>
        <v>10752</v>
      </c>
      <c r="M78" s="244">
        <f>SUM(M79,M86,M133,M167,M168,M175)</f>
        <v>0</v>
      </c>
      <c r="N78" s="245">
        <f>SUM(N79,N86,N133,N167,N168,N175)</f>
        <v>0</v>
      </c>
      <c r="O78" s="243">
        <f t="shared" si="7"/>
        <v>0</v>
      </c>
      <c r="P78" s="246"/>
      <c r="R78" s="53"/>
      <c r="S78" s="53"/>
      <c r="T78" s="53"/>
    </row>
    <row r="79" spans="1:20" ht="24" hidden="1" x14ac:dyDescent="0.25">
      <c r="A79" s="99">
        <v>2100</v>
      </c>
      <c r="B79" s="247" t="s">
        <v>97</v>
      </c>
      <c r="C79" s="100">
        <f t="shared" si="3"/>
        <v>0</v>
      </c>
      <c r="D79" s="112">
        <f>SUM(D80,D83)</f>
        <v>0</v>
      </c>
      <c r="E79" s="248">
        <f>SUM(E80,E83)</f>
        <v>0</v>
      </c>
      <c r="F79" s="249">
        <f t="shared" si="4"/>
        <v>0</v>
      </c>
      <c r="G79" s="112">
        <f>SUM(G80,G83)</f>
        <v>0</v>
      </c>
      <c r="H79" s="113">
        <f>SUM(H80,H83)</f>
        <v>0</v>
      </c>
      <c r="I79" s="114">
        <f t="shared" si="5"/>
        <v>0</v>
      </c>
      <c r="J79" s="112">
        <f>SUM(J80,J83)</f>
        <v>0</v>
      </c>
      <c r="K79" s="113">
        <f>SUM(K80,K83)</f>
        <v>0</v>
      </c>
      <c r="L79" s="114">
        <f t="shared" si="6"/>
        <v>0</v>
      </c>
      <c r="M79" s="292">
        <f>SUM(M80,M83)</f>
        <v>0</v>
      </c>
      <c r="N79" s="293">
        <f>SUM(N80,N83)</f>
        <v>0</v>
      </c>
      <c r="O79" s="114">
        <f t="shared" si="7"/>
        <v>0</v>
      </c>
      <c r="P79" s="109"/>
      <c r="R79" s="53"/>
      <c r="S79" s="53"/>
      <c r="T79" s="53"/>
    </row>
    <row r="80" spans="1:20" ht="24" hidden="1" x14ac:dyDescent="0.25">
      <c r="A80" s="656">
        <v>2110</v>
      </c>
      <c r="B80" s="116" t="s">
        <v>98</v>
      </c>
      <c r="C80" s="117">
        <f t="shared" si="3"/>
        <v>0</v>
      </c>
      <c r="D80" s="297">
        <f>SUM(D81:D82)</f>
        <v>0</v>
      </c>
      <c r="E80" s="298">
        <f>SUM(E81:E82)</f>
        <v>0</v>
      </c>
      <c r="F80" s="296">
        <f t="shared" si="4"/>
        <v>0</v>
      </c>
      <c r="G80" s="297">
        <f>SUM(G81:G82)</f>
        <v>0</v>
      </c>
      <c r="H80" s="299">
        <f>SUM(H81:H82)</f>
        <v>0</v>
      </c>
      <c r="I80" s="125">
        <f t="shared" si="5"/>
        <v>0</v>
      </c>
      <c r="J80" s="297">
        <f>SUM(J81:J82)</f>
        <v>0</v>
      </c>
      <c r="K80" s="299">
        <f>SUM(K81:K82)</f>
        <v>0</v>
      </c>
      <c r="L80" s="125">
        <f t="shared" si="6"/>
        <v>0</v>
      </c>
      <c r="M80" s="300">
        <f>SUM(M81:M82)</f>
        <v>0</v>
      </c>
      <c r="N80" s="301">
        <f>SUM(N81:N82)</f>
        <v>0</v>
      </c>
      <c r="O80" s="125">
        <f t="shared" si="7"/>
        <v>0</v>
      </c>
      <c r="P80" s="74"/>
      <c r="R80" s="53"/>
      <c r="S80" s="53"/>
      <c r="T80" s="53"/>
    </row>
    <row r="81" spans="1:20" hidden="1" x14ac:dyDescent="0.25">
      <c r="A81" s="76">
        <v>2111</v>
      </c>
      <c r="B81" s="127" t="s">
        <v>99</v>
      </c>
      <c r="C81" s="128">
        <f t="shared" si="3"/>
        <v>0</v>
      </c>
      <c r="D81" s="134"/>
      <c r="E81" s="283"/>
      <c r="F81" s="279">
        <f t="shared" si="4"/>
        <v>0</v>
      </c>
      <c r="G81" s="134"/>
      <c r="H81" s="135"/>
      <c r="I81" s="136">
        <f t="shared" si="5"/>
        <v>0</v>
      </c>
      <c r="J81" s="134"/>
      <c r="K81" s="135"/>
      <c r="L81" s="136">
        <f t="shared" si="6"/>
        <v>0</v>
      </c>
      <c r="M81" s="284"/>
      <c r="N81" s="285"/>
      <c r="O81" s="136">
        <f t="shared" si="7"/>
        <v>0</v>
      </c>
      <c r="P81" s="85"/>
      <c r="R81" s="53"/>
      <c r="S81" s="53"/>
      <c r="T81" s="53"/>
    </row>
    <row r="82" spans="1:20" ht="24" hidden="1" x14ac:dyDescent="0.25">
      <c r="A82" s="76">
        <v>2112</v>
      </c>
      <c r="B82" s="127" t="s">
        <v>100</v>
      </c>
      <c r="C82" s="128">
        <f t="shared" si="3"/>
        <v>0</v>
      </c>
      <c r="D82" s="134"/>
      <c r="E82" s="283"/>
      <c r="F82" s="279">
        <f t="shared" si="4"/>
        <v>0</v>
      </c>
      <c r="G82" s="134"/>
      <c r="H82" s="135"/>
      <c r="I82" s="136">
        <f t="shared" si="5"/>
        <v>0</v>
      </c>
      <c r="J82" s="134"/>
      <c r="K82" s="135"/>
      <c r="L82" s="136">
        <f t="shared" si="6"/>
        <v>0</v>
      </c>
      <c r="M82" s="284"/>
      <c r="N82" s="285"/>
      <c r="O82" s="136">
        <f t="shared" si="7"/>
        <v>0</v>
      </c>
      <c r="P82" s="85"/>
      <c r="R82" s="53"/>
      <c r="S82" s="53"/>
      <c r="T82" s="53"/>
    </row>
    <row r="83" spans="1:20" ht="24" hidden="1" x14ac:dyDescent="0.25">
      <c r="A83" s="276">
        <v>2120</v>
      </c>
      <c r="B83" s="127" t="s">
        <v>101</v>
      </c>
      <c r="C83" s="128">
        <f t="shared" si="3"/>
        <v>0</v>
      </c>
      <c r="D83" s="277">
        <f>SUM(D84:D85)</f>
        <v>0</v>
      </c>
      <c r="E83" s="278">
        <f>SUM(E84:E85)</f>
        <v>0</v>
      </c>
      <c r="F83" s="279">
        <f t="shared" si="4"/>
        <v>0</v>
      </c>
      <c r="G83" s="277">
        <f>SUM(G84:G85)</f>
        <v>0</v>
      </c>
      <c r="H83" s="280">
        <f>SUM(H84:H85)</f>
        <v>0</v>
      </c>
      <c r="I83" s="136">
        <f t="shared" si="5"/>
        <v>0</v>
      </c>
      <c r="J83" s="277">
        <f>SUM(J84:J85)</f>
        <v>0</v>
      </c>
      <c r="K83" s="280">
        <f>SUM(K84:K85)</f>
        <v>0</v>
      </c>
      <c r="L83" s="136">
        <f t="shared" si="6"/>
        <v>0</v>
      </c>
      <c r="M83" s="281">
        <f>SUM(M84:M85)</f>
        <v>0</v>
      </c>
      <c r="N83" s="282">
        <f>SUM(N84:N85)</f>
        <v>0</v>
      </c>
      <c r="O83" s="136">
        <f t="shared" si="7"/>
        <v>0</v>
      </c>
      <c r="P83" s="85"/>
      <c r="R83" s="53"/>
      <c r="S83" s="53"/>
      <c r="T83" s="53"/>
    </row>
    <row r="84" spans="1:20" hidden="1" x14ac:dyDescent="0.25">
      <c r="A84" s="76">
        <v>2121</v>
      </c>
      <c r="B84" s="127" t="s">
        <v>99</v>
      </c>
      <c r="C84" s="128">
        <f t="shared" si="3"/>
        <v>0</v>
      </c>
      <c r="D84" s="134"/>
      <c r="E84" s="283"/>
      <c r="F84" s="279">
        <f t="shared" si="4"/>
        <v>0</v>
      </c>
      <c r="G84" s="134"/>
      <c r="H84" s="135"/>
      <c r="I84" s="136">
        <f t="shared" si="5"/>
        <v>0</v>
      </c>
      <c r="J84" s="134"/>
      <c r="K84" s="135"/>
      <c r="L84" s="136">
        <f t="shared" si="6"/>
        <v>0</v>
      </c>
      <c r="M84" s="284"/>
      <c r="N84" s="285"/>
      <c r="O84" s="136">
        <f t="shared" si="7"/>
        <v>0</v>
      </c>
      <c r="P84" s="85"/>
      <c r="R84" s="53"/>
      <c r="S84" s="53"/>
      <c r="T84" s="53"/>
    </row>
    <row r="85" spans="1:20" ht="24" hidden="1" x14ac:dyDescent="0.25">
      <c r="A85" s="76">
        <v>2122</v>
      </c>
      <c r="B85" s="127" t="s">
        <v>100</v>
      </c>
      <c r="C85" s="128">
        <f t="shared" si="3"/>
        <v>0</v>
      </c>
      <c r="D85" s="134"/>
      <c r="E85" s="283"/>
      <c r="F85" s="279">
        <f t="shared" si="4"/>
        <v>0</v>
      </c>
      <c r="G85" s="134"/>
      <c r="H85" s="135"/>
      <c r="I85" s="136">
        <f t="shared" si="5"/>
        <v>0</v>
      </c>
      <c r="J85" s="134"/>
      <c r="K85" s="135"/>
      <c r="L85" s="136">
        <f t="shared" si="6"/>
        <v>0</v>
      </c>
      <c r="M85" s="284"/>
      <c r="N85" s="285"/>
      <c r="O85" s="136">
        <f t="shared" si="7"/>
        <v>0</v>
      </c>
      <c r="P85" s="85"/>
      <c r="R85" s="53"/>
      <c r="S85" s="53"/>
      <c r="T85" s="53"/>
    </row>
    <row r="86" spans="1:20" x14ac:dyDescent="0.25">
      <c r="A86" s="99">
        <v>2200</v>
      </c>
      <c r="B86" s="247" t="s">
        <v>102</v>
      </c>
      <c r="C86" s="302">
        <f t="shared" si="3"/>
        <v>118729</v>
      </c>
      <c r="D86" s="112">
        <f>SUM(D87,D92,D98,D106,D115,D119,D125,D131)</f>
        <v>112324</v>
      </c>
      <c r="E86" s="248">
        <f>SUM(E87,E92,E98,E106,E115,E119,E125,E131)</f>
        <v>0</v>
      </c>
      <c r="F86" s="249">
        <f t="shared" si="4"/>
        <v>112324</v>
      </c>
      <c r="G86" s="112">
        <f>SUM(G87,G92,G98,G106,G115,G119,G125,G131)</f>
        <v>0</v>
      </c>
      <c r="H86" s="113">
        <f>SUM(H87,H92,H98,H106,H115,H119,H125,H131)</f>
        <v>0</v>
      </c>
      <c r="I86" s="114">
        <f t="shared" si="5"/>
        <v>0</v>
      </c>
      <c r="J86" s="112">
        <f>SUM(J87,J92,J98,J106,J115,J119,J125,J131)</f>
        <v>6405</v>
      </c>
      <c r="K86" s="113">
        <f>SUM(K87,K92,K98,K106,K115,K119,K125,K131)</f>
        <v>0</v>
      </c>
      <c r="L86" s="114">
        <f t="shared" si="6"/>
        <v>6405</v>
      </c>
      <c r="M86" s="303">
        <f>SUM(M87,M92,M98,M106,M115,M119,M125,M131)</f>
        <v>0</v>
      </c>
      <c r="N86" s="304">
        <f>SUM(N87,N92,N98,N106,N115,N119,N125,N131)</f>
        <v>0</v>
      </c>
      <c r="O86" s="305">
        <f t="shared" si="7"/>
        <v>0</v>
      </c>
      <c r="P86" s="306"/>
      <c r="R86" s="53"/>
      <c r="S86" s="53"/>
      <c r="T86" s="53"/>
    </row>
    <row r="87" spans="1:20" ht="24" x14ac:dyDescent="0.25">
      <c r="A87" s="254">
        <v>2210</v>
      </c>
      <c r="B87" s="179" t="s">
        <v>103</v>
      </c>
      <c r="C87" s="191">
        <f t="shared" si="3"/>
        <v>2682</v>
      </c>
      <c r="D87" s="255">
        <f>SUM(D88:D91)</f>
        <v>2602</v>
      </c>
      <c r="E87" s="256">
        <f>SUM(E88:E91)</f>
        <v>0</v>
      </c>
      <c r="F87" s="257">
        <f t="shared" si="4"/>
        <v>2602</v>
      </c>
      <c r="G87" s="255">
        <f>SUM(G88:G91)</f>
        <v>0</v>
      </c>
      <c r="H87" s="258">
        <f>SUM(H88:H91)</f>
        <v>0</v>
      </c>
      <c r="I87" s="259">
        <f t="shared" si="5"/>
        <v>0</v>
      </c>
      <c r="J87" s="255">
        <f>SUM(J88:J91)</f>
        <v>80</v>
      </c>
      <c r="K87" s="258">
        <f>SUM(K88:K91)</f>
        <v>0</v>
      </c>
      <c r="L87" s="259">
        <f t="shared" si="6"/>
        <v>80</v>
      </c>
      <c r="M87" s="260">
        <f>SUM(M88:M91)</f>
        <v>0</v>
      </c>
      <c r="N87" s="261">
        <f>SUM(N88:N91)</f>
        <v>0</v>
      </c>
      <c r="O87" s="259">
        <f t="shared" si="7"/>
        <v>0</v>
      </c>
      <c r="P87" s="189"/>
      <c r="R87" s="53"/>
      <c r="S87" s="53"/>
      <c r="T87" s="53"/>
    </row>
    <row r="88" spans="1:20" ht="24" hidden="1" x14ac:dyDescent="0.25">
      <c r="A88" s="66">
        <v>2211</v>
      </c>
      <c r="B88" s="116" t="s">
        <v>104</v>
      </c>
      <c r="C88" s="128">
        <f t="shared" si="3"/>
        <v>0</v>
      </c>
      <c r="D88" s="123"/>
      <c r="E88" s="295"/>
      <c r="F88" s="296">
        <f t="shared" si="4"/>
        <v>0</v>
      </c>
      <c r="G88" s="123"/>
      <c r="H88" s="124"/>
      <c r="I88" s="125">
        <f t="shared" si="5"/>
        <v>0</v>
      </c>
      <c r="J88" s="123"/>
      <c r="K88" s="124"/>
      <c r="L88" s="125">
        <f t="shared" si="6"/>
        <v>0</v>
      </c>
      <c r="M88" s="264"/>
      <c r="N88" s="262"/>
      <c r="O88" s="125">
        <f t="shared" si="7"/>
        <v>0</v>
      </c>
      <c r="P88" s="74"/>
      <c r="R88" s="53"/>
      <c r="S88" s="53"/>
      <c r="T88" s="53"/>
    </row>
    <row r="89" spans="1:20" ht="36" x14ac:dyDescent="0.25">
      <c r="A89" s="76">
        <v>2212</v>
      </c>
      <c r="B89" s="127" t="s">
        <v>105</v>
      </c>
      <c r="C89" s="128">
        <f t="shared" si="3"/>
        <v>1865</v>
      </c>
      <c r="D89" s="134">
        <v>1865</v>
      </c>
      <c r="E89" s="283"/>
      <c r="F89" s="279">
        <f t="shared" si="4"/>
        <v>1865</v>
      </c>
      <c r="G89" s="134"/>
      <c r="H89" s="135"/>
      <c r="I89" s="136">
        <f t="shared" si="5"/>
        <v>0</v>
      </c>
      <c r="J89" s="134"/>
      <c r="K89" s="135"/>
      <c r="L89" s="136">
        <f t="shared" si="6"/>
        <v>0</v>
      </c>
      <c r="M89" s="284"/>
      <c r="N89" s="285"/>
      <c r="O89" s="136">
        <f t="shared" si="7"/>
        <v>0</v>
      </c>
      <c r="P89" s="85"/>
      <c r="R89" s="53"/>
      <c r="S89" s="53"/>
      <c r="T89" s="53"/>
    </row>
    <row r="90" spans="1:20" ht="24" x14ac:dyDescent="0.25">
      <c r="A90" s="76">
        <v>2214</v>
      </c>
      <c r="B90" s="127" t="s">
        <v>106</v>
      </c>
      <c r="C90" s="128">
        <f t="shared" si="3"/>
        <v>597</v>
      </c>
      <c r="D90" s="134">
        <v>597</v>
      </c>
      <c r="E90" s="283"/>
      <c r="F90" s="279">
        <f t="shared" si="4"/>
        <v>597</v>
      </c>
      <c r="G90" s="134"/>
      <c r="H90" s="135"/>
      <c r="I90" s="136">
        <f t="shared" si="5"/>
        <v>0</v>
      </c>
      <c r="J90" s="134"/>
      <c r="K90" s="135"/>
      <c r="L90" s="136">
        <f t="shared" si="6"/>
        <v>0</v>
      </c>
      <c r="M90" s="284"/>
      <c r="N90" s="285"/>
      <c r="O90" s="136">
        <f t="shared" si="7"/>
        <v>0</v>
      </c>
      <c r="P90" s="85"/>
      <c r="R90" s="53"/>
      <c r="S90" s="53"/>
      <c r="T90" s="53"/>
    </row>
    <row r="91" spans="1:20" x14ac:dyDescent="0.25">
      <c r="A91" s="76">
        <v>2219</v>
      </c>
      <c r="B91" s="127" t="s">
        <v>107</v>
      </c>
      <c r="C91" s="128">
        <f t="shared" si="3"/>
        <v>220</v>
      </c>
      <c r="D91" s="134">
        <v>140</v>
      </c>
      <c r="E91" s="283"/>
      <c r="F91" s="279">
        <f t="shared" si="4"/>
        <v>140</v>
      </c>
      <c r="G91" s="134"/>
      <c r="H91" s="135"/>
      <c r="I91" s="136">
        <f t="shared" si="5"/>
        <v>0</v>
      </c>
      <c r="J91" s="134">
        <v>80</v>
      </c>
      <c r="K91" s="135"/>
      <c r="L91" s="136">
        <f t="shared" si="6"/>
        <v>80</v>
      </c>
      <c r="M91" s="284"/>
      <c r="N91" s="285"/>
      <c r="O91" s="136">
        <f t="shared" si="7"/>
        <v>0</v>
      </c>
      <c r="P91" s="85"/>
      <c r="R91" s="53"/>
      <c r="S91" s="53"/>
      <c r="T91" s="53"/>
    </row>
    <row r="92" spans="1:20" ht="24" x14ac:dyDescent="0.25">
      <c r="A92" s="276">
        <v>2220</v>
      </c>
      <c r="B92" s="127" t="s">
        <v>108</v>
      </c>
      <c r="C92" s="128">
        <f t="shared" si="3"/>
        <v>107397</v>
      </c>
      <c r="D92" s="277">
        <f>SUM(D93:D97)</f>
        <v>101697</v>
      </c>
      <c r="E92" s="278">
        <f>SUM(E93:E97)</f>
        <v>0</v>
      </c>
      <c r="F92" s="279">
        <f t="shared" si="4"/>
        <v>101697</v>
      </c>
      <c r="G92" s="277">
        <f>SUM(G93:G97)</f>
        <v>0</v>
      </c>
      <c r="H92" s="280">
        <f>SUM(H93:H97)</f>
        <v>0</v>
      </c>
      <c r="I92" s="136">
        <f t="shared" si="5"/>
        <v>0</v>
      </c>
      <c r="J92" s="277">
        <f>SUM(J93:J97)</f>
        <v>5700</v>
      </c>
      <c r="K92" s="280">
        <f>SUM(K93:K97)</f>
        <v>0</v>
      </c>
      <c r="L92" s="136">
        <f t="shared" si="6"/>
        <v>5700</v>
      </c>
      <c r="M92" s="281">
        <f>SUM(M93:M97)</f>
        <v>0</v>
      </c>
      <c r="N92" s="282">
        <f>SUM(N93:N97)</f>
        <v>0</v>
      </c>
      <c r="O92" s="136">
        <f t="shared" si="7"/>
        <v>0</v>
      </c>
      <c r="P92" s="85"/>
      <c r="R92" s="53"/>
      <c r="S92" s="53"/>
      <c r="T92" s="53"/>
    </row>
    <row r="93" spans="1:20" x14ac:dyDescent="0.25">
      <c r="A93" s="76">
        <v>2221</v>
      </c>
      <c r="B93" s="127" t="s">
        <v>109</v>
      </c>
      <c r="C93" s="128">
        <f t="shared" si="3"/>
        <v>75556</v>
      </c>
      <c r="D93" s="134">
        <f>74056-2000</f>
        <v>72056</v>
      </c>
      <c r="E93" s="283"/>
      <c r="F93" s="279">
        <f t="shared" si="4"/>
        <v>72056</v>
      </c>
      <c r="G93" s="134"/>
      <c r="H93" s="135"/>
      <c r="I93" s="136">
        <f t="shared" si="5"/>
        <v>0</v>
      </c>
      <c r="J93" s="134">
        <f>1500+2000</f>
        <v>3500</v>
      </c>
      <c r="K93" s="135"/>
      <c r="L93" s="136">
        <f t="shared" si="6"/>
        <v>3500</v>
      </c>
      <c r="M93" s="284"/>
      <c r="N93" s="285"/>
      <c r="O93" s="136">
        <f t="shared" si="7"/>
        <v>0</v>
      </c>
      <c r="P93" s="85"/>
      <c r="R93" s="53"/>
      <c r="S93" s="53"/>
      <c r="T93" s="53"/>
    </row>
    <row r="94" spans="1:20" x14ac:dyDescent="0.25">
      <c r="A94" s="76">
        <v>2222</v>
      </c>
      <c r="B94" s="127" t="s">
        <v>110</v>
      </c>
      <c r="C94" s="128">
        <f t="shared" si="3"/>
        <v>7989</v>
      </c>
      <c r="D94" s="134">
        <f>6989-1000</f>
        <v>5989</v>
      </c>
      <c r="E94" s="283"/>
      <c r="F94" s="279">
        <f t="shared" si="4"/>
        <v>5989</v>
      </c>
      <c r="G94" s="134"/>
      <c r="H94" s="135"/>
      <c r="I94" s="136">
        <f t="shared" si="5"/>
        <v>0</v>
      </c>
      <c r="J94" s="134">
        <f>1000+1000</f>
        <v>2000</v>
      </c>
      <c r="K94" s="135"/>
      <c r="L94" s="136">
        <f t="shared" si="6"/>
        <v>2000</v>
      </c>
      <c r="M94" s="284"/>
      <c r="N94" s="285"/>
      <c r="O94" s="136">
        <f t="shared" si="7"/>
        <v>0</v>
      </c>
      <c r="P94" s="85"/>
      <c r="R94" s="53"/>
      <c r="S94" s="53"/>
      <c r="T94" s="53"/>
    </row>
    <row r="95" spans="1:20" x14ac:dyDescent="0.25">
      <c r="A95" s="76">
        <v>2223</v>
      </c>
      <c r="B95" s="127" t="s">
        <v>111</v>
      </c>
      <c r="C95" s="128">
        <f t="shared" si="3"/>
        <v>22180</v>
      </c>
      <c r="D95" s="134">
        <v>21980</v>
      </c>
      <c r="E95" s="283"/>
      <c r="F95" s="279">
        <f t="shared" si="4"/>
        <v>21980</v>
      </c>
      <c r="G95" s="134"/>
      <c r="H95" s="135"/>
      <c r="I95" s="136">
        <f t="shared" si="5"/>
        <v>0</v>
      </c>
      <c r="J95" s="134">
        <v>200</v>
      </c>
      <c r="K95" s="135"/>
      <c r="L95" s="136">
        <f t="shared" si="6"/>
        <v>200</v>
      </c>
      <c r="M95" s="284"/>
      <c r="N95" s="285"/>
      <c r="O95" s="136">
        <f t="shared" si="7"/>
        <v>0</v>
      </c>
      <c r="P95" s="85"/>
      <c r="R95" s="53"/>
      <c r="S95" s="53"/>
      <c r="T95" s="53"/>
    </row>
    <row r="96" spans="1:20" ht="48" x14ac:dyDescent="0.25">
      <c r="A96" s="76">
        <v>2224</v>
      </c>
      <c r="B96" s="127" t="s">
        <v>112</v>
      </c>
      <c r="C96" s="128">
        <f t="shared" si="3"/>
        <v>1672</v>
      </c>
      <c r="D96" s="134">
        <v>1672</v>
      </c>
      <c r="E96" s="283"/>
      <c r="F96" s="279">
        <f t="shared" si="4"/>
        <v>1672</v>
      </c>
      <c r="G96" s="134"/>
      <c r="H96" s="135"/>
      <c r="I96" s="136">
        <f t="shared" si="5"/>
        <v>0</v>
      </c>
      <c r="J96" s="134"/>
      <c r="K96" s="135"/>
      <c r="L96" s="136">
        <f t="shared" si="6"/>
        <v>0</v>
      </c>
      <c r="M96" s="284"/>
      <c r="N96" s="285"/>
      <c r="O96" s="136">
        <f t="shared" si="7"/>
        <v>0</v>
      </c>
      <c r="P96" s="85"/>
      <c r="R96" s="53"/>
      <c r="S96" s="53"/>
      <c r="T96" s="53"/>
    </row>
    <row r="97" spans="1:20" ht="24" hidden="1" x14ac:dyDescent="0.25">
      <c r="A97" s="76">
        <v>2229</v>
      </c>
      <c r="B97" s="127" t="s">
        <v>113</v>
      </c>
      <c r="C97" s="128">
        <f t="shared" si="3"/>
        <v>0</v>
      </c>
      <c r="D97" s="134"/>
      <c r="E97" s="283"/>
      <c r="F97" s="279">
        <f t="shared" si="4"/>
        <v>0</v>
      </c>
      <c r="G97" s="134"/>
      <c r="H97" s="135"/>
      <c r="I97" s="136">
        <f t="shared" si="5"/>
        <v>0</v>
      </c>
      <c r="J97" s="134"/>
      <c r="K97" s="135"/>
      <c r="L97" s="136">
        <f t="shared" si="6"/>
        <v>0</v>
      </c>
      <c r="M97" s="284"/>
      <c r="N97" s="285"/>
      <c r="O97" s="136">
        <f t="shared" si="7"/>
        <v>0</v>
      </c>
      <c r="P97" s="85"/>
      <c r="R97" s="53"/>
      <c r="S97" s="53"/>
      <c r="T97" s="53"/>
    </row>
    <row r="98" spans="1:20" ht="36" x14ac:dyDescent="0.25">
      <c r="A98" s="276">
        <v>2230</v>
      </c>
      <c r="B98" s="127" t="s">
        <v>114</v>
      </c>
      <c r="C98" s="128">
        <f t="shared" si="3"/>
        <v>2269</v>
      </c>
      <c r="D98" s="277">
        <f>SUM(D99:D105)</f>
        <v>2239</v>
      </c>
      <c r="E98" s="278">
        <f>SUM(E99:E105)</f>
        <v>0</v>
      </c>
      <c r="F98" s="279">
        <f t="shared" si="4"/>
        <v>2239</v>
      </c>
      <c r="G98" s="277">
        <f>SUM(G99:G105)</f>
        <v>0</v>
      </c>
      <c r="H98" s="280">
        <f>SUM(H99:H105)</f>
        <v>0</v>
      </c>
      <c r="I98" s="136">
        <f t="shared" si="5"/>
        <v>0</v>
      </c>
      <c r="J98" s="277">
        <f>SUM(J99:J105)</f>
        <v>30</v>
      </c>
      <c r="K98" s="280">
        <f>SUM(K99:K105)</f>
        <v>0</v>
      </c>
      <c r="L98" s="136">
        <f t="shared" si="6"/>
        <v>30</v>
      </c>
      <c r="M98" s="281">
        <f>SUM(M99:M105)</f>
        <v>0</v>
      </c>
      <c r="N98" s="282">
        <f>SUM(N99:N105)</f>
        <v>0</v>
      </c>
      <c r="O98" s="136">
        <f t="shared" si="7"/>
        <v>0</v>
      </c>
      <c r="P98" s="85"/>
      <c r="R98" s="53"/>
      <c r="S98" s="53"/>
      <c r="T98" s="53"/>
    </row>
    <row r="99" spans="1:20" ht="24" hidden="1" x14ac:dyDescent="0.25">
      <c r="A99" s="76">
        <v>2231</v>
      </c>
      <c r="B99" s="127" t="s">
        <v>115</v>
      </c>
      <c r="C99" s="128">
        <f t="shared" si="3"/>
        <v>0</v>
      </c>
      <c r="D99" s="134"/>
      <c r="E99" s="283"/>
      <c r="F99" s="279">
        <f t="shared" si="4"/>
        <v>0</v>
      </c>
      <c r="G99" s="134"/>
      <c r="H99" s="135"/>
      <c r="I99" s="136">
        <f t="shared" si="5"/>
        <v>0</v>
      </c>
      <c r="J99" s="134"/>
      <c r="K99" s="135"/>
      <c r="L99" s="136">
        <f t="shared" si="6"/>
        <v>0</v>
      </c>
      <c r="M99" s="284"/>
      <c r="N99" s="285"/>
      <c r="O99" s="136">
        <f t="shared" si="7"/>
        <v>0</v>
      </c>
      <c r="P99" s="85"/>
      <c r="R99" s="53"/>
      <c r="S99" s="53"/>
      <c r="T99" s="53"/>
    </row>
    <row r="100" spans="1:20" ht="36" hidden="1" x14ac:dyDescent="0.25">
      <c r="A100" s="76">
        <v>2232</v>
      </c>
      <c r="B100" s="127" t="s">
        <v>116</v>
      </c>
      <c r="C100" s="128">
        <f t="shared" si="3"/>
        <v>0</v>
      </c>
      <c r="D100" s="134"/>
      <c r="E100" s="283"/>
      <c r="F100" s="279">
        <f t="shared" si="4"/>
        <v>0</v>
      </c>
      <c r="G100" s="134"/>
      <c r="H100" s="135"/>
      <c r="I100" s="136">
        <f t="shared" si="5"/>
        <v>0</v>
      </c>
      <c r="J100" s="134"/>
      <c r="K100" s="135"/>
      <c r="L100" s="136">
        <f t="shared" si="6"/>
        <v>0</v>
      </c>
      <c r="M100" s="284"/>
      <c r="N100" s="285"/>
      <c r="O100" s="136">
        <f t="shared" si="7"/>
        <v>0</v>
      </c>
      <c r="P100" s="85"/>
      <c r="R100" s="53"/>
      <c r="S100" s="53"/>
      <c r="T100" s="53"/>
    </row>
    <row r="101" spans="1:20" ht="24" hidden="1" x14ac:dyDescent="0.25">
      <c r="A101" s="66">
        <v>2233</v>
      </c>
      <c r="B101" s="116" t="s">
        <v>117</v>
      </c>
      <c r="C101" s="128">
        <f t="shared" si="3"/>
        <v>0</v>
      </c>
      <c r="D101" s="123"/>
      <c r="E101" s="295"/>
      <c r="F101" s="296">
        <f t="shared" si="4"/>
        <v>0</v>
      </c>
      <c r="G101" s="123"/>
      <c r="H101" s="124"/>
      <c r="I101" s="125">
        <f t="shared" si="5"/>
        <v>0</v>
      </c>
      <c r="J101" s="123"/>
      <c r="K101" s="124"/>
      <c r="L101" s="125">
        <f t="shared" si="6"/>
        <v>0</v>
      </c>
      <c r="M101" s="264"/>
      <c r="N101" s="262"/>
      <c r="O101" s="125">
        <f t="shared" si="7"/>
        <v>0</v>
      </c>
      <c r="P101" s="74"/>
      <c r="R101" s="53"/>
      <c r="S101" s="53"/>
      <c r="T101" s="53"/>
    </row>
    <row r="102" spans="1:20" ht="36" x14ac:dyDescent="0.25">
      <c r="A102" s="76">
        <v>2234</v>
      </c>
      <c r="B102" s="127" t="s">
        <v>118</v>
      </c>
      <c r="C102" s="128">
        <f t="shared" si="3"/>
        <v>58</v>
      </c>
      <c r="D102" s="134">
        <v>26</v>
      </c>
      <c r="E102" s="283">
        <v>32</v>
      </c>
      <c r="F102" s="279">
        <f t="shared" si="4"/>
        <v>58</v>
      </c>
      <c r="G102" s="134"/>
      <c r="H102" s="135"/>
      <c r="I102" s="136">
        <f t="shared" si="5"/>
        <v>0</v>
      </c>
      <c r="J102" s="134"/>
      <c r="K102" s="135"/>
      <c r="L102" s="136">
        <f t="shared" si="6"/>
        <v>0</v>
      </c>
      <c r="M102" s="284"/>
      <c r="N102" s="285"/>
      <c r="O102" s="136">
        <f t="shared" si="7"/>
        <v>0</v>
      </c>
      <c r="P102" s="85" t="s">
        <v>1107</v>
      </c>
      <c r="R102" s="53"/>
      <c r="S102" s="53"/>
      <c r="T102" s="53"/>
    </row>
    <row r="103" spans="1:20" ht="24" hidden="1" x14ac:dyDescent="0.25">
      <c r="A103" s="76">
        <v>2235</v>
      </c>
      <c r="B103" s="127" t="s">
        <v>119</v>
      </c>
      <c r="C103" s="128">
        <f t="shared" si="3"/>
        <v>0</v>
      </c>
      <c r="D103" s="134"/>
      <c r="E103" s="283"/>
      <c r="F103" s="279">
        <f t="shared" si="4"/>
        <v>0</v>
      </c>
      <c r="G103" s="134"/>
      <c r="H103" s="135"/>
      <c r="I103" s="136">
        <f t="shared" si="5"/>
        <v>0</v>
      </c>
      <c r="J103" s="134"/>
      <c r="K103" s="135"/>
      <c r="L103" s="136">
        <f t="shared" si="6"/>
        <v>0</v>
      </c>
      <c r="M103" s="284"/>
      <c r="N103" s="285"/>
      <c r="O103" s="136">
        <f t="shared" si="7"/>
        <v>0</v>
      </c>
      <c r="P103" s="85"/>
      <c r="R103" s="53"/>
      <c r="S103" s="53"/>
      <c r="T103" s="53"/>
    </row>
    <row r="104" spans="1:20" x14ac:dyDescent="0.25">
      <c r="A104" s="76">
        <v>2236</v>
      </c>
      <c r="B104" s="127" t="s">
        <v>120</v>
      </c>
      <c r="C104" s="128">
        <f t="shared" si="3"/>
        <v>30</v>
      </c>
      <c r="D104" s="134"/>
      <c r="E104" s="283"/>
      <c r="F104" s="279">
        <f t="shared" si="4"/>
        <v>0</v>
      </c>
      <c r="G104" s="134"/>
      <c r="H104" s="135"/>
      <c r="I104" s="136">
        <f t="shared" si="5"/>
        <v>0</v>
      </c>
      <c r="J104" s="134">
        <v>30</v>
      </c>
      <c r="K104" s="135"/>
      <c r="L104" s="136">
        <f t="shared" si="6"/>
        <v>30</v>
      </c>
      <c r="M104" s="284"/>
      <c r="N104" s="285"/>
      <c r="O104" s="136">
        <f t="shared" si="7"/>
        <v>0</v>
      </c>
      <c r="P104" s="85"/>
      <c r="R104" s="53"/>
      <c r="S104" s="53"/>
      <c r="T104" s="53"/>
    </row>
    <row r="105" spans="1:20" ht="24" x14ac:dyDescent="0.25">
      <c r="A105" s="76">
        <v>2239</v>
      </c>
      <c r="B105" s="127" t="s">
        <v>121</v>
      </c>
      <c r="C105" s="128">
        <f t="shared" si="3"/>
        <v>2181</v>
      </c>
      <c r="D105" s="134">
        <v>2213</v>
      </c>
      <c r="E105" s="283">
        <v>-32</v>
      </c>
      <c r="F105" s="279">
        <f t="shared" si="4"/>
        <v>2181</v>
      </c>
      <c r="G105" s="134"/>
      <c r="H105" s="135"/>
      <c r="I105" s="136">
        <f t="shared" si="5"/>
        <v>0</v>
      </c>
      <c r="J105" s="134"/>
      <c r="K105" s="135"/>
      <c r="L105" s="136">
        <f t="shared" si="6"/>
        <v>0</v>
      </c>
      <c r="M105" s="284"/>
      <c r="N105" s="285"/>
      <c r="O105" s="136">
        <f t="shared" si="7"/>
        <v>0</v>
      </c>
      <c r="P105" s="85" t="s">
        <v>1108</v>
      </c>
      <c r="R105" s="53"/>
      <c r="S105" s="53"/>
      <c r="T105" s="53"/>
    </row>
    <row r="106" spans="1:20" ht="36" x14ac:dyDescent="0.25">
      <c r="A106" s="276">
        <v>2240</v>
      </c>
      <c r="B106" s="127" t="s">
        <v>122</v>
      </c>
      <c r="C106" s="128">
        <f t="shared" si="3"/>
        <v>5766</v>
      </c>
      <c r="D106" s="277">
        <f>SUM(D107:D114)</f>
        <v>5221</v>
      </c>
      <c r="E106" s="278">
        <f>SUM(E107:E114)</f>
        <v>0</v>
      </c>
      <c r="F106" s="279">
        <f t="shared" si="4"/>
        <v>5221</v>
      </c>
      <c r="G106" s="277">
        <f>SUM(G107:G114)</f>
        <v>0</v>
      </c>
      <c r="H106" s="280">
        <f>SUM(H107:H114)</f>
        <v>0</v>
      </c>
      <c r="I106" s="136">
        <f t="shared" si="5"/>
        <v>0</v>
      </c>
      <c r="J106" s="277">
        <f>SUM(J107:J114)</f>
        <v>545</v>
      </c>
      <c r="K106" s="280">
        <f>SUM(K107:K114)</f>
        <v>0</v>
      </c>
      <c r="L106" s="136">
        <f t="shared" si="6"/>
        <v>545</v>
      </c>
      <c r="M106" s="281">
        <f>SUM(M107:M114)</f>
        <v>0</v>
      </c>
      <c r="N106" s="282">
        <f>SUM(N107:N114)</f>
        <v>0</v>
      </c>
      <c r="O106" s="136">
        <f t="shared" si="7"/>
        <v>0</v>
      </c>
      <c r="P106" s="85"/>
      <c r="R106" s="53"/>
      <c r="S106" s="53"/>
      <c r="T106" s="53"/>
    </row>
    <row r="107" spans="1:20" hidden="1" x14ac:dyDescent="0.25">
      <c r="A107" s="76">
        <v>2241</v>
      </c>
      <c r="B107" s="127" t="s">
        <v>123</v>
      </c>
      <c r="C107" s="128">
        <f t="shared" si="3"/>
        <v>0</v>
      </c>
      <c r="D107" s="134"/>
      <c r="E107" s="283"/>
      <c r="F107" s="279">
        <f t="shared" si="4"/>
        <v>0</v>
      </c>
      <c r="G107" s="134"/>
      <c r="H107" s="135"/>
      <c r="I107" s="136">
        <f t="shared" si="5"/>
        <v>0</v>
      </c>
      <c r="J107" s="134"/>
      <c r="K107" s="135"/>
      <c r="L107" s="136">
        <f t="shared" si="6"/>
        <v>0</v>
      </c>
      <c r="M107" s="284"/>
      <c r="N107" s="285"/>
      <c r="O107" s="136">
        <f t="shared" si="7"/>
        <v>0</v>
      </c>
      <c r="P107" s="85"/>
      <c r="R107" s="53"/>
      <c r="S107" s="53"/>
      <c r="T107" s="53"/>
    </row>
    <row r="108" spans="1:20" ht="24" x14ac:dyDescent="0.25">
      <c r="A108" s="76">
        <v>2242</v>
      </c>
      <c r="B108" s="127" t="s">
        <v>124</v>
      </c>
      <c r="C108" s="128">
        <f t="shared" si="3"/>
        <v>175</v>
      </c>
      <c r="D108" s="134"/>
      <c r="E108" s="283"/>
      <c r="F108" s="279">
        <f t="shared" si="4"/>
        <v>0</v>
      </c>
      <c r="G108" s="134"/>
      <c r="H108" s="135"/>
      <c r="I108" s="136">
        <f t="shared" si="5"/>
        <v>0</v>
      </c>
      <c r="J108" s="134">
        <v>175</v>
      </c>
      <c r="K108" s="135"/>
      <c r="L108" s="136">
        <f t="shared" si="6"/>
        <v>175</v>
      </c>
      <c r="M108" s="284"/>
      <c r="N108" s="285"/>
      <c r="O108" s="136">
        <f t="shared" si="7"/>
        <v>0</v>
      </c>
      <c r="P108" s="85"/>
      <c r="R108" s="53"/>
      <c r="S108" s="53"/>
      <c r="T108" s="53"/>
    </row>
    <row r="109" spans="1:20" ht="24" x14ac:dyDescent="0.25">
      <c r="A109" s="76">
        <v>2243</v>
      </c>
      <c r="B109" s="127" t="s">
        <v>125</v>
      </c>
      <c r="C109" s="128">
        <f t="shared" si="3"/>
        <v>600</v>
      </c>
      <c r="D109" s="134">
        <v>480</v>
      </c>
      <c r="E109" s="283"/>
      <c r="F109" s="279">
        <f t="shared" si="4"/>
        <v>480</v>
      </c>
      <c r="G109" s="134"/>
      <c r="H109" s="135"/>
      <c r="I109" s="136">
        <f t="shared" si="5"/>
        <v>0</v>
      </c>
      <c r="J109" s="134">
        <v>120</v>
      </c>
      <c r="K109" s="135"/>
      <c r="L109" s="136">
        <f t="shared" si="6"/>
        <v>120</v>
      </c>
      <c r="M109" s="284"/>
      <c r="N109" s="285"/>
      <c r="O109" s="136">
        <f t="shared" si="7"/>
        <v>0</v>
      </c>
      <c r="P109" s="85"/>
      <c r="R109" s="53"/>
      <c r="S109" s="53"/>
      <c r="T109" s="53"/>
    </row>
    <row r="110" spans="1:20" x14ac:dyDescent="0.25">
      <c r="A110" s="76">
        <v>2244</v>
      </c>
      <c r="B110" s="127" t="s">
        <v>126</v>
      </c>
      <c r="C110" s="128">
        <f t="shared" si="3"/>
        <v>4531</v>
      </c>
      <c r="D110" s="134">
        <v>4281</v>
      </c>
      <c r="E110" s="283"/>
      <c r="F110" s="279">
        <f t="shared" si="4"/>
        <v>4281</v>
      </c>
      <c r="G110" s="134"/>
      <c r="H110" s="135"/>
      <c r="I110" s="136">
        <f t="shared" si="5"/>
        <v>0</v>
      </c>
      <c r="J110" s="134">
        <v>250</v>
      </c>
      <c r="K110" s="135"/>
      <c r="L110" s="136">
        <f t="shared" si="6"/>
        <v>250</v>
      </c>
      <c r="M110" s="284"/>
      <c r="N110" s="285"/>
      <c r="O110" s="136">
        <f t="shared" si="7"/>
        <v>0</v>
      </c>
      <c r="P110" s="85"/>
      <c r="R110" s="53"/>
      <c r="S110" s="53"/>
      <c r="T110" s="53"/>
    </row>
    <row r="111" spans="1:20" ht="24" hidden="1" x14ac:dyDescent="0.25">
      <c r="A111" s="76">
        <v>2246</v>
      </c>
      <c r="B111" s="127" t="s">
        <v>127</v>
      </c>
      <c r="C111" s="128">
        <f t="shared" si="3"/>
        <v>0</v>
      </c>
      <c r="D111" s="134"/>
      <c r="E111" s="283"/>
      <c r="F111" s="279">
        <f t="shared" si="4"/>
        <v>0</v>
      </c>
      <c r="G111" s="134"/>
      <c r="H111" s="135"/>
      <c r="I111" s="136">
        <f t="shared" si="5"/>
        <v>0</v>
      </c>
      <c r="J111" s="134"/>
      <c r="K111" s="135"/>
      <c r="L111" s="136">
        <f t="shared" si="6"/>
        <v>0</v>
      </c>
      <c r="M111" s="284"/>
      <c r="N111" s="285"/>
      <c r="O111" s="136">
        <f t="shared" si="7"/>
        <v>0</v>
      </c>
      <c r="P111" s="85"/>
      <c r="R111" s="53"/>
      <c r="S111" s="53"/>
      <c r="T111" s="53"/>
    </row>
    <row r="112" spans="1:20" x14ac:dyDescent="0.25">
      <c r="A112" s="76">
        <v>2247</v>
      </c>
      <c r="B112" s="127" t="s">
        <v>128</v>
      </c>
      <c r="C112" s="128">
        <f t="shared" si="3"/>
        <v>60</v>
      </c>
      <c r="D112" s="134">
        <v>60</v>
      </c>
      <c r="E112" s="283"/>
      <c r="F112" s="279">
        <f t="shared" si="4"/>
        <v>60</v>
      </c>
      <c r="G112" s="134"/>
      <c r="H112" s="135"/>
      <c r="I112" s="136">
        <f t="shared" si="5"/>
        <v>0</v>
      </c>
      <c r="J112" s="134"/>
      <c r="K112" s="135"/>
      <c r="L112" s="136">
        <f t="shared" si="6"/>
        <v>0</v>
      </c>
      <c r="M112" s="284"/>
      <c r="N112" s="285"/>
      <c r="O112" s="136">
        <f t="shared" si="7"/>
        <v>0</v>
      </c>
      <c r="P112" s="85"/>
      <c r="R112" s="53"/>
      <c r="S112" s="53"/>
      <c r="T112" s="53"/>
    </row>
    <row r="113" spans="1:20" ht="24" hidden="1" x14ac:dyDescent="0.25">
      <c r="A113" s="76">
        <v>2248</v>
      </c>
      <c r="B113" s="127" t="s">
        <v>129</v>
      </c>
      <c r="C113" s="128">
        <f t="shared" si="3"/>
        <v>0</v>
      </c>
      <c r="D113" s="134"/>
      <c r="E113" s="283"/>
      <c r="F113" s="279">
        <f t="shared" si="4"/>
        <v>0</v>
      </c>
      <c r="G113" s="134"/>
      <c r="H113" s="135"/>
      <c r="I113" s="136">
        <f t="shared" si="5"/>
        <v>0</v>
      </c>
      <c r="J113" s="134"/>
      <c r="K113" s="135"/>
      <c r="L113" s="136">
        <f t="shared" si="6"/>
        <v>0</v>
      </c>
      <c r="M113" s="284"/>
      <c r="N113" s="285"/>
      <c r="O113" s="136">
        <f t="shared" si="7"/>
        <v>0</v>
      </c>
      <c r="P113" s="85"/>
      <c r="R113" s="53"/>
      <c r="S113" s="53"/>
      <c r="T113" s="53"/>
    </row>
    <row r="114" spans="1:20" ht="24" x14ac:dyDescent="0.25">
      <c r="A114" s="76">
        <v>2249</v>
      </c>
      <c r="B114" s="127" t="s">
        <v>130</v>
      </c>
      <c r="C114" s="128">
        <f t="shared" si="3"/>
        <v>400</v>
      </c>
      <c r="D114" s="134">
        <v>400</v>
      </c>
      <c r="E114" s="283"/>
      <c r="F114" s="279">
        <f t="shared" si="4"/>
        <v>400</v>
      </c>
      <c r="G114" s="134"/>
      <c r="H114" s="135"/>
      <c r="I114" s="136">
        <f t="shared" si="5"/>
        <v>0</v>
      </c>
      <c r="J114" s="134"/>
      <c r="K114" s="135"/>
      <c r="L114" s="136">
        <f t="shared" si="6"/>
        <v>0</v>
      </c>
      <c r="M114" s="284"/>
      <c r="N114" s="285"/>
      <c r="O114" s="136">
        <f t="shared" si="7"/>
        <v>0</v>
      </c>
      <c r="P114" s="85"/>
      <c r="R114" s="53"/>
      <c r="S114" s="53"/>
      <c r="T114" s="53"/>
    </row>
    <row r="115" spans="1:20" x14ac:dyDescent="0.25">
      <c r="A115" s="276">
        <v>2250</v>
      </c>
      <c r="B115" s="127" t="s">
        <v>131</v>
      </c>
      <c r="C115" s="128">
        <f t="shared" si="3"/>
        <v>515</v>
      </c>
      <c r="D115" s="277">
        <f>SUM(D116:D118)</f>
        <v>515</v>
      </c>
      <c r="E115" s="278">
        <f>SUM(E116:E118)</f>
        <v>0</v>
      </c>
      <c r="F115" s="279">
        <f t="shared" si="4"/>
        <v>515</v>
      </c>
      <c r="G115" s="277">
        <f>SUM(G116:G118)</f>
        <v>0</v>
      </c>
      <c r="H115" s="280">
        <f>SUM(H116:H118)</f>
        <v>0</v>
      </c>
      <c r="I115" s="136">
        <f t="shared" si="5"/>
        <v>0</v>
      </c>
      <c r="J115" s="277">
        <f>SUM(J116:J118)</f>
        <v>0</v>
      </c>
      <c r="K115" s="280">
        <f>SUM(K116:K118)</f>
        <v>0</v>
      </c>
      <c r="L115" s="136">
        <f t="shared" si="6"/>
        <v>0</v>
      </c>
      <c r="M115" s="281">
        <f>SUM(M116:M118)</f>
        <v>0</v>
      </c>
      <c r="N115" s="282">
        <f>SUM(N116:N118)</f>
        <v>0</v>
      </c>
      <c r="O115" s="136">
        <f t="shared" si="7"/>
        <v>0</v>
      </c>
      <c r="P115" s="85"/>
      <c r="R115" s="53"/>
      <c r="S115" s="53"/>
      <c r="T115" s="53"/>
    </row>
    <row r="116" spans="1:20" hidden="1" x14ac:dyDescent="0.25">
      <c r="A116" s="76">
        <v>2251</v>
      </c>
      <c r="B116" s="127" t="s">
        <v>132</v>
      </c>
      <c r="C116" s="128">
        <f t="shared" si="3"/>
        <v>0</v>
      </c>
      <c r="D116" s="134"/>
      <c r="E116" s="283"/>
      <c r="F116" s="279">
        <f t="shared" si="4"/>
        <v>0</v>
      </c>
      <c r="G116" s="134"/>
      <c r="H116" s="135"/>
      <c r="I116" s="136">
        <f t="shared" si="5"/>
        <v>0</v>
      </c>
      <c r="J116" s="134"/>
      <c r="K116" s="135"/>
      <c r="L116" s="136">
        <f t="shared" si="6"/>
        <v>0</v>
      </c>
      <c r="M116" s="284"/>
      <c r="N116" s="285"/>
      <c r="O116" s="136">
        <f t="shared" si="7"/>
        <v>0</v>
      </c>
      <c r="P116" s="85"/>
      <c r="R116" s="53"/>
      <c r="S116" s="53"/>
      <c r="T116" s="53"/>
    </row>
    <row r="117" spans="1:20" ht="24" hidden="1" x14ac:dyDescent="0.25">
      <c r="A117" s="76">
        <v>2252</v>
      </c>
      <c r="B117" s="127" t="s">
        <v>133</v>
      </c>
      <c r="C117" s="128">
        <f t="shared" ref="C117:C180" si="8">SUM(F117,I117,L117,O117)</f>
        <v>0</v>
      </c>
      <c r="D117" s="134"/>
      <c r="E117" s="283"/>
      <c r="F117" s="279">
        <f t="shared" ref="F117:F180" si="9">D117+E117</f>
        <v>0</v>
      </c>
      <c r="G117" s="134"/>
      <c r="H117" s="135"/>
      <c r="I117" s="136">
        <f t="shared" ref="I117:I180" si="10">G117+H117</f>
        <v>0</v>
      </c>
      <c r="J117" s="134"/>
      <c r="K117" s="135"/>
      <c r="L117" s="136">
        <f t="shared" ref="L117:L180" si="11">J117+K117</f>
        <v>0</v>
      </c>
      <c r="M117" s="284"/>
      <c r="N117" s="285"/>
      <c r="O117" s="136">
        <f t="shared" ref="O117:O180" si="12">M117+N117</f>
        <v>0</v>
      </c>
      <c r="P117" s="85"/>
      <c r="R117" s="53"/>
      <c r="S117" s="53"/>
      <c r="T117" s="53"/>
    </row>
    <row r="118" spans="1:20" ht="24" x14ac:dyDescent="0.25">
      <c r="A118" s="76">
        <v>2259</v>
      </c>
      <c r="B118" s="127" t="s">
        <v>134</v>
      </c>
      <c r="C118" s="128">
        <f t="shared" si="8"/>
        <v>515</v>
      </c>
      <c r="D118" s="134">
        <v>515</v>
      </c>
      <c r="E118" s="283"/>
      <c r="F118" s="279">
        <f t="shared" si="9"/>
        <v>515</v>
      </c>
      <c r="G118" s="134"/>
      <c r="H118" s="135"/>
      <c r="I118" s="136">
        <f t="shared" si="10"/>
        <v>0</v>
      </c>
      <c r="J118" s="134"/>
      <c r="K118" s="135"/>
      <c r="L118" s="136">
        <f t="shared" si="11"/>
        <v>0</v>
      </c>
      <c r="M118" s="284"/>
      <c r="N118" s="285"/>
      <c r="O118" s="136">
        <f t="shared" si="12"/>
        <v>0</v>
      </c>
      <c r="P118" s="85"/>
      <c r="R118" s="53"/>
      <c r="S118" s="53"/>
      <c r="T118" s="53"/>
    </row>
    <row r="119" spans="1:20" x14ac:dyDescent="0.25">
      <c r="A119" s="276">
        <v>2260</v>
      </c>
      <c r="B119" s="127" t="s">
        <v>135</v>
      </c>
      <c r="C119" s="128">
        <f t="shared" si="8"/>
        <v>100</v>
      </c>
      <c r="D119" s="277">
        <f>SUM(D120:D124)</f>
        <v>50</v>
      </c>
      <c r="E119" s="278">
        <f>SUM(E120:E124)</f>
        <v>0</v>
      </c>
      <c r="F119" s="279">
        <f t="shared" si="9"/>
        <v>50</v>
      </c>
      <c r="G119" s="277">
        <f>SUM(G120:G124)</f>
        <v>0</v>
      </c>
      <c r="H119" s="280">
        <f>SUM(H120:H124)</f>
        <v>0</v>
      </c>
      <c r="I119" s="136">
        <f t="shared" si="10"/>
        <v>0</v>
      </c>
      <c r="J119" s="277">
        <f>SUM(J120:J124)</f>
        <v>50</v>
      </c>
      <c r="K119" s="280">
        <f>SUM(K120:K124)</f>
        <v>0</v>
      </c>
      <c r="L119" s="136">
        <f t="shared" si="11"/>
        <v>50</v>
      </c>
      <c r="M119" s="281">
        <f>SUM(M120:M124)</f>
        <v>0</v>
      </c>
      <c r="N119" s="282">
        <f>SUM(N120:N124)</f>
        <v>0</v>
      </c>
      <c r="O119" s="136">
        <f t="shared" si="12"/>
        <v>0</v>
      </c>
      <c r="P119" s="85"/>
      <c r="R119" s="53"/>
      <c r="S119" s="53"/>
      <c r="T119" s="53"/>
    </row>
    <row r="120" spans="1:20" hidden="1" x14ac:dyDescent="0.25">
      <c r="A120" s="76">
        <v>2261</v>
      </c>
      <c r="B120" s="127" t="s">
        <v>136</v>
      </c>
      <c r="C120" s="128">
        <f t="shared" si="8"/>
        <v>0</v>
      </c>
      <c r="D120" s="134"/>
      <c r="E120" s="283"/>
      <c r="F120" s="279">
        <f t="shared" si="9"/>
        <v>0</v>
      </c>
      <c r="G120" s="134"/>
      <c r="H120" s="135"/>
      <c r="I120" s="136">
        <f t="shared" si="10"/>
        <v>0</v>
      </c>
      <c r="J120" s="134"/>
      <c r="K120" s="135"/>
      <c r="L120" s="136">
        <f t="shared" si="11"/>
        <v>0</v>
      </c>
      <c r="M120" s="284"/>
      <c r="N120" s="285"/>
      <c r="O120" s="136">
        <f t="shared" si="12"/>
        <v>0</v>
      </c>
      <c r="P120" s="85"/>
      <c r="R120" s="53"/>
      <c r="S120" s="53"/>
      <c r="T120" s="53"/>
    </row>
    <row r="121" spans="1:20" hidden="1" x14ac:dyDescent="0.25">
      <c r="A121" s="76">
        <v>2262</v>
      </c>
      <c r="B121" s="127" t="s">
        <v>137</v>
      </c>
      <c r="C121" s="128">
        <f t="shared" si="8"/>
        <v>0</v>
      </c>
      <c r="D121" s="134"/>
      <c r="E121" s="283"/>
      <c r="F121" s="279">
        <f t="shared" si="9"/>
        <v>0</v>
      </c>
      <c r="G121" s="134"/>
      <c r="H121" s="135"/>
      <c r="I121" s="136">
        <f t="shared" si="10"/>
        <v>0</v>
      </c>
      <c r="J121" s="134"/>
      <c r="K121" s="135"/>
      <c r="L121" s="136">
        <f t="shared" si="11"/>
        <v>0</v>
      </c>
      <c r="M121" s="284"/>
      <c r="N121" s="285"/>
      <c r="O121" s="136">
        <f t="shared" si="12"/>
        <v>0</v>
      </c>
      <c r="P121" s="85"/>
      <c r="R121" s="53"/>
      <c r="S121" s="53"/>
      <c r="T121" s="53"/>
    </row>
    <row r="122" spans="1:20" hidden="1" x14ac:dyDescent="0.25">
      <c r="A122" s="76">
        <v>2263</v>
      </c>
      <c r="B122" s="127" t="s">
        <v>138</v>
      </c>
      <c r="C122" s="128">
        <f t="shared" si="8"/>
        <v>0</v>
      </c>
      <c r="D122" s="134"/>
      <c r="E122" s="283"/>
      <c r="F122" s="279">
        <f t="shared" si="9"/>
        <v>0</v>
      </c>
      <c r="G122" s="134"/>
      <c r="H122" s="135"/>
      <c r="I122" s="136">
        <f t="shared" si="10"/>
        <v>0</v>
      </c>
      <c r="J122" s="134"/>
      <c r="K122" s="135"/>
      <c r="L122" s="136">
        <f t="shared" si="11"/>
        <v>0</v>
      </c>
      <c r="M122" s="284"/>
      <c r="N122" s="285"/>
      <c r="O122" s="136">
        <f t="shared" si="12"/>
        <v>0</v>
      </c>
      <c r="P122" s="85"/>
      <c r="R122" s="53"/>
      <c r="S122" s="53"/>
      <c r="T122" s="53"/>
    </row>
    <row r="123" spans="1:20" ht="24" x14ac:dyDescent="0.25">
      <c r="A123" s="76">
        <v>2264</v>
      </c>
      <c r="B123" s="127" t="s">
        <v>139</v>
      </c>
      <c r="C123" s="128">
        <f t="shared" si="8"/>
        <v>50</v>
      </c>
      <c r="D123" s="134"/>
      <c r="E123" s="283"/>
      <c r="F123" s="279">
        <f t="shared" si="9"/>
        <v>0</v>
      </c>
      <c r="G123" s="134"/>
      <c r="H123" s="135"/>
      <c r="I123" s="136">
        <f t="shared" si="10"/>
        <v>0</v>
      </c>
      <c r="J123" s="134">
        <v>50</v>
      </c>
      <c r="K123" s="135"/>
      <c r="L123" s="136">
        <f t="shared" si="11"/>
        <v>50</v>
      </c>
      <c r="M123" s="284"/>
      <c r="N123" s="285"/>
      <c r="O123" s="136">
        <f t="shared" si="12"/>
        <v>0</v>
      </c>
      <c r="P123" s="85"/>
      <c r="R123" s="53"/>
      <c r="S123" s="53"/>
      <c r="T123" s="53"/>
    </row>
    <row r="124" spans="1:20" x14ac:dyDescent="0.25">
      <c r="A124" s="76">
        <v>2269</v>
      </c>
      <c r="B124" s="127" t="s">
        <v>140</v>
      </c>
      <c r="C124" s="128">
        <f t="shared" si="8"/>
        <v>50</v>
      </c>
      <c r="D124" s="134">
        <v>50</v>
      </c>
      <c r="E124" s="283"/>
      <c r="F124" s="279">
        <f t="shared" si="9"/>
        <v>50</v>
      </c>
      <c r="G124" s="134"/>
      <c r="H124" s="135"/>
      <c r="I124" s="136">
        <f t="shared" si="10"/>
        <v>0</v>
      </c>
      <c r="J124" s="134"/>
      <c r="K124" s="135"/>
      <c r="L124" s="136">
        <f t="shared" si="11"/>
        <v>0</v>
      </c>
      <c r="M124" s="284"/>
      <c r="N124" s="285"/>
      <c r="O124" s="136">
        <f t="shared" si="12"/>
        <v>0</v>
      </c>
      <c r="P124" s="85"/>
      <c r="R124" s="53"/>
      <c r="S124" s="53"/>
      <c r="T124" s="53"/>
    </row>
    <row r="125" spans="1:20" hidden="1" x14ac:dyDescent="0.25">
      <c r="A125" s="276">
        <v>2270</v>
      </c>
      <c r="B125" s="127" t="s">
        <v>141</v>
      </c>
      <c r="C125" s="128">
        <f t="shared" si="8"/>
        <v>0</v>
      </c>
      <c r="D125" s="277">
        <f>SUM(D126:D130)</f>
        <v>0</v>
      </c>
      <c r="E125" s="278">
        <f>SUM(E126:E130)</f>
        <v>0</v>
      </c>
      <c r="F125" s="279">
        <f t="shared" si="9"/>
        <v>0</v>
      </c>
      <c r="G125" s="277">
        <f>SUM(G126:G130)</f>
        <v>0</v>
      </c>
      <c r="H125" s="280">
        <f>SUM(H126:H130)</f>
        <v>0</v>
      </c>
      <c r="I125" s="136">
        <f t="shared" si="10"/>
        <v>0</v>
      </c>
      <c r="J125" s="277">
        <f>SUM(J126:J130)</f>
        <v>0</v>
      </c>
      <c r="K125" s="280">
        <f>SUM(K126:K130)</f>
        <v>0</v>
      </c>
      <c r="L125" s="136">
        <f t="shared" si="11"/>
        <v>0</v>
      </c>
      <c r="M125" s="281">
        <f>SUM(M126:M130)</f>
        <v>0</v>
      </c>
      <c r="N125" s="282">
        <f>SUM(N126:N130)</f>
        <v>0</v>
      </c>
      <c r="O125" s="136">
        <f t="shared" si="12"/>
        <v>0</v>
      </c>
      <c r="P125" s="85"/>
      <c r="R125" s="53"/>
      <c r="S125" s="53"/>
      <c r="T125" s="53"/>
    </row>
    <row r="126" spans="1:20" hidden="1" x14ac:dyDescent="0.25">
      <c r="A126" s="76">
        <v>2272</v>
      </c>
      <c r="B126" s="5" t="s">
        <v>142</v>
      </c>
      <c r="C126" s="128">
        <f t="shared" si="8"/>
        <v>0</v>
      </c>
      <c r="D126" s="134"/>
      <c r="E126" s="283"/>
      <c r="F126" s="279">
        <f t="shared" si="9"/>
        <v>0</v>
      </c>
      <c r="G126" s="134"/>
      <c r="H126" s="135"/>
      <c r="I126" s="136">
        <f t="shared" si="10"/>
        <v>0</v>
      </c>
      <c r="J126" s="134"/>
      <c r="K126" s="135"/>
      <c r="L126" s="136">
        <f t="shared" si="11"/>
        <v>0</v>
      </c>
      <c r="M126" s="284"/>
      <c r="N126" s="285"/>
      <c r="O126" s="136">
        <f t="shared" si="12"/>
        <v>0</v>
      </c>
      <c r="P126" s="85"/>
      <c r="R126" s="53"/>
      <c r="S126" s="53"/>
      <c r="T126" s="53"/>
    </row>
    <row r="127" spans="1:20" ht="24" hidden="1" x14ac:dyDescent="0.25">
      <c r="A127" s="76">
        <v>2275</v>
      </c>
      <c r="B127" s="127" t="s">
        <v>143</v>
      </c>
      <c r="C127" s="128">
        <f t="shared" si="8"/>
        <v>0</v>
      </c>
      <c r="D127" s="134"/>
      <c r="E127" s="283"/>
      <c r="F127" s="279">
        <f t="shared" si="9"/>
        <v>0</v>
      </c>
      <c r="G127" s="134"/>
      <c r="H127" s="135"/>
      <c r="I127" s="136">
        <f t="shared" si="10"/>
        <v>0</v>
      </c>
      <c r="J127" s="134"/>
      <c r="K127" s="135"/>
      <c r="L127" s="136">
        <f t="shared" si="11"/>
        <v>0</v>
      </c>
      <c r="M127" s="284"/>
      <c r="N127" s="285"/>
      <c r="O127" s="136">
        <f t="shared" si="12"/>
        <v>0</v>
      </c>
      <c r="P127" s="85"/>
      <c r="R127" s="53"/>
      <c r="S127" s="53"/>
      <c r="T127" s="53"/>
    </row>
    <row r="128" spans="1:20" ht="36" hidden="1" x14ac:dyDescent="0.25">
      <c r="A128" s="76">
        <v>2276</v>
      </c>
      <c r="B128" s="127" t="s">
        <v>144</v>
      </c>
      <c r="C128" s="128">
        <f t="shared" si="8"/>
        <v>0</v>
      </c>
      <c r="D128" s="134"/>
      <c r="E128" s="283"/>
      <c r="F128" s="279">
        <f t="shared" si="9"/>
        <v>0</v>
      </c>
      <c r="G128" s="134"/>
      <c r="H128" s="135"/>
      <c r="I128" s="136">
        <f t="shared" si="10"/>
        <v>0</v>
      </c>
      <c r="J128" s="134"/>
      <c r="K128" s="135"/>
      <c r="L128" s="136">
        <f t="shared" si="11"/>
        <v>0</v>
      </c>
      <c r="M128" s="284"/>
      <c r="N128" s="285"/>
      <c r="O128" s="136">
        <f t="shared" si="12"/>
        <v>0</v>
      </c>
      <c r="P128" s="85"/>
      <c r="R128" s="53"/>
      <c r="S128" s="53"/>
      <c r="T128" s="53"/>
    </row>
    <row r="129" spans="1:20" ht="24" hidden="1" x14ac:dyDescent="0.25">
      <c r="A129" s="76">
        <v>2278</v>
      </c>
      <c r="B129" s="127" t="s">
        <v>145</v>
      </c>
      <c r="C129" s="128">
        <f t="shared" si="8"/>
        <v>0</v>
      </c>
      <c r="D129" s="134"/>
      <c r="E129" s="283"/>
      <c r="F129" s="279">
        <f t="shared" si="9"/>
        <v>0</v>
      </c>
      <c r="G129" s="134"/>
      <c r="H129" s="135"/>
      <c r="I129" s="136">
        <f t="shared" si="10"/>
        <v>0</v>
      </c>
      <c r="J129" s="134"/>
      <c r="K129" s="135"/>
      <c r="L129" s="136">
        <f t="shared" si="11"/>
        <v>0</v>
      </c>
      <c r="M129" s="284"/>
      <c r="N129" s="285"/>
      <c r="O129" s="136">
        <f t="shared" si="12"/>
        <v>0</v>
      </c>
      <c r="P129" s="85"/>
      <c r="R129" s="53"/>
      <c r="S129" s="53"/>
      <c r="T129" s="53"/>
    </row>
    <row r="130" spans="1:20" ht="24" hidden="1" x14ac:dyDescent="0.25">
      <c r="A130" s="76">
        <v>2279</v>
      </c>
      <c r="B130" s="127" t="s">
        <v>146</v>
      </c>
      <c r="C130" s="128">
        <f t="shared" si="8"/>
        <v>0</v>
      </c>
      <c r="D130" s="134"/>
      <c r="E130" s="283"/>
      <c r="F130" s="279">
        <f t="shared" si="9"/>
        <v>0</v>
      </c>
      <c r="G130" s="134"/>
      <c r="H130" s="135"/>
      <c r="I130" s="136">
        <f t="shared" si="10"/>
        <v>0</v>
      </c>
      <c r="J130" s="134"/>
      <c r="K130" s="135"/>
      <c r="L130" s="136">
        <f t="shared" si="11"/>
        <v>0</v>
      </c>
      <c r="M130" s="284"/>
      <c r="N130" s="285"/>
      <c r="O130" s="136">
        <f t="shared" si="12"/>
        <v>0</v>
      </c>
      <c r="P130" s="85"/>
      <c r="R130" s="53"/>
      <c r="S130" s="53"/>
      <c r="T130" s="53"/>
    </row>
    <row r="131" spans="1:20" ht="24" hidden="1" x14ac:dyDescent="0.25">
      <c r="A131" s="656">
        <v>2280</v>
      </c>
      <c r="B131" s="116" t="s">
        <v>147</v>
      </c>
      <c r="C131" s="128">
        <f t="shared" si="8"/>
        <v>0</v>
      </c>
      <c r="D131" s="297">
        <f>SUM(D132)</f>
        <v>0</v>
      </c>
      <c r="E131" s="298">
        <f>SUM(E132)</f>
        <v>0</v>
      </c>
      <c r="F131" s="296">
        <f t="shared" si="9"/>
        <v>0</v>
      </c>
      <c r="G131" s="297">
        <f>SUM(G132)</f>
        <v>0</v>
      </c>
      <c r="H131" s="299">
        <f>SUM(H132)</f>
        <v>0</v>
      </c>
      <c r="I131" s="125">
        <f t="shared" si="10"/>
        <v>0</v>
      </c>
      <c r="J131" s="297">
        <f>SUM(J132)</f>
        <v>0</v>
      </c>
      <c r="K131" s="299">
        <f>SUM(K132)</f>
        <v>0</v>
      </c>
      <c r="L131" s="125">
        <f t="shared" si="11"/>
        <v>0</v>
      </c>
      <c r="M131" s="281">
        <f>SUM(M132)</f>
        <v>0</v>
      </c>
      <c r="N131" s="282">
        <f>SUM(N132)</f>
        <v>0</v>
      </c>
      <c r="O131" s="136">
        <f t="shared" si="12"/>
        <v>0</v>
      </c>
      <c r="P131" s="85"/>
      <c r="R131" s="53"/>
      <c r="S131" s="53"/>
      <c r="T131" s="53"/>
    </row>
    <row r="132" spans="1:20" ht="24" hidden="1" x14ac:dyDescent="0.25">
      <c r="A132" s="76">
        <v>2283</v>
      </c>
      <c r="B132" s="127" t="s">
        <v>148</v>
      </c>
      <c r="C132" s="128">
        <f t="shared" si="8"/>
        <v>0</v>
      </c>
      <c r="D132" s="134"/>
      <c r="E132" s="283"/>
      <c r="F132" s="279">
        <f t="shared" si="9"/>
        <v>0</v>
      </c>
      <c r="G132" s="134"/>
      <c r="H132" s="135"/>
      <c r="I132" s="136">
        <f t="shared" si="10"/>
        <v>0</v>
      </c>
      <c r="J132" s="134"/>
      <c r="K132" s="135"/>
      <c r="L132" s="136">
        <f t="shared" si="11"/>
        <v>0</v>
      </c>
      <c r="M132" s="284"/>
      <c r="N132" s="285"/>
      <c r="O132" s="136">
        <f t="shared" si="12"/>
        <v>0</v>
      </c>
      <c r="P132" s="85"/>
      <c r="R132" s="53"/>
      <c r="S132" s="53"/>
      <c r="T132" s="53"/>
    </row>
    <row r="133" spans="1:20" ht="36" x14ac:dyDescent="0.25">
      <c r="A133" s="99">
        <v>2300</v>
      </c>
      <c r="B133" s="247" t="s">
        <v>149</v>
      </c>
      <c r="C133" s="100">
        <f t="shared" si="8"/>
        <v>32140</v>
      </c>
      <c r="D133" s="112">
        <f>SUM(D134,D139,D143,D144,D147,D154,D162,D163,D166)</f>
        <v>23219</v>
      </c>
      <c r="E133" s="248">
        <f>SUM(E134,E139,E143,E144,E147,E154,E162,E163,E166)</f>
        <v>0</v>
      </c>
      <c r="F133" s="249">
        <f t="shared" si="9"/>
        <v>23219</v>
      </c>
      <c r="G133" s="112">
        <f>SUM(G134,G139,G143,G144,G147,G154,G162,G163,G166)</f>
        <v>4574</v>
      </c>
      <c r="H133" s="113">
        <f>SUM(H134,H139,H143,H144,H147,H154,H162,H163,H166)</f>
        <v>0</v>
      </c>
      <c r="I133" s="114">
        <f t="shared" si="10"/>
        <v>4574</v>
      </c>
      <c r="J133" s="112">
        <f>SUM(J134,J139,J143,J144,J147,J154,J162,J163,J166)</f>
        <v>4347</v>
      </c>
      <c r="K133" s="113">
        <f>SUM(K134,K139,K143,K144,K147,K154,K162,K163,K166)</f>
        <v>0</v>
      </c>
      <c r="L133" s="114">
        <f t="shared" si="11"/>
        <v>4347</v>
      </c>
      <c r="M133" s="292">
        <f>SUM(M134,M139,M143,M144,M147,M154,M162,M163,M166)</f>
        <v>0</v>
      </c>
      <c r="N133" s="293">
        <f>SUM(N134,N139,N143,N144,N147,N154,N162,N163,N166)</f>
        <v>0</v>
      </c>
      <c r="O133" s="114">
        <f t="shared" si="12"/>
        <v>0</v>
      </c>
      <c r="P133" s="109"/>
      <c r="R133" s="53"/>
      <c r="S133" s="53"/>
      <c r="T133" s="53"/>
    </row>
    <row r="134" spans="1:20" ht="24" x14ac:dyDescent="0.25">
      <c r="A134" s="656">
        <v>2310</v>
      </c>
      <c r="B134" s="116" t="s">
        <v>150</v>
      </c>
      <c r="C134" s="117">
        <f t="shared" si="8"/>
        <v>10638</v>
      </c>
      <c r="D134" s="308">
        <f>SUM(D135:D138)</f>
        <v>10355</v>
      </c>
      <c r="E134" s="300">
        <f>SUM(E135:E138)</f>
        <v>0</v>
      </c>
      <c r="F134" s="296">
        <f t="shared" si="9"/>
        <v>10355</v>
      </c>
      <c r="G134" s="297">
        <f>SUM(G135:G138)</f>
        <v>0</v>
      </c>
      <c r="H134" s="299">
        <f>SUM(H135:H138)</f>
        <v>0</v>
      </c>
      <c r="I134" s="125">
        <f t="shared" si="10"/>
        <v>0</v>
      </c>
      <c r="J134" s="297">
        <f>SUM(J135:J138)</f>
        <v>283</v>
      </c>
      <c r="K134" s="299">
        <f>SUM(K135:K138)</f>
        <v>0</v>
      </c>
      <c r="L134" s="125">
        <f t="shared" si="11"/>
        <v>283</v>
      </c>
      <c r="M134" s="300">
        <f>SUM(M135:M138)</f>
        <v>0</v>
      </c>
      <c r="N134" s="301">
        <f>SUM(N135:N138)</f>
        <v>0</v>
      </c>
      <c r="O134" s="125">
        <f t="shared" si="12"/>
        <v>0</v>
      </c>
      <c r="P134" s="74"/>
      <c r="R134" s="53"/>
      <c r="S134" s="53"/>
      <c r="T134" s="53"/>
    </row>
    <row r="135" spans="1:20" x14ac:dyDescent="0.25">
      <c r="A135" s="76">
        <v>2311</v>
      </c>
      <c r="B135" s="127" t="s">
        <v>151</v>
      </c>
      <c r="C135" s="128">
        <f t="shared" si="8"/>
        <v>1840</v>
      </c>
      <c r="D135" s="134">
        <v>1840</v>
      </c>
      <c r="E135" s="283"/>
      <c r="F135" s="279">
        <f t="shared" si="9"/>
        <v>1840</v>
      </c>
      <c r="G135" s="134"/>
      <c r="H135" s="135"/>
      <c r="I135" s="136">
        <f t="shared" si="10"/>
        <v>0</v>
      </c>
      <c r="J135" s="134"/>
      <c r="K135" s="135"/>
      <c r="L135" s="136">
        <f t="shared" si="11"/>
        <v>0</v>
      </c>
      <c r="M135" s="284"/>
      <c r="N135" s="285"/>
      <c r="O135" s="136">
        <f t="shared" si="12"/>
        <v>0</v>
      </c>
      <c r="P135" s="85"/>
      <c r="R135" s="53"/>
      <c r="S135" s="53"/>
      <c r="T135" s="53"/>
    </row>
    <row r="136" spans="1:20" x14ac:dyDescent="0.25">
      <c r="A136" s="76">
        <v>2312</v>
      </c>
      <c r="B136" s="127" t="s">
        <v>152</v>
      </c>
      <c r="C136" s="128">
        <f t="shared" si="8"/>
        <v>8798</v>
      </c>
      <c r="D136" s="134">
        <v>8515</v>
      </c>
      <c r="E136" s="283"/>
      <c r="F136" s="279">
        <f t="shared" si="9"/>
        <v>8515</v>
      </c>
      <c r="G136" s="134"/>
      <c r="H136" s="135"/>
      <c r="I136" s="136">
        <f t="shared" si="10"/>
        <v>0</v>
      </c>
      <c r="J136" s="134">
        <v>283</v>
      </c>
      <c r="K136" s="135"/>
      <c r="L136" s="136">
        <f t="shared" si="11"/>
        <v>283</v>
      </c>
      <c r="M136" s="284"/>
      <c r="N136" s="285"/>
      <c r="O136" s="136">
        <f t="shared" si="12"/>
        <v>0</v>
      </c>
      <c r="P136" s="85"/>
      <c r="R136" s="53"/>
      <c r="S136" s="53"/>
      <c r="T136" s="53"/>
    </row>
    <row r="137" spans="1:20" hidden="1" x14ac:dyDescent="0.25">
      <c r="A137" s="76">
        <v>2313</v>
      </c>
      <c r="B137" s="127" t="s">
        <v>153</v>
      </c>
      <c r="C137" s="128">
        <f t="shared" si="8"/>
        <v>0</v>
      </c>
      <c r="D137" s="134"/>
      <c r="E137" s="283"/>
      <c r="F137" s="279">
        <f t="shared" si="9"/>
        <v>0</v>
      </c>
      <c r="G137" s="134"/>
      <c r="H137" s="135"/>
      <c r="I137" s="136">
        <f t="shared" si="10"/>
        <v>0</v>
      </c>
      <c r="J137" s="134"/>
      <c r="K137" s="135"/>
      <c r="L137" s="136">
        <f t="shared" si="11"/>
        <v>0</v>
      </c>
      <c r="M137" s="284"/>
      <c r="N137" s="285"/>
      <c r="O137" s="136">
        <f t="shared" si="12"/>
        <v>0</v>
      </c>
      <c r="P137" s="85"/>
      <c r="R137" s="53"/>
      <c r="S137" s="53"/>
      <c r="T137" s="53"/>
    </row>
    <row r="138" spans="1:20" ht="36" hidden="1" x14ac:dyDescent="0.25">
      <c r="A138" s="76">
        <v>2314</v>
      </c>
      <c r="B138" s="127" t="s">
        <v>154</v>
      </c>
      <c r="C138" s="128">
        <f t="shared" si="8"/>
        <v>0</v>
      </c>
      <c r="D138" s="134"/>
      <c r="E138" s="283"/>
      <c r="F138" s="279">
        <f t="shared" si="9"/>
        <v>0</v>
      </c>
      <c r="G138" s="134"/>
      <c r="H138" s="135"/>
      <c r="I138" s="136">
        <f t="shared" si="10"/>
        <v>0</v>
      </c>
      <c r="J138" s="134"/>
      <c r="K138" s="135"/>
      <c r="L138" s="136">
        <f t="shared" si="11"/>
        <v>0</v>
      </c>
      <c r="M138" s="284"/>
      <c r="N138" s="285"/>
      <c r="O138" s="136">
        <f t="shared" si="12"/>
        <v>0</v>
      </c>
      <c r="P138" s="85"/>
      <c r="R138" s="53"/>
      <c r="S138" s="53"/>
      <c r="T138" s="53"/>
    </row>
    <row r="139" spans="1:20" x14ac:dyDescent="0.25">
      <c r="A139" s="276">
        <v>2320</v>
      </c>
      <c r="B139" s="127" t="s">
        <v>155</v>
      </c>
      <c r="C139" s="128">
        <f t="shared" si="8"/>
        <v>764</v>
      </c>
      <c r="D139" s="277">
        <f>SUM(D140:D142)</f>
        <v>0</v>
      </c>
      <c r="E139" s="278">
        <f>SUM(E140:E142)</f>
        <v>0</v>
      </c>
      <c r="F139" s="279">
        <f t="shared" si="9"/>
        <v>0</v>
      </c>
      <c r="G139" s="277">
        <f>SUM(G140:G142)</f>
        <v>0</v>
      </c>
      <c r="H139" s="280">
        <f>SUM(H140:H142)</f>
        <v>0</v>
      </c>
      <c r="I139" s="136">
        <f t="shared" si="10"/>
        <v>0</v>
      </c>
      <c r="J139" s="277">
        <f>SUM(J140:J142)</f>
        <v>764</v>
      </c>
      <c r="K139" s="280">
        <f>SUM(K140:K142)</f>
        <v>0</v>
      </c>
      <c r="L139" s="136">
        <f t="shared" si="11"/>
        <v>764</v>
      </c>
      <c r="M139" s="281">
        <f>SUM(M140:M142)</f>
        <v>0</v>
      </c>
      <c r="N139" s="282">
        <f>SUM(N140:N142)</f>
        <v>0</v>
      </c>
      <c r="O139" s="136">
        <f t="shared" si="12"/>
        <v>0</v>
      </c>
      <c r="P139" s="85"/>
      <c r="R139" s="53"/>
      <c r="S139" s="53"/>
      <c r="T139" s="53"/>
    </row>
    <row r="140" spans="1:20" hidden="1" x14ac:dyDescent="0.25">
      <c r="A140" s="76">
        <v>2321</v>
      </c>
      <c r="B140" s="127" t="s">
        <v>156</v>
      </c>
      <c r="C140" s="128">
        <f t="shared" si="8"/>
        <v>0</v>
      </c>
      <c r="D140" s="134"/>
      <c r="E140" s="283"/>
      <c r="F140" s="279">
        <f t="shared" si="9"/>
        <v>0</v>
      </c>
      <c r="G140" s="134"/>
      <c r="H140" s="135"/>
      <c r="I140" s="136">
        <f t="shared" si="10"/>
        <v>0</v>
      </c>
      <c r="J140" s="134"/>
      <c r="K140" s="135"/>
      <c r="L140" s="136">
        <f t="shared" si="11"/>
        <v>0</v>
      </c>
      <c r="M140" s="284"/>
      <c r="N140" s="285"/>
      <c r="O140" s="136">
        <f t="shared" si="12"/>
        <v>0</v>
      </c>
      <c r="P140" s="85"/>
      <c r="R140" s="53"/>
      <c r="S140" s="53"/>
      <c r="T140" s="53"/>
    </row>
    <row r="141" spans="1:20" x14ac:dyDescent="0.25">
      <c r="A141" s="76">
        <v>2322</v>
      </c>
      <c r="B141" s="127" t="s">
        <v>157</v>
      </c>
      <c r="C141" s="128">
        <f t="shared" si="8"/>
        <v>764</v>
      </c>
      <c r="D141" s="134"/>
      <c r="E141" s="283"/>
      <c r="F141" s="279">
        <f t="shared" si="9"/>
        <v>0</v>
      </c>
      <c r="G141" s="134"/>
      <c r="H141" s="135"/>
      <c r="I141" s="136">
        <f t="shared" si="10"/>
        <v>0</v>
      </c>
      <c r="J141" s="134">
        <v>764</v>
      </c>
      <c r="K141" s="135"/>
      <c r="L141" s="136">
        <f t="shared" si="11"/>
        <v>764</v>
      </c>
      <c r="M141" s="284"/>
      <c r="N141" s="285"/>
      <c r="O141" s="136">
        <f t="shared" si="12"/>
        <v>0</v>
      </c>
      <c r="P141" s="85"/>
      <c r="R141" s="53"/>
      <c r="S141" s="53"/>
      <c r="T141" s="53"/>
    </row>
    <row r="142" spans="1:20" hidden="1" x14ac:dyDescent="0.25">
      <c r="A142" s="76">
        <v>2329</v>
      </c>
      <c r="B142" s="127" t="s">
        <v>158</v>
      </c>
      <c r="C142" s="128">
        <f t="shared" si="8"/>
        <v>0</v>
      </c>
      <c r="D142" s="134"/>
      <c r="E142" s="283"/>
      <c r="F142" s="279">
        <f t="shared" si="9"/>
        <v>0</v>
      </c>
      <c r="G142" s="134"/>
      <c r="H142" s="135"/>
      <c r="I142" s="136">
        <f t="shared" si="10"/>
        <v>0</v>
      </c>
      <c r="J142" s="134"/>
      <c r="K142" s="135"/>
      <c r="L142" s="136">
        <f t="shared" si="11"/>
        <v>0</v>
      </c>
      <c r="M142" s="284"/>
      <c r="N142" s="285"/>
      <c r="O142" s="136">
        <f t="shared" si="12"/>
        <v>0</v>
      </c>
      <c r="P142" s="85"/>
      <c r="R142" s="53"/>
      <c r="S142" s="53"/>
      <c r="T142" s="53"/>
    </row>
    <row r="143" spans="1:20" hidden="1" x14ac:dyDescent="0.25">
      <c r="A143" s="276">
        <v>2330</v>
      </c>
      <c r="B143" s="127" t="s">
        <v>159</v>
      </c>
      <c r="C143" s="128">
        <f t="shared" si="8"/>
        <v>0</v>
      </c>
      <c r="D143" s="134"/>
      <c r="E143" s="283"/>
      <c r="F143" s="279">
        <f t="shared" si="9"/>
        <v>0</v>
      </c>
      <c r="G143" s="134"/>
      <c r="H143" s="135"/>
      <c r="I143" s="136">
        <f t="shared" si="10"/>
        <v>0</v>
      </c>
      <c r="J143" s="134"/>
      <c r="K143" s="135"/>
      <c r="L143" s="136">
        <f t="shared" si="11"/>
        <v>0</v>
      </c>
      <c r="M143" s="284"/>
      <c r="N143" s="285"/>
      <c r="O143" s="136">
        <f t="shared" si="12"/>
        <v>0</v>
      </c>
      <c r="P143" s="85"/>
      <c r="R143" s="53"/>
      <c r="S143" s="53"/>
      <c r="T143" s="53"/>
    </row>
    <row r="144" spans="1:20" ht="48" x14ac:dyDescent="0.25">
      <c r="A144" s="276">
        <v>2340</v>
      </c>
      <c r="B144" s="127" t="s">
        <v>160</v>
      </c>
      <c r="C144" s="128">
        <f t="shared" si="8"/>
        <v>200</v>
      </c>
      <c r="D144" s="277">
        <f>SUM(D145:D146)</f>
        <v>200</v>
      </c>
      <c r="E144" s="278">
        <f>SUM(E145:E146)</f>
        <v>0</v>
      </c>
      <c r="F144" s="279">
        <f t="shared" si="9"/>
        <v>200</v>
      </c>
      <c r="G144" s="277">
        <f>SUM(G145:G146)</f>
        <v>0</v>
      </c>
      <c r="H144" s="280">
        <f>SUM(H145:H146)</f>
        <v>0</v>
      </c>
      <c r="I144" s="136">
        <f t="shared" si="10"/>
        <v>0</v>
      </c>
      <c r="J144" s="277">
        <f>SUM(J145:J146)</f>
        <v>0</v>
      </c>
      <c r="K144" s="280">
        <f>SUM(K145:K146)</f>
        <v>0</v>
      </c>
      <c r="L144" s="136">
        <f t="shared" si="11"/>
        <v>0</v>
      </c>
      <c r="M144" s="281">
        <f>SUM(M145:M146)</f>
        <v>0</v>
      </c>
      <c r="N144" s="282">
        <f>SUM(N145:N146)</f>
        <v>0</v>
      </c>
      <c r="O144" s="136">
        <f t="shared" si="12"/>
        <v>0</v>
      </c>
      <c r="P144" s="85"/>
      <c r="R144" s="53"/>
      <c r="S144" s="53"/>
      <c r="T144" s="53"/>
    </row>
    <row r="145" spans="1:20" x14ac:dyDescent="0.25">
      <c r="A145" s="76">
        <v>2341</v>
      </c>
      <c r="B145" s="127" t="s">
        <v>161</v>
      </c>
      <c r="C145" s="128">
        <f t="shared" si="8"/>
        <v>200</v>
      </c>
      <c r="D145" s="134">
        <v>200</v>
      </c>
      <c r="E145" s="283"/>
      <c r="F145" s="279">
        <f t="shared" si="9"/>
        <v>200</v>
      </c>
      <c r="G145" s="134"/>
      <c r="H145" s="135"/>
      <c r="I145" s="136">
        <f t="shared" si="10"/>
        <v>0</v>
      </c>
      <c r="J145" s="134"/>
      <c r="K145" s="135"/>
      <c r="L145" s="136">
        <f t="shared" si="11"/>
        <v>0</v>
      </c>
      <c r="M145" s="284"/>
      <c r="N145" s="285"/>
      <c r="O145" s="136">
        <f t="shared" si="12"/>
        <v>0</v>
      </c>
      <c r="P145" s="85"/>
      <c r="R145" s="53"/>
      <c r="S145" s="53"/>
      <c r="T145" s="53"/>
    </row>
    <row r="146" spans="1:20" ht="24" hidden="1" x14ac:dyDescent="0.25">
      <c r="A146" s="76">
        <v>2344</v>
      </c>
      <c r="B146" s="127" t="s">
        <v>162</v>
      </c>
      <c r="C146" s="128">
        <f t="shared" si="8"/>
        <v>0</v>
      </c>
      <c r="D146" s="134"/>
      <c r="E146" s="283"/>
      <c r="F146" s="279">
        <f t="shared" si="9"/>
        <v>0</v>
      </c>
      <c r="G146" s="134"/>
      <c r="H146" s="135"/>
      <c r="I146" s="136">
        <f t="shared" si="10"/>
        <v>0</v>
      </c>
      <c r="J146" s="134"/>
      <c r="K146" s="135"/>
      <c r="L146" s="136">
        <f t="shared" si="11"/>
        <v>0</v>
      </c>
      <c r="M146" s="284"/>
      <c r="N146" s="285"/>
      <c r="O146" s="136">
        <f t="shared" si="12"/>
        <v>0</v>
      </c>
      <c r="P146" s="85"/>
      <c r="R146" s="53"/>
      <c r="S146" s="53"/>
      <c r="T146" s="53"/>
    </row>
    <row r="147" spans="1:20" ht="24" x14ac:dyDescent="0.25">
      <c r="A147" s="254">
        <v>2350</v>
      </c>
      <c r="B147" s="179" t="s">
        <v>163</v>
      </c>
      <c r="C147" s="128">
        <f t="shared" si="8"/>
        <v>8197</v>
      </c>
      <c r="D147" s="255">
        <f>SUM(D148:D153)</f>
        <v>4897</v>
      </c>
      <c r="E147" s="256">
        <f>SUM(E148:E153)</f>
        <v>0</v>
      </c>
      <c r="F147" s="257">
        <f t="shared" si="9"/>
        <v>4897</v>
      </c>
      <c r="G147" s="255">
        <f>SUM(G148:G153)</f>
        <v>0</v>
      </c>
      <c r="H147" s="258">
        <f>SUM(H148:H153)</f>
        <v>0</v>
      </c>
      <c r="I147" s="259">
        <f t="shared" si="10"/>
        <v>0</v>
      </c>
      <c r="J147" s="255">
        <f>SUM(J148:J153)</f>
        <v>3300</v>
      </c>
      <c r="K147" s="258">
        <f>SUM(K148:K153)</f>
        <v>0</v>
      </c>
      <c r="L147" s="259">
        <f t="shared" si="11"/>
        <v>3300</v>
      </c>
      <c r="M147" s="260">
        <f>SUM(M148:M153)</f>
        <v>0</v>
      </c>
      <c r="N147" s="261">
        <f>SUM(N148:N153)</f>
        <v>0</v>
      </c>
      <c r="O147" s="259">
        <f t="shared" si="12"/>
        <v>0</v>
      </c>
      <c r="P147" s="189"/>
      <c r="R147" s="53"/>
      <c r="S147" s="53"/>
      <c r="T147" s="53"/>
    </row>
    <row r="148" spans="1:20" x14ac:dyDescent="0.25">
      <c r="A148" s="66">
        <v>2351</v>
      </c>
      <c r="B148" s="116" t="s">
        <v>164</v>
      </c>
      <c r="C148" s="128">
        <f t="shared" si="8"/>
        <v>5347</v>
      </c>
      <c r="D148" s="123">
        <v>4747</v>
      </c>
      <c r="E148" s="295"/>
      <c r="F148" s="296">
        <f t="shared" si="9"/>
        <v>4747</v>
      </c>
      <c r="G148" s="123"/>
      <c r="H148" s="124"/>
      <c r="I148" s="125">
        <f t="shared" si="10"/>
        <v>0</v>
      </c>
      <c r="J148" s="123">
        <v>600</v>
      </c>
      <c r="K148" s="124"/>
      <c r="L148" s="125">
        <f t="shared" si="11"/>
        <v>600</v>
      </c>
      <c r="M148" s="264"/>
      <c r="N148" s="262"/>
      <c r="O148" s="125">
        <f t="shared" si="12"/>
        <v>0</v>
      </c>
      <c r="P148" s="74"/>
      <c r="R148" s="53"/>
      <c r="S148" s="53"/>
      <c r="T148" s="53"/>
    </row>
    <row r="149" spans="1:20" x14ac:dyDescent="0.25">
      <c r="A149" s="76">
        <v>2352</v>
      </c>
      <c r="B149" s="127" t="s">
        <v>165</v>
      </c>
      <c r="C149" s="128">
        <f t="shared" si="8"/>
        <v>2500</v>
      </c>
      <c r="D149" s="134"/>
      <c r="E149" s="283"/>
      <c r="F149" s="279">
        <f t="shared" si="9"/>
        <v>0</v>
      </c>
      <c r="G149" s="134"/>
      <c r="H149" s="135"/>
      <c r="I149" s="136">
        <f t="shared" si="10"/>
        <v>0</v>
      </c>
      <c r="J149" s="134">
        <v>2500</v>
      </c>
      <c r="K149" s="135"/>
      <c r="L149" s="136">
        <f t="shared" si="11"/>
        <v>2500</v>
      </c>
      <c r="M149" s="284"/>
      <c r="N149" s="285"/>
      <c r="O149" s="136">
        <f t="shared" si="12"/>
        <v>0</v>
      </c>
      <c r="P149" s="85"/>
      <c r="R149" s="53"/>
      <c r="S149" s="53"/>
      <c r="T149" s="53"/>
    </row>
    <row r="150" spans="1:20" ht="24" hidden="1" x14ac:dyDescent="0.25">
      <c r="A150" s="76">
        <v>2353</v>
      </c>
      <c r="B150" s="127" t="s">
        <v>166</v>
      </c>
      <c r="C150" s="128">
        <f t="shared" si="8"/>
        <v>0</v>
      </c>
      <c r="D150" s="134"/>
      <c r="E150" s="283"/>
      <c r="F150" s="279">
        <f t="shared" si="9"/>
        <v>0</v>
      </c>
      <c r="G150" s="134"/>
      <c r="H150" s="135"/>
      <c r="I150" s="136">
        <f t="shared" si="10"/>
        <v>0</v>
      </c>
      <c r="J150" s="134"/>
      <c r="K150" s="135"/>
      <c r="L150" s="136">
        <f t="shared" si="11"/>
        <v>0</v>
      </c>
      <c r="M150" s="284"/>
      <c r="N150" s="285"/>
      <c r="O150" s="136">
        <f t="shared" si="12"/>
        <v>0</v>
      </c>
      <c r="P150" s="85"/>
      <c r="R150" s="53"/>
      <c r="S150" s="53"/>
      <c r="T150" s="53"/>
    </row>
    <row r="151" spans="1:20" ht="24" x14ac:dyDescent="0.25">
      <c r="A151" s="76">
        <v>2354</v>
      </c>
      <c r="B151" s="127" t="s">
        <v>167</v>
      </c>
      <c r="C151" s="128">
        <f t="shared" si="8"/>
        <v>200</v>
      </c>
      <c r="D151" s="134"/>
      <c r="E151" s="283"/>
      <c r="F151" s="279">
        <f t="shared" si="9"/>
        <v>0</v>
      </c>
      <c r="G151" s="134"/>
      <c r="H151" s="135"/>
      <c r="I151" s="136">
        <f t="shared" si="10"/>
        <v>0</v>
      </c>
      <c r="J151" s="134">
        <v>200</v>
      </c>
      <c r="K151" s="135"/>
      <c r="L151" s="136">
        <f t="shared" si="11"/>
        <v>200</v>
      </c>
      <c r="M151" s="284"/>
      <c r="N151" s="285"/>
      <c r="O151" s="136">
        <f t="shared" si="12"/>
        <v>0</v>
      </c>
      <c r="P151" s="85"/>
      <c r="R151" s="53"/>
      <c r="S151" s="53"/>
      <c r="T151" s="53"/>
    </row>
    <row r="152" spans="1:20" ht="24" x14ac:dyDescent="0.25">
      <c r="A152" s="76">
        <v>2355</v>
      </c>
      <c r="B152" s="127" t="s">
        <v>168</v>
      </c>
      <c r="C152" s="128">
        <f t="shared" si="8"/>
        <v>150</v>
      </c>
      <c r="D152" s="134">
        <v>150</v>
      </c>
      <c r="E152" s="283"/>
      <c r="F152" s="279">
        <f t="shared" si="9"/>
        <v>150</v>
      </c>
      <c r="G152" s="134"/>
      <c r="H152" s="135"/>
      <c r="I152" s="136">
        <f t="shared" si="10"/>
        <v>0</v>
      </c>
      <c r="J152" s="134"/>
      <c r="K152" s="135"/>
      <c r="L152" s="136">
        <f t="shared" si="11"/>
        <v>0</v>
      </c>
      <c r="M152" s="284"/>
      <c r="N152" s="285"/>
      <c r="O152" s="136">
        <f t="shared" si="12"/>
        <v>0</v>
      </c>
      <c r="P152" s="85"/>
      <c r="R152" s="53"/>
      <c r="S152" s="53"/>
      <c r="T152" s="53"/>
    </row>
    <row r="153" spans="1:20" ht="24" hidden="1" x14ac:dyDescent="0.25">
      <c r="A153" s="76">
        <v>2359</v>
      </c>
      <c r="B153" s="127" t="s">
        <v>169</v>
      </c>
      <c r="C153" s="128">
        <f t="shared" si="8"/>
        <v>0</v>
      </c>
      <c r="D153" s="134"/>
      <c r="E153" s="283"/>
      <c r="F153" s="279">
        <f t="shared" si="9"/>
        <v>0</v>
      </c>
      <c r="G153" s="134"/>
      <c r="H153" s="135"/>
      <c r="I153" s="136">
        <f t="shared" si="10"/>
        <v>0</v>
      </c>
      <c r="J153" s="134"/>
      <c r="K153" s="135"/>
      <c r="L153" s="136">
        <f t="shared" si="11"/>
        <v>0</v>
      </c>
      <c r="M153" s="284"/>
      <c r="N153" s="285"/>
      <c r="O153" s="136">
        <f t="shared" si="12"/>
        <v>0</v>
      </c>
      <c r="P153" s="85"/>
      <c r="R153" s="53"/>
      <c r="S153" s="53"/>
      <c r="T153" s="53"/>
    </row>
    <row r="154" spans="1:20" ht="24" x14ac:dyDescent="0.25">
      <c r="A154" s="276">
        <v>2360</v>
      </c>
      <c r="B154" s="127" t="s">
        <v>170</v>
      </c>
      <c r="C154" s="128">
        <f t="shared" si="8"/>
        <v>288</v>
      </c>
      <c r="D154" s="277">
        <f>SUM(D155:D161)</f>
        <v>288</v>
      </c>
      <c r="E154" s="278">
        <f>SUM(E155:E161)</f>
        <v>0</v>
      </c>
      <c r="F154" s="279">
        <f t="shared" si="9"/>
        <v>288</v>
      </c>
      <c r="G154" s="277">
        <f>SUM(G155:G161)</f>
        <v>0</v>
      </c>
      <c r="H154" s="280">
        <f>SUM(H155:H161)</f>
        <v>0</v>
      </c>
      <c r="I154" s="136">
        <f t="shared" si="10"/>
        <v>0</v>
      </c>
      <c r="J154" s="277">
        <f>SUM(J155:J161)</f>
        <v>0</v>
      </c>
      <c r="K154" s="280">
        <f>SUM(K155:K161)</f>
        <v>0</v>
      </c>
      <c r="L154" s="136">
        <f t="shared" si="11"/>
        <v>0</v>
      </c>
      <c r="M154" s="281">
        <f>SUM(M155:M161)</f>
        <v>0</v>
      </c>
      <c r="N154" s="282">
        <f>SUM(N155:N161)</f>
        <v>0</v>
      </c>
      <c r="O154" s="136">
        <f t="shared" si="12"/>
        <v>0</v>
      </c>
      <c r="P154" s="85"/>
      <c r="R154" s="53"/>
      <c r="S154" s="53"/>
      <c r="T154" s="53"/>
    </row>
    <row r="155" spans="1:20" x14ac:dyDescent="0.25">
      <c r="A155" s="75">
        <v>2361</v>
      </c>
      <c r="B155" s="127" t="s">
        <v>171</v>
      </c>
      <c r="C155" s="128">
        <f t="shared" si="8"/>
        <v>288</v>
      </c>
      <c r="D155" s="134">
        <v>288</v>
      </c>
      <c r="E155" s="283"/>
      <c r="F155" s="279">
        <f t="shared" si="9"/>
        <v>288</v>
      </c>
      <c r="G155" s="134"/>
      <c r="H155" s="135"/>
      <c r="I155" s="136">
        <f t="shared" si="10"/>
        <v>0</v>
      </c>
      <c r="J155" s="134"/>
      <c r="K155" s="135"/>
      <c r="L155" s="136">
        <f t="shared" si="11"/>
        <v>0</v>
      </c>
      <c r="M155" s="284"/>
      <c r="N155" s="285"/>
      <c r="O155" s="136">
        <f t="shared" si="12"/>
        <v>0</v>
      </c>
      <c r="P155" s="85"/>
      <c r="R155" s="53"/>
      <c r="S155" s="53"/>
      <c r="T155" s="53"/>
    </row>
    <row r="156" spans="1:20" ht="24" hidden="1" x14ac:dyDescent="0.25">
      <c r="A156" s="75">
        <v>2362</v>
      </c>
      <c r="B156" s="127" t="s">
        <v>172</v>
      </c>
      <c r="C156" s="128">
        <f t="shared" si="8"/>
        <v>0</v>
      </c>
      <c r="D156" s="134"/>
      <c r="E156" s="283"/>
      <c r="F156" s="279">
        <f t="shared" si="9"/>
        <v>0</v>
      </c>
      <c r="G156" s="134"/>
      <c r="H156" s="135"/>
      <c r="I156" s="136">
        <f t="shared" si="10"/>
        <v>0</v>
      </c>
      <c r="J156" s="134"/>
      <c r="K156" s="135"/>
      <c r="L156" s="136">
        <f t="shared" si="11"/>
        <v>0</v>
      </c>
      <c r="M156" s="284"/>
      <c r="N156" s="285"/>
      <c r="O156" s="136">
        <f t="shared" si="12"/>
        <v>0</v>
      </c>
      <c r="P156" s="85"/>
      <c r="R156" s="53"/>
      <c r="S156" s="53"/>
      <c r="T156" s="53"/>
    </row>
    <row r="157" spans="1:20" hidden="1" x14ac:dyDescent="0.25">
      <c r="A157" s="75">
        <v>2363</v>
      </c>
      <c r="B157" s="127" t="s">
        <v>173</v>
      </c>
      <c r="C157" s="128">
        <f t="shared" si="8"/>
        <v>0</v>
      </c>
      <c r="D157" s="134"/>
      <c r="E157" s="283"/>
      <c r="F157" s="279">
        <f t="shared" si="9"/>
        <v>0</v>
      </c>
      <c r="G157" s="134"/>
      <c r="H157" s="135"/>
      <c r="I157" s="136">
        <f t="shared" si="10"/>
        <v>0</v>
      </c>
      <c r="J157" s="134"/>
      <c r="K157" s="135"/>
      <c r="L157" s="136">
        <f t="shared" si="11"/>
        <v>0</v>
      </c>
      <c r="M157" s="284"/>
      <c r="N157" s="285"/>
      <c r="O157" s="136">
        <f t="shared" si="12"/>
        <v>0</v>
      </c>
      <c r="P157" s="85"/>
      <c r="R157" s="53"/>
      <c r="S157" s="53"/>
      <c r="T157" s="53"/>
    </row>
    <row r="158" spans="1:20" hidden="1" x14ac:dyDescent="0.25">
      <c r="A158" s="75">
        <v>2364</v>
      </c>
      <c r="B158" s="127" t="s">
        <v>174</v>
      </c>
      <c r="C158" s="128">
        <f t="shared" si="8"/>
        <v>0</v>
      </c>
      <c r="D158" s="134"/>
      <c r="E158" s="283"/>
      <c r="F158" s="279">
        <f t="shared" si="9"/>
        <v>0</v>
      </c>
      <c r="G158" s="134"/>
      <c r="H158" s="135"/>
      <c r="I158" s="136">
        <f t="shared" si="10"/>
        <v>0</v>
      </c>
      <c r="J158" s="134"/>
      <c r="K158" s="135"/>
      <c r="L158" s="136">
        <f t="shared" si="11"/>
        <v>0</v>
      </c>
      <c r="M158" s="284"/>
      <c r="N158" s="285"/>
      <c r="O158" s="136">
        <f t="shared" si="12"/>
        <v>0</v>
      </c>
      <c r="P158" s="85"/>
      <c r="R158" s="53"/>
      <c r="S158" s="53"/>
      <c r="T158" s="53"/>
    </row>
    <row r="159" spans="1:20" hidden="1" x14ac:dyDescent="0.25">
      <c r="A159" s="75">
        <v>2365</v>
      </c>
      <c r="B159" s="127" t="s">
        <v>175</v>
      </c>
      <c r="C159" s="128">
        <f t="shared" si="8"/>
        <v>0</v>
      </c>
      <c r="D159" s="134"/>
      <c r="E159" s="283"/>
      <c r="F159" s="279">
        <f t="shared" si="9"/>
        <v>0</v>
      </c>
      <c r="G159" s="134"/>
      <c r="H159" s="135"/>
      <c r="I159" s="136">
        <f t="shared" si="10"/>
        <v>0</v>
      </c>
      <c r="J159" s="134"/>
      <c r="K159" s="135"/>
      <c r="L159" s="136">
        <f t="shared" si="11"/>
        <v>0</v>
      </c>
      <c r="M159" s="284"/>
      <c r="N159" s="285"/>
      <c r="O159" s="136">
        <f t="shared" si="12"/>
        <v>0</v>
      </c>
      <c r="P159" s="85"/>
      <c r="R159" s="53"/>
      <c r="S159" s="53"/>
      <c r="T159" s="53"/>
    </row>
    <row r="160" spans="1:20" ht="36" hidden="1" x14ac:dyDescent="0.25">
      <c r="A160" s="75">
        <v>2366</v>
      </c>
      <c r="B160" s="127" t="s">
        <v>176</v>
      </c>
      <c r="C160" s="128">
        <f t="shared" si="8"/>
        <v>0</v>
      </c>
      <c r="D160" s="134"/>
      <c r="E160" s="283"/>
      <c r="F160" s="279">
        <f t="shared" si="9"/>
        <v>0</v>
      </c>
      <c r="G160" s="134"/>
      <c r="H160" s="135"/>
      <c r="I160" s="136">
        <f t="shared" si="10"/>
        <v>0</v>
      </c>
      <c r="J160" s="134"/>
      <c r="K160" s="135"/>
      <c r="L160" s="136">
        <f t="shared" si="11"/>
        <v>0</v>
      </c>
      <c r="M160" s="284"/>
      <c r="N160" s="285"/>
      <c r="O160" s="136">
        <f t="shared" si="12"/>
        <v>0</v>
      </c>
      <c r="P160" s="85"/>
      <c r="R160" s="53"/>
      <c r="S160" s="53"/>
      <c r="T160" s="53"/>
    </row>
    <row r="161" spans="1:20" ht="48" hidden="1" x14ac:dyDescent="0.25">
      <c r="A161" s="75">
        <v>2369</v>
      </c>
      <c r="B161" s="127" t="s">
        <v>177</v>
      </c>
      <c r="C161" s="128">
        <f t="shared" si="8"/>
        <v>0</v>
      </c>
      <c r="D161" s="134"/>
      <c r="E161" s="283"/>
      <c r="F161" s="279">
        <f t="shared" si="9"/>
        <v>0</v>
      </c>
      <c r="G161" s="134"/>
      <c r="H161" s="135"/>
      <c r="I161" s="136">
        <f t="shared" si="10"/>
        <v>0</v>
      </c>
      <c r="J161" s="134"/>
      <c r="K161" s="135"/>
      <c r="L161" s="136">
        <f t="shared" si="11"/>
        <v>0</v>
      </c>
      <c r="M161" s="284"/>
      <c r="N161" s="285"/>
      <c r="O161" s="136">
        <f t="shared" si="12"/>
        <v>0</v>
      </c>
      <c r="P161" s="85"/>
      <c r="R161" s="53"/>
      <c r="S161" s="53"/>
      <c r="T161" s="53"/>
    </row>
    <row r="162" spans="1:20" x14ac:dyDescent="0.25">
      <c r="A162" s="254">
        <v>2370</v>
      </c>
      <c r="B162" s="179" t="s">
        <v>178</v>
      </c>
      <c r="C162" s="128">
        <f t="shared" si="8"/>
        <v>12053</v>
      </c>
      <c r="D162" s="287">
        <v>7479</v>
      </c>
      <c r="E162" s="288"/>
      <c r="F162" s="257">
        <f t="shared" si="9"/>
        <v>7479</v>
      </c>
      <c r="G162" s="287">
        <v>4574</v>
      </c>
      <c r="H162" s="289"/>
      <c r="I162" s="259">
        <f t="shared" si="10"/>
        <v>4574</v>
      </c>
      <c r="J162" s="287"/>
      <c r="K162" s="289"/>
      <c r="L162" s="259">
        <f t="shared" si="11"/>
        <v>0</v>
      </c>
      <c r="M162" s="290"/>
      <c r="N162" s="291"/>
      <c r="O162" s="259">
        <f t="shared" si="12"/>
        <v>0</v>
      </c>
      <c r="P162" s="189"/>
      <c r="R162" s="53"/>
      <c r="S162" s="53"/>
      <c r="T162" s="53"/>
    </row>
    <row r="163" spans="1:20" hidden="1" x14ac:dyDescent="0.25">
      <c r="A163" s="254">
        <v>2380</v>
      </c>
      <c r="B163" s="179" t="s">
        <v>179</v>
      </c>
      <c r="C163" s="128">
        <f t="shared" si="8"/>
        <v>0</v>
      </c>
      <c r="D163" s="255">
        <f>SUM(D164:D165)</f>
        <v>0</v>
      </c>
      <c r="E163" s="256">
        <f>SUM(E164:E165)</f>
        <v>0</v>
      </c>
      <c r="F163" s="257">
        <f t="shared" si="9"/>
        <v>0</v>
      </c>
      <c r="G163" s="255">
        <f>SUM(G164:G165)</f>
        <v>0</v>
      </c>
      <c r="H163" s="258">
        <f>SUM(H164:H165)</f>
        <v>0</v>
      </c>
      <c r="I163" s="259">
        <f t="shared" si="10"/>
        <v>0</v>
      </c>
      <c r="J163" s="255">
        <f>SUM(J164:J165)</f>
        <v>0</v>
      </c>
      <c r="K163" s="258">
        <f>SUM(K164:K165)</f>
        <v>0</v>
      </c>
      <c r="L163" s="259">
        <f t="shared" si="11"/>
        <v>0</v>
      </c>
      <c r="M163" s="260">
        <f>SUM(M164:M165)</f>
        <v>0</v>
      </c>
      <c r="N163" s="261">
        <f>SUM(N164:N165)</f>
        <v>0</v>
      </c>
      <c r="O163" s="259">
        <f t="shared" si="12"/>
        <v>0</v>
      </c>
      <c r="P163" s="189"/>
      <c r="R163" s="53"/>
      <c r="S163" s="53"/>
      <c r="T163" s="53"/>
    </row>
    <row r="164" spans="1:20" hidden="1" x14ac:dyDescent="0.25">
      <c r="A164" s="65">
        <v>2381</v>
      </c>
      <c r="B164" s="116" t="s">
        <v>180</v>
      </c>
      <c r="C164" s="128">
        <f t="shared" si="8"/>
        <v>0</v>
      </c>
      <c r="D164" s="123"/>
      <c r="E164" s="295"/>
      <c r="F164" s="296">
        <f t="shared" si="9"/>
        <v>0</v>
      </c>
      <c r="G164" s="123"/>
      <c r="H164" s="124"/>
      <c r="I164" s="125">
        <f t="shared" si="10"/>
        <v>0</v>
      </c>
      <c r="J164" s="123"/>
      <c r="K164" s="124"/>
      <c r="L164" s="125">
        <f t="shared" si="11"/>
        <v>0</v>
      </c>
      <c r="M164" s="264"/>
      <c r="N164" s="262"/>
      <c r="O164" s="125">
        <f t="shared" si="12"/>
        <v>0</v>
      </c>
      <c r="P164" s="74"/>
      <c r="R164" s="53"/>
      <c r="S164" s="53"/>
      <c r="T164" s="53"/>
    </row>
    <row r="165" spans="1:20" ht="24" hidden="1" x14ac:dyDescent="0.25">
      <c r="A165" s="75">
        <v>2389</v>
      </c>
      <c r="B165" s="127" t="s">
        <v>181</v>
      </c>
      <c r="C165" s="128">
        <f t="shared" si="8"/>
        <v>0</v>
      </c>
      <c r="D165" s="134"/>
      <c r="E165" s="283"/>
      <c r="F165" s="279">
        <f t="shared" si="9"/>
        <v>0</v>
      </c>
      <c r="G165" s="134"/>
      <c r="H165" s="135"/>
      <c r="I165" s="136">
        <f t="shared" si="10"/>
        <v>0</v>
      </c>
      <c r="J165" s="134"/>
      <c r="K165" s="135"/>
      <c r="L165" s="136">
        <f t="shared" si="11"/>
        <v>0</v>
      </c>
      <c r="M165" s="284"/>
      <c r="N165" s="285"/>
      <c r="O165" s="136">
        <f t="shared" si="12"/>
        <v>0</v>
      </c>
      <c r="P165" s="85"/>
      <c r="R165" s="53"/>
      <c r="S165" s="53"/>
      <c r="T165" s="53"/>
    </row>
    <row r="166" spans="1:20" hidden="1" x14ac:dyDescent="0.25">
      <c r="A166" s="254">
        <v>2390</v>
      </c>
      <c r="B166" s="179" t="s">
        <v>182</v>
      </c>
      <c r="C166" s="128">
        <f t="shared" si="8"/>
        <v>0</v>
      </c>
      <c r="D166" s="287"/>
      <c r="E166" s="288"/>
      <c r="F166" s="257">
        <f t="shared" si="9"/>
        <v>0</v>
      </c>
      <c r="G166" s="287"/>
      <c r="H166" s="289"/>
      <c r="I166" s="259">
        <f t="shared" si="10"/>
        <v>0</v>
      </c>
      <c r="J166" s="287"/>
      <c r="K166" s="289"/>
      <c r="L166" s="259">
        <f t="shared" si="11"/>
        <v>0</v>
      </c>
      <c r="M166" s="290"/>
      <c r="N166" s="291"/>
      <c r="O166" s="259">
        <f t="shared" si="12"/>
        <v>0</v>
      </c>
      <c r="P166" s="189"/>
      <c r="R166" s="53"/>
      <c r="S166" s="53"/>
      <c r="T166" s="53"/>
    </row>
    <row r="167" spans="1:20" hidden="1" x14ac:dyDescent="0.25">
      <c r="A167" s="99">
        <v>2400</v>
      </c>
      <c r="B167" s="247" t="s">
        <v>183</v>
      </c>
      <c r="C167" s="100">
        <f t="shared" si="8"/>
        <v>0</v>
      </c>
      <c r="D167" s="311"/>
      <c r="E167" s="712"/>
      <c r="F167" s="249">
        <f t="shared" si="9"/>
        <v>0</v>
      </c>
      <c r="G167" s="311"/>
      <c r="H167" s="314"/>
      <c r="I167" s="114">
        <f t="shared" si="10"/>
        <v>0</v>
      </c>
      <c r="J167" s="311"/>
      <c r="K167" s="314"/>
      <c r="L167" s="114">
        <f t="shared" si="11"/>
        <v>0</v>
      </c>
      <c r="M167" s="315"/>
      <c r="N167" s="312"/>
      <c r="O167" s="114">
        <f t="shared" si="12"/>
        <v>0</v>
      </c>
      <c r="P167" s="109"/>
      <c r="R167" s="53"/>
      <c r="S167" s="53"/>
      <c r="T167" s="53"/>
    </row>
    <row r="168" spans="1:20" ht="24" x14ac:dyDescent="0.25">
      <c r="A168" s="99">
        <v>2500</v>
      </c>
      <c r="B168" s="247" t="s">
        <v>184</v>
      </c>
      <c r="C168" s="100">
        <f t="shared" si="8"/>
        <v>94</v>
      </c>
      <c r="D168" s="112">
        <f>SUM(D169,D174)</f>
        <v>94</v>
      </c>
      <c r="E168" s="248">
        <f>SUM(E169,E174)</f>
        <v>0</v>
      </c>
      <c r="F168" s="249">
        <f t="shared" si="9"/>
        <v>94</v>
      </c>
      <c r="G168" s="112">
        <f>SUM(G169,G174)</f>
        <v>0</v>
      </c>
      <c r="H168" s="113">
        <f>SUM(H169,H174)</f>
        <v>0</v>
      </c>
      <c r="I168" s="114">
        <f t="shared" si="10"/>
        <v>0</v>
      </c>
      <c r="J168" s="112">
        <f>SUM(J169,J174)</f>
        <v>0</v>
      </c>
      <c r="K168" s="113">
        <f>SUM(K169,K174)</f>
        <v>0</v>
      </c>
      <c r="L168" s="114">
        <f t="shared" si="11"/>
        <v>0</v>
      </c>
      <c r="M168" s="250">
        <f>SUM(M169,M174)</f>
        <v>0</v>
      </c>
      <c r="N168" s="251">
        <f>SUM(N169,N174)</f>
        <v>0</v>
      </c>
      <c r="O168" s="252">
        <f t="shared" si="12"/>
        <v>0</v>
      </c>
      <c r="P168" s="253"/>
      <c r="R168" s="53"/>
      <c r="S168" s="53"/>
      <c r="T168" s="53"/>
    </row>
    <row r="169" spans="1:20" x14ac:dyDescent="0.25">
      <c r="A169" s="656">
        <v>2510</v>
      </c>
      <c r="B169" s="116" t="s">
        <v>185</v>
      </c>
      <c r="C169" s="117">
        <f t="shared" si="8"/>
        <v>94</v>
      </c>
      <c r="D169" s="297">
        <f>SUM(D170:D173)</f>
        <v>94</v>
      </c>
      <c r="E169" s="298">
        <f>SUM(E170:E173)</f>
        <v>0</v>
      </c>
      <c r="F169" s="296">
        <f t="shared" si="9"/>
        <v>94</v>
      </c>
      <c r="G169" s="297">
        <f>SUM(G170:G173)</f>
        <v>0</v>
      </c>
      <c r="H169" s="299">
        <f>SUM(H170:H173)</f>
        <v>0</v>
      </c>
      <c r="I169" s="125">
        <f t="shared" si="10"/>
        <v>0</v>
      </c>
      <c r="J169" s="297">
        <f>SUM(J170:J173)</f>
        <v>0</v>
      </c>
      <c r="K169" s="299">
        <f>SUM(K170:K173)</f>
        <v>0</v>
      </c>
      <c r="L169" s="125">
        <f t="shared" si="11"/>
        <v>0</v>
      </c>
      <c r="M169" s="317">
        <f>SUM(M170:M173)</f>
        <v>0</v>
      </c>
      <c r="N169" s="318">
        <f>SUM(N170:N173)</f>
        <v>0</v>
      </c>
      <c r="O169" s="151">
        <f t="shared" si="12"/>
        <v>0</v>
      </c>
      <c r="P169" s="153"/>
      <c r="R169" s="53"/>
      <c r="S169" s="53"/>
      <c r="T169" s="53"/>
    </row>
    <row r="170" spans="1:20" ht="24" hidden="1" x14ac:dyDescent="0.25">
      <c r="A170" s="76">
        <v>2512</v>
      </c>
      <c r="B170" s="127" t="s">
        <v>186</v>
      </c>
      <c r="C170" s="128">
        <f t="shared" si="8"/>
        <v>0</v>
      </c>
      <c r="D170" s="134"/>
      <c r="E170" s="283"/>
      <c r="F170" s="279">
        <f t="shared" si="9"/>
        <v>0</v>
      </c>
      <c r="G170" s="134"/>
      <c r="H170" s="135"/>
      <c r="I170" s="136">
        <f t="shared" si="10"/>
        <v>0</v>
      </c>
      <c r="J170" s="134"/>
      <c r="K170" s="135"/>
      <c r="L170" s="136">
        <f t="shared" si="11"/>
        <v>0</v>
      </c>
      <c r="M170" s="284"/>
      <c r="N170" s="285"/>
      <c r="O170" s="136">
        <f t="shared" si="12"/>
        <v>0</v>
      </c>
      <c r="P170" s="85"/>
      <c r="R170" s="53"/>
      <c r="S170" s="53"/>
      <c r="T170" s="53"/>
    </row>
    <row r="171" spans="1:20" ht="36" hidden="1" x14ac:dyDescent="0.25">
      <c r="A171" s="76">
        <v>2513</v>
      </c>
      <c r="B171" s="127" t="s">
        <v>187</v>
      </c>
      <c r="C171" s="128">
        <f t="shared" si="8"/>
        <v>0</v>
      </c>
      <c r="D171" s="134"/>
      <c r="E171" s="283"/>
      <c r="F171" s="279">
        <f t="shared" si="9"/>
        <v>0</v>
      </c>
      <c r="G171" s="134"/>
      <c r="H171" s="135"/>
      <c r="I171" s="136">
        <f t="shared" si="10"/>
        <v>0</v>
      </c>
      <c r="J171" s="134"/>
      <c r="K171" s="135"/>
      <c r="L171" s="136">
        <f t="shared" si="11"/>
        <v>0</v>
      </c>
      <c r="M171" s="284"/>
      <c r="N171" s="285"/>
      <c r="O171" s="136">
        <f t="shared" si="12"/>
        <v>0</v>
      </c>
      <c r="P171" s="85"/>
      <c r="R171" s="53"/>
      <c r="S171" s="53"/>
      <c r="T171" s="53"/>
    </row>
    <row r="172" spans="1:20" ht="24" hidden="1" x14ac:dyDescent="0.25">
      <c r="A172" s="76">
        <v>2515</v>
      </c>
      <c r="B172" s="127" t="s">
        <v>188</v>
      </c>
      <c r="C172" s="128">
        <f t="shared" si="8"/>
        <v>0</v>
      </c>
      <c r="D172" s="134"/>
      <c r="E172" s="283"/>
      <c r="F172" s="279">
        <f t="shared" si="9"/>
        <v>0</v>
      </c>
      <c r="G172" s="134"/>
      <c r="H172" s="135"/>
      <c r="I172" s="136">
        <f t="shared" si="10"/>
        <v>0</v>
      </c>
      <c r="J172" s="134"/>
      <c r="K172" s="135"/>
      <c r="L172" s="136">
        <f t="shared" si="11"/>
        <v>0</v>
      </c>
      <c r="M172" s="284"/>
      <c r="N172" s="285"/>
      <c r="O172" s="136">
        <f t="shared" si="12"/>
        <v>0</v>
      </c>
      <c r="P172" s="85"/>
      <c r="R172" s="53"/>
      <c r="S172" s="53"/>
      <c r="T172" s="53"/>
    </row>
    <row r="173" spans="1:20" ht="24" x14ac:dyDescent="0.25">
      <c r="A173" s="76">
        <v>2519</v>
      </c>
      <c r="B173" s="127" t="s">
        <v>189</v>
      </c>
      <c r="C173" s="128">
        <f t="shared" si="8"/>
        <v>94</v>
      </c>
      <c r="D173" s="134">
        <v>94</v>
      </c>
      <c r="E173" s="283"/>
      <c r="F173" s="279">
        <f t="shared" si="9"/>
        <v>94</v>
      </c>
      <c r="G173" s="134"/>
      <c r="H173" s="135"/>
      <c r="I173" s="136">
        <f t="shared" si="10"/>
        <v>0</v>
      </c>
      <c r="J173" s="134"/>
      <c r="K173" s="135"/>
      <c r="L173" s="136">
        <f t="shared" si="11"/>
        <v>0</v>
      </c>
      <c r="M173" s="284"/>
      <c r="N173" s="285"/>
      <c r="O173" s="136">
        <f t="shared" si="12"/>
        <v>0</v>
      </c>
      <c r="P173" s="85"/>
      <c r="R173" s="53"/>
      <c r="S173" s="53"/>
      <c r="T173" s="53"/>
    </row>
    <row r="174" spans="1:20" ht="24" hidden="1" x14ac:dyDescent="0.25">
      <c r="A174" s="276">
        <v>2520</v>
      </c>
      <c r="B174" s="127" t="s">
        <v>190</v>
      </c>
      <c r="C174" s="128">
        <f t="shared" si="8"/>
        <v>0</v>
      </c>
      <c r="D174" s="134"/>
      <c r="E174" s="283"/>
      <c r="F174" s="279">
        <f t="shared" si="9"/>
        <v>0</v>
      </c>
      <c r="G174" s="134"/>
      <c r="H174" s="135"/>
      <c r="I174" s="136">
        <f t="shared" si="10"/>
        <v>0</v>
      </c>
      <c r="J174" s="134"/>
      <c r="K174" s="135"/>
      <c r="L174" s="136">
        <f t="shared" si="11"/>
        <v>0</v>
      </c>
      <c r="M174" s="284"/>
      <c r="N174" s="285"/>
      <c r="O174" s="136">
        <f t="shared" si="12"/>
        <v>0</v>
      </c>
      <c r="P174" s="85"/>
      <c r="R174" s="53"/>
      <c r="S174" s="53"/>
      <c r="T174" s="53"/>
    </row>
    <row r="175" spans="1:20" s="319" customFormat="1" ht="48" hidden="1" x14ac:dyDescent="0.25">
      <c r="A175" s="31">
        <v>2800</v>
      </c>
      <c r="B175" s="116" t="s">
        <v>191</v>
      </c>
      <c r="C175" s="117">
        <f t="shared" si="8"/>
        <v>0</v>
      </c>
      <c r="D175" s="68"/>
      <c r="E175" s="673"/>
      <c r="F175" s="625">
        <f t="shared" si="9"/>
        <v>0</v>
      </c>
      <c r="G175" s="68"/>
      <c r="H175" s="71"/>
      <c r="I175" s="72">
        <f t="shared" si="10"/>
        <v>0</v>
      </c>
      <c r="J175" s="68"/>
      <c r="K175" s="71"/>
      <c r="L175" s="72">
        <f t="shared" si="11"/>
        <v>0</v>
      </c>
      <c r="M175" s="73"/>
      <c r="N175" s="69"/>
      <c r="O175" s="72">
        <f t="shared" si="12"/>
        <v>0</v>
      </c>
      <c r="P175" s="74"/>
      <c r="R175" s="53"/>
      <c r="S175" s="53"/>
      <c r="T175" s="53"/>
    </row>
    <row r="176" spans="1:20" hidden="1" x14ac:dyDescent="0.25">
      <c r="A176" s="237">
        <v>3000</v>
      </c>
      <c r="B176" s="237" t="s">
        <v>192</v>
      </c>
      <c r="C176" s="238">
        <f t="shared" si="8"/>
        <v>0</v>
      </c>
      <c r="D176" s="239">
        <f>SUM(D177,D187)</f>
        <v>0</v>
      </c>
      <c r="E176" s="240">
        <f>SUM(E177,E187)</f>
        <v>0</v>
      </c>
      <c r="F176" s="241">
        <f t="shared" si="9"/>
        <v>0</v>
      </c>
      <c r="G176" s="239">
        <f>SUM(G177,G187)</f>
        <v>0</v>
      </c>
      <c r="H176" s="242">
        <f>SUM(H177,H187)</f>
        <v>0</v>
      </c>
      <c r="I176" s="243">
        <f t="shared" si="10"/>
        <v>0</v>
      </c>
      <c r="J176" s="239">
        <f>SUM(J177,J187)</f>
        <v>0</v>
      </c>
      <c r="K176" s="242">
        <f>SUM(K177,K187)</f>
        <v>0</v>
      </c>
      <c r="L176" s="243">
        <f t="shared" si="11"/>
        <v>0</v>
      </c>
      <c r="M176" s="244">
        <f>SUM(M177,M187)</f>
        <v>0</v>
      </c>
      <c r="N176" s="245">
        <f>SUM(N177,N187)</f>
        <v>0</v>
      </c>
      <c r="O176" s="243">
        <f t="shared" si="12"/>
        <v>0</v>
      </c>
      <c r="P176" s="246"/>
      <c r="R176" s="53"/>
      <c r="S176" s="53"/>
      <c r="T176" s="53"/>
    </row>
    <row r="177" spans="1:20" ht="24" hidden="1" x14ac:dyDescent="0.25">
      <c r="A177" s="99">
        <v>3200</v>
      </c>
      <c r="B177" s="321" t="s">
        <v>193</v>
      </c>
      <c r="C177" s="100">
        <f t="shared" si="8"/>
        <v>0</v>
      </c>
      <c r="D177" s="112">
        <f>SUM(D178,D182)</f>
        <v>0</v>
      </c>
      <c r="E177" s="248">
        <f>SUM(E178,E182)</f>
        <v>0</v>
      </c>
      <c r="F177" s="249">
        <f t="shared" si="9"/>
        <v>0</v>
      </c>
      <c r="G177" s="112">
        <f>SUM(G178,G182)</f>
        <v>0</v>
      </c>
      <c r="H177" s="113">
        <f>SUM(H178,H182)</f>
        <v>0</v>
      </c>
      <c r="I177" s="114">
        <f t="shared" si="10"/>
        <v>0</v>
      </c>
      <c r="J177" s="112">
        <f>SUM(J178,J182)</f>
        <v>0</v>
      </c>
      <c r="K177" s="113">
        <f>SUM(K178,K182)</f>
        <v>0</v>
      </c>
      <c r="L177" s="114">
        <f t="shared" si="11"/>
        <v>0</v>
      </c>
      <c r="M177" s="250">
        <f>SUM(M178,M182)</f>
        <v>0</v>
      </c>
      <c r="N177" s="251">
        <f>SUM(N178,N182)</f>
        <v>0</v>
      </c>
      <c r="O177" s="252">
        <f t="shared" si="12"/>
        <v>0</v>
      </c>
      <c r="P177" s="253"/>
      <c r="R177" s="53"/>
      <c r="S177" s="53"/>
      <c r="T177" s="53"/>
    </row>
    <row r="178" spans="1:20" ht="36" hidden="1" x14ac:dyDescent="0.25">
      <c r="A178" s="656">
        <v>3260</v>
      </c>
      <c r="B178" s="116" t="s">
        <v>194</v>
      </c>
      <c r="C178" s="117">
        <f t="shared" si="8"/>
        <v>0</v>
      </c>
      <c r="D178" s="297">
        <f>SUM(D179:D181)</f>
        <v>0</v>
      </c>
      <c r="E178" s="298">
        <f>SUM(E179:E181)</f>
        <v>0</v>
      </c>
      <c r="F178" s="296">
        <f t="shared" si="9"/>
        <v>0</v>
      </c>
      <c r="G178" s="297">
        <f>SUM(G179:G181)</f>
        <v>0</v>
      </c>
      <c r="H178" s="299">
        <f>SUM(H179:H181)</f>
        <v>0</v>
      </c>
      <c r="I178" s="125">
        <f t="shared" si="10"/>
        <v>0</v>
      </c>
      <c r="J178" s="297">
        <f>SUM(J179:J181)</f>
        <v>0</v>
      </c>
      <c r="K178" s="299">
        <f>SUM(K179:K181)</f>
        <v>0</v>
      </c>
      <c r="L178" s="125">
        <f t="shared" si="11"/>
        <v>0</v>
      </c>
      <c r="M178" s="300">
        <f>SUM(M179:M181)</f>
        <v>0</v>
      </c>
      <c r="N178" s="301">
        <f>SUM(N179:N181)</f>
        <v>0</v>
      </c>
      <c r="O178" s="125">
        <f t="shared" si="12"/>
        <v>0</v>
      </c>
      <c r="P178" s="74"/>
      <c r="R178" s="53"/>
      <c r="S178" s="53"/>
      <c r="T178" s="53"/>
    </row>
    <row r="179" spans="1:20" ht="24" hidden="1" x14ac:dyDescent="0.25">
      <c r="A179" s="76">
        <v>3261</v>
      </c>
      <c r="B179" s="127" t="s">
        <v>195</v>
      </c>
      <c r="C179" s="128">
        <f t="shared" si="8"/>
        <v>0</v>
      </c>
      <c r="D179" s="134"/>
      <c r="E179" s="283"/>
      <c r="F179" s="279">
        <f t="shared" si="9"/>
        <v>0</v>
      </c>
      <c r="G179" s="134"/>
      <c r="H179" s="135"/>
      <c r="I179" s="136">
        <f t="shared" si="10"/>
        <v>0</v>
      </c>
      <c r="J179" s="134"/>
      <c r="K179" s="135"/>
      <c r="L179" s="136">
        <f t="shared" si="11"/>
        <v>0</v>
      </c>
      <c r="M179" s="284"/>
      <c r="N179" s="285"/>
      <c r="O179" s="136">
        <f t="shared" si="12"/>
        <v>0</v>
      </c>
      <c r="P179" s="85"/>
      <c r="R179" s="53"/>
      <c r="S179" s="53"/>
      <c r="T179" s="53"/>
    </row>
    <row r="180" spans="1:20" ht="36" hidden="1" x14ac:dyDescent="0.25">
      <c r="A180" s="76">
        <v>3262</v>
      </c>
      <c r="B180" s="127" t="s">
        <v>196</v>
      </c>
      <c r="C180" s="128">
        <f t="shared" si="8"/>
        <v>0</v>
      </c>
      <c r="D180" s="134"/>
      <c r="E180" s="283"/>
      <c r="F180" s="279">
        <f t="shared" si="9"/>
        <v>0</v>
      </c>
      <c r="G180" s="134"/>
      <c r="H180" s="135"/>
      <c r="I180" s="136">
        <f t="shared" si="10"/>
        <v>0</v>
      </c>
      <c r="J180" s="134"/>
      <c r="K180" s="135"/>
      <c r="L180" s="136">
        <f t="shared" si="11"/>
        <v>0</v>
      </c>
      <c r="M180" s="284"/>
      <c r="N180" s="285"/>
      <c r="O180" s="136">
        <f t="shared" si="12"/>
        <v>0</v>
      </c>
      <c r="P180" s="85"/>
      <c r="R180" s="53"/>
      <c r="S180" s="53"/>
      <c r="T180" s="53"/>
    </row>
    <row r="181" spans="1:20" ht="24" hidden="1" x14ac:dyDescent="0.25">
      <c r="A181" s="76">
        <v>3263</v>
      </c>
      <c r="B181" s="127" t="s">
        <v>197</v>
      </c>
      <c r="C181" s="128">
        <f t="shared" ref="C181:C244" si="13">SUM(F181,I181,L181,O181)</f>
        <v>0</v>
      </c>
      <c r="D181" s="134"/>
      <c r="E181" s="283"/>
      <c r="F181" s="279">
        <f t="shared" ref="F181:F244" si="14">D181+E181</f>
        <v>0</v>
      </c>
      <c r="G181" s="134"/>
      <c r="H181" s="135"/>
      <c r="I181" s="136">
        <f t="shared" ref="I181:I244" si="15">G181+H181</f>
        <v>0</v>
      </c>
      <c r="J181" s="134"/>
      <c r="K181" s="135"/>
      <c r="L181" s="136">
        <f t="shared" ref="L181:L244" si="16">J181+K181</f>
        <v>0</v>
      </c>
      <c r="M181" s="284"/>
      <c r="N181" s="285"/>
      <c r="O181" s="136">
        <f t="shared" ref="O181:O244" si="17">M181+N181</f>
        <v>0</v>
      </c>
      <c r="P181" s="85"/>
      <c r="R181" s="53"/>
      <c r="S181" s="53"/>
      <c r="T181" s="53"/>
    </row>
    <row r="182" spans="1:20" ht="84" hidden="1" x14ac:dyDescent="0.25">
      <c r="A182" s="656">
        <v>3290</v>
      </c>
      <c r="B182" s="116" t="s">
        <v>198</v>
      </c>
      <c r="C182" s="128">
        <f t="shared" si="13"/>
        <v>0</v>
      </c>
      <c r="D182" s="297">
        <f>SUM(D183:D186)</f>
        <v>0</v>
      </c>
      <c r="E182" s="298">
        <f>SUM(E183:E186)</f>
        <v>0</v>
      </c>
      <c r="F182" s="296">
        <f t="shared" si="14"/>
        <v>0</v>
      </c>
      <c r="G182" s="297">
        <f>SUM(G183:G186)</f>
        <v>0</v>
      </c>
      <c r="H182" s="299">
        <f>SUM(H183:H186)</f>
        <v>0</v>
      </c>
      <c r="I182" s="125">
        <f t="shared" si="15"/>
        <v>0</v>
      </c>
      <c r="J182" s="297">
        <f>SUM(J183:J186)</f>
        <v>0</v>
      </c>
      <c r="K182" s="299">
        <f>SUM(K183:K186)</f>
        <v>0</v>
      </c>
      <c r="L182" s="125">
        <f t="shared" si="16"/>
        <v>0</v>
      </c>
      <c r="M182" s="322">
        <f>SUM(M183:M186)</f>
        <v>0</v>
      </c>
      <c r="N182" s="323">
        <f>SUM(N183:N186)</f>
        <v>0</v>
      </c>
      <c r="O182" s="324">
        <f t="shared" si="17"/>
        <v>0</v>
      </c>
      <c r="P182" s="325"/>
      <c r="R182" s="53"/>
      <c r="S182" s="53"/>
      <c r="T182" s="53"/>
    </row>
    <row r="183" spans="1:20" ht="72" hidden="1" x14ac:dyDescent="0.25">
      <c r="A183" s="76">
        <v>3291</v>
      </c>
      <c r="B183" s="127" t="s">
        <v>199</v>
      </c>
      <c r="C183" s="128">
        <f t="shared" si="13"/>
        <v>0</v>
      </c>
      <c r="D183" s="134"/>
      <c r="E183" s="283"/>
      <c r="F183" s="279">
        <f t="shared" si="14"/>
        <v>0</v>
      </c>
      <c r="G183" s="134"/>
      <c r="H183" s="135"/>
      <c r="I183" s="136">
        <f t="shared" si="15"/>
        <v>0</v>
      </c>
      <c r="J183" s="134"/>
      <c r="K183" s="135"/>
      <c r="L183" s="136">
        <f t="shared" si="16"/>
        <v>0</v>
      </c>
      <c r="M183" s="284"/>
      <c r="N183" s="285"/>
      <c r="O183" s="136">
        <f t="shared" si="17"/>
        <v>0</v>
      </c>
      <c r="P183" s="85"/>
      <c r="R183" s="53"/>
      <c r="S183" s="53"/>
      <c r="T183" s="53"/>
    </row>
    <row r="184" spans="1:20" ht="72" hidden="1" x14ac:dyDescent="0.25">
      <c r="A184" s="76">
        <v>3292</v>
      </c>
      <c r="B184" s="127" t="s">
        <v>200</v>
      </c>
      <c r="C184" s="128">
        <f t="shared" si="13"/>
        <v>0</v>
      </c>
      <c r="D184" s="134"/>
      <c r="E184" s="283"/>
      <c r="F184" s="279">
        <f t="shared" si="14"/>
        <v>0</v>
      </c>
      <c r="G184" s="134"/>
      <c r="H184" s="135"/>
      <c r="I184" s="136">
        <f t="shared" si="15"/>
        <v>0</v>
      </c>
      <c r="J184" s="134"/>
      <c r="K184" s="135"/>
      <c r="L184" s="136">
        <f t="shared" si="16"/>
        <v>0</v>
      </c>
      <c r="M184" s="284"/>
      <c r="N184" s="285"/>
      <c r="O184" s="136">
        <f t="shared" si="17"/>
        <v>0</v>
      </c>
      <c r="P184" s="85"/>
      <c r="R184" s="53"/>
      <c r="S184" s="53"/>
      <c r="T184" s="53"/>
    </row>
    <row r="185" spans="1:20" ht="72" hidden="1" x14ac:dyDescent="0.25">
      <c r="A185" s="76">
        <v>3293</v>
      </c>
      <c r="B185" s="127" t="s">
        <v>201</v>
      </c>
      <c r="C185" s="128">
        <f t="shared" si="13"/>
        <v>0</v>
      </c>
      <c r="D185" s="134"/>
      <c r="E185" s="283"/>
      <c r="F185" s="279">
        <f t="shared" si="14"/>
        <v>0</v>
      </c>
      <c r="G185" s="134"/>
      <c r="H185" s="135"/>
      <c r="I185" s="136">
        <f t="shared" si="15"/>
        <v>0</v>
      </c>
      <c r="J185" s="134"/>
      <c r="K185" s="135"/>
      <c r="L185" s="136">
        <f t="shared" si="16"/>
        <v>0</v>
      </c>
      <c r="M185" s="284"/>
      <c r="N185" s="285"/>
      <c r="O185" s="136">
        <f t="shared" si="17"/>
        <v>0</v>
      </c>
      <c r="P185" s="85"/>
      <c r="R185" s="53"/>
      <c r="S185" s="53"/>
      <c r="T185" s="53"/>
    </row>
    <row r="186" spans="1:20" ht="60" hidden="1" x14ac:dyDescent="0.25">
      <c r="A186" s="326">
        <v>3294</v>
      </c>
      <c r="B186" s="127" t="s">
        <v>202</v>
      </c>
      <c r="C186" s="327">
        <f t="shared" si="13"/>
        <v>0</v>
      </c>
      <c r="D186" s="328"/>
      <c r="E186" s="683"/>
      <c r="F186" s="647">
        <f t="shared" si="14"/>
        <v>0</v>
      </c>
      <c r="G186" s="328"/>
      <c r="H186" s="331"/>
      <c r="I186" s="324">
        <f t="shared" si="15"/>
        <v>0</v>
      </c>
      <c r="J186" s="328"/>
      <c r="K186" s="331"/>
      <c r="L186" s="324">
        <f t="shared" si="16"/>
        <v>0</v>
      </c>
      <c r="M186" s="332"/>
      <c r="N186" s="329"/>
      <c r="O186" s="324">
        <f t="shared" si="17"/>
        <v>0</v>
      </c>
      <c r="P186" s="325"/>
      <c r="R186" s="53"/>
      <c r="S186" s="53"/>
      <c r="T186" s="53"/>
    </row>
    <row r="187" spans="1:20" ht="48" hidden="1" x14ac:dyDescent="0.25">
      <c r="A187" s="160">
        <v>3300</v>
      </c>
      <c r="B187" s="321" t="s">
        <v>203</v>
      </c>
      <c r="C187" s="333">
        <f t="shared" si="13"/>
        <v>0</v>
      </c>
      <c r="D187" s="334">
        <f>SUM(D188:D189)</f>
        <v>0</v>
      </c>
      <c r="E187" s="684">
        <f>SUM(E188:E189)</f>
        <v>0</v>
      </c>
      <c r="F187" s="648">
        <f t="shared" si="14"/>
        <v>0</v>
      </c>
      <c r="G187" s="334">
        <f>SUM(G188:G189)</f>
        <v>0</v>
      </c>
      <c r="H187" s="336">
        <f>SUM(H188:H189)</f>
        <v>0</v>
      </c>
      <c r="I187" s="252">
        <f t="shared" si="15"/>
        <v>0</v>
      </c>
      <c r="J187" s="334">
        <f>SUM(J188:J189)</f>
        <v>0</v>
      </c>
      <c r="K187" s="336">
        <f>SUM(K188:K189)</f>
        <v>0</v>
      </c>
      <c r="L187" s="252">
        <f t="shared" si="16"/>
        <v>0</v>
      </c>
      <c r="M187" s="250">
        <f>SUM(M188:M189)</f>
        <v>0</v>
      </c>
      <c r="N187" s="251">
        <f>SUM(N188:N189)</f>
        <v>0</v>
      </c>
      <c r="O187" s="252">
        <f t="shared" si="17"/>
        <v>0</v>
      </c>
      <c r="P187" s="253"/>
      <c r="R187" s="53"/>
      <c r="S187" s="53"/>
      <c r="T187" s="53"/>
    </row>
    <row r="188" spans="1:20" ht="48" hidden="1" x14ac:dyDescent="0.25">
      <c r="A188" s="178">
        <v>3310</v>
      </c>
      <c r="B188" s="179" t="s">
        <v>204</v>
      </c>
      <c r="C188" s="191">
        <f t="shared" si="13"/>
        <v>0</v>
      </c>
      <c r="D188" s="287"/>
      <c r="E188" s="288"/>
      <c r="F188" s="257">
        <f t="shared" si="14"/>
        <v>0</v>
      </c>
      <c r="G188" s="287"/>
      <c r="H188" s="289"/>
      <c r="I188" s="259">
        <f t="shared" si="15"/>
        <v>0</v>
      </c>
      <c r="J188" s="287"/>
      <c r="K188" s="289"/>
      <c r="L188" s="259">
        <f t="shared" si="16"/>
        <v>0</v>
      </c>
      <c r="M188" s="290"/>
      <c r="N188" s="291"/>
      <c r="O188" s="259">
        <f t="shared" si="17"/>
        <v>0</v>
      </c>
      <c r="P188" s="189"/>
      <c r="R188" s="53"/>
      <c r="S188" s="53"/>
      <c r="T188" s="53"/>
    </row>
    <row r="189" spans="1:20" ht="60" hidden="1" x14ac:dyDescent="0.25">
      <c r="A189" s="66">
        <v>3320</v>
      </c>
      <c r="B189" s="116" t="s">
        <v>205</v>
      </c>
      <c r="C189" s="117">
        <f t="shared" si="13"/>
        <v>0</v>
      </c>
      <c r="D189" s="123"/>
      <c r="E189" s="295"/>
      <c r="F189" s="296">
        <f t="shared" si="14"/>
        <v>0</v>
      </c>
      <c r="G189" s="123"/>
      <c r="H189" s="124"/>
      <c r="I189" s="125">
        <f t="shared" si="15"/>
        <v>0</v>
      </c>
      <c r="J189" s="123"/>
      <c r="K189" s="124"/>
      <c r="L189" s="125">
        <f t="shared" si="16"/>
        <v>0</v>
      </c>
      <c r="M189" s="264"/>
      <c r="N189" s="262"/>
      <c r="O189" s="125">
        <f t="shared" si="17"/>
        <v>0</v>
      </c>
      <c r="P189" s="74"/>
      <c r="R189" s="53"/>
      <c r="S189" s="53"/>
      <c r="T189" s="53"/>
    </row>
    <row r="190" spans="1:20" hidden="1" x14ac:dyDescent="0.25">
      <c r="A190" s="337">
        <v>4000</v>
      </c>
      <c r="B190" s="237" t="s">
        <v>206</v>
      </c>
      <c r="C190" s="238">
        <f t="shared" si="13"/>
        <v>0</v>
      </c>
      <c r="D190" s="239">
        <f>SUM(D191,D194)</f>
        <v>0</v>
      </c>
      <c r="E190" s="240">
        <f>SUM(E191,E194)</f>
        <v>0</v>
      </c>
      <c r="F190" s="241">
        <f t="shared" si="14"/>
        <v>0</v>
      </c>
      <c r="G190" s="239">
        <f>SUM(G191,G194)</f>
        <v>0</v>
      </c>
      <c r="H190" s="242">
        <f>SUM(H191,H194)</f>
        <v>0</v>
      </c>
      <c r="I190" s="243">
        <f t="shared" si="15"/>
        <v>0</v>
      </c>
      <c r="J190" s="239">
        <f>SUM(J191,J194)</f>
        <v>0</v>
      </c>
      <c r="K190" s="242">
        <f>SUM(K191,K194)</f>
        <v>0</v>
      </c>
      <c r="L190" s="243">
        <f t="shared" si="16"/>
        <v>0</v>
      </c>
      <c r="M190" s="244">
        <f>SUM(M191,M194)</f>
        <v>0</v>
      </c>
      <c r="N190" s="245">
        <f>SUM(N191,N194)</f>
        <v>0</v>
      </c>
      <c r="O190" s="243">
        <f t="shared" si="17"/>
        <v>0</v>
      </c>
      <c r="P190" s="246"/>
      <c r="R190" s="53"/>
      <c r="S190" s="53"/>
      <c r="T190" s="53"/>
    </row>
    <row r="191" spans="1:20" ht="24" hidden="1" x14ac:dyDescent="0.25">
      <c r="A191" s="338">
        <v>4200</v>
      </c>
      <c r="B191" s="247" t="s">
        <v>207</v>
      </c>
      <c r="C191" s="100">
        <f t="shared" si="13"/>
        <v>0</v>
      </c>
      <c r="D191" s="112">
        <f>SUM(D192,D193)</f>
        <v>0</v>
      </c>
      <c r="E191" s="248">
        <f>SUM(E192,E193)</f>
        <v>0</v>
      </c>
      <c r="F191" s="249">
        <f t="shared" si="14"/>
        <v>0</v>
      </c>
      <c r="G191" s="112">
        <f>SUM(G192,G193)</f>
        <v>0</v>
      </c>
      <c r="H191" s="113">
        <f>SUM(H192,H193)</f>
        <v>0</v>
      </c>
      <c r="I191" s="114">
        <f t="shared" si="15"/>
        <v>0</v>
      </c>
      <c r="J191" s="112">
        <f>SUM(J192,J193)</f>
        <v>0</v>
      </c>
      <c r="K191" s="113">
        <f>SUM(K192,K193)</f>
        <v>0</v>
      </c>
      <c r="L191" s="114">
        <f t="shared" si="16"/>
        <v>0</v>
      </c>
      <c r="M191" s="292">
        <f>SUM(M192,M193)</f>
        <v>0</v>
      </c>
      <c r="N191" s="293">
        <f>SUM(N192,N193)</f>
        <v>0</v>
      </c>
      <c r="O191" s="114">
        <f t="shared" si="17"/>
        <v>0</v>
      </c>
      <c r="P191" s="109"/>
      <c r="R191" s="53"/>
      <c r="S191" s="53"/>
      <c r="T191" s="53"/>
    </row>
    <row r="192" spans="1:20" ht="36" hidden="1" x14ac:dyDescent="0.25">
      <c r="A192" s="656">
        <v>4240</v>
      </c>
      <c r="B192" s="116" t="s">
        <v>208</v>
      </c>
      <c r="C192" s="117">
        <f t="shared" si="13"/>
        <v>0</v>
      </c>
      <c r="D192" s="123"/>
      <c r="E192" s="295"/>
      <c r="F192" s="296">
        <f t="shared" si="14"/>
        <v>0</v>
      </c>
      <c r="G192" s="123"/>
      <c r="H192" s="124"/>
      <c r="I192" s="125">
        <f t="shared" si="15"/>
        <v>0</v>
      </c>
      <c r="J192" s="123"/>
      <c r="K192" s="124"/>
      <c r="L192" s="125">
        <f t="shared" si="16"/>
        <v>0</v>
      </c>
      <c r="M192" s="264"/>
      <c r="N192" s="262"/>
      <c r="O192" s="125">
        <f t="shared" si="17"/>
        <v>0</v>
      </c>
      <c r="P192" s="74"/>
      <c r="R192" s="53"/>
      <c r="S192" s="53"/>
      <c r="T192" s="53"/>
    </row>
    <row r="193" spans="1:20" ht="24" hidden="1" x14ac:dyDescent="0.25">
      <c r="A193" s="276">
        <v>4250</v>
      </c>
      <c r="B193" s="127" t="s">
        <v>209</v>
      </c>
      <c r="C193" s="128">
        <f t="shared" si="13"/>
        <v>0</v>
      </c>
      <c r="D193" s="134"/>
      <c r="E193" s="283"/>
      <c r="F193" s="279">
        <f t="shared" si="14"/>
        <v>0</v>
      </c>
      <c r="G193" s="134"/>
      <c r="H193" s="135"/>
      <c r="I193" s="136">
        <f t="shared" si="15"/>
        <v>0</v>
      </c>
      <c r="J193" s="134"/>
      <c r="K193" s="135"/>
      <c r="L193" s="136">
        <f t="shared" si="16"/>
        <v>0</v>
      </c>
      <c r="M193" s="284"/>
      <c r="N193" s="285"/>
      <c r="O193" s="136">
        <f t="shared" si="17"/>
        <v>0</v>
      </c>
      <c r="P193" s="85"/>
      <c r="R193" s="53"/>
      <c r="S193" s="53"/>
      <c r="T193" s="53"/>
    </row>
    <row r="194" spans="1:20" hidden="1" x14ac:dyDescent="0.25">
      <c r="A194" s="99">
        <v>4300</v>
      </c>
      <c r="B194" s="247" t="s">
        <v>210</v>
      </c>
      <c r="C194" s="100">
        <f t="shared" si="13"/>
        <v>0</v>
      </c>
      <c r="D194" s="112">
        <f>SUM(D195)</f>
        <v>0</v>
      </c>
      <c r="E194" s="248">
        <f>SUM(E195)</f>
        <v>0</v>
      </c>
      <c r="F194" s="249">
        <f t="shared" si="14"/>
        <v>0</v>
      </c>
      <c r="G194" s="112">
        <f>SUM(G195)</f>
        <v>0</v>
      </c>
      <c r="H194" s="113">
        <f>SUM(H195)</f>
        <v>0</v>
      </c>
      <c r="I194" s="114">
        <f t="shared" si="15"/>
        <v>0</v>
      </c>
      <c r="J194" s="112">
        <f>SUM(J195)</f>
        <v>0</v>
      </c>
      <c r="K194" s="113">
        <f>SUM(K195)</f>
        <v>0</v>
      </c>
      <c r="L194" s="114">
        <f t="shared" si="16"/>
        <v>0</v>
      </c>
      <c r="M194" s="292">
        <f>SUM(M195)</f>
        <v>0</v>
      </c>
      <c r="N194" s="293">
        <f>SUM(N195)</f>
        <v>0</v>
      </c>
      <c r="O194" s="114">
        <f t="shared" si="17"/>
        <v>0</v>
      </c>
      <c r="P194" s="109"/>
      <c r="R194" s="53"/>
      <c r="S194" s="53"/>
      <c r="T194" s="53"/>
    </row>
    <row r="195" spans="1:20" ht="24" hidden="1" x14ac:dyDescent="0.25">
      <c r="A195" s="656">
        <v>4310</v>
      </c>
      <c r="B195" s="116" t="s">
        <v>211</v>
      </c>
      <c r="C195" s="117">
        <f t="shared" si="13"/>
        <v>0</v>
      </c>
      <c r="D195" s="297">
        <f>SUM(D196:D196)</f>
        <v>0</v>
      </c>
      <c r="E195" s="298">
        <f>SUM(E196:E196)</f>
        <v>0</v>
      </c>
      <c r="F195" s="296">
        <f t="shared" si="14"/>
        <v>0</v>
      </c>
      <c r="G195" s="297">
        <f>SUM(G196:G196)</f>
        <v>0</v>
      </c>
      <c r="H195" s="299">
        <f>SUM(H196:H196)</f>
        <v>0</v>
      </c>
      <c r="I195" s="125">
        <f t="shared" si="15"/>
        <v>0</v>
      </c>
      <c r="J195" s="297">
        <f>SUM(J196:J196)</f>
        <v>0</v>
      </c>
      <c r="K195" s="299">
        <f>SUM(K196:K196)</f>
        <v>0</v>
      </c>
      <c r="L195" s="125">
        <f t="shared" si="16"/>
        <v>0</v>
      </c>
      <c r="M195" s="300">
        <f>SUM(M196:M196)</f>
        <v>0</v>
      </c>
      <c r="N195" s="301">
        <f>SUM(N196:N196)</f>
        <v>0</v>
      </c>
      <c r="O195" s="125">
        <f t="shared" si="17"/>
        <v>0</v>
      </c>
      <c r="P195" s="74"/>
      <c r="R195" s="53"/>
      <c r="S195" s="53"/>
      <c r="T195" s="53"/>
    </row>
    <row r="196" spans="1:20" ht="36" hidden="1" x14ac:dyDescent="0.25">
      <c r="A196" s="76">
        <v>4311</v>
      </c>
      <c r="B196" s="127" t="s">
        <v>212</v>
      </c>
      <c r="C196" s="128">
        <f t="shared" si="13"/>
        <v>0</v>
      </c>
      <c r="D196" s="134"/>
      <c r="E196" s="283"/>
      <c r="F196" s="279">
        <f t="shared" si="14"/>
        <v>0</v>
      </c>
      <c r="G196" s="134"/>
      <c r="H196" s="135"/>
      <c r="I196" s="136">
        <f t="shared" si="15"/>
        <v>0</v>
      </c>
      <c r="J196" s="134"/>
      <c r="K196" s="135"/>
      <c r="L196" s="136">
        <f t="shared" si="16"/>
        <v>0</v>
      </c>
      <c r="M196" s="284"/>
      <c r="N196" s="285"/>
      <c r="O196" s="136">
        <f t="shared" si="17"/>
        <v>0</v>
      </c>
      <c r="P196" s="85"/>
      <c r="R196" s="53"/>
      <c r="S196" s="53"/>
      <c r="T196" s="53"/>
    </row>
    <row r="197" spans="1:20" s="41" customFormat="1" ht="24" x14ac:dyDescent="0.25">
      <c r="A197" s="339"/>
      <c r="B197" s="31" t="s">
        <v>213</v>
      </c>
      <c r="C197" s="229">
        <f t="shared" si="13"/>
        <v>33507</v>
      </c>
      <c r="D197" s="230">
        <f>SUM(D198,D233,D271)</f>
        <v>26474</v>
      </c>
      <c r="E197" s="231">
        <f>SUM(E198,E233,E271)</f>
        <v>0</v>
      </c>
      <c r="F197" s="232">
        <f t="shared" si="14"/>
        <v>26474</v>
      </c>
      <c r="G197" s="230">
        <f>SUM(G198,G233,G271)</f>
        <v>4150</v>
      </c>
      <c r="H197" s="233">
        <f>SUM(H198,H233,H271)</f>
        <v>0</v>
      </c>
      <c r="I197" s="234">
        <f t="shared" si="15"/>
        <v>4150</v>
      </c>
      <c r="J197" s="230">
        <f>SUM(J198,J233,J271)</f>
        <v>2883</v>
      </c>
      <c r="K197" s="233">
        <f>SUM(K198,K233,K271)</f>
        <v>0</v>
      </c>
      <c r="L197" s="234">
        <f t="shared" si="16"/>
        <v>2883</v>
      </c>
      <c r="M197" s="340">
        <f>SUM(M198,M233,M271)</f>
        <v>0</v>
      </c>
      <c r="N197" s="341">
        <f>SUM(N198,N233,N271)</f>
        <v>0</v>
      </c>
      <c r="O197" s="342">
        <f t="shared" si="17"/>
        <v>0</v>
      </c>
      <c r="P197" s="343"/>
      <c r="R197" s="53"/>
      <c r="S197" s="53"/>
      <c r="T197" s="53"/>
    </row>
    <row r="198" spans="1:20" x14ac:dyDescent="0.25">
      <c r="A198" s="237">
        <v>5000</v>
      </c>
      <c r="B198" s="237" t="s">
        <v>214</v>
      </c>
      <c r="C198" s="238">
        <f t="shared" si="13"/>
        <v>33507</v>
      </c>
      <c r="D198" s="239">
        <f>D199+D207</f>
        <v>26474</v>
      </c>
      <c r="E198" s="240">
        <f>E199+E207</f>
        <v>0</v>
      </c>
      <c r="F198" s="241">
        <f t="shared" si="14"/>
        <v>26474</v>
      </c>
      <c r="G198" s="239">
        <f>G199+G207</f>
        <v>4150</v>
      </c>
      <c r="H198" s="242">
        <f>H199+H207</f>
        <v>0</v>
      </c>
      <c r="I198" s="243">
        <f t="shared" si="15"/>
        <v>4150</v>
      </c>
      <c r="J198" s="239">
        <f>J199+J207</f>
        <v>2883</v>
      </c>
      <c r="K198" s="242">
        <f>K199+K207</f>
        <v>0</v>
      </c>
      <c r="L198" s="243">
        <f t="shared" si="16"/>
        <v>2883</v>
      </c>
      <c r="M198" s="244">
        <f>M199+M207</f>
        <v>0</v>
      </c>
      <c r="N198" s="245">
        <f>N199+N207</f>
        <v>0</v>
      </c>
      <c r="O198" s="243">
        <f t="shared" si="17"/>
        <v>0</v>
      </c>
      <c r="P198" s="246"/>
      <c r="R198" s="53"/>
      <c r="S198" s="53"/>
      <c r="T198" s="53"/>
    </row>
    <row r="199" spans="1:20" x14ac:dyDescent="0.25">
      <c r="A199" s="99">
        <v>5100</v>
      </c>
      <c r="B199" s="247" t="s">
        <v>215</v>
      </c>
      <c r="C199" s="100">
        <f t="shared" si="13"/>
        <v>1154</v>
      </c>
      <c r="D199" s="112">
        <f>D200+D201+D204+D205+D206</f>
        <v>1154</v>
      </c>
      <c r="E199" s="248">
        <f>E200+E201+E204+E205+E206</f>
        <v>0</v>
      </c>
      <c r="F199" s="249">
        <f t="shared" si="14"/>
        <v>1154</v>
      </c>
      <c r="G199" s="112">
        <f>G200+G201+G204+G205+G206</f>
        <v>0</v>
      </c>
      <c r="H199" s="113">
        <f>H200+H201+H204+H205+H206</f>
        <v>0</v>
      </c>
      <c r="I199" s="114">
        <f t="shared" si="15"/>
        <v>0</v>
      </c>
      <c r="J199" s="112">
        <f>J200+J201+J204+J205+J206</f>
        <v>0</v>
      </c>
      <c r="K199" s="113">
        <f>K200+K201+K204+K205+K206</f>
        <v>0</v>
      </c>
      <c r="L199" s="114">
        <f t="shared" si="16"/>
        <v>0</v>
      </c>
      <c r="M199" s="292">
        <f>M200+M201+M204+M205+M206</f>
        <v>0</v>
      </c>
      <c r="N199" s="293">
        <f>N200+N201+N204+N205+N206</f>
        <v>0</v>
      </c>
      <c r="O199" s="114">
        <f t="shared" si="17"/>
        <v>0</v>
      </c>
      <c r="P199" s="109"/>
      <c r="R199" s="53"/>
      <c r="S199" s="53"/>
      <c r="T199" s="53"/>
    </row>
    <row r="200" spans="1:20" hidden="1" x14ac:dyDescent="0.25">
      <c r="A200" s="656">
        <v>5110</v>
      </c>
      <c r="B200" s="116" t="s">
        <v>216</v>
      </c>
      <c r="C200" s="117">
        <f t="shared" si="13"/>
        <v>0</v>
      </c>
      <c r="D200" s="123"/>
      <c r="E200" s="295"/>
      <c r="F200" s="296">
        <f t="shared" si="14"/>
        <v>0</v>
      </c>
      <c r="G200" s="123"/>
      <c r="H200" s="124"/>
      <c r="I200" s="125">
        <f t="shared" si="15"/>
        <v>0</v>
      </c>
      <c r="J200" s="123"/>
      <c r="K200" s="124"/>
      <c r="L200" s="125">
        <f t="shared" si="16"/>
        <v>0</v>
      </c>
      <c r="M200" s="264"/>
      <c r="N200" s="262"/>
      <c r="O200" s="125">
        <f t="shared" si="17"/>
        <v>0</v>
      </c>
      <c r="P200" s="74"/>
      <c r="R200" s="53"/>
      <c r="S200" s="53"/>
      <c r="T200" s="53"/>
    </row>
    <row r="201" spans="1:20" ht="24" x14ac:dyDescent="0.25">
      <c r="A201" s="276">
        <v>5120</v>
      </c>
      <c r="B201" s="127" t="s">
        <v>217</v>
      </c>
      <c r="C201" s="128">
        <f t="shared" si="13"/>
        <v>1154</v>
      </c>
      <c r="D201" s="277">
        <f>D202+D203</f>
        <v>1154</v>
      </c>
      <c r="E201" s="278">
        <f>E202+E203</f>
        <v>0</v>
      </c>
      <c r="F201" s="279">
        <f t="shared" si="14"/>
        <v>1154</v>
      </c>
      <c r="G201" s="277">
        <f>G202+G203</f>
        <v>0</v>
      </c>
      <c r="H201" s="280">
        <f>H202+H203</f>
        <v>0</v>
      </c>
      <c r="I201" s="136">
        <f t="shared" si="15"/>
        <v>0</v>
      </c>
      <c r="J201" s="277">
        <f>J202+J203</f>
        <v>0</v>
      </c>
      <c r="K201" s="280">
        <f>K202+K203</f>
        <v>0</v>
      </c>
      <c r="L201" s="136">
        <f t="shared" si="16"/>
        <v>0</v>
      </c>
      <c r="M201" s="281">
        <f>M202+M203</f>
        <v>0</v>
      </c>
      <c r="N201" s="282">
        <f>N202+N203</f>
        <v>0</v>
      </c>
      <c r="O201" s="136">
        <f t="shared" si="17"/>
        <v>0</v>
      </c>
      <c r="P201" s="85"/>
      <c r="R201" s="53"/>
      <c r="S201" s="53"/>
      <c r="T201" s="53"/>
    </row>
    <row r="202" spans="1:20" x14ac:dyDescent="0.25">
      <c r="A202" s="76">
        <v>5121</v>
      </c>
      <c r="B202" s="127" t="s">
        <v>218</v>
      </c>
      <c r="C202" s="128">
        <f t="shared" si="13"/>
        <v>1154</v>
      </c>
      <c r="D202" s="134">
        <f>1530+170+65-611</f>
        <v>1154</v>
      </c>
      <c r="E202" s="283"/>
      <c r="F202" s="279">
        <f t="shared" si="14"/>
        <v>1154</v>
      </c>
      <c r="G202" s="134"/>
      <c r="H202" s="135"/>
      <c r="I202" s="136">
        <f t="shared" si="15"/>
        <v>0</v>
      </c>
      <c r="J202" s="134"/>
      <c r="K202" s="135"/>
      <c r="L202" s="136">
        <f t="shared" si="16"/>
        <v>0</v>
      </c>
      <c r="M202" s="284"/>
      <c r="N202" s="285"/>
      <c r="O202" s="136">
        <f t="shared" si="17"/>
        <v>0</v>
      </c>
      <c r="P202" s="85"/>
      <c r="R202" s="53"/>
      <c r="S202" s="53"/>
      <c r="T202" s="53"/>
    </row>
    <row r="203" spans="1:20" ht="24" hidden="1" x14ac:dyDescent="0.25">
      <c r="A203" s="76">
        <v>5129</v>
      </c>
      <c r="B203" s="127" t="s">
        <v>219</v>
      </c>
      <c r="C203" s="128">
        <f t="shared" si="13"/>
        <v>0</v>
      </c>
      <c r="D203" s="134"/>
      <c r="E203" s="283"/>
      <c r="F203" s="279">
        <f t="shared" si="14"/>
        <v>0</v>
      </c>
      <c r="G203" s="134"/>
      <c r="H203" s="135"/>
      <c r="I203" s="136">
        <f t="shared" si="15"/>
        <v>0</v>
      </c>
      <c r="J203" s="134"/>
      <c r="K203" s="135"/>
      <c r="L203" s="136">
        <f t="shared" si="16"/>
        <v>0</v>
      </c>
      <c r="M203" s="284"/>
      <c r="N203" s="285"/>
      <c r="O203" s="136">
        <f t="shared" si="17"/>
        <v>0</v>
      </c>
      <c r="P203" s="85"/>
      <c r="R203" s="53"/>
      <c r="S203" s="53"/>
      <c r="T203" s="53"/>
    </row>
    <row r="204" spans="1:20" hidden="1" x14ac:dyDescent="0.25">
      <c r="A204" s="276">
        <v>5130</v>
      </c>
      <c r="B204" s="127" t="s">
        <v>220</v>
      </c>
      <c r="C204" s="128">
        <f t="shared" si="13"/>
        <v>0</v>
      </c>
      <c r="D204" s="134"/>
      <c r="E204" s="283"/>
      <c r="F204" s="279">
        <f t="shared" si="14"/>
        <v>0</v>
      </c>
      <c r="G204" s="134"/>
      <c r="H204" s="135"/>
      <c r="I204" s="136">
        <f t="shared" si="15"/>
        <v>0</v>
      </c>
      <c r="J204" s="134"/>
      <c r="K204" s="135"/>
      <c r="L204" s="136">
        <f t="shared" si="16"/>
        <v>0</v>
      </c>
      <c r="M204" s="284"/>
      <c r="N204" s="285"/>
      <c r="O204" s="136">
        <f t="shared" si="17"/>
        <v>0</v>
      </c>
      <c r="P204" s="85"/>
      <c r="R204" s="53"/>
      <c r="S204" s="53"/>
      <c r="T204" s="53"/>
    </row>
    <row r="205" spans="1:20" hidden="1" x14ac:dyDescent="0.25">
      <c r="A205" s="276">
        <v>5140</v>
      </c>
      <c r="B205" s="127" t="s">
        <v>221</v>
      </c>
      <c r="C205" s="128">
        <f t="shared" si="13"/>
        <v>0</v>
      </c>
      <c r="D205" s="134"/>
      <c r="E205" s="283"/>
      <c r="F205" s="279">
        <f t="shared" si="14"/>
        <v>0</v>
      </c>
      <c r="G205" s="134"/>
      <c r="H205" s="135"/>
      <c r="I205" s="136">
        <f t="shared" si="15"/>
        <v>0</v>
      </c>
      <c r="J205" s="134"/>
      <c r="K205" s="135"/>
      <c r="L205" s="136">
        <f t="shared" si="16"/>
        <v>0</v>
      </c>
      <c r="M205" s="284"/>
      <c r="N205" s="285"/>
      <c r="O205" s="136">
        <f t="shared" si="17"/>
        <v>0</v>
      </c>
      <c r="P205" s="85"/>
      <c r="R205" s="53"/>
      <c r="S205" s="53"/>
      <c r="T205" s="53"/>
    </row>
    <row r="206" spans="1:20" ht="24" hidden="1" x14ac:dyDescent="0.25">
      <c r="A206" s="276">
        <v>5170</v>
      </c>
      <c r="B206" s="127" t="s">
        <v>222</v>
      </c>
      <c r="C206" s="128">
        <f t="shared" si="13"/>
        <v>0</v>
      </c>
      <c r="D206" s="134"/>
      <c r="E206" s="283"/>
      <c r="F206" s="279">
        <f t="shared" si="14"/>
        <v>0</v>
      </c>
      <c r="G206" s="134"/>
      <c r="H206" s="135"/>
      <c r="I206" s="136">
        <f t="shared" si="15"/>
        <v>0</v>
      </c>
      <c r="J206" s="134"/>
      <c r="K206" s="135"/>
      <c r="L206" s="136">
        <f t="shared" si="16"/>
        <v>0</v>
      </c>
      <c r="M206" s="284"/>
      <c r="N206" s="285"/>
      <c r="O206" s="136">
        <f t="shared" si="17"/>
        <v>0</v>
      </c>
      <c r="P206" s="85"/>
      <c r="R206" s="53"/>
      <c r="S206" s="53"/>
      <c r="T206" s="53"/>
    </row>
    <row r="207" spans="1:20" x14ac:dyDescent="0.25">
      <c r="A207" s="99">
        <v>5200</v>
      </c>
      <c r="B207" s="247" t="s">
        <v>223</v>
      </c>
      <c r="C207" s="100">
        <f t="shared" si="13"/>
        <v>32353</v>
      </c>
      <c r="D207" s="112">
        <f>D208+D218+D219+D228+D229+D230+D232</f>
        <v>25320</v>
      </c>
      <c r="E207" s="248">
        <f>E208+E218+E219+E228+E229+E230+E232</f>
        <v>0</v>
      </c>
      <c r="F207" s="249">
        <f t="shared" si="14"/>
        <v>25320</v>
      </c>
      <c r="G207" s="112">
        <f>G208+G218+G219+G228+G229+G230+G232</f>
        <v>4150</v>
      </c>
      <c r="H207" s="113">
        <f>H208+H218+H219+H228+H229+H230+H232</f>
        <v>0</v>
      </c>
      <c r="I207" s="114">
        <f t="shared" si="15"/>
        <v>4150</v>
      </c>
      <c r="J207" s="112">
        <f>J208+J218+J219+J228+J229+J230+J232</f>
        <v>2883</v>
      </c>
      <c r="K207" s="113">
        <f>K208+K218+K219+K228+K229+K230+K232</f>
        <v>0</v>
      </c>
      <c r="L207" s="114">
        <f t="shared" si="16"/>
        <v>2883</v>
      </c>
      <c r="M207" s="292">
        <f>M208+M218+M219+M228+M229+M230+M232</f>
        <v>0</v>
      </c>
      <c r="N207" s="293">
        <f>N208+N218+N219+N228+N229+N230+N232</f>
        <v>0</v>
      </c>
      <c r="O207" s="114">
        <f t="shared" si="17"/>
        <v>0</v>
      </c>
      <c r="P207" s="109"/>
      <c r="R207" s="53"/>
      <c r="S207" s="53"/>
      <c r="T207" s="53"/>
    </row>
    <row r="208" spans="1:20" hidden="1" x14ac:dyDescent="0.25">
      <c r="A208" s="254">
        <v>5210</v>
      </c>
      <c r="B208" s="179" t="s">
        <v>224</v>
      </c>
      <c r="C208" s="191">
        <f t="shared" si="13"/>
        <v>0</v>
      </c>
      <c r="D208" s="255">
        <f>SUM(D209:D217)</f>
        <v>0</v>
      </c>
      <c r="E208" s="256">
        <f>SUM(E209:E217)</f>
        <v>0</v>
      </c>
      <c r="F208" s="257">
        <f t="shared" si="14"/>
        <v>0</v>
      </c>
      <c r="G208" s="255">
        <f>SUM(G209:G217)</f>
        <v>0</v>
      </c>
      <c r="H208" s="258">
        <f>SUM(H209:H217)</f>
        <v>0</v>
      </c>
      <c r="I208" s="259">
        <f t="shared" si="15"/>
        <v>0</v>
      </c>
      <c r="J208" s="255">
        <f>SUM(J209:J217)</f>
        <v>0</v>
      </c>
      <c r="K208" s="258">
        <f>SUM(K209:K217)</f>
        <v>0</v>
      </c>
      <c r="L208" s="259">
        <f t="shared" si="16"/>
        <v>0</v>
      </c>
      <c r="M208" s="260">
        <f>SUM(M209:M217)</f>
        <v>0</v>
      </c>
      <c r="N208" s="261">
        <f>SUM(N209:N217)</f>
        <v>0</v>
      </c>
      <c r="O208" s="259">
        <f t="shared" si="17"/>
        <v>0</v>
      </c>
      <c r="P208" s="189"/>
      <c r="R208" s="53"/>
      <c r="S208" s="53"/>
      <c r="T208" s="53"/>
    </row>
    <row r="209" spans="1:20" hidden="1" x14ac:dyDescent="0.25">
      <c r="A209" s="66">
        <v>5211</v>
      </c>
      <c r="B209" s="116" t="s">
        <v>225</v>
      </c>
      <c r="C209" s="279">
        <f t="shared" si="13"/>
        <v>0</v>
      </c>
      <c r="D209" s="123"/>
      <c r="E209" s="295"/>
      <c r="F209" s="296">
        <f t="shared" si="14"/>
        <v>0</v>
      </c>
      <c r="G209" s="123"/>
      <c r="H209" s="124"/>
      <c r="I209" s="125">
        <f t="shared" si="15"/>
        <v>0</v>
      </c>
      <c r="J209" s="123"/>
      <c r="K209" s="124"/>
      <c r="L209" s="125">
        <f t="shared" si="16"/>
        <v>0</v>
      </c>
      <c r="M209" s="264"/>
      <c r="N209" s="262"/>
      <c r="O209" s="125">
        <f t="shared" si="17"/>
        <v>0</v>
      </c>
      <c r="P209" s="74"/>
      <c r="R209" s="53"/>
      <c r="S209" s="53"/>
      <c r="T209" s="53"/>
    </row>
    <row r="210" spans="1:20" hidden="1" x14ac:dyDescent="0.25">
      <c r="A210" s="76">
        <v>5212</v>
      </c>
      <c r="B210" s="127" t="s">
        <v>226</v>
      </c>
      <c r="C210" s="279">
        <f t="shared" si="13"/>
        <v>0</v>
      </c>
      <c r="D210" s="134"/>
      <c r="E210" s="283"/>
      <c r="F210" s="279">
        <f t="shared" si="14"/>
        <v>0</v>
      </c>
      <c r="G210" s="134"/>
      <c r="H210" s="135"/>
      <c r="I210" s="136">
        <f t="shared" si="15"/>
        <v>0</v>
      </c>
      <c r="J210" s="134"/>
      <c r="K210" s="135"/>
      <c r="L210" s="136">
        <f t="shared" si="16"/>
        <v>0</v>
      </c>
      <c r="M210" s="284"/>
      <c r="N210" s="285"/>
      <c r="O210" s="136">
        <f t="shared" si="17"/>
        <v>0</v>
      </c>
      <c r="P210" s="85"/>
      <c r="R210" s="53"/>
      <c r="S210" s="53"/>
      <c r="T210" s="53"/>
    </row>
    <row r="211" spans="1:20" hidden="1" x14ac:dyDescent="0.25">
      <c r="A211" s="76">
        <v>5213</v>
      </c>
      <c r="B211" s="127" t="s">
        <v>227</v>
      </c>
      <c r="C211" s="279">
        <f t="shared" si="13"/>
        <v>0</v>
      </c>
      <c r="D211" s="134"/>
      <c r="E211" s="283"/>
      <c r="F211" s="279">
        <f t="shared" si="14"/>
        <v>0</v>
      </c>
      <c r="G211" s="134"/>
      <c r="H211" s="135"/>
      <c r="I211" s="136">
        <f t="shared" si="15"/>
        <v>0</v>
      </c>
      <c r="J211" s="134"/>
      <c r="K211" s="135"/>
      <c r="L211" s="136">
        <f t="shared" si="16"/>
        <v>0</v>
      </c>
      <c r="M211" s="284"/>
      <c r="N211" s="285"/>
      <c r="O211" s="136">
        <f t="shared" si="17"/>
        <v>0</v>
      </c>
      <c r="P211" s="85"/>
      <c r="R211" s="53"/>
      <c r="S211" s="53"/>
      <c r="T211" s="53"/>
    </row>
    <row r="212" spans="1:20" hidden="1" x14ac:dyDescent="0.25">
      <c r="A212" s="76">
        <v>5214</v>
      </c>
      <c r="B212" s="127" t="s">
        <v>228</v>
      </c>
      <c r="C212" s="279">
        <f t="shared" si="13"/>
        <v>0</v>
      </c>
      <c r="D212" s="134"/>
      <c r="E212" s="283"/>
      <c r="F212" s="279">
        <f t="shared" si="14"/>
        <v>0</v>
      </c>
      <c r="G212" s="134"/>
      <c r="H212" s="135"/>
      <c r="I212" s="136">
        <f t="shared" si="15"/>
        <v>0</v>
      </c>
      <c r="J212" s="134"/>
      <c r="K212" s="135"/>
      <c r="L212" s="136">
        <f t="shared" si="16"/>
        <v>0</v>
      </c>
      <c r="M212" s="284"/>
      <c r="N212" s="285"/>
      <c r="O212" s="136">
        <f t="shared" si="17"/>
        <v>0</v>
      </c>
      <c r="P212" s="85"/>
      <c r="R212" s="53"/>
      <c r="S212" s="53"/>
      <c r="T212" s="53"/>
    </row>
    <row r="213" spans="1:20" hidden="1" x14ac:dyDescent="0.25">
      <c r="A213" s="76">
        <v>5215</v>
      </c>
      <c r="B213" s="127" t="s">
        <v>229</v>
      </c>
      <c r="C213" s="279">
        <f t="shared" si="13"/>
        <v>0</v>
      </c>
      <c r="D213" s="134"/>
      <c r="E213" s="283"/>
      <c r="F213" s="279">
        <f t="shared" si="14"/>
        <v>0</v>
      </c>
      <c r="G213" s="134"/>
      <c r="H213" s="135"/>
      <c r="I213" s="136">
        <f t="shared" si="15"/>
        <v>0</v>
      </c>
      <c r="J213" s="134"/>
      <c r="K213" s="135"/>
      <c r="L213" s="136">
        <f t="shared" si="16"/>
        <v>0</v>
      </c>
      <c r="M213" s="284"/>
      <c r="N213" s="285"/>
      <c r="O213" s="136">
        <f t="shared" si="17"/>
        <v>0</v>
      </c>
      <c r="P213" s="85"/>
      <c r="R213" s="53"/>
      <c r="S213" s="53"/>
      <c r="T213" s="53"/>
    </row>
    <row r="214" spans="1:20" ht="24" hidden="1" x14ac:dyDescent="0.25">
      <c r="A214" s="76">
        <v>5216</v>
      </c>
      <c r="B214" s="127" t="s">
        <v>230</v>
      </c>
      <c r="C214" s="279">
        <f t="shared" si="13"/>
        <v>0</v>
      </c>
      <c r="D214" s="134"/>
      <c r="E214" s="283"/>
      <c r="F214" s="279">
        <f t="shared" si="14"/>
        <v>0</v>
      </c>
      <c r="G214" s="134"/>
      <c r="H214" s="135"/>
      <c r="I214" s="136">
        <f t="shared" si="15"/>
        <v>0</v>
      </c>
      <c r="J214" s="134"/>
      <c r="K214" s="135"/>
      <c r="L214" s="136">
        <f t="shared" si="16"/>
        <v>0</v>
      </c>
      <c r="M214" s="284"/>
      <c r="N214" s="285"/>
      <c r="O214" s="136">
        <f t="shared" si="17"/>
        <v>0</v>
      </c>
      <c r="P214" s="85"/>
      <c r="R214" s="53"/>
      <c r="S214" s="53"/>
      <c r="T214" s="53"/>
    </row>
    <row r="215" spans="1:20" hidden="1" x14ac:dyDescent="0.25">
      <c r="A215" s="76">
        <v>5217</v>
      </c>
      <c r="B215" s="127" t="s">
        <v>231</v>
      </c>
      <c r="C215" s="279">
        <f t="shared" si="13"/>
        <v>0</v>
      </c>
      <c r="D215" s="134"/>
      <c r="E215" s="283"/>
      <c r="F215" s="279">
        <f t="shared" si="14"/>
        <v>0</v>
      </c>
      <c r="G215" s="134"/>
      <c r="H215" s="135"/>
      <c r="I215" s="136">
        <f t="shared" si="15"/>
        <v>0</v>
      </c>
      <c r="J215" s="134"/>
      <c r="K215" s="135"/>
      <c r="L215" s="136">
        <f t="shared" si="16"/>
        <v>0</v>
      </c>
      <c r="M215" s="284"/>
      <c r="N215" s="285"/>
      <c r="O215" s="136">
        <f t="shared" si="17"/>
        <v>0</v>
      </c>
      <c r="P215" s="85"/>
      <c r="R215" s="53"/>
      <c r="S215" s="53"/>
      <c r="T215" s="53"/>
    </row>
    <row r="216" spans="1:20" hidden="1" x14ac:dyDescent="0.25">
      <c r="A216" s="76">
        <v>5218</v>
      </c>
      <c r="B216" s="127" t="s">
        <v>232</v>
      </c>
      <c r="C216" s="279">
        <f t="shared" si="13"/>
        <v>0</v>
      </c>
      <c r="D216" s="134"/>
      <c r="E216" s="283"/>
      <c r="F216" s="279">
        <f t="shared" si="14"/>
        <v>0</v>
      </c>
      <c r="G216" s="134"/>
      <c r="H216" s="135"/>
      <c r="I216" s="136">
        <f t="shared" si="15"/>
        <v>0</v>
      </c>
      <c r="J216" s="134"/>
      <c r="K216" s="135"/>
      <c r="L216" s="136">
        <f t="shared" si="16"/>
        <v>0</v>
      </c>
      <c r="M216" s="284"/>
      <c r="N216" s="285"/>
      <c r="O216" s="136">
        <f t="shared" si="17"/>
        <v>0</v>
      </c>
      <c r="P216" s="85"/>
      <c r="R216" s="53"/>
      <c r="S216" s="53"/>
      <c r="T216" s="53"/>
    </row>
    <row r="217" spans="1:20" hidden="1" x14ac:dyDescent="0.25">
      <c r="A217" s="76">
        <v>5219</v>
      </c>
      <c r="B217" s="127" t="s">
        <v>233</v>
      </c>
      <c r="C217" s="279">
        <f t="shared" si="13"/>
        <v>0</v>
      </c>
      <c r="D217" s="134"/>
      <c r="E217" s="283"/>
      <c r="F217" s="279">
        <f t="shared" si="14"/>
        <v>0</v>
      </c>
      <c r="G217" s="134"/>
      <c r="H217" s="135"/>
      <c r="I217" s="136">
        <f t="shared" si="15"/>
        <v>0</v>
      </c>
      <c r="J217" s="134"/>
      <c r="K217" s="135"/>
      <c r="L217" s="136">
        <f t="shared" si="16"/>
        <v>0</v>
      </c>
      <c r="M217" s="284"/>
      <c r="N217" s="285"/>
      <c r="O217" s="136">
        <f t="shared" si="17"/>
        <v>0</v>
      </c>
      <c r="P217" s="85"/>
      <c r="R217" s="53"/>
      <c r="S217" s="53"/>
      <c r="T217" s="53"/>
    </row>
    <row r="218" spans="1:20" hidden="1" x14ac:dyDescent="0.25">
      <c r="A218" s="276">
        <v>5220</v>
      </c>
      <c r="B218" s="127" t="s">
        <v>234</v>
      </c>
      <c r="C218" s="279">
        <f t="shared" si="13"/>
        <v>0</v>
      </c>
      <c r="D218" s="134"/>
      <c r="E218" s="283"/>
      <c r="F218" s="279">
        <f t="shared" si="14"/>
        <v>0</v>
      </c>
      <c r="G218" s="134"/>
      <c r="H218" s="135"/>
      <c r="I218" s="136">
        <f t="shared" si="15"/>
        <v>0</v>
      </c>
      <c r="J218" s="134"/>
      <c r="K218" s="135"/>
      <c r="L218" s="136">
        <f t="shared" si="16"/>
        <v>0</v>
      </c>
      <c r="M218" s="284"/>
      <c r="N218" s="285"/>
      <c r="O218" s="136">
        <f t="shared" si="17"/>
        <v>0</v>
      </c>
      <c r="P218" s="85"/>
      <c r="R218" s="53"/>
      <c r="S218" s="53"/>
      <c r="T218" s="53"/>
    </row>
    <row r="219" spans="1:20" x14ac:dyDescent="0.25">
      <c r="A219" s="276">
        <v>5230</v>
      </c>
      <c r="B219" s="127" t="s">
        <v>235</v>
      </c>
      <c r="C219" s="279">
        <f t="shared" si="13"/>
        <v>32353</v>
      </c>
      <c r="D219" s="277">
        <f>SUM(D220:D227)</f>
        <v>25320</v>
      </c>
      <c r="E219" s="278">
        <f>SUM(E220:E227)</f>
        <v>0</v>
      </c>
      <c r="F219" s="279">
        <f t="shared" si="14"/>
        <v>25320</v>
      </c>
      <c r="G219" s="277">
        <f>SUM(G220:G227)</f>
        <v>4150</v>
      </c>
      <c r="H219" s="280">
        <f>SUM(H220:H227)</f>
        <v>0</v>
      </c>
      <c r="I219" s="136">
        <f t="shared" si="15"/>
        <v>4150</v>
      </c>
      <c r="J219" s="277">
        <f>SUM(J220:J227)</f>
        <v>2883</v>
      </c>
      <c r="K219" s="280">
        <f>SUM(K220:K227)</f>
        <v>0</v>
      </c>
      <c r="L219" s="136">
        <f t="shared" si="16"/>
        <v>2883</v>
      </c>
      <c r="M219" s="281">
        <f>SUM(M220:M227)</f>
        <v>0</v>
      </c>
      <c r="N219" s="282">
        <f>SUM(N220:N227)</f>
        <v>0</v>
      </c>
      <c r="O219" s="136">
        <f t="shared" si="17"/>
        <v>0</v>
      </c>
      <c r="P219" s="85"/>
      <c r="R219" s="53"/>
      <c r="S219" s="53"/>
      <c r="T219" s="53"/>
    </row>
    <row r="220" spans="1:20" hidden="1" x14ac:dyDescent="0.25">
      <c r="A220" s="76">
        <v>5231</v>
      </c>
      <c r="B220" s="127" t="s">
        <v>236</v>
      </c>
      <c r="C220" s="279">
        <f t="shared" si="13"/>
        <v>0</v>
      </c>
      <c r="D220" s="134"/>
      <c r="E220" s="283"/>
      <c r="F220" s="279">
        <f t="shared" si="14"/>
        <v>0</v>
      </c>
      <c r="G220" s="134"/>
      <c r="H220" s="135"/>
      <c r="I220" s="136">
        <f t="shared" si="15"/>
        <v>0</v>
      </c>
      <c r="J220" s="134"/>
      <c r="K220" s="135"/>
      <c r="L220" s="136">
        <f t="shared" si="16"/>
        <v>0</v>
      </c>
      <c r="M220" s="284"/>
      <c r="N220" s="285"/>
      <c r="O220" s="136">
        <f t="shared" si="17"/>
        <v>0</v>
      </c>
      <c r="P220" s="85"/>
      <c r="R220" s="53"/>
      <c r="S220" s="53"/>
      <c r="T220" s="53"/>
    </row>
    <row r="221" spans="1:20" x14ac:dyDescent="0.25">
      <c r="A221" s="76">
        <v>5232</v>
      </c>
      <c r="B221" s="127" t="s">
        <v>237</v>
      </c>
      <c r="C221" s="279">
        <f t="shared" si="13"/>
        <v>3383</v>
      </c>
      <c r="D221" s="134">
        <v>500</v>
      </c>
      <c r="E221" s="283"/>
      <c r="F221" s="279">
        <f t="shared" si="14"/>
        <v>500</v>
      </c>
      <c r="G221" s="134"/>
      <c r="H221" s="135"/>
      <c r="I221" s="136">
        <f t="shared" si="15"/>
        <v>0</v>
      </c>
      <c r="J221" s="134">
        <f>1500+1383</f>
        <v>2883</v>
      </c>
      <c r="K221" s="135"/>
      <c r="L221" s="136">
        <f t="shared" si="16"/>
        <v>2883</v>
      </c>
      <c r="M221" s="284"/>
      <c r="N221" s="285"/>
      <c r="O221" s="136">
        <f t="shared" si="17"/>
        <v>0</v>
      </c>
      <c r="P221" s="85"/>
      <c r="R221" s="53"/>
      <c r="S221" s="53"/>
      <c r="T221" s="53"/>
    </row>
    <row r="222" spans="1:20" x14ac:dyDescent="0.25">
      <c r="A222" s="76">
        <v>5233</v>
      </c>
      <c r="B222" s="127" t="s">
        <v>238</v>
      </c>
      <c r="C222" s="279">
        <f t="shared" si="13"/>
        <v>8864</v>
      </c>
      <c r="D222" s="134">
        <v>4714</v>
      </c>
      <c r="E222" s="283"/>
      <c r="F222" s="279">
        <f t="shared" si="14"/>
        <v>4714</v>
      </c>
      <c r="G222" s="134">
        <v>4150</v>
      </c>
      <c r="H222" s="135"/>
      <c r="I222" s="136">
        <f t="shared" si="15"/>
        <v>4150</v>
      </c>
      <c r="J222" s="134"/>
      <c r="K222" s="135"/>
      <c r="L222" s="136">
        <f t="shared" si="16"/>
        <v>0</v>
      </c>
      <c r="M222" s="284"/>
      <c r="N222" s="285"/>
      <c r="O222" s="136">
        <f t="shared" si="17"/>
        <v>0</v>
      </c>
      <c r="P222" s="85"/>
      <c r="R222" s="53"/>
      <c r="S222" s="53"/>
      <c r="T222" s="53"/>
    </row>
    <row r="223" spans="1:20" ht="24" hidden="1" x14ac:dyDescent="0.25">
      <c r="A223" s="76">
        <v>5234</v>
      </c>
      <c r="B223" s="127" t="s">
        <v>239</v>
      </c>
      <c r="C223" s="279">
        <f t="shared" si="13"/>
        <v>0</v>
      </c>
      <c r="D223" s="134"/>
      <c r="E223" s="283"/>
      <c r="F223" s="279">
        <f t="shared" si="14"/>
        <v>0</v>
      </c>
      <c r="G223" s="134"/>
      <c r="H223" s="135"/>
      <c r="I223" s="136">
        <f t="shared" si="15"/>
        <v>0</v>
      </c>
      <c r="J223" s="134"/>
      <c r="K223" s="135"/>
      <c r="L223" s="136">
        <f t="shared" si="16"/>
        <v>0</v>
      </c>
      <c r="M223" s="284"/>
      <c r="N223" s="285"/>
      <c r="O223" s="136">
        <f t="shared" si="17"/>
        <v>0</v>
      </c>
      <c r="P223" s="85"/>
      <c r="R223" s="53"/>
      <c r="S223" s="53"/>
      <c r="T223" s="53"/>
    </row>
    <row r="224" spans="1:20" hidden="1" x14ac:dyDescent="0.25">
      <c r="A224" s="76">
        <v>5236</v>
      </c>
      <c r="B224" s="127" t="s">
        <v>240</v>
      </c>
      <c r="C224" s="279">
        <f t="shared" si="13"/>
        <v>0</v>
      </c>
      <c r="D224" s="134"/>
      <c r="E224" s="283"/>
      <c r="F224" s="279">
        <f t="shared" si="14"/>
        <v>0</v>
      </c>
      <c r="G224" s="134"/>
      <c r="H224" s="135"/>
      <c r="I224" s="136">
        <f t="shared" si="15"/>
        <v>0</v>
      </c>
      <c r="J224" s="134"/>
      <c r="K224" s="135"/>
      <c r="L224" s="136">
        <f t="shared" si="16"/>
        <v>0</v>
      </c>
      <c r="M224" s="284"/>
      <c r="N224" s="285"/>
      <c r="O224" s="136">
        <f t="shared" si="17"/>
        <v>0</v>
      </c>
      <c r="P224" s="85"/>
      <c r="R224" s="53"/>
      <c r="S224" s="53"/>
      <c r="T224" s="53"/>
    </row>
    <row r="225" spans="1:20" hidden="1" x14ac:dyDescent="0.25">
      <c r="A225" s="76">
        <v>5237</v>
      </c>
      <c r="B225" s="127" t="s">
        <v>241</v>
      </c>
      <c r="C225" s="279">
        <f t="shared" si="13"/>
        <v>0</v>
      </c>
      <c r="D225" s="134"/>
      <c r="E225" s="283"/>
      <c r="F225" s="279">
        <f t="shared" si="14"/>
        <v>0</v>
      </c>
      <c r="G225" s="134"/>
      <c r="H225" s="135"/>
      <c r="I225" s="136">
        <f t="shared" si="15"/>
        <v>0</v>
      </c>
      <c r="J225" s="134"/>
      <c r="K225" s="135"/>
      <c r="L225" s="136">
        <f t="shared" si="16"/>
        <v>0</v>
      </c>
      <c r="M225" s="284"/>
      <c r="N225" s="285"/>
      <c r="O225" s="136">
        <f t="shared" si="17"/>
        <v>0</v>
      </c>
      <c r="P225" s="85"/>
      <c r="R225" s="53"/>
      <c r="S225" s="53"/>
      <c r="T225" s="53"/>
    </row>
    <row r="226" spans="1:20" ht="24" x14ac:dyDescent="0.25">
      <c r="A226" s="76">
        <v>5238</v>
      </c>
      <c r="B226" s="127" t="s">
        <v>242</v>
      </c>
      <c r="C226" s="279">
        <f t="shared" si="13"/>
        <v>17921</v>
      </c>
      <c r="D226" s="134">
        <f>9600+2400+810+500+1500+2500+611</f>
        <v>17921</v>
      </c>
      <c r="E226" s="283"/>
      <c r="F226" s="279">
        <f t="shared" si="14"/>
        <v>17921</v>
      </c>
      <c r="G226" s="134"/>
      <c r="H226" s="135"/>
      <c r="I226" s="136">
        <f t="shared" si="15"/>
        <v>0</v>
      </c>
      <c r="J226" s="134"/>
      <c r="K226" s="135"/>
      <c r="L226" s="136">
        <f t="shared" si="16"/>
        <v>0</v>
      </c>
      <c r="M226" s="284"/>
      <c r="N226" s="285"/>
      <c r="O226" s="136">
        <f t="shared" si="17"/>
        <v>0</v>
      </c>
      <c r="P226" s="85"/>
      <c r="R226" s="53"/>
      <c r="S226" s="53"/>
      <c r="T226" s="53"/>
    </row>
    <row r="227" spans="1:20" ht="24" x14ac:dyDescent="0.25">
      <c r="A227" s="76">
        <v>5239</v>
      </c>
      <c r="B227" s="127" t="s">
        <v>243</v>
      </c>
      <c r="C227" s="279">
        <f t="shared" si="13"/>
        <v>2185</v>
      </c>
      <c r="D227" s="134">
        <v>2185</v>
      </c>
      <c r="E227" s="283"/>
      <c r="F227" s="279">
        <f t="shared" si="14"/>
        <v>2185</v>
      </c>
      <c r="G227" s="134"/>
      <c r="H227" s="135"/>
      <c r="I227" s="136">
        <f t="shared" si="15"/>
        <v>0</v>
      </c>
      <c r="J227" s="134"/>
      <c r="K227" s="135"/>
      <c r="L227" s="136">
        <f t="shared" si="16"/>
        <v>0</v>
      </c>
      <c r="M227" s="284"/>
      <c r="N227" s="285"/>
      <c r="O227" s="136">
        <f t="shared" si="17"/>
        <v>0</v>
      </c>
      <c r="P227" s="85"/>
      <c r="R227" s="53"/>
      <c r="S227" s="53"/>
      <c r="T227" s="53"/>
    </row>
    <row r="228" spans="1:20" ht="24" hidden="1" x14ac:dyDescent="0.25">
      <c r="A228" s="276">
        <v>5240</v>
      </c>
      <c r="B228" s="127" t="s">
        <v>244</v>
      </c>
      <c r="C228" s="279">
        <f t="shared" si="13"/>
        <v>0</v>
      </c>
      <c r="D228" s="134"/>
      <c r="E228" s="283"/>
      <c r="F228" s="279">
        <f t="shared" si="14"/>
        <v>0</v>
      </c>
      <c r="G228" s="134"/>
      <c r="H228" s="135"/>
      <c r="I228" s="136">
        <f t="shared" si="15"/>
        <v>0</v>
      </c>
      <c r="J228" s="134"/>
      <c r="K228" s="135"/>
      <c r="L228" s="136">
        <f t="shared" si="16"/>
        <v>0</v>
      </c>
      <c r="M228" s="284"/>
      <c r="N228" s="285"/>
      <c r="O228" s="136">
        <f t="shared" si="17"/>
        <v>0</v>
      </c>
      <c r="P228" s="85"/>
      <c r="R228" s="53"/>
      <c r="S228" s="53"/>
      <c r="T228" s="53"/>
    </row>
    <row r="229" spans="1:20" hidden="1" x14ac:dyDescent="0.25">
      <c r="A229" s="276">
        <v>5250</v>
      </c>
      <c r="B229" s="127" t="s">
        <v>245</v>
      </c>
      <c r="C229" s="279">
        <f t="shared" si="13"/>
        <v>0</v>
      </c>
      <c r="D229" s="134"/>
      <c r="E229" s="283"/>
      <c r="F229" s="279">
        <f t="shared" si="14"/>
        <v>0</v>
      </c>
      <c r="G229" s="134"/>
      <c r="H229" s="135"/>
      <c r="I229" s="136">
        <f t="shared" si="15"/>
        <v>0</v>
      </c>
      <c r="J229" s="134"/>
      <c r="K229" s="135"/>
      <c r="L229" s="136">
        <f t="shared" si="16"/>
        <v>0</v>
      </c>
      <c r="M229" s="284"/>
      <c r="N229" s="285"/>
      <c r="O229" s="136">
        <f t="shared" si="17"/>
        <v>0</v>
      </c>
      <c r="P229" s="85"/>
      <c r="R229" s="53"/>
      <c r="S229" s="53"/>
      <c r="T229" s="53"/>
    </row>
    <row r="230" spans="1:20" hidden="1" x14ac:dyDescent="0.25">
      <c r="A230" s="276">
        <v>5260</v>
      </c>
      <c r="B230" s="127" t="s">
        <v>246</v>
      </c>
      <c r="C230" s="279">
        <f t="shared" si="13"/>
        <v>0</v>
      </c>
      <c r="D230" s="277">
        <f>SUM(D231)</f>
        <v>0</v>
      </c>
      <c r="E230" s="278">
        <f>SUM(E231)</f>
        <v>0</v>
      </c>
      <c r="F230" s="279">
        <f t="shared" si="14"/>
        <v>0</v>
      </c>
      <c r="G230" s="277">
        <f>SUM(G231)</f>
        <v>0</v>
      </c>
      <c r="H230" s="280">
        <f>SUM(H231)</f>
        <v>0</v>
      </c>
      <c r="I230" s="136">
        <f t="shared" si="15"/>
        <v>0</v>
      </c>
      <c r="J230" s="277">
        <f>SUM(J231)</f>
        <v>0</v>
      </c>
      <c r="K230" s="280">
        <f>SUM(K231)</f>
        <v>0</v>
      </c>
      <c r="L230" s="136">
        <f t="shared" si="16"/>
        <v>0</v>
      </c>
      <c r="M230" s="281">
        <f>SUM(M231)</f>
        <v>0</v>
      </c>
      <c r="N230" s="282">
        <f>SUM(N231)</f>
        <v>0</v>
      </c>
      <c r="O230" s="136">
        <f t="shared" si="17"/>
        <v>0</v>
      </c>
      <c r="P230" s="85"/>
      <c r="R230" s="53"/>
      <c r="S230" s="53"/>
      <c r="T230" s="53"/>
    </row>
    <row r="231" spans="1:20" ht="24" hidden="1" x14ac:dyDescent="0.25">
      <c r="A231" s="76">
        <v>5269</v>
      </c>
      <c r="B231" s="127" t="s">
        <v>247</v>
      </c>
      <c r="C231" s="279">
        <f t="shared" si="13"/>
        <v>0</v>
      </c>
      <c r="D231" s="134"/>
      <c r="E231" s="283"/>
      <c r="F231" s="279">
        <f t="shared" si="14"/>
        <v>0</v>
      </c>
      <c r="G231" s="134"/>
      <c r="H231" s="135"/>
      <c r="I231" s="136">
        <f t="shared" si="15"/>
        <v>0</v>
      </c>
      <c r="J231" s="134"/>
      <c r="K231" s="135"/>
      <c r="L231" s="136">
        <f t="shared" si="16"/>
        <v>0</v>
      </c>
      <c r="M231" s="284"/>
      <c r="N231" s="285"/>
      <c r="O231" s="136">
        <f t="shared" si="17"/>
        <v>0</v>
      </c>
      <c r="P231" s="85"/>
      <c r="R231" s="53"/>
      <c r="S231" s="53"/>
      <c r="T231" s="53"/>
    </row>
    <row r="232" spans="1:20" ht="24" hidden="1" x14ac:dyDescent="0.25">
      <c r="A232" s="254">
        <v>5270</v>
      </c>
      <c r="B232" s="179" t="s">
        <v>248</v>
      </c>
      <c r="C232" s="302">
        <f t="shared" si="13"/>
        <v>0</v>
      </c>
      <c r="D232" s="287"/>
      <c r="E232" s="288"/>
      <c r="F232" s="257">
        <f t="shared" si="14"/>
        <v>0</v>
      </c>
      <c r="G232" s="287"/>
      <c r="H232" s="289"/>
      <c r="I232" s="259">
        <f t="shared" si="15"/>
        <v>0</v>
      </c>
      <c r="J232" s="287"/>
      <c r="K232" s="289"/>
      <c r="L232" s="259">
        <f t="shared" si="16"/>
        <v>0</v>
      </c>
      <c r="M232" s="290"/>
      <c r="N232" s="291"/>
      <c r="O232" s="259">
        <f t="shared" si="17"/>
        <v>0</v>
      </c>
      <c r="P232" s="189"/>
      <c r="R232" s="53"/>
      <c r="S232" s="53"/>
      <c r="T232" s="53"/>
    </row>
    <row r="233" spans="1:20" hidden="1" x14ac:dyDescent="0.25">
      <c r="A233" s="237">
        <v>6000</v>
      </c>
      <c r="B233" s="237" t="s">
        <v>249</v>
      </c>
      <c r="C233" s="238">
        <f t="shared" si="13"/>
        <v>0</v>
      </c>
      <c r="D233" s="239">
        <f>D234+D254+D261</f>
        <v>0</v>
      </c>
      <c r="E233" s="240">
        <f>E234+E254+E261</f>
        <v>0</v>
      </c>
      <c r="F233" s="241">
        <f t="shared" si="14"/>
        <v>0</v>
      </c>
      <c r="G233" s="239">
        <f>G234+G254+G261</f>
        <v>0</v>
      </c>
      <c r="H233" s="242">
        <f>H234+H254+H261</f>
        <v>0</v>
      </c>
      <c r="I233" s="243">
        <f t="shared" si="15"/>
        <v>0</v>
      </c>
      <c r="J233" s="239">
        <f>J234+J254+J261</f>
        <v>0</v>
      </c>
      <c r="K233" s="242">
        <f>K234+K254+K261</f>
        <v>0</v>
      </c>
      <c r="L233" s="243">
        <f t="shared" si="16"/>
        <v>0</v>
      </c>
      <c r="M233" s="244">
        <f>M234+M254+M261</f>
        <v>0</v>
      </c>
      <c r="N233" s="245">
        <f>N234+N254+N261</f>
        <v>0</v>
      </c>
      <c r="O233" s="243">
        <f t="shared" si="17"/>
        <v>0</v>
      </c>
      <c r="P233" s="246"/>
      <c r="R233" s="53"/>
      <c r="S233" s="53"/>
      <c r="T233" s="53"/>
    </row>
    <row r="234" spans="1:20" hidden="1" x14ac:dyDescent="0.25">
      <c r="A234" s="160">
        <v>6200</v>
      </c>
      <c r="B234" s="321" t="s">
        <v>250</v>
      </c>
      <c r="C234" s="333">
        <f t="shared" si="13"/>
        <v>0</v>
      </c>
      <c r="D234" s="334">
        <f>SUM(D235,D236,D238,D241,D247,D248,D249)</f>
        <v>0</v>
      </c>
      <c r="E234" s="684">
        <f>SUM(E235,E236,E238,E241,E247,E248,E249)</f>
        <v>0</v>
      </c>
      <c r="F234" s="648">
        <f t="shared" si="14"/>
        <v>0</v>
      </c>
      <c r="G234" s="334">
        <f>SUM(G235,G236,G238,G241,G247,G248,G249)</f>
        <v>0</v>
      </c>
      <c r="H234" s="336">
        <f>SUM(H235,H236,H238,H241,H247,H248,H249)</f>
        <v>0</v>
      </c>
      <c r="I234" s="252">
        <f t="shared" si="15"/>
        <v>0</v>
      </c>
      <c r="J234" s="334">
        <f>SUM(J235,J236,J238,J241,J247,J248,J249)</f>
        <v>0</v>
      </c>
      <c r="K234" s="336">
        <f>SUM(K235,K236,K238,K241,K247,K248,K249)</f>
        <v>0</v>
      </c>
      <c r="L234" s="252">
        <f t="shared" si="16"/>
        <v>0</v>
      </c>
      <c r="M234" s="250">
        <f>SUM(M235,M236,M238,M241,M247,M248,M249)</f>
        <v>0</v>
      </c>
      <c r="N234" s="251">
        <f>SUM(N235,N236,N238,N241,N247,N248,N249)</f>
        <v>0</v>
      </c>
      <c r="O234" s="252">
        <f t="shared" si="17"/>
        <v>0</v>
      </c>
      <c r="P234" s="253"/>
      <c r="R234" s="53"/>
      <c r="S234" s="53"/>
      <c r="T234" s="53"/>
    </row>
    <row r="235" spans="1:20" ht="24" hidden="1" x14ac:dyDescent="0.25">
      <c r="A235" s="656">
        <v>6220</v>
      </c>
      <c r="B235" s="116" t="s">
        <v>251</v>
      </c>
      <c r="C235" s="298">
        <f t="shared" si="13"/>
        <v>0</v>
      </c>
      <c r="D235" s="123"/>
      <c r="E235" s="295"/>
      <c r="F235" s="296">
        <f t="shared" si="14"/>
        <v>0</v>
      </c>
      <c r="G235" s="123"/>
      <c r="H235" s="124"/>
      <c r="I235" s="125">
        <f t="shared" si="15"/>
        <v>0</v>
      </c>
      <c r="J235" s="123"/>
      <c r="K235" s="124"/>
      <c r="L235" s="125">
        <f t="shared" si="16"/>
        <v>0</v>
      </c>
      <c r="M235" s="264"/>
      <c r="N235" s="262"/>
      <c r="O235" s="125">
        <f t="shared" si="17"/>
        <v>0</v>
      </c>
      <c r="P235" s="74"/>
      <c r="R235" s="53"/>
      <c r="S235" s="53"/>
      <c r="T235" s="53"/>
    </row>
    <row r="236" spans="1:20" hidden="1" x14ac:dyDescent="0.25">
      <c r="A236" s="276">
        <v>6230</v>
      </c>
      <c r="B236" s="127" t="s">
        <v>252</v>
      </c>
      <c r="C236" s="278">
        <f t="shared" si="13"/>
        <v>0</v>
      </c>
      <c r="D236" s="277">
        <f>SUM(D237)</f>
        <v>0</v>
      </c>
      <c r="E236" s="281">
        <f>SUM(E237)</f>
        <v>0</v>
      </c>
      <c r="F236" s="279">
        <f t="shared" si="14"/>
        <v>0</v>
      </c>
      <c r="G236" s="277">
        <f>SUM(G237)</f>
        <v>0</v>
      </c>
      <c r="H236" s="280">
        <f>SUM(H237)</f>
        <v>0</v>
      </c>
      <c r="I236" s="136">
        <f t="shared" si="15"/>
        <v>0</v>
      </c>
      <c r="J236" s="277">
        <f>SUM(J237)</f>
        <v>0</v>
      </c>
      <c r="K236" s="280">
        <f>SUM(K237)</f>
        <v>0</v>
      </c>
      <c r="L236" s="136">
        <f t="shared" si="16"/>
        <v>0</v>
      </c>
      <c r="M236" s="277">
        <f>SUM(M237)</f>
        <v>0</v>
      </c>
      <c r="N236" s="280">
        <f>SUM(N237)</f>
        <v>0</v>
      </c>
      <c r="O236" s="136">
        <f t="shared" si="17"/>
        <v>0</v>
      </c>
      <c r="P236" s="85"/>
      <c r="R236" s="53"/>
      <c r="S236" s="53"/>
      <c r="T236" s="53"/>
    </row>
    <row r="237" spans="1:20" ht="24" hidden="1" x14ac:dyDescent="0.25">
      <c r="A237" s="76">
        <v>6239</v>
      </c>
      <c r="B237" s="116" t="s">
        <v>253</v>
      </c>
      <c r="C237" s="278">
        <f t="shared" si="13"/>
        <v>0</v>
      </c>
      <c r="D237" s="134"/>
      <c r="E237" s="283"/>
      <c r="F237" s="279">
        <f t="shared" si="14"/>
        <v>0</v>
      </c>
      <c r="G237" s="134"/>
      <c r="H237" s="135"/>
      <c r="I237" s="136">
        <f t="shared" si="15"/>
        <v>0</v>
      </c>
      <c r="J237" s="134"/>
      <c r="K237" s="135"/>
      <c r="L237" s="136">
        <f t="shared" si="16"/>
        <v>0</v>
      </c>
      <c r="M237" s="284"/>
      <c r="N237" s="285"/>
      <c r="O237" s="136">
        <f t="shared" si="17"/>
        <v>0</v>
      </c>
      <c r="P237" s="85"/>
      <c r="R237" s="53"/>
      <c r="S237" s="53"/>
      <c r="T237" s="53"/>
    </row>
    <row r="238" spans="1:20" ht="24" hidden="1" x14ac:dyDescent="0.25">
      <c r="A238" s="276">
        <v>6240</v>
      </c>
      <c r="B238" s="127" t="s">
        <v>254</v>
      </c>
      <c r="C238" s="278">
        <f t="shared" si="13"/>
        <v>0</v>
      </c>
      <c r="D238" s="277">
        <f>SUM(D239:D240)</f>
        <v>0</v>
      </c>
      <c r="E238" s="278">
        <f>SUM(E239:E240)</f>
        <v>0</v>
      </c>
      <c r="F238" s="279">
        <f t="shared" si="14"/>
        <v>0</v>
      </c>
      <c r="G238" s="277">
        <f>SUM(G239:G240)</f>
        <v>0</v>
      </c>
      <c r="H238" s="280">
        <f>SUM(H239:H240)</f>
        <v>0</v>
      </c>
      <c r="I238" s="136">
        <f t="shared" si="15"/>
        <v>0</v>
      </c>
      <c r="J238" s="277">
        <f>SUM(J239:J240)</f>
        <v>0</v>
      </c>
      <c r="K238" s="280">
        <f>SUM(K239:K240)</f>
        <v>0</v>
      </c>
      <c r="L238" s="136">
        <f t="shared" si="16"/>
        <v>0</v>
      </c>
      <c r="M238" s="281">
        <f>SUM(M239:M240)</f>
        <v>0</v>
      </c>
      <c r="N238" s="282">
        <f>SUM(N239:N240)</f>
        <v>0</v>
      </c>
      <c r="O238" s="136">
        <f t="shared" si="17"/>
        <v>0</v>
      </c>
      <c r="P238" s="85"/>
      <c r="R238" s="53"/>
      <c r="S238" s="53"/>
      <c r="T238" s="53"/>
    </row>
    <row r="239" spans="1:20" hidden="1" x14ac:dyDescent="0.25">
      <c r="A239" s="76">
        <v>6241</v>
      </c>
      <c r="B239" s="127" t="s">
        <v>255</v>
      </c>
      <c r="C239" s="278">
        <f t="shared" si="13"/>
        <v>0</v>
      </c>
      <c r="D239" s="134"/>
      <c r="E239" s="283"/>
      <c r="F239" s="279">
        <f t="shared" si="14"/>
        <v>0</v>
      </c>
      <c r="G239" s="134"/>
      <c r="H239" s="135"/>
      <c r="I239" s="136">
        <f t="shared" si="15"/>
        <v>0</v>
      </c>
      <c r="J239" s="134"/>
      <c r="K239" s="135"/>
      <c r="L239" s="136">
        <f t="shared" si="16"/>
        <v>0</v>
      </c>
      <c r="M239" s="284"/>
      <c r="N239" s="285"/>
      <c r="O239" s="136">
        <f t="shared" si="17"/>
        <v>0</v>
      </c>
      <c r="P239" s="85"/>
      <c r="R239" s="53"/>
      <c r="S239" s="53"/>
      <c r="T239" s="53"/>
    </row>
    <row r="240" spans="1:20" hidden="1" x14ac:dyDescent="0.25">
      <c r="A240" s="76">
        <v>6242</v>
      </c>
      <c r="B240" s="127" t="s">
        <v>256</v>
      </c>
      <c r="C240" s="278">
        <f t="shared" si="13"/>
        <v>0</v>
      </c>
      <c r="D240" s="134"/>
      <c r="E240" s="283"/>
      <c r="F240" s="279">
        <f t="shared" si="14"/>
        <v>0</v>
      </c>
      <c r="G240" s="134"/>
      <c r="H240" s="135"/>
      <c r="I240" s="136">
        <f t="shared" si="15"/>
        <v>0</v>
      </c>
      <c r="J240" s="134"/>
      <c r="K240" s="135"/>
      <c r="L240" s="136">
        <f t="shared" si="16"/>
        <v>0</v>
      </c>
      <c r="M240" s="284"/>
      <c r="N240" s="285"/>
      <c r="O240" s="136">
        <f t="shared" si="17"/>
        <v>0</v>
      </c>
      <c r="P240" s="85"/>
      <c r="R240" s="53"/>
      <c r="S240" s="53"/>
      <c r="T240" s="53"/>
    </row>
    <row r="241" spans="1:20" ht="24" hidden="1" x14ac:dyDescent="0.25">
      <c r="A241" s="276">
        <v>6250</v>
      </c>
      <c r="B241" s="127" t="s">
        <v>257</v>
      </c>
      <c r="C241" s="278">
        <f t="shared" si="13"/>
        <v>0</v>
      </c>
      <c r="D241" s="277">
        <f>SUM(D242:D246)</f>
        <v>0</v>
      </c>
      <c r="E241" s="278">
        <f>SUM(E242:E246)</f>
        <v>0</v>
      </c>
      <c r="F241" s="279">
        <f t="shared" si="14"/>
        <v>0</v>
      </c>
      <c r="G241" s="277">
        <f>SUM(G242:G246)</f>
        <v>0</v>
      </c>
      <c r="H241" s="280">
        <f>SUM(H242:H246)</f>
        <v>0</v>
      </c>
      <c r="I241" s="136">
        <f t="shared" si="15"/>
        <v>0</v>
      </c>
      <c r="J241" s="277">
        <f>SUM(J242:J246)</f>
        <v>0</v>
      </c>
      <c r="K241" s="280">
        <f>SUM(K242:K246)</f>
        <v>0</v>
      </c>
      <c r="L241" s="136">
        <f t="shared" si="16"/>
        <v>0</v>
      </c>
      <c r="M241" s="281">
        <f>SUM(M242:M246)</f>
        <v>0</v>
      </c>
      <c r="N241" s="282">
        <f>SUM(N242:N246)</f>
        <v>0</v>
      </c>
      <c r="O241" s="136">
        <f t="shared" si="17"/>
        <v>0</v>
      </c>
      <c r="P241" s="85"/>
      <c r="R241" s="53"/>
      <c r="S241" s="53"/>
      <c r="T241" s="53"/>
    </row>
    <row r="242" spans="1:20" hidden="1" x14ac:dyDescent="0.25">
      <c r="A242" s="76">
        <v>6252</v>
      </c>
      <c r="B242" s="127" t="s">
        <v>258</v>
      </c>
      <c r="C242" s="278">
        <f t="shared" si="13"/>
        <v>0</v>
      </c>
      <c r="D242" s="134"/>
      <c r="E242" s="283"/>
      <c r="F242" s="279">
        <f t="shared" si="14"/>
        <v>0</v>
      </c>
      <c r="G242" s="134"/>
      <c r="H242" s="135"/>
      <c r="I242" s="136">
        <f t="shared" si="15"/>
        <v>0</v>
      </c>
      <c r="J242" s="134"/>
      <c r="K242" s="135"/>
      <c r="L242" s="136">
        <f t="shared" si="16"/>
        <v>0</v>
      </c>
      <c r="M242" s="284"/>
      <c r="N242" s="285"/>
      <c r="O242" s="136">
        <f t="shared" si="17"/>
        <v>0</v>
      </c>
      <c r="P242" s="85"/>
      <c r="R242" s="53"/>
      <c r="S242" s="53"/>
      <c r="T242" s="53"/>
    </row>
    <row r="243" spans="1:20" hidden="1" x14ac:dyDescent="0.25">
      <c r="A243" s="76">
        <v>6253</v>
      </c>
      <c r="B243" s="127" t="s">
        <v>259</v>
      </c>
      <c r="C243" s="278">
        <f t="shared" si="13"/>
        <v>0</v>
      </c>
      <c r="D243" s="134"/>
      <c r="E243" s="283"/>
      <c r="F243" s="279">
        <f t="shared" si="14"/>
        <v>0</v>
      </c>
      <c r="G243" s="134"/>
      <c r="H243" s="135"/>
      <c r="I243" s="136">
        <f t="shared" si="15"/>
        <v>0</v>
      </c>
      <c r="J243" s="134"/>
      <c r="K243" s="135"/>
      <c r="L243" s="136">
        <f t="shared" si="16"/>
        <v>0</v>
      </c>
      <c r="M243" s="284"/>
      <c r="N243" s="285"/>
      <c r="O243" s="136">
        <f t="shared" si="17"/>
        <v>0</v>
      </c>
      <c r="P243" s="85"/>
      <c r="R243" s="53"/>
      <c r="S243" s="53"/>
      <c r="T243" s="53"/>
    </row>
    <row r="244" spans="1:20" ht="24" hidden="1" x14ac:dyDescent="0.25">
      <c r="A244" s="76">
        <v>6254</v>
      </c>
      <c r="B244" s="127" t="s">
        <v>260</v>
      </c>
      <c r="C244" s="278">
        <f t="shared" si="13"/>
        <v>0</v>
      </c>
      <c r="D244" s="134"/>
      <c r="E244" s="283"/>
      <c r="F244" s="279">
        <f t="shared" si="14"/>
        <v>0</v>
      </c>
      <c r="G244" s="134"/>
      <c r="H244" s="135"/>
      <c r="I244" s="136">
        <f t="shared" si="15"/>
        <v>0</v>
      </c>
      <c r="J244" s="134"/>
      <c r="K244" s="135"/>
      <c r="L244" s="136">
        <f t="shared" si="16"/>
        <v>0</v>
      </c>
      <c r="M244" s="284"/>
      <c r="N244" s="285"/>
      <c r="O244" s="136">
        <f t="shared" si="17"/>
        <v>0</v>
      </c>
      <c r="P244" s="85"/>
      <c r="R244" s="53"/>
      <c r="S244" s="53"/>
      <c r="T244" s="53"/>
    </row>
    <row r="245" spans="1:20" ht="24" hidden="1" x14ac:dyDescent="0.25">
      <c r="A245" s="76">
        <v>6255</v>
      </c>
      <c r="B245" s="127" t="s">
        <v>261</v>
      </c>
      <c r="C245" s="278">
        <f t="shared" ref="C245:C299" si="18">SUM(F245,I245,L245,O245)</f>
        <v>0</v>
      </c>
      <c r="D245" s="134"/>
      <c r="E245" s="283"/>
      <c r="F245" s="279">
        <f t="shared" ref="F245:F299" si="19">D245+E245</f>
        <v>0</v>
      </c>
      <c r="G245" s="134"/>
      <c r="H245" s="135"/>
      <c r="I245" s="136">
        <f t="shared" ref="I245:I299" si="20">G245+H245</f>
        <v>0</v>
      </c>
      <c r="J245" s="134"/>
      <c r="K245" s="135"/>
      <c r="L245" s="136">
        <f t="shared" ref="L245:L299" si="21">J245+K245</f>
        <v>0</v>
      </c>
      <c r="M245" s="284"/>
      <c r="N245" s="285"/>
      <c r="O245" s="136">
        <f t="shared" ref="O245:O277" si="22">M245+N245</f>
        <v>0</v>
      </c>
      <c r="P245" s="85"/>
      <c r="R245" s="53"/>
      <c r="S245" s="53"/>
      <c r="T245" s="53"/>
    </row>
    <row r="246" spans="1:20" hidden="1" x14ac:dyDescent="0.25">
      <c r="A246" s="76">
        <v>6259</v>
      </c>
      <c r="B246" s="127" t="s">
        <v>262</v>
      </c>
      <c r="C246" s="278">
        <f t="shared" si="18"/>
        <v>0</v>
      </c>
      <c r="D246" s="134"/>
      <c r="E246" s="283"/>
      <c r="F246" s="279">
        <f t="shared" si="19"/>
        <v>0</v>
      </c>
      <c r="G246" s="134"/>
      <c r="H246" s="135"/>
      <c r="I246" s="136">
        <f t="shared" si="20"/>
        <v>0</v>
      </c>
      <c r="J246" s="134"/>
      <c r="K246" s="135"/>
      <c r="L246" s="136">
        <f t="shared" si="21"/>
        <v>0</v>
      </c>
      <c r="M246" s="284"/>
      <c r="N246" s="285"/>
      <c r="O246" s="136">
        <f t="shared" si="22"/>
        <v>0</v>
      </c>
      <c r="P246" s="85"/>
      <c r="R246" s="53"/>
      <c r="S246" s="53"/>
      <c r="T246" s="53"/>
    </row>
    <row r="247" spans="1:20" ht="24" hidden="1" x14ac:dyDescent="0.25">
      <c r="A247" s="276">
        <v>6260</v>
      </c>
      <c r="B247" s="127" t="s">
        <v>263</v>
      </c>
      <c r="C247" s="278">
        <f t="shared" si="18"/>
        <v>0</v>
      </c>
      <c r="D247" s="134"/>
      <c r="E247" s="283"/>
      <c r="F247" s="279">
        <f t="shared" si="19"/>
        <v>0</v>
      </c>
      <c r="G247" s="134"/>
      <c r="H247" s="135"/>
      <c r="I247" s="136">
        <f t="shared" si="20"/>
        <v>0</v>
      </c>
      <c r="J247" s="134"/>
      <c r="K247" s="135"/>
      <c r="L247" s="136">
        <f t="shared" si="21"/>
        <v>0</v>
      </c>
      <c r="M247" s="284"/>
      <c r="N247" s="285"/>
      <c r="O247" s="136">
        <f t="shared" si="22"/>
        <v>0</v>
      </c>
      <c r="P247" s="85"/>
      <c r="R247" s="53"/>
      <c r="S247" s="53"/>
      <c r="T247" s="53"/>
    </row>
    <row r="248" spans="1:20" hidden="1" x14ac:dyDescent="0.25">
      <c r="A248" s="276">
        <v>6270</v>
      </c>
      <c r="B248" s="127" t="s">
        <v>264</v>
      </c>
      <c r="C248" s="278">
        <f t="shared" si="18"/>
        <v>0</v>
      </c>
      <c r="D248" s="134"/>
      <c r="E248" s="283"/>
      <c r="F248" s="279">
        <f t="shared" si="19"/>
        <v>0</v>
      </c>
      <c r="G248" s="134"/>
      <c r="H248" s="135"/>
      <c r="I248" s="136">
        <f t="shared" si="20"/>
        <v>0</v>
      </c>
      <c r="J248" s="134"/>
      <c r="K248" s="135"/>
      <c r="L248" s="136">
        <f t="shared" si="21"/>
        <v>0</v>
      </c>
      <c r="M248" s="284"/>
      <c r="N248" s="285"/>
      <c r="O248" s="136">
        <f t="shared" si="22"/>
        <v>0</v>
      </c>
      <c r="P248" s="85"/>
      <c r="R248" s="53"/>
      <c r="S248" s="53"/>
      <c r="T248" s="53"/>
    </row>
    <row r="249" spans="1:20" ht="24" hidden="1" x14ac:dyDescent="0.25">
      <c r="A249" s="656">
        <v>6290</v>
      </c>
      <c r="B249" s="116" t="s">
        <v>265</v>
      </c>
      <c r="C249" s="278">
        <f t="shared" si="18"/>
        <v>0</v>
      </c>
      <c r="D249" s="297">
        <f>SUM(D250:D253)</f>
        <v>0</v>
      </c>
      <c r="E249" s="298">
        <f>SUM(E250:E253)</f>
        <v>0</v>
      </c>
      <c r="F249" s="296">
        <f t="shared" si="19"/>
        <v>0</v>
      </c>
      <c r="G249" s="297">
        <f>SUM(G250:G253)</f>
        <v>0</v>
      </c>
      <c r="H249" s="299">
        <f>SUM(H250:H253)</f>
        <v>0</v>
      </c>
      <c r="I249" s="125">
        <f t="shared" si="20"/>
        <v>0</v>
      </c>
      <c r="J249" s="297">
        <f>SUM(J250:J253)</f>
        <v>0</v>
      </c>
      <c r="K249" s="299">
        <f>SUM(K250:K253)</f>
        <v>0</v>
      </c>
      <c r="L249" s="125">
        <f t="shared" si="21"/>
        <v>0</v>
      </c>
      <c r="M249" s="322">
        <f>SUM(M250:M253)</f>
        <v>0</v>
      </c>
      <c r="N249" s="323">
        <f>SUM(N250:N253)</f>
        <v>0</v>
      </c>
      <c r="O249" s="324">
        <f t="shared" si="22"/>
        <v>0</v>
      </c>
      <c r="P249" s="325"/>
      <c r="R249" s="53"/>
      <c r="S249" s="53"/>
      <c r="T249" s="53"/>
    </row>
    <row r="250" spans="1:20" hidden="1" x14ac:dyDescent="0.25">
      <c r="A250" s="76">
        <v>6291</v>
      </c>
      <c r="B250" s="127" t="s">
        <v>266</v>
      </c>
      <c r="C250" s="278">
        <f t="shared" si="18"/>
        <v>0</v>
      </c>
      <c r="D250" s="134"/>
      <c r="E250" s="283"/>
      <c r="F250" s="279">
        <f t="shared" si="19"/>
        <v>0</v>
      </c>
      <c r="G250" s="134"/>
      <c r="H250" s="135"/>
      <c r="I250" s="136">
        <f t="shared" si="20"/>
        <v>0</v>
      </c>
      <c r="J250" s="134"/>
      <c r="K250" s="135"/>
      <c r="L250" s="136">
        <f t="shared" si="21"/>
        <v>0</v>
      </c>
      <c r="M250" s="284"/>
      <c r="N250" s="285"/>
      <c r="O250" s="136">
        <f t="shared" si="22"/>
        <v>0</v>
      </c>
      <c r="P250" s="85"/>
      <c r="R250" s="53"/>
      <c r="S250" s="53"/>
      <c r="T250" s="53"/>
    </row>
    <row r="251" spans="1:20" hidden="1" x14ac:dyDescent="0.25">
      <c r="A251" s="76">
        <v>6292</v>
      </c>
      <c r="B251" s="127" t="s">
        <v>267</v>
      </c>
      <c r="C251" s="278">
        <f t="shared" si="18"/>
        <v>0</v>
      </c>
      <c r="D251" s="134"/>
      <c r="E251" s="283"/>
      <c r="F251" s="279">
        <f t="shared" si="19"/>
        <v>0</v>
      </c>
      <c r="G251" s="134"/>
      <c r="H251" s="135"/>
      <c r="I251" s="136">
        <f t="shared" si="20"/>
        <v>0</v>
      </c>
      <c r="J251" s="134"/>
      <c r="K251" s="135"/>
      <c r="L251" s="136">
        <f t="shared" si="21"/>
        <v>0</v>
      </c>
      <c r="M251" s="284"/>
      <c r="N251" s="285"/>
      <c r="O251" s="136">
        <f t="shared" si="22"/>
        <v>0</v>
      </c>
      <c r="P251" s="85"/>
      <c r="R251" s="53"/>
      <c r="S251" s="53"/>
      <c r="T251" s="53"/>
    </row>
    <row r="252" spans="1:20" ht="72" hidden="1" x14ac:dyDescent="0.25">
      <c r="A252" s="76">
        <v>6296</v>
      </c>
      <c r="B252" s="127" t="s">
        <v>268</v>
      </c>
      <c r="C252" s="278">
        <f t="shared" si="18"/>
        <v>0</v>
      </c>
      <c r="D252" s="134"/>
      <c r="E252" s="283"/>
      <c r="F252" s="279">
        <f t="shared" si="19"/>
        <v>0</v>
      </c>
      <c r="G252" s="134"/>
      <c r="H252" s="135"/>
      <c r="I252" s="136">
        <f t="shared" si="20"/>
        <v>0</v>
      </c>
      <c r="J252" s="134"/>
      <c r="K252" s="135"/>
      <c r="L252" s="136">
        <f t="shared" si="21"/>
        <v>0</v>
      </c>
      <c r="M252" s="284"/>
      <c r="N252" s="285"/>
      <c r="O252" s="136">
        <f t="shared" si="22"/>
        <v>0</v>
      </c>
      <c r="P252" s="85"/>
      <c r="R252" s="53"/>
      <c r="S252" s="53"/>
      <c r="T252" s="53"/>
    </row>
    <row r="253" spans="1:20" ht="36" hidden="1" x14ac:dyDescent="0.25">
      <c r="A253" s="76">
        <v>6299</v>
      </c>
      <c r="B253" s="127" t="s">
        <v>269</v>
      </c>
      <c r="C253" s="278">
        <f t="shared" si="18"/>
        <v>0</v>
      </c>
      <c r="D253" s="134"/>
      <c r="E253" s="283"/>
      <c r="F253" s="279">
        <f t="shared" si="19"/>
        <v>0</v>
      </c>
      <c r="G253" s="134"/>
      <c r="H253" s="135"/>
      <c r="I253" s="136">
        <f t="shared" si="20"/>
        <v>0</v>
      </c>
      <c r="J253" s="134"/>
      <c r="K253" s="135"/>
      <c r="L253" s="136">
        <f t="shared" si="21"/>
        <v>0</v>
      </c>
      <c r="M253" s="284"/>
      <c r="N253" s="285"/>
      <c r="O253" s="136">
        <f t="shared" si="22"/>
        <v>0</v>
      </c>
      <c r="P253" s="85"/>
      <c r="R253" s="53"/>
      <c r="S253" s="53"/>
      <c r="T253" s="53"/>
    </row>
    <row r="254" spans="1:20" hidden="1" x14ac:dyDescent="0.25">
      <c r="A254" s="99">
        <v>6300</v>
      </c>
      <c r="B254" s="247" t="s">
        <v>270</v>
      </c>
      <c r="C254" s="100">
        <f t="shared" si="18"/>
        <v>0</v>
      </c>
      <c r="D254" s="112">
        <f>SUM(D255,D259,D260)</f>
        <v>0</v>
      </c>
      <c r="E254" s="248">
        <f>SUM(E255,E259,E260)</f>
        <v>0</v>
      </c>
      <c r="F254" s="249">
        <f t="shared" si="19"/>
        <v>0</v>
      </c>
      <c r="G254" s="112">
        <f>SUM(G255,G259,G260)</f>
        <v>0</v>
      </c>
      <c r="H254" s="113">
        <f>SUM(H255,H259,H260)</f>
        <v>0</v>
      </c>
      <c r="I254" s="114">
        <f t="shared" si="20"/>
        <v>0</v>
      </c>
      <c r="J254" s="112">
        <f>SUM(J255,J259,J260)</f>
        <v>0</v>
      </c>
      <c r="K254" s="113">
        <f>SUM(K255,K259,K260)</f>
        <v>0</v>
      </c>
      <c r="L254" s="114">
        <f t="shared" si="21"/>
        <v>0</v>
      </c>
      <c r="M254" s="303">
        <f>SUM(M255,M259,M260)</f>
        <v>0</v>
      </c>
      <c r="N254" s="304">
        <f>SUM(N255,N259,N260)</f>
        <v>0</v>
      </c>
      <c r="O254" s="305">
        <f t="shared" si="22"/>
        <v>0</v>
      </c>
      <c r="P254" s="306"/>
      <c r="R254" s="53"/>
      <c r="S254" s="53"/>
      <c r="T254" s="53"/>
    </row>
    <row r="255" spans="1:20" ht="24" hidden="1" x14ac:dyDescent="0.25">
      <c r="A255" s="656">
        <v>6320</v>
      </c>
      <c r="B255" s="116" t="s">
        <v>271</v>
      </c>
      <c r="C255" s="322">
        <f t="shared" si="18"/>
        <v>0</v>
      </c>
      <c r="D255" s="297">
        <f>SUM(D256:D258)</f>
        <v>0</v>
      </c>
      <c r="E255" s="298">
        <f>SUM(E256:E258)</f>
        <v>0</v>
      </c>
      <c r="F255" s="296">
        <f t="shared" si="19"/>
        <v>0</v>
      </c>
      <c r="G255" s="297">
        <f>SUM(G256:G258)</f>
        <v>0</v>
      </c>
      <c r="H255" s="299">
        <f>SUM(H256:H258)</f>
        <v>0</v>
      </c>
      <c r="I255" s="125">
        <f t="shared" si="20"/>
        <v>0</v>
      </c>
      <c r="J255" s="297">
        <f>SUM(J256:J258)</f>
        <v>0</v>
      </c>
      <c r="K255" s="299">
        <f>SUM(K256:K258)</f>
        <v>0</v>
      </c>
      <c r="L255" s="125">
        <f t="shared" si="21"/>
        <v>0</v>
      </c>
      <c r="M255" s="300">
        <f>SUM(M256:M258)</f>
        <v>0</v>
      </c>
      <c r="N255" s="301">
        <f>SUM(N256:N258)</f>
        <v>0</v>
      </c>
      <c r="O255" s="125">
        <f t="shared" si="22"/>
        <v>0</v>
      </c>
      <c r="P255" s="74"/>
      <c r="R255" s="53"/>
      <c r="S255" s="53"/>
      <c r="T255" s="53"/>
    </row>
    <row r="256" spans="1:20" hidden="1" x14ac:dyDescent="0.25">
      <c r="A256" s="76">
        <v>6322</v>
      </c>
      <c r="B256" s="127" t="s">
        <v>272</v>
      </c>
      <c r="C256" s="281">
        <f t="shared" si="18"/>
        <v>0</v>
      </c>
      <c r="D256" s="134"/>
      <c r="E256" s="283"/>
      <c r="F256" s="279">
        <f t="shared" si="19"/>
        <v>0</v>
      </c>
      <c r="G256" s="134"/>
      <c r="H256" s="135"/>
      <c r="I256" s="136">
        <f t="shared" si="20"/>
        <v>0</v>
      </c>
      <c r="J256" s="134"/>
      <c r="K256" s="135"/>
      <c r="L256" s="136">
        <f t="shared" si="21"/>
        <v>0</v>
      </c>
      <c r="M256" s="284"/>
      <c r="N256" s="285"/>
      <c r="O256" s="136">
        <f t="shared" si="22"/>
        <v>0</v>
      </c>
      <c r="P256" s="85"/>
      <c r="R256" s="53"/>
      <c r="S256" s="53"/>
      <c r="T256" s="53"/>
    </row>
    <row r="257" spans="1:20" ht="24" hidden="1" x14ac:dyDescent="0.25">
      <c r="A257" s="76">
        <v>6323</v>
      </c>
      <c r="B257" s="127" t="s">
        <v>273</v>
      </c>
      <c r="C257" s="281">
        <f t="shared" si="18"/>
        <v>0</v>
      </c>
      <c r="D257" s="134"/>
      <c r="E257" s="283"/>
      <c r="F257" s="279">
        <f t="shared" si="19"/>
        <v>0</v>
      </c>
      <c r="G257" s="134"/>
      <c r="H257" s="135"/>
      <c r="I257" s="136">
        <f t="shared" si="20"/>
        <v>0</v>
      </c>
      <c r="J257" s="134"/>
      <c r="K257" s="135"/>
      <c r="L257" s="136">
        <f t="shared" si="21"/>
        <v>0</v>
      </c>
      <c r="M257" s="284"/>
      <c r="N257" s="285"/>
      <c r="O257" s="136">
        <f t="shared" si="22"/>
        <v>0</v>
      </c>
      <c r="P257" s="85"/>
      <c r="R257" s="53"/>
      <c r="S257" s="53"/>
      <c r="T257" s="53"/>
    </row>
    <row r="258" spans="1:20" ht="24" hidden="1" x14ac:dyDescent="0.25">
      <c r="A258" s="66">
        <v>6324</v>
      </c>
      <c r="B258" s="116" t="s">
        <v>274</v>
      </c>
      <c r="C258" s="281">
        <f t="shared" si="18"/>
        <v>0</v>
      </c>
      <c r="D258" s="123"/>
      <c r="E258" s="295"/>
      <c r="F258" s="296">
        <f t="shared" si="19"/>
        <v>0</v>
      </c>
      <c r="G258" s="123"/>
      <c r="H258" s="124"/>
      <c r="I258" s="125">
        <f t="shared" si="20"/>
        <v>0</v>
      </c>
      <c r="J258" s="123"/>
      <c r="K258" s="124"/>
      <c r="L258" s="125">
        <f t="shared" si="21"/>
        <v>0</v>
      </c>
      <c r="M258" s="264"/>
      <c r="N258" s="262"/>
      <c r="O258" s="125">
        <f t="shared" si="22"/>
        <v>0</v>
      </c>
      <c r="P258" s="74"/>
      <c r="R258" s="53"/>
      <c r="S258" s="53"/>
      <c r="T258" s="53"/>
    </row>
    <row r="259" spans="1:20" ht="24" hidden="1" x14ac:dyDescent="0.25">
      <c r="A259" s="344">
        <v>6330</v>
      </c>
      <c r="B259" s="345" t="s">
        <v>275</v>
      </c>
      <c r="C259" s="281">
        <f t="shared" si="18"/>
        <v>0</v>
      </c>
      <c r="D259" s="328"/>
      <c r="E259" s="683"/>
      <c r="F259" s="647">
        <f t="shared" si="19"/>
        <v>0</v>
      </c>
      <c r="G259" s="328"/>
      <c r="H259" s="331"/>
      <c r="I259" s="324">
        <f t="shared" si="20"/>
        <v>0</v>
      </c>
      <c r="J259" s="328"/>
      <c r="K259" s="331"/>
      <c r="L259" s="324">
        <f t="shared" si="21"/>
        <v>0</v>
      </c>
      <c r="M259" s="332"/>
      <c r="N259" s="329"/>
      <c r="O259" s="324">
        <f t="shared" si="22"/>
        <v>0</v>
      </c>
      <c r="P259" s="325"/>
      <c r="R259" s="53"/>
      <c r="S259" s="53"/>
      <c r="T259" s="53"/>
    </row>
    <row r="260" spans="1:20" hidden="1" x14ac:dyDescent="0.25">
      <c r="A260" s="276">
        <v>6360</v>
      </c>
      <c r="B260" s="127" t="s">
        <v>276</v>
      </c>
      <c r="C260" s="281">
        <f t="shared" si="18"/>
        <v>0</v>
      </c>
      <c r="D260" s="134"/>
      <c r="E260" s="283"/>
      <c r="F260" s="279">
        <f t="shared" si="19"/>
        <v>0</v>
      </c>
      <c r="G260" s="134"/>
      <c r="H260" s="135"/>
      <c r="I260" s="136">
        <f t="shared" si="20"/>
        <v>0</v>
      </c>
      <c r="J260" s="134"/>
      <c r="K260" s="135"/>
      <c r="L260" s="136">
        <f t="shared" si="21"/>
        <v>0</v>
      </c>
      <c r="M260" s="284"/>
      <c r="N260" s="285"/>
      <c r="O260" s="136">
        <f t="shared" si="22"/>
        <v>0</v>
      </c>
      <c r="P260" s="85"/>
      <c r="R260" s="53"/>
      <c r="S260" s="53"/>
      <c r="T260" s="53"/>
    </row>
    <row r="261" spans="1:20" ht="36" hidden="1" x14ac:dyDescent="0.25">
      <c r="A261" s="99">
        <v>6400</v>
      </c>
      <c r="B261" s="247" t="s">
        <v>277</v>
      </c>
      <c r="C261" s="100">
        <f t="shared" si="18"/>
        <v>0</v>
      </c>
      <c r="D261" s="112">
        <f>SUM(D262,D266)</f>
        <v>0</v>
      </c>
      <c r="E261" s="248">
        <f>SUM(E262,E266)</f>
        <v>0</v>
      </c>
      <c r="F261" s="249">
        <f t="shared" si="19"/>
        <v>0</v>
      </c>
      <c r="G261" s="112">
        <f>SUM(G262,G266)</f>
        <v>0</v>
      </c>
      <c r="H261" s="113">
        <f>SUM(H262,H266)</f>
        <v>0</v>
      </c>
      <c r="I261" s="114">
        <f t="shared" si="20"/>
        <v>0</v>
      </c>
      <c r="J261" s="112">
        <f>SUM(J262,J266)</f>
        <v>0</v>
      </c>
      <c r="K261" s="113">
        <f>SUM(K262,K266)</f>
        <v>0</v>
      </c>
      <c r="L261" s="114">
        <f t="shared" si="21"/>
        <v>0</v>
      </c>
      <c r="M261" s="303">
        <f>SUM(M262,M266)</f>
        <v>0</v>
      </c>
      <c r="N261" s="304">
        <f>SUM(N262,N266)</f>
        <v>0</v>
      </c>
      <c r="O261" s="305">
        <f t="shared" si="22"/>
        <v>0</v>
      </c>
      <c r="P261" s="306"/>
      <c r="R261" s="53"/>
      <c r="S261" s="53"/>
      <c r="T261" s="53"/>
    </row>
    <row r="262" spans="1:20" ht="24" hidden="1" x14ac:dyDescent="0.25">
      <c r="A262" s="656">
        <v>6410</v>
      </c>
      <c r="B262" s="116" t="s">
        <v>278</v>
      </c>
      <c r="C262" s="300">
        <f t="shared" si="18"/>
        <v>0</v>
      </c>
      <c r="D262" s="297">
        <f>SUM(D263:D265)</f>
        <v>0</v>
      </c>
      <c r="E262" s="298">
        <f>SUM(E263:E265)</f>
        <v>0</v>
      </c>
      <c r="F262" s="296">
        <f t="shared" si="19"/>
        <v>0</v>
      </c>
      <c r="G262" s="297">
        <f>SUM(G263:G265)</f>
        <v>0</v>
      </c>
      <c r="H262" s="299">
        <f>SUM(H263:H265)</f>
        <v>0</v>
      </c>
      <c r="I262" s="125">
        <f t="shared" si="20"/>
        <v>0</v>
      </c>
      <c r="J262" s="297">
        <f>SUM(J263:J265)</f>
        <v>0</v>
      </c>
      <c r="K262" s="299">
        <f>SUM(K263:K265)</f>
        <v>0</v>
      </c>
      <c r="L262" s="125">
        <f t="shared" si="21"/>
        <v>0</v>
      </c>
      <c r="M262" s="317">
        <f>SUM(M263:M265)</f>
        <v>0</v>
      </c>
      <c r="N262" s="318">
        <f>SUM(N263:N265)</f>
        <v>0</v>
      </c>
      <c r="O262" s="151">
        <f t="shared" si="22"/>
        <v>0</v>
      </c>
      <c r="P262" s="153"/>
      <c r="R262" s="53"/>
      <c r="S262" s="53"/>
      <c r="T262" s="53"/>
    </row>
    <row r="263" spans="1:20" hidden="1" x14ac:dyDescent="0.25">
      <c r="A263" s="76">
        <v>6411</v>
      </c>
      <c r="B263" s="346" t="s">
        <v>279</v>
      </c>
      <c r="C263" s="278">
        <f t="shared" si="18"/>
        <v>0</v>
      </c>
      <c r="D263" s="134"/>
      <c r="E263" s="283"/>
      <c r="F263" s="279">
        <f t="shared" si="19"/>
        <v>0</v>
      </c>
      <c r="G263" s="134"/>
      <c r="H263" s="135"/>
      <c r="I263" s="136">
        <f t="shared" si="20"/>
        <v>0</v>
      </c>
      <c r="J263" s="134"/>
      <c r="K263" s="135"/>
      <c r="L263" s="136">
        <f t="shared" si="21"/>
        <v>0</v>
      </c>
      <c r="M263" s="284"/>
      <c r="N263" s="285"/>
      <c r="O263" s="136">
        <f t="shared" si="22"/>
        <v>0</v>
      </c>
      <c r="P263" s="85"/>
      <c r="R263" s="53"/>
      <c r="S263" s="53"/>
      <c r="T263" s="53"/>
    </row>
    <row r="264" spans="1:20" ht="36" hidden="1" x14ac:dyDescent="0.25">
      <c r="A264" s="76">
        <v>6412</v>
      </c>
      <c r="B264" s="127" t="s">
        <v>280</v>
      </c>
      <c r="C264" s="278">
        <f t="shared" si="18"/>
        <v>0</v>
      </c>
      <c r="D264" s="134"/>
      <c r="E264" s="283"/>
      <c r="F264" s="279">
        <f t="shared" si="19"/>
        <v>0</v>
      </c>
      <c r="G264" s="134"/>
      <c r="H264" s="135"/>
      <c r="I264" s="136">
        <f t="shared" si="20"/>
        <v>0</v>
      </c>
      <c r="J264" s="134"/>
      <c r="K264" s="135"/>
      <c r="L264" s="136">
        <f t="shared" si="21"/>
        <v>0</v>
      </c>
      <c r="M264" s="284"/>
      <c r="N264" s="285"/>
      <c r="O264" s="136">
        <f t="shared" si="22"/>
        <v>0</v>
      </c>
      <c r="P264" s="85"/>
      <c r="R264" s="53"/>
      <c r="S264" s="53"/>
      <c r="T264" s="53"/>
    </row>
    <row r="265" spans="1:20" ht="36" hidden="1" x14ac:dyDescent="0.25">
      <c r="A265" s="76">
        <v>6419</v>
      </c>
      <c r="B265" s="127" t="s">
        <v>281</v>
      </c>
      <c r="C265" s="278">
        <f t="shared" si="18"/>
        <v>0</v>
      </c>
      <c r="D265" s="134"/>
      <c r="E265" s="283"/>
      <c r="F265" s="279">
        <f t="shared" si="19"/>
        <v>0</v>
      </c>
      <c r="G265" s="134"/>
      <c r="H265" s="135"/>
      <c r="I265" s="136">
        <f t="shared" si="20"/>
        <v>0</v>
      </c>
      <c r="J265" s="134"/>
      <c r="K265" s="135"/>
      <c r="L265" s="136">
        <f t="shared" si="21"/>
        <v>0</v>
      </c>
      <c r="M265" s="284"/>
      <c r="N265" s="285"/>
      <c r="O265" s="136">
        <f t="shared" si="22"/>
        <v>0</v>
      </c>
      <c r="P265" s="85"/>
      <c r="R265" s="53"/>
      <c r="S265" s="53"/>
      <c r="T265" s="53"/>
    </row>
    <row r="266" spans="1:20" ht="36" hidden="1" x14ac:dyDescent="0.25">
      <c r="A266" s="276">
        <v>6420</v>
      </c>
      <c r="B266" s="127" t="s">
        <v>282</v>
      </c>
      <c r="C266" s="278">
        <f t="shared" si="18"/>
        <v>0</v>
      </c>
      <c r="D266" s="277">
        <f>SUM(D267:D270)</f>
        <v>0</v>
      </c>
      <c r="E266" s="278">
        <f>SUM(E267:E270)</f>
        <v>0</v>
      </c>
      <c r="F266" s="279">
        <f t="shared" si="19"/>
        <v>0</v>
      </c>
      <c r="G266" s="277">
        <f>SUM(G267:G270)</f>
        <v>0</v>
      </c>
      <c r="H266" s="280">
        <f>SUM(H267:H270)</f>
        <v>0</v>
      </c>
      <c r="I266" s="136">
        <f t="shared" si="20"/>
        <v>0</v>
      </c>
      <c r="J266" s="277">
        <f>SUM(J267:J270)</f>
        <v>0</v>
      </c>
      <c r="K266" s="280">
        <f>SUM(K267:K270)</f>
        <v>0</v>
      </c>
      <c r="L266" s="136">
        <f t="shared" si="21"/>
        <v>0</v>
      </c>
      <c r="M266" s="281">
        <f>SUM(M267:M270)</f>
        <v>0</v>
      </c>
      <c r="N266" s="282">
        <f>SUM(N267:N270)</f>
        <v>0</v>
      </c>
      <c r="O266" s="136">
        <f t="shared" si="22"/>
        <v>0</v>
      </c>
      <c r="P266" s="85"/>
      <c r="R266" s="53"/>
      <c r="S266" s="53"/>
      <c r="T266" s="53"/>
    </row>
    <row r="267" spans="1:20" hidden="1" x14ac:dyDescent="0.25">
      <c r="A267" s="76">
        <v>6421</v>
      </c>
      <c r="B267" s="127" t="s">
        <v>283</v>
      </c>
      <c r="C267" s="278">
        <f t="shared" si="18"/>
        <v>0</v>
      </c>
      <c r="D267" s="134"/>
      <c r="E267" s="283"/>
      <c r="F267" s="279">
        <f t="shared" si="19"/>
        <v>0</v>
      </c>
      <c r="G267" s="134"/>
      <c r="H267" s="135"/>
      <c r="I267" s="136">
        <f t="shared" si="20"/>
        <v>0</v>
      </c>
      <c r="J267" s="134"/>
      <c r="K267" s="135"/>
      <c r="L267" s="136">
        <f t="shared" si="21"/>
        <v>0</v>
      </c>
      <c r="M267" s="284"/>
      <c r="N267" s="285"/>
      <c r="O267" s="136">
        <f t="shared" si="22"/>
        <v>0</v>
      </c>
      <c r="P267" s="85"/>
      <c r="R267" s="53"/>
      <c r="S267" s="53"/>
      <c r="T267" s="53"/>
    </row>
    <row r="268" spans="1:20" hidden="1" x14ac:dyDescent="0.25">
      <c r="A268" s="76">
        <v>6422</v>
      </c>
      <c r="B268" s="127" t="s">
        <v>284</v>
      </c>
      <c r="C268" s="278">
        <f t="shared" si="18"/>
        <v>0</v>
      </c>
      <c r="D268" s="134"/>
      <c r="E268" s="283"/>
      <c r="F268" s="279">
        <f t="shared" si="19"/>
        <v>0</v>
      </c>
      <c r="G268" s="134"/>
      <c r="H268" s="135"/>
      <c r="I268" s="136">
        <f t="shared" si="20"/>
        <v>0</v>
      </c>
      <c r="J268" s="134"/>
      <c r="K268" s="135"/>
      <c r="L268" s="136">
        <f t="shared" si="21"/>
        <v>0</v>
      </c>
      <c r="M268" s="284"/>
      <c r="N268" s="285"/>
      <c r="O268" s="136">
        <f t="shared" si="22"/>
        <v>0</v>
      </c>
      <c r="P268" s="85"/>
      <c r="R268" s="53"/>
      <c r="S268" s="53"/>
      <c r="T268" s="53"/>
    </row>
    <row r="269" spans="1:20" ht="24" hidden="1" x14ac:dyDescent="0.25">
      <c r="A269" s="76">
        <v>6423</v>
      </c>
      <c r="B269" s="127" t="s">
        <v>285</v>
      </c>
      <c r="C269" s="278">
        <f t="shared" si="18"/>
        <v>0</v>
      </c>
      <c r="D269" s="134"/>
      <c r="E269" s="283"/>
      <c r="F269" s="279">
        <f t="shared" si="19"/>
        <v>0</v>
      </c>
      <c r="G269" s="134"/>
      <c r="H269" s="135"/>
      <c r="I269" s="136">
        <f t="shared" si="20"/>
        <v>0</v>
      </c>
      <c r="J269" s="134"/>
      <c r="K269" s="135"/>
      <c r="L269" s="136">
        <f t="shared" si="21"/>
        <v>0</v>
      </c>
      <c r="M269" s="284"/>
      <c r="N269" s="285"/>
      <c r="O269" s="136">
        <f t="shared" si="22"/>
        <v>0</v>
      </c>
      <c r="P269" s="85"/>
      <c r="R269" s="53"/>
      <c r="S269" s="53"/>
      <c r="T269" s="53"/>
    </row>
    <row r="270" spans="1:20" ht="36" hidden="1" x14ac:dyDescent="0.25">
      <c r="A270" s="76">
        <v>6424</v>
      </c>
      <c r="B270" s="127" t="s">
        <v>286</v>
      </c>
      <c r="C270" s="278">
        <f t="shared" si="18"/>
        <v>0</v>
      </c>
      <c r="D270" s="134"/>
      <c r="E270" s="283"/>
      <c r="F270" s="279">
        <f t="shared" si="19"/>
        <v>0</v>
      </c>
      <c r="G270" s="134"/>
      <c r="H270" s="135"/>
      <c r="I270" s="136">
        <f t="shared" si="20"/>
        <v>0</v>
      </c>
      <c r="J270" s="134"/>
      <c r="K270" s="135"/>
      <c r="L270" s="136">
        <f t="shared" si="21"/>
        <v>0</v>
      </c>
      <c r="M270" s="284"/>
      <c r="N270" s="285"/>
      <c r="O270" s="136">
        <f t="shared" si="22"/>
        <v>0</v>
      </c>
      <c r="P270" s="85"/>
      <c r="R270" s="53"/>
      <c r="S270" s="53"/>
      <c r="T270" s="53"/>
    </row>
    <row r="271" spans="1:20" ht="36" hidden="1" x14ac:dyDescent="0.25">
      <c r="A271" s="347">
        <v>7000</v>
      </c>
      <c r="B271" s="347" t="s">
        <v>287</v>
      </c>
      <c r="C271" s="348">
        <f t="shared" si="18"/>
        <v>0</v>
      </c>
      <c r="D271" s="349">
        <f>SUM(D272,D282)</f>
        <v>0</v>
      </c>
      <c r="E271" s="350">
        <f>SUM(E272,E282)</f>
        <v>0</v>
      </c>
      <c r="F271" s="351">
        <f t="shared" si="19"/>
        <v>0</v>
      </c>
      <c r="G271" s="349">
        <f>SUM(G272,G282)</f>
        <v>0</v>
      </c>
      <c r="H271" s="352">
        <f>SUM(H272,H282)</f>
        <v>0</v>
      </c>
      <c r="I271" s="353">
        <f t="shared" si="20"/>
        <v>0</v>
      </c>
      <c r="J271" s="349">
        <f>SUM(J272,J282)</f>
        <v>0</v>
      </c>
      <c r="K271" s="352">
        <f>SUM(K272,K282)</f>
        <v>0</v>
      </c>
      <c r="L271" s="353">
        <f t="shared" si="21"/>
        <v>0</v>
      </c>
      <c r="M271" s="354">
        <f>SUM(M272,M282)</f>
        <v>0</v>
      </c>
      <c r="N271" s="355">
        <f>SUM(N272,N282)</f>
        <v>0</v>
      </c>
      <c r="O271" s="356">
        <f t="shared" si="22"/>
        <v>0</v>
      </c>
      <c r="P271" s="357"/>
      <c r="R271" s="53"/>
      <c r="S271" s="53"/>
      <c r="T271" s="53"/>
    </row>
    <row r="272" spans="1:20" ht="24" hidden="1" x14ac:dyDescent="0.25">
      <c r="A272" s="99">
        <v>7200</v>
      </c>
      <c r="B272" s="247" t="s">
        <v>288</v>
      </c>
      <c r="C272" s="100">
        <f t="shared" si="18"/>
        <v>0</v>
      </c>
      <c r="D272" s="112">
        <f>SUM(D273,D274,D277,D278,D281)</f>
        <v>0</v>
      </c>
      <c r="E272" s="248">
        <f>SUM(E273,E274,E277,E278,E281)</f>
        <v>0</v>
      </c>
      <c r="F272" s="249">
        <f t="shared" si="19"/>
        <v>0</v>
      </c>
      <c r="G272" s="112">
        <f>SUM(G273,G274,G277,G278,G281)</f>
        <v>0</v>
      </c>
      <c r="H272" s="113">
        <f>SUM(H273,H274,H277,H278,H281)</f>
        <v>0</v>
      </c>
      <c r="I272" s="114">
        <f t="shared" si="20"/>
        <v>0</v>
      </c>
      <c r="J272" s="112">
        <f>SUM(J273,J274,J277,J278,J281)</f>
        <v>0</v>
      </c>
      <c r="K272" s="113">
        <f>SUM(K273,K274,K277,K278,K281)</f>
        <v>0</v>
      </c>
      <c r="L272" s="114">
        <f t="shared" si="21"/>
        <v>0</v>
      </c>
      <c r="M272" s="250">
        <f>SUM(M273,M274,M277,M278,M281)</f>
        <v>0</v>
      </c>
      <c r="N272" s="251">
        <f>SUM(N273,N274,N277,N278,N281)</f>
        <v>0</v>
      </c>
      <c r="O272" s="252">
        <f t="shared" si="22"/>
        <v>0</v>
      </c>
      <c r="P272" s="253"/>
      <c r="R272" s="53"/>
      <c r="S272" s="53"/>
      <c r="T272" s="53"/>
    </row>
    <row r="273" spans="1:20" ht="24" hidden="1" x14ac:dyDescent="0.25">
      <c r="A273" s="656">
        <v>7210</v>
      </c>
      <c r="B273" s="116" t="s">
        <v>289</v>
      </c>
      <c r="C273" s="117">
        <f t="shared" si="18"/>
        <v>0</v>
      </c>
      <c r="D273" s="123"/>
      <c r="E273" s="295"/>
      <c r="F273" s="296">
        <f t="shared" si="19"/>
        <v>0</v>
      </c>
      <c r="G273" s="123"/>
      <c r="H273" s="124"/>
      <c r="I273" s="125">
        <f t="shared" si="20"/>
        <v>0</v>
      </c>
      <c r="J273" s="123"/>
      <c r="K273" s="124"/>
      <c r="L273" s="125">
        <f t="shared" si="21"/>
        <v>0</v>
      </c>
      <c r="M273" s="264"/>
      <c r="N273" s="262"/>
      <c r="O273" s="125">
        <f t="shared" si="22"/>
        <v>0</v>
      </c>
      <c r="P273" s="74"/>
      <c r="R273" s="53"/>
      <c r="S273" s="53"/>
      <c r="T273" s="53"/>
    </row>
    <row r="274" spans="1:20" s="358" customFormat="1" ht="36" hidden="1" x14ac:dyDescent="0.25">
      <c r="A274" s="276">
        <v>7220</v>
      </c>
      <c r="B274" s="127" t="s">
        <v>290</v>
      </c>
      <c r="C274" s="128">
        <f t="shared" si="18"/>
        <v>0</v>
      </c>
      <c r="D274" s="277">
        <f>SUM(D275:D276)</f>
        <v>0</v>
      </c>
      <c r="E274" s="278">
        <f>SUM(E275:E276)</f>
        <v>0</v>
      </c>
      <c r="F274" s="279">
        <f t="shared" si="19"/>
        <v>0</v>
      </c>
      <c r="G274" s="277">
        <f>SUM(G275:G276)</f>
        <v>0</v>
      </c>
      <c r="H274" s="280">
        <f>SUM(H275:H276)</f>
        <v>0</v>
      </c>
      <c r="I274" s="136">
        <f t="shared" si="20"/>
        <v>0</v>
      </c>
      <c r="J274" s="277">
        <f>SUM(J275:J276)</f>
        <v>0</v>
      </c>
      <c r="K274" s="280">
        <f>SUM(K275:K276)</f>
        <v>0</v>
      </c>
      <c r="L274" s="136">
        <f t="shared" si="21"/>
        <v>0</v>
      </c>
      <c r="M274" s="281">
        <f>SUM(M275:M276)</f>
        <v>0</v>
      </c>
      <c r="N274" s="282">
        <f>SUM(N275:N276)</f>
        <v>0</v>
      </c>
      <c r="O274" s="136">
        <f t="shared" si="22"/>
        <v>0</v>
      </c>
      <c r="P274" s="85"/>
      <c r="R274" s="53"/>
      <c r="S274" s="53"/>
      <c r="T274" s="53"/>
    </row>
    <row r="275" spans="1:20" s="358" customFormat="1" ht="36" hidden="1" x14ac:dyDescent="0.25">
      <c r="A275" s="76">
        <v>7221</v>
      </c>
      <c r="B275" s="127" t="s">
        <v>291</v>
      </c>
      <c r="C275" s="128">
        <f t="shared" si="18"/>
        <v>0</v>
      </c>
      <c r="D275" s="134"/>
      <c r="E275" s="283"/>
      <c r="F275" s="279">
        <f t="shared" si="19"/>
        <v>0</v>
      </c>
      <c r="G275" s="134"/>
      <c r="H275" s="135"/>
      <c r="I275" s="136">
        <f t="shared" si="20"/>
        <v>0</v>
      </c>
      <c r="J275" s="134"/>
      <c r="K275" s="135"/>
      <c r="L275" s="136">
        <f t="shared" si="21"/>
        <v>0</v>
      </c>
      <c r="M275" s="284"/>
      <c r="N275" s="285"/>
      <c r="O275" s="136">
        <f t="shared" si="22"/>
        <v>0</v>
      </c>
      <c r="P275" s="85"/>
      <c r="R275" s="53"/>
      <c r="S275" s="53"/>
      <c r="T275" s="53"/>
    </row>
    <row r="276" spans="1:20" s="358" customFormat="1" ht="36" hidden="1" x14ac:dyDescent="0.25">
      <c r="A276" s="76">
        <v>7222</v>
      </c>
      <c r="B276" s="127" t="s">
        <v>292</v>
      </c>
      <c r="C276" s="128">
        <f t="shared" si="18"/>
        <v>0</v>
      </c>
      <c r="D276" s="134"/>
      <c r="E276" s="283"/>
      <c r="F276" s="279">
        <f t="shared" si="19"/>
        <v>0</v>
      </c>
      <c r="G276" s="134"/>
      <c r="H276" s="135"/>
      <c r="I276" s="136">
        <f t="shared" si="20"/>
        <v>0</v>
      </c>
      <c r="J276" s="134"/>
      <c r="K276" s="135"/>
      <c r="L276" s="136">
        <f t="shared" si="21"/>
        <v>0</v>
      </c>
      <c r="M276" s="284"/>
      <c r="N276" s="285"/>
      <c r="O276" s="136">
        <f t="shared" si="22"/>
        <v>0</v>
      </c>
      <c r="P276" s="85"/>
      <c r="R276" s="53"/>
      <c r="S276" s="53"/>
      <c r="T276" s="53"/>
    </row>
    <row r="277" spans="1:20" s="358" customFormat="1" ht="24" hidden="1" x14ac:dyDescent="0.25">
      <c r="A277" s="276">
        <v>7230</v>
      </c>
      <c r="B277" s="127" t="s">
        <v>293</v>
      </c>
      <c r="C277" s="128">
        <f t="shared" si="18"/>
        <v>0</v>
      </c>
      <c r="D277" s="134"/>
      <c r="E277" s="283"/>
      <c r="F277" s="279">
        <f t="shared" si="19"/>
        <v>0</v>
      </c>
      <c r="G277" s="134"/>
      <c r="H277" s="135"/>
      <c r="I277" s="136">
        <f t="shared" si="20"/>
        <v>0</v>
      </c>
      <c r="J277" s="134"/>
      <c r="K277" s="135"/>
      <c r="L277" s="136">
        <f t="shared" si="21"/>
        <v>0</v>
      </c>
      <c r="M277" s="284"/>
      <c r="N277" s="285"/>
      <c r="O277" s="136">
        <f t="shared" si="22"/>
        <v>0</v>
      </c>
      <c r="P277" s="85"/>
      <c r="R277" s="53"/>
      <c r="S277" s="53"/>
      <c r="T277" s="53"/>
    </row>
    <row r="278" spans="1:20" ht="24" hidden="1" x14ac:dyDescent="0.25">
      <c r="A278" s="276">
        <v>7240</v>
      </c>
      <c r="B278" s="127" t="s">
        <v>294</v>
      </c>
      <c r="C278" s="128">
        <f t="shared" si="18"/>
        <v>0</v>
      </c>
      <c r="D278" s="277">
        <f>SUM(D279:D280)</f>
        <v>0</v>
      </c>
      <c r="E278" s="278">
        <f>SUM(E279:E280)</f>
        <v>0</v>
      </c>
      <c r="F278" s="279">
        <f t="shared" si="19"/>
        <v>0</v>
      </c>
      <c r="G278" s="277">
        <f>SUM(G279:G280)</f>
        <v>0</v>
      </c>
      <c r="H278" s="280">
        <f>SUM(H279:H280)</f>
        <v>0</v>
      </c>
      <c r="I278" s="136">
        <f t="shared" si="20"/>
        <v>0</v>
      </c>
      <c r="J278" s="277">
        <f>SUM(J279:J280)</f>
        <v>0</v>
      </c>
      <c r="K278" s="280">
        <f>SUM(K279:K280)</f>
        <v>0</v>
      </c>
      <c r="L278" s="136">
        <f t="shared" si="21"/>
        <v>0</v>
      </c>
      <c r="M278" s="281">
        <f>SUM(M279:M280)</f>
        <v>0</v>
      </c>
      <c r="N278" s="282">
        <f>SUM(N279:N280)</f>
        <v>0</v>
      </c>
      <c r="O278" s="136">
        <f>SUM(O279:O280)</f>
        <v>0</v>
      </c>
      <c r="P278" s="85"/>
      <c r="R278" s="53"/>
      <c r="S278" s="53"/>
      <c r="T278" s="53"/>
    </row>
    <row r="279" spans="1:20" ht="48" hidden="1" x14ac:dyDescent="0.25">
      <c r="A279" s="76">
        <v>7245</v>
      </c>
      <c r="B279" s="127" t="s">
        <v>295</v>
      </c>
      <c r="C279" s="128">
        <f t="shared" si="18"/>
        <v>0</v>
      </c>
      <c r="D279" s="134"/>
      <c r="E279" s="283"/>
      <c r="F279" s="279">
        <f t="shared" si="19"/>
        <v>0</v>
      </c>
      <c r="G279" s="134"/>
      <c r="H279" s="135"/>
      <c r="I279" s="136">
        <f t="shared" si="20"/>
        <v>0</v>
      </c>
      <c r="J279" s="134"/>
      <c r="K279" s="135"/>
      <c r="L279" s="136">
        <f t="shared" si="21"/>
        <v>0</v>
      </c>
      <c r="M279" s="284"/>
      <c r="N279" s="285"/>
      <c r="O279" s="136">
        <f t="shared" ref="O279:O299" si="23">M279+N279</f>
        <v>0</v>
      </c>
      <c r="P279" s="85"/>
      <c r="R279" s="53"/>
      <c r="S279" s="53"/>
      <c r="T279" s="53"/>
    </row>
    <row r="280" spans="1:20" ht="96" hidden="1" x14ac:dyDescent="0.25">
      <c r="A280" s="76">
        <v>7246</v>
      </c>
      <c r="B280" s="127" t="s">
        <v>296</v>
      </c>
      <c r="C280" s="128">
        <f t="shared" si="18"/>
        <v>0</v>
      </c>
      <c r="D280" s="134"/>
      <c r="E280" s="283"/>
      <c r="F280" s="279">
        <f t="shared" si="19"/>
        <v>0</v>
      </c>
      <c r="G280" s="134"/>
      <c r="H280" s="135"/>
      <c r="I280" s="136">
        <f t="shared" si="20"/>
        <v>0</v>
      </c>
      <c r="J280" s="134"/>
      <c r="K280" s="135"/>
      <c r="L280" s="136">
        <f t="shared" si="21"/>
        <v>0</v>
      </c>
      <c r="M280" s="284"/>
      <c r="N280" s="285"/>
      <c r="O280" s="136">
        <f t="shared" si="23"/>
        <v>0</v>
      </c>
      <c r="P280" s="85"/>
      <c r="R280" s="53"/>
      <c r="S280" s="53"/>
      <c r="T280" s="53"/>
    </row>
    <row r="281" spans="1:20" ht="24" hidden="1" x14ac:dyDescent="0.25">
      <c r="A281" s="276">
        <v>7260</v>
      </c>
      <c r="B281" s="127" t="s">
        <v>297</v>
      </c>
      <c r="C281" s="128">
        <f t="shared" si="18"/>
        <v>0</v>
      </c>
      <c r="D281" s="123"/>
      <c r="E281" s="295"/>
      <c r="F281" s="296">
        <f t="shared" si="19"/>
        <v>0</v>
      </c>
      <c r="G281" s="123"/>
      <c r="H281" s="124"/>
      <c r="I281" s="125">
        <f t="shared" si="20"/>
        <v>0</v>
      </c>
      <c r="J281" s="123"/>
      <c r="K281" s="124"/>
      <c r="L281" s="125">
        <f t="shared" si="21"/>
        <v>0</v>
      </c>
      <c r="M281" s="264"/>
      <c r="N281" s="262"/>
      <c r="O281" s="125">
        <f t="shared" si="23"/>
        <v>0</v>
      </c>
      <c r="P281" s="74"/>
      <c r="R281" s="53"/>
      <c r="S281" s="53"/>
      <c r="T281" s="53"/>
    </row>
    <row r="282" spans="1:20" hidden="1" x14ac:dyDescent="0.25">
      <c r="A282" s="99">
        <v>7700</v>
      </c>
      <c r="B282" s="247" t="s">
        <v>298</v>
      </c>
      <c r="C282" s="359">
        <f t="shared" si="18"/>
        <v>0</v>
      </c>
      <c r="D282" s="360">
        <f>D283</f>
        <v>0</v>
      </c>
      <c r="E282" s="679">
        <f>SUM(E283)</f>
        <v>0</v>
      </c>
      <c r="F282" s="302">
        <f t="shared" si="19"/>
        <v>0</v>
      </c>
      <c r="G282" s="360">
        <f>G283</f>
        <v>0</v>
      </c>
      <c r="H282" s="361">
        <f>SUM(H283)</f>
        <v>0</v>
      </c>
      <c r="I282" s="305">
        <f t="shared" si="20"/>
        <v>0</v>
      </c>
      <c r="J282" s="360">
        <f>J283</f>
        <v>0</v>
      </c>
      <c r="K282" s="361">
        <f>SUM(K283)</f>
        <v>0</v>
      </c>
      <c r="L282" s="305">
        <f t="shared" si="21"/>
        <v>0</v>
      </c>
      <c r="M282" s="303">
        <f>SUM(M283)</f>
        <v>0</v>
      </c>
      <c r="N282" s="304">
        <f>SUM(N283)</f>
        <v>0</v>
      </c>
      <c r="O282" s="305">
        <f t="shared" si="23"/>
        <v>0</v>
      </c>
      <c r="P282" s="306"/>
      <c r="R282" s="53"/>
      <c r="S282" s="53"/>
      <c r="T282" s="53"/>
    </row>
    <row r="283" spans="1:20" hidden="1" x14ac:dyDescent="0.25">
      <c r="A283" s="141">
        <v>7720</v>
      </c>
      <c r="B283" s="142" t="s">
        <v>299</v>
      </c>
      <c r="C283" s="362">
        <f t="shared" si="18"/>
        <v>0</v>
      </c>
      <c r="D283" s="149"/>
      <c r="E283" s="686"/>
      <c r="F283" s="362">
        <f t="shared" si="19"/>
        <v>0</v>
      </c>
      <c r="G283" s="149"/>
      <c r="H283" s="150"/>
      <c r="I283" s="151">
        <f t="shared" si="20"/>
        <v>0</v>
      </c>
      <c r="J283" s="149"/>
      <c r="K283" s="150"/>
      <c r="L283" s="151">
        <f t="shared" si="21"/>
        <v>0</v>
      </c>
      <c r="M283" s="365"/>
      <c r="N283" s="363"/>
      <c r="O283" s="151">
        <f t="shared" si="23"/>
        <v>0</v>
      </c>
      <c r="P283" s="153"/>
      <c r="R283" s="53"/>
      <c r="S283" s="53"/>
      <c r="T283" s="53"/>
    </row>
    <row r="284" spans="1:20" hidden="1" x14ac:dyDescent="0.25">
      <c r="A284" s="366"/>
      <c r="B284" s="179" t="s">
        <v>300</v>
      </c>
      <c r="C284" s="117">
        <f t="shared" si="18"/>
        <v>0</v>
      </c>
      <c r="D284" s="255">
        <f>SUM(D285:D286)</f>
        <v>0</v>
      </c>
      <c r="E284" s="256">
        <f>SUM(E285:E286)</f>
        <v>0</v>
      </c>
      <c r="F284" s="257">
        <f t="shared" si="19"/>
        <v>0</v>
      </c>
      <c r="G284" s="255">
        <f>SUM(G285:G286)</f>
        <v>0</v>
      </c>
      <c r="H284" s="258">
        <f>SUM(H285:H286)</f>
        <v>0</v>
      </c>
      <c r="I284" s="259">
        <f t="shared" si="20"/>
        <v>0</v>
      </c>
      <c r="J284" s="255">
        <f>SUM(J285:J286)</f>
        <v>0</v>
      </c>
      <c r="K284" s="258">
        <f>SUM(K285:K286)</f>
        <v>0</v>
      </c>
      <c r="L284" s="259">
        <f t="shared" si="21"/>
        <v>0</v>
      </c>
      <c r="M284" s="260">
        <f>SUM(M285:M286)</f>
        <v>0</v>
      </c>
      <c r="N284" s="261">
        <f>SUM(N285:N286)</f>
        <v>0</v>
      </c>
      <c r="O284" s="259">
        <f t="shared" si="23"/>
        <v>0</v>
      </c>
      <c r="P284" s="189"/>
      <c r="R284" s="53"/>
      <c r="S284" s="53"/>
      <c r="T284" s="53"/>
    </row>
    <row r="285" spans="1:20" hidden="1" x14ac:dyDescent="0.25">
      <c r="A285" s="346" t="s">
        <v>301</v>
      </c>
      <c r="B285" s="76" t="s">
        <v>302</v>
      </c>
      <c r="C285" s="279">
        <f t="shared" si="18"/>
        <v>0</v>
      </c>
      <c r="D285" s="134"/>
      <c r="E285" s="283"/>
      <c r="F285" s="279">
        <f t="shared" si="19"/>
        <v>0</v>
      </c>
      <c r="G285" s="134"/>
      <c r="H285" s="135"/>
      <c r="I285" s="136">
        <f t="shared" si="20"/>
        <v>0</v>
      </c>
      <c r="J285" s="134"/>
      <c r="K285" s="135"/>
      <c r="L285" s="136">
        <f t="shared" si="21"/>
        <v>0</v>
      </c>
      <c r="M285" s="284"/>
      <c r="N285" s="285"/>
      <c r="O285" s="136">
        <f t="shared" si="23"/>
        <v>0</v>
      </c>
      <c r="P285" s="85"/>
      <c r="R285" s="53"/>
      <c r="S285" s="53"/>
      <c r="T285" s="53"/>
    </row>
    <row r="286" spans="1:20" ht="24" hidden="1" x14ac:dyDescent="0.25">
      <c r="A286" s="346" t="s">
        <v>303</v>
      </c>
      <c r="B286" s="367" t="s">
        <v>304</v>
      </c>
      <c r="C286" s="117">
        <f t="shared" si="18"/>
        <v>0</v>
      </c>
      <c r="D286" s="123"/>
      <c r="E286" s="295"/>
      <c r="F286" s="296">
        <f t="shared" si="19"/>
        <v>0</v>
      </c>
      <c r="G286" s="123"/>
      <c r="H286" s="124"/>
      <c r="I286" s="125">
        <f t="shared" si="20"/>
        <v>0</v>
      </c>
      <c r="J286" s="123"/>
      <c r="K286" s="124"/>
      <c r="L286" s="125">
        <f t="shared" si="21"/>
        <v>0</v>
      </c>
      <c r="M286" s="264"/>
      <c r="N286" s="262"/>
      <c r="O286" s="125">
        <f t="shared" si="23"/>
        <v>0</v>
      </c>
      <c r="P286" s="74"/>
      <c r="R286" s="53"/>
      <c r="S286" s="53"/>
      <c r="T286" s="53"/>
    </row>
    <row r="287" spans="1:20" x14ac:dyDescent="0.25">
      <c r="A287" s="368"/>
      <c r="B287" s="369" t="s">
        <v>305</v>
      </c>
      <c r="C287" s="370">
        <f t="shared" si="18"/>
        <v>980754</v>
      </c>
      <c r="D287" s="371">
        <f>SUM(D284,D271,D233,D198,D190,D176,D78,D56)</f>
        <v>477905</v>
      </c>
      <c r="E287" s="372">
        <f>SUM(E284,E271,E233,E198,E190,E176,E78,E56)</f>
        <v>0</v>
      </c>
      <c r="F287" s="373">
        <f t="shared" si="19"/>
        <v>477905</v>
      </c>
      <c r="G287" s="371">
        <f>SUM(G284,G271,G233,G198,G190,G176,G78,G56)</f>
        <v>489214</v>
      </c>
      <c r="H287" s="374">
        <f>SUM(H284,H271,H233,H198,H190,H176,H78,H56)</f>
        <v>0</v>
      </c>
      <c r="I287" s="375">
        <f t="shared" si="20"/>
        <v>489214</v>
      </c>
      <c r="J287" s="371">
        <f>SUM(J284,J271,J233,J198,J190,J176,J78,J56)</f>
        <v>13635</v>
      </c>
      <c r="K287" s="374">
        <f>SUM(K284,K271,K233,K198,K190,K176,K78,K56)</f>
        <v>0</v>
      </c>
      <c r="L287" s="375">
        <f t="shared" si="21"/>
        <v>13635</v>
      </c>
      <c r="M287" s="250">
        <f>SUM(M284,M271,M233,M198,M190,M176,M78,M56)</f>
        <v>0</v>
      </c>
      <c r="N287" s="251">
        <f>SUM(N284,N271,N233,N198,N190,N176,N78,N56)</f>
        <v>0</v>
      </c>
      <c r="O287" s="252">
        <f t="shared" si="23"/>
        <v>0</v>
      </c>
      <c r="P287" s="253"/>
      <c r="R287" s="53"/>
      <c r="S287" s="53"/>
      <c r="T287" s="53"/>
    </row>
    <row r="288" spans="1:20" x14ac:dyDescent="0.25">
      <c r="A288" s="376" t="s">
        <v>306</v>
      </c>
      <c r="B288" s="377"/>
      <c r="C288" s="378">
        <f t="shared" si="18"/>
        <v>-4743</v>
      </c>
      <c r="D288" s="379">
        <f>SUM(D28,D29,D45)-D54</f>
        <v>0</v>
      </c>
      <c r="E288" s="380">
        <f>SUM(E28,E29,E45)-E54</f>
        <v>0</v>
      </c>
      <c r="F288" s="381">
        <f t="shared" si="19"/>
        <v>0</v>
      </c>
      <c r="G288" s="379">
        <f>SUM(G28,G29,G45)-G54</f>
        <v>0</v>
      </c>
      <c r="H288" s="382">
        <f>SUM(H28,H29,H45)-H54</f>
        <v>0</v>
      </c>
      <c r="I288" s="383">
        <f t="shared" si="20"/>
        <v>0</v>
      </c>
      <c r="J288" s="379">
        <f>(J30+J46)-J54</f>
        <v>-4743</v>
      </c>
      <c r="K288" s="382">
        <f>(K30+K46)-K54</f>
        <v>0</v>
      </c>
      <c r="L288" s="383">
        <f t="shared" si="21"/>
        <v>-4743</v>
      </c>
      <c r="M288" s="378">
        <f>M48-M54</f>
        <v>0</v>
      </c>
      <c r="N288" s="384">
        <f>N48-N54</f>
        <v>0</v>
      </c>
      <c r="O288" s="383">
        <f t="shared" si="23"/>
        <v>0</v>
      </c>
      <c r="P288" s="385"/>
      <c r="R288" s="53"/>
      <c r="S288" s="53"/>
      <c r="T288" s="53"/>
    </row>
    <row r="289" spans="1:23" s="41" customFormat="1" x14ac:dyDescent="0.25">
      <c r="A289" s="376" t="s">
        <v>307</v>
      </c>
      <c r="B289" s="377"/>
      <c r="C289" s="380">
        <f t="shared" si="18"/>
        <v>4743</v>
      </c>
      <c r="D289" s="379">
        <f>SUM(D290,D291)-D298+D299</f>
        <v>0</v>
      </c>
      <c r="E289" s="380">
        <f>SUM(E290,E291)-E298+E299</f>
        <v>0</v>
      </c>
      <c r="F289" s="381">
        <f t="shared" si="19"/>
        <v>0</v>
      </c>
      <c r="G289" s="379">
        <f>SUM(G290,G291)-G298+G299</f>
        <v>0</v>
      </c>
      <c r="H289" s="382">
        <f>SUM(H290,H291)-H298+H299</f>
        <v>0</v>
      </c>
      <c r="I289" s="383">
        <f t="shared" si="20"/>
        <v>0</v>
      </c>
      <c r="J289" s="379">
        <f>SUM(J290,J291)-J298+J299</f>
        <v>4743</v>
      </c>
      <c r="K289" s="382">
        <f>SUM(K290,K291)-K298+K299</f>
        <v>0</v>
      </c>
      <c r="L289" s="383">
        <f t="shared" si="21"/>
        <v>4743</v>
      </c>
      <c r="M289" s="378">
        <f>SUM(M290,M291)-M298+M299</f>
        <v>0</v>
      </c>
      <c r="N289" s="384">
        <f>SUM(N290,N291)-N298+N299</f>
        <v>0</v>
      </c>
      <c r="O289" s="383">
        <f t="shared" si="23"/>
        <v>0</v>
      </c>
      <c r="P289" s="385"/>
      <c r="R289" s="53"/>
      <c r="S289" s="53"/>
      <c r="T289" s="53"/>
      <c r="U289" s="5"/>
      <c r="V289" s="5"/>
      <c r="W289" s="5"/>
    </row>
    <row r="290" spans="1:23" s="41" customFormat="1" x14ac:dyDescent="0.25">
      <c r="A290" s="386" t="s">
        <v>308</v>
      </c>
      <c r="B290" s="386" t="s">
        <v>309</v>
      </c>
      <c r="C290" s="380">
        <f t="shared" si="18"/>
        <v>4743</v>
      </c>
      <c r="D290" s="379">
        <f>D25-D284</f>
        <v>0</v>
      </c>
      <c r="E290" s="380">
        <f>E25-E284</f>
        <v>0</v>
      </c>
      <c r="F290" s="381">
        <f t="shared" si="19"/>
        <v>0</v>
      </c>
      <c r="G290" s="379">
        <f>G25-G284</f>
        <v>0</v>
      </c>
      <c r="H290" s="382">
        <f>H25-H284</f>
        <v>0</v>
      </c>
      <c r="I290" s="383">
        <f t="shared" si="20"/>
        <v>0</v>
      </c>
      <c r="J290" s="379">
        <f>J25-J284</f>
        <v>4743</v>
      </c>
      <c r="K290" s="382">
        <f>K25-K284</f>
        <v>0</v>
      </c>
      <c r="L290" s="383">
        <f t="shared" si="21"/>
        <v>4743</v>
      </c>
      <c r="M290" s="378">
        <f>M25-M284</f>
        <v>0</v>
      </c>
      <c r="N290" s="384">
        <f>N25-N284</f>
        <v>0</v>
      </c>
      <c r="O290" s="383">
        <f t="shared" si="23"/>
        <v>0</v>
      </c>
      <c r="P290" s="385"/>
      <c r="R290" s="53"/>
      <c r="S290" s="53"/>
      <c r="T290" s="53"/>
      <c r="U290" s="5"/>
      <c r="V290" s="5"/>
      <c r="W290" s="5"/>
    </row>
    <row r="291" spans="1:23" s="41" customFormat="1" hidden="1" x14ac:dyDescent="0.25">
      <c r="A291" s="387" t="s">
        <v>310</v>
      </c>
      <c r="B291" s="387" t="s">
        <v>311</v>
      </c>
      <c r="C291" s="380">
        <f t="shared" si="18"/>
        <v>0</v>
      </c>
      <c r="D291" s="379">
        <f>SUM(D292,D294,D296)-SUM(D293,D295,D297)</f>
        <v>0</v>
      </c>
      <c r="E291" s="380">
        <f>SUM(E292,E294,E296)-SUM(E293,E295,E297)</f>
        <v>0</v>
      </c>
      <c r="F291" s="381">
        <f t="shared" si="19"/>
        <v>0</v>
      </c>
      <c r="G291" s="379">
        <f>SUM(G292,G294,G296)-SUM(G293,G295,G297)</f>
        <v>0</v>
      </c>
      <c r="H291" s="382">
        <f>SUM(H292,H294,H296)-SUM(H293,H295,H297)</f>
        <v>0</v>
      </c>
      <c r="I291" s="383">
        <f t="shared" si="20"/>
        <v>0</v>
      </c>
      <c r="J291" s="379">
        <f>SUM(J292,J294,J296)-SUM(J293,J295,J297)</f>
        <v>0</v>
      </c>
      <c r="K291" s="382">
        <f>SUM(K292,K294,K296)-SUM(K293,K295,K297)</f>
        <v>0</v>
      </c>
      <c r="L291" s="383">
        <f t="shared" si="21"/>
        <v>0</v>
      </c>
      <c r="M291" s="378">
        <f>SUM(M292,M294,M296)-SUM(M293,M295,M297)</f>
        <v>0</v>
      </c>
      <c r="N291" s="384">
        <f>SUM(N292,N294,N296)-SUM(N293,N295,N297)</f>
        <v>0</v>
      </c>
      <c r="O291" s="383">
        <f t="shared" si="23"/>
        <v>0</v>
      </c>
      <c r="P291" s="385"/>
      <c r="R291" s="53"/>
      <c r="S291" s="53"/>
      <c r="T291" s="53"/>
      <c r="U291" s="5"/>
      <c r="V291" s="5"/>
      <c r="W291" s="5"/>
    </row>
    <row r="292" spans="1:23" s="41" customFormat="1" hidden="1" x14ac:dyDescent="0.25">
      <c r="A292" s="366" t="s">
        <v>312</v>
      </c>
      <c r="B292" s="190" t="s">
        <v>313</v>
      </c>
      <c r="C292" s="143">
        <f t="shared" si="18"/>
        <v>0</v>
      </c>
      <c r="D292" s="149"/>
      <c r="E292" s="686"/>
      <c r="F292" s="362">
        <f t="shared" si="19"/>
        <v>0</v>
      </c>
      <c r="G292" s="149"/>
      <c r="H292" s="150"/>
      <c r="I292" s="151">
        <f t="shared" si="20"/>
        <v>0</v>
      </c>
      <c r="J292" s="149"/>
      <c r="K292" s="150"/>
      <c r="L292" s="151">
        <f t="shared" si="21"/>
        <v>0</v>
      </c>
      <c r="M292" s="365"/>
      <c r="N292" s="363"/>
      <c r="O292" s="151">
        <f t="shared" si="23"/>
        <v>0</v>
      </c>
      <c r="P292" s="153"/>
      <c r="R292" s="53"/>
      <c r="S292" s="53"/>
      <c r="T292" s="53"/>
      <c r="U292" s="5"/>
      <c r="V292" s="5"/>
      <c r="W292" s="5"/>
    </row>
    <row r="293" spans="1:23" ht="24" hidden="1" x14ac:dyDescent="0.25">
      <c r="A293" s="346" t="s">
        <v>314</v>
      </c>
      <c r="B293" s="75" t="s">
        <v>315</v>
      </c>
      <c r="C293" s="128">
        <f t="shared" si="18"/>
        <v>0</v>
      </c>
      <c r="D293" s="134"/>
      <c r="E293" s="283"/>
      <c r="F293" s="279">
        <f t="shared" si="19"/>
        <v>0</v>
      </c>
      <c r="G293" s="134"/>
      <c r="H293" s="135"/>
      <c r="I293" s="136">
        <f t="shared" si="20"/>
        <v>0</v>
      </c>
      <c r="J293" s="134"/>
      <c r="K293" s="135"/>
      <c r="L293" s="136">
        <f t="shared" si="21"/>
        <v>0</v>
      </c>
      <c r="M293" s="284"/>
      <c r="N293" s="285"/>
      <c r="O293" s="136">
        <f t="shared" si="23"/>
        <v>0</v>
      </c>
      <c r="P293" s="85"/>
      <c r="R293" s="53"/>
      <c r="S293" s="53"/>
      <c r="T293" s="53"/>
    </row>
    <row r="294" spans="1:23" hidden="1" x14ac:dyDescent="0.25">
      <c r="A294" s="346" t="s">
        <v>316</v>
      </c>
      <c r="B294" s="75" t="s">
        <v>317</v>
      </c>
      <c r="C294" s="128">
        <f t="shared" si="18"/>
        <v>0</v>
      </c>
      <c r="D294" s="134"/>
      <c r="E294" s="283"/>
      <c r="F294" s="279">
        <f t="shared" si="19"/>
        <v>0</v>
      </c>
      <c r="G294" s="134"/>
      <c r="H294" s="135"/>
      <c r="I294" s="136">
        <f t="shared" si="20"/>
        <v>0</v>
      </c>
      <c r="J294" s="134"/>
      <c r="K294" s="135"/>
      <c r="L294" s="136">
        <f t="shared" si="21"/>
        <v>0</v>
      </c>
      <c r="M294" s="284"/>
      <c r="N294" s="285"/>
      <c r="O294" s="136">
        <f t="shared" si="23"/>
        <v>0</v>
      </c>
      <c r="P294" s="85"/>
      <c r="R294" s="53"/>
      <c r="S294" s="53"/>
      <c r="T294" s="53"/>
      <c r="U294" s="358"/>
      <c r="V294" s="358"/>
      <c r="W294" s="358"/>
    </row>
    <row r="295" spans="1:23" ht="24" hidden="1" x14ac:dyDescent="0.25">
      <c r="A295" s="346" t="s">
        <v>318</v>
      </c>
      <c r="B295" s="75" t="s">
        <v>319</v>
      </c>
      <c r="C295" s="128">
        <f t="shared" si="18"/>
        <v>0</v>
      </c>
      <c r="D295" s="134"/>
      <c r="E295" s="283"/>
      <c r="F295" s="279">
        <f t="shared" si="19"/>
        <v>0</v>
      </c>
      <c r="G295" s="134"/>
      <c r="H295" s="135"/>
      <c r="I295" s="136">
        <f t="shared" si="20"/>
        <v>0</v>
      </c>
      <c r="J295" s="134"/>
      <c r="K295" s="135"/>
      <c r="L295" s="136">
        <f t="shared" si="21"/>
        <v>0</v>
      </c>
      <c r="M295" s="284"/>
      <c r="N295" s="285"/>
      <c r="O295" s="136">
        <f t="shared" si="23"/>
        <v>0</v>
      </c>
      <c r="P295" s="85"/>
      <c r="R295" s="53"/>
      <c r="S295" s="53"/>
      <c r="T295" s="53"/>
      <c r="U295" s="358"/>
      <c r="V295" s="358"/>
      <c r="W295" s="358"/>
    </row>
    <row r="296" spans="1:23" hidden="1" x14ac:dyDescent="0.25">
      <c r="A296" s="346" t="s">
        <v>320</v>
      </c>
      <c r="B296" s="75" t="s">
        <v>321</v>
      </c>
      <c r="C296" s="128">
        <f t="shared" si="18"/>
        <v>0</v>
      </c>
      <c r="D296" s="134"/>
      <c r="E296" s="283"/>
      <c r="F296" s="279">
        <f t="shared" si="19"/>
        <v>0</v>
      </c>
      <c r="G296" s="134"/>
      <c r="H296" s="135"/>
      <c r="I296" s="136">
        <f t="shared" si="20"/>
        <v>0</v>
      </c>
      <c r="J296" s="134"/>
      <c r="K296" s="135"/>
      <c r="L296" s="136">
        <f t="shared" si="21"/>
        <v>0</v>
      </c>
      <c r="M296" s="284"/>
      <c r="N296" s="285"/>
      <c r="O296" s="136">
        <f t="shared" si="23"/>
        <v>0</v>
      </c>
      <c r="P296" s="85"/>
      <c r="R296" s="53"/>
      <c r="S296" s="53"/>
      <c r="T296" s="53"/>
      <c r="U296" s="358"/>
      <c r="V296" s="358"/>
      <c r="W296" s="358"/>
    </row>
    <row r="297" spans="1:23" ht="24" hidden="1" x14ac:dyDescent="0.25">
      <c r="A297" s="389" t="s">
        <v>322</v>
      </c>
      <c r="B297" s="390" t="s">
        <v>323</v>
      </c>
      <c r="C297" s="327">
        <f t="shared" si="18"/>
        <v>0</v>
      </c>
      <c r="D297" s="328"/>
      <c r="E297" s="683"/>
      <c r="F297" s="647">
        <f t="shared" si="19"/>
        <v>0</v>
      </c>
      <c r="G297" s="328"/>
      <c r="H297" s="331"/>
      <c r="I297" s="324">
        <f t="shared" si="20"/>
        <v>0</v>
      </c>
      <c r="J297" s="328"/>
      <c r="K297" s="331"/>
      <c r="L297" s="324">
        <f t="shared" si="21"/>
        <v>0</v>
      </c>
      <c r="M297" s="332"/>
      <c r="N297" s="329"/>
      <c r="O297" s="324">
        <f t="shared" si="23"/>
        <v>0</v>
      </c>
      <c r="P297" s="325"/>
      <c r="R297" s="53"/>
      <c r="S297" s="53"/>
      <c r="T297" s="53"/>
      <c r="U297" s="358"/>
      <c r="V297" s="358"/>
      <c r="W297" s="358"/>
    </row>
    <row r="298" spans="1:23" hidden="1" x14ac:dyDescent="0.25">
      <c r="A298" s="387" t="s">
        <v>324</v>
      </c>
      <c r="B298" s="387" t="s">
        <v>325</v>
      </c>
      <c r="C298" s="391">
        <f t="shared" si="18"/>
        <v>0</v>
      </c>
      <c r="D298" s="392"/>
      <c r="E298" s="687"/>
      <c r="F298" s="381">
        <f t="shared" si="19"/>
        <v>0</v>
      </c>
      <c r="G298" s="392"/>
      <c r="H298" s="394"/>
      <c r="I298" s="383">
        <f t="shared" si="20"/>
        <v>0</v>
      </c>
      <c r="J298" s="392"/>
      <c r="K298" s="394"/>
      <c r="L298" s="383">
        <f t="shared" si="21"/>
        <v>0</v>
      </c>
      <c r="M298" s="395"/>
      <c r="N298" s="393"/>
      <c r="O298" s="383">
        <f t="shared" si="23"/>
        <v>0</v>
      </c>
      <c r="P298" s="385"/>
      <c r="R298" s="53"/>
      <c r="S298" s="53"/>
      <c r="T298" s="53"/>
    </row>
    <row r="299" spans="1:23" s="41" customFormat="1" ht="48" hidden="1" x14ac:dyDescent="0.25">
      <c r="A299" s="387" t="s">
        <v>326</v>
      </c>
      <c r="B299" s="396" t="s">
        <v>327</v>
      </c>
      <c r="C299" s="397">
        <f t="shared" si="18"/>
        <v>0</v>
      </c>
      <c r="D299" s="398"/>
      <c r="E299" s="688"/>
      <c r="F299" s="651">
        <f t="shared" si="19"/>
        <v>0</v>
      </c>
      <c r="G299" s="392"/>
      <c r="H299" s="394"/>
      <c r="I299" s="383">
        <f t="shared" si="20"/>
        <v>0</v>
      </c>
      <c r="J299" s="392"/>
      <c r="K299" s="394"/>
      <c r="L299" s="383">
        <f t="shared" si="21"/>
        <v>0</v>
      </c>
      <c r="M299" s="395"/>
      <c r="N299" s="393"/>
      <c r="O299" s="383">
        <f t="shared" si="23"/>
        <v>0</v>
      </c>
      <c r="P299" s="910"/>
      <c r="Q299" s="32"/>
      <c r="R299" s="53"/>
      <c r="S299" s="53"/>
      <c r="T299" s="53"/>
      <c r="U299" s="5"/>
      <c r="V299" s="5"/>
      <c r="W299" s="5"/>
    </row>
    <row r="300" spans="1:23" s="41" customFormat="1" x14ac:dyDescent="0.25">
      <c r="A300" s="401" t="s">
        <v>328</v>
      </c>
      <c r="B300" s="402"/>
      <c r="C300" s="402"/>
      <c r="D300" s="402"/>
      <c r="E300" s="402"/>
      <c r="F300" s="402"/>
      <c r="G300" s="402"/>
      <c r="H300" s="402"/>
      <c r="I300" s="402"/>
      <c r="J300" s="402"/>
      <c r="K300" s="402"/>
      <c r="L300" s="402"/>
      <c r="M300" s="402"/>
      <c r="N300" s="402"/>
      <c r="O300" s="402"/>
      <c r="P300" s="402"/>
      <c r="Q300" s="32"/>
      <c r="R300" s="53"/>
      <c r="S300" s="53"/>
      <c r="T300" s="53"/>
    </row>
    <row r="301" spans="1:23" s="41" customFormat="1" x14ac:dyDescent="0.25">
      <c r="A301" s="721" t="s">
        <v>1080</v>
      </c>
      <c r="B301" s="722"/>
      <c r="C301" s="722"/>
      <c r="D301" s="722"/>
      <c r="E301" s="722"/>
      <c r="F301" s="722"/>
      <c r="G301" s="722"/>
      <c r="H301" s="722"/>
      <c r="I301" s="722"/>
      <c r="J301" s="722"/>
      <c r="K301" s="722"/>
      <c r="L301" s="722"/>
      <c r="M301" s="722"/>
      <c r="N301" s="722"/>
      <c r="O301" s="722"/>
      <c r="P301" s="722"/>
      <c r="Q301" s="32"/>
    </row>
    <row r="302" spans="1:23" ht="12.75" thickBot="1" x14ac:dyDescent="0.3">
      <c r="A302" s="404"/>
      <c r="B302" s="405"/>
      <c r="C302" s="405"/>
      <c r="D302" s="405"/>
      <c r="E302" s="405"/>
      <c r="F302" s="405"/>
      <c r="G302" s="405"/>
      <c r="H302" s="405"/>
      <c r="I302" s="405"/>
      <c r="J302" s="405"/>
      <c r="K302" s="405"/>
      <c r="L302" s="405"/>
      <c r="M302" s="405"/>
      <c r="N302" s="405"/>
      <c r="O302" s="405"/>
      <c r="P302" s="406"/>
      <c r="Q302" s="7"/>
    </row>
    <row r="303" spans="1:23" x14ac:dyDescent="0.25">
      <c r="A303" s="5"/>
      <c r="B303" s="5"/>
      <c r="C303" s="5"/>
      <c r="D303" s="5"/>
      <c r="E303" s="5"/>
      <c r="F303" s="5"/>
      <c r="G303" s="5"/>
      <c r="H303" s="5"/>
      <c r="I303" s="5"/>
      <c r="J303" s="5"/>
      <c r="K303" s="5"/>
      <c r="L303" s="5"/>
      <c r="M303" s="5"/>
      <c r="N303" s="5"/>
      <c r="O303" s="5"/>
    </row>
    <row r="304" spans="1:23"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row r="322" spans="1:15" x14ac:dyDescent="0.25">
      <c r="A322" s="5"/>
      <c r="B322" s="5"/>
      <c r="C322" s="5"/>
      <c r="D322" s="5"/>
      <c r="E322" s="5"/>
      <c r="F322" s="5"/>
      <c r="G322" s="5"/>
      <c r="H322" s="5"/>
      <c r="I322" s="5"/>
      <c r="J322" s="5"/>
      <c r="K322" s="5"/>
      <c r="L322" s="5"/>
      <c r="M322" s="5"/>
      <c r="N322" s="5"/>
      <c r="O322" s="5"/>
    </row>
  </sheetData>
  <sheetProtection algorithmName="SHA-512" hashValue="YPZsFtAiWr7pYbacm0vF9NYcxiWiZF0iwvpEEpdhCUEoLl7Gz5xl52cuibiVaCQ3m2ycyonv4+jJ4qiS+Tj4gA==" saltValue="5AJodusyHkJ/cAIm+covPw==" spinCount="100000" sheet="1" objects="1" scenarios="1" selectLockedCells="1" selectUnlockedCells="1"/>
  <autoFilter ref="A22:P301">
    <filterColumn colId="2">
      <filters blank="1">
        <filter val="1 037"/>
        <filter val="1 068"/>
        <filter val="1 154"/>
        <filter val="1 275"/>
        <filter val="1 672"/>
        <filter val="1 840"/>
        <filter val="1 865"/>
        <filter val="10 638"/>
        <filter val="100"/>
        <filter val="107 397"/>
        <filter val="118 729"/>
        <filter val="12 053"/>
        <filter val="14 441"/>
        <filter val="14 688"/>
        <filter val="146 433"/>
        <filter val="150"/>
        <filter val="150 963"/>
        <filter val="17 921"/>
        <filter val="175"/>
        <filter val="187 408"/>
        <filter val="2 181"/>
        <filter val="2 185"/>
        <filter val="2 269"/>
        <filter val="2 500"/>
        <filter val="2 682"/>
        <filter val="200"/>
        <filter val="22 180"/>
        <filter val="220"/>
        <filter val="25 219"/>
        <filter val="27 918"/>
        <filter val="288"/>
        <filter val="3 383"/>
        <filter val="3 599"/>
        <filter val="3 748"/>
        <filter val="30"/>
        <filter val="32 140"/>
        <filter val="32 353"/>
        <filter val="33 507"/>
        <filter val="4 531"/>
        <filter val="4 743"/>
        <filter val="-4 743"/>
        <filter val="40 975"/>
        <filter val="400"/>
        <filter val="5 347"/>
        <filter val="5 766"/>
        <filter val="50"/>
        <filter val="51 665"/>
        <filter val="515"/>
        <filter val="555 936"/>
        <filter val="58"/>
        <filter val="597"/>
        <filter val="60"/>
        <filter val="600"/>
        <filter val="608 876"/>
        <filter val="7 989"/>
        <filter val="75 556"/>
        <filter val="764"/>
        <filter val="796 284"/>
        <filter val="8 197"/>
        <filter val="8 798"/>
        <filter val="8 864"/>
        <filter val="8 892"/>
        <filter val="922"/>
        <filter val="94"/>
        <filter val="947 247"/>
        <filter val="967 119"/>
        <filter val="980 754"/>
      </filters>
    </filterColumn>
  </autoFilter>
  <mergeCells count="30">
    <mergeCell ref="B19:B21"/>
    <mergeCell ref="C19:O19"/>
    <mergeCell ref="P19:P21"/>
    <mergeCell ref="C20:C21"/>
    <mergeCell ref="D20:D21"/>
    <mergeCell ref="E20:E21"/>
    <mergeCell ref="F20:F21"/>
    <mergeCell ref="G20:G21"/>
    <mergeCell ref="N20:N21"/>
    <mergeCell ref="O20:O21"/>
    <mergeCell ref="H20:H21"/>
    <mergeCell ref="I20:I21"/>
    <mergeCell ref="J20:J21"/>
    <mergeCell ref="K20:K21"/>
    <mergeCell ref="L20:L21"/>
    <mergeCell ref="M20:M21"/>
    <mergeCell ref="C17:P17"/>
    <mergeCell ref="A4:P4"/>
    <mergeCell ref="C6:P6"/>
    <mergeCell ref="C7:P7"/>
    <mergeCell ref="C8:P8"/>
    <mergeCell ref="C9:P9"/>
    <mergeCell ref="C10:P10"/>
    <mergeCell ref="C11:P11"/>
    <mergeCell ref="C13:P13"/>
    <mergeCell ref="C14:P14"/>
    <mergeCell ref="C15:P15"/>
    <mergeCell ref="C16:P16"/>
    <mergeCell ref="C18:P18"/>
    <mergeCell ref="A19:A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90.pielikums Jūrmalas pilsētas domes
2017.gada 30.janvāra saistošajiem noteikumiem Nr.10
(Protokols Nr.4, 1.punkts)
 </firstHeader>
    <firstFooter>&amp;L&amp;9&amp;D; &amp;T&amp;R&amp;9&amp;P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1"/>
  <sheetViews>
    <sheetView view="pageLayout" zoomScaleNormal="90" workbookViewId="0">
      <selection activeCell="S13" sqref="S13"/>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1109</v>
      </c>
    </row>
    <row r="2" spans="1:17" x14ac:dyDescent="0.25">
      <c r="A2" s="6"/>
      <c r="B2" s="6"/>
      <c r="C2" s="6"/>
      <c r="D2" s="6"/>
      <c r="E2" s="6"/>
      <c r="F2" s="6"/>
      <c r="G2" s="6"/>
      <c r="H2" s="6"/>
      <c r="I2" s="6"/>
      <c r="J2" s="6"/>
      <c r="K2" s="6"/>
      <c r="L2" s="6"/>
      <c r="M2" s="6"/>
      <c r="N2" s="6"/>
      <c r="O2" s="6"/>
      <c r="P2" s="6"/>
    </row>
    <row r="3" spans="1:17" ht="6.75" customHeight="1" x14ac:dyDescent="0.25">
      <c r="A3" s="1557"/>
      <c r="B3" s="1558"/>
      <c r="C3" s="1558"/>
      <c r="D3" s="1558"/>
      <c r="E3" s="1558"/>
      <c r="F3" s="1558"/>
      <c r="G3" s="1558"/>
      <c r="H3" s="1558"/>
      <c r="I3" s="1558"/>
      <c r="J3" s="1558"/>
      <c r="K3" s="1558"/>
      <c r="L3" s="1558"/>
      <c r="M3" s="1558"/>
      <c r="N3" s="1558"/>
      <c r="O3" s="1558"/>
      <c r="P3" s="1559"/>
      <c r="Q3" s="7"/>
    </row>
    <row r="4" spans="1:17" ht="10.5" customHeight="1"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1110</v>
      </c>
      <c r="D6" s="1555"/>
      <c r="E6" s="1555"/>
      <c r="F6" s="1555"/>
      <c r="G6" s="1555"/>
      <c r="H6" s="1555"/>
      <c r="I6" s="1555"/>
      <c r="J6" s="1555"/>
      <c r="K6" s="1555"/>
      <c r="L6" s="1555"/>
      <c r="M6" s="1555"/>
      <c r="N6" s="1555"/>
      <c r="O6" s="1555"/>
      <c r="P6" s="1556"/>
      <c r="Q6" s="7"/>
    </row>
    <row r="7" spans="1:17" ht="12.75" x14ac:dyDescent="0.25">
      <c r="A7" s="13" t="s">
        <v>4</v>
      </c>
      <c r="B7" s="14"/>
      <c r="C7" s="1555" t="s">
        <v>1111</v>
      </c>
      <c r="D7" s="1555"/>
      <c r="E7" s="1555"/>
      <c r="F7" s="1555"/>
      <c r="G7" s="1555"/>
      <c r="H7" s="1555"/>
      <c r="I7" s="1555"/>
      <c r="J7" s="1555"/>
      <c r="K7" s="1555"/>
      <c r="L7" s="1555"/>
      <c r="M7" s="1555"/>
      <c r="N7" s="1555"/>
      <c r="O7" s="1555"/>
      <c r="P7" s="1556"/>
      <c r="Q7" s="7"/>
    </row>
    <row r="8" spans="1:17" x14ac:dyDescent="0.25">
      <c r="A8" s="8" t="s">
        <v>6</v>
      </c>
      <c r="B8" s="9"/>
      <c r="C8" s="1553" t="s">
        <v>1112</v>
      </c>
      <c r="D8" s="1553"/>
      <c r="E8" s="1553"/>
      <c r="F8" s="1553"/>
      <c r="G8" s="1553"/>
      <c r="H8" s="1553"/>
      <c r="I8" s="1553"/>
      <c r="J8" s="1553"/>
      <c r="K8" s="1553"/>
      <c r="L8" s="1553"/>
      <c r="M8" s="1553"/>
      <c r="N8" s="1553"/>
      <c r="O8" s="1553"/>
      <c r="P8" s="1554"/>
      <c r="Q8" s="7"/>
    </row>
    <row r="9" spans="1:17" x14ac:dyDescent="0.25">
      <c r="A9" s="8" t="s">
        <v>8</v>
      </c>
      <c r="B9" s="9"/>
      <c r="C9" s="1553" t="s">
        <v>9</v>
      </c>
      <c r="D9" s="1553"/>
      <c r="E9" s="1553"/>
      <c r="F9" s="1553"/>
      <c r="G9" s="1553"/>
      <c r="H9" s="1553"/>
      <c r="I9" s="1553"/>
      <c r="J9" s="1553"/>
      <c r="K9" s="1553"/>
      <c r="L9" s="1553"/>
      <c r="M9" s="1553"/>
      <c r="N9" s="1553"/>
      <c r="O9" s="1553"/>
      <c r="P9" s="1554"/>
      <c r="Q9" s="7"/>
    </row>
    <row r="10" spans="1:17" ht="24.75" customHeight="1" x14ac:dyDescent="0.25">
      <c r="A10" s="8" t="s">
        <v>10</v>
      </c>
      <c r="B10" s="9"/>
      <c r="C10" s="1555" t="s">
        <v>11</v>
      </c>
      <c r="D10" s="1555"/>
      <c r="E10" s="1555"/>
      <c r="F10" s="1555"/>
      <c r="G10" s="1555"/>
      <c r="H10" s="1555"/>
      <c r="I10" s="1555"/>
      <c r="J10" s="1555"/>
      <c r="K10" s="1555"/>
      <c r="L10" s="1555"/>
      <c r="M10" s="1555"/>
      <c r="N10" s="1555"/>
      <c r="O10" s="1555"/>
      <c r="P10" s="1556"/>
      <c r="Q10" s="7"/>
    </row>
    <row r="11" spans="1:17" x14ac:dyDescent="0.25">
      <c r="A11" s="8" t="s">
        <v>12</v>
      </c>
      <c r="B11" s="9"/>
      <c r="C11" s="1555" t="s">
        <v>13</v>
      </c>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1113</v>
      </c>
      <c r="D13" s="1553"/>
      <c r="E13" s="1553"/>
      <c r="F13" s="1553"/>
      <c r="G13" s="1553"/>
      <c r="H13" s="1553"/>
      <c r="I13" s="1553"/>
      <c r="J13" s="1553"/>
      <c r="K13" s="1553"/>
      <c r="L13" s="1553"/>
      <c r="M13" s="1553"/>
      <c r="N13" s="1553"/>
      <c r="O13" s="1553"/>
      <c r="P13" s="1554"/>
      <c r="Q13" s="7"/>
    </row>
    <row r="14" spans="1:17" x14ac:dyDescent="0.25">
      <c r="A14" s="8"/>
      <c r="B14" s="9" t="s">
        <v>17</v>
      </c>
      <c r="C14" s="1553" t="s">
        <v>1114</v>
      </c>
      <c r="D14" s="1553"/>
      <c r="E14" s="1553"/>
      <c r="F14" s="1553"/>
      <c r="G14" s="1553"/>
      <c r="H14" s="1553"/>
      <c r="I14" s="1553"/>
      <c r="J14" s="1553"/>
      <c r="K14" s="1553"/>
      <c r="L14" s="1553"/>
      <c r="M14" s="1553"/>
      <c r="N14" s="1553"/>
      <c r="O14" s="1553"/>
      <c r="P14" s="1554"/>
      <c r="Q14" s="7"/>
    </row>
    <row r="15" spans="1:17" x14ac:dyDescent="0.25">
      <c r="A15" s="8"/>
      <c r="B15" s="9" t="s">
        <v>19</v>
      </c>
      <c r="C15" s="1553"/>
      <c r="D15" s="1553"/>
      <c r="E15" s="1553"/>
      <c r="F15" s="1553"/>
      <c r="G15" s="1553"/>
      <c r="H15" s="1553"/>
      <c r="I15" s="1553"/>
      <c r="J15" s="1553"/>
      <c r="K15" s="1553"/>
      <c r="L15" s="1553"/>
      <c r="M15" s="1553"/>
      <c r="N15" s="1553"/>
      <c r="O15" s="1553"/>
      <c r="P15" s="1554"/>
      <c r="Q15" s="7"/>
    </row>
    <row r="16" spans="1:17" x14ac:dyDescent="0.25">
      <c r="A16" s="8"/>
      <c r="B16" s="9" t="s">
        <v>20</v>
      </c>
      <c r="C16" s="1553" t="s">
        <v>1115</v>
      </c>
      <c r="D16" s="1553"/>
      <c r="E16" s="1553"/>
      <c r="F16" s="1553"/>
      <c r="G16" s="1553"/>
      <c r="H16" s="1553"/>
      <c r="I16" s="1553"/>
      <c r="J16" s="1553"/>
      <c r="K16" s="1553"/>
      <c r="L16" s="1553"/>
      <c r="M16" s="1553"/>
      <c r="N16" s="1553"/>
      <c r="O16" s="1553"/>
      <c r="P16" s="1554"/>
      <c r="Q16" s="7"/>
    </row>
    <row r="17" spans="1:20" x14ac:dyDescent="0.25">
      <c r="A17" s="8"/>
      <c r="B17" s="9" t="s">
        <v>22</v>
      </c>
      <c r="C17" s="1553"/>
      <c r="D17" s="1553"/>
      <c r="E17" s="1553"/>
      <c r="F17" s="1553"/>
      <c r="G17" s="1553"/>
      <c r="H17" s="1553"/>
      <c r="I17" s="1553"/>
      <c r="J17" s="1553"/>
      <c r="K17" s="1553"/>
      <c r="L17" s="1553"/>
      <c r="M17" s="1553"/>
      <c r="N17" s="1553"/>
      <c r="O17" s="1553"/>
      <c r="P17" s="1554"/>
      <c r="Q17" s="7"/>
    </row>
    <row r="18" spans="1:20" x14ac:dyDescent="0.25">
      <c r="A18" s="18"/>
      <c r="B18" s="19"/>
      <c r="C18" s="1569"/>
      <c r="D18" s="1569"/>
      <c r="E18" s="1569"/>
      <c r="F18" s="1569"/>
      <c r="G18" s="1569"/>
      <c r="H18" s="1569"/>
      <c r="I18" s="1569"/>
      <c r="J18" s="1569"/>
      <c r="K18" s="1569"/>
      <c r="L18" s="1569"/>
      <c r="M18" s="1569"/>
      <c r="N18" s="1569"/>
      <c r="O18" s="1569"/>
      <c r="P18" s="1570"/>
      <c r="Q18" s="7"/>
    </row>
    <row r="19" spans="1:20"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0"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20" s="21" customFormat="1" ht="66" customHeight="1" thickBot="1" x14ac:dyDescent="0.3">
      <c r="A21" s="1573"/>
      <c r="B21" s="1576"/>
      <c r="C21" s="1581"/>
      <c r="D21" s="1566"/>
      <c r="E21" s="1568"/>
      <c r="F21" s="1564"/>
      <c r="G21" s="1566"/>
      <c r="H21" s="1568"/>
      <c r="I21" s="1564"/>
      <c r="J21" s="1566"/>
      <c r="K21" s="1568"/>
      <c r="L21" s="1564"/>
      <c r="M21" s="1566"/>
      <c r="N21" s="1568"/>
      <c r="O21" s="1564"/>
      <c r="P21" s="1576"/>
    </row>
    <row r="22" spans="1:20"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0" s="41" customFormat="1" x14ac:dyDescent="0.25">
      <c r="A23" s="30"/>
      <c r="B23" s="31" t="s">
        <v>41</v>
      </c>
      <c r="C23" s="32"/>
      <c r="D23" s="33"/>
      <c r="E23" s="34"/>
      <c r="F23" s="35"/>
      <c r="G23" s="33"/>
      <c r="H23" s="36"/>
      <c r="I23" s="37"/>
      <c r="J23" s="33"/>
      <c r="K23" s="38"/>
      <c r="L23" s="37"/>
      <c r="M23" s="38"/>
      <c r="N23" s="39"/>
      <c r="O23" s="37"/>
      <c r="P23" s="40"/>
    </row>
    <row r="24" spans="1:20" s="41" customFormat="1" ht="12.75" thickBot="1" x14ac:dyDescent="0.3">
      <c r="A24" s="42"/>
      <c r="B24" s="43" t="s">
        <v>42</v>
      </c>
      <c r="C24" s="44">
        <f>F24+I24+L24+O24</f>
        <v>308240</v>
      </c>
      <c r="D24" s="45">
        <f>SUM(D25,D28,D29,D45,D46)</f>
        <v>291258</v>
      </c>
      <c r="E24" s="46">
        <f>SUM(E25,E28,E29,E45,E46)</f>
        <v>0</v>
      </c>
      <c r="F24" s="47">
        <f t="shared" ref="F24:F29" si="0">D24+E24</f>
        <v>291258</v>
      </c>
      <c r="G24" s="45">
        <f>SUM(G25,G28,G46)</f>
        <v>15543</v>
      </c>
      <c r="H24" s="48">
        <f>SUM(H25,H28,H46)</f>
        <v>0</v>
      </c>
      <c r="I24" s="49">
        <f>G24+H24</f>
        <v>15543</v>
      </c>
      <c r="J24" s="45">
        <f>SUM(J25,J30,J46)</f>
        <v>1439</v>
      </c>
      <c r="K24" s="48">
        <f>SUM(K25,K30,K46)</f>
        <v>0</v>
      </c>
      <c r="L24" s="49">
        <f>J24+K24</f>
        <v>1439</v>
      </c>
      <c r="M24" s="50">
        <f>SUM(M25,M48)</f>
        <v>0</v>
      </c>
      <c r="N24" s="51">
        <f>SUM(N25,N48)</f>
        <v>0</v>
      </c>
      <c r="O24" s="49">
        <f>M24+N24</f>
        <v>0</v>
      </c>
      <c r="P24" s="52"/>
      <c r="R24" s="53"/>
      <c r="S24" s="53"/>
      <c r="T24" s="53"/>
    </row>
    <row r="25" spans="1:20" ht="12.75" thickTop="1" x14ac:dyDescent="0.25">
      <c r="A25" s="54"/>
      <c r="B25" s="55" t="s">
        <v>43</v>
      </c>
      <c r="C25" s="56">
        <f>F25+I25+L25+O25</f>
        <v>86</v>
      </c>
      <c r="D25" s="57">
        <f>SUM(D26:D27)</f>
        <v>0</v>
      </c>
      <c r="E25" s="58">
        <f>SUM(E26:E27)</f>
        <v>0</v>
      </c>
      <c r="F25" s="59">
        <f t="shared" si="0"/>
        <v>0</v>
      </c>
      <c r="G25" s="57">
        <f>SUM(G26:G27)</f>
        <v>0</v>
      </c>
      <c r="H25" s="60">
        <f>SUM(H26:H27)</f>
        <v>0</v>
      </c>
      <c r="I25" s="61">
        <f>G25+H25</f>
        <v>0</v>
      </c>
      <c r="J25" s="57">
        <f>SUM(J26:J27)</f>
        <v>86</v>
      </c>
      <c r="K25" s="60">
        <f>SUM(K26:K27)</f>
        <v>0</v>
      </c>
      <c r="L25" s="61">
        <f>J25+K25</f>
        <v>86</v>
      </c>
      <c r="M25" s="62">
        <f>SUM(M26:M27)</f>
        <v>0</v>
      </c>
      <c r="N25" s="63">
        <f>SUM(N26:N27)</f>
        <v>0</v>
      </c>
      <c r="O25" s="61">
        <f>M25+N25</f>
        <v>0</v>
      </c>
      <c r="P25" s="64"/>
      <c r="R25" s="53"/>
      <c r="S25" s="53"/>
      <c r="T25" s="53"/>
    </row>
    <row r="26" spans="1:20" hidden="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c r="R26" s="53"/>
      <c r="S26" s="53"/>
      <c r="T26" s="53"/>
    </row>
    <row r="27" spans="1:20" x14ac:dyDescent="0.25">
      <c r="A27" s="75"/>
      <c r="B27" s="76" t="s">
        <v>45</v>
      </c>
      <c r="C27" s="77">
        <f>F27+I27+L27+O27</f>
        <v>86</v>
      </c>
      <c r="D27" s="78"/>
      <c r="E27" s="79"/>
      <c r="F27" s="80">
        <f t="shared" si="0"/>
        <v>0</v>
      </c>
      <c r="G27" s="78"/>
      <c r="H27" s="81"/>
      <c r="I27" s="82">
        <f>G27+H27</f>
        <v>0</v>
      </c>
      <c r="J27" s="78">
        <v>86</v>
      </c>
      <c r="K27" s="81"/>
      <c r="L27" s="82">
        <f>J27+K27</f>
        <v>86</v>
      </c>
      <c r="M27" s="83"/>
      <c r="N27" s="84"/>
      <c r="O27" s="82">
        <f>M27+N27</f>
        <v>0</v>
      </c>
      <c r="P27" s="85"/>
      <c r="R27" s="53"/>
      <c r="S27" s="53"/>
      <c r="T27" s="53"/>
    </row>
    <row r="28" spans="1:20" s="41" customFormat="1" ht="24.75" thickBot="1" x14ac:dyDescent="0.3">
      <c r="A28" s="86">
        <v>19300</v>
      </c>
      <c r="B28" s="86" t="s">
        <v>46</v>
      </c>
      <c r="C28" s="87">
        <f>SUM(F28,I28)</f>
        <v>306801</v>
      </c>
      <c r="D28" s="88">
        <v>291258</v>
      </c>
      <c r="E28" s="89"/>
      <c r="F28" s="90">
        <f t="shared" si="0"/>
        <v>291258</v>
      </c>
      <c r="G28" s="88">
        <v>15543</v>
      </c>
      <c r="H28" s="91"/>
      <c r="I28" s="92">
        <f>G28+H28</f>
        <v>15543</v>
      </c>
      <c r="J28" s="93" t="s">
        <v>47</v>
      </c>
      <c r="K28" s="94" t="s">
        <v>47</v>
      </c>
      <c r="L28" s="95" t="s">
        <v>47</v>
      </c>
      <c r="M28" s="96" t="s">
        <v>47</v>
      </c>
      <c r="N28" s="97" t="s">
        <v>47</v>
      </c>
      <c r="O28" s="95" t="s">
        <v>47</v>
      </c>
      <c r="P28" s="98"/>
      <c r="R28" s="53"/>
      <c r="S28" s="53"/>
      <c r="T28" s="53"/>
    </row>
    <row r="29" spans="1:20" s="41" customFormat="1" ht="24.75" hidden="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c r="R29" s="53"/>
      <c r="S29" s="53"/>
      <c r="T29" s="53"/>
    </row>
    <row r="30" spans="1:20" s="41" customFormat="1" ht="36.75" thickTop="1" x14ac:dyDescent="0.25">
      <c r="A30" s="99">
        <v>21300</v>
      </c>
      <c r="B30" s="99" t="s">
        <v>49</v>
      </c>
      <c r="C30" s="100">
        <f t="shared" ref="C30:C44" si="1">L30</f>
        <v>1353</v>
      </c>
      <c r="D30" s="104" t="s">
        <v>47</v>
      </c>
      <c r="E30" s="110" t="s">
        <v>47</v>
      </c>
      <c r="F30" s="111" t="s">
        <v>47</v>
      </c>
      <c r="G30" s="104" t="s">
        <v>47</v>
      </c>
      <c r="H30" s="105" t="s">
        <v>47</v>
      </c>
      <c r="I30" s="106" t="s">
        <v>47</v>
      </c>
      <c r="J30" s="112">
        <f>SUM(J31,J35,J37,J40)</f>
        <v>1353</v>
      </c>
      <c r="K30" s="113">
        <f>SUM(K31,K35,K37,K40)</f>
        <v>0</v>
      </c>
      <c r="L30" s="114">
        <f t="shared" ref="L30:L44" si="2">J30+K30</f>
        <v>1353</v>
      </c>
      <c r="M30" s="107" t="s">
        <v>47</v>
      </c>
      <c r="N30" s="108" t="s">
        <v>47</v>
      </c>
      <c r="O30" s="106" t="s">
        <v>47</v>
      </c>
      <c r="P30" s="109"/>
      <c r="R30" s="53"/>
      <c r="S30" s="53"/>
      <c r="T30" s="53"/>
    </row>
    <row r="31" spans="1:20" s="41" customFormat="1" ht="24" hidden="1" x14ac:dyDescent="0.25">
      <c r="A31" s="115">
        <v>21350</v>
      </c>
      <c r="B31" s="99" t="s">
        <v>50</v>
      </c>
      <c r="C31" s="100">
        <f t="shared" si="1"/>
        <v>0</v>
      </c>
      <c r="D31" s="104" t="s">
        <v>47</v>
      </c>
      <c r="E31" s="108" t="s">
        <v>47</v>
      </c>
      <c r="F31" s="140" t="s">
        <v>47</v>
      </c>
      <c r="G31" s="104" t="s">
        <v>47</v>
      </c>
      <c r="H31" s="105" t="s">
        <v>47</v>
      </c>
      <c r="I31" s="106" t="s">
        <v>47</v>
      </c>
      <c r="J31" s="112">
        <f>SUM(J32:J34)</f>
        <v>0</v>
      </c>
      <c r="K31" s="113">
        <f>SUM(K32:K34)</f>
        <v>0</v>
      </c>
      <c r="L31" s="114">
        <f t="shared" si="2"/>
        <v>0</v>
      </c>
      <c r="M31" s="107" t="s">
        <v>47</v>
      </c>
      <c r="N31" s="108" t="s">
        <v>47</v>
      </c>
      <c r="O31" s="106" t="s">
        <v>47</v>
      </c>
      <c r="P31" s="109"/>
      <c r="R31" s="53"/>
      <c r="S31" s="53"/>
      <c r="T31" s="53"/>
    </row>
    <row r="32" spans="1:20" hidden="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c r="R32" s="53"/>
      <c r="S32" s="53"/>
      <c r="T32" s="53"/>
    </row>
    <row r="33" spans="1:20" hidden="1" x14ac:dyDescent="0.25">
      <c r="A33" s="75">
        <v>21352</v>
      </c>
      <c r="B33" s="127" t="s">
        <v>52</v>
      </c>
      <c r="C33" s="128">
        <f t="shared" si="1"/>
        <v>0</v>
      </c>
      <c r="D33" s="129" t="s">
        <v>47</v>
      </c>
      <c r="E33" s="138" t="s">
        <v>47</v>
      </c>
      <c r="F33" s="139" t="s">
        <v>47</v>
      </c>
      <c r="G33" s="129" t="s">
        <v>47</v>
      </c>
      <c r="H33" s="132" t="s">
        <v>47</v>
      </c>
      <c r="I33" s="133" t="s">
        <v>47</v>
      </c>
      <c r="J33" s="134"/>
      <c r="K33" s="135"/>
      <c r="L33" s="136">
        <f t="shared" si="2"/>
        <v>0</v>
      </c>
      <c r="M33" s="137" t="s">
        <v>47</v>
      </c>
      <c r="N33" s="138" t="s">
        <v>47</v>
      </c>
      <c r="O33" s="133" t="s">
        <v>47</v>
      </c>
      <c r="P33" s="85"/>
      <c r="R33" s="53"/>
      <c r="S33" s="53"/>
      <c r="T33" s="53"/>
    </row>
    <row r="34" spans="1:20" ht="24" hidden="1" x14ac:dyDescent="0.25">
      <c r="A34" s="75">
        <v>21359</v>
      </c>
      <c r="B34" s="127" t="s">
        <v>53</v>
      </c>
      <c r="C34" s="128">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c r="R34" s="53"/>
      <c r="S34" s="53"/>
      <c r="T34" s="53"/>
    </row>
    <row r="35" spans="1:20" s="41" customFormat="1" ht="36" hidden="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c r="R35" s="53"/>
      <c r="S35" s="53"/>
      <c r="T35" s="53"/>
    </row>
    <row r="36" spans="1:20" ht="36" hidden="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c r="R36" s="53"/>
      <c r="S36" s="53"/>
      <c r="T36" s="53"/>
    </row>
    <row r="37" spans="1:20" s="41" customFormat="1" hidden="1" x14ac:dyDescent="0.25">
      <c r="A37" s="115">
        <v>21380</v>
      </c>
      <c r="B37" s="99" t="s">
        <v>56</v>
      </c>
      <c r="C37" s="100">
        <f t="shared" si="1"/>
        <v>0</v>
      </c>
      <c r="D37" s="104" t="s">
        <v>47</v>
      </c>
      <c r="E37" s="108" t="s">
        <v>47</v>
      </c>
      <c r="F37" s="140" t="s">
        <v>47</v>
      </c>
      <c r="G37" s="104" t="s">
        <v>47</v>
      </c>
      <c r="H37" s="105" t="s">
        <v>47</v>
      </c>
      <c r="I37" s="106" t="s">
        <v>47</v>
      </c>
      <c r="J37" s="112">
        <f>SUM(J38:J39)</f>
        <v>0</v>
      </c>
      <c r="K37" s="113">
        <f>SUM(K38:K39)</f>
        <v>0</v>
      </c>
      <c r="L37" s="114">
        <f t="shared" si="2"/>
        <v>0</v>
      </c>
      <c r="M37" s="107" t="s">
        <v>47</v>
      </c>
      <c r="N37" s="108" t="s">
        <v>47</v>
      </c>
      <c r="O37" s="106" t="s">
        <v>47</v>
      </c>
      <c r="P37" s="109"/>
      <c r="R37" s="53"/>
      <c r="S37" s="53"/>
      <c r="T37" s="53"/>
    </row>
    <row r="38" spans="1:20" hidden="1" x14ac:dyDescent="0.25">
      <c r="A38" s="66">
        <v>21381</v>
      </c>
      <c r="B38" s="116" t="s">
        <v>57</v>
      </c>
      <c r="C38" s="117">
        <f t="shared" si="1"/>
        <v>0</v>
      </c>
      <c r="D38" s="118" t="s">
        <v>47</v>
      </c>
      <c r="E38" s="119" t="s">
        <v>47</v>
      </c>
      <c r="F38" s="120" t="s">
        <v>47</v>
      </c>
      <c r="G38" s="118" t="s">
        <v>47</v>
      </c>
      <c r="H38" s="121" t="s">
        <v>47</v>
      </c>
      <c r="I38" s="122" t="s">
        <v>47</v>
      </c>
      <c r="J38" s="123"/>
      <c r="K38" s="124"/>
      <c r="L38" s="125">
        <f t="shared" si="2"/>
        <v>0</v>
      </c>
      <c r="M38" s="126" t="s">
        <v>47</v>
      </c>
      <c r="N38" s="119" t="s">
        <v>47</v>
      </c>
      <c r="O38" s="122" t="s">
        <v>47</v>
      </c>
      <c r="P38" s="74"/>
      <c r="R38" s="53"/>
      <c r="S38" s="53"/>
      <c r="T38" s="53"/>
    </row>
    <row r="39" spans="1:20" ht="24" hidden="1" x14ac:dyDescent="0.25">
      <c r="A39" s="76">
        <v>21383</v>
      </c>
      <c r="B39" s="127" t="s">
        <v>58</v>
      </c>
      <c r="C39" s="128">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c r="R39" s="53"/>
      <c r="S39" s="53"/>
      <c r="T39" s="53"/>
    </row>
    <row r="40" spans="1:20" s="41" customFormat="1" ht="24" x14ac:dyDescent="0.25">
      <c r="A40" s="115">
        <v>21390</v>
      </c>
      <c r="B40" s="99" t="s">
        <v>59</v>
      </c>
      <c r="C40" s="100">
        <f t="shared" si="1"/>
        <v>1353</v>
      </c>
      <c r="D40" s="104" t="s">
        <v>47</v>
      </c>
      <c r="E40" s="110" t="s">
        <v>47</v>
      </c>
      <c r="F40" s="111" t="s">
        <v>47</v>
      </c>
      <c r="G40" s="104" t="s">
        <v>47</v>
      </c>
      <c r="H40" s="105" t="s">
        <v>47</v>
      </c>
      <c r="I40" s="106" t="s">
        <v>47</v>
      </c>
      <c r="J40" s="112">
        <f>SUM(J41:J44)</f>
        <v>1353</v>
      </c>
      <c r="K40" s="113">
        <f>SUM(K41:K44)</f>
        <v>0</v>
      </c>
      <c r="L40" s="114">
        <f t="shared" si="2"/>
        <v>1353</v>
      </c>
      <c r="M40" s="107" t="s">
        <v>47</v>
      </c>
      <c r="N40" s="108" t="s">
        <v>47</v>
      </c>
      <c r="O40" s="106" t="s">
        <v>47</v>
      </c>
      <c r="P40" s="109"/>
      <c r="R40" s="53"/>
      <c r="S40" s="53"/>
      <c r="T40" s="53"/>
    </row>
    <row r="41" spans="1:20" ht="24" hidden="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c r="R41" s="53"/>
      <c r="S41" s="53"/>
      <c r="T41" s="53"/>
    </row>
    <row r="42" spans="1:20" hidden="1" x14ac:dyDescent="0.25">
      <c r="A42" s="76">
        <v>21393</v>
      </c>
      <c r="B42" s="127" t="s">
        <v>61</v>
      </c>
      <c r="C42" s="128">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c r="R42" s="53"/>
      <c r="S42" s="53"/>
      <c r="T42" s="53"/>
    </row>
    <row r="43" spans="1:20" hidden="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c r="R43" s="53"/>
      <c r="S43" s="53"/>
      <c r="T43" s="53"/>
    </row>
    <row r="44" spans="1:20" ht="24" x14ac:dyDescent="0.25">
      <c r="A44" s="76">
        <v>21399</v>
      </c>
      <c r="B44" s="127" t="s">
        <v>63</v>
      </c>
      <c r="C44" s="128">
        <f t="shared" si="1"/>
        <v>1353</v>
      </c>
      <c r="D44" s="129" t="s">
        <v>47</v>
      </c>
      <c r="E44" s="130" t="s">
        <v>47</v>
      </c>
      <c r="F44" s="131" t="s">
        <v>47</v>
      </c>
      <c r="G44" s="129" t="s">
        <v>47</v>
      </c>
      <c r="H44" s="132" t="s">
        <v>47</v>
      </c>
      <c r="I44" s="133" t="s">
        <v>47</v>
      </c>
      <c r="J44" s="134">
        <v>1353</v>
      </c>
      <c r="K44" s="135"/>
      <c r="L44" s="136">
        <f t="shared" si="2"/>
        <v>1353</v>
      </c>
      <c r="M44" s="137" t="s">
        <v>47</v>
      </c>
      <c r="N44" s="138" t="s">
        <v>47</v>
      </c>
      <c r="O44" s="133" t="s">
        <v>47</v>
      </c>
      <c r="P44" s="85"/>
      <c r="R44" s="53"/>
      <c r="S44" s="53"/>
      <c r="T44" s="53"/>
    </row>
    <row r="45" spans="1:20" s="41" customFormat="1" ht="24" hidden="1" x14ac:dyDescent="0.25">
      <c r="A45" s="115">
        <v>21420</v>
      </c>
      <c r="B45" s="99" t="s">
        <v>64</v>
      </c>
      <c r="C45" s="156">
        <f>F45</f>
        <v>0</v>
      </c>
      <c r="D45" s="157"/>
      <c r="E45" s="158"/>
      <c r="F45" s="103">
        <f>D45+E45</f>
        <v>0</v>
      </c>
      <c r="G45" s="104" t="s">
        <v>47</v>
      </c>
      <c r="H45" s="105" t="s">
        <v>47</v>
      </c>
      <c r="I45" s="106" t="s">
        <v>47</v>
      </c>
      <c r="J45" s="104" t="s">
        <v>47</v>
      </c>
      <c r="K45" s="105" t="s">
        <v>47</v>
      </c>
      <c r="L45" s="106" t="s">
        <v>47</v>
      </c>
      <c r="M45" s="107" t="s">
        <v>47</v>
      </c>
      <c r="N45" s="108" t="s">
        <v>47</v>
      </c>
      <c r="O45" s="106" t="s">
        <v>47</v>
      </c>
      <c r="P45" s="109"/>
      <c r="R45" s="53"/>
      <c r="S45" s="53"/>
      <c r="T45" s="53"/>
    </row>
    <row r="46" spans="1:20" s="41" customFormat="1" ht="24" hidden="1" x14ac:dyDescent="0.25">
      <c r="A46" s="159">
        <v>21490</v>
      </c>
      <c r="B46" s="160" t="s">
        <v>65</v>
      </c>
      <c r="C46" s="156">
        <f>F46+I46+L46</f>
        <v>0</v>
      </c>
      <c r="D46" s="161">
        <f>D47</f>
        <v>0</v>
      </c>
      <c r="E46" s="162">
        <f>E47</f>
        <v>0</v>
      </c>
      <c r="F46" s="163">
        <f>D46+E46</f>
        <v>0</v>
      </c>
      <c r="G46" s="161">
        <f>G47</f>
        <v>0</v>
      </c>
      <c r="H46" s="164">
        <f t="shared" ref="H46:K46" si="3">H47</f>
        <v>0</v>
      </c>
      <c r="I46" s="165">
        <f>G46+H46</f>
        <v>0</v>
      </c>
      <c r="J46" s="161">
        <f>J47</f>
        <v>0</v>
      </c>
      <c r="K46" s="164">
        <f t="shared" si="3"/>
        <v>0</v>
      </c>
      <c r="L46" s="165">
        <f>J46+K46</f>
        <v>0</v>
      </c>
      <c r="M46" s="107" t="s">
        <v>47</v>
      </c>
      <c r="N46" s="108" t="s">
        <v>47</v>
      </c>
      <c r="O46" s="106" t="s">
        <v>47</v>
      </c>
      <c r="P46" s="109"/>
      <c r="R46" s="53"/>
      <c r="S46" s="53"/>
      <c r="T46" s="53"/>
    </row>
    <row r="47" spans="1:20" s="41" customFormat="1" ht="24" hidden="1" x14ac:dyDescent="0.25">
      <c r="A47" s="76">
        <v>21499</v>
      </c>
      <c r="B47" s="127" t="s">
        <v>66</v>
      </c>
      <c r="C47" s="166">
        <f>F47+I47+L47</f>
        <v>0</v>
      </c>
      <c r="D47" s="68"/>
      <c r="E47" s="69"/>
      <c r="F47" s="70">
        <f>D47+E47</f>
        <v>0</v>
      </c>
      <c r="G47" s="167"/>
      <c r="H47" s="71"/>
      <c r="I47" s="72">
        <f>G47+H47</f>
        <v>0</v>
      </c>
      <c r="J47" s="68"/>
      <c r="K47" s="71"/>
      <c r="L47" s="72">
        <f>J47+K47</f>
        <v>0</v>
      </c>
      <c r="M47" s="152" t="s">
        <v>47</v>
      </c>
      <c r="N47" s="145" t="s">
        <v>47</v>
      </c>
      <c r="O47" s="148" t="s">
        <v>47</v>
      </c>
      <c r="P47" s="153"/>
      <c r="R47" s="53"/>
      <c r="S47" s="53"/>
      <c r="T47" s="53"/>
    </row>
    <row r="48" spans="1:20" ht="24" hidden="1" x14ac:dyDescent="0.25">
      <c r="A48" s="168">
        <v>23000</v>
      </c>
      <c r="B48" s="169" t="s">
        <v>67</v>
      </c>
      <c r="C48" s="156">
        <f>O48</f>
        <v>0</v>
      </c>
      <c r="D48" s="170" t="s">
        <v>47</v>
      </c>
      <c r="E48" s="171" t="s">
        <v>47</v>
      </c>
      <c r="F48" s="172" t="s">
        <v>47</v>
      </c>
      <c r="G48" s="170" t="s">
        <v>47</v>
      </c>
      <c r="H48" s="173" t="s">
        <v>47</v>
      </c>
      <c r="I48" s="174" t="s">
        <v>47</v>
      </c>
      <c r="J48" s="170" t="s">
        <v>47</v>
      </c>
      <c r="K48" s="173" t="s">
        <v>47</v>
      </c>
      <c r="L48" s="174" t="s">
        <v>47</v>
      </c>
      <c r="M48" s="175">
        <f>SUM(M49:M50)</f>
        <v>0</v>
      </c>
      <c r="N48" s="176">
        <f>SUM(N49:N50)</f>
        <v>0</v>
      </c>
      <c r="O48" s="177">
        <f>M48+N48</f>
        <v>0</v>
      </c>
      <c r="P48" s="109"/>
      <c r="R48" s="53"/>
      <c r="S48" s="53"/>
      <c r="T48" s="53"/>
    </row>
    <row r="49" spans="1:20" ht="24" hidden="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c r="R49" s="53"/>
      <c r="S49" s="53"/>
      <c r="T49" s="53"/>
    </row>
    <row r="50" spans="1:20" ht="24" hidden="1" x14ac:dyDescent="0.25">
      <c r="A50" s="178">
        <v>23510</v>
      </c>
      <c r="B50" s="179" t="s">
        <v>69</v>
      </c>
      <c r="C50" s="180">
        <f>O50</f>
        <v>0</v>
      </c>
      <c r="D50" s="181" t="s">
        <v>47</v>
      </c>
      <c r="E50" s="182" t="s">
        <v>47</v>
      </c>
      <c r="F50" s="183" t="s">
        <v>47</v>
      </c>
      <c r="G50" s="181" t="s">
        <v>47</v>
      </c>
      <c r="H50" s="184" t="s">
        <v>47</v>
      </c>
      <c r="I50" s="185" t="s">
        <v>47</v>
      </c>
      <c r="J50" s="181" t="s">
        <v>47</v>
      </c>
      <c r="K50" s="184" t="s">
        <v>47</v>
      </c>
      <c r="L50" s="185" t="s">
        <v>47</v>
      </c>
      <c r="M50" s="186"/>
      <c r="N50" s="187"/>
      <c r="O50" s="188">
        <f>M50+N50</f>
        <v>0</v>
      </c>
      <c r="P50" s="189"/>
      <c r="R50" s="53"/>
      <c r="S50" s="53"/>
      <c r="T50" s="53"/>
    </row>
    <row r="51" spans="1:20" x14ac:dyDescent="0.25">
      <c r="A51" s="190"/>
      <c r="B51" s="179"/>
      <c r="C51" s="191"/>
      <c r="D51" s="192"/>
      <c r="E51" s="193"/>
      <c r="F51" s="194"/>
      <c r="G51" s="192"/>
      <c r="H51" s="195"/>
      <c r="I51" s="185"/>
      <c r="J51" s="196"/>
      <c r="K51" s="197"/>
      <c r="L51" s="188"/>
      <c r="M51" s="186"/>
      <c r="N51" s="187"/>
      <c r="O51" s="188"/>
      <c r="P51" s="189"/>
      <c r="R51" s="53"/>
      <c r="S51" s="53"/>
      <c r="T51" s="53"/>
    </row>
    <row r="52" spans="1:20" s="41" customFormat="1" x14ac:dyDescent="0.25">
      <c r="A52" s="198"/>
      <c r="B52" s="199" t="s">
        <v>70</v>
      </c>
      <c r="C52" s="200"/>
      <c r="D52" s="201"/>
      <c r="E52" s="202"/>
      <c r="F52" s="203"/>
      <c r="G52" s="201"/>
      <c r="H52" s="204"/>
      <c r="I52" s="205"/>
      <c r="J52" s="201"/>
      <c r="K52" s="204"/>
      <c r="L52" s="205"/>
      <c r="M52" s="206"/>
      <c r="N52" s="207"/>
      <c r="O52" s="205"/>
      <c r="P52" s="208"/>
      <c r="R52" s="53"/>
      <c r="S52" s="53"/>
      <c r="T52" s="53"/>
    </row>
    <row r="53" spans="1:20" s="41" customFormat="1" ht="12.75" thickBot="1" x14ac:dyDescent="0.3">
      <c r="A53" s="209"/>
      <c r="B53" s="42" t="s">
        <v>71</v>
      </c>
      <c r="C53" s="210">
        <f t="shared" ref="C53:C116" si="4">F53+I53+L53+O53</f>
        <v>308240</v>
      </c>
      <c r="D53" s="211">
        <f>SUM(D54,D284)</f>
        <v>291258</v>
      </c>
      <c r="E53" s="212">
        <f>SUM(E54,E284)</f>
        <v>0</v>
      </c>
      <c r="F53" s="213">
        <f t="shared" ref="F53:F117" si="5">D53+E53</f>
        <v>291258</v>
      </c>
      <c r="G53" s="211">
        <f>SUM(G54,G284)</f>
        <v>15543</v>
      </c>
      <c r="H53" s="214">
        <f>SUM(H54,H284)</f>
        <v>0</v>
      </c>
      <c r="I53" s="215">
        <f t="shared" ref="I53:I117" si="6">G53+H53</f>
        <v>15543</v>
      </c>
      <c r="J53" s="211">
        <f>SUM(J54,J284)</f>
        <v>1439</v>
      </c>
      <c r="K53" s="214">
        <f>SUM(K54,K284)</f>
        <v>0</v>
      </c>
      <c r="L53" s="215">
        <f t="shared" ref="L53:L117" si="7">J53+K53</f>
        <v>1439</v>
      </c>
      <c r="M53" s="216">
        <f>SUM(M54,M284)</f>
        <v>0</v>
      </c>
      <c r="N53" s="217">
        <f>SUM(N54,N284)</f>
        <v>0</v>
      </c>
      <c r="O53" s="215">
        <f t="shared" ref="O53:O117" si="8">M53+N53</f>
        <v>0</v>
      </c>
      <c r="P53" s="52"/>
      <c r="R53" s="53"/>
      <c r="S53" s="53"/>
      <c r="T53" s="53"/>
    </row>
    <row r="54" spans="1:20" s="41" customFormat="1" ht="36.75" thickTop="1" x14ac:dyDescent="0.25">
      <c r="A54" s="218"/>
      <c r="B54" s="219" t="s">
        <v>72</v>
      </c>
      <c r="C54" s="220">
        <f t="shared" si="4"/>
        <v>308240</v>
      </c>
      <c r="D54" s="221">
        <f>SUM(D55,D197)</f>
        <v>291258</v>
      </c>
      <c r="E54" s="222">
        <f>SUM(E55,E197)</f>
        <v>0</v>
      </c>
      <c r="F54" s="223">
        <f t="shared" si="5"/>
        <v>291258</v>
      </c>
      <c r="G54" s="221">
        <f>SUM(G55,G197)</f>
        <v>15543</v>
      </c>
      <c r="H54" s="224">
        <f>SUM(H55,H197)</f>
        <v>0</v>
      </c>
      <c r="I54" s="225">
        <f t="shared" si="6"/>
        <v>15543</v>
      </c>
      <c r="J54" s="221">
        <f>SUM(J55,J197)</f>
        <v>1439</v>
      </c>
      <c r="K54" s="224">
        <f>SUM(K55,K197)</f>
        <v>0</v>
      </c>
      <c r="L54" s="225">
        <f t="shared" si="7"/>
        <v>1439</v>
      </c>
      <c r="M54" s="226">
        <f>SUM(M55,M197)</f>
        <v>0</v>
      </c>
      <c r="N54" s="227">
        <f>SUM(N55,N197)</f>
        <v>0</v>
      </c>
      <c r="O54" s="225">
        <f t="shared" si="8"/>
        <v>0</v>
      </c>
      <c r="P54" s="228"/>
      <c r="R54" s="53"/>
      <c r="S54" s="53"/>
      <c r="T54" s="53"/>
    </row>
    <row r="55" spans="1:20" s="41" customFormat="1" ht="24" x14ac:dyDescent="0.25">
      <c r="A55" s="35"/>
      <c r="B55" s="30" t="s">
        <v>73</v>
      </c>
      <c r="C55" s="229">
        <f t="shared" si="4"/>
        <v>307222</v>
      </c>
      <c r="D55" s="230">
        <f>SUM(D56,D78,D176,D190)</f>
        <v>290362</v>
      </c>
      <c r="E55" s="231">
        <f>SUM(E56,E78,E176,E190)</f>
        <v>0</v>
      </c>
      <c r="F55" s="232">
        <f t="shared" si="5"/>
        <v>290362</v>
      </c>
      <c r="G55" s="230">
        <f>SUM(G56,G78,G176,G190)</f>
        <v>15459</v>
      </c>
      <c r="H55" s="233">
        <f>SUM(H56,H78,H176,H190)</f>
        <v>0</v>
      </c>
      <c r="I55" s="234">
        <f t="shared" si="6"/>
        <v>15459</v>
      </c>
      <c r="J55" s="230">
        <f>SUM(J56,J78,J176,J190)</f>
        <v>1401</v>
      </c>
      <c r="K55" s="233">
        <f>SUM(K56,K78,K176,K190)</f>
        <v>0</v>
      </c>
      <c r="L55" s="234">
        <f t="shared" si="7"/>
        <v>1401</v>
      </c>
      <c r="M55" s="53">
        <f>SUM(M56,M78,M176,M190)</f>
        <v>0</v>
      </c>
      <c r="N55" s="235">
        <f>SUM(N56,N78,N176,N190)</f>
        <v>0</v>
      </c>
      <c r="O55" s="234">
        <f t="shared" si="8"/>
        <v>0</v>
      </c>
      <c r="P55" s="236"/>
      <c r="R55" s="53"/>
      <c r="S55" s="53"/>
      <c r="T55" s="53"/>
    </row>
    <row r="56" spans="1:20" s="41" customFormat="1" x14ac:dyDescent="0.25">
      <c r="A56" s="237">
        <v>1000</v>
      </c>
      <c r="B56" s="237" t="s">
        <v>74</v>
      </c>
      <c r="C56" s="238">
        <f t="shared" si="4"/>
        <v>257378</v>
      </c>
      <c r="D56" s="239">
        <f>SUM(D57,D70)</f>
        <v>242251</v>
      </c>
      <c r="E56" s="240">
        <f>SUM(E57,E70)</f>
        <v>0</v>
      </c>
      <c r="F56" s="241">
        <f t="shared" si="5"/>
        <v>242251</v>
      </c>
      <c r="G56" s="239">
        <f>SUM(G57,G70)</f>
        <v>15127</v>
      </c>
      <c r="H56" s="242">
        <f>SUM(H57,H70)</f>
        <v>0</v>
      </c>
      <c r="I56" s="243">
        <f t="shared" si="6"/>
        <v>15127</v>
      </c>
      <c r="J56" s="239">
        <f>SUM(J57,J70)</f>
        <v>0</v>
      </c>
      <c r="K56" s="242">
        <f>SUM(K57,K70)</f>
        <v>0</v>
      </c>
      <c r="L56" s="243">
        <f t="shared" si="7"/>
        <v>0</v>
      </c>
      <c r="M56" s="244">
        <f>SUM(M57,M70)</f>
        <v>0</v>
      </c>
      <c r="N56" s="245">
        <f>SUM(N57,N70)</f>
        <v>0</v>
      </c>
      <c r="O56" s="243">
        <f t="shared" si="8"/>
        <v>0</v>
      </c>
      <c r="P56" s="246"/>
      <c r="R56" s="53"/>
      <c r="S56" s="53"/>
      <c r="T56" s="53"/>
    </row>
    <row r="57" spans="1:20" x14ac:dyDescent="0.25">
      <c r="A57" s="99">
        <v>1100</v>
      </c>
      <c r="B57" s="247" t="s">
        <v>75</v>
      </c>
      <c r="C57" s="100">
        <f t="shared" si="4"/>
        <v>193071</v>
      </c>
      <c r="D57" s="112">
        <f>SUM(D58,D61,D69)</f>
        <v>181493</v>
      </c>
      <c r="E57" s="248">
        <f>SUM(E58,E61,E69)</f>
        <v>0</v>
      </c>
      <c r="F57" s="249">
        <f t="shared" si="5"/>
        <v>181493</v>
      </c>
      <c r="G57" s="112">
        <f>SUM(G58,G61,G69)</f>
        <v>11940</v>
      </c>
      <c r="H57" s="113">
        <f>SUM(H58,H61,H69)</f>
        <v>-362</v>
      </c>
      <c r="I57" s="114">
        <f t="shared" si="6"/>
        <v>11578</v>
      </c>
      <c r="J57" s="112">
        <f>SUM(J58,J61,J69)</f>
        <v>0</v>
      </c>
      <c r="K57" s="113">
        <f>SUM(K58,K61,K69)</f>
        <v>0</v>
      </c>
      <c r="L57" s="114">
        <f t="shared" si="7"/>
        <v>0</v>
      </c>
      <c r="M57" s="250">
        <f>SUM(M58,M61,M69)</f>
        <v>0</v>
      </c>
      <c r="N57" s="251">
        <f>SUM(N58,N61,N69)</f>
        <v>0</v>
      </c>
      <c r="O57" s="252">
        <f t="shared" si="8"/>
        <v>0</v>
      </c>
      <c r="P57" s="253"/>
      <c r="R57" s="53"/>
      <c r="S57" s="53"/>
      <c r="T57" s="53"/>
    </row>
    <row r="58" spans="1:20" x14ac:dyDescent="0.25">
      <c r="A58" s="254">
        <v>1110</v>
      </c>
      <c r="B58" s="179" t="s">
        <v>76</v>
      </c>
      <c r="C58" s="191">
        <f t="shared" si="4"/>
        <v>173396</v>
      </c>
      <c r="D58" s="255">
        <f>SUM(D59:D60)</f>
        <v>161847</v>
      </c>
      <c r="E58" s="256">
        <f>SUM(E59:E60)</f>
        <v>0</v>
      </c>
      <c r="F58" s="257">
        <f t="shared" si="5"/>
        <v>161847</v>
      </c>
      <c r="G58" s="255">
        <f>SUM(G59:G60)</f>
        <v>11549</v>
      </c>
      <c r="H58" s="258">
        <f>SUM(H59:H60)</f>
        <v>0</v>
      </c>
      <c r="I58" s="259">
        <f t="shared" si="6"/>
        <v>11549</v>
      </c>
      <c r="J58" s="255">
        <f>SUM(J59:J60)</f>
        <v>0</v>
      </c>
      <c r="K58" s="258">
        <f>SUM(K59:K60)</f>
        <v>0</v>
      </c>
      <c r="L58" s="259">
        <f t="shared" si="7"/>
        <v>0</v>
      </c>
      <c r="M58" s="260">
        <f>SUM(M59:M60)</f>
        <v>0</v>
      </c>
      <c r="N58" s="261">
        <f>SUM(N59:N60)</f>
        <v>0</v>
      </c>
      <c r="O58" s="259">
        <f t="shared" si="8"/>
        <v>0</v>
      </c>
      <c r="P58" s="189"/>
      <c r="R58" s="53"/>
      <c r="S58" s="53"/>
      <c r="T58" s="53"/>
    </row>
    <row r="59" spans="1:20" hidden="1" x14ac:dyDescent="0.25">
      <c r="A59" s="66">
        <v>1111</v>
      </c>
      <c r="B59" s="116" t="s">
        <v>77</v>
      </c>
      <c r="C59" s="117">
        <f t="shared" si="4"/>
        <v>0</v>
      </c>
      <c r="D59" s="123"/>
      <c r="E59" s="262"/>
      <c r="F59" s="263">
        <f t="shared" si="5"/>
        <v>0</v>
      </c>
      <c r="G59" s="123"/>
      <c r="H59" s="124"/>
      <c r="I59" s="125">
        <f t="shared" si="6"/>
        <v>0</v>
      </c>
      <c r="J59" s="123"/>
      <c r="K59" s="124"/>
      <c r="L59" s="125">
        <f t="shared" si="7"/>
        <v>0</v>
      </c>
      <c r="M59" s="264"/>
      <c r="N59" s="262"/>
      <c r="O59" s="125">
        <f t="shared" si="8"/>
        <v>0</v>
      </c>
      <c r="P59" s="74"/>
      <c r="R59" s="53"/>
      <c r="S59" s="53"/>
      <c r="T59" s="53"/>
    </row>
    <row r="60" spans="1:20" ht="24" x14ac:dyDescent="0.25">
      <c r="A60" s="265">
        <v>1119</v>
      </c>
      <c r="B60" s="266" t="s">
        <v>78</v>
      </c>
      <c r="C60" s="267">
        <f t="shared" si="4"/>
        <v>173396</v>
      </c>
      <c r="D60" s="268">
        <v>161847</v>
      </c>
      <c r="E60" s="269"/>
      <c r="F60" s="270">
        <f t="shared" si="5"/>
        <v>161847</v>
      </c>
      <c r="G60" s="268">
        <v>11549</v>
      </c>
      <c r="H60" s="271"/>
      <c r="I60" s="272">
        <f t="shared" si="6"/>
        <v>11549</v>
      </c>
      <c r="J60" s="268"/>
      <c r="K60" s="271"/>
      <c r="L60" s="272">
        <f t="shared" si="7"/>
        <v>0</v>
      </c>
      <c r="M60" s="273"/>
      <c r="N60" s="274"/>
      <c r="O60" s="272">
        <f t="shared" si="8"/>
        <v>0</v>
      </c>
      <c r="P60" s="275"/>
      <c r="R60" s="53"/>
      <c r="S60" s="53"/>
      <c r="T60" s="53"/>
    </row>
    <row r="61" spans="1:20" ht="24" x14ac:dyDescent="0.25">
      <c r="A61" s="276">
        <v>1140</v>
      </c>
      <c r="B61" s="127" t="s">
        <v>79</v>
      </c>
      <c r="C61" s="128">
        <f t="shared" si="4"/>
        <v>17669</v>
      </c>
      <c r="D61" s="277">
        <f>SUM(D62:D68)</f>
        <v>17640</v>
      </c>
      <c r="E61" s="278">
        <f>SUM(E62:E68)</f>
        <v>0</v>
      </c>
      <c r="F61" s="279">
        <f>D61+E61</f>
        <v>17640</v>
      </c>
      <c r="G61" s="277">
        <f>SUM(G62:G68)</f>
        <v>391</v>
      </c>
      <c r="H61" s="280">
        <f>SUM(H62:H68)</f>
        <v>-362</v>
      </c>
      <c r="I61" s="136">
        <f t="shared" si="6"/>
        <v>29</v>
      </c>
      <c r="J61" s="277">
        <f>SUM(J62:J68)</f>
        <v>0</v>
      </c>
      <c r="K61" s="280">
        <f>SUM(K62:K68)</f>
        <v>0</v>
      </c>
      <c r="L61" s="136">
        <f t="shared" si="7"/>
        <v>0</v>
      </c>
      <c r="M61" s="281">
        <f>SUM(M62:M68)</f>
        <v>0</v>
      </c>
      <c r="N61" s="282">
        <f>SUM(N62:N68)</f>
        <v>0</v>
      </c>
      <c r="O61" s="136">
        <f t="shared" si="8"/>
        <v>0</v>
      </c>
      <c r="P61" s="85"/>
      <c r="R61" s="53"/>
      <c r="S61" s="53"/>
      <c r="T61" s="53"/>
    </row>
    <row r="62" spans="1:20" x14ac:dyDescent="0.25">
      <c r="A62" s="76">
        <v>1141</v>
      </c>
      <c r="B62" s="127" t="s">
        <v>80</v>
      </c>
      <c r="C62" s="128">
        <f t="shared" si="4"/>
        <v>3748</v>
      </c>
      <c r="D62" s="134">
        <v>3748</v>
      </c>
      <c r="E62" s="283"/>
      <c r="F62" s="279">
        <f t="shared" si="5"/>
        <v>3748</v>
      </c>
      <c r="G62" s="134"/>
      <c r="H62" s="135"/>
      <c r="I62" s="136">
        <f t="shared" si="6"/>
        <v>0</v>
      </c>
      <c r="J62" s="134"/>
      <c r="K62" s="135"/>
      <c r="L62" s="136">
        <f t="shared" si="7"/>
        <v>0</v>
      </c>
      <c r="M62" s="284"/>
      <c r="N62" s="285"/>
      <c r="O62" s="136">
        <f t="shared" si="8"/>
        <v>0</v>
      </c>
      <c r="P62" s="85"/>
      <c r="R62" s="53"/>
      <c r="S62" s="53"/>
      <c r="T62" s="53"/>
    </row>
    <row r="63" spans="1:20" ht="24" x14ac:dyDescent="0.25">
      <c r="A63" s="76">
        <v>1142</v>
      </c>
      <c r="B63" s="127" t="s">
        <v>81</v>
      </c>
      <c r="C63" s="128">
        <f t="shared" si="4"/>
        <v>922</v>
      </c>
      <c r="D63" s="134">
        <v>922</v>
      </c>
      <c r="E63" s="283"/>
      <c r="F63" s="279">
        <f t="shared" si="5"/>
        <v>922</v>
      </c>
      <c r="G63" s="134"/>
      <c r="H63" s="135"/>
      <c r="I63" s="136">
        <f t="shared" si="6"/>
        <v>0</v>
      </c>
      <c r="J63" s="134"/>
      <c r="K63" s="135"/>
      <c r="L63" s="136">
        <f t="shared" si="7"/>
        <v>0</v>
      </c>
      <c r="M63" s="284"/>
      <c r="N63" s="285"/>
      <c r="O63" s="136">
        <f t="shared" si="8"/>
        <v>0</v>
      </c>
      <c r="P63" s="85"/>
      <c r="R63" s="53"/>
      <c r="S63" s="53"/>
      <c r="T63" s="53"/>
    </row>
    <row r="64" spans="1:20" ht="24" hidden="1" x14ac:dyDescent="0.25">
      <c r="A64" s="76">
        <v>1145</v>
      </c>
      <c r="B64" s="127" t="s">
        <v>82</v>
      </c>
      <c r="C64" s="128">
        <f t="shared" si="4"/>
        <v>0</v>
      </c>
      <c r="D64" s="134"/>
      <c r="E64" s="285"/>
      <c r="F64" s="286">
        <f t="shared" si="5"/>
        <v>0</v>
      </c>
      <c r="G64" s="134"/>
      <c r="H64" s="135"/>
      <c r="I64" s="136">
        <f t="shared" si="6"/>
        <v>0</v>
      </c>
      <c r="J64" s="134"/>
      <c r="K64" s="135"/>
      <c r="L64" s="136">
        <f t="shared" si="7"/>
        <v>0</v>
      </c>
      <c r="M64" s="284"/>
      <c r="N64" s="285"/>
      <c r="O64" s="136">
        <f t="shared" si="8"/>
        <v>0</v>
      </c>
      <c r="P64" s="85"/>
      <c r="R64" s="53"/>
      <c r="S64" s="53"/>
      <c r="T64" s="53"/>
    </row>
    <row r="65" spans="1:20" ht="24" hidden="1" x14ac:dyDescent="0.25">
      <c r="A65" s="76">
        <v>1146</v>
      </c>
      <c r="B65" s="127" t="s">
        <v>83</v>
      </c>
      <c r="C65" s="128">
        <f t="shared" si="4"/>
        <v>0</v>
      </c>
      <c r="D65" s="134"/>
      <c r="E65" s="285"/>
      <c r="F65" s="286">
        <f t="shared" si="5"/>
        <v>0</v>
      </c>
      <c r="G65" s="134"/>
      <c r="H65" s="135"/>
      <c r="I65" s="136">
        <f t="shared" si="6"/>
        <v>0</v>
      </c>
      <c r="J65" s="134"/>
      <c r="K65" s="135"/>
      <c r="L65" s="136">
        <f t="shared" si="7"/>
        <v>0</v>
      </c>
      <c r="M65" s="284"/>
      <c r="N65" s="285"/>
      <c r="O65" s="136">
        <f t="shared" si="8"/>
        <v>0</v>
      </c>
      <c r="P65" s="85"/>
      <c r="R65" s="53"/>
      <c r="S65" s="53"/>
      <c r="T65" s="53"/>
    </row>
    <row r="66" spans="1:20" x14ac:dyDescent="0.25">
      <c r="A66" s="76">
        <v>1147</v>
      </c>
      <c r="B66" s="127" t="s">
        <v>84</v>
      </c>
      <c r="C66" s="128">
        <f t="shared" si="4"/>
        <v>1815</v>
      </c>
      <c r="D66" s="134">
        <v>1815</v>
      </c>
      <c r="E66" s="283"/>
      <c r="F66" s="279">
        <f t="shared" si="5"/>
        <v>1815</v>
      </c>
      <c r="G66" s="134"/>
      <c r="H66" s="135"/>
      <c r="I66" s="136">
        <f t="shared" si="6"/>
        <v>0</v>
      </c>
      <c r="J66" s="134"/>
      <c r="K66" s="135"/>
      <c r="L66" s="136">
        <f t="shared" si="7"/>
        <v>0</v>
      </c>
      <c r="M66" s="284"/>
      <c r="N66" s="285"/>
      <c r="O66" s="136">
        <f t="shared" si="8"/>
        <v>0</v>
      </c>
      <c r="P66" s="85"/>
      <c r="R66" s="53"/>
      <c r="S66" s="53"/>
      <c r="T66" s="53"/>
    </row>
    <row r="67" spans="1:20" x14ac:dyDescent="0.25">
      <c r="A67" s="76">
        <v>1148</v>
      </c>
      <c r="B67" s="127" t="s">
        <v>85</v>
      </c>
      <c r="C67" s="128">
        <f t="shared" si="4"/>
        <v>10940</v>
      </c>
      <c r="D67" s="134">
        <v>10940</v>
      </c>
      <c r="E67" s="283"/>
      <c r="F67" s="279">
        <f t="shared" si="5"/>
        <v>10940</v>
      </c>
      <c r="G67" s="134"/>
      <c r="H67" s="135"/>
      <c r="I67" s="136">
        <f t="shared" si="6"/>
        <v>0</v>
      </c>
      <c r="J67" s="134"/>
      <c r="K67" s="135"/>
      <c r="L67" s="136">
        <f t="shared" si="7"/>
        <v>0</v>
      </c>
      <c r="M67" s="284"/>
      <c r="N67" s="285"/>
      <c r="O67" s="136">
        <f t="shared" si="8"/>
        <v>0</v>
      </c>
      <c r="P67" s="85"/>
      <c r="R67" s="53"/>
      <c r="S67" s="53"/>
      <c r="T67" s="53"/>
    </row>
    <row r="68" spans="1:20" ht="36" x14ac:dyDescent="0.25">
      <c r="A68" s="76">
        <v>1149</v>
      </c>
      <c r="B68" s="127" t="s">
        <v>86</v>
      </c>
      <c r="C68" s="128">
        <f t="shared" si="4"/>
        <v>244</v>
      </c>
      <c r="D68" s="134">
        <v>215</v>
      </c>
      <c r="E68" s="283"/>
      <c r="F68" s="279">
        <f t="shared" si="5"/>
        <v>215</v>
      </c>
      <c r="G68" s="134">
        <v>391</v>
      </c>
      <c r="H68" s="135">
        <v>-362</v>
      </c>
      <c r="I68" s="136">
        <f t="shared" si="6"/>
        <v>29</v>
      </c>
      <c r="J68" s="134"/>
      <c r="K68" s="135"/>
      <c r="L68" s="136">
        <f t="shared" si="7"/>
        <v>0</v>
      </c>
      <c r="M68" s="284"/>
      <c r="N68" s="285"/>
      <c r="O68" s="136">
        <f t="shared" si="8"/>
        <v>0</v>
      </c>
      <c r="P68" s="85" t="s">
        <v>550</v>
      </c>
      <c r="R68" s="53"/>
      <c r="S68" s="53"/>
      <c r="T68" s="53"/>
    </row>
    <row r="69" spans="1:20" ht="36" x14ac:dyDescent="0.25">
      <c r="A69" s="254">
        <v>1150</v>
      </c>
      <c r="B69" s="179" t="s">
        <v>87</v>
      </c>
      <c r="C69" s="128">
        <f t="shared" si="4"/>
        <v>2006</v>
      </c>
      <c r="D69" s="287">
        <v>2006</v>
      </c>
      <c r="E69" s="288"/>
      <c r="F69" s="257">
        <f t="shared" si="5"/>
        <v>2006</v>
      </c>
      <c r="G69" s="287"/>
      <c r="H69" s="289"/>
      <c r="I69" s="259">
        <f t="shared" si="6"/>
        <v>0</v>
      </c>
      <c r="J69" s="287"/>
      <c r="K69" s="289"/>
      <c r="L69" s="259">
        <f t="shared" si="7"/>
        <v>0</v>
      </c>
      <c r="M69" s="290"/>
      <c r="N69" s="291"/>
      <c r="O69" s="259">
        <f t="shared" si="8"/>
        <v>0</v>
      </c>
      <c r="P69" s="189"/>
      <c r="R69" s="53"/>
      <c r="S69" s="53"/>
      <c r="T69" s="53"/>
    </row>
    <row r="70" spans="1:20" ht="36" x14ac:dyDescent="0.25">
      <c r="A70" s="99">
        <v>1200</v>
      </c>
      <c r="B70" s="247" t="s">
        <v>88</v>
      </c>
      <c r="C70" s="100">
        <f t="shared" si="4"/>
        <v>64307</v>
      </c>
      <c r="D70" s="112">
        <f>SUM(D71:D72)</f>
        <v>60758</v>
      </c>
      <c r="E70" s="248">
        <f>SUM(E71:E72)</f>
        <v>0</v>
      </c>
      <c r="F70" s="249">
        <f>D70+E70</f>
        <v>60758</v>
      </c>
      <c r="G70" s="112">
        <f>SUM(G71:G72)</f>
        <v>3187</v>
      </c>
      <c r="H70" s="113">
        <f>SUM(H71:H72)</f>
        <v>362</v>
      </c>
      <c r="I70" s="114">
        <f t="shared" si="6"/>
        <v>3549</v>
      </c>
      <c r="J70" s="112">
        <f>SUM(J71:J72)</f>
        <v>0</v>
      </c>
      <c r="K70" s="113">
        <f>SUM(K71:K72)</f>
        <v>0</v>
      </c>
      <c r="L70" s="114">
        <f t="shared" si="7"/>
        <v>0</v>
      </c>
      <c r="M70" s="292">
        <f>SUM(M71:M72)</f>
        <v>0</v>
      </c>
      <c r="N70" s="293">
        <f>SUM(N71:N72)</f>
        <v>0</v>
      </c>
      <c r="O70" s="114">
        <f t="shared" si="8"/>
        <v>0</v>
      </c>
      <c r="P70" s="109"/>
      <c r="R70" s="53"/>
      <c r="S70" s="53"/>
      <c r="T70" s="53"/>
    </row>
    <row r="71" spans="1:20" ht="24" x14ac:dyDescent="0.25">
      <c r="A71" s="656">
        <v>1210</v>
      </c>
      <c r="B71" s="116" t="s">
        <v>89</v>
      </c>
      <c r="C71" s="117">
        <f t="shared" si="4"/>
        <v>48340</v>
      </c>
      <c r="D71" s="123">
        <v>45000</v>
      </c>
      <c r="E71" s="295"/>
      <c r="F71" s="296">
        <f t="shared" si="5"/>
        <v>45000</v>
      </c>
      <c r="G71" s="123">
        <v>2887</v>
      </c>
      <c r="H71" s="124">
        <f>487-34</f>
        <v>453</v>
      </c>
      <c r="I71" s="125">
        <f t="shared" si="6"/>
        <v>3340</v>
      </c>
      <c r="J71" s="123"/>
      <c r="K71" s="124"/>
      <c r="L71" s="125">
        <f t="shared" si="7"/>
        <v>0</v>
      </c>
      <c r="M71" s="264"/>
      <c r="N71" s="262"/>
      <c r="O71" s="125">
        <f t="shared" si="8"/>
        <v>0</v>
      </c>
      <c r="P71" s="85" t="s">
        <v>1116</v>
      </c>
      <c r="R71" s="53"/>
      <c r="S71" s="53"/>
      <c r="T71" s="53"/>
    </row>
    <row r="72" spans="1:20" ht="24" x14ac:dyDescent="0.25">
      <c r="A72" s="276">
        <v>1220</v>
      </c>
      <c r="B72" s="127" t="s">
        <v>90</v>
      </c>
      <c r="C72" s="128">
        <f t="shared" si="4"/>
        <v>15967</v>
      </c>
      <c r="D72" s="277">
        <f>SUM(D73:D77)</f>
        <v>15758</v>
      </c>
      <c r="E72" s="278">
        <f>SUM(E73:E77)</f>
        <v>0</v>
      </c>
      <c r="F72" s="279">
        <f t="shared" si="5"/>
        <v>15758</v>
      </c>
      <c r="G72" s="277">
        <f>SUM(G73:G77)</f>
        <v>300</v>
      </c>
      <c r="H72" s="280">
        <f>SUM(H73:H77)</f>
        <v>-91</v>
      </c>
      <c r="I72" s="136">
        <f t="shared" si="6"/>
        <v>209</v>
      </c>
      <c r="J72" s="277">
        <f>SUM(J73:J77)</f>
        <v>0</v>
      </c>
      <c r="K72" s="280">
        <f>SUM(K73:K77)</f>
        <v>0</v>
      </c>
      <c r="L72" s="136">
        <f t="shared" si="7"/>
        <v>0</v>
      </c>
      <c r="M72" s="281">
        <f>SUM(M73:M77)</f>
        <v>0</v>
      </c>
      <c r="N72" s="282">
        <f>SUM(N73:N77)</f>
        <v>0</v>
      </c>
      <c r="O72" s="136">
        <f t="shared" si="8"/>
        <v>0</v>
      </c>
      <c r="P72" s="85"/>
      <c r="R72" s="53"/>
      <c r="S72" s="53"/>
      <c r="T72" s="53"/>
    </row>
    <row r="73" spans="1:20" ht="60" x14ac:dyDescent="0.25">
      <c r="A73" s="76">
        <v>1221</v>
      </c>
      <c r="B73" s="127" t="s">
        <v>91</v>
      </c>
      <c r="C73" s="128">
        <f t="shared" si="4"/>
        <v>9349</v>
      </c>
      <c r="D73" s="134">
        <v>9140</v>
      </c>
      <c r="E73" s="283"/>
      <c r="F73" s="279">
        <f t="shared" si="5"/>
        <v>9140</v>
      </c>
      <c r="G73" s="134">
        <v>300</v>
      </c>
      <c r="H73" s="135">
        <v>-91</v>
      </c>
      <c r="I73" s="136">
        <f t="shared" si="6"/>
        <v>209</v>
      </c>
      <c r="J73" s="134"/>
      <c r="K73" s="135"/>
      <c r="L73" s="136">
        <f t="shared" si="7"/>
        <v>0</v>
      </c>
      <c r="M73" s="284"/>
      <c r="N73" s="285"/>
      <c r="O73" s="136">
        <f t="shared" si="8"/>
        <v>0</v>
      </c>
      <c r="P73" s="85" t="s">
        <v>550</v>
      </c>
      <c r="R73" s="53"/>
      <c r="S73" s="53"/>
      <c r="T73" s="53"/>
    </row>
    <row r="74" spans="1:20" hidden="1" x14ac:dyDescent="0.25">
      <c r="A74" s="76">
        <v>1223</v>
      </c>
      <c r="B74" s="127" t="s">
        <v>92</v>
      </c>
      <c r="C74" s="128">
        <f t="shared" si="4"/>
        <v>0</v>
      </c>
      <c r="D74" s="134"/>
      <c r="E74" s="285"/>
      <c r="F74" s="286">
        <f t="shared" si="5"/>
        <v>0</v>
      </c>
      <c r="G74" s="134"/>
      <c r="H74" s="135"/>
      <c r="I74" s="136">
        <f t="shared" si="6"/>
        <v>0</v>
      </c>
      <c r="J74" s="134"/>
      <c r="K74" s="135"/>
      <c r="L74" s="136">
        <f t="shared" si="7"/>
        <v>0</v>
      </c>
      <c r="M74" s="284"/>
      <c r="N74" s="285"/>
      <c r="O74" s="136">
        <f t="shared" si="8"/>
        <v>0</v>
      </c>
      <c r="P74" s="85"/>
      <c r="R74" s="53"/>
      <c r="S74" s="53"/>
      <c r="T74" s="53"/>
    </row>
    <row r="75" spans="1:20" hidden="1" x14ac:dyDescent="0.25">
      <c r="A75" s="76">
        <v>1225</v>
      </c>
      <c r="B75" s="127" t="s">
        <v>93</v>
      </c>
      <c r="C75" s="128">
        <f t="shared" si="4"/>
        <v>0</v>
      </c>
      <c r="D75" s="134"/>
      <c r="E75" s="285"/>
      <c r="F75" s="286">
        <f t="shared" si="5"/>
        <v>0</v>
      </c>
      <c r="G75" s="134"/>
      <c r="H75" s="135"/>
      <c r="I75" s="136">
        <f t="shared" si="6"/>
        <v>0</v>
      </c>
      <c r="J75" s="134"/>
      <c r="K75" s="135"/>
      <c r="L75" s="136">
        <f t="shared" si="7"/>
        <v>0</v>
      </c>
      <c r="M75" s="284"/>
      <c r="N75" s="285"/>
      <c r="O75" s="136">
        <f t="shared" si="8"/>
        <v>0</v>
      </c>
      <c r="P75" s="85"/>
      <c r="R75" s="53"/>
      <c r="S75" s="53"/>
      <c r="T75" s="53"/>
    </row>
    <row r="76" spans="1:20" ht="36" x14ac:dyDescent="0.25">
      <c r="A76" s="76">
        <v>1227</v>
      </c>
      <c r="B76" s="127" t="s">
        <v>94</v>
      </c>
      <c r="C76" s="128">
        <f t="shared" si="4"/>
        <v>6190</v>
      </c>
      <c r="D76" s="134">
        <v>6190</v>
      </c>
      <c r="E76" s="283"/>
      <c r="F76" s="279">
        <f t="shared" si="5"/>
        <v>6190</v>
      </c>
      <c r="G76" s="134"/>
      <c r="H76" s="135"/>
      <c r="I76" s="136">
        <f t="shared" si="6"/>
        <v>0</v>
      </c>
      <c r="J76" s="134"/>
      <c r="K76" s="135"/>
      <c r="L76" s="136">
        <f t="shared" si="7"/>
        <v>0</v>
      </c>
      <c r="M76" s="284"/>
      <c r="N76" s="285"/>
      <c r="O76" s="136">
        <f t="shared" si="8"/>
        <v>0</v>
      </c>
      <c r="P76" s="85"/>
      <c r="R76" s="53"/>
      <c r="S76" s="53"/>
      <c r="T76" s="53"/>
    </row>
    <row r="77" spans="1:20" ht="60" x14ac:dyDescent="0.25">
      <c r="A77" s="76">
        <v>1228</v>
      </c>
      <c r="B77" s="127" t="s">
        <v>95</v>
      </c>
      <c r="C77" s="128">
        <f t="shared" si="4"/>
        <v>428</v>
      </c>
      <c r="D77" s="134">
        <v>428</v>
      </c>
      <c r="E77" s="283"/>
      <c r="F77" s="279">
        <f t="shared" si="5"/>
        <v>428</v>
      </c>
      <c r="G77" s="134"/>
      <c r="H77" s="135"/>
      <c r="I77" s="136">
        <f t="shared" si="6"/>
        <v>0</v>
      </c>
      <c r="J77" s="134"/>
      <c r="K77" s="135"/>
      <c r="L77" s="136">
        <f t="shared" si="7"/>
        <v>0</v>
      </c>
      <c r="M77" s="284"/>
      <c r="N77" s="285"/>
      <c r="O77" s="136">
        <f t="shared" si="8"/>
        <v>0</v>
      </c>
      <c r="P77" s="85"/>
      <c r="R77" s="53"/>
      <c r="S77" s="53"/>
      <c r="T77" s="53"/>
    </row>
    <row r="78" spans="1:20" x14ac:dyDescent="0.25">
      <c r="A78" s="237">
        <v>2000</v>
      </c>
      <c r="B78" s="237" t="s">
        <v>96</v>
      </c>
      <c r="C78" s="238">
        <f t="shared" si="4"/>
        <v>49844</v>
      </c>
      <c r="D78" s="239">
        <f>SUM(D79,D86,D133,D167,D168,D175)</f>
        <v>48111</v>
      </c>
      <c r="E78" s="240">
        <f>SUM(E79,E86,E133,E167,E168,E175)</f>
        <v>0</v>
      </c>
      <c r="F78" s="241">
        <f t="shared" si="5"/>
        <v>48111</v>
      </c>
      <c r="G78" s="239">
        <f>SUM(G79,G86,G133,G167,G168,G175)</f>
        <v>332</v>
      </c>
      <c r="H78" s="242">
        <f>SUM(H79,H86,H133,H167,H168,H175)</f>
        <v>0</v>
      </c>
      <c r="I78" s="243">
        <f t="shared" si="6"/>
        <v>332</v>
      </c>
      <c r="J78" s="239">
        <f>SUM(J79,J86,J133,J167,J168,J175)</f>
        <v>1401</v>
      </c>
      <c r="K78" s="242">
        <f>SUM(K79,K86,K133,K167,K168,K175)</f>
        <v>0</v>
      </c>
      <c r="L78" s="243">
        <f t="shared" si="7"/>
        <v>1401</v>
      </c>
      <c r="M78" s="244">
        <f>SUM(M79,M86,M133,M167,M168,M175)</f>
        <v>0</v>
      </c>
      <c r="N78" s="245">
        <f>SUM(N79,N86,N133,N167,N168,N175)</f>
        <v>0</v>
      </c>
      <c r="O78" s="243">
        <f t="shared" si="8"/>
        <v>0</v>
      </c>
      <c r="P78" s="246"/>
      <c r="R78" s="53"/>
      <c r="S78" s="53"/>
      <c r="T78" s="53"/>
    </row>
    <row r="79" spans="1:20" ht="24" x14ac:dyDescent="0.25">
      <c r="A79" s="99">
        <v>2100</v>
      </c>
      <c r="B79" s="247" t="s">
        <v>97</v>
      </c>
      <c r="C79" s="100">
        <f t="shared" si="4"/>
        <v>180</v>
      </c>
      <c r="D79" s="112">
        <f>SUM(D80,D83)</f>
        <v>180</v>
      </c>
      <c r="E79" s="248">
        <f>SUM(E80,E83)</f>
        <v>0</v>
      </c>
      <c r="F79" s="249">
        <f t="shared" si="5"/>
        <v>180</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c r="R79" s="53"/>
      <c r="S79" s="53"/>
      <c r="T79" s="53"/>
    </row>
    <row r="80" spans="1:20" ht="24" x14ac:dyDescent="0.25">
      <c r="A80" s="656">
        <v>2110</v>
      </c>
      <c r="B80" s="116" t="s">
        <v>98</v>
      </c>
      <c r="C80" s="117">
        <f t="shared" si="4"/>
        <v>180</v>
      </c>
      <c r="D80" s="297">
        <f>SUM(D81:D82)</f>
        <v>180</v>
      </c>
      <c r="E80" s="298">
        <f>SUM(E81:E82)</f>
        <v>0</v>
      </c>
      <c r="F80" s="296">
        <f t="shared" si="5"/>
        <v>180</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c r="R80" s="53"/>
      <c r="S80" s="53"/>
      <c r="T80" s="53"/>
    </row>
    <row r="81" spans="1:20" hidden="1" x14ac:dyDescent="0.25">
      <c r="A81" s="76">
        <v>2111</v>
      </c>
      <c r="B81" s="127" t="s">
        <v>99</v>
      </c>
      <c r="C81" s="128">
        <f t="shared" si="4"/>
        <v>0</v>
      </c>
      <c r="D81" s="134"/>
      <c r="E81" s="285"/>
      <c r="F81" s="286">
        <f t="shared" si="5"/>
        <v>0</v>
      </c>
      <c r="G81" s="134"/>
      <c r="H81" s="135"/>
      <c r="I81" s="136">
        <f t="shared" si="6"/>
        <v>0</v>
      </c>
      <c r="J81" s="134"/>
      <c r="K81" s="135"/>
      <c r="L81" s="136">
        <f t="shared" si="7"/>
        <v>0</v>
      </c>
      <c r="M81" s="284"/>
      <c r="N81" s="285"/>
      <c r="O81" s="136">
        <f t="shared" si="8"/>
        <v>0</v>
      </c>
      <c r="P81" s="85"/>
      <c r="R81" s="53"/>
      <c r="S81" s="53"/>
      <c r="T81" s="53"/>
    </row>
    <row r="82" spans="1:20" ht="24" x14ac:dyDescent="0.25">
      <c r="A82" s="76">
        <v>2112</v>
      </c>
      <c r="B82" s="127" t="s">
        <v>100</v>
      </c>
      <c r="C82" s="128">
        <f t="shared" si="4"/>
        <v>180</v>
      </c>
      <c r="D82" s="134">
        <v>180</v>
      </c>
      <c r="E82" s="283"/>
      <c r="F82" s="279">
        <f t="shared" si="5"/>
        <v>180</v>
      </c>
      <c r="G82" s="134"/>
      <c r="H82" s="135"/>
      <c r="I82" s="136">
        <f t="shared" si="6"/>
        <v>0</v>
      </c>
      <c r="J82" s="134"/>
      <c r="K82" s="135"/>
      <c r="L82" s="136">
        <f t="shared" si="7"/>
        <v>0</v>
      </c>
      <c r="M82" s="284"/>
      <c r="N82" s="285"/>
      <c r="O82" s="136">
        <f t="shared" si="8"/>
        <v>0</v>
      </c>
      <c r="P82" s="85"/>
      <c r="R82" s="53"/>
      <c r="S82" s="53"/>
      <c r="T82" s="53"/>
    </row>
    <row r="83" spans="1:20" ht="24" hidden="1" x14ac:dyDescent="0.25">
      <c r="A83" s="276">
        <v>2120</v>
      </c>
      <c r="B83" s="127" t="s">
        <v>101</v>
      </c>
      <c r="C83" s="128">
        <f t="shared" si="4"/>
        <v>0</v>
      </c>
      <c r="D83" s="277">
        <f>SUM(D84:D85)</f>
        <v>0</v>
      </c>
      <c r="E83" s="282">
        <f>SUM(E84:E85)</f>
        <v>0</v>
      </c>
      <c r="F83" s="28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c r="R83" s="53"/>
      <c r="S83" s="53"/>
      <c r="T83" s="53"/>
    </row>
    <row r="84" spans="1:20" hidden="1" x14ac:dyDescent="0.25">
      <c r="A84" s="76">
        <v>2121</v>
      </c>
      <c r="B84" s="127" t="s">
        <v>99</v>
      </c>
      <c r="C84" s="128">
        <f t="shared" si="4"/>
        <v>0</v>
      </c>
      <c r="D84" s="134"/>
      <c r="E84" s="285"/>
      <c r="F84" s="286">
        <f t="shared" si="5"/>
        <v>0</v>
      </c>
      <c r="G84" s="134"/>
      <c r="H84" s="135"/>
      <c r="I84" s="136">
        <f t="shared" si="6"/>
        <v>0</v>
      </c>
      <c r="J84" s="134"/>
      <c r="K84" s="135"/>
      <c r="L84" s="136">
        <f t="shared" si="7"/>
        <v>0</v>
      </c>
      <c r="M84" s="284"/>
      <c r="N84" s="285"/>
      <c r="O84" s="136">
        <f t="shared" si="8"/>
        <v>0</v>
      </c>
      <c r="P84" s="85"/>
      <c r="R84" s="53"/>
      <c r="S84" s="53"/>
      <c r="T84" s="53"/>
    </row>
    <row r="85" spans="1:20" ht="24" hidden="1" x14ac:dyDescent="0.25">
      <c r="A85" s="76">
        <v>2122</v>
      </c>
      <c r="B85" s="127" t="s">
        <v>100</v>
      </c>
      <c r="C85" s="128">
        <f t="shared" si="4"/>
        <v>0</v>
      </c>
      <c r="D85" s="134"/>
      <c r="E85" s="285"/>
      <c r="F85" s="286">
        <f t="shared" si="5"/>
        <v>0</v>
      </c>
      <c r="G85" s="134"/>
      <c r="H85" s="135"/>
      <c r="I85" s="136">
        <f t="shared" si="6"/>
        <v>0</v>
      </c>
      <c r="J85" s="134"/>
      <c r="K85" s="135"/>
      <c r="L85" s="136">
        <f t="shared" si="7"/>
        <v>0</v>
      </c>
      <c r="M85" s="284"/>
      <c r="N85" s="285"/>
      <c r="O85" s="136">
        <f t="shared" si="8"/>
        <v>0</v>
      </c>
      <c r="P85" s="85"/>
      <c r="R85" s="53"/>
      <c r="S85" s="53"/>
      <c r="T85" s="53"/>
    </row>
    <row r="86" spans="1:20" x14ac:dyDescent="0.25">
      <c r="A86" s="99">
        <v>2200</v>
      </c>
      <c r="B86" s="247" t="s">
        <v>102</v>
      </c>
      <c r="C86" s="302">
        <f t="shared" si="4"/>
        <v>24030</v>
      </c>
      <c r="D86" s="112">
        <f>SUM(D87,D92,D98,D106,D115,D119,D125,D131)</f>
        <v>23982</v>
      </c>
      <c r="E86" s="248">
        <f>SUM(E87,E92,E98,E106,E115,E119,E125,E131)</f>
        <v>0</v>
      </c>
      <c r="F86" s="249">
        <f t="shared" si="5"/>
        <v>23982</v>
      </c>
      <c r="G86" s="112">
        <f>SUM(G87,G92,G98,G106,G115,G119,G125,G131)</f>
        <v>0</v>
      </c>
      <c r="H86" s="113">
        <f>SUM(H87,H92,H98,H106,H115,H119,H125,H131)</f>
        <v>0</v>
      </c>
      <c r="I86" s="114">
        <f t="shared" si="6"/>
        <v>0</v>
      </c>
      <c r="J86" s="112">
        <f>SUM(J87,J92,J98,J106,J115,J119,J125,J131)</f>
        <v>48</v>
      </c>
      <c r="K86" s="113">
        <f>SUM(K87,K92,K98,K106,K115,K119,K125,K131)</f>
        <v>0</v>
      </c>
      <c r="L86" s="114">
        <f t="shared" si="7"/>
        <v>48</v>
      </c>
      <c r="M86" s="303">
        <f>SUM(M87,M92,M98,M106,M115,M119,M125,M131)</f>
        <v>0</v>
      </c>
      <c r="N86" s="304">
        <f>SUM(N87,N92,N98,N106,N115,N119,N125,N131)</f>
        <v>0</v>
      </c>
      <c r="O86" s="305">
        <f t="shared" si="8"/>
        <v>0</v>
      </c>
      <c r="P86" s="306"/>
      <c r="R86" s="53"/>
      <c r="S86" s="53"/>
      <c r="T86" s="53"/>
    </row>
    <row r="87" spans="1:20" ht="24" x14ac:dyDescent="0.25">
      <c r="A87" s="254">
        <v>2210</v>
      </c>
      <c r="B87" s="179" t="s">
        <v>103</v>
      </c>
      <c r="C87" s="191">
        <f t="shared" si="4"/>
        <v>837</v>
      </c>
      <c r="D87" s="255">
        <f>SUM(D88:D91)</f>
        <v>837</v>
      </c>
      <c r="E87" s="256">
        <f>SUM(E88:E91)</f>
        <v>0</v>
      </c>
      <c r="F87" s="257">
        <f t="shared" si="5"/>
        <v>837</v>
      </c>
      <c r="G87" s="255">
        <f>SUM(G88:G91)</f>
        <v>0</v>
      </c>
      <c r="H87" s="258">
        <f>SUM(H88:H91)</f>
        <v>0</v>
      </c>
      <c r="I87" s="259">
        <f t="shared" si="6"/>
        <v>0</v>
      </c>
      <c r="J87" s="255">
        <f>SUM(J88:J91)</f>
        <v>0</v>
      </c>
      <c r="K87" s="258">
        <f>SUM(K88:K91)</f>
        <v>0</v>
      </c>
      <c r="L87" s="259">
        <f t="shared" si="7"/>
        <v>0</v>
      </c>
      <c r="M87" s="260">
        <f>SUM(M88:M91)</f>
        <v>0</v>
      </c>
      <c r="N87" s="261">
        <f>SUM(N88:N91)</f>
        <v>0</v>
      </c>
      <c r="O87" s="259">
        <f t="shared" si="8"/>
        <v>0</v>
      </c>
      <c r="P87" s="189"/>
      <c r="R87" s="53"/>
      <c r="S87" s="53"/>
      <c r="T87" s="53"/>
    </row>
    <row r="88" spans="1:20" ht="24" hidden="1" x14ac:dyDescent="0.25">
      <c r="A88" s="66">
        <v>2211</v>
      </c>
      <c r="B88" s="116" t="s">
        <v>104</v>
      </c>
      <c r="C88" s="128">
        <f t="shared" si="4"/>
        <v>0</v>
      </c>
      <c r="D88" s="123"/>
      <c r="E88" s="262"/>
      <c r="F88" s="263">
        <f t="shared" si="5"/>
        <v>0</v>
      </c>
      <c r="G88" s="123"/>
      <c r="H88" s="124"/>
      <c r="I88" s="125">
        <f t="shared" si="6"/>
        <v>0</v>
      </c>
      <c r="J88" s="123"/>
      <c r="K88" s="124"/>
      <c r="L88" s="125">
        <f t="shared" si="7"/>
        <v>0</v>
      </c>
      <c r="M88" s="264"/>
      <c r="N88" s="262"/>
      <c r="O88" s="125">
        <f t="shared" si="8"/>
        <v>0</v>
      </c>
      <c r="P88" s="74"/>
      <c r="R88" s="53"/>
      <c r="S88" s="53"/>
      <c r="T88" s="53"/>
    </row>
    <row r="89" spans="1:20" ht="36" x14ac:dyDescent="0.25">
      <c r="A89" s="76">
        <v>2212</v>
      </c>
      <c r="B89" s="127" t="s">
        <v>105</v>
      </c>
      <c r="C89" s="128">
        <f t="shared" si="4"/>
        <v>808</v>
      </c>
      <c r="D89" s="134">
        <v>808</v>
      </c>
      <c r="E89" s="283"/>
      <c r="F89" s="279">
        <f t="shared" si="5"/>
        <v>808</v>
      </c>
      <c r="G89" s="134"/>
      <c r="H89" s="135"/>
      <c r="I89" s="136">
        <f t="shared" si="6"/>
        <v>0</v>
      </c>
      <c r="J89" s="134"/>
      <c r="K89" s="135"/>
      <c r="L89" s="136">
        <f t="shared" si="7"/>
        <v>0</v>
      </c>
      <c r="M89" s="284"/>
      <c r="N89" s="285"/>
      <c r="O89" s="136">
        <f t="shared" si="8"/>
        <v>0</v>
      </c>
      <c r="P89" s="85"/>
      <c r="R89" s="53"/>
      <c r="S89" s="53"/>
      <c r="T89" s="53"/>
    </row>
    <row r="90" spans="1:20" ht="24" hidden="1" x14ac:dyDescent="0.25">
      <c r="A90" s="76">
        <v>2214</v>
      </c>
      <c r="B90" s="127" t="s">
        <v>106</v>
      </c>
      <c r="C90" s="128">
        <f t="shared" si="4"/>
        <v>0</v>
      </c>
      <c r="D90" s="134"/>
      <c r="E90" s="285"/>
      <c r="F90" s="286">
        <f t="shared" si="5"/>
        <v>0</v>
      </c>
      <c r="G90" s="134"/>
      <c r="H90" s="135"/>
      <c r="I90" s="136">
        <f t="shared" si="6"/>
        <v>0</v>
      </c>
      <c r="J90" s="134"/>
      <c r="K90" s="135"/>
      <c r="L90" s="136">
        <f t="shared" si="7"/>
        <v>0</v>
      </c>
      <c r="M90" s="284"/>
      <c r="N90" s="285"/>
      <c r="O90" s="136">
        <f t="shared" si="8"/>
        <v>0</v>
      </c>
      <c r="P90" s="85"/>
      <c r="R90" s="53"/>
      <c r="S90" s="53"/>
      <c r="T90" s="53"/>
    </row>
    <row r="91" spans="1:20" x14ac:dyDescent="0.25">
      <c r="A91" s="76">
        <v>2219</v>
      </c>
      <c r="B91" s="127" t="s">
        <v>107</v>
      </c>
      <c r="C91" s="128">
        <f t="shared" si="4"/>
        <v>29</v>
      </c>
      <c r="D91" s="134">
        <v>29</v>
      </c>
      <c r="E91" s="283"/>
      <c r="F91" s="279">
        <f t="shared" si="5"/>
        <v>29</v>
      </c>
      <c r="G91" s="134"/>
      <c r="H91" s="135"/>
      <c r="I91" s="136">
        <f t="shared" si="6"/>
        <v>0</v>
      </c>
      <c r="J91" s="134"/>
      <c r="K91" s="135"/>
      <c r="L91" s="136">
        <f t="shared" si="7"/>
        <v>0</v>
      </c>
      <c r="M91" s="284"/>
      <c r="N91" s="285"/>
      <c r="O91" s="136">
        <f t="shared" si="8"/>
        <v>0</v>
      </c>
      <c r="P91" s="85"/>
      <c r="R91" s="53"/>
      <c r="S91" s="53"/>
      <c r="T91" s="53"/>
    </row>
    <row r="92" spans="1:20" ht="24" x14ac:dyDescent="0.25">
      <c r="A92" s="276">
        <v>2220</v>
      </c>
      <c r="B92" s="127" t="s">
        <v>108</v>
      </c>
      <c r="C92" s="128">
        <f t="shared" si="4"/>
        <v>17042</v>
      </c>
      <c r="D92" s="277">
        <f>SUM(D93:D97)</f>
        <v>17042</v>
      </c>
      <c r="E92" s="278">
        <f>SUM(E93:E97)</f>
        <v>0</v>
      </c>
      <c r="F92" s="279">
        <f t="shared" si="5"/>
        <v>17042</v>
      </c>
      <c r="G92" s="277">
        <f>SUM(G93:G97)</f>
        <v>0</v>
      </c>
      <c r="H92" s="280">
        <f>SUM(H93:H97)</f>
        <v>0</v>
      </c>
      <c r="I92" s="136">
        <f t="shared" si="6"/>
        <v>0</v>
      </c>
      <c r="J92" s="277">
        <f>SUM(J93:J97)</f>
        <v>0</v>
      </c>
      <c r="K92" s="280">
        <f>SUM(K93:K97)</f>
        <v>0</v>
      </c>
      <c r="L92" s="136">
        <f t="shared" si="7"/>
        <v>0</v>
      </c>
      <c r="M92" s="281">
        <f>SUM(M93:M97)</f>
        <v>0</v>
      </c>
      <c r="N92" s="282">
        <f>SUM(N93:N97)</f>
        <v>0</v>
      </c>
      <c r="O92" s="136">
        <f t="shared" si="8"/>
        <v>0</v>
      </c>
      <c r="P92" s="85"/>
      <c r="R92" s="53"/>
      <c r="S92" s="53"/>
      <c r="T92" s="53"/>
    </row>
    <row r="93" spans="1:20" hidden="1" x14ac:dyDescent="0.25">
      <c r="A93" s="76">
        <v>2221</v>
      </c>
      <c r="B93" s="127" t="s">
        <v>109</v>
      </c>
      <c r="C93" s="128">
        <f t="shared" si="4"/>
        <v>0</v>
      </c>
      <c r="D93" s="134"/>
      <c r="E93" s="285"/>
      <c r="F93" s="286">
        <f t="shared" si="5"/>
        <v>0</v>
      </c>
      <c r="G93" s="134"/>
      <c r="H93" s="135"/>
      <c r="I93" s="136">
        <f t="shared" si="6"/>
        <v>0</v>
      </c>
      <c r="J93" s="134"/>
      <c r="K93" s="135"/>
      <c r="L93" s="136">
        <f t="shared" si="7"/>
        <v>0</v>
      </c>
      <c r="M93" s="284"/>
      <c r="N93" s="285"/>
      <c r="O93" s="136">
        <f t="shared" si="8"/>
        <v>0</v>
      </c>
      <c r="P93" s="85"/>
      <c r="R93" s="53"/>
      <c r="S93" s="53"/>
      <c r="T93" s="53"/>
    </row>
    <row r="94" spans="1:20" x14ac:dyDescent="0.25">
      <c r="A94" s="76">
        <v>2222</v>
      </c>
      <c r="B94" s="127" t="s">
        <v>110</v>
      </c>
      <c r="C94" s="128">
        <f t="shared" si="4"/>
        <v>2835</v>
      </c>
      <c r="D94" s="134">
        <v>2835</v>
      </c>
      <c r="E94" s="283"/>
      <c r="F94" s="279">
        <f t="shared" si="5"/>
        <v>2835</v>
      </c>
      <c r="G94" s="134"/>
      <c r="H94" s="135"/>
      <c r="I94" s="136">
        <f t="shared" si="6"/>
        <v>0</v>
      </c>
      <c r="J94" s="134"/>
      <c r="K94" s="135"/>
      <c r="L94" s="136">
        <f t="shared" si="7"/>
        <v>0</v>
      </c>
      <c r="M94" s="284"/>
      <c r="N94" s="285"/>
      <c r="O94" s="136">
        <f t="shared" si="8"/>
        <v>0</v>
      </c>
      <c r="P94" s="85"/>
      <c r="R94" s="53"/>
      <c r="S94" s="53"/>
      <c r="T94" s="53"/>
    </row>
    <row r="95" spans="1:20" x14ac:dyDescent="0.25">
      <c r="A95" s="265">
        <v>2223</v>
      </c>
      <c r="B95" s="266" t="s">
        <v>111</v>
      </c>
      <c r="C95" s="267">
        <f t="shared" si="4"/>
        <v>13864</v>
      </c>
      <c r="D95" s="268">
        <v>13864</v>
      </c>
      <c r="E95" s="269"/>
      <c r="F95" s="270">
        <f t="shared" si="5"/>
        <v>13864</v>
      </c>
      <c r="G95" s="268"/>
      <c r="H95" s="271"/>
      <c r="I95" s="272">
        <f t="shared" si="6"/>
        <v>0</v>
      </c>
      <c r="J95" s="268"/>
      <c r="K95" s="271"/>
      <c r="L95" s="272">
        <f t="shared" si="7"/>
        <v>0</v>
      </c>
      <c r="M95" s="273"/>
      <c r="N95" s="274"/>
      <c r="O95" s="272">
        <f t="shared" si="8"/>
        <v>0</v>
      </c>
      <c r="P95" s="275"/>
      <c r="R95" s="53"/>
      <c r="S95" s="53"/>
      <c r="T95" s="53"/>
    </row>
    <row r="96" spans="1:20" ht="48" x14ac:dyDescent="0.25">
      <c r="A96" s="76">
        <v>2224</v>
      </c>
      <c r="B96" s="127" t="s">
        <v>112</v>
      </c>
      <c r="C96" s="128">
        <f t="shared" si="4"/>
        <v>343</v>
      </c>
      <c r="D96" s="134">
        <v>343</v>
      </c>
      <c r="E96" s="283"/>
      <c r="F96" s="279">
        <f t="shared" si="5"/>
        <v>343</v>
      </c>
      <c r="G96" s="134"/>
      <c r="H96" s="135"/>
      <c r="I96" s="136">
        <f t="shared" si="6"/>
        <v>0</v>
      </c>
      <c r="J96" s="134"/>
      <c r="K96" s="135"/>
      <c r="L96" s="136">
        <f t="shared" si="7"/>
        <v>0</v>
      </c>
      <c r="M96" s="284"/>
      <c r="N96" s="285"/>
      <c r="O96" s="136">
        <f t="shared" si="8"/>
        <v>0</v>
      </c>
      <c r="P96" s="85"/>
      <c r="R96" s="53"/>
      <c r="S96" s="53"/>
      <c r="T96" s="53"/>
    </row>
    <row r="97" spans="1:20" ht="24" hidden="1" x14ac:dyDescent="0.25">
      <c r="A97" s="76">
        <v>2229</v>
      </c>
      <c r="B97" s="127" t="s">
        <v>113</v>
      </c>
      <c r="C97" s="128">
        <f t="shared" si="4"/>
        <v>0</v>
      </c>
      <c r="D97" s="134"/>
      <c r="E97" s="285"/>
      <c r="F97" s="286">
        <f t="shared" si="5"/>
        <v>0</v>
      </c>
      <c r="G97" s="134"/>
      <c r="H97" s="135"/>
      <c r="I97" s="136">
        <f t="shared" si="6"/>
        <v>0</v>
      </c>
      <c r="J97" s="134"/>
      <c r="K97" s="135"/>
      <c r="L97" s="136">
        <f t="shared" si="7"/>
        <v>0</v>
      </c>
      <c r="M97" s="284"/>
      <c r="N97" s="285"/>
      <c r="O97" s="136">
        <f t="shared" si="8"/>
        <v>0</v>
      </c>
      <c r="P97" s="85"/>
      <c r="R97" s="53"/>
      <c r="S97" s="53"/>
      <c r="T97" s="53"/>
    </row>
    <row r="98" spans="1:20" ht="36" x14ac:dyDescent="0.25">
      <c r="A98" s="276">
        <v>2230</v>
      </c>
      <c r="B98" s="127" t="s">
        <v>114</v>
      </c>
      <c r="C98" s="128">
        <f t="shared" si="4"/>
        <v>456</v>
      </c>
      <c r="D98" s="277">
        <f>SUM(D99:D105)</f>
        <v>456</v>
      </c>
      <c r="E98" s="278">
        <f>SUM(E99:E105)</f>
        <v>0</v>
      </c>
      <c r="F98" s="279">
        <f t="shared" si="5"/>
        <v>456</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c r="R98" s="53"/>
      <c r="S98" s="53"/>
      <c r="T98" s="53"/>
    </row>
    <row r="99" spans="1:20" ht="24" hidden="1" x14ac:dyDescent="0.25">
      <c r="A99" s="76">
        <v>2231</v>
      </c>
      <c r="B99" s="127" t="s">
        <v>115</v>
      </c>
      <c r="C99" s="128">
        <f t="shared" si="4"/>
        <v>0</v>
      </c>
      <c r="D99" s="134"/>
      <c r="E99" s="285"/>
      <c r="F99" s="286">
        <f t="shared" si="5"/>
        <v>0</v>
      </c>
      <c r="G99" s="134"/>
      <c r="H99" s="135"/>
      <c r="I99" s="136">
        <f t="shared" si="6"/>
        <v>0</v>
      </c>
      <c r="J99" s="134"/>
      <c r="K99" s="135"/>
      <c r="L99" s="136">
        <f t="shared" si="7"/>
        <v>0</v>
      </c>
      <c r="M99" s="284"/>
      <c r="N99" s="285"/>
      <c r="O99" s="136">
        <f t="shared" si="8"/>
        <v>0</v>
      </c>
      <c r="P99" s="85"/>
      <c r="R99" s="53"/>
      <c r="S99" s="53"/>
      <c r="T99" s="53"/>
    </row>
    <row r="100" spans="1:20" ht="36" hidden="1" x14ac:dyDescent="0.25">
      <c r="A100" s="76">
        <v>2232</v>
      </c>
      <c r="B100" s="127" t="s">
        <v>116</v>
      </c>
      <c r="C100" s="128">
        <f t="shared" si="4"/>
        <v>0</v>
      </c>
      <c r="D100" s="134"/>
      <c r="E100" s="285"/>
      <c r="F100" s="286">
        <f t="shared" si="5"/>
        <v>0</v>
      </c>
      <c r="G100" s="134"/>
      <c r="H100" s="135"/>
      <c r="I100" s="136">
        <f t="shared" si="6"/>
        <v>0</v>
      </c>
      <c r="J100" s="134"/>
      <c r="K100" s="135"/>
      <c r="L100" s="136">
        <f t="shared" si="7"/>
        <v>0</v>
      </c>
      <c r="M100" s="284"/>
      <c r="N100" s="285"/>
      <c r="O100" s="136">
        <f t="shared" si="8"/>
        <v>0</v>
      </c>
      <c r="P100" s="85"/>
      <c r="R100" s="53"/>
      <c r="S100" s="53"/>
      <c r="T100" s="53"/>
    </row>
    <row r="101" spans="1:20" ht="24" hidden="1" x14ac:dyDescent="0.25">
      <c r="A101" s="66">
        <v>2233</v>
      </c>
      <c r="B101" s="116" t="s">
        <v>117</v>
      </c>
      <c r="C101" s="128">
        <f t="shared" si="4"/>
        <v>0</v>
      </c>
      <c r="D101" s="123"/>
      <c r="E101" s="262"/>
      <c r="F101" s="263">
        <f t="shared" si="5"/>
        <v>0</v>
      </c>
      <c r="G101" s="123"/>
      <c r="H101" s="124"/>
      <c r="I101" s="125">
        <f t="shared" si="6"/>
        <v>0</v>
      </c>
      <c r="J101" s="123"/>
      <c r="K101" s="124"/>
      <c r="L101" s="125">
        <f t="shared" si="7"/>
        <v>0</v>
      </c>
      <c r="M101" s="264"/>
      <c r="N101" s="262"/>
      <c r="O101" s="125">
        <f t="shared" si="8"/>
        <v>0</v>
      </c>
      <c r="P101" s="74"/>
      <c r="R101" s="53"/>
      <c r="S101" s="53"/>
      <c r="T101" s="53"/>
    </row>
    <row r="102" spans="1:20" ht="36" hidden="1" x14ac:dyDescent="0.25">
      <c r="A102" s="76">
        <v>2234</v>
      </c>
      <c r="B102" s="127" t="s">
        <v>118</v>
      </c>
      <c r="C102" s="128">
        <f t="shared" si="4"/>
        <v>0</v>
      </c>
      <c r="D102" s="134"/>
      <c r="E102" s="285"/>
      <c r="F102" s="286">
        <f t="shared" si="5"/>
        <v>0</v>
      </c>
      <c r="G102" s="134"/>
      <c r="H102" s="135"/>
      <c r="I102" s="136">
        <f t="shared" si="6"/>
        <v>0</v>
      </c>
      <c r="J102" s="134"/>
      <c r="K102" s="135"/>
      <c r="L102" s="136">
        <f t="shared" si="7"/>
        <v>0</v>
      </c>
      <c r="M102" s="284"/>
      <c r="N102" s="285"/>
      <c r="O102" s="136">
        <f t="shared" si="8"/>
        <v>0</v>
      </c>
      <c r="P102" s="85"/>
      <c r="R102" s="53"/>
      <c r="S102" s="53"/>
      <c r="T102" s="53"/>
    </row>
    <row r="103" spans="1:20" ht="24" x14ac:dyDescent="0.25">
      <c r="A103" s="76">
        <v>2235</v>
      </c>
      <c r="B103" s="127" t="s">
        <v>119</v>
      </c>
      <c r="C103" s="128">
        <f t="shared" si="4"/>
        <v>32</v>
      </c>
      <c r="D103" s="134">
        <v>32</v>
      </c>
      <c r="E103" s="283"/>
      <c r="F103" s="279">
        <f t="shared" si="5"/>
        <v>32</v>
      </c>
      <c r="G103" s="134"/>
      <c r="H103" s="135"/>
      <c r="I103" s="136">
        <f t="shared" si="6"/>
        <v>0</v>
      </c>
      <c r="J103" s="134"/>
      <c r="K103" s="135"/>
      <c r="L103" s="136">
        <f t="shared" si="7"/>
        <v>0</v>
      </c>
      <c r="M103" s="284"/>
      <c r="N103" s="285"/>
      <c r="O103" s="136">
        <f t="shared" si="8"/>
        <v>0</v>
      </c>
      <c r="P103" s="85"/>
      <c r="R103" s="53"/>
      <c r="S103" s="53"/>
      <c r="T103" s="53"/>
    </row>
    <row r="104" spans="1:20" hidden="1" x14ac:dyDescent="0.25">
      <c r="A104" s="76">
        <v>2236</v>
      </c>
      <c r="B104" s="127" t="s">
        <v>120</v>
      </c>
      <c r="C104" s="128">
        <f t="shared" si="4"/>
        <v>0</v>
      </c>
      <c r="D104" s="134"/>
      <c r="E104" s="285"/>
      <c r="F104" s="286">
        <f t="shared" si="5"/>
        <v>0</v>
      </c>
      <c r="G104" s="134"/>
      <c r="H104" s="135"/>
      <c r="I104" s="136">
        <f t="shared" si="6"/>
        <v>0</v>
      </c>
      <c r="J104" s="134"/>
      <c r="K104" s="135"/>
      <c r="L104" s="136">
        <f t="shared" si="7"/>
        <v>0</v>
      </c>
      <c r="M104" s="284"/>
      <c r="N104" s="285"/>
      <c r="O104" s="136">
        <f t="shared" si="8"/>
        <v>0</v>
      </c>
      <c r="P104" s="85"/>
      <c r="R104" s="53"/>
      <c r="S104" s="53"/>
      <c r="T104" s="53"/>
    </row>
    <row r="105" spans="1:20" ht="24" x14ac:dyDescent="0.25">
      <c r="A105" s="76">
        <v>2239</v>
      </c>
      <c r="B105" s="127" t="s">
        <v>121</v>
      </c>
      <c r="C105" s="128">
        <f t="shared" si="4"/>
        <v>424</v>
      </c>
      <c r="D105" s="134">
        <v>424</v>
      </c>
      <c r="E105" s="283"/>
      <c r="F105" s="279">
        <f t="shared" si="5"/>
        <v>424</v>
      </c>
      <c r="G105" s="134"/>
      <c r="H105" s="135"/>
      <c r="I105" s="136">
        <f t="shared" si="6"/>
        <v>0</v>
      </c>
      <c r="J105" s="134"/>
      <c r="K105" s="135"/>
      <c r="L105" s="136">
        <f t="shared" si="7"/>
        <v>0</v>
      </c>
      <c r="M105" s="284"/>
      <c r="N105" s="285"/>
      <c r="O105" s="136">
        <f t="shared" si="8"/>
        <v>0</v>
      </c>
      <c r="P105" s="85"/>
      <c r="R105" s="53"/>
      <c r="S105" s="53"/>
      <c r="T105" s="53"/>
    </row>
    <row r="106" spans="1:20" ht="36" x14ac:dyDescent="0.25">
      <c r="A106" s="276">
        <v>2240</v>
      </c>
      <c r="B106" s="127" t="s">
        <v>122</v>
      </c>
      <c r="C106" s="128">
        <f t="shared" si="4"/>
        <v>5429</v>
      </c>
      <c r="D106" s="277">
        <f>SUM(D107:D114)</f>
        <v>5429</v>
      </c>
      <c r="E106" s="278">
        <f>SUM(E107:E114)</f>
        <v>0</v>
      </c>
      <c r="F106" s="279">
        <f t="shared" si="5"/>
        <v>5429</v>
      </c>
      <c r="G106" s="277">
        <f>SUM(G107:G114)</f>
        <v>0</v>
      </c>
      <c r="H106" s="280">
        <f>SUM(H107:H114)</f>
        <v>0</v>
      </c>
      <c r="I106" s="136">
        <f t="shared" si="6"/>
        <v>0</v>
      </c>
      <c r="J106" s="277">
        <f>SUM(J107:J114)</f>
        <v>0</v>
      </c>
      <c r="K106" s="280">
        <f>SUM(K107:K114)</f>
        <v>0</v>
      </c>
      <c r="L106" s="136">
        <f t="shared" si="7"/>
        <v>0</v>
      </c>
      <c r="M106" s="281">
        <f>SUM(M107:M114)</f>
        <v>0</v>
      </c>
      <c r="N106" s="282">
        <f>SUM(N107:N114)</f>
        <v>0</v>
      </c>
      <c r="O106" s="136">
        <f t="shared" si="8"/>
        <v>0</v>
      </c>
      <c r="P106" s="85"/>
      <c r="R106" s="53"/>
      <c r="S106" s="53"/>
      <c r="T106" s="53"/>
    </row>
    <row r="107" spans="1:20" hidden="1" x14ac:dyDescent="0.25">
      <c r="A107" s="76">
        <v>2241</v>
      </c>
      <c r="B107" s="127" t="s">
        <v>123</v>
      </c>
      <c r="C107" s="128">
        <f t="shared" si="4"/>
        <v>0</v>
      </c>
      <c r="D107" s="134"/>
      <c r="E107" s="285"/>
      <c r="F107" s="286">
        <f t="shared" si="5"/>
        <v>0</v>
      </c>
      <c r="G107" s="134"/>
      <c r="H107" s="135"/>
      <c r="I107" s="136">
        <f t="shared" si="6"/>
        <v>0</v>
      </c>
      <c r="J107" s="134"/>
      <c r="K107" s="135"/>
      <c r="L107" s="136">
        <f t="shared" si="7"/>
        <v>0</v>
      </c>
      <c r="M107" s="284"/>
      <c r="N107" s="285"/>
      <c r="O107" s="136">
        <f t="shared" si="8"/>
        <v>0</v>
      </c>
      <c r="P107" s="85"/>
      <c r="R107" s="53"/>
      <c r="S107" s="53"/>
      <c r="T107" s="53"/>
    </row>
    <row r="108" spans="1:20" ht="24" hidden="1" x14ac:dyDescent="0.25">
      <c r="A108" s="76">
        <v>2242</v>
      </c>
      <c r="B108" s="127" t="s">
        <v>124</v>
      </c>
      <c r="C108" s="128">
        <f t="shared" si="4"/>
        <v>0</v>
      </c>
      <c r="D108" s="134"/>
      <c r="E108" s="285"/>
      <c r="F108" s="286">
        <f t="shared" si="5"/>
        <v>0</v>
      </c>
      <c r="G108" s="134"/>
      <c r="H108" s="135"/>
      <c r="I108" s="136">
        <f t="shared" si="6"/>
        <v>0</v>
      </c>
      <c r="J108" s="134"/>
      <c r="K108" s="135"/>
      <c r="L108" s="136">
        <f t="shared" si="7"/>
        <v>0</v>
      </c>
      <c r="M108" s="284"/>
      <c r="N108" s="285"/>
      <c r="O108" s="136">
        <f t="shared" si="8"/>
        <v>0</v>
      </c>
      <c r="P108" s="85"/>
      <c r="R108" s="53"/>
      <c r="S108" s="53"/>
      <c r="T108" s="53"/>
    </row>
    <row r="109" spans="1:20" ht="24" x14ac:dyDescent="0.25">
      <c r="A109" s="265">
        <v>2243</v>
      </c>
      <c r="B109" s="266" t="s">
        <v>125</v>
      </c>
      <c r="C109" s="267">
        <f t="shared" si="4"/>
        <v>286</v>
      </c>
      <c r="D109" s="268">
        <v>286</v>
      </c>
      <c r="E109" s="269"/>
      <c r="F109" s="270">
        <f t="shared" si="5"/>
        <v>286</v>
      </c>
      <c r="G109" s="268"/>
      <c r="H109" s="271"/>
      <c r="I109" s="272">
        <f t="shared" si="6"/>
        <v>0</v>
      </c>
      <c r="J109" s="268"/>
      <c r="K109" s="271"/>
      <c r="L109" s="272">
        <f t="shared" si="7"/>
        <v>0</v>
      </c>
      <c r="M109" s="273"/>
      <c r="N109" s="274"/>
      <c r="O109" s="272">
        <f t="shared" si="8"/>
        <v>0</v>
      </c>
      <c r="P109" s="275"/>
      <c r="R109" s="53"/>
      <c r="S109" s="53"/>
      <c r="T109" s="53"/>
    </row>
    <row r="110" spans="1:20" x14ac:dyDescent="0.25">
      <c r="A110" s="265">
        <v>2244</v>
      </c>
      <c r="B110" s="266" t="s">
        <v>126</v>
      </c>
      <c r="C110" s="267">
        <f t="shared" si="4"/>
        <v>5055</v>
      </c>
      <c r="D110" s="268">
        <v>5055</v>
      </c>
      <c r="E110" s="269"/>
      <c r="F110" s="270">
        <f t="shared" si="5"/>
        <v>5055</v>
      </c>
      <c r="G110" s="268"/>
      <c r="H110" s="271"/>
      <c r="I110" s="272">
        <f t="shared" si="6"/>
        <v>0</v>
      </c>
      <c r="J110" s="268"/>
      <c r="K110" s="271"/>
      <c r="L110" s="272">
        <f t="shared" si="7"/>
        <v>0</v>
      </c>
      <c r="M110" s="273"/>
      <c r="N110" s="274"/>
      <c r="O110" s="272">
        <f t="shared" si="8"/>
        <v>0</v>
      </c>
      <c r="P110" s="275"/>
      <c r="R110" s="53"/>
      <c r="S110" s="53"/>
      <c r="T110" s="53"/>
    </row>
    <row r="111" spans="1:20" ht="24" hidden="1" x14ac:dyDescent="0.25">
      <c r="A111" s="76">
        <v>2246</v>
      </c>
      <c r="B111" s="127" t="s">
        <v>127</v>
      </c>
      <c r="C111" s="128">
        <f t="shared" si="4"/>
        <v>0</v>
      </c>
      <c r="D111" s="134"/>
      <c r="E111" s="285"/>
      <c r="F111" s="286">
        <f t="shared" si="5"/>
        <v>0</v>
      </c>
      <c r="G111" s="134"/>
      <c r="H111" s="135"/>
      <c r="I111" s="136">
        <f t="shared" si="6"/>
        <v>0</v>
      </c>
      <c r="J111" s="134"/>
      <c r="K111" s="135"/>
      <c r="L111" s="136">
        <f t="shared" si="7"/>
        <v>0</v>
      </c>
      <c r="M111" s="284"/>
      <c r="N111" s="285"/>
      <c r="O111" s="136">
        <f t="shared" si="8"/>
        <v>0</v>
      </c>
      <c r="P111" s="85"/>
      <c r="R111" s="53"/>
      <c r="S111" s="53"/>
      <c r="T111" s="53"/>
    </row>
    <row r="112" spans="1:20" hidden="1" x14ac:dyDescent="0.25">
      <c r="A112" s="76">
        <v>2247</v>
      </c>
      <c r="B112" s="127" t="s">
        <v>128</v>
      </c>
      <c r="C112" s="128">
        <f t="shared" si="4"/>
        <v>0</v>
      </c>
      <c r="D112" s="134"/>
      <c r="E112" s="285"/>
      <c r="F112" s="286">
        <f t="shared" si="5"/>
        <v>0</v>
      </c>
      <c r="G112" s="134"/>
      <c r="H112" s="135"/>
      <c r="I112" s="136">
        <f t="shared" si="6"/>
        <v>0</v>
      </c>
      <c r="J112" s="134"/>
      <c r="K112" s="135"/>
      <c r="L112" s="136">
        <f t="shared" si="7"/>
        <v>0</v>
      </c>
      <c r="M112" s="284"/>
      <c r="N112" s="285"/>
      <c r="O112" s="136">
        <f t="shared" si="8"/>
        <v>0</v>
      </c>
      <c r="P112" s="85"/>
      <c r="R112" s="53"/>
      <c r="S112" s="53"/>
      <c r="T112" s="53"/>
    </row>
    <row r="113" spans="1:20" ht="24" hidden="1" x14ac:dyDescent="0.25">
      <c r="A113" s="76">
        <v>2248</v>
      </c>
      <c r="B113" s="127" t="s">
        <v>129</v>
      </c>
      <c r="C113" s="128">
        <f t="shared" si="4"/>
        <v>0</v>
      </c>
      <c r="D113" s="134"/>
      <c r="E113" s="285"/>
      <c r="F113" s="286">
        <f t="shared" si="5"/>
        <v>0</v>
      </c>
      <c r="G113" s="134"/>
      <c r="H113" s="135"/>
      <c r="I113" s="136">
        <f t="shared" si="6"/>
        <v>0</v>
      </c>
      <c r="J113" s="134"/>
      <c r="K113" s="135"/>
      <c r="L113" s="136">
        <f t="shared" si="7"/>
        <v>0</v>
      </c>
      <c r="M113" s="284"/>
      <c r="N113" s="285"/>
      <c r="O113" s="136">
        <f t="shared" si="8"/>
        <v>0</v>
      </c>
      <c r="P113" s="85"/>
      <c r="R113" s="53"/>
      <c r="S113" s="53"/>
      <c r="T113" s="53"/>
    </row>
    <row r="114" spans="1:20" ht="24" x14ac:dyDescent="0.25">
      <c r="A114" s="265">
        <v>2249</v>
      </c>
      <c r="B114" s="266" t="s">
        <v>130</v>
      </c>
      <c r="C114" s="267">
        <f t="shared" si="4"/>
        <v>88</v>
      </c>
      <c r="D114" s="268">
        <v>88</v>
      </c>
      <c r="E114" s="269"/>
      <c r="F114" s="270">
        <f t="shared" si="5"/>
        <v>88</v>
      </c>
      <c r="G114" s="268"/>
      <c r="H114" s="271"/>
      <c r="I114" s="272">
        <f t="shared" si="6"/>
        <v>0</v>
      </c>
      <c r="J114" s="268"/>
      <c r="K114" s="271"/>
      <c r="L114" s="272">
        <f t="shared" si="7"/>
        <v>0</v>
      </c>
      <c r="M114" s="273"/>
      <c r="N114" s="274"/>
      <c r="O114" s="272">
        <f t="shared" si="8"/>
        <v>0</v>
      </c>
      <c r="P114" s="275"/>
      <c r="R114" s="53"/>
      <c r="S114" s="53"/>
      <c r="T114" s="53"/>
    </row>
    <row r="115" spans="1:20" x14ac:dyDescent="0.25">
      <c r="A115" s="276">
        <v>2250</v>
      </c>
      <c r="B115" s="127" t="s">
        <v>131</v>
      </c>
      <c r="C115" s="128">
        <f t="shared" si="4"/>
        <v>166</v>
      </c>
      <c r="D115" s="277">
        <f>SUM(D116:D118)</f>
        <v>166</v>
      </c>
      <c r="E115" s="278">
        <f>SUM(E116:E118)</f>
        <v>0</v>
      </c>
      <c r="F115" s="279">
        <f t="shared" si="5"/>
        <v>166</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c r="R115" s="53"/>
      <c r="S115" s="53"/>
      <c r="T115" s="53"/>
    </row>
    <row r="116" spans="1:20" x14ac:dyDescent="0.25">
      <c r="A116" s="76">
        <v>2251</v>
      </c>
      <c r="B116" s="127" t="s">
        <v>132</v>
      </c>
      <c r="C116" s="128">
        <f t="shared" si="4"/>
        <v>166</v>
      </c>
      <c r="D116" s="134">
        <v>166</v>
      </c>
      <c r="E116" s="283"/>
      <c r="F116" s="279">
        <f t="shared" si="5"/>
        <v>166</v>
      </c>
      <c r="G116" s="134"/>
      <c r="H116" s="135"/>
      <c r="I116" s="136">
        <f t="shared" si="6"/>
        <v>0</v>
      </c>
      <c r="J116" s="134"/>
      <c r="K116" s="135"/>
      <c r="L116" s="136">
        <f t="shared" si="7"/>
        <v>0</v>
      </c>
      <c r="M116" s="284"/>
      <c r="N116" s="285"/>
      <c r="O116" s="136">
        <f t="shared" si="8"/>
        <v>0</v>
      </c>
      <c r="P116" s="85"/>
      <c r="R116" s="53"/>
      <c r="S116" s="53"/>
      <c r="T116" s="53"/>
    </row>
    <row r="117" spans="1:20" ht="24" hidden="1" x14ac:dyDescent="0.25">
      <c r="A117" s="76">
        <v>2252</v>
      </c>
      <c r="B117" s="127" t="s">
        <v>133</v>
      </c>
      <c r="C117" s="128">
        <f t="shared" ref="C117:C181" si="9">F117+I117+L117+O117</f>
        <v>0</v>
      </c>
      <c r="D117" s="134"/>
      <c r="E117" s="285"/>
      <c r="F117" s="286">
        <f t="shared" si="5"/>
        <v>0</v>
      </c>
      <c r="G117" s="134"/>
      <c r="H117" s="135"/>
      <c r="I117" s="136">
        <f t="shared" si="6"/>
        <v>0</v>
      </c>
      <c r="J117" s="134"/>
      <c r="K117" s="135"/>
      <c r="L117" s="136">
        <f t="shared" si="7"/>
        <v>0</v>
      </c>
      <c r="M117" s="284"/>
      <c r="N117" s="285"/>
      <c r="O117" s="136">
        <f t="shared" si="8"/>
        <v>0</v>
      </c>
      <c r="P117" s="85"/>
      <c r="R117" s="53"/>
      <c r="S117" s="53"/>
      <c r="T117" s="53"/>
    </row>
    <row r="118" spans="1:20" ht="24" hidden="1" x14ac:dyDescent="0.25">
      <c r="A118" s="76">
        <v>2259</v>
      </c>
      <c r="B118" s="127" t="s">
        <v>134</v>
      </c>
      <c r="C118" s="128">
        <f t="shared" si="9"/>
        <v>0</v>
      </c>
      <c r="D118" s="134"/>
      <c r="E118" s="285"/>
      <c r="F118" s="286">
        <f t="shared" ref="F118:F182" si="10">D118+E118</f>
        <v>0</v>
      </c>
      <c r="G118" s="134"/>
      <c r="H118" s="135"/>
      <c r="I118" s="136">
        <f t="shared" ref="I118:I182" si="11">G118+H118</f>
        <v>0</v>
      </c>
      <c r="J118" s="134"/>
      <c r="K118" s="135"/>
      <c r="L118" s="136">
        <f t="shared" ref="L118:L182" si="12">J118+K118</f>
        <v>0</v>
      </c>
      <c r="M118" s="284"/>
      <c r="N118" s="285"/>
      <c r="O118" s="136">
        <f t="shared" ref="O118:O182" si="13">M118+N118</f>
        <v>0</v>
      </c>
      <c r="P118" s="85"/>
      <c r="R118" s="53"/>
      <c r="S118" s="53"/>
      <c r="T118" s="53"/>
    </row>
    <row r="119" spans="1:20" x14ac:dyDescent="0.25">
      <c r="A119" s="276">
        <v>2260</v>
      </c>
      <c r="B119" s="127" t="s">
        <v>135</v>
      </c>
      <c r="C119" s="128">
        <f t="shared" si="9"/>
        <v>24</v>
      </c>
      <c r="D119" s="277">
        <f>SUM(D120:D124)</f>
        <v>24</v>
      </c>
      <c r="E119" s="278">
        <f>SUM(E120:E124)</f>
        <v>0</v>
      </c>
      <c r="F119" s="279">
        <f t="shared" si="10"/>
        <v>24</v>
      </c>
      <c r="G119" s="277">
        <f>SUM(G120:G124)</f>
        <v>0</v>
      </c>
      <c r="H119" s="280">
        <f>SUM(H120:H124)</f>
        <v>0</v>
      </c>
      <c r="I119" s="136">
        <f t="shared" si="11"/>
        <v>0</v>
      </c>
      <c r="J119" s="277">
        <f>SUM(J120:J124)</f>
        <v>0</v>
      </c>
      <c r="K119" s="280">
        <f>SUM(K120:K124)</f>
        <v>0</v>
      </c>
      <c r="L119" s="136">
        <f t="shared" si="12"/>
        <v>0</v>
      </c>
      <c r="M119" s="281">
        <f>SUM(M120:M124)</f>
        <v>0</v>
      </c>
      <c r="N119" s="282">
        <f>SUM(N120:N124)</f>
        <v>0</v>
      </c>
      <c r="O119" s="136">
        <f t="shared" si="13"/>
        <v>0</v>
      </c>
      <c r="P119" s="85"/>
      <c r="R119" s="53"/>
      <c r="S119" s="53"/>
      <c r="T119" s="53"/>
    </row>
    <row r="120" spans="1:20" hidden="1" x14ac:dyDescent="0.25">
      <c r="A120" s="76">
        <v>2261</v>
      </c>
      <c r="B120" s="127" t="s">
        <v>136</v>
      </c>
      <c r="C120" s="128">
        <f t="shared" si="9"/>
        <v>0</v>
      </c>
      <c r="D120" s="134"/>
      <c r="E120" s="285"/>
      <c r="F120" s="286">
        <f t="shared" si="10"/>
        <v>0</v>
      </c>
      <c r="G120" s="134"/>
      <c r="H120" s="135"/>
      <c r="I120" s="136">
        <f t="shared" si="11"/>
        <v>0</v>
      </c>
      <c r="J120" s="134"/>
      <c r="K120" s="135"/>
      <c r="L120" s="136">
        <f t="shared" si="12"/>
        <v>0</v>
      </c>
      <c r="M120" s="284"/>
      <c r="N120" s="285"/>
      <c r="O120" s="136">
        <f t="shared" si="13"/>
        <v>0</v>
      </c>
      <c r="P120" s="85"/>
      <c r="R120" s="53"/>
      <c r="S120" s="53"/>
      <c r="T120" s="53"/>
    </row>
    <row r="121" spans="1:20" hidden="1" x14ac:dyDescent="0.25">
      <c r="A121" s="76">
        <v>2262</v>
      </c>
      <c r="B121" s="127" t="s">
        <v>137</v>
      </c>
      <c r="C121" s="128">
        <f t="shared" si="9"/>
        <v>0</v>
      </c>
      <c r="D121" s="134"/>
      <c r="E121" s="285"/>
      <c r="F121" s="286">
        <f t="shared" si="10"/>
        <v>0</v>
      </c>
      <c r="G121" s="134"/>
      <c r="H121" s="135"/>
      <c r="I121" s="136">
        <f t="shared" si="11"/>
        <v>0</v>
      </c>
      <c r="J121" s="134"/>
      <c r="K121" s="135"/>
      <c r="L121" s="136">
        <f t="shared" si="12"/>
        <v>0</v>
      </c>
      <c r="M121" s="284"/>
      <c r="N121" s="285"/>
      <c r="O121" s="136">
        <f t="shared" si="13"/>
        <v>0</v>
      </c>
      <c r="P121" s="85"/>
      <c r="R121" s="53"/>
      <c r="S121" s="53"/>
      <c r="T121" s="53"/>
    </row>
    <row r="122" spans="1:20" hidden="1" x14ac:dyDescent="0.25">
      <c r="A122" s="76">
        <v>2263</v>
      </c>
      <c r="B122" s="127" t="s">
        <v>138</v>
      </c>
      <c r="C122" s="128">
        <f t="shared" si="9"/>
        <v>0</v>
      </c>
      <c r="D122" s="134"/>
      <c r="E122" s="285"/>
      <c r="F122" s="286">
        <f t="shared" si="10"/>
        <v>0</v>
      </c>
      <c r="G122" s="134"/>
      <c r="H122" s="135"/>
      <c r="I122" s="136">
        <f t="shared" si="11"/>
        <v>0</v>
      </c>
      <c r="J122" s="134"/>
      <c r="K122" s="135"/>
      <c r="L122" s="136">
        <f t="shared" si="12"/>
        <v>0</v>
      </c>
      <c r="M122" s="284"/>
      <c r="N122" s="285"/>
      <c r="O122" s="136">
        <f t="shared" si="13"/>
        <v>0</v>
      </c>
      <c r="P122" s="85"/>
      <c r="R122" s="53"/>
      <c r="S122" s="53"/>
      <c r="T122" s="53"/>
    </row>
    <row r="123" spans="1:20" ht="24" hidden="1" x14ac:dyDescent="0.25">
      <c r="A123" s="76">
        <v>2264</v>
      </c>
      <c r="B123" s="127" t="s">
        <v>139</v>
      </c>
      <c r="C123" s="128">
        <f t="shared" si="9"/>
        <v>0</v>
      </c>
      <c r="D123" s="134"/>
      <c r="E123" s="285"/>
      <c r="F123" s="286">
        <f t="shared" si="10"/>
        <v>0</v>
      </c>
      <c r="G123" s="134"/>
      <c r="H123" s="135"/>
      <c r="I123" s="136">
        <f t="shared" si="11"/>
        <v>0</v>
      </c>
      <c r="J123" s="134"/>
      <c r="K123" s="135"/>
      <c r="L123" s="136">
        <f t="shared" si="12"/>
        <v>0</v>
      </c>
      <c r="M123" s="284"/>
      <c r="N123" s="285"/>
      <c r="O123" s="136">
        <f t="shared" si="13"/>
        <v>0</v>
      </c>
      <c r="P123" s="85"/>
      <c r="R123" s="53"/>
      <c r="S123" s="53"/>
      <c r="T123" s="53"/>
    </row>
    <row r="124" spans="1:20" x14ac:dyDescent="0.25">
      <c r="A124" s="76">
        <v>2269</v>
      </c>
      <c r="B124" s="127" t="s">
        <v>140</v>
      </c>
      <c r="C124" s="128">
        <f t="shared" si="9"/>
        <v>24</v>
      </c>
      <c r="D124" s="134">
        <v>24</v>
      </c>
      <c r="E124" s="283"/>
      <c r="F124" s="279">
        <f t="shared" si="10"/>
        <v>24</v>
      </c>
      <c r="G124" s="134"/>
      <c r="H124" s="135"/>
      <c r="I124" s="136">
        <f t="shared" si="11"/>
        <v>0</v>
      </c>
      <c r="J124" s="134"/>
      <c r="K124" s="135"/>
      <c r="L124" s="136">
        <f t="shared" si="12"/>
        <v>0</v>
      </c>
      <c r="M124" s="284"/>
      <c r="N124" s="285"/>
      <c r="O124" s="136">
        <f t="shared" si="13"/>
        <v>0</v>
      </c>
      <c r="P124" s="85"/>
      <c r="R124" s="53"/>
      <c r="S124" s="53"/>
      <c r="T124" s="53"/>
    </row>
    <row r="125" spans="1:20" x14ac:dyDescent="0.25">
      <c r="A125" s="276">
        <v>2270</v>
      </c>
      <c r="B125" s="127" t="s">
        <v>141</v>
      </c>
      <c r="C125" s="128">
        <f t="shared" si="9"/>
        <v>76</v>
      </c>
      <c r="D125" s="277">
        <f>SUM(D126:D130)</f>
        <v>28</v>
      </c>
      <c r="E125" s="278">
        <f>SUM(E126:E130)</f>
        <v>0</v>
      </c>
      <c r="F125" s="279">
        <f t="shared" si="10"/>
        <v>28</v>
      </c>
      <c r="G125" s="277">
        <f>SUM(G126:G130)</f>
        <v>0</v>
      </c>
      <c r="H125" s="280">
        <f>SUM(H126:H130)</f>
        <v>0</v>
      </c>
      <c r="I125" s="136">
        <f t="shared" si="11"/>
        <v>0</v>
      </c>
      <c r="J125" s="277">
        <f>SUM(J126:J130)</f>
        <v>48</v>
      </c>
      <c r="K125" s="280">
        <f>SUM(K126:K130)</f>
        <v>0</v>
      </c>
      <c r="L125" s="136">
        <f t="shared" si="12"/>
        <v>48</v>
      </c>
      <c r="M125" s="281">
        <f>SUM(M126:M130)</f>
        <v>0</v>
      </c>
      <c r="N125" s="282">
        <f>SUM(N126:N130)</f>
        <v>0</v>
      </c>
      <c r="O125" s="136">
        <f t="shared" si="13"/>
        <v>0</v>
      </c>
      <c r="P125" s="85"/>
      <c r="R125" s="53"/>
      <c r="S125" s="53"/>
      <c r="T125" s="53"/>
    </row>
    <row r="126" spans="1:20" hidden="1" x14ac:dyDescent="0.25">
      <c r="A126" s="76">
        <v>2272</v>
      </c>
      <c r="B126" s="5" t="s">
        <v>142</v>
      </c>
      <c r="C126" s="128">
        <f t="shared" si="9"/>
        <v>0</v>
      </c>
      <c r="D126" s="134"/>
      <c r="E126" s="285"/>
      <c r="F126" s="286">
        <f t="shared" si="10"/>
        <v>0</v>
      </c>
      <c r="G126" s="134"/>
      <c r="H126" s="135"/>
      <c r="I126" s="136">
        <f t="shared" si="11"/>
        <v>0</v>
      </c>
      <c r="J126" s="134"/>
      <c r="K126" s="135"/>
      <c r="L126" s="136">
        <f t="shared" si="12"/>
        <v>0</v>
      </c>
      <c r="M126" s="284"/>
      <c r="N126" s="285"/>
      <c r="O126" s="136">
        <f t="shared" si="13"/>
        <v>0</v>
      </c>
      <c r="P126" s="85"/>
      <c r="R126" s="53"/>
      <c r="S126" s="53"/>
      <c r="T126" s="53"/>
    </row>
    <row r="127" spans="1:20" ht="24" hidden="1" x14ac:dyDescent="0.25">
      <c r="A127" s="76">
        <v>2275</v>
      </c>
      <c r="B127" s="127" t="s">
        <v>143</v>
      </c>
      <c r="C127" s="128">
        <f t="shared" si="9"/>
        <v>0</v>
      </c>
      <c r="D127" s="134"/>
      <c r="E127" s="285"/>
      <c r="F127" s="286">
        <f t="shared" si="10"/>
        <v>0</v>
      </c>
      <c r="G127" s="134"/>
      <c r="H127" s="135"/>
      <c r="I127" s="136">
        <f t="shared" si="11"/>
        <v>0</v>
      </c>
      <c r="J127" s="134"/>
      <c r="K127" s="135"/>
      <c r="L127" s="136">
        <f t="shared" si="12"/>
        <v>0</v>
      </c>
      <c r="M127" s="284"/>
      <c r="N127" s="285"/>
      <c r="O127" s="136">
        <f t="shared" si="13"/>
        <v>0</v>
      </c>
      <c r="P127" s="85"/>
      <c r="R127" s="53"/>
      <c r="S127" s="53"/>
      <c r="T127" s="53"/>
    </row>
    <row r="128" spans="1:20" ht="36" hidden="1" x14ac:dyDescent="0.25">
      <c r="A128" s="76">
        <v>2276</v>
      </c>
      <c r="B128" s="127" t="s">
        <v>144</v>
      </c>
      <c r="C128" s="128">
        <f t="shared" si="9"/>
        <v>0</v>
      </c>
      <c r="D128" s="134"/>
      <c r="E128" s="285"/>
      <c r="F128" s="286">
        <f t="shared" si="10"/>
        <v>0</v>
      </c>
      <c r="G128" s="134"/>
      <c r="H128" s="135"/>
      <c r="I128" s="136">
        <f t="shared" si="11"/>
        <v>0</v>
      </c>
      <c r="J128" s="134"/>
      <c r="K128" s="135"/>
      <c r="L128" s="136">
        <f t="shared" si="12"/>
        <v>0</v>
      </c>
      <c r="M128" s="284"/>
      <c r="N128" s="285"/>
      <c r="O128" s="136">
        <f t="shared" si="13"/>
        <v>0</v>
      </c>
      <c r="P128" s="85"/>
      <c r="R128" s="53"/>
      <c r="S128" s="53"/>
      <c r="T128" s="53"/>
    </row>
    <row r="129" spans="1:20" ht="24" hidden="1" x14ac:dyDescent="0.25">
      <c r="A129" s="76">
        <v>2278</v>
      </c>
      <c r="B129" s="127" t="s">
        <v>145</v>
      </c>
      <c r="C129" s="128">
        <f t="shared" si="9"/>
        <v>0</v>
      </c>
      <c r="D129" s="134"/>
      <c r="E129" s="285"/>
      <c r="F129" s="286">
        <f t="shared" si="10"/>
        <v>0</v>
      </c>
      <c r="G129" s="134"/>
      <c r="H129" s="135"/>
      <c r="I129" s="136">
        <f t="shared" si="11"/>
        <v>0</v>
      </c>
      <c r="J129" s="134"/>
      <c r="K129" s="135"/>
      <c r="L129" s="136">
        <f t="shared" si="12"/>
        <v>0</v>
      </c>
      <c r="M129" s="284"/>
      <c r="N129" s="285"/>
      <c r="O129" s="136">
        <f t="shared" si="13"/>
        <v>0</v>
      </c>
      <c r="P129" s="85"/>
      <c r="R129" s="53"/>
      <c r="S129" s="53"/>
      <c r="T129" s="53"/>
    </row>
    <row r="130" spans="1:20" ht="24" x14ac:dyDescent="0.25">
      <c r="A130" s="265">
        <v>2279</v>
      </c>
      <c r="B130" s="266" t="s">
        <v>146</v>
      </c>
      <c r="C130" s="267">
        <f t="shared" si="9"/>
        <v>76</v>
      </c>
      <c r="D130" s="268">
        <v>28</v>
      </c>
      <c r="E130" s="269"/>
      <c r="F130" s="270">
        <f t="shared" si="10"/>
        <v>28</v>
      </c>
      <c r="G130" s="268"/>
      <c r="H130" s="271"/>
      <c r="I130" s="272">
        <f t="shared" si="11"/>
        <v>0</v>
      </c>
      <c r="J130" s="268">
        <v>48</v>
      </c>
      <c r="K130" s="271"/>
      <c r="L130" s="272">
        <f t="shared" si="12"/>
        <v>48</v>
      </c>
      <c r="M130" s="273"/>
      <c r="N130" s="274"/>
      <c r="O130" s="272">
        <f t="shared" si="13"/>
        <v>0</v>
      </c>
      <c r="P130" s="275"/>
      <c r="R130" s="53"/>
      <c r="S130" s="53"/>
      <c r="T130" s="53"/>
    </row>
    <row r="131" spans="1:20" ht="24" hidden="1" x14ac:dyDescent="0.25">
      <c r="A131" s="656">
        <v>2280</v>
      </c>
      <c r="B131" s="116" t="s">
        <v>147</v>
      </c>
      <c r="C131" s="128">
        <f t="shared" si="9"/>
        <v>0</v>
      </c>
      <c r="D131" s="297">
        <f t="shared" ref="D131:N131" si="14">SUM(D132)</f>
        <v>0</v>
      </c>
      <c r="E131" s="301">
        <f t="shared" si="14"/>
        <v>0</v>
      </c>
      <c r="F131" s="263">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c r="R131" s="53"/>
      <c r="S131" s="53"/>
      <c r="T131" s="53"/>
    </row>
    <row r="132" spans="1:20" ht="24" hidden="1" x14ac:dyDescent="0.25">
      <c r="A132" s="76">
        <v>2283</v>
      </c>
      <c r="B132" s="127" t="s">
        <v>148</v>
      </c>
      <c r="C132" s="128">
        <f t="shared" si="9"/>
        <v>0</v>
      </c>
      <c r="D132" s="134"/>
      <c r="E132" s="285"/>
      <c r="F132" s="286">
        <f t="shared" si="10"/>
        <v>0</v>
      </c>
      <c r="G132" s="134"/>
      <c r="H132" s="135"/>
      <c r="I132" s="136">
        <f t="shared" si="11"/>
        <v>0</v>
      </c>
      <c r="J132" s="134"/>
      <c r="K132" s="135"/>
      <c r="L132" s="136">
        <f t="shared" si="12"/>
        <v>0</v>
      </c>
      <c r="M132" s="284"/>
      <c r="N132" s="285"/>
      <c r="O132" s="136">
        <f t="shared" si="13"/>
        <v>0</v>
      </c>
      <c r="P132" s="85"/>
      <c r="R132" s="53"/>
      <c r="S132" s="53"/>
      <c r="T132" s="53"/>
    </row>
    <row r="133" spans="1:20" ht="36" x14ac:dyDescent="0.25">
      <c r="A133" s="99">
        <v>2300</v>
      </c>
      <c r="B133" s="247" t="s">
        <v>149</v>
      </c>
      <c r="C133" s="100">
        <f t="shared" si="9"/>
        <v>25404</v>
      </c>
      <c r="D133" s="112">
        <f>SUM(D134,D139,D143,D144,D147,D154,D162,D163,D166)</f>
        <v>23719</v>
      </c>
      <c r="E133" s="248">
        <f>SUM(E134,E139,E143,E144,E147,E154,E162,E163,E166)</f>
        <v>0</v>
      </c>
      <c r="F133" s="249">
        <f t="shared" si="10"/>
        <v>23719</v>
      </c>
      <c r="G133" s="112">
        <f>SUM(G134,G139,G143,G144,G147,G154,G162,G163,G166)</f>
        <v>332</v>
      </c>
      <c r="H133" s="113">
        <f>SUM(H134,H139,H143,H144,H147,H154,H162,H163,H166)</f>
        <v>0</v>
      </c>
      <c r="I133" s="114">
        <f t="shared" si="11"/>
        <v>332</v>
      </c>
      <c r="J133" s="112">
        <f>SUM(J134,J139,J143,J144,J147,J154,J162,J163,J166)</f>
        <v>1353</v>
      </c>
      <c r="K133" s="113">
        <f>SUM(K134,K139,K143,K144,K147,K154,K162,K163,K166)</f>
        <v>0</v>
      </c>
      <c r="L133" s="114">
        <f t="shared" si="12"/>
        <v>1353</v>
      </c>
      <c r="M133" s="292">
        <f>SUM(M134,M139,M143,M144,M147,M154,M162,M163,M166)</f>
        <v>0</v>
      </c>
      <c r="N133" s="293">
        <f>SUM(N134,N139,N143,N144,N147,N154,N162,N163,N166)</f>
        <v>0</v>
      </c>
      <c r="O133" s="114">
        <f t="shared" si="13"/>
        <v>0</v>
      </c>
      <c r="P133" s="109"/>
      <c r="R133" s="53"/>
      <c r="S133" s="53"/>
      <c r="T133" s="53"/>
    </row>
    <row r="134" spans="1:20" ht="24" x14ac:dyDescent="0.25">
      <c r="A134" s="656">
        <v>2310</v>
      </c>
      <c r="B134" s="116" t="s">
        <v>150</v>
      </c>
      <c r="C134" s="117">
        <f t="shared" si="9"/>
        <v>641</v>
      </c>
      <c r="D134" s="308">
        <f>SUM(D135:D138)</f>
        <v>641</v>
      </c>
      <c r="E134" s="300">
        <f>SUM(E135:E138)</f>
        <v>0</v>
      </c>
      <c r="F134" s="296">
        <f t="shared" si="10"/>
        <v>641</v>
      </c>
      <c r="G134" s="297">
        <f>SUM(G135:G138)</f>
        <v>0</v>
      </c>
      <c r="H134" s="299">
        <f>SUM(H135:H138)</f>
        <v>0</v>
      </c>
      <c r="I134" s="125">
        <f t="shared" si="11"/>
        <v>0</v>
      </c>
      <c r="J134" s="297">
        <f>SUM(J135:J138)</f>
        <v>0</v>
      </c>
      <c r="K134" s="299">
        <f>SUM(K135:K138)</f>
        <v>0</v>
      </c>
      <c r="L134" s="125">
        <f t="shared" si="12"/>
        <v>0</v>
      </c>
      <c r="M134" s="300">
        <f>SUM(M135:M138)</f>
        <v>0</v>
      </c>
      <c r="N134" s="301">
        <f>SUM(N135:N138)</f>
        <v>0</v>
      </c>
      <c r="O134" s="125">
        <f t="shared" si="13"/>
        <v>0</v>
      </c>
      <c r="P134" s="74"/>
      <c r="R134" s="53"/>
      <c r="S134" s="53"/>
      <c r="T134" s="53"/>
    </row>
    <row r="135" spans="1:20" x14ac:dyDescent="0.25">
      <c r="A135" s="76">
        <v>2311</v>
      </c>
      <c r="B135" s="127" t="s">
        <v>151</v>
      </c>
      <c r="C135" s="128">
        <f t="shared" si="9"/>
        <v>321</v>
      </c>
      <c r="D135" s="134">
        <v>321</v>
      </c>
      <c r="E135" s="283"/>
      <c r="F135" s="279">
        <f t="shared" si="10"/>
        <v>321</v>
      </c>
      <c r="G135" s="134"/>
      <c r="H135" s="135"/>
      <c r="I135" s="136">
        <f t="shared" si="11"/>
        <v>0</v>
      </c>
      <c r="J135" s="134"/>
      <c r="K135" s="135"/>
      <c r="L135" s="136">
        <f t="shared" si="12"/>
        <v>0</v>
      </c>
      <c r="M135" s="284"/>
      <c r="N135" s="285"/>
      <c r="O135" s="136">
        <f t="shared" si="13"/>
        <v>0</v>
      </c>
      <c r="P135" s="85"/>
      <c r="R135" s="53"/>
      <c r="S135" s="53"/>
      <c r="T135" s="53"/>
    </row>
    <row r="136" spans="1:20" ht="52.5" customHeight="1" x14ac:dyDescent="0.25">
      <c r="A136" s="76">
        <v>2312</v>
      </c>
      <c r="B136" s="127" t="s">
        <v>152</v>
      </c>
      <c r="C136" s="128">
        <f t="shared" si="9"/>
        <v>320</v>
      </c>
      <c r="D136" s="134">
        <v>320</v>
      </c>
      <c r="E136" s="283"/>
      <c r="F136" s="279">
        <f t="shared" si="10"/>
        <v>320</v>
      </c>
      <c r="G136" s="134"/>
      <c r="H136" s="135"/>
      <c r="I136" s="136">
        <f t="shared" si="11"/>
        <v>0</v>
      </c>
      <c r="J136" s="134"/>
      <c r="K136" s="135"/>
      <c r="L136" s="136">
        <f t="shared" si="12"/>
        <v>0</v>
      </c>
      <c r="M136" s="284"/>
      <c r="N136" s="285"/>
      <c r="O136" s="136">
        <f t="shared" si="13"/>
        <v>0</v>
      </c>
      <c r="P136" s="309"/>
      <c r="R136" s="53"/>
      <c r="S136" s="53"/>
      <c r="T136" s="53"/>
    </row>
    <row r="137" spans="1:20" hidden="1" x14ac:dyDescent="0.25">
      <c r="A137" s="76">
        <v>2313</v>
      </c>
      <c r="B137" s="127" t="s">
        <v>153</v>
      </c>
      <c r="C137" s="128">
        <f t="shared" si="9"/>
        <v>0</v>
      </c>
      <c r="D137" s="134"/>
      <c r="E137" s="285"/>
      <c r="F137" s="286">
        <f t="shared" si="10"/>
        <v>0</v>
      </c>
      <c r="G137" s="134"/>
      <c r="H137" s="135"/>
      <c r="I137" s="136">
        <f t="shared" si="11"/>
        <v>0</v>
      </c>
      <c r="J137" s="134"/>
      <c r="K137" s="135"/>
      <c r="L137" s="136">
        <f t="shared" si="12"/>
        <v>0</v>
      </c>
      <c r="M137" s="284"/>
      <c r="N137" s="285"/>
      <c r="O137" s="136">
        <f t="shared" si="13"/>
        <v>0</v>
      </c>
      <c r="P137" s="85"/>
      <c r="R137" s="53"/>
      <c r="S137" s="53"/>
      <c r="T137" s="53"/>
    </row>
    <row r="138" spans="1:20" ht="33.75" hidden="1" customHeight="1" x14ac:dyDescent="0.25">
      <c r="A138" s="76">
        <v>2314</v>
      </c>
      <c r="B138" s="127" t="s">
        <v>154</v>
      </c>
      <c r="C138" s="128">
        <f t="shared" si="9"/>
        <v>0</v>
      </c>
      <c r="D138" s="134"/>
      <c r="E138" s="285"/>
      <c r="F138" s="286">
        <f t="shared" si="10"/>
        <v>0</v>
      </c>
      <c r="G138" s="134"/>
      <c r="H138" s="135"/>
      <c r="I138" s="136">
        <f t="shared" si="11"/>
        <v>0</v>
      </c>
      <c r="J138" s="134"/>
      <c r="K138" s="135"/>
      <c r="L138" s="136">
        <f t="shared" si="12"/>
        <v>0</v>
      </c>
      <c r="M138" s="284"/>
      <c r="N138" s="285"/>
      <c r="O138" s="136">
        <f t="shared" si="13"/>
        <v>0</v>
      </c>
      <c r="P138" s="85"/>
      <c r="R138" s="53"/>
      <c r="S138" s="53"/>
      <c r="T138" s="53"/>
    </row>
    <row r="139" spans="1:20" x14ac:dyDescent="0.25">
      <c r="A139" s="276">
        <v>2320</v>
      </c>
      <c r="B139" s="127" t="s">
        <v>155</v>
      </c>
      <c r="C139" s="128">
        <f t="shared" si="9"/>
        <v>18849</v>
      </c>
      <c r="D139" s="277">
        <f>SUM(D140:D142)</f>
        <v>18849</v>
      </c>
      <c r="E139" s="278">
        <f>SUM(E140:E142)</f>
        <v>0</v>
      </c>
      <c r="F139" s="279">
        <f t="shared" si="10"/>
        <v>18849</v>
      </c>
      <c r="G139" s="277">
        <f>SUM(G140:G142)</f>
        <v>0</v>
      </c>
      <c r="H139" s="280">
        <f>SUM(H140:H142)</f>
        <v>0</v>
      </c>
      <c r="I139" s="136">
        <f t="shared" si="11"/>
        <v>0</v>
      </c>
      <c r="J139" s="277">
        <f>SUM(J140:J142)</f>
        <v>0</v>
      </c>
      <c r="K139" s="280">
        <f>SUM(K140:K142)</f>
        <v>0</v>
      </c>
      <c r="L139" s="136">
        <f t="shared" si="12"/>
        <v>0</v>
      </c>
      <c r="M139" s="281">
        <f>SUM(M140:M142)</f>
        <v>0</v>
      </c>
      <c r="N139" s="282">
        <f>SUM(N140:N142)</f>
        <v>0</v>
      </c>
      <c r="O139" s="136">
        <f t="shared" si="13"/>
        <v>0</v>
      </c>
      <c r="P139" s="85"/>
      <c r="R139" s="53"/>
      <c r="S139" s="53"/>
      <c r="T139" s="53"/>
    </row>
    <row r="140" spans="1:20" ht="51.75" customHeight="1" x14ac:dyDescent="0.25">
      <c r="A140" s="265">
        <v>2321</v>
      </c>
      <c r="B140" s="266" t="s">
        <v>156</v>
      </c>
      <c r="C140" s="267">
        <f t="shared" si="9"/>
        <v>18799</v>
      </c>
      <c r="D140" s="268">
        <v>18799</v>
      </c>
      <c r="E140" s="269"/>
      <c r="F140" s="270">
        <f t="shared" si="10"/>
        <v>18799</v>
      </c>
      <c r="G140" s="268"/>
      <c r="H140" s="271"/>
      <c r="I140" s="272">
        <f t="shared" si="11"/>
        <v>0</v>
      </c>
      <c r="J140" s="268"/>
      <c r="K140" s="271"/>
      <c r="L140" s="272">
        <f t="shared" si="12"/>
        <v>0</v>
      </c>
      <c r="M140" s="273"/>
      <c r="N140" s="274"/>
      <c r="O140" s="272">
        <f t="shared" si="13"/>
        <v>0</v>
      </c>
      <c r="P140" s="275"/>
      <c r="R140" s="53"/>
      <c r="S140" s="53"/>
      <c r="T140" s="53"/>
    </row>
    <row r="141" spans="1:20" x14ac:dyDescent="0.25">
      <c r="A141" s="265">
        <v>2322</v>
      </c>
      <c r="B141" s="266" t="s">
        <v>157</v>
      </c>
      <c r="C141" s="267">
        <f t="shared" si="9"/>
        <v>50</v>
      </c>
      <c r="D141" s="268">
        <v>50</v>
      </c>
      <c r="E141" s="269"/>
      <c r="F141" s="270">
        <f t="shared" si="10"/>
        <v>50</v>
      </c>
      <c r="G141" s="268"/>
      <c r="H141" s="271"/>
      <c r="I141" s="272">
        <f t="shared" si="11"/>
        <v>0</v>
      </c>
      <c r="J141" s="268"/>
      <c r="K141" s="271"/>
      <c r="L141" s="272">
        <f t="shared" si="12"/>
        <v>0</v>
      </c>
      <c r="M141" s="273"/>
      <c r="N141" s="274"/>
      <c r="O141" s="272">
        <f t="shared" si="13"/>
        <v>0</v>
      </c>
      <c r="P141" s="275"/>
      <c r="R141" s="53"/>
      <c r="S141" s="53"/>
      <c r="T141" s="53"/>
    </row>
    <row r="142" spans="1:20" hidden="1" x14ac:dyDescent="0.25">
      <c r="A142" s="76">
        <v>2329</v>
      </c>
      <c r="B142" s="127" t="s">
        <v>158</v>
      </c>
      <c r="C142" s="128">
        <f t="shared" si="9"/>
        <v>0</v>
      </c>
      <c r="D142" s="134"/>
      <c r="E142" s="285"/>
      <c r="F142" s="286">
        <f t="shared" si="10"/>
        <v>0</v>
      </c>
      <c r="G142" s="134"/>
      <c r="H142" s="135"/>
      <c r="I142" s="136">
        <f t="shared" si="11"/>
        <v>0</v>
      </c>
      <c r="J142" s="134"/>
      <c r="K142" s="135"/>
      <c r="L142" s="136">
        <f t="shared" si="12"/>
        <v>0</v>
      </c>
      <c r="M142" s="284"/>
      <c r="N142" s="285"/>
      <c r="O142" s="136">
        <f t="shared" si="13"/>
        <v>0</v>
      </c>
      <c r="P142" s="85"/>
      <c r="R142" s="53"/>
      <c r="S142" s="53"/>
      <c r="T142" s="53"/>
    </row>
    <row r="143" spans="1:20" hidden="1" x14ac:dyDescent="0.25">
      <c r="A143" s="276">
        <v>2330</v>
      </c>
      <c r="B143" s="127" t="s">
        <v>159</v>
      </c>
      <c r="C143" s="128">
        <f t="shared" si="9"/>
        <v>0</v>
      </c>
      <c r="D143" s="134"/>
      <c r="E143" s="285"/>
      <c r="F143" s="286">
        <f t="shared" si="10"/>
        <v>0</v>
      </c>
      <c r="G143" s="134"/>
      <c r="H143" s="135"/>
      <c r="I143" s="136">
        <f t="shared" si="11"/>
        <v>0</v>
      </c>
      <c r="J143" s="134"/>
      <c r="K143" s="135"/>
      <c r="L143" s="136">
        <f t="shared" si="12"/>
        <v>0</v>
      </c>
      <c r="M143" s="284"/>
      <c r="N143" s="285"/>
      <c r="O143" s="136">
        <f t="shared" si="13"/>
        <v>0</v>
      </c>
      <c r="P143" s="85"/>
      <c r="R143" s="53"/>
      <c r="S143" s="53"/>
      <c r="T143" s="53"/>
    </row>
    <row r="144" spans="1:20" ht="48" x14ac:dyDescent="0.25">
      <c r="A144" s="276">
        <v>2340</v>
      </c>
      <c r="B144" s="127" t="s">
        <v>160</v>
      </c>
      <c r="C144" s="128">
        <f t="shared" si="9"/>
        <v>80</v>
      </c>
      <c r="D144" s="277">
        <f>SUM(D145:D146)</f>
        <v>80</v>
      </c>
      <c r="E144" s="278">
        <f>SUM(E145:E146)</f>
        <v>0</v>
      </c>
      <c r="F144" s="279">
        <f t="shared" si="10"/>
        <v>80</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c r="R144" s="53"/>
      <c r="S144" s="53"/>
      <c r="T144" s="53"/>
    </row>
    <row r="145" spans="1:20" x14ac:dyDescent="0.25">
      <c r="A145" s="76">
        <v>2341</v>
      </c>
      <c r="B145" s="127" t="s">
        <v>161</v>
      </c>
      <c r="C145" s="128">
        <f t="shared" si="9"/>
        <v>80</v>
      </c>
      <c r="D145" s="134">
        <v>80</v>
      </c>
      <c r="E145" s="283"/>
      <c r="F145" s="279">
        <f t="shared" si="10"/>
        <v>80</v>
      </c>
      <c r="G145" s="134"/>
      <c r="H145" s="135"/>
      <c r="I145" s="136">
        <f t="shared" si="11"/>
        <v>0</v>
      </c>
      <c r="J145" s="134"/>
      <c r="K145" s="135"/>
      <c r="L145" s="136">
        <f t="shared" si="12"/>
        <v>0</v>
      </c>
      <c r="M145" s="284"/>
      <c r="N145" s="285"/>
      <c r="O145" s="136">
        <f t="shared" si="13"/>
        <v>0</v>
      </c>
      <c r="P145" s="85"/>
      <c r="R145" s="53"/>
      <c r="S145" s="53"/>
      <c r="T145" s="53"/>
    </row>
    <row r="146" spans="1:20" ht="24" hidden="1" x14ac:dyDescent="0.25">
      <c r="A146" s="76">
        <v>2344</v>
      </c>
      <c r="B146" s="127" t="s">
        <v>162</v>
      </c>
      <c r="C146" s="128">
        <f t="shared" si="9"/>
        <v>0</v>
      </c>
      <c r="D146" s="134"/>
      <c r="E146" s="285"/>
      <c r="F146" s="286">
        <f t="shared" si="10"/>
        <v>0</v>
      </c>
      <c r="G146" s="134"/>
      <c r="H146" s="135"/>
      <c r="I146" s="136">
        <f t="shared" si="11"/>
        <v>0</v>
      </c>
      <c r="J146" s="134"/>
      <c r="K146" s="135"/>
      <c r="L146" s="136">
        <f t="shared" si="12"/>
        <v>0</v>
      </c>
      <c r="M146" s="284"/>
      <c r="N146" s="285"/>
      <c r="O146" s="136">
        <f t="shared" si="13"/>
        <v>0</v>
      </c>
      <c r="P146" s="85"/>
      <c r="R146" s="53"/>
      <c r="S146" s="53"/>
      <c r="T146" s="53"/>
    </row>
    <row r="147" spans="1:20" ht="24" x14ac:dyDescent="0.25">
      <c r="A147" s="254">
        <v>2350</v>
      </c>
      <c r="B147" s="179" t="s">
        <v>163</v>
      </c>
      <c r="C147" s="128">
        <f t="shared" si="9"/>
        <v>2187</v>
      </c>
      <c r="D147" s="255">
        <f>SUM(D148:D153)</f>
        <v>2187</v>
      </c>
      <c r="E147" s="256">
        <f>SUM(E148:E153)</f>
        <v>0</v>
      </c>
      <c r="F147" s="257">
        <f t="shared" si="10"/>
        <v>2187</v>
      </c>
      <c r="G147" s="255">
        <f>SUM(G148:G153)</f>
        <v>0</v>
      </c>
      <c r="H147" s="258">
        <f>SUM(H148:H153)</f>
        <v>0</v>
      </c>
      <c r="I147" s="259">
        <f t="shared" si="11"/>
        <v>0</v>
      </c>
      <c r="J147" s="255">
        <f>SUM(J148:J153)</f>
        <v>0</v>
      </c>
      <c r="K147" s="258">
        <f>SUM(K148:K153)</f>
        <v>0</v>
      </c>
      <c r="L147" s="259">
        <f t="shared" si="12"/>
        <v>0</v>
      </c>
      <c r="M147" s="260">
        <f>SUM(M148:M153)</f>
        <v>0</v>
      </c>
      <c r="N147" s="261">
        <f>SUM(N148:N153)</f>
        <v>0</v>
      </c>
      <c r="O147" s="259">
        <f t="shared" si="13"/>
        <v>0</v>
      </c>
      <c r="P147" s="189"/>
      <c r="R147" s="53"/>
      <c r="S147" s="53"/>
      <c r="T147" s="53"/>
    </row>
    <row r="148" spans="1:20" x14ac:dyDescent="0.25">
      <c r="A148" s="66">
        <v>2351</v>
      </c>
      <c r="B148" s="116" t="s">
        <v>164</v>
      </c>
      <c r="C148" s="128">
        <f t="shared" si="9"/>
        <v>140</v>
      </c>
      <c r="D148" s="123">
        <v>140</v>
      </c>
      <c r="E148" s="295"/>
      <c r="F148" s="296">
        <f t="shared" si="10"/>
        <v>140</v>
      </c>
      <c r="G148" s="123"/>
      <c r="H148" s="124"/>
      <c r="I148" s="125">
        <f t="shared" si="11"/>
        <v>0</v>
      </c>
      <c r="J148" s="123"/>
      <c r="K148" s="124"/>
      <c r="L148" s="125">
        <f t="shared" si="12"/>
        <v>0</v>
      </c>
      <c r="M148" s="264"/>
      <c r="N148" s="262"/>
      <c r="O148" s="125">
        <f t="shared" si="13"/>
        <v>0</v>
      </c>
      <c r="P148" s="74"/>
      <c r="R148" s="53"/>
      <c r="S148" s="53"/>
      <c r="T148" s="53"/>
    </row>
    <row r="149" spans="1:20" x14ac:dyDescent="0.25">
      <c r="A149" s="76">
        <v>2352</v>
      </c>
      <c r="B149" s="127" t="s">
        <v>165</v>
      </c>
      <c r="C149" s="128">
        <f t="shared" si="9"/>
        <v>2047</v>
      </c>
      <c r="D149" s="134">
        <v>2047</v>
      </c>
      <c r="E149" s="283"/>
      <c r="F149" s="279">
        <f t="shared" si="10"/>
        <v>2047</v>
      </c>
      <c r="G149" s="134"/>
      <c r="H149" s="135"/>
      <c r="I149" s="136">
        <f t="shared" si="11"/>
        <v>0</v>
      </c>
      <c r="J149" s="134"/>
      <c r="K149" s="135"/>
      <c r="L149" s="136">
        <f t="shared" si="12"/>
        <v>0</v>
      </c>
      <c r="M149" s="284"/>
      <c r="N149" s="285"/>
      <c r="O149" s="136">
        <f t="shared" si="13"/>
        <v>0</v>
      </c>
      <c r="P149" s="85"/>
      <c r="R149" s="53"/>
      <c r="S149" s="53"/>
      <c r="T149" s="53"/>
    </row>
    <row r="150" spans="1:20" ht="24" hidden="1" x14ac:dyDescent="0.25">
      <c r="A150" s="76">
        <v>2353</v>
      </c>
      <c r="B150" s="127" t="s">
        <v>166</v>
      </c>
      <c r="C150" s="128">
        <f t="shared" si="9"/>
        <v>0</v>
      </c>
      <c r="D150" s="134"/>
      <c r="E150" s="285"/>
      <c r="F150" s="286">
        <f t="shared" si="10"/>
        <v>0</v>
      </c>
      <c r="G150" s="134"/>
      <c r="H150" s="135"/>
      <c r="I150" s="136">
        <f t="shared" si="11"/>
        <v>0</v>
      </c>
      <c r="J150" s="134"/>
      <c r="K150" s="135"/>
      <c r="L150" s="136">
        <f t="shared" si="12"/>
        <v>0</v>
      </c>
      <c r="M150" s="284"/>
      <c r="N150" s="285"/>
      <c r="O150" s="136">
        <f t="shared" si="13"/>
        <v>0</v>
      </c>
      <c r="P150" s="85"/>
      <c r="R150" s="53"/>
      <c r="S150" s="53"/>
      <c r="T150" s="53"/>
    </row>
    <row r="151" spans="1:20" ht="24" hidden="1" x14ac:dyDescent="0.25">
      <c r="A151" s="76">
        <v>2354</v>
      </c>
      <c r="B151" s="127" t="s">
        <v>167</v>
      </c>
      <c r="C151" s="128">
        <f t="shared" si="9"/>
        <v>0</v>
      </c>
      <c r="D151" s="134"/>
      <c r="E151" s="285"/>
      <c r="F151" s="286">
        <f t="shared" si="10"/>
        <v>0</v>
      </c>
      <c r="G151" s="134"/>
      <c r="H151" s="135"/>
      <c r="I151" s="136">
        <f t="shared" si="11"/>
        <v>0</v>
      </c>
      <c r="J151" s="134"/>
      <c r="K151" s="135"/>
      <c r="L151" s="136">
        <f t="shared" si="12"/>
        <v>0</v>
      </c>
      <c r="M151" s="284"/>
      <c r="N151" s="285"/>
      <c r="O151" s="136">
        <f t="shared" si="13"/>
        <v>0</v>
      </c>
      <c r="P151" s="85"/>
      <c r="R151" s="53"/>
      <c r="S151" s="53"/>
      <c r="T151" s="53"/>
    </row>
    <row r="152" spans="1:20" ht="24" hidden="1" x14ac:dyDescent="0.25">
      <c r="A152" s="76">
        <v>2355</v>
      </c>
      <c r="B152" s="127" t="s">
        <v>168</v>
      </c>
      <c r="C152" s="128">
        <f t="shared" si="9"/>
        <v>0</v>
      </c>
      <c r="D152" s="134"/>
      <c r="E152" s="285"/>
      <c r="F152" s="286">
        <f t="shared" si="10"/>
        <v>0</v>
      </c>
      <c r="G152" s="134"/>
      <c r="H152" s="135"/>
      <c r="I152" s="136">
        <f t="shared" si="11"/>
        <v>0</v>
      </c>
      <c r="J152" s="134"/>
      <c r="K152" s="135"/>
      <c r="L152" s="136">
        <f t="shared" si="12"/>
        <v>0</v>
      </c>
      <c r="M152" s="284"/>
      <c r="N152" s="285"/>
      <c r="O152" s="136">
        <f t="shared" si="13"/>
        <v>0</v>
      </c>
      <c r="P152" s="85"/>
      <c r="R152" s="53"/>
      <c r="S152" s="53"/>
      <c r="T152" s="53"/>
    </row>
    <row r="153" spans="1:20" ht="24" hidden="1" x14ac:dyDescent="0.25">
      <c r="A153" s="76">
        <v>2359</v>
      </c>
      <c r="B153" s="127" t="s">
        <v>169</v>
      </c>
      <c r="C153" s="128">
        <f t="shared" si="9"/>
        <v>0</v>
      </c>
      <c r="D153" s="134"/>
      <c r="E153" s="285"/>
      <c r="F153" s="286">
        <f t="shared" si="10"/>
        <v>0</v>
      </c>
      <c r="G153" s="134"/>
      <c r="H153" s="135"/>
      <c r="I153" s="136">
        <f t="shared" si="11"/>
        <v>0</v>
      </c>
      <c r="J153" s="134"/>
      <c r="K153" s="135"/>
      <c r="L153" s="136">
        <f t="shared" si="12"/>
        <v>0</v>
      </c>
      <c r="M153" s="284"/>
      <c r="N153" s="285"/>
      <c r="O153" s="136">
        <f t="shared" si="13"/>
        <v>0</v>
      </c>
      <c r="P153" s="85"/>
      <c r="R153" s="53"/>
      <c r="S153" s="53"/>
      <c r="T153" s="53"/>
    </row>
    <row r="154" spans="1:20" ht="24" x14ac:dyDescent="0.25">
      <c r="A154" s="276">
        <v>2360</v>
      </c>
      <c r="B154" s="127" t="s">
        <v>170</v>
      </c>
      <c r="C154" s="128">
        <f t="shared" si="9"/>
        <v>2853</v>
      </c>
      <c r="D154" s="277">
        <f>SUM(D155:D161)</f>
        <v>1500</v>
      </c>
      <c r="E154" s="278">
        <f>SUM(E155:E161)</f>
        <v>0</v>
      </c>
      <c r="F154" s="279">
        <f t="shared" si="10"/>
        <v>1500</v>
      </c>
      <c r="G154" s="277">
        <f>SUM(G155:G161)</f>
        <v>0</v>
      </c>
      <c r="H154" s="280">
        <f>SUM(H155:H161)</f>
        <v>0</v>
      </c>
      <c r="I154" s="136">
        <f t="shared" si="11"/>
        <v>0</v>
      </c>
      <c r="J154" s="277">
        <f>SUM(J155:J161)</f>
        <v>1353</v>
      </c>
      <c r="K154" s="280">
        <f>SUM(K155:K161)</f>
        <v>0</v>
      </c>
      <c r="L154" s="136">
        <f t="shared" si="12"/>
        <v>1353</v>
      </c>
      <c r="M154" s="281">
        <f>SUM(M155:M161)</f>
        <v>0</v>
      </c>
      <c r="N154" s="282">
        <f>SUM(N155:N161)</f>
        <v>0</v>
      </c>
      <c r="O154" s="136">
        <f t="shared" si="13"/>
        <v>0</v>
      </c>
      <c r="P154" s="85"/>
      <c r="R154" s="53"/>
      <c r="S154" s="53"/>
      <c r="T154" s="53"/>
    </row>
    <row r="155" spans="1:20" x14ac:dyDescent="0.25">
      <c r="A155" s="75">
        <v>2361</v>
      </c>
      <c r="B155" s="127" t="s">
        <v>171</v>
      </c>
      <c r="C155" s="128">
        <f t="shared" si="9"/>
        <v>1500</v>
      </c>
      <c r="D155" s="134">
        <v>1500</v>
      </c>
      <c r="E155" s="283"/>
      <c r="F155" s="279">
        <f t="shared" si="10"/>
        <v>1500</v>
      </c>
      <c r="G155" s="134"/>
      <c r="H155" s="135"/>
      <c r="I155" s="136">
        <f t="shared" si="11"/>
        <v>0</v>
      </c>
      <c r="J155" s="134"/>
      <c r="K155" s="135"/>
      <c r="L155" s="136">
        <f t="shared" si="12"/>
        <v>0</v>
      </c>
      <c r="M155" s="284"/>
      <c r="N155" s="285"/>
      <c r="O155" s="136">
        <f t="shared" si="13"/>
        <v>0</v>
      </c>
      <c r="P155" s="85"/>
      <c r="R155" s="53"/>
      <c r="S155" s="53"/>
      <c r="T155" s="53"/>
    </row>
    <row r="156" spans="1:20" ht="24" hidden="1" x14ac:dyDescent="0.25">
      <c r="A156" s="75">
        <v>2362</v>
      </c>
      <c r="B156" s="127" t="s">
        <v>172</v>
      </c>
      <c r="C156" s="128">
        <f t="shared" si="9"/>
        <v>0</v>
      </c>
      <c r="D156" s="134"/>
      <c r="E156" s="285"/>
      <c r="F156" s="286">
        <f t="shared" si="10"/>
        <v>0</v>
      </c>
      <c r="G156" s="134"/>
      <c r="H156" s="135"/>
      <c r="I156" s="136">
        <f t="shared" si="11"/>
        <v>0</v>
      </c>
      <c r="J156" s="134"/>
      <c r="K156" s="135"/>
      <c r="L156" s="136">
        <f t="shared" si="12"/>
        <v>0</v>
      </c>
      <c r="M156" s="284"/>
      <c r="N156" s="285"/>
      <c r="O156" s="136">
        <f t="shared" si="13"/>
        <v>0</v>
      </c>
      <c r="P156" s="85"/>
      <c r="R156" s="53"/>
      <c r="S156" s="53"/>
      <c r="T156" s="53"/>
    </row>
    <row r="157" spans="1:20" x14ac:dyDescent="0.25">
      <c r="A157" s="75">
        <v>2363</v>
      </c>
      <c r="B157" s="127" t="s">
        <v>173</v>
      </c>
      <c r="C157" s="128">
        <f t="shared" si="9"/>
        <v>1353</v>
      </c>
      <c r="D157" s="134"/>
      <c r="E157" s="283"/>
      <c r="F157" s="279">
        <f t="shared" si="10"/>
        <v>0</v>
      </c>
      <c r="G157" s="134"/>
      <c r="H157" s="135"/>
      <c r="I157" s="136">
        <f t="shared" si="11"/>
        <v>0</v>
      </c>
      <c r="J157" s="134">
        <v>1353</v>
      </c>
      <c r="K157" s="135"/>
      <c r="L157" s="136">
        <f t="shared" si="12"/>
        <v>1353</v>
      </c>
      <c r="M157" s="284"/>
      <c r="N157" s="285"/>
      <c r="O157" s="136">
        <f t="shared" si="13"/>
        <v>0</v>
      </c>
      <c r="P157" s="85"/>
      <c r="R157" s="53"/>
      <c r="S157" s="53"/>
      <c r="T157" s="53"/>
    </row>
    <row r="158" spans="1:20" hidden="1" x14ac:dyDescent="0.25">
      <c r="A158" s="75">
        <v>2364</v>
      </c>
      <c r="B158" s="127" t="s">
        <v>174</v>
      </c>
      <c r="C158" s="128">
        <f t="shared" si="9"/>
        <v>0</v>
      </c>
      <c r="D158" s="134"/>
      <c r="E158" s="285"/>
      <c r="F158" s="286">
        <f t="shared" si="10"/>
        <v>0</v>
      </c>
      <c r="G158" s="134"/>
      <c r="H158" s="135"/>
      <c r="I158" s="136">
        <f t="shared" si="11"/>
        <v>0</v>
      </c>
      <c r="J158" s="134"/>
      <c r="K158" s="135"/>
      <c r="L158" s="136">
        <f t="shared" si="12"/>
        <v>0</v>
      </c>
      <c r="M158" s="284"/>
      <c r="N158" s="285"/>
      <c r="O158" s="136">
        <f t="shared" si="13"/>
        <v>0</v>
      </c>
      <c r="P158" s="85"/>
      <c r="R158" s="53"/>
      <c r="S158" s="53"/>
      <c r="T158" s="53"/>
    </row>
    <row r="159" spans="1:20" hidden="1" x14ac:dyDescent="0.25">
      <c r="A159" s="75">
        <v>2365</v>
      </c>
      <c r="B159" s="127" t="s">
        <v>175</v>
      </c>
      <c r="C159" s="128">
        <f t="shared" si="9"/>
        <v>0</v>
      </c>
      <c r="D159" s="134"/>
      <c r="E159" s="285"/>
      <c r="F159" s="286">
        <f t="shared" si="10"/>
        <v>0</v>
      </c>
      <c r="G159" s="134"/>
      <c r="H159" s="135"/>
      <c r="I159" s="136">
        <f t="shared" si="11"/>
        <v>0</v>
      </c>
      <c r="J159" s="134"/>
      <c r="K159" s="135"/>
      <c r="L159" s="136">
        <f t="shared" si="12"/>
        <v>0</v>
      </c>
      <c r="M159" s="284"/>
      <c r="N159" s="285"/>
      <c r="O159" s="136">
        <f t="shared" si="13"/>
        <v>0</v>
      </c>
      <c r="P159" s="85"/>
      <c r="R159" s="53"/>
      <c r="S159" s="53"/>
      <c r="T159" s="53"/>
    </row>
    <row r="160" spans="1:20" ht="36" hidden="1" x14ac:dyDescent="0.25">
      <c r="A160" s="75">
        <v>2366</v>
      </c>
      <c r="B160" s="127" t="s">
        <v>176</v>
      </c>
      <c r="C160" s="128">
        <f t="shared" si="9"/>
        <v>0</v>
      </c>
      <c r="D160" s="134"/>
      <c r="E160" s="285"/>
      <c r="F160" s="286">
        <f t="shared" si="10"/>
        <v>0</v>
      </c>
      <c r="G160" s="134"/>
      <c r="H160" s="135"/>
      <c r="I160" s="136">
        <f t="shared" si="11"/>
        <v>0</v>
      </c>
      <c r="J160" s="134"/>
      <c r="K160" s="135"/>
      <c r="L160" s="136">
        <f t="shared" si="12"/>
        <v>0</v>
      </c>
      <c r="M160" s="284"/>
      <c r="N160" s="285"/>
      <c r="O160" s="136">
        <f t="shared" si="13"/>
        <v>0</v>
      </c>
      <c r="P160" s="85"/>
      <c r="R160" s="53"/>
      <c r="S160" s="53"/>
      <c r="T160" s="53"/>
    </row>
    <row r="161" spans="1:20" ht="48" hidden="1" x14ac:dyDescent="0.25">
      <c r="A161" s="75">
        <v>2369</v>
      </c>
      <c r="B161" s="127" t="s">
        <v>177</v>
      </c>
      <c r="C161" s="128">
        <f t="shared" si="9"/>
        <v>0</v>
      </c>
      <c r="D161" s="134"/>
      <c r="E161" s="285"/>
      <c r="F161" s="286">
        <f t="shared" si="10"/>
        <v>0</v>
      </c>
      <c r="G161" s="134"/>
      <c r="H161" s="135"/>
      <c r="I161" s="136">
        <f t="shared" si="11"/>
        <v>0</v>
      </c>
      <c r="J161" s="134"/>
      <c r="K161" s="135"/>
      <c r="L161" s="136">
        <f t="shared" si="12"/>
        <v>0</v>
      </c>
      <c r="M161" s="284"/>
      <c r="N161" s="285"/>
      <c r="O161" s="136">
        <f t="shared" si="13"/>
        <v>0</v>
      </c>
      <c r="P161" s="85"/>
      <c r="R161" s="53"/>
      <c r="S161" s="53"/>
      <c r="T161" s="53"/>
    </row>
    <row r="162" spans="1:20" x14ac:dyDescent="0.25">
      <c r="A162" s="254">
        <v>2370</v>
      </c>
      <c r="B162" s="179" t="s">
        <v>178</v>
      </c>
      <c r="C162" s="128">
        <f t="shared" si="9"/>
        <v>794</v>
      </c>
      <c r="D162" s="287">
        <v>462</v>
      </c>
      <c r="E162" s="288"/>
      <c r="F162" s="257">
        <f t="shared" si="10"/>
        <v>462</v>
      </c>
      <c r="G162" s="287">
        <v>332</v>
      </c>
      <c r="H162" s="289"/>
      <c r="I162" s="259">
        <f t="shared" si="11"/>
        <v>332</v>
      </c>
      <c r="J162" s="287"/>
      <c r="K162" s="289"/>
      <c r="L162" s="259">
        <f t="shared" si="12"/>
        <v>0</v>
      </c>
      <c r="M162" s="290"/>
      <c r="N162" s="291"/>
      <c r="O162" s="259">
        <f t="shared" si="13"/>
        <v>0</v>
      </c>
      <c r="P162" s="189"/>
      <c r="R162" s="53"/>
      <c r="S162" s="53"/>
      <c r="T162" s="53"/>
    </row>
    <row r="163" spans="1:20" hidden="1" x14ac:dyDescent="0.25">
      <c r="A163" s="254">
        <v>2380</v>
      </c>
      <c r="B163" s="179" t="s">
        <v>179</v>
      </c>
      <c r="C163" s="128">
        <f t="shared" si="9"/>
        <v>0</v>
      </c>
      <c r="D163" s="255">
        <f>SUM(D164:D165)</f>
        <v>0</v>
      </c>
      <c r="E163" s="261">
        <f>SUM(E164:E165)</f>
        <v>0</v>
      </c>
      <c r="F163" s="310">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c r="S163" s="53"/>
      <c r="T163" s="53"/>
    </row>
    <row r="164" spans="1:20" hidden="1" x14ac:dyDescent="0.25">
      <c r="A164" s="65">
        <v>2381</v>
      </c>
      <c r="B164" s="116" t="s">
        <v>180</v>
      </c>
      <c r="C164" s="128">
        <f t="shared" si="9"/>
        <v>0</v>
      </c>
      <c r="D164" s="123"/>
      <c r="E164" s="262"/>
      <c r="F164" s="263">
        <f t="shared" si="10"/>
        <v>0</v>
      </c>
      <c r="G164" s="123"/>
      <c r="H164" s="124"/>
      <c r="I164" s="125">
        <f t="shared" si="11"/>
        <v>0</v>
      </c>
      <c r="J164" s="123"/>
      <c r="K164" s="124"/>
      <c r="L164" s="125">
        <f t="shared" si="12"/>
        <v>0</v>
      </c>
      <c r="M164" s="264"/>
      <c r="N164" s="262"/>
      <c r="O164" s="125">
        <f t="shared" si="13"/>
        <v>0</v>
      </c>
      <c r="P164" s="74"/>
      <c r="R164" s="53"/>
      <c r="S164" s="53"/>
      <c r="T164" s="53"/>
    </row>
    <row r="165" spans="1:20" ht="24" hidden="1" x14ac:dyDescent="0.25">
      <c r="A165" s="75">
        <v>2389</v>
      </c>
      <c r="B165" s="127" t="s">
        <v>181</v>
      </c>
      <c r="C165" s="128">
        <f t="shared" si="9"/>
        <v>0</v>
      </c>
      <c r="D165" s="134"/>
      <c r="E165" s="285"/>
      <c r="F165" s="286">
        <f t="shared" si="10"/>
        <v>0</v>
      </c>
      <c r="G165" s="134"/>
      <c r="H165" s="135"/>
      <c r="I165" s="136">
        <f t="shared" si="11"/>
        <v>0</v>
      </c>
      <c r="J165" s="134"/>
      <c r="K165" s="135"/>
      <c r="L165" s="136">
        <f t="shared" si="12"/>
        <v>0</v>
      </c>
      <c r="M165" s="284"/>
      <c r="N165" s="285"/>
      <c r="O165" s="136">
        <f t="shared" si="13"/>
        <v>0</v>
      </c>
      <c r="P165" s="85"/>
      <c r="R165" s="53"/>
      <c r="S165" s="53"/>
      <c r="T165" s="53"/>
    </row>
    <row r="166" spans="1:20" hidden="1" x14ac:dyDescent="0.25">
      <c r="A166" s="254">
        <v>2390</v>
      </c>
      <c r="B166" s="179" t="s">
        <v>182</v>
      </c>
      <c r="C166" s="128">
        <f t="shared" si="9"/>
        <v>0</v>
      </c>
      <c r="D166" s="287"/>
      <c r="E166" s="291"/>
      <c r="F166" s="310">
        <f t="shared" si="10"/>
        <v>0</v>
      </c>
      <c r="G166" s="287"/>
      <c r="H166" s="289"/>
      <c r="I166" s="259">
        <f t="shared" si="11"/>
        <v>0</v>
      </c>
      <c r="J166" s="287"/>
      <c r="K166" s="289"/>
      <c r="L166" s="259">
        <f t="shared" si="12"/>
        <v>0</v>
      </c>
      <c r="M166" s="290"/>
      <c r="N166" s="291"/>
      <c r="O166" s="259">
        <f t="shared" si="13"/>
        <v>0</v>
      </c>
      <c r="P166" s="189"/>
      <c r="R166" s="53"/>
      <c r="S166" s="53"/>
      <c r="T166" s="53"/>
    </row>
    <row r="167" spans="1:20" hidden="1" x14ac:dyDescent="0.25">
      <c r="A167" s="99">
        <v>2400</v>
      </c>
      <c r="B167" s="247" t="s">
        <v>183</v>
      </c>
      <c r="C167" s="100">
        <f t="shared" si="9"/>
        <v>0</v>
      </c>
      <c r="D167" s="311"/>
      <c r="E167" s="312"/>
      <c r="F167" s="313">
        <f t="shared" si="10"/>
        <v>0</v>
      </c>
      <c r="G167" s="311"/>
      <c r="H167" s="314"/>
      <c r="I167" s="114">
        <f t="shared" si="11"/>
        <v>0</v>
      </c>
      <c r="J167" s="311"/>
      <c r="K167" s="314"/>
      <c r="L167" s="114">
        <f t="shared" si="12"/>
        <v>0</v>
      </c>
      <c r="M167" s="315"/>
      <c r="N167" s="312"/>
      <c r="O167" s="114">
        <f t="shared" si="13"/>
        <v>0</v>
      </c>
      <c r="P167" s="109"/>
      <c r="R167" s="53"/>
      <c r="S167" s="53"/>
      <c r="T167" s="53"/>
    </row>
    <row r="168" spans="1:20" ht="24" x14ac:dyDescent="0.25">
      <c r="A168" s="99">
        <v>2500</v>
      </c>
      <c r="B168" s="247" t="s">
        <v>184</v>
      </c>
      <c r="C168" s="100">
        <f t="shared" si="9"/>
        <v>230</v>
      </c>
      <c r="D168" s="112">
        <f>SUM(D169,D174)</f>
        <v>230</v>
      </c>
      <c r="E168" s="248">
        <f>SUM(E169,E174)</f>
        <v>0</v>
      </c>
      <c r="F168" s="249">
        <f t="shared" si="10"/>
        <v>230</v>
      </c>
      <c r="G168" s="112">
        <f>SUM(G169,G174)</f>
        <v>0</v>
      </c>
      <c r="H168" s="113">
        <f t="shared" ref="H168" si="17">SUM(H169,H174)</f>
        <v>0</v>
      </c>
      <c r="I168" s="114">
        <f t="shared" si="11"/>
        <v>0</v>
      </c>
      <c r="J168" s="112">
        <f>SUM(J169,J174)</f>
        <v>0</v>
      </c>
      <c r="K168" s="113">
        <f t="shared" ref="K168" si="18">SUM(K169,K174)</f>
        <v>0</v>
      </c>
      <c r="L168" s="114">
        <f t="shared" si="12"/>
        <v>0</v>
      </c>
      <c r="M168" s="250">
        <f t="shared" ref="M168:N168" si="19">SUM(M169,M174)</f>
        <v>0</v>
      </c>
      <c r="N168" s="251">
        <f t="shared" si="19"/>
        <v>0</v>
      </c>
      <c r="O168" s="252">
        <f t="shared" si="13"/>
        <v>0</v>
      </c>
      <c r="P168" s="253"/>
      <c r="R168" s="53"/>
      <c r="S168" s="53"/>
      <c r="T168" s="53"/>
    </row>
    <row r="169" spans="1:20" x14ac:dyDescent="0.25">
      <c r="A169" s="656">
        <v>2510</v>
      </c>
      <c r="B169" s="116" t="s">
        <v>185</v>
      </c>
      <c r="C169" s="117">
        <f t="shared" si="9"/>
        <v>230</v>
      </c>
      <c r="D169" s="297">
        <f>SUM(D170:D173)</f>
        <v>230</v>
      </c>
      <c r="E169" s="298">
        <f>SUM(E170:E173)</f>
        <v>0</v>
      </c>
      <c r="F169" s="296">
        <f t="shared" si="10"/>
        <v>230</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c r="R169" s="53"/>
      <c r="S169" s="53"/>
      <c r="T169" s="53"/>
    </row>
    <row r="170" spans="1:20" ht="24" hidden="1" x14ac:dyDescent="0.25">
      <c r="A170" s="76">
        <v>2512</v>
      </c>
      <c r="B170" s="127" t="s">
        <v>186</v>
      </c>
      <c r="C170" s="128">
        <f t="shared" si="9"/>
        <v>0</v>
      </c>
      <c r="D170" s="134"/>
      <c r="E170" s="285"/>
      <c r="F170" s="286">
        <f t="shared" si="10"/>
        <v>0</v>
      </c>
      <c r="G170" s="134"/>
      <c r="H170" s="135"/>
      <c r="I170" s="136">
        <f t="shared" si="11"/>
        <v>0</v>
      </c>
      <c r="J170" s="134"/>
      <c r="K170" s="135"/>
      <c r="L170" s="136">
        <f t="shared" si="12"/>
        <v>0</v>
      </c>
      <c r="M170" s="284"/>
      <c r="N170" s="285"/>
      <c r="O170" s="136">
        <f t="shared" si="13"/>
        <v>0</v>
      </c>
      <c r="P170" s="85"/>
      <c r="R170" s="53"/>
      <c r="S170" s="53"/>
      <c r="T170" s="53"/>
    </row>
    <row r="171" spans="1:20" ht="36" hidden="1" x14ac:dyDescent="0.25">
      <c r="A171" s="76">
        <v>2513</v>
      </c>
      <c r="B171" s="127" t="s">
        <v>187</v>
      </c>
      <c r="C171" s="128">
        <f t="shared" si="9"/>
        <v>0</v>
      </c>
      <c r="D171" s="134"/>
      <c r="E171" s="285"/>
      <c r="F171" s="286">
        <f t="shared" si="10"/>
        <v>0</v>
      </c>
      <c r="G171" s="134"/>
      <c r="H171" s="135"/>
      <c r="I171" s="136">
        <f t="shared" si="11"/>
        <v>0</v>
      </c>
      <c r="J171" s="134"/>
      <c r="K171" s="135"/>
      <c r="L171" s="136">
        <f t="shared" si="12"/>
        <v>0</v>
      </c>
      <c r="M171" s="284"/>
      <c r="N171" s="285"/>
      <c r="O171" s="136">
        <f t="shared" si="13"/>
        <v>0</v>
      </c>
      <c r="P171" s="85"/>
      <c r="R171" s="53"/>
      <c r="S171" s="53"/>
      <c r="T171" s="53"/>
    </row>
    <row r="172" spans="1:20" ht="24" x14ac:dyDescent="0.25">
      <c r="A172" s="76">
        <v>2515</v>
      </c>
      <c r="B172" s="127" t="s">
        <v>188</v>
      </c>
      <c r="C172" s="128">
        <f t="shared" si="9"/>
        <v>230</v>
      </c>
      <c r="D172" s="134">
        <v>230</v>
      </c>
      <c r="E172" s="283"/>
      <c r="F172" s="279">
        <f t="shared" si="10"/>
        <v>230</v>
      </c>
      <c r="G172" s="134"/>
      <c r="H172" s="135"/>
      <c r="I172" s="136">
        <f t="shared" si="11"/>
        <v>0</v>
      </c>
      <c r="J172" s="134"/>
      <c r="K172" s="135"/>
      <c r="L172" s="136">
        <f t="shared" si="12"/>
        <v>0</v>
      </c>
      <c r="M172" s="284"/>
      <c r="N172" s="285"/>
      <c r="O172" s="136">
        <f t="shared" si="13"/>
        <v>0</v>
      </c>
      <c r="P172" s="85"/>
      <c r="R172" s="53"/>
      <c r="S172" s="53"/>
      <c r="T172" s="53"/>
    </row>
    <row r="173" spans="1:20" ht="24" hidden="1" x14ac:dyDescent="0.25">
      <c r="A173" s="76">
        <v>2519</v>
      </c>
      <c r="B173" s="127" t="s">
        <v>189</v>
      </c>
      <c r="C173" s="128">
        <f t="shared" si="9"/>
        <v>0</v>
      </c>
      <c r="D173" s="134"/>
      <c r="E173" s="285"/>
      <c r="F173" s="286">
        <f t="shared" si="10"/>
        <v>0</v>
      </c>
      <c r="G173" s="134"/>
      <c r="H173" s="135"/>
      <c r="I173" s="136">
        <f t="shared" si="11"/>
        <v>0</v>
      </c>
      <c r="J173" s="134"/>
      <c r="K173" s="135"/>
      <c r="L173" s="136">
        <f t="shared" si="12"/>
        <v>0</v>
      </c>
      <c r="M173" s="284"/>
      <c r="N173" s="285"/>
      <c r="O173" s="136">
        <f t="shared" si="13"/>
        <v>0</v>
      </c>
      <c r="P173" s="85"/>
      <c r="R173" s="53"/>
      <c r="S173" s="53"/>
      <c r="T173" s="53"/>
    </row>
    <row r="174" spans="1:20" ht="24" hidden="1" x14ac:dyDescent="0.25">
      <c r="A174" s="276">
        <v>2520</v>
      </c>
      <c r="B174" s="127" t="s">
        <v>190</v>
      </c>
      <c r="C174" s="128">
        <f t="shared" si="9"/>
        <v>0</v>
      </c>
      <c r="D174" s="134"/>
      <c r="E174" s="285"/>
      <c r="F174" s="286">
        <f t="shared" si="10"/>
        <v>0</v>
      </c>
      <c r="G174" s="134"/>
      <c r="H174" s="135"/>
      <c r="I174" s="136">
        <f t="shared" si="11"/>
        <v>0</v>
      </c>
      <c r="J174" s="134"/>
      <c r="K174" s="135"/>
      <c r="L174" s="136">
        <f t="shared" si="12"/>
        <v>0</v>
      </c>
      <c r="M174" s="284"/>
      <c r="N174" s="285"/>
      <c r="O174" s="136">
        <f t="shared" si="13"/>
        <v>0</v>
      </c>
      <c r="P174" s="85"/>
      <c r="R174" s="53"/>
      <c r="S174" s="53"/>
      <c r="T174" s="53"/>
    </row>
    <row r="175" spans="1:20" s="319" customFormat="1" ht="48" hidden="1" x14ac:dyDescent="0.25">
      <c r="A175" s="31">
        <v>2800</v>
      </c>
      <c r="B175" s="116" t="s">
        <v>191</v>
      </c>
      <c r="C175" s="117">
        <f t="shared" si="9"/>
        <v>0</v>
      </c>
      <c r="D175" s="68"/>
      <c r="E175" s="69"/>
      <c r="F175" s="70">
        <f t="shared" si="10"/>
        <v>0</v>
      </c>
      <c r="G175" s="68"/>
      <c r="H175" s="71"/>
      <c r="I175" s="72">
        <f t="shared" si="11"/>
        <v>0</v>
      </c>
      <c r="J175" s="68"/>
      <c r="K175" s="71"/>
      <c r="L175" s="72">
        <f t="shared" si="12"/>
        <v>0</v>
      </c>
      <c r="M175" s="73"/>
      <c r="N175" s="69"/>
      <c r="O175" s="72">
        <f t="shared" si="13"/>
        <v>0</v>
      </c>
      <c r="P175" s="74"/>
      <c r="R175" s="53"/>
      <c r="S175" s="53"/>
      <c r="T175" s="53"/>
    </row>
    <row r="176" spans="1:20" hidden="1" x14ac:dyDescent="0.25">
      <c r="A176" s="237">
        <v>3000</v>
      </c>
      <c r="B176" s="237" t="s">
        <v>192</v>
      </c>
      <c r="C176" s="238">
        <f t="shared" si="9"/>
        <v>0</v>
      </c>
      <c r="D176" s="239">
        <f>SUM(D177,D187)</f>
        <v>0</v>
      </c>
      <c r="E176" s="245">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c r="S176" s="53"/>
      <c r="T176" s="53"/>
    </row>
    <row r="177" spans="1:20" ht="24" hidden="1" x14ac:dyDescent="0.25">
      <c r="A177" s="99">
        <v>3200</v>
      </c>
      <c r="B177" s="321" t="s">
        <v>193</v>
      </c>
      <c r="C177" s="100">
        <f t="shared" si="9"/>
        <v>0</v>
      </c>
      <c r="D177" s="112">
        <f>SUM(D178,D182)</f>
        <v>0</v>
      </c>
      <c r="E177" s="293">
        <f>SUM(E178,E182)</f>
        <v>0</v>
      </c>
      <c r="F177" s="313">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c r="R177" s="53"/>
      <c r="S177" s="53"/>
      <c r="T177" s="53"/>
    </row>
    <row r="178" spans="1:20" ht="36" hidden="1" x14ac:dyDescent="0.25">
      <c r="A178" s="656">
        <v>3260</v>
      </c>
      <c r="B178" s="116" t="s">
        <v>194</v>
      </c>
      <c r="C178" s="117">
        <f t="shared" si="9"/>
        <v>0</v>
      </c>
      <c r="D178" s="297">
        <f>SUM(D179:D181)</f>
        <v>0</v>
      </c>
      <c r="E178" s="301">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c r="S178" s="53"/>
      <c r="T178" s="53"/>
    </row>
    <row r="179" spans="1:20" ht="24" hidden="1" x14ac:dyDescent="0.25">
      <c r="A179" s="76">
        <v>3261</v>
      </c>
      <c r="B179" s="127" t="s">
        <v>195</v>
      </c>
      <c r="C179" s="128">
        <f t="shared" si="9"/>
        <v>0</v>
      </c>
      <c r="D179" s="134"/>
      <c r="E179" s="285"/>
      <c r="F179" s="286">
        <f t="shared" si="10"/>
        <v>0</v>
      </c>
      <c r="G179" s="134"/>
      <c r="H179" s="135"/>
      <c r="I179" s="136">
        <f t="shared" si="11"/>
        <v>0</v>
      </c>
      <c r="J179" s="134"/>
      <c r="K179" s="135"/>
      <c r="L179" s="136">
        <f t="shared" si="12"/>
        <v>0</v>
      </c>
      <c r="M179" s="284"/>
      <c r="N179" s="285"/>
      <c r="O179" s="136">
        <f t="shared" si="13"/>
        <v>0</v>
      </c>
      <c r="P179" s="85"/>
      <c r="R179" s="53"/>
      <c r="S179" s="53"/>
      <c r="T179" s="53"/>
    </row>
    <row r="180" spans="1:20" ht="36" hidden="1" x14ac:dyDescent="0.25">
      <c r="A180" s="76">
        <v>3262</v>
      </c>
      <c r="B180" s="127" t="s">
        <v>196</v>
      </c>
      <c r="C180" s="128">
        <f t="shared" si="9"/>
        <v>0</v>
      </c>
      <c r="D180" s="134"/>
      <c r="E180" s="285"/>
      <c r="F180" s="286">
        <f t="shared" si="10"/>
        <v>0</v>
      </c>
      <c r="G180" s="134"/>
      <c r="H180" s="135"/>
      <c r="I180" s="136">
        <f t="shared" si="11"/>
        <v>0</v>
      </c>
      <c r="J180" s="134"/>
      <c r="K180" s="135"/>
      <c r="L180" s="136">
        <f t="shared" si="12"/>
        <v>0</v>
      </c>
      <c r="M180" s="284"/>
      <c r="N180" s="285"/>
      <c r="O180" s="136">
        <f t="shared" si="13"/>
        <v>0</v>
      </c>
      <c r="P180" s="85"/>
      <c r="R180" s="53"/>
      <c r="S180" s="53"/>
      <c r="T180" s="53"/>
    </row>
    <row r="181" spans="1:20" ht="24" hidden="1" x14ac:dyDescent="0.25">
      <c r="A181" s="76">
        <v>3263</v>
      </c>
      <c r="B181" s="127" t="s">
        <v>197</v>
      </c>
      <c r="C181" s="128">
        <f t="shared" si="9"/>
        <v>0</v>
      </c>
      <c r="D181" s="134"/>
      <c r="E181" s="285"/>
      <c r="F181" s="286">
        <f t="shared" si="10"/>
        <v>0</v>
      </c>
      <c r="G181" s="134"/>
      <c r="H181" s="135"/>
      <c r="I181" s="136">
        <f t="shared" si="11"/>
        <v>0</v>
      </c>
      <c r="J181" s="134"/>
      <c r="K181" s="135"/>
      <c r="L181" s="136">
        <f t="shared" si="12"/>
        <v>0</v>
      </c>
      <c r="M181" s="284"/>
      <c r="N181" s="285"/>
      <c r="O181" s="136">
        <f t="shared" si="13"/>
        <v>0</v>
      </c>
      <c r="P181" s="85"/>
      <c r="R181" s="53"/>
      <c r="S181" s="53"/>
      <c r="T181" s="53"/>
    </row>
    <row r="182" spans="1:20" ht="84" hidden="1" x14ac:dyDescent="0.25">
      <c r="A182" s="656">
        <v>3290</v>
      </c>
      <c r="B182" s="116" t="s">
        <v>198</v>
      </c>
      <c r="C182" s="128">
        <f t="shared" ref="C182:C258" si="26">F182+I182+L182+O182</f>
        <v>0</v>
      </c>
      <c r="D182" s="297">
        <f>SUM(D183:D186)</f>
        <v>0</v>
      </c>
      <c r="E182" s="301">
        <f>SUM(E183:E186)</f>
        <v>0</v>
      </c>
      <c r="F182" s="263">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c r="R182" s="53"/>
      <c r="S182" s="53"/>
      <c r="T182" s="53"/>
    </row>
    <row r="183" spans="1:20" ht="72" hidden="1" x14ac:dyDescent="0.25">
      <c r="A183" s="76">
        <v>3291</v>
      </c>
      <c r="B183" s="127" t="s">
        <v>199</v>
      </c>
      <c r="C183" s="128">
        <f t="shared" si="26"/>
        <v>0</v>
      </c>
      <c r="D183" s="134"/>
      <c r="E183" s="285"/>
      <c r="F183" s="286">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c r="R183" s="53"/>
      <c r="S183" s="53"/>
      <c r="T183" s="53"/>
    </row>
    <row r="184" spans="1:20" ht="72" hidden="1" x14ac:dyDescent="0.25">
      <c r="A184" s="76">
        <v>3292</v>
      </c>
      <c r="B184" s="127" t="s">
        <v>200</v>
      </c>
      <c r="C184" s="128">
        <f t="shared" si="26"/>
        <v>0</v>
      </c>
      <c r="D184" s="134"/>
      <c r="E184" s="285"/>
      <c r="F184" s="286">
        <f t="shared" si="30"/>
        <v>0</v>
      </c>
      <c r="G184" s="134"/>
      <c r="H184" s="135"/>
      <c r="I184" s="136">
        <f t="shared" si="31"/>
        <v>0</v>
      </c>
      <c r="J184" s="134"/>
      <c r="K184" s="135"/>
      <c r="L184" s="136">
        <f t="shared" si="32"/>
        <v>0</v>
      </c>
      <c r="M184" s="284"/>
      <c r="N184" s="285"/>
      <c r="O184" s="136">
        <f t="shared" si="33"/>
        <v>0</v>
      </c>
      <c r="P184" s="85"/>
      <c r="R184" s="53"/>
      <c r="S184" s="53"/>
      <c r="T184" s="53"/>
    </row>
    <row r="185" spans="1:20" ht="72" hidden="1" x14ac:dyDescent="0.25">
      <c r="A185" s="76">
        <v>3293</v>
      </c>
      <c r="B185" s="127" t="s">
        <v>201</v>
      </c>
      <c r="C185" s="128">
        <f t="shared" si="26"/>
        <v>0</v>
      </c>
      <c r="D185" s="134"/>
      <c r="E185" s="285"/>
      <c r="F185" s="286">
        <f t="shared" si="30"/>
        <v>0</v>
      </c>
      <c r="G185" s="134"/>
      <c r="H185" s="135"/>
      <c r="I185" s="136">
        <f t="shared" si="31"/>
        <v>0</v>
      </c>
      <c r="J185" s="134"/>
      <c r="K185" s="135"/>
      <c r="L185" s="136">
        <f t="shared" si="32"/>
        <v>0</v>
      </c>
      <c r="M185" s="284"/>
      <c r="N185" s="285"/>
      <c r="O185" s="136">
        <f t="shared" si="33"/>
        <v>0</v>
      </c>
      <c r="P185" s="85"/>
      <c r="R185" s="53"/>
      <c r="S185" s="53"/>
      <c r="T185" s="53"/>
    </row>
    <row r="186" spans="1:20" ht="60" hidden="1" x14ac:dyDescent="0.25">
      <c r="A186" s="326">
        <v>3294</v>
      </c>
      <c r="B186" s="127" t="s">
        <v>202</v>
      </c>
      <c r="C186" s="327">
        <f t="shared" si="26"/>
        <v>0</v>
      </c>
      <c r="D186" s="328"/>
      <c r="E186" s="329"/>
      <c r="F186" s="330">
        <f t="shared" si="30"/>
        <v>0</v>
      </c>
      <c r="G186" s="328"/>
      <c r="H186" s="331"/>
      <c r="I186" s="324">
        <f t="shared" si="31"/>
        <v>0</v>
      </c>
      <c r="J186" s="328"/>
      <c r="K186" s="331"/>
      <c r="L186" s="324">
        <f t="shared" si="32"/>
        <v>0</v>
      </c>
      <c r="M186" s="332"/>
      <c r="N186" s="329"/>
      <c r="O186" s="324">
        <f t="shared" si="33"/>
        <v>0</v>
      </c>
      <c r="P186" s="325"/>
      <c r="R186" s="53"/>
      <c r="S186" s="53"/>
      <c r="T186" s="53"/>
    </row>
    <row r="187" spans="1:20" ht="48" hidden="1" x14ac:dyDescent="0.25">
      <c r="A187" s="160">
        <v>3300</v>
      </c>
      <c r="B187" s="321" t="s">
        <v>203</v>
      </c>
      <c r="C187" s="333">
        <f t="shared" si="26"/>
        <v>0</v>
      </c>
      <c r="D187" s="334">
        <f>SUM(D188:D189)</f>
        <v>0</v>
      </c>
      <c r="E187" s="251">
        <f>SUM(E188:E189)</f>
        <v>0</v>
      </c>
      <c r="F187" s="335">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c r="R187" s="53"/>
      <c r="S187" s="53"/>
      <c r="T187" s="53"/>
    </row>
    <row r="188" spans="1:20" ht="42.75" hidden="1" customHeight="1" x14ac:dyDescent="0.25">
      <c r="A188" s="178">
        <v>3310</v>
      </c>
      <c r="B188" s="179" t="s">
        <v>204</v>
      </c>
      <c r="C188" s="191">
        <f t="shared" si="26"/>
        <v>0</v>
      </c>
      <c r="D188" s="287"/>
      <c r="E188" s="291"/>
      <c r="F188" s="310">
        <f t="shared" si="30"/>
        <v>0</v>
      </c>
      <c r="G188" s="287"/>
      <c r="H188" s="289"/>
      <c r="I188" s="259">
        <f t="shared" si="31"/>
        <v>0</v>
      </c>
      <c r="J188" s="287"/>
      <c r="K188" s="289"/>
      <c r="L188" s="259">
        <f t="shared" si="32"/>
        <v>0</v>
      </c>
      <c r="M188" s="290"/>
      <c r="N188" s="291"/>
      <c r="O188" s="259">
        <f t="shared" si="33"/>
        <v>0</v>
      </c>
      <c r="P188" s="189"/>
      <c r="R188" s="53"/>
      <c r="S188" s="53"/>
      <c r="T188" s="53"/>
    </row>
    <row r="189" spans="1:20" ht="60" hidden="1" x14ac:dyDescent="0.25">
      <c r="A189" s="66">
        <v>3320</v>
      </c>
      <c r="B189" s="116" t="s">
        <v>205</v>
      </c>
      <c r="C189" s="117">
        <f t="shared" si="26"/>
        <v>0</v>
      </c>
      <c r="D189" s="123"/>
      <c r="E189" s="262"/>
      <c r="F189" s="263">
        <f t="shared" si="30"/>
        <v>0</v>
      </c>
      <c r="G189" s="123"/>
      <c r="H189" s="124"/>
      <c r="I189" s="125">
        <f t="shared" si="31"/>
        <v>0</v>
      </c>
      <c r="J189" s="123"/>
      <c r="K189" s="124"/>
      <c r="L189" s="125">
        <f t="shared" si="32"/>
        <v>0</v>
      </c>
      <c r="M189" s="264"/>
      <c r="N189" s="262"/>
      <c r="O189" s="125">
        <f t="shared" si="33"/>
        <v>0</v>
      </c>
      <c r="P189" s="74"/>
      <c r="R189" s="53"/>
      <c r="S189" s="53"/>
      <c r="T189" s="53"/>
    </row>
    <row r="190" spans="1:20" hidden="1" x14ac:dyDescent="0.25">
      <c r="A190" s="337">
        <v>4000</v>
      </c>
      <c r="B190" s="237" t="s">
        <v>206</v>
      </c>
      <c r="C190" s="238">
        <f t="shared" si="26"/>
        <v>0</v>
      </c>
      <c r="D190" s="239">
        <f>SUM(D191,D194)</f>
        <v>0</v>
      </c>
      <c r="E190" s="245">
        <f>SUM(E191,E194)</f>
        <v>0</v>
      </c>
      <c r="F190" s="320">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c r="R190" s="53"/>
      <c r="S190" s="53"/>
      <c r="T190" s="53"/>
    </row>
    <row r="191" spans="1:20" ht="24" hidden="1" x14ac:dyDescent="0.25">
      <c r="A191" s="338">
        <v>4200</v>
      </c>
      <c r="B191" s="247" t="s">
        <v>207</v>
      </c>
      <c r="C191" s="100">
        <f t="shared" si="26"/>
        <v>0</v>
      </c>
      <c r="D191" s="112">
        <f>SUM(D192,D193)</f>
        <v>0</v>
      </c>
      <c r="E191" s="293">
        <f>SUM(E192,E193)</f>
        <v>0</v>
      </c>
      <c r="F191" s="313">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c r="R191" s="53"/>
      <c r="S191" s="53"/>
      <c r="T191" s="53"/>
    </row>
    <row r="192" spans="1:20" ht="36" hidden="1" x14ac:dyDescent="0.25">
      <c r="A192" s="656">
        <v>4240</v>
      </c>
      <c r="B192" s="116" t="s">
        <v>208</v>
      </c>
      <c r="C192" s="117">
        <f t="shared" si="26"/>
        <v>0</v>
      </c>
      <c r="D192" s="123"/>
      <c r="E192" s="262"/>
      <c r="F192" s="263">
        <f t="shared" si="30"/>
        <v>0</v>
      </c>
      <c r="G192" s="123"/>
      <c r="H192" s="124"/>
      <c r="I192" s="125">
        <f t="shared" si="31"/>
        <v>0</v>
      </c>
      <c r="J192" s="123"/>
      <c r="K192" s="124"/>
      <c r="L192" s="125">
        <f t="shared" si="32"/>
        <v>0</v>
      </c>
      <c r="M192" s="264"/>
      <c r="N192" s="262"/>
      <c r="O192" s="125">
        <f t="shared" si="33"/>
        <v>0</v>
      </c>
      <c r="P192" s="74"/>
      <c r="R192" s="53"/>
      <c r="S192" s="53"/>
      <c r="T192" s="53"/>
    </row>
    <row r="193" spans="1:20" ht="24" hidden="1" x14ac:dyDescent="0.25">
      <c r="A193" s="276">
        <v>4250</v>
      </c>
      <c r="B193" s="127" t="s">
        <v>209</v>
      </c>
      <c r="C193" s="128">
        <f t="shared" si="26"/>
        <v>0</v>
      </c>
      <c r="D193" s="134"/>
      <c r="E193" s="285"/>
      <c r="F193" s="286">
        <f t="shared" si="30"/>
        <v>0</v>
      </c>
      <c r="G193" s="134"/>
      <c r="H193" s="135"/>
      <c r="I193" s="136">
        <f t="shared" si="31"/>
        <v>0</v>
      </c>
      <c r="J193" s="134"/>
      <c r="K193" s="135"/>
      <c r="L193" s="136">
        <f t="shared" si="32"/>
        <v>0</v>
      </c>
      <c r="M193" s="284"/>
      <c r="N193" s="285"/>
      <c r="O193" s="136">
        <f t="shared" si="33"/>
        <v>0</v>
      </c>
      <c r="P193" s="85"/>
      <c r="R193" s="53"/>
      <c r="S193" s="53"/>
      <c r="T193" s="53"/>
    </row>
    <row r="194" spans="1:20" hidden="1" x14ac:dyDescent="0.25">
      <c r="A194" s="99">
        <v>4300</v>
      </c>
      <c r="B194" s="247" t="s">
        <v>210</v>
      </c>
      <c r="C194" s="100">
        <f t="shared" si="26"/>
        <v>0</v>
      </c>
      <c r="D194" s="112">
        <f>SUM(D195)</f>
        <v>0</v>
      </c>
      <c r="E194" s="293">
        <f>SUM(E195)</f>
        <v>0</v>
      </c>
      <c r="F194" s="313">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c r="R194" s="53"/>
      <c r="S194" s="53"/>
      <c r="T194" s="53"/>
    </row>
    <row r="195" spans="1:20" ht="24" hidden="1" x14ac:dyDescent="0.25">
      <c r="A195" s="656">
        <v>4310</v>
      </c>
      <c r="B195" s="116" t="s">
        <v>211</v>
      </c>
      <c r="C195" s="117">
        <f t="shared" si="26"/>
        <v>0</v>
      </c>
      <c r="D195" s="297">
        <f>SUM(D196:D196)</f>
        <v>0</v>
      </c>
      <c r="E195" s="301">
        <f>SUM(E196:E196)</f>
        <v>0</v>
      </c>
      <c r="F195" s="263">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c r="R195" s="53"/>
      <c r="S195" s="53"/>
      <c r="T195" s="53"/>
    </row>
    <row r="196" spans="1:20" ht="36" hidden="1" x14ac:dyDescent="0.25">
      <c r="A196" s="76">
        <v>4311</v>
      </c>
      <c r="B196" s="127" t="s">
        <v>212</v>
      </c>
      <c r="C196" s="128">
        <f t="shared" si="26"/>
        <v>0</v>
      </c>
      <c r="D196" s="134"/>
      <c r="E196" s="285"/>
      <c r="F196" s="286">
        <f t="shared" si="30"/>
        <v>0</v>
      </c>
      <c r="G196" s="134"/>
      <c r="H196" s="135"/>
      <c r="I196" s="136">
        <f t="shared" si="31"/>
        <v>0</v>
      </c>
      <c r="J196" s="134"/>
      <c r="K196" s="135"/>
      <c r="L196" s="136">
        <f t="shared" si="32"/>
        <v>0</v>
      </c>
      <c r="M196" s="284"/>
      <c r="N196" s="285"/>
      <c r="O196" s="136">
        <f t="shared" si="33"/>
        <v>0</v>
      </c>
      <c r="P196" s="85"/>
      <c r="R196" s="53"/>
      <c r="S196" s="53"/>
      <c r="T196" s="53"/>
    </row>
    <row r="197" spans="1:20" s="41" customFormat="1" ht="24" x14ac:dyDescent="0.25">
      <c r="A197" s="339"/>
      <c r="B197" s="31" t="s">
        <v>213</v>
      </c>
      <c r="C197" s="229">
        <f t="shared" si="26"/>
        <v>1018</v>
      </c>
      <c r="D197" s="230">
        <f>SUM(D198,D233,D271)</f>
        <v>896</v>
      </c>
      <c r="E197" s="231">
        <f>SUM(E198,E233,E271)</f>
        <v>0</v>
      </c>
      <c r="F197" s="232">
        <f t="shared" si="30"/>
        <v>896</v>
      </c>
      <c r="G197" s="230">
        <f>SUM(G198,G233,G271)</f>
        <v>84</v>
      </c>
      <c r="H197" s="233">
        <f>SUM(H198,H233,H271)</f>
        <v>0</v>
      </c>
      <c r="I197" s="234">
        <f t="shared" si="31"/>
        <v>84</v>
      </c>
      <c r="J197" s="230">
        <f>SUM(J198,J233,J271)</f>
        <v>38</v>
      </c>
      <c r="K197" s="233">
        <f>SUM(K198,K233,K271)</f>
        <v>0</v>
      </c>
      <c r="L197" s="234">
        <f t="shared" si="32"/>
        <v>38</v>
      </c>
      <c r="M197" s="340">
        <f>SUM(M198,M233,M271)</f>
        <v>0</v>
      </c>
      <c r="N197" s="341">
        <f>SUM(N198,N233,N271)</f>
        <v>0</v>
      </c>
      <c r="O197" s="342">
        <f t="shared" si="33"/>
        <v>0</v>
      </c>
      <c r="P197" s="343"/>
      <c r="R197" s="53"/>
      <c r="S197" s="53"/>
      <c r="T197" s="53"/>
    </row>
    <row r="198" spans="1:20" x14ac:dyDescent="0.25">
      <c r="A198" s="237">
        <v>5000</v>
      </c>
      <c r="B198" s="237" t="s">
        <v>214</v>
      </c>
      <c r="C198" s="238">
        <f>F198+I198+L198+O198</f>
        <v>980</v>
      </c>
      <c r="D198" s="239">
        <f>D199+D207</f>
        <v>896</v>
      </c>
      <c r="E198" s="240">
        <f>E199+E207</f>
        <v>0</v>
      </c>
      <c r="F198" s="241">
        <f t="shared" si="30"/>
        <v>896</v>
      </c>
      <c r="G198" s="239">
        <f>G199+G207</f>
        <v>84</v>
      </c>
      <c r="H198" s="242">
        <f>H199+H207</f>
        <v>0</v>
      </c>
      <c r="I198" s="243">
        <f t="shared" si="31"/>
        <v>84</v>
      </c>
      <c r="J198" s="239">
        <f>J199+J207</f>
        <v>0</v>
      </c>
      <c r="K198" s="242">
        <f>K199+K207</f>
        <v>0</v>
      </c>
      <c r="L198" s="243">
        <f t="shared" si="32"/>
        <v>0</v>
      </c>
      <c r="M198" s="244">
        <f>M199+M207</f>
        <v>0</v>
      </c>
      <c r="N198" s="245">
        <f>N199+N207</f>
        <v>0</v>
      </c>
      <c r="O198" s="243">
        <f t="shared" si="33"/>
        <v>0</v>
      </c>
      <c r="P198" s="246"/>
      <c r="R198" s="53"/>
      <c r="S198" s="53"/>
      <c r="T198" s="53"/>
    </row>
    <row r="199" spans="1:20" hidden="1" x14ac:dyDescent="0.25">
      <c r="A199" s="99">
        <v>5100</v>
      </c>
      <c r="B199" s="247" t="s">
        <v>215</v>
      </c>
      <c r="C199" s="100">
        <f t="shared" si="26"/>
        <v>0</v>
      </c>
      <c r="D199" s="112">
        <f>D200+D201+D204+D205+D206</f>
        <v>0</v>
      </c>
      <c r="E199" s="293">
        <f>E200+E201+E204+E205+E206</f>
        <v>0</v>
      </c>
      <c r="F199" s="313">
        <f t="shared" si="30"/>
        <v>0</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c r="R199" s="53"/>
      <c r="S199" s="53"/>
      <c r="T199" s="53"/>
    </row>
    <row r="200" spans="1:20" hidden="1" x14ac:dyDescent="0.25">
      <c r="A200" s="656">
        <v>5110</v>
      </c>
      <c r="B200" s="116" t="s">
        <v>216</v>
      </c>
      <c r="C200" s="117">
        <f t="shared" si="26"/>
        <v>0</v>
      </c>
      <c r="D200" s="123"/>
      <c r="E200" s="262"/>
      <c r="F200" s="263">
        <f t="shared" si="30"/>
        <v>0</v>
      </c>
      <c r="G200" s="123"/>
      <c r="H200" s="124"/>
      <c r="I200" s="125">
        <f t="shared" si="31"/>
        <v>0</v>
      </c>
      <c r="J200" s="123"/>
      <c r="K200" s="124"/>
      <c r="L200" s="125">
        <f t="shared" si="32"/>
        <v>0</v>
      </c>
      <c r="M200" s="264"/>
      <c r="N200" s="262"/>
      <c r="O200" s="125">
        <f t="shared" si="33"/>
        <v>0</v>
      </c>
      <c r="P200" s="74"/>
      <c r="R200" s="53"/>
      <c r="S200" s="53"/>
      <c r="T200" s="53"/>
    </row>
    <row r="201" spans="1:20" ht="24" hidden="1" x14ac:dyDescent="0.25">
      <c r="A201" s="276">
        <v>5120</v>
      </c>
      <c r="B201" s="127" t="s">
        <v>217</v>
      </c>
      <c r="C201" s="128">
        <f t="shared" si="26"/>
        <v>0</v>
      </c>
      <c r="D201" s="277">
        <f>D202+D203</f>
        <v>0</v>
      </c>
      <c r="E201" s="282">
        <f>E202+E203</f>
        <v>0</v>
      </c>
      <c r="F201" s="286">
        <f t="shared" si="30"/>
        <v>0</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c r="R201" s="53"/>
      <c r="S201" s="53"/>
      <c r="T201" s="53"/>
    </row>
    <row r="202" spans="1:20" hidden="1" x14ac:dyDescent="0.25">
      <c r="A202" s="76">
        <v>5121</v>
      </c>
      <c r="B202" s="127" t="s">
        <v>218</v>
      </c>
      <c r="C202" s="128">
        <f t="shared" si="26"/>
        <v>0</v>
      </c>
      <c r="D202" s="134"/>
      <c r="E202" s="285"/>
      <c r="F202" s="286">
        <f t="shared" si="30"/>
        <v>0</v>
      </c>
      <c r="G202" s="134"/>
      <c r="H202" s="135"/>
      <c r="I202" s="136">
        <f t="shared" si="31"/>
        <v>0</v>
      </c>
      <c r="J202" s="134"/>
      <c r="K202" s="135"/>
      <c r="L202" s="136">
        <f t="shared" si="32"/>
        <v>0</v>
      </c>
      <c r="M202" s="284"/>
      <c r="N202" s="285"/>
      <c r="O202" s="136">
        <f t="shared" si="33"/>
        <v>0</v>
      </c>
      <c r="P202" s="85"/>
      <c r="R202" s="53"/>
      <c r="S202" s="53"/>
      <c r="T202" s="53"/>
    </row>
    <row r="203" spans="1:20" ht="24" hidden="1" x14ac:dyDescent="0.25">
      <c r="A203" s="76">
        <v>5129</v>
      </c>
      <c r="B203" s="127" t="s">
        <v>219</v>
      </c>
      <c r="C203" s="128">
        <f t="shared" si="26"/>
        <v>0</v>
      </c>
      <c r="D203" s="134"/>
      <c r="E203" s="285"/>
      <c r="F203" s="286">
        <f t="shared" si="30"/>
        <v>0</v>
      </c>
      <c r="G203" s="134"/>
      <c r="H203" s="135"/>
      <c r="I203" s="136">
        <f t="shared" si="31"/>
        <v>0</v>
      </c>
      <c r="J203" s="134"/>
      <c r="K203" s="135"/>
      <c r="L203" s="136">
        <f t="shared" si="32"/>
        <v>0</v>
      </c>
      <c r="M203" s="284"/>
      <c r="N203" s="285"/>
      <c r="O203" s="136">
        <f t="shared" si="33"/>
        <v>0</v>
      </c>
      <c r="P203" s="85"/>
      <c r="R203" s="53"/>
      <c r="S203" s="53"/>
      <c r="T203" s="53"/>
    </row>
    <row r="204" spans="1:20" hidden="1" x14ac:dyDescent="0.25">
      <c r="A204" s="276">
        <v>5130</v>
      </c>
      <c r="B204" s="127" t="s">
        <v>220</v>
      </c>
      <c r="C204" s="128">
        <f t="shared" si="26"/>
        <v>0</v>
      </c>
      <c r="D204" s="134"/>
      <c r="E204" s="285"/>
      <c r="F204" s="286">
        <f t="shared" si="30"/>
        <v>0</v>
      </c>
      <c r="G204" s="134"/>
      <c r="H204" s="135"/>
      <c r="I204" s="136">
        <f t="shared" si="31"/>
        <v>0</v>
      </c>
      <c r="J204" s="134"/>
      <c r="K204" s="135"/>
      <c r="L204" s="136">
        <f t="shared" si="32"/>
        <v>0</v>
      </c>
      <c r="M204" s="284"/>
      <c r="N204" s="285"/>
      <c r="O204" s="136">
        <f t="shared" si="33"/>
        <v>0</v>
      </c>
      <c r="P204" s="85"/>
      <c r="R204" s="53"/>
      <c r="S204" s="53"/>
      <c r="T204" s="53"/>
    </row>
    <row r="205" spans="1:20" hidden="1" x14ac:dyDescent="0.25">
      <c r="A205" s="276">
        <v>5140</v>
      </c>
      <c r="B205" s="127" t="s">
        <v>221</v>
      </c>
      <c r="C205" s="128">
        <f t="shared" si="26"/>
        <v>0</v>
      </c>
      <c r="D205" s="134"/>
      <c r="E205" s="285"/>
      <c r="F205" s="286">
        <f t="shared" si="30"/>
        <v>0</v>
      </c>
      <c r="G205" s="134"/>
      <c r="H205" s="135"/>
      <c r="I205" s="136">
        <f t="shared" si="31"/>
        <v>0</v>
      </c>
      <c r="J205" s="134"/>
      <c r="K205" s="135"/>
      <c r="L205" s="136">
        <f t="shared" si="32"/>
        <v>0</v>
      </c>
      <c r="M205" s="284"/>
      <c r="N205" s="285"/>
      <c r="O205" s="136">
        <f t="shared" si="33"/>
        <v>0</v>
      </c>
      <c r="P205" s="85"/>
      <c r="R205" s="53"/>
      <c r="S205" s="53"/>
      <c r="T205" s="53"/>
    </row>
    <row r="206" spans="1:20" ht="24" hidden="1" x14ac:dyDescent="0.25">
      <c r="A206" s="276">
        <v>5170</v>
      </c>
      <c r="B206" s="127" t="s">
        <v>222</v>
      </c>
      <c r="C206" s="128">
        <f t="shared" si="26"/>
        <v>0</v>
      </c>
      <c r="D206" s="134"/>
      <c r="E206" s="285"/>
      <c r="F206" s="286">
        <f t="shared" si="30"/>
        <v>0</v>
      </c>
      <c r="G206" s="134"/>
      <c r="H206" s="135"/>
      <c r="I206" s="136">
        <f t="shared" si="31"/>
        <v>0</v>
      </c>
      <c r="J206" s="134"/>
      <c r="K206" s="135"/>
      <c r="L206" s="136">
        <f t="shared" si="32"/>
        <v>0</v>
      </c>
      <c r="M206" s="284"/>
      <c r="N206" s="285"/>
      <c r="O206" s="136">
        <f t="shared" si="33"/>
        <v>0</v>
      </c>
      <c r="P206" s="85"/>
      <c r="R206" s="53"/>
      <c r="S206" s="53"/>
      <c r="T206" s="53"/>
    </row>
    <row r="207" spans="1:20" x14ac:dyDescent="0.25">
      <c r="A207" s="99">
        <v>5200</v>
      </c>
      <c r="B207" s="247" t="s">
        <v>223</v>
      </c>
      <c r="C207" s="100">
        <f t="shared" si="26"/>
        <v>980</v>
      </c>
      <c r="D207" s="112">
        <f>D208+D218+D219+D228+D229+D230+D232</f>
        <v>896</v>
      </c>
      <c r="E207" s="248">
        <f>E208+E218+E219+E228+E229+E230+E232</f>
        <v>0</v>
      </c>
      <c r="F207" s="249">
        <f t="shared" si="30"/>
        <v>896</v>
      </c>
      <c r="G207" s="112">
        <f>G208+G218+G219+G228+G229+G230+G232</f>
        <v>84</v>
      </c>
      <c r="H207" s="113">
        <f>H208+H218+H219+H228+H229+H230+H232</f>
        <v>0</v>
      </c>
      <c r="I207" s="114">
        <f t="shared" si="31"/>
        <v>84</v>
      </c>
      <c r="J207" s="112">
        <f>J208+J218+J219+J228+J229+J230+J232</f>
        <v>0</v>
      </c>
      <c r="K207" s="113">
        <f>K208+K218+K219+K228+K229+K230+K232</f>
        <v>0</v>
      </c>
      <c r="L207" s="114">
        <f t="shared" si="32"/>
        <v>0</v>
      </c>
      <c r="M207" s="292">
        <f>M208+M218+M219+M228+M229+M230+M232</f>
        <v>0</v>
      </c>
      <c r="N207" s="293">
        <f>N208+N218+N219+N228+N229+N230+N232</f>
        <v>0</v>
      </c>
      <c r="O207" s="114">
        <f t="shared" si="33"/>
        <v>0</v>
      </c>
      <c r="P207" s="109"/>
      <c r="R207" s="53"/>
      <c r="S207" s="53"/>
      <c r="T207" s="53"/>
    </row>
    <row r="208" spans="1:20" hidden="1" x14ac:dyDescent="0.25">
      <c r="A208" s="254">
        <v>5210</v>
      </c>
      <c r="B208" s="179" t="s">
        <v>224</v>
      </c>
      <c r="C208" s="191">
        <f t="shared" si="26"/>
        <v>0</v>
      </c>
      <c r="D208" s="255">
        <f>SUM(D209:D217)</f>
        <v>0</v>
      </c>
      <c r="E208" s="261">
        <f>SUM(E209:E217)</f>
        <v>0</v>
      </c>
      <c r="F208" s="310">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c r="R208" s="53"/>
      <c r="S208" s="53"/>
      <c r="T208" s="53"/>
    </row>
    <row r="209" spans="1:20" hidden="1" x14ac:dyDescent="0.25">
      <c r="A209" s="66">
        <v>5211</v>
      </c>
      <c r="B209" s="116" t="s">
        <v>225</v>
      </c>
      <c r="C209" s="279">
        <f t="shared" si="26"/>
        <v>0</v>
      </c>
      <c r="D209" s="123"/>
      <c r="E209" s="262"/>
      <c r="F209" s="263">
        <f t="shared" si="30"/>
        <v>0</v>
      </c>
      <c r="G209" s="123"/>
      <c r="H209" s="124"/>
      <c r="I209" s="125">
        <f t="shared" si="31"/>
        <v>0</v>
      </c>
      <c r="J209" s="123"/>
      <c r="K209" s="124"/>
      <c r="L209" s="125">
        <f t="shared" si="32"/>
        <v>0</v>
      </c>
      <c r="M209" s="264"/>
      <c r="N209" s="262"/>
      <c r="O209" s="125">
        <f t="shared" si="33"/>
        <v>0</v>
      </c>
      <c r="P209" s="74"/>
      <c r="R209" s="53"/>
      <c r="S209" s="53"/>
      <c r="T209" s="53"/>
    </row>
    <row r="210" spans="1:20" hidden="1" x14ac:dyDescent="0.25">
      <c r="A210" s="76">
        <v>5212</v>
      </c>
      <c r="B210" s="127" t="s">
        <v>226</v>
      </c>
      <c r="C210" s="279">
        <f t="shared" si="26"/>
        <v>0</v>
      </c>
      <c r="D210" s="134"/>
      <c r="E210" s="285"/>
      <c r="F210" s="286">
        <f t="shared" si="30"/>
        <v>0</v>
      </c>
      <c r="G210" s="134"/>
      <c r="H210" s="135"/>
      <c r="I210" s="136">
        <f t="shared" si="31"/>
        <v>0</v>
      </c>
      <c r="J210" s="134"/>
      <c r="K210" s="135"/>
      <c r="L210" s="136">
        <f t="shared" si="32"/>
        <v>0</v>
      </c>
      <c r="M210" s="284"/>
      <c r="N210" s="285"/>
      <c r="O210" s="136">
        <f t="shared" si="33"/>
        <v>0</v>
      </c>
      <c r="P210" s="85"/>
      <c r="R210" s="53"/>
      <c r="S210" s="53"/>
      <c r="T210" s="53"/>
    </row>
    <row r="211" spans="1:20" hidden="1" x14ac:dyDescent="0.25">
      <c r="A211" s="76">
        <v>5213</v>
      </c>
      <c r="B211" s="127" t="s">
        <v>227</v>
      </c>
      <c r="C211" s="279">
        <f t="shared" si="26"/>
        <v>0</v>
      </c>
      <c r="D211" s="134"/>
      <c r="E211" s="285"/>
      <c r="F211" s="286">
        <f t="shared" si="30"/>
        <v>0</v>
      </c>
      <c r="G211" s="134"/>
      <c r="H211" s="135"/>
      <c r="I211" s="136">
        <f t="shared" si="31"/>
        <v>0</v>
      </c>
      <c r="J211" s="134"/>
      <c r="K211" s="135"/>
      <c r="L211" s="136">
        <f t="shared" si="32"/>
        <v>0</v>
      </c>
      <c r="M211" s="284"/>
      <c r="N211" s="285"/>
      <c r="O211" s="136">
        <f t="shared" si="33"/>
        <v>0</v>
      </c>
      <c r="P211" s="85"/>
      <c r="R211" s="53"/>
      <c r="S211" s="53"/>
      <c r="T211" s="53"/>
    </row>
    <row r="212" spans="1:20" hidden="1" x14ac:dyDescent="0.25">
      <c r="A212" s="76">
        <v>5214</v>
      </c>
      <c r="B212" s="127" t="s">
        <v>228</v>
      </c>
      <c r="C212" s="279">
        <f t="shared" si="26"/>
        <v>0</v>
      </c>
      <c r="D212" s="134"/>
      <c r="E212" s="285"/>
      <c r="F212" s="286">
        <f t="shared" si="30"/>
        <v>0</v>
      </c>
      <c r="G212" s="134"/>
      <c r="H212" s="135"/>
      <c r="I212" s="136">
        <f t="shared" si="31"/>
        <v>0</v>
      </c>
      <c r="J212" s="134"/>
      <c r="K212" s="135"/>
      <c r="L212" s="136">
        <f t="shared" si="32"/>
        <v>0</v>
      </c>
      <c r="M212" s="284"/>
      <c r="N212" s="285"/>
      <c r="O212" s="136">
        <f t="shared" si="33"/>
        <v>0</v>
      </c>
      <c r="P212" s="85"/>
      <c r="R212" s="53"/>
      <c r="S212" s="53"/>
      <c r="T212" s="53"/>
    </row>
    <row r="213" spans="1:20" hidden="1" x14ac:dyDescent="0.25">
      <c r="A213" s="76">
        <v>5215</v>
      </c>
      <c r="B213" s="127" t="s">
        <v>229</v>
      </c>
      <c r="C213" s="279">
        <f t="shared" si="26"/>
        <v>0</v>
      </c>
      <c r="D213" s="134"/>
      <c r="E213" s="285"/>
      <c r="F213" s="286">
        <f t="shared" si="30"/>
        <v>0</v>
      </c>
      <c r="G213" s="134"/>
      <c r="H213" s="135"/>
      <c r="I213" s="136">
        <f t="shared" si="31"/>
        <v>0</v>
      </c>
      <c r="J213" s="134"/>
      <c r="K213" s="135"/>
      <c r="L213" s="136">
        <f t="shared" si="32"/>
        <v>0</v>
      </c>
      <c r="M213" s="284"/>
      <c r="N213" s="285"/>
      <c r="O213" s="136">
        <f t="shared" si="33"/>
        <v>0</v>
      </c>
      <c r="P213" s="85"/>
      <c r="R213" s="53"/>
      <c r="S213" s="53"/>
      <c r="T213" s="53"/>
    </row>
    <row r="214" spans="1:20" ht="24" hidden="1" x14ac:dyDescent="0.25">
      <c r="A214" s="76">
        <v>5216</v>
      </c>
      <c r="B214" s="127" t="s">
        <v>230</v>
      </c>
      <c r="C214" s="279">
        <f t="shared" si="26"/>
        <v>0</v>
      </c>
      <c r="D214" s="134"/>
      <c r="E214" s="285"/>
      <c r="F214" s="286">
        <f t="shared" si="30"/>
        <v>0</v>
      </c>
      <c r="G214" s="134"/>
      <c r="H214" s="135"/>
      <c r="I214" s="136">
        <f t="shared" si="31"/>
        <v>0</v>
      </c>
      <c r="J214" s="134"/>
      <c r="K214" s="135"/>
      <c r="L214" s="136">
        <f t="shared" si="32"/>
        <v>0</v>
      </c>
      <c r="M214" s="284"/>
      <c r="N214" s="285"/>
      <c r="O214" s="136">
        <f t="shared" si="33"/>
        <v>0</v>
      </c>
      <c r="P214" s="85"/>
      <c r="R214" s="53"/>
      <c r="S214" s="53"/>
      <c r="T214" s="53"/>
    </row>
    <row r="215" spans="1:20" hidden="1" x14ac:dyDescent="0.25">
      <c r="A215" s="76">
        <v>5217</v>
      </c>
      <c r="B215" s="127" t="s">
        <v>231</v>
      </c>
      <c r="C215" s="279">
        <f t="shared" si="26"/>
        <v>0</v>
      </c>
      <c r="D215" s="134"/>
      <c r="E215" s="285"/>
      <c r="F215" s="286">
        <f t="shared" si="30"/>
        <v>0</v>
      </c>
      <c r="G215" s="134"/>
      <c r="H215" s="135"/>
      <c r="I215" s="136">
        <f t="shared" si="31"/>
        <v>0</v>
      </c>
      <c r="J215" s="134"/>
      <c r="K215" s="135"/>
      <c r="L215" s="136">
        <f t="shared" si="32"/>
        <v>0</v>
      </c>
      <c r="M215" s="284"/>
      <c r="N215" s="285"/>
      <c r="O215" s="136">
        <f t="shared" si="33"/>
        <v>0</v>
      </c>
      <c r="P215" s="85"/>
      <c r="R215" s="53"/>
      <c r="S215" s="53"/>
      <c r="T215" s="53"/>
    </row>
    <row r="216" spans="1:20" hidden="1" x14ac:dyDescent="0.25">
      <c r="A216" s="76">
        <v>5218</v>
      </c>
      <c r="B216" s="127" t="s">
        <v>232</v>
      </c>
      <c r="C216" s="279">
        <f t="shared" si="26"/>
        <v>0</v>
      </c>
      <c r="D216" s="134"/>
      <c r="E216" s="285"/>
      <c r="F216" s="286">
        <f t="shared" si="30"/>
        <v>0</v>
      </c>
      <c r="G216" s="134"/>
      <c r="H216" s="135"/>
      <c r="I216" s="136">
        <f t="shared" si="31"/>
        <v>0</v>
      </c>
      <c r="J216" s="134"/>
      <c r="K216" s="135"/>
      <c r="L216" s="136">
        <f t="shared" si="32"/>
        <v>0</v>
      </c>
      <c r="M216" s="284"/>
      <c r="N216" s="285"/>
      <c r="O216" s="136">
        <f t="shared" si="33"/>
        <v>0</v>
      </c>
      <c r="P216" s="85"/>
      <c r="R216" s="53"/>
      <c r="S216" s="53"/>
      <c r="T216" s="53"/>
    </row>
    <row r="217" spans="1:20" hidden="1" x14ac:dyDescent="0.25">
      <c r="A217" s="76">
        <v>5219</v>
      </c>
      <c r="B217" s="127" t="s">
        <v>233</v>
      </c>
      <c r="C217" s="279">
        <f t="shared" si="26"/>
        <v>0</v>
      </c>
      <c r="D217" s="134"/>
      <c r="E217" s="285"/>
      <c r="F217" s="286">
        <f t="shared" si="30"/>
        <v>0</v>
      </c>
      <c r="G217" s="134"/>
      <c r="H217" s="135"/>
      <c r="I217" s="136">
        <f t="shared" si="31"/>
        <v>0</v>
      </c>
      <c r="J217" s="134"/>
      <c r="K217" s="135"/>
      <c r="L217" s="136">
        <f t="shared" si="32"/>
        <v>0</v>
      </c>
      <c r="M217" s="284"/>
      <c r="N217" s="285"/>
      <c r="O217" s="136">
        <f t="shared" si="33"/>
        <v>0</v>
      </c>
      <c r="P217" s="85"/>
      <c r="R217" s="53"/>
      <c r="S217" s="53"/>
      <c r="T217" s="53"/>
    </row>
    <row r="218" spans="1:20" hidden="1" x14ac:dyDescent="0.25">
      <c r="A218" s="276">
        <v>5220</v>
      </c>
      <c r="B218" s="127" t="s">
        <v>234</v>
      </c>
      <c r="C218" s="279">
        <f t="shared" si="26"/>
        <v>0</v>
      </c>
      <c r="D218" s="134"/>
      <c r="E218" s="285"/>
      <c r="F218" s="286">
        <f t="shared" si="30"/>
        <v>0</v>
      </c>
      <c r="G218" s="134"/>
      <c r="H218" s="135"/>
      <c r="I218" s="136">
        <f t="shared" si="31"/>
        <v>0</v>
      </c>
      <c r="J218" s="134"/>
      <c r="K218" s="135"/>
      <c r="L218" s="136">
        <f t="shared" si="32"/>
        <v>0</v>
      </c>
      <c r="M218" s="284"/>
      <c r="N218" s="285"/>
      <c r="O218" s="136">
        <f t="shared" si="33"/>
        <v>0</v>
      </c>
      <c r="P218" s="85"/>
      <c r="R218" s="53"/>
      <c r="S218" s="53"/>
      <c r="T218" s="53"/>
    </row>
    <row r="219" spans="1:20" x14ac:dyDescent="0.25">
      <c r="A219" s="276">
        <v>5230</v>
      </c>
      <c r="B219" s="127" t="s">
        <v>235</v>
      </c>
      <c r="C219" s="279">
        <f t="shared" si="26"/>
        <v>521</v>
      </c>
      <c r="D219" s="277">
        <f>SUM(D220:D227)</f>
        <v>437</v>
      </c>
      <c r="E219" s="278">
        <f>SUM(E220:E227)</f>
        <v>0</v>
      </c>
      <c r="F219" s="279">
        <f t="shared" si="30"/>
        <v>437</v>
      </c>
      <c r="G219" s="277">
        <f>SUM(G220:G227)</f>
        <v>84</v>
      </c>
      <c r="H219" s="280">
        <f>SUM(H220:H227)</f>
        <v>0</v>
      </c>
      <c r="I219" s="136">
        <f t="shared" si="31"/>
        <v>84</v>
      </c>
      <c r="J219" s="277">
        <f>SUM(J220:J227)</f>
        <v>0</v>
      </c>
      <c r="K219" s="280">
        <f>SUM(K220:K227)</f>
        <v>0</v>
      </c>
      <c r="L219" s="136">
        <f t="shared" si="32"/>
        <v>0</v>
      </c>
      <c r="M219" s="281">
        <f>SUM(M220:M227)</f>
        <v>0</v>
      </c>
      <c r="N219" s="282">
        <f>SUM(N220:N227)</f>
        <v>0</v>
      </c>
      <c r="O219" s="136">
        <f t="shared" si="33"/>
        <v>0</v>
      </c>
      <c r="P219" s="85"/>
      <c r="R219" s="53"/>
      <c r="S219" s="53"/>
      <c r="T219" s="53"/>
    </row>
    <row r="220" spans="1:20" hidden="1" x14ac:dyDescent="0.25">
      <c r="A220" s="76">
        <v>5231</v>
      </c>
      <c r="B220" s="127" t="s">
        <v>236</v>
      </c>
      <c r="C220" s="279">
        <f t="shared" si="26"/>
        <v>0</v>
      </c>
      <c r="D220" s="134"/>
      <c r="E220" s="285"/>
      <c r="F220" s="286">
        <f t="shared" si="30"/>
        <v>0</v>
      </c>
      <c r="G220" s="134"/>
      <c r="H220" s="135"/>
      <c r="I220" s="136">
        <f t="shared" si="31"/>
        <v>0</v>
      </c>
      <c r="J220" s="134"/>
      <c r="K220" s="135"/>
      <c r="L220" s="136">
        <f t="shared" si="32"/>
        <v>0</v>
      </c>
      <c r="M220" s="284"/>
      <c r="N220" s="285"/>
      <c r="O220" s="136">
        <f t="shared" si="33"/>
        <v>0</v>
      </c>
      <c r="P220" s="85"/>
      <c r="R220" s="53"/>
      <c r="S220" s="53"/>
      <c r="T220" s="53"/>
    </row>
    <row r="221" spans="1:20" x14ac:dyDescent="0.25">
      <c r="A221" s="265">
        <v>5232</v>
      </c>
      <c r="B221" s="266" t="s">
        <v>237</v>
      </c>
      <c r="C221" s="270">
        <f t="shared" si="26"/>
        <v>294</v>
      </c>
      <c r="D221" s="268">
        <v>294</v>
      </c>
      <c r="E221" s="269"/>
      <c r="F221" s="270">
        <f t="shared" si="30"/>
        <v>294</v>
      </c>
      <c r="G221" s="268"/>
      <c r="H221" s="271"/>
      <c r="I221" s="272">
        <f t="shared" si="31"/>
        <v>0</v>
      </c>
      <c r="J221" s="268"/>
      <c r="K221" s="271"/>
      <c r="L221" s="272">
        <f t="shared" si="32"/>
        <v>0</v>
      </c>
      <c r="M221" s="273"/>
      <c r="N221" s="274"/>
      <c r="O221" s="272">
        <f t="shared" si="33"/>
        <v>0</v>
      </c>
      <c r="P221" s="275"/>
      <c r="R221" s="53"/>
      <c r="S221" s="53"/>
      <c r="T221" s="53"/>
    </row>
    <row r="222" spans="1:20" x14ac:dyDescent="0.25">
      <c r="A222" s="76">
        <v>5233</v>
      </c>
      <c r="B222" s="127" t="s">
        <v>238</v>
      </c>
      <c r="C222" s="279">
        <f t="shared" si="26"/>
        <v>227</v>
      </c>
      <c r="D222" s="134">
        <v>143</v>
      </c>
      <c r="E222" s="283"/>
      <c r="F222" s="279">
        <f t="shared" si="30"/>
        <v>143</v>
      </c>
      <c r="G222" s="134">
        <v>84</v>
      </c>
      <c r="H222" s="135"/>
      <c r="I222" s="136">
        <f t="shared" si="31"/>
        <v>84</v>
      </c>
      <c r="J222" s="134"/>
      <c r="K222" s="135"/>
      <c r="L222" s="136">
        <f t="shared" si="32"/>
        <v>0</v>
      </c>
      <c r="M222" s="284"/>
      <c r="N222" s="285"/>
      <c r="O222" s="136">
        <f t="shared" si="33"/>
        <v>0</v>
      </c>
      <c r="P222" s="85"/>
      <c r="R222" s="53"/>
      <c r="S222" s="53"/>
      <c r="T222" s="53"/>
    </row>
    <row r="223" spans="1:20" ht="24" hidden="1" x14ac:dyDescent="0.25">
      <c r="A223" s="76">
        <v>5234</v>
      </c>
      <c r="B223" s="127" t="s">
        <v>239</v>
      </c>
      <c r="C223" s="279">
        <f t="shared" si="26"/>
        <v>0</v>
      </c>
      <c r="D223" s="134"/>
      <c r="E223" s="285"/>
      <c r="F223" s="286">
        <f t="shared" si="30"/>
        <v>0</v>
      </c>
      <c r="G223" s="134"/>
      <c r="H223" s="135"/>
      <c r="I223" s="136">
        <f t="shared" si="31"/>
        <v>0</v>
      </c>
      <c r="J223" s="134"/>
      <c r="K223" s="135"/>
      <c r="L223" s="136">
        <f t="shared" si="32"/>
        <v>0</v>
      </c>
      <c r="M223" s="284"/>
      <c r="N223" s="285"/>
      <c r="O223" s="136">
        <f t="shared" si="33"/>
        <v>0</v>
      </c>
      <c r="P223" s="85"/>
      <c r="R223" s="53"/>
      <c r="S223" s="53"/>
      <c r="T223" s="53"/>
    </row>
    <row r="224" spans="1:20" hidden="1" x14ac:dyDescent="0.25">
      <c r="A224" s="76">
        <v>5236</v>
      </c>
      <c r="B224" s="127" t="s">
        <v>240</v>
      </c>
      <c r="C224" s="279">
        <f t="shared" si="26"/>
        <v>0</v>
      </c>
      <c r="D224" s="134"/>
      <c r="E224" s="285"/>
      <c r="F224" s="286">
        <f t="shared" si="30"/>
        <v>0</v>
      </c>
      <c r="G224" s="134"/>
      <c r="H224" s="135"/>
      <c r="I224" s="136">
        <f t="shared" si="31"/>
        <v>0</v>
      </c>
      <c r="J224" s="134"/>
      <c r="K224" s="135"/>
      <c r="L224" s="136">
        <f t="shared" si="32"/>
        <v>0</v>
      </c>
      <c r="M224" s="284"/>
      <c r="N224" s="285"/>
      <c r="O224" s="136">
        <f t="shared" si="33"/>
        <v>0</v>
      </c>
      <c r="P224" s="85"/>
      <c r="R224" s="53"/>
      <c r="S224" s="53"/>
      <c r="T224" s="53"/>
    </row>
    <row r="225" spans="1:20" hidden="1" x14ac:dyDescent="0.25">
      <c r="A225" s="76">
        <v>5237</v>
      </c>
      <c r="B225" s="127" t="s">
        <v>241</v>
      </c>
      <c r="C225" s="279">
        <f t="shared" si="26"/>
        <v>0</v>
      </c>
      <c r="D225" s="134"/>
      <c r="E225" s="285"/>
      <c r="F225" s="286">
        <f t="shared" si="30"/>
        <v>0</v>
      </c>
      <c r="G225" s="134"/>
      <c r="H225" s="135"/>
      <c r="I225" s="136">
        <f t="shared" si="31"/>
        <v>0</v>
      </c>
      <c r="J225" s="134"/>
      <c r="K225" s="135"/>
      <c r="L225" s="136">
        <f t="shared" si="32"/>
        <v>0</v>
      </c>
      <c r="M225" s="284"/>
      <c r="N225" s="285"/>
      <c r="O225" s="136">
        <f t="shared" si="33"/>
        <v>0</v>
      </c>
      <c r="P225" s="85"/>
      <c r="R225" s="53"/>
      <c r="S225" s="53"/>
      <c r="T225" s="53"/>
    </row>
    <row r="226" spans="1:20" ht="24" hidden="1" x14ac:dyDescent="0.25">
      <c r="A226" s="76">
        <v>5238</v>
      </c>
      <c r="B226" s="127" t="s">
        <v>242</v>
      </c>
      <c r="C226" s="279">
        <f t="shared" si="26"/>
        <v>0</v>
      </c>
      <c r="D226" s="134"/>
      <c r="E226" s="285"/>
      <c r="F226" s="286">
        <f t="shared" si="30"/>
        <v>0</v>
      </c>
      <c r="G226" s="134"/>
      <c r="H226" s="135"/>
      <c r="I226" s="136">
        <f t="shared" si="31"/>
        <v>0</v>
      </c>
      <c r="J226" s="134"/>
      <c r="K226" s="135"/>
      <c r="L226" s="136">
        <f t="shared" si="32"/>
        <v>0</v>
      </c>
      <c r="M226" s="284"/>
      <c r="N226" s="285"/>
      <c r="O226" s="136">
        <f t="shared" si="33"/>
        <v>0</v>
      </c>
      <c r="P226" s="85"/>
      <c r="R226" s="53"/>
      <c r="S226" s="53"/>
      <c r="T226" s="53"/>
    </row>
    <row r="227" spans="1:20" ht="24" hidden="1" x14ac:dyDescent="0.25">
      <c r="A227" s="76">
        <v>5239</v>
      </c>
      <c r="B227" s="127" t="s">
        <v>243</v>
      </c>
      <c r="C227" s="279">
        <f t="shared" si="26"/>
        <v>0</v>
      </c>
      <c r="D227" s="134"/>
      <c r="E227" s="285"/>
      <c r="F227" s="286">
        <f t="shared" si="30"/>
        <v>0</v>
      </c>
      <c r="G227" s="134"/>
      <c r="H227" s="135"/>
      <c r="I227" s="136">
        <f t="shared" si="31"/>
        <v>0</v>
      </c>
      <c r="J227" s="134"/>
      <c r="K227" s="135"/>
      <c r="L227" s="136">
        <f t="shared" si="32"/>
        <v>0</v>
      </c>
      <c r="M227" s="284"/>
      <c r="N227" s="285"/>
      <c r="O227" s="136">
        <f t="shared" si="33"/>
        <v>0</v>
      </c>
      <c r="P227" s="85"/>
      <c r="R227" s="53"/>
      <c r="S227" s="53"/>
      <c r="T227" s="53"/>
    </row>
    <row r="228" spans="1:20" ht="24" hidden="1" x14ac:dyDescent="0.25">
      <c r="A228" s="276">
        <v>5240</v>
      </c>
      <c r="B228" s="127" t="s">
        <v>244</v>
      </c>
      <c r="C228" s="279">
        <f t="shared" si="26"/>
        <v>0</v>
      </c>
      <c r="D228" s="134"/>
      <c r="E228" s="285"/>
      <c r="F228" s="286">
        <f t="shared" si="30"/>
        <v>0</v>
      </c>
      <c r="G228" s="134"/>
      <c r="H228" s="135"/>
      <c r="I228" s="136">
        <f t="shared" si="31"/>
        <v>0</v>
      </c>
      <c r="J228" s="134"/>
      <c r="K228" s="135"/>
      <c r="L228" s="136">
        <f t="shared" si="32"/>
        <v>0</v>
      </c>
      <c r="M228" s="284"/>
      <c r="N228" s="285"/>
      <c r="O228" s="136">
        <f t="shared" si="33"/>
        <v>0</v>
      </c>
      <c r="P228" s="85"/>
      <c r="R228" s="53"/>
      <c r="S228" s="53"/>
      <c r="T228" s="53"/>
    </row>
    <row r="229" spans="1:20" x14ac:dyDescent="0.25">
      <c r="A229" s="276">
        <v>5250</v>
      </c>
      <c r="B229" s="127" t="s">
        <v>245</v>
      </c>
      <c r="C229" s="279">
        <f t="shared" si="26"/>
        <v>459</v>
      </c>
      <c r="D229" s="134">
        <v>459</v>
      </c>
      <c r="E229" s="283"/>
      <c r="F229" s="279">
        <f t="shared" si="30"/>
        <v>459</v>
      </c>
      <c r="G229" s="134"/>
      <c r="H229" s="135"/>
      <c r="I229" s="136">
        <f t="shared" si="31"/>
        <v>0</v>
      </c>
      <c r="J229" s="134"/>
      <c r="K229" s="135"/>
      <c r="L229" s="136">
        <f t="shared" si="32"/>
        <v>0</v>
      </c>
      <c r="M229" s="284"/>
      <c r="N229" s="285"/>
      <c r="O229" s="136">
        <f t="shared" si="33"/>
        <v>0</v>
      </c>
      <c r="P229" s="85"/>
      <c r="R229" s="53"/>
      <c r="S229" s="53"/>
      <c r="T229" s="53"/>
    </row>
    <row r="230" spans="1:20" hidden="1" x14ac:dyDescent="0.25">
      <c r="A230" s="276">
        <v>5260</v>
      </c>
      <c r="B230" s="127" t="s">
        <v>246</v>
      </c>
      <c r="C230" s="279">
        <f t="shared" si="26"/>
        <v>0</v>
      </c>
      <c r="D230" s="277">
        <f>SUM(D231)</f>
        <v>0</v>
      </c>
      <c r="E230" s="282">
        <f>SUM(E231)</f>
        <v>0</v>
      </c>
      <c r="F230" s="286">
        <f t="shared" si="30"/>
        <v>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c r="R230" s="53"/>
      <c r="S230" s="53"/>
      <c r="T230" s="53"/>
    </row>
    <row r="231" spans="1:20" ht="24" hidden="1" x14ac:dyDescent="0.25">
      <c r="A231" s="76">
        <v>5269</v>
      </c>
      <c r="B231" s="127" t="s">
        <v>247</v>
      </c>
      <c r="C231" s="279">
        <f t="shared" si="26"/>
        <v>0</v>
      </c>
      <c r="D231" s="134"/>
      <c r="E231" s="285"/>
      <c r="F231" s="286">
        <f t="shared" si="30"/>
        <v>0</v>
      </c>
      <c r="G231" s="134"/>
      <c r="H231" s="135"/>
      <c r="I231" s="136">
        <f t="shared" si="31"/>
        <v>0</v>
      </c>
      <c r="J231" s="134"/>
      <c r="K231" s="135"/>
      <c r="L231" s="136">
        <f t="shared" si="32"/>
        <v>0</v>
      </c>
      <c r="M231" s="284"/>
      <c r="N231" s="285"/>
      <c r="O231" s="136">
        <f t="shared" si="33"/>
        <v>0</v>
      </c>
      <c r="P231" s="85"/>
      <c r="R231" s="53"/>
      <c r="S231" s="53"/>
      <c r="T231" s="53"/>
    </row>
    <row r="232" spans="1:20" ht="24" hidden="1" x14ac:dyDescent="0.25">
      <c r="A232" s="254">
        <v>5270</v>
      </c>
      <c r="B232" s="179" t="s">
        <v>248</v>
      </c>
      <c r="C232" s="302">
        <f t="shared" si="26"/>
        <v>0</v>
      </c>
      <c r="D232" s="287"/>
      <c r="E232" s="291"/>
      <c r="F232" s="310">
        <f t="shared" si="30"/>
        <v>0</v>
      </c>
      <c r="G232" s="287"/>
      <c r="H232" s="289"/>
      <c r="I232" s="259">
        <f t="shared" si="31"/>
        <v>0</v>
      </c>
      <c r="J232" s="287"/>
      <c r="K232" s="289"/>
      <c r="L232" s="259">
        <f t="shared" si="32"/>
        <v>0</v>
      </c>
      <c r="M232" s="290"/>
      <c r="N232" s="291"/>
      <c r="O232" s="259">
        <f t="shared" si="33"/>
        <v>0</v>
      </c>
      <c r="P232" s="189"/>
      <c r="R232" s="53"/>
      <c r="S232" s="53"/>
      <c r="T232" s="53"/>
    </row>
    <row r="233" spans="1:20" hidden="1" x14ac:dyDescent="0.25">
      <c r="A233" s="237">
        <v>6000</v>
      </c>
      <c r="B233" s="237" t="s">
        <v>249</v>
      </c>
      <c r="C233" s="238">
        <f t="shared" si="26"/>
        <v>0</v>
      </c>
      <c r="D233" s="239">
        <f>D234+D254+D261</f>
        <v>0</v>
      </c>
      <c r="E233" s="245">
        <f>E234+E254+E261</f>
        <v>0</v>
      </c>
      <c r="F233" s="320">
        <f t="shared" si="30"/>
        <v>0</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c r="R233" s="53"/>
      <c r="S233" s="53"/>
      <c r="T233" s="53"/>
    </row>
    <row r="234" spans="1:20"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c r="R234" s="53"/>
      <c r="S234" s="53"/>
      <c r="T234" s="53"/>
    </row>
    <row r="235" spans="1:20" ht="24" hidden="1" x14ac:dyDescent="0.25">
      <c r="A235" s="656">
        <v>6220</v>
      </c>
      <c r="B235" s="116" t="s">
        <v>251</v>
      </c>
      <c r="C235" s="298">
        <f t="shared" si="26"/>
        <v>0</v>
      </c>
      <c r="D235" s="123"/>
      <c r="E235" s="262"/>
      <c r="F235" s="263">
        <f t="shared" si="30"/>
        <v>0</v>
      </c>
      <c r="G235" s="123"/>
      <c r="H235" s="124"/>
      <c r="I235" s="125">
        <f t="shared" si="31"/>
        <v>0</v>
      </c>
      <c r="J235" s="123"/>
      <c r="K235" s="124"/>
      <c r="L235" s="125">
        <f t="shared" si="32"/>
        <v>0</v>
      </c>
      <c r="M235" s="264"/>
      <c r="N235" s="262"/>
      <c r="O235" s="125">
        <f t="shared" si="33"/>
        <v>0</v>
      </c>
      <c r="P235" s="74"/>
      <c r="R235" s="53"/>
      <c r="S235" s="53"/>
      <c r="T235" s="53"/>
    </row>
    <row r="236" spans="1:20" hidden="1" x14ac:dyDescent="0.25">
      <c r="A236" s="276">
        <v>6230</v>
      </c>
      <c r="B236" s="127" t="s">
        <v>252</v>
      </c>
      <c r="C236" s="278">
        <f t="shared" si="26"/>
        <v>0</v>
      </c>
      <c r="D236" s="277">
        <f>SUM(D237)</f>
        <v>0</v>
      </c>
      <c r="E236" s="280">
        <f>SUM(E237)</f>
        <v>0</v>
      </c>
      <c r="F236" s="28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c r="R236" s="53"/>
      <c r="S236" s="53"/>
      <c r="T236" s="53"/>
    </row>
    <row r="237" spans="1:20" ht="24" hidden="1" x14ac:dyDescent="0.25">
      <c r="A237" s="76">
        <v>6239</v>
      </c>
      <c r="B237" s="116" t="s">
        <v>253</v>
      </c>
      <c r="C237" s="278">
        <f t="shared" si="26"/>
        <v>0</v>
      </c>
      <c r="D237" s="134"/>
      <c r="E237" s="285"/>
      <c r="F237" s="286">
        <f t="shared" si="30"/>
        <v>0</v>
      </c>
      <c r="G237" s="134"/>
      <c r="H237" s="135"/>
      <c r="I237" s="136">
        <f t="shared" si="31"/>
        <v>0</v>
      </c>
      <c r="J237" s="134"/>
      <c r="K237" s="135"/>
      <c r="L237" s="136">
        <f t="shared" si="32"/>
        <v>0</v>
      </c>
      <c r="M237" s="284"/>
      <c r="N237" s="285"/>
      <c r="O237" s="136">
        <f t="shared" si="33"/>
        <v>0</v>
      </c>
      <c r="P237" s="85"/>
      <c r="R237" s="53"/>
      <c r="S237" s="53"/>
      <c r="T237" s="53"/>
    </row>
    <row r="238" spans="1:20" ht="24" hidden="1" x14ac:dyDescent="0.25">
      <c r="A238" s="276">
        <v>6240</v>
      </c>
      <c r="B238" s="127" t="s">
        <v>254</v>
      </c>
      <c r="C238" s="278">
        <f t="shared" si="26"/>
        <v>0</v>
      </c>
      <c r="D238" s="277">
        <f>SUM(D239:D240)</f>
        <v>0</v>
      </c>
      <c r="E238" s="282">
        <f>SUM(E239:E240)</f>
        <v>0</v>
      </c>
      <c r="F238" s="28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c r="R238" s="53"/>
      <c r="S238" s="53"/>
      <c r="T238" s="53"/>
    </row>
    <row r="239" spans="1:20" hidden="1" x14ac:dyDescent="0.25">
      <c r="A239" s="76">
        <v>6241</v>
      </c>
      <c r="B239" s="127" t="s">
        <v>255</v>
      </c>
      <c r="C239" s="278">
        <f t="shared" si="26"/>
        <v>0</v>
      </c>
      <c r="D239" s="134"/>
      <c r="E239" s="285"/>
      <c r="F239" s="286">
        <f t="shared" si="30"/>
        <v>0</v>
      </c>
      <c r="G239" s="134"/>
      <c r="H239" s="135"/>
      <c r="I239" s="136">
        <f t="shared" si="31"/>
        <v>0</v>
      </c>
      <c r="J239" s="134"/>
      <c r="K239" s="135"/>
      <c r="L239" s="136">
        <f t="shared" si="32"/>
        <v>0</v>
      </c>
      <c r="M239" s="284"/>
      <c r="N239" s="285"/>
      <c r="O239" s="136">
        <f t="shared" si="33"/>
        <v>0</v>
      </c>
      <c r="P239" s="85"/>
      <c r="R239" s="53"/>
      <c r="S239" s="53"/>
      <c r="T239" s="53"/>
    </row>
    <row r="240" spans="1:20" hidden="1" x14ac:dyDescent="0.25">
      <c r="A240" s="76">
        <v>6242</v>
      </c>
      <c r="B240" s="127" t="s">
        <v>256</v>
      </c>
      <c r="C240" s="278">
        <f t="shared" si="26"/>
        <v>0</v>
      </c>
      <c r="D240" s="134"/>
      <c r="E240" s="285"/>
      <c r="F240" s="286">
        <f t="shared" si="30"/>
        <v>0</v>
      </c>
      <c r="G240" s="134"/>
      <c r="H240" s="135"/>
      <c r="I240" s="136">
        <f t="shared" si="31"/>
        <v>0</v>
      </c>
      <c r="J240" s="134"/>
      <c r="K240" s="135"/>
      <c r="L240" s="136">
        <f t="shared" si="32"/>
        <v>0</v>
      </c>
      <c r="M240" s="284"/>
      <c r="N240" s="285"/>
      <c r="O240" s="136">
        <f t="shared" si="33"/>
        <v>0</v>
      </c>
      <c r="P240" s="85"/>
      <c r="R240" s="53"/>
      <c r="S240" s="53"/>
      <c r="T240" s="53"/>
    </row>
    <row r="241" spans="1:20" ht="24" hidden="1" x14ac:dyDescent="0.25">
      <c r="A241" s="276">
        <v>6250</v>
      </c>
      <c r="B241" s="127" t="s">
        <v>257</v>
      </c>
      <c r="C241" s="278">
        <f t="shared" si="26"/>
        <v>0</v>
      </c>
      <c r="D241" s="277">
        <f>SUM(D242:D246)</f>
        <v>0</v>
      </c>
      <c r="E241" s="282">
        <f>SUM(E242:E246)</f>
        <v>0</v>
      </c>
      <c r="F241" s="28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c r="R241" s="53"/>
      <c r="S241" s="53"/>
      <c r="T241" s="53"/>
    </row>
    <row r="242" spans="1:20" hidden="1" x14ac:dyDescent="0.25">
      <c r="A242" s="76">
        <v>6252</v>
      </c>
      <c r="B242" s="127" t="s">
        <v>258</v>
      </c>
      <c r="C242" s="278">
        <f t="shared" si="26"/>
        <v>0</v>
      </c>
      <c r="D242" s="134"/>
      <c r="E242" s="285"/>
      <c r="F242" s="286">
        <f t="shared" si="30"/>
        <v>0</v>
      </c>
      <c r="G242" s="134"/>
      <c r="H242" s="135"/>
      <c r="I242" s="136">
        <f t="shared" si="31"/>
        <v>0</v>
      </c>
      <c r="J242" s="134"/>
      <c r="K242" s="135"/>
      <c r="L242" s="136">
        <f t="shared" si="32"/>
        <v>0</v>
      </c>
      <c r="M242" s="284"/>
      <c r="N242" s="285"/>
      <c r="O242" s="136">
        <f t="shared" si="33"/>
        <v>0</v>
      </c>
      <c r="P242" s="85"/>
      <c r="R242" s="53"/>
      <c r="S242" s="53"/>
      <c r="T242" s="53"/>
    </row>
    <row r="243" spans="1:20" hidden="1" x14ac:dyDescent="0.25">
      <c r="A243" s="76">
        <v>6253</v>
      </c>
      <c r="B243" s="127" t="s">
        <v>259</v>
      </c>
      <c r="C243" s="278">
        <f t="shared" si="26"/>
        <v>0</v>
      </c>
      <c r="D243" s="134"/>
      <c r="E243" s="285"/>
      <c r="F243" s="286">
        <f t="shared" si="30"/>
        <v>0</v>
      </c>
      <c r="G243" s="134"/>
      <c r="H243" s="135"/>
      <c r="I243" s="136">
        <f t="shared" si="31"/>
        <v>0</v>
      </c>
      <c r="J243" s="134"/>
      <c r="K243" s="135"/>
      <c r="L243" s="136">
        <f t="shared" si="32"/>
        <v>0</v>
      </c>
      <c r="M243" s="284"/>
      <c r="N243" s="285"/>
      <c r="O243" s="136">
        <f t="shared" si="33"/>
        <v>0</v>
      </c>
      <c r="P243" s="85"/>
      <c r="R243" s="53"/>
      <c r="S243" s="53"/>
      <c r="T243" s="53"/>
    </row>
    <row r="244" spans="1:20" ht="24" hidden="1" x14ac:dyDescent="0.25">
      <c r="A244" s="76">
        <v>6254</v>
      </c>
      <c r="B244" s="127" t="s">
        <v>260</v>
      </c>
      <c r="C244" s="278">
        <f t="shared" si="26"/>
        <v>0</v>
      </c>
      <c r="D244" s="134"/>
      <c r="E244" s="285"/>
      <c r="F244" s="286">
        <f t="shared" si="30"/>
        <v>0</v>
      </c>
      <c r="G244" s="134"/>
      <c r="H244" s="135"/>
      <c r="I244" s="136">
        <f t="shared" si="31"/>
        <v>0</v>
      </c>
      <c r="J244" s="134"/>
      <c r="K244" s="135"/>
      <c r="L244" s="136">
        <f t="shared" si="32"/>
        <v>0</v>
      </c>
      <c r="M244" s="284"/>
      <c r="N244" s="285"/>
      <c r="O244" s="136">
        <f t="shared" si="33"/>
        <v>0</v>
      </c>
      <c r="P244" s="85"/>
      <c r="R244" s="53"/>
      <c r="S244" s="53"/>
      <c r="T244" s="53"/>
    </row>
    <row r="245" spans="1:20" ht="24" hidden="1" x14ac:dyDescent="0.25">
      <c r="A245" s="76">
        <v>6255</v>
      </c>
      <c r="B245" s="127" t="s">
        <v>261</v>
      </c>
      <c r="C245" s="278">
        <f t="shared" si="26"/>
        <v>0</v>
      </c>
      <c r="D245" s="134"/>
      <c r="E245" s="285"/>
      <c r="F245" s="286">
        <f t="shared" si="30"/>
        <v>0</v>
      </c>
      <c r="G245" s="134"/>
      <c r="H245" s="135"/>
      <c r="I245" s="136">
        <f t="shared" si="31"/>
        <v>0</v>
      </c>
      <c r="J245" s="134"/>
      <c r="K245" s="135"/>
      <c r="L245" s="136">
        <f t="shared" si="32"/>
        <v>0</v>
      </c>
      <c r="M245" s="284"/>
      <c r="N245" s="285"/>
      <c r="O245" s="136">
        <f t="shared" si="33"/>
        <v>0</v>
      </c>
      <c r="P245" s="85"/>
      <c r="R245" s="53"/>
      <c r="S245" s="53"/>
      <c r="T245" s="53"/>
    </row>
    <row r="246" spans="1:20" hidden="1" x14ac:dyDescent="0.25">
      <c r="A246" s="76">
        <v>6259</v>
      </c>
      <c r="B246" s="127" t="s">
        <v>262</v>
      </c>
      <c r="C246" s="278">
        <f t="shared" si="26"/>
        <v>0</v>
      </c>
      <c r="D246" s="134"/>
      <c r="E246" s="285"/>
      <c r="F246" s="286">
        <f t="shared" si="30"/>
        <v>0</v>
      </c>
      <c r="G246" s="134"/>
      <c r="H246" s="135"/>
      <c r="I246" s="136">
        <f t="shared" si="31"/>
        <v>0</v>
      </c>
      <c r="J246" s="134"/>
      <c r="K246" s="135"/>
      <c r="L246" s="136">
        <f t="shared" si="32"/>
        <v>0</v>
      </c>
      <c r="M246" s="284"/>
      <c r="N246" s="285"/>
      <c r="O246" s="136">
        <f t="shared" si="33"/>
        <v>0</v>
      </c>
      <c r="P246" s="85"/>
      <c r="R246" s="53"/>
      <c r="S246" s="53"/>
      <c r="T246" s="53"/>
    </row>
    <row r="247" spans="1:20" ht="24" hidden="1" x14ac:dyDescent="0.25">
      <c r="A247" s="276">
        <v>6260</v>
      </c>
      <c r="B247" s="127" t="s">
        <v>263</v>
      </c>
      <c r="C247" s="278">
        <f t="shared" si="26"/>
        <v>0</v>
      </c>
      <c r="D247" s="134"/>
      <c r="E247" s="285"/>
      <c r="F247" s="286">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c r="R247" s="53"/>
      <c r="S247" s="53"/>
      <c r="T247" s="53"/>
    </row>
    <row r="248" spans="1:20" hidden="1" x14ac:dyDescent="0.25">
      <c r="A248" s="276">
        <v>6270</v>
      </c>
      <c r="B248" s="127" t="s">
        <v>264</v>
      </c>
      <c r="C248" s="278">
        <f t="shared" si="26"/>
        <v>0</v>
      </c>
      <c r="D248" s="134"/>
      <c r="E248" s="285"/>
      <c r="F248" s="286">
        <f t="shared" si="37"/>
        <v>0</v>
      </c>
      <c r="G248" s="134"/>
      <c r="H248" s="135"/>
      <c r="I248" s="136">
        <f t="shared" si="38"/>
        <v>0</v>
      </c>
      <c r="J248" s="134"/>
      <c r="K248" s="135"/>
      <c r="L248" s="136">
        <f t="shared" si="39"/>
        <v>0</v>
      </c>
      <c r="M248" s="284"/>
      <c r="N248" s="285"/>
      <c r="O248" s="136">
        <f t="shared" si="40"/>
        <v>0</v>
      </c>
      <c r="P248" s="85"/>
      <c r="R248" s="53"/>
      <c r="S248" s="53"/>
      <c r="T248" s="53"/>
    </row>
    <row r="249" spans="1:20" ht="24" hidden="1" x14ac:dyDescent="0.25">
      <c r="A249" s="656">
        <v>6290</v>
      </c>
      <c r="B249" s="116" t="s">
        <v>265</v>
      </c>
      <c r="C249" s="278">
        <f t="shared" si="26"/>
        <v>0</v>
      </c>
      <c r="D249" s="297">
        <f>SUM(D250:D253)</f>
        <v>0</v>
      </c>
      <c r="E249" s="301">
        <f>SUM(E250:E253)</f>
        <v>0</v>
      </c>
      <c r="F249" s="263">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c r="R249" s="53"/>
      <c r="S249" s="53"/>
      <c r="T249" s="53"/>
    </row>
    <row r="250" spans="1:20" hidden="1" x14ac:dyDescent="0.25">
      <c r="A250" s="76">
        <v>6291</v>
      </c>
      <c r="B250" s="127" t="s">
        <v>266</v>
      </c>
      <c r="C250" s="278">
        <f t="shared" si="26"/>
        <v>0</v>
      </c>
      <c r="D250" s="134"/>
      <c r="E250" s="285"/>
      <c r="F250" s="286">
        <f t="shared" si="37"/>
        <v>0</v>
      </c>
      <c r="G250" s="134"/>
      <c r="H250" s="135"/>
      <c r="I250" s="136">
        <f t="shared" si="38"/>
        <v>0</v>
      </c>
      <c r="J250" s="134"/>
      <c r="K250" s="135"/>
      <c r="L250" s="136">
        <f t="shared" si="39"/>
        <v>0</v>
      </c>
      <c r="M250" s="284"/>
      <c r="N250" s="285"/>
      <c r="O250" s="136">
        <f t="shared" si="40"/>
        <v>0</v>
      </c>
      <c r="P250" s="85"/>
      <c r="R250" s="53"/>
      <c r="S250" s="53"/>
      <c r="T250" s="53"/>
    </row>
    <row r="251" spans="1:20" hidden="1" x14ac:dyDescent="0.25">
      <c r="A251" s="76">
        <v>6292</v>
      </c>
      <c r="B251" s="127" t="s">
        <v>267</v>
      </c>
      <c r="C251" s="278">
        <f t="shared" si="26"/>
        <v>0</v>
      </c>
      <c r="D251" s="134"/>
      <c r="E251" s="285"/>
      <c r="F251" s="286">
        <f t="shared" si="37"/>
        <v>0</v>
      </c>
      <c r="G251" s="134"/>
      <c r="H251" s="135"/>
      <c r="I251" s="136">
        <f t="shared" si="38"/>
        <v>0</v>
      </c>
      <c r="J251" s="134"/>
      <c r="K251" s="135"/>
      <c r="L251" s="136">
        <f t="shared" si="39"/>
        <v>0</v>
      </c>
      <c r="M251" s="284"/>
      <c r="N251" s="285"/>
      <c r="O251" s="136">
        <f t="shared" si="40"/>
        <v>0</v>
      </c>
      <c r="P251" s="85"/>
      <c r="R251" s="53"/>
      <c r="S251" s="53"/>
      <c r="T251" s="53"/>
    </row>
    <row r="252" spans="1:20" ht="72" hidden="1" x14ac:dyDescent="0.25">
      <c r="A252" s="76">
        <v>6296</v>
      </c>
      <c r="B252" s="127" t="s">
        <v>268</v>
      </c>
      <c r="C252" s="278">
        <f t="shared" si="26"/>
        <v>0</v>
      </c>
      <c r="D252" s="134"/>
      <c r="E252" s="285"/>
      <c r="F252" s="286">
        <f t="shared" si="37"/>
        <v>0</v>
      </c>
      <c r="G252" s="134"/>
      <c r="H252" s="135"/>
      <c r="I252" s="136">
        <f t="shared" si="38"/>
        <v>0</v>
      </c>
      <c r="J252" s="134"/>
      <c r="K252" s="135"/>
      <c r="L252" s="136">
        <f t="shared" si="39"/>
        <v>0</v>
      </c>
      <c r="M252" s="284"/>
      <c r="N252" s="285"/>
      <c r="O252" s="136">
        <f t="shared" si="40"/>
        <v>0</v>
      </c>
      <c r="P252" s="85"/>
      <c r="R252" s="53"/>
      <c r="S252" s="53"/>
      <c r="T252" s="53"/>
    </row>
    <row r="253" spans="1:20" ht="36" hidden="1" x14ac:dyDescent="0.25">
      <c r="A253" s="76">
        <v>6299</v>
      </c>
      <c r="B253" s="127" t="s">
        <v>269</v>
      </c>
      <c r="C253" s="278">
        <f t="shared" si="26"/>
        <v>0</v>
      </c>
      <c r="D253" s="134"/>
      <c r="E253" s="285"/>
      <c r="F253" s="286">
        <f t="shared" si="37"/>
        <v>0</v>
      </c>
      <c r="G253" s="134"/>
      <c r="H253" s="135"/>
      <c r="I253" s="136">
        <f t="shared" si="38"/>
        <v>0</v>
      </c>
      <c r="J253" s="134"/>
      <c r="K253" s="135"/>
      <c r="L253" s="136">
        <f t="shared" si="39"/>
        <v>0</v>
      </c>
      <c r="M253" s="284"/>
      <c r="N253" s="285"/>
      <c r="O253" s="136">
        <f t="shared" si="40"/>
        <v>0</v>
      </c>
      <c r="P253" s="85"/>
      <c r="R253" s="53"/>
      <c r="S253" s="53"/>
      <c r="T253" s="53"/>
    </row>
    <row r="254" spans="1:20" hidden="1" x14ac:dyDescent="0.25">
      <c r="A254" s="99">
        <v>6300</v>
      </c>
      <c r="B254" s="247" t="s">
        <v>270</v>
      </c>
      <c r="C254" s="100">
        <f t="shared" si="26"/>
        <v>0</v>
      </c>
      <c r="D254" s="112">
        <f>SUM(D255,D259,D260)</f>
        <v>0</v>
      </c>
      <c r="E254" s="293">
        <f>SUM(E255,E259,E260)</f>
        <v>0</v>
      </c>
      <c r="F254" s="313">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c r="R254" s="53"/>
      <c r="S254" s="53"/>
      <c r="T254" s="53"/>
    </row>
    <row r="255" spans="1:20" ht="24" hidden="1" x14ac:dyDescent="0.25">
      <c r="A255" s="656">
        <v>6320</v>
      </c>
      <c r="B255" s="116" t="s">
        <v>271</v>
      </c>
      <c r="C255" s="322">
        <f t="shared" si="26"/>
        <v>0</v>
      </c>
      <c r="D255" s="297">
        <f>SUM(D256:D258)</f>
        <v>0</v>
      </c>
      <c r="E255" s="301">
        <f>SUM(E256:E258)</f>
        <v>0</v>
      </c>
      <c r="F255" s="263">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c r="R255" s="53"/>
      <c r="S255" s="53"/>
      <c r="T255" s="53"/>
    </row>
    <row r="256" spans="1:20" hidden="1" x14ac:dyDescent="0.25">
      <c r="A256" s="76">
        <v>6322</v>
      </c>
      <c r="B256" s="127" t="s">
        <v>272</v>
      </c>
      <c r="C256" s="281">
        <f t="shared" si="26"/>
        <v>0</v>
      </c>
      <c r="D256" s="134"/>
      <c r="E256" s="285"/>
      <c r="F256" s="286">
        <f t="shared" si="37"/>
        <v>0</v>
      </c>
      <c r="G256" s="134"/>
      <c r="H256" s="135"/>
      <c r="I256" s="136">
        <f t="shared" si="38"/>
        <v>0</v>
      </c>
      <c r="J256" s="134"/>
      <c r="K256" s="135"/>
      <c r="L256" s="136">
        <f t="shared" si="39"/>
        <v>0</v>
      </c>
      <c r="M256" s="284"/>
      <c r="N256" s="285"/>
      <c r="O256" s="136">
        <f t="shared" si="40"/>
        <v>0</v>
      </c>
      <c r="P256" s="85"/>
      <c r="R256" s="53"/>
      <c r="S256" s="53"/>
      <c r="T256" s="53"/>
    </row>
    <row r="257" spans="1:20" ht="24" hidden="1" x14ac:dyDescent="0.25">
      <c r="A257" s="76">
        <v>6323</v>
      </c>
      <c r="B257" s="127" t="s">
        <v>273</v>
      </c>
      <c r="C257" s="281">
        <f t="shared" si="26"/>
        <v>0</v>
      </c>
      <c r="D257" s="134"/>
      <c r="E257" s="285"/>
      <c r="F257" s="286">
        <f t="shared" si="37"/>
        <v>0</v>
      </c>
      <c r="G257" s="134"/>
      <c r="H257" s="135"/>
      <c r="I257" s="136">
        <f t="shared" si="38"/>
        <v>0</v>
      </c>
      <c r="J257" s="134"/>
      <c r="K257" s="135"/>
      <c r="L257" s="136">
        <f t="shared" si="39"/>
        <v>0</v>
      </c>
      <c r="M257" s="284"/>
      <c r="N257" s="285"/>
      <c r="O257" s="136">
        <f t="shared" si="40"/>
        <v>0</v>
      </c>
      <c r="P257" s="85"/>
      <c r="R257" s="53"/>
      <c r="S257" s="53"/>
      <c r="T257" s="53"/>
    </row>
    <row r="258" spans="1:20" ht="24" hidden="1" x14ac:dyDescent="0.25">
      <c r="A258" s="66">
        <v>6324</v>
      </c>
      <c r="B258" s="116" t="s">
        <v>274</v>
      </c>
      <c r="C258" s="281">
        <f t="shared" si="26"/>
        <v>0</v>
      </c>
      <c r="D258" s="123"/>
      <c r="E258" s="262"/>
      <c r="F258" s="263">
        <f t="shared" si="37"/>
        <v>0</v>
      </c>
      <c r="G258" s="123"/>
      <c r="H258" s="124"/>
      <c r="I258" s="125">
        <f t="shared" si="38"/>
        <v>0</v>
      </c>
      <c r="J258" s="123"/>
      <c r="K258" s="124"/>
      <c r="L258" s="125">
        <f t="shared" si="39"/>
        <v>0</v>
      </c>
      <c r="M258" s="264"/>
      <c r="N258" s="262"/>
      <c r="O258" s="125">
        <f t="shared" si="40"/>
        <v>0</v>
      </c>
      <c r="P258" s="74"/>
      <c r="R258" s="53"/>
      <c r="S258" s="53"/>
      <c r="T258" s="53"/>
    </row>
    <row r="259" spans="1:20" ht="24" hidden="1" x14ac:dyDescent="0.25">
      <c r="A259" s="344">
        <v>6330</v>
      </c>
      <c r="B259" s="345" t="s">
        <v>275</v>
      </c>
      <c r="C259" s="281">
        <f t="shared" ref="C259:C286" si="50">F259+I259+L259+O259</f>
        <v>0</v>
      </c>
      <c r="D259" s="328"/>
      <c r="E259" s="329"/>
      <c r="F259" s="330">
        <f t="shared" si="37"/>
        <v>0</v>
      </c>
      <c r="G259" s="328"/>
      <c r="H259" s="331"/>
      <c r="I259" s="324">
        <f t="shared" si="38"/>
        <v>0</v>
      </c>
      <c r="J259" s="328"/>
      <c r="K259" s="331"/>
      <c r="L259" s="324">
        <f t="shared" si="39"/>
        <v>0</v>
      </c>
      <c r="M259" s="332"/>
      <c r="N259" s="329"/>
      <c r="O259" s="324">
        <f t="shared" si="40"/>
        <v>0</v>
      </c>
      <c r="P259" s="325"/>
      <c r="R259" s="53"/>
      <c r="S259" s="53"/>
      <c r="T259" s="53"/>
    </row>
    <row r="260" spans="1:20" hidden="1" x14ac:dyDescent="0.25">
      <c r="A260" s="276">
        <v>6360</v>
      </c>
      <c r="B260" s="127" t="s">
        <v>276</v>
      </c>
      <c r="C260" s="281">
        <f t="shared" si="50"/>
        <v>0</v>
      </c>
      <c r="D260" s="134"/>
      <c r="E260" s="285"/>
      <c r="F260" s="286">
        <f t="shared" si="37"/>
        <v>0</v>
      </c>
      <c r="G260" s="134"/>
      <c r="H260" s="135"/>
      <c r="I260" s="136">
        <f t="shared" si="38"/>
        <v>0</v>
      </c>
      <c r="J260" s="134"/>
      <c r="K260" s="135"/>
      <c r="L260" s="136">
        <f t="shared" si="39"/>
        <v>0</v>
      </c>
      <c r="M260" s="284"/>
      <c r="N260" s="285"/>
      <c r="O260" s="136">
        <f t="shared" si="40"/>
        <v>0</v>
      </c>
      <c r="P260" s="85"/>
      <c r="R260" s="53"/>
      <c r="S260" s="53"/>
      <c r="T260" s="53"/>
    </row>
    <row r="261" spans="1:20" ht="36" hidden="1" x14ac:dyDescent="0.25">
      <c r="A261" s="99">
        <v>6400</v>
      </c>
      <c r="B261" s="247" t="s">
        <v>277</v>
      </c>
      <c r="C261" s="100">
        <f t="shared" si="50"/>
        <v>0</v>
      </c>
      <c r="D261" s="112">
        <f>SUM(D262,D266)</f>
        <v>0</v>
      </c>
      <c r="E261" s="293">
        <f>SUM(E262,E266)</f>
        <v>0</v>
      </c>
      <c r="F261" s="313">
        <f t="shared" si="37"/>
        <v>0</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c r="R261" s="53"/>
      <c r="S261" s="53"/>
      <c r="T261" s="53"/>
    </row>
    <row r="262" spans="1:20" ht="24" hidden="1" x14ac:dyDescent="0.25">
      <c r="A262" s="656">
        <v>6410</v>
      </c>
      <c r="B262" s="116" t="s">
        <v>278</v>
      </c>
      <c r="C262" s="300">
        <f t="shared" si="50"/>
        <v>0</v>
      </c>
      <c r="D262" s="297">
        <f>SUM(D263:D265)</f>
        <v>0</v>
      </c>
      <c r="E262" s="301">
        <f>SUM(E263:E265)</f>
        <v>0</v>
      </c>
      <c r="F262" s="263">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c r="R262" s="53"/>
      <c r="S262" s="53"/>
      <c r="T262" s="53"/>
    </row>
    <row r="263" spans="1:20" hidden="1" x14ac:dyDescent="0.25">
      <c r="A263" s="76">
        <v>6411</v>
      </c>
      <c r="B263" s="346" t="s">
        <v>279</v>
      </c>
      <c r="C263" s="278">
        <f t="shared" si="50"/>
        <v>0</v>
      </c>
      <c r="D263" s="134"/>
      <c r="E263" s="285"/>
      <c r="F263" s="286">
        <f t="shared" si="37"/>
        <v>0</v>
      </c>
      <c r="G263" s="134"/>
      <c r="H263" s="135"/>
      <c r="I263" s="136">
        <f t="shared" si="38"/>
        <v>0</v>
      </c>
      <c r="J263" s="134"/>
      <c r="K263" s="135"/>
      <c r="L263" s="136">
        <f t="shared" si="39"/>
        <v>0</v>
      </c>
      <c r="M263" s="284"/>
      <c r="N263" s="285"/>
      <c r="O263" s="136">
        <f t="shared" si="40"/>
        <v>0</v>
      </c>
      <c r="P263" s="85"/>
      <c r="R263" s="53"/>
      <c r="S263" s="53"/>
      <c r="T263" s="53"/>
    </row>
    <row r="264" spans="1:20" ht="36" hidden="1" x14ac:dyDescent="0.25">
      <c r="A264" s="76">
        <v>6412</v>
      </c>
      <c r="B264" s="127" t="s">
        <v>280</v>
      </c>
      <c r="C264" s="278">
        <f t="shared" si="50"/>
        <v>0</v>
      </c>
      <c r="D264" s="134"/>
      <c r="E264" s="285"/>
      <c r="F264" s="286">
        <f t="shared" si="37"/>
        <v>0</v>
      </c>
      <c r="G264" s="134"/>
      <c r="H264" s="135"/>
      <c r="I264" s="136">
        <f t="shared" si="38"/>
        <v>0</v>
      </c>
      <c r="J264" s="134"/>
      <c r="K264" s="135"/>
      <c r="L264" s="136">
        <f t="shared" si="39"/>
        <v>0</v>
      </c>
      <c r="M264" s="284"/>
      <c r="N264" s="285"/>
      <c r="O264" s="136">
        <f t="shared" si="40"/>
        <v>0</v>
      </c>
      <c r="P264" s="85"/>
      <c r="R264" s="53"/>
      <c r="S264" s="53"/>
      <c r="T264" s="53"/>
    </row>
    <row r="265" spans="1:20" ht="36" hidden="1" x14ac:dyDescent="0.25">
      <c r="A265" s="76">
        <v>6419</v>
      </c>
      <c r="B265" s="127" t="s">
        <v>281</v>
      </c>
      <c r="C265" s="278">
        <f t="shared" si="50"/>
        <v>0</v>
      </c>
      <c r="D265" s="134"/>
      <c r="E265" s="285"/>
      <c r="F265" s="286">
        <f t="shared" si="37"/>
        <v>0</v>
      </c>
      <c r="G265" s="134"/>
      <c r="H265" s="135"/>
      <c r="I265" s="136">
        <f t="shared" si="38"/>
        <v>0</v>
      </c>
      <c r="J265" s="134"/>
      <c r="K265" s="135"/>
      <c r="L265" s="136">
        <f t="shared" si="39"/>
        <v>0</v>
      </c>
      <c r="M265" s="284"/>
      <c r="N265" s="285"/>
      <c r="O265" s="136">
        <f t="shared" si="40"/>
        <v>0</v>
      </c>
      <c r="P265" s="85"/>
      <c r="R265" s="53"/>
      <c r="S265" s="53"/>
      <c r="T265" s="53"/>
    </row>
    <row r="266" spans="1:20" ht="36" hidden="1" x14ac:dyDescent="0.25">
      <c r="A266" s="276">
        <v>6420</v>
      </c>
      <c r="B266" s="127" t="s">
        <v>282</v>
      </c>
      <c r="C266" s="278">
        <f t="shared" si="50"/>
        <v>0</v>
      </c>
      <c r="D266" s="277">
        <f>SUM(D267:D270)</f>
        <v>0</v>
      </c>
      <c r="E266" s="282">
        <f>SUM(E267:E270)</f>
        <v>0</v>
      </c>
      <c r="F266" s="286">
        <f t="shared" si="37"/>
        <v>0</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c r="R266" s="53"/>
      <c r="S266" s="53"/>
      <c r="T266" s="53"/>
    </row>
    <row r="267" spans="1:20" hidden="1" x14ac:dyDescent="0.25">
      <c r="A267" s="76">
        <v>6421</v>
      </c>
      <c r="B267" s="127" t="s">
        <v>283</v>
      </c>
      <c r="C267" s="278">
        <f t="shared" si="50"/>
        <v>0</v>
      </c>
      <c r="D267" s="134"/>
      <c r="E267" s="285"/>
      <c r="F267" s="286">
        <f t="shared" si="37"/>
        <v>0</v>
      </c>
      <c r="G267" s="134"/>
      <c r="H267" s="135"/>
      <c r="I267" s="136">
        <f t="shared" si="38"/>
        <v>0</v>
      </c>
      <c r="J267" s="134"/>
      <c r="K267" s="135"/>
      <c r="L267" s="136">
        <f t="shared" si="39"/>
        <v>0</v>
      </c>
      <c r="M267" s="284"/>
      <c r="N267" s="285"/>
      <c r="O267" s="136">
        <f t="shared" si="40"/>
        <v>0</v>
      </c>
      <c r="P267" s="85"/>
      <c r="R267" s="53"/>
      <c r="S267" s="53"/>
      <c r="T267" s="53"/>
    </row>
    <row r="268" spans="1:20" hidden="1" x14ac:dyDescent="0.25">
      <c r="A268" s="76">
        <v>6422</v>
      </c>
      <c r="B268" s="127" t="s">
        <v>284</v>
      </c>
      <c r="C268" s="278">
        <f t="shared" si="50"/>
        <v>0</v>
      </c>
      <c r="D268" s="134"/>
      <c r="E268" s="285"/>
      <c r="F268" s="286">
        <f t="shared" si="37"/>
        <v>0</v>
      </c>
      <c r="G268" s="134"/>
      <c r="H268" s="135"/>
      <c r="I268" s="136">
        <f t="shared" si="38"/>
        <v>0</v>
      </c>
      <c r="J268" s="134"/>
      <c r="K268" s="135"/>
      <c r="L268" s="136">
        <f t="shared" si="39"/>
        <v>0</v>
      </c>
      <c r="M268" s="284"/>
      <c r="N268" s="285"/>
      <c r="O268" s="136">
        <f t="shared" si="40"/>
        <v>0</v>
      </c>
      <c r="P268" s="85"/>
      <c r="R268" s="53"/>
      <c r="S268" s="53"/>
      <c r="T268" s="53"/>
    </row>
    <row r="269" spans="1:20" ht="24" hidden="1" x14ac:dyDescent="0.25">
      <c r="A269" s="76">
        <v>6423</v>
      </c>
      <c r="B269" s="127" t="s">
        <v>285</v>
      </c>
      <c r="C269" s="278">
        <f t="shared" si="50"/>
        <v>0</v>
      </c>
      <c r="D269" s="134"/>
      <c r="E269" s="285"/>
      <c r="F269" s="286">
        <f t="shared" si="37"/>
        <v>0</v>
      </c>
      <c r="G269" s="134"/>
      <c r="H269" s="135"/>
      <c r="I269" s="136">
        <f t="shared" si="38"/>
        <v>0</v>
      </c>
      <c r="J269" s="134"/>
      <c r="K269" s="135"/>
      <c r="L269" s="136">
        <f t="shared" si="39"/>
        <v>0</v>
      </c>
      <c r="M269" s="284"/>
      <c r="N269" s="285"/>
      <c r="O269" s="136">
        <f t="shared" si="40"/>
        <v>0</v>
      </c>
      <c r="P269" s="85"/>
      <c r="R269" s="53"/>
      <c r="S269" s="53"/>
      <c r="T269" s="53"/>
    </row>
    <row r="270" spans="1:20" ht="36" hidden="1" x14ac:dyDescent="0.25">
      <c r="A270" s="76">
        <v>6424</v>
      </c>
      <c r="B270" s="127" t="s">
        <v>286</v>
      </c>
      <c r="C270" s="278">
        <f t="shared" si="50"/>
        <v>0</v>
      </c>
      <c r="D270" s="134"/>
      <c r="E270" s="285"/>
      <c r="F270" s="286">
        <f t="shared" si="37"/>
        <v>0</v>
      </c>
      <c r="G270" s="134"/>
      <c r="H270" s="135"/>
      <c r="I270" s="136">
        <f t="shared" si="38"/>
        <v>0</v>
      </c>
      <c r="J270" s="134"/>
      <c r="K270" s="135"/>
      <c r="L270" s="136">
        <f t="shared" si="39"/>
        <v>0</v>
      </c>
      <c r="M270" s="284"/>
      <c r="N270" s="285"/>
      <c r="O270" s="136">
        <f t="shared" si="40"/>
        <v>0</v>
      </c>
      <c r="P270" s="85"/>
      <c r="R270" s="53"/>
      <c r="S270" s="53"/>
      <c r="T270" s="53"/>
    </row>
    <row r="271" spans="1:20" ht="36" x14ac:dyDescent="0.25">
      <c r="A271" s="347">
        <v>7000</v>
      </c>
      <c r="B271" s="347" t="s">
        <v>287</v>
      </c>
      <c r="C271" s="348">
        <f t="shared" si="50"/>
        <v>38</v>
      </c>
      <c r="D271" s="349">
        <f>SUM(D272,D282)</f>
        <v>0</v>
      </c>
      <c r="E271" s="350">
        <f>SUM(E272,E282)</f>
        <v>0</v>
      </c>
      <c r="F271" s="351">
        <f t="shared" si="37"/>
        <v>0</v>
      </c>
      <c r="G271" s="349">
        <f>SUM(G272,G282)</f>
        <v>0</v>
      </c>
      <c r="H271" s="352">
        <f>SUM(H272,H282)</f>
        <v>0</v>
      </c>
      <c r="I271" s="353">
        <f t="shared" si="38"/>
        <v>0</v>
      </c>
      <c r="J271" s="349">
        <f>SUM(J272,J282)</f>
        <v>38</v>
      </c>
      <c r="K271" s="352">
        <f>SUM(K272,K282)</f>
        <v>0</v>
      </c>
      <c r="L271" s="353">
        <f t="shared" si="39"/>
        <v>38</v>
      </c>
      <c r="M271" s="354">
        <f>SUM(M272,M282)</f>
        <v>0</v>
      </c>
      <c r="N271" s="355">
        <f>SUM(N272,N282)</f>
        <v>0</v>
      </c>
      <c r="O271" s="356">
        <f t="shared" si="40"/>
        <v>0</v>
      </c>
      <c r="P271" s="357"/>
      <c r="R271" s="53"/>
      <c r="S271" s="53"/>
      <c r="T271" s="53"/>
    </row>
    <row r="272" spans="1:20" ht="24" x14ac:dyDescent="0.25">
      <c r="A272" s="99">
        <v>7200</v>
      </c>
      <c r="B272" s="247" t="s">
        <v>288</v>
      </c>
      <c r="C272" s="100">
        <f t="shared" si="50"/>
        <v>38</v>
      </c>
      <c r="D272" s="112">
        <f>SUM(D273,D274,D277,D278,D281)</f>
        <v>0</v>
      </c>
      <c r="E272" s="248">
        <f>SUM(E273,E274,E277,E278,E281)</f>
        <v>0</v>
      </c>
      <c r="F272" s="249">
        <f t="shared" si="37"/>
        <v>0</v>
      </c>
      <c r="G272" s="112">
        <f>SUM(G273,G274,G277,G278,G281)</f>
        <v>0</v>
      </c>
      <c r="H272" s="113">
        <f>SUM(H273,H274,H277,H278,H281)</f>
        <v>0</v>
      </c>
      <c r="I272" s="114">
        <f t="shared" si="38"/>
        <v>0</v>
      </c>
      <c r="J272" s="112">
        <f>SUM(J273,J274,J277,J278,J281)</f>
        <v>38</v>
      </c>
      <c r="K272" s="113">
        <f>SUM(K273,K274,K277,K278,K281)</f>
        <v>0</v>
      </c>
      <c r="L272" s="114">
        <f t="shared" si="39"/>
        <v>38</v>
      </c>
      <c r="M272" s="250">
        <f>SUM(M273,M274,M277,M278,M281)</f>
        <v>0</v>
      </c>
      <c r="N272" s="251">
        <f>SUM(N273,N274,N277,N278,N281)</f>
        <v>0</v>
      </c>
      <c r="O272" s="252">
        <f t="shared" si="40"/>
        <v>0</v>
      </c>
      <c r="P272" s="253"/>
      <c r="R272" s="53"/>
      <c r="S272" s="53"/>
      <c r="T272" s="53"/>
    </row>
    <row r="273" spans="1:20" ht="24" hidden="1" x14ac:dyDescent="0.25">
      <c r="A273" s="656">
        <v>7210</v>
      </c>
      <c r="B273" s="116" t="s">
        <v>289</v>
      </c>
      <c r="C273" s="117">
        <f t="shared" si="50"/>
        <v>0</v>
      </c>
      <c r="D273" s="123"/>
      <c r="E273" s="262"/>
      <c r="F273" s="263">
        <f t="shared" si="37"/>
        <v>0</v>
      </c>
      <c r="G273" s="123"/>
      <c r="H273" s="124"/>
      <c r="I273" s="125">
        <f t="shared" si="38"/>
        <v>0</v>
      </c>
      <c r="J273" s="123"/>
      <c r="K273" s="124"/>
      <c r="L273" s="125">
        <f t="shared" si="39"/>
        <v>0</v>
      </c>
      <c r="M273" s="264"/>
      <c r="N273" s="262"/>
      <c r="O273" s="125">
        <f t="shared" si="40"/>
        <v>0</v>
      </c>
      <c r="P273" s="74"/>
      <c r="R273" s="53"/>
      <c r="S273" s="53"/>
      <c r="T273" s="53"/>
    </row>
    <row r="274" spans="1:20" s="358" customFormat="1" ht="36" hidden="1" x14ac:dyDescent="0.25">
      <c r="A274" s="276">
        <v>7220</v>
      </c>
      <c r="B274" s="127" t="s">
        <v>290</v>
      </c>
      <c r="C274" s="128">
        <f t="shared" si="50"/>
        <v>0</v>
      </c>
      <c r="D274" s="277">
        <f>SUM(D275:D276)</f>
        <v>0</v>
      </c>
      <c r="E274" s="282">
        <f>SUM(E275:E276)</f>
        <v>0</v>
      </c>
      <c r="F274" s="28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c r="R274" s="53"/>
      <c r="S274" s="53"/>
      <c r="T274" s="53"/>
    </row>
    <row r="275" spans="1:20" s="358" customFormat="1" ht="36" hidden="1" x14ac:dyDescent="0.25">
      <c r="A275" s="76">
        <v>7221</v>
      </c>
      <c r="B275" s="127" t="s">
        <v>291</v>
      </c>
      <c r="C275" s="128">
        <f t="shared" si="50"/>
        <v>0</v>
      </c>
      <c r="D275" s="134"/>
      <c r="E275" s="285"/>
      <c r="F275" s="286">
        <f t="shared" si="37"/>
        <v>0</v>
      </c>
      <c r="G275" s="134"/>
      <c r="H275" s="135"/>
      <c r="I275" s="136">
        <f t="shared" si="38"/>
        <v>0</v>
      </c>
      <c r="J275" s="134"/>
      <c r="K275" s="135"/>
      <c r="L275" s="136">
        <f t="shared" si="39"/>
        <v>0</v>
      </c>
      <c r="M275" s="284"/>
      <c r="N275" s="285"/>
      <c r="O275" s="136">
        <f t="shared" si="40"/>
        <v>0</v>
      </c>
      <c r="P275" s="85"/>
      <c r="R275" s="53"/>
      <c r="S275" s="53"/>
      <c r="T275" s="53"/>
    </row>
    <row r="276" spans="1:20" s="358" customFormat="1" ht="36" hidden="1" x14ac:dyDescent="0.25">
      <c r="A276" s="76">
        <v>7222</v>
      </c>
      <c r="B276" s="127" t="s">
        <v>292</v>
      </c>
      <c r="C276" s="128">
        <f t="shared" si="50"/>
        <v>0</v>
      </c>
      <c r="D276" s="134"/>
      <c r="E276" s="285"/>
      <c r="F276" s="286">
        <f t="shared" si="37"/>
        <v>0</v>
      </c>
      <c r="G276" s="134"/>
      <c r="H276" s="135"/>
      <c r="I276" s="136">
        <f t="shared" si="38"/>
        <v>0</v>
      </c>
      <c r="J276" s="134"/>
      <c r="K276" s="135"/>
      <c r="L276" s="136">
        <f t="shared" si="39"/>
        <v>0</v>
      </c>
      <c r="M276" s="284"/>
      <c r="N276" s="285"/>
      <c r="O276" s="136">
        <f t="shared" si="40"/>
        <v>0</v>
      </c>
      <c r="P276" s="85"/>
      <c r="R276" s="53"/>
      <c r="S276" s="53"/>
      <c r="T276" s="53"/>
    </row>
    <row r="277" spans="1:20" s="358" customFormat="1" ht="24" x14ac:dyDescent="0.25">
      <c r="A277" s="276">
        <v>7230</v>
      </c>
      <c r="B277" s="127" t="s">
        <v>293</v>
      </c>
      <c r="C277" s="128">
        <f t="shared" si="50"/>
        <v>38</v>
      </c>
      <c r="D277" s="134"/>
      <c r="E277" s="283"/>
      <c r="F277" s="279">
        <f t="shared" si="37"/>
        <v>0</v>
      </c>
      <c r="G277" s="134"/>
      <c r="H277" s="135"/>
      <c r="I277" s="136">
        <f t="shared" si="38"/>
        <v>0</v>
      </c>
      <c r="J277" s="134">
        <v>38</v>
      </c>
      <c r="K277" s="135"/>
      <c r="L277" s="136">
        <f t="shared" si="39"/>
        <v>38</v>
      </c>
      <c r="M277" s="284"/>
      <c r="N277" s="285"/>
      <c r="O277" s="136">
        <f>M277+N277</f>
        <v>0</v>
      </c>
      <c r="P277" s="85"/>
      <c r="R277" s="53"/>
      <c r="S277" s="53"/>
      <c r="T277" s="53"/>
    </row>
    <row r="278" spans="1:20" ht="24" hidden="1" x14ac:dyDescent="0.25">
      <c r="A278" s="276">
        <v>7240</v>
      </c>
      <c r="B278" s="127" t="s">
        <v>294</v>
      </c>
      <c r="C278" s="128">
        <f t="shared" si="50"/>
        <v>0</v>
      </c>
      <c r="D278" s="277">
        <f>SUM(D279:D280)</f>
        <v>0</v>
      </c>
      <c r="E278" s="282">
        <f>SUM(E279:E280)</f>
        <v>0</v>
      </c>
      <c r="F278" s="28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c r="R278" s="53"/>
      <c r="S278" s="53"/>
      <c r="T278" s="53"/>
    </row>
    <row r="279" spans="1:20" ht="48" hidden="1" x14ac:dyDescent="0.25">
      <c r="A279" s="76">
        <v>7245</v>
      </c>
      <c r="B279" s="127" t="s">
        <v>295</v>
      </c>
      <c r="C279" s="128">
        <f t="shared" si="50"/>
        <v>0</v>
      </c>
      <c r="D279" s="134"/>
      <c r="E279" s="285"/>
      <c r="F279" s="286">
        <f t="shared" si="37"/>
        <v>0</v>
      </c>
      <c r="G279" s="134"/>
      <c r="H279" s="135"/>
      <c r="I279" s="136">
        <f t="shared" si="38"/>
        <v>0</v>
      </c>
      <c r="J279" s="134"/>
      <c r="K279" s="135"/>
      <c r="L279" s="136">
        <f t="shared" si="39"/>
        <v>0</v>
      </c>
      <c r="M279" s="284"/>
      <c r="N279" s="285"/>
      <c r="O279" s="136">
        <f t="shared" ref="O279:O282" si="57">M279+N279</f>
        <v>0</v>
      </c>
      <c r="P279" s="85"/>
      <c r="R279" s="53"/>
      <c r="S279" s="53"/>
      <c r="T279" s="53"/>
    </row>
    <row r="280" spans="1:20" ht="96" hidden="1" x14ac:dyDescent="0.25">
      <c r="A280" s="76">
        <v>7246</v>
      </c>
      <c r="B280" s="127" t="s">
        <v>296</v>
      </c>
      <c r="C280" s="128">
        <f t="shared" si="50"/>
        <v>0</v>
      </c>
      <c r="D280" s="134"/>
      <c r="E280" s="285"/>
      <c r="F280" s="286">
        <f t="shared" si="37"/>
        <v>0</v>
      </c>
      <c r="G280" s="134"/>
      <c r="H280" s="135"/>
      <c r="I280" s="136">
        <f t="shared" si="38"/>
        <v>0</v>
      </c>
      <c r="J280" s="134"/>
      <c r="K280" s="135"/>
      <c r="L280" s="136">
        <f t="shared" si="39"/>
        <v>0</v>
      </c>
      <c r="M280" s="284"/>
      <c r="N280" s="285"/>
      <c r="O280" s="136">
        <f t="shared" si="57"/>
        <v>0</v>
      </c>
      <c r="P280" s="85"/>
      <c r="R280" s="53"/>
      <c r="S280" s="53"/>
      <c r="T280" s="53"/>
    </row>
    <row r="281" spans="1:20" ht="24" hidden="1" x14ac:dyDescent="0.25">
      <c r="A281" s="276">
        <v>7260</v>
      </c>
      <c r="B281" s="127" t="s">
        <v>297</v>
      </c>
      <c r="C281" s="128">
        <f t="shared" si="50"/>
        <v>0</v>
      </c>
      <c r="D281" s="123"/>
      <c r="E281" s="262"/>
      <c r="F281" s="263">
        <f t="shared" si="37"/>
        <v>0</v>
      </c>
      <c r="G281" s="123"/>
      <c r="H281" s="124"/>
      <c r="I281" s="125">
        <f t="shared" si="38"/>
        <v>0</v>
      </c>
      <c r="J281" s="123"/>
      <c r="K281" s="124"/>
      <c r="L281" s="125">
        <f t="shared" si="39"/>
        <v>0</v>
      </c>
      <c r="M281" s="264"/>
      <c r="N281" s="262"/>
      <c r="O281" s="125">
        <f t="shared" si="57"/>
        <v>0</v>
      </c>
      <c r="P281" s="74"/>
      <c r="R281" s="53"/>
      <c r="S281" s="53"/>
      <c r="T281" s="53"/>
    </row>
    <row r="282" spans="1:20" hidden="1" x14ac:dyDescent="0.25">
      <c r="A282" s="99">
        <v>7700</v>
      </c>
      <c r="B282" s="247" t="s">
        <v>298</v>
      </c>
      <c r="C282" s="359">
        <f t="shared" si="50"/>
        <v>0</v>
      </c>
      <c r="D282" s="360">
        <f>D283</f>
        <v>0</v>
      </c>
      <c r="E282" s="304">
        <f>SUM(E283)</f>
        <v>0</v>
      </c>
      <c r="F282" s="316">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c r="R282" s="53"/>
      <c r="S282" s="53"/>
      <c r="T282" s="53"/>
    </row>
    <row r="283" spans="1:20" hidden="1" x14ac:dyDescent="0.25">
      <c r="A283" s="141">
        <v>7720</v>
      </c>
      <c r="B283" s="142" t="s">
        <v>299</v>
      </c>
      <c r="C283" s="362">
        <f t="shared" si="50"/>
        <v>0</v>
      </c>
      <c r="D283" s="149"/>
      <c r="E283" s="363"/>
      <c r="F283" s="364">
        <f t="shared" si="37"/>
        <v>0</v>
      </c>
      <c r="G283" s="149"/>
      <c r="H283" s="150"/>
      <c r="I283" s="151">
        <f t="shared" si="38"/>
        <v>0</v>
      </c>
      <c r="J283" s="149"/>
      <c r="K283" s="150"/>
      <c r="L283" s="151">
        <f t="shared" si="39"/>
        <v>0</v>
      </c>
      <c r="M283" s="365"/>
      <c r="N283" s="363"/>
      <c r="O283" s="151">
        <f>M283+N283</f>
        <v>0</v>
      </c>
      <c r="P283" s="153"/>
      <c r="R283" s="53"/>
      <c r="S283" s="53"/>
      <c r="T283" s="53"/>
    </row>
    <row r="284" spans="1:20" hidden="1" x14ac:dyDescent="0.25">
      <c r="A284" s="366"/>
      <c r="B284" s="179" t="s">
        <v>300</v>
      </c>
      <c r="C284" s="117">
        <f t="shared" si="50"/>
        <v>0</v>
      </c>
      <c r="D284" s="255">
        <f>SUM(D285:D286)</f>
        <v>0</v>
      </c>
      <c r="E284" s="261">
        <f>SUM(E285:E286)</f>
        <v>0</v>
      </c>
      <c r="F284" s="310">
        <f t="shared" si="37"/>
        <v>0</v>
      </c>
      <c r="G284" s="255">
        <f>SUM(G285:G286)</f>
        <v>0</v>
      </c>
      <c r="H284" s="258">
        <f>SUM(H285:H286)</f>
        <v>0</v>
      </c>
      <c r="I284" s="259">
        <f t="shared" si="38"/>
        <v>0</v>
      </c>
      <c r="J284" s="255">
        <f>SUM(J285:J286)</f>
        <v>0</v>
      </c>
      <c r="K284" s="258">
        <f>SUM(K285:K286)</f>
        <v>0</v>
      </c>
      <c r="L284" s="259">
        <f t="shared" si="39"/>
        <v>0</v>
      </c>
      <c r="M284" s="260">
        <f>SUM(M285:M286)</f>
        <v>0</v>
      </c>
      <c r="N284" s="261">
        <f>SUM(N285:N286)</f>
        <v>0</v>
      </c>
      <c r="O284" s="259">
        <f t="shared" ref="O284:O299" si="58">M284+N284</f>
        <v>0</v>
      </c>
      <c r="P284" s="189"/>
      <c r="R284" s="53"/>
      <c r="S284" s="53"/>
      <c r="T284" s="53"/>
    </row>
    <row r="285" spans="1:20" hidden="1" x14ac:dyDescent="0.25">
      <c r="A285" s="346" t="s">
        <v>301</v>
      </c>
      <c r="B285" s="76" t="s">
        <v>302</v>
      </c>
      <c r="C285" s="279">
        <f t="shared" si="50"/>
        <v>0</v>
      </c>
      <c r="D285" s="134"/>
      <c r="E285" s="285"/>
      <c r="F285" s="286">
        <f t="shared" si="37"/>
        <v>0</v>
      </c>
      <c r="G285" s="134"/>
      <c r="H285" s="135"/>
      <c r="I285" s="136">
        <f t="shared" si="38"/>
        <v>0</v>
      </c>
      <c r="J285" s="134"/>
      <c r="K285" s="135"/>
      <c r="L285" s="136">
        <f t="shared" si="39"/>
        <v>0</v>
      </c>
      <c r="M285" s="284"/>
      <c r="N285" s="285"/>
      <c r="O285" s="136">
        <f t="shared" si="58"/>
        <v>0</v>
      </c>
      <c r="P285" s="85"/>
      <c r="R285" s="53"/>
      <c r="S285" s="53"/>
      <c r="T285" s="53"/>
    </row>
    <row r="286" spans="1:20" ht="24" hidden="1" x14ac:dyDescent="0.25">
      <c r="A286" s="346" t="s">
        <v>303</v>
      </c>
      <c r="B286" s="367" t="s">
        <v>304</v>
      </c>
      <c r="C286" s="117">
        <f t="shared" si="50"/>
        <v>0</v>
      </c>
      <c r="D286" s="123"/>
      <c r="E286" s="262"/>
      <c r="F286" s="263">
        <f t="shared" si="37"/>
        <v>0</v>
      </c>
      <c r="G286" s="123"/>
      <c r="H286" s="124"/>
      <c r="I286" s="125">
        <f t="shared" si="38"/>
        <v>0</v>
      </c>
      <c r="J286" s="123"/>
      <c r="K286" s="124"/>
      <c r="L286" s="125">
        <f t="shared" si="39"/>
        <v>0</v>
      </c>
      <c r="M286" s="264"/>
      <c r="N286" s="262"/>
      <c r="O286" s="125">
        <f t="shared" si="58"/>
        <v>0</v>
      </c>
      <c r="P286" s="74"/>
      <c r="R286" s="53"/>
      <c r="S286" s="53"/>
      <c r="T286" s="53"/>
    </row>
    <row r="287" spans="1:20" x14ac:dyDescent="0.25">
      <c r="A287" s="368"/>
      <c r="B287" s="369" t="s">
        <v>305</v>
      </c>
      <c r="C287" s="370">
        <f>SUM(C284,C271,C233,C198,C190,C176,C78,C56)</f>
        <v>308240</v>
      </c>
      <c r="D287" s="371">
        <f>SUM(D284,D271,D233,D198,D190,D176,D78,D56)</f>
        <v>291258</v>
      </c>
      <c r="E287" s="372">
        <f>SUM(E284,E271,E233,E198,E190,E176,E78,E56)</f>
        <v>0</v>
      </c>
      <c r="F287" s="373">
        <f t="shared" si="37"/>
        <v>291258</v>
      </c>
      <c r="G287" s="371">
        <f>SUM(G284,G271,G233,G198,G190,G176,G78,G56)</f>
        <v>15543</v>
      </c>
      <c r="H287" s="374">
        <f>SUM(H284,H271,H233,H198,H190,H176,H78,H56)</f>
        <v>0</v>
      </c>
      <c r="I287" s="375">
        <f t="shared" si="38"/>
        <v>15543</v>
      </c>
      <c r="J287" s="371">
        <f>SUM(J284,J271,J233,J198,J190,J176,J78,J56)</f>
        <v>1439</v>
      </c>
      <c r="K287" s="374">
        <f>SUM(K284,K271,K233,K198,K190,K176,K78,K56)</f>
        <v>0</v>
      </c>
      <c r="L287" s="375">
        <f t="shared" si="39"/>
        <v>1439</v>
      </c>
      <c r="M287" s="250">
        <f>SUM(M284,M271,M233,M198,M190,M176,M78,M56)</f>
        <v>0</v>
      </c>
      <c r="N287" s="251">
        <f>SUM(N284,N271,N233,N198,N190,N176,N78,N56)</f>
        <v>0</v>
      </c>
      <c r="O287" s="252">
        <f t="shared" si="58"/>
        <v>0</v>
      </c>
      <c r="P287" s="253"/>
      <c r="R287" s="53"/>
      <c r="S287" s="53"/>
      <c r="T287" s="53"/>
    </row>
    <row r="288" spans="1:20" x14ac:dyDescent="0.25">
      <c r="A288" s="376" t="s">
        <v>306</v>
      </c>
      <c r="B288" s="377"/>
      <c r="C288" s="378">
        <f t="shared" ref="C288" si="59">F288+I288+L288+O288</f>
        <v>-86</v>
      </c>
      <c r="D288" s="379">
        <f>SUM(D28,D29,D45)-D54</f>
        <v>0</v>
      </c>
      <c r="E288" s="380">
        <f>SUM(E28,E29,E45)-E54</f>
        <v>0</v>
      </c>
      <c r="F288" s="381">
        <f t="shared" si="37"/>
        <v>0</v>
      </c>
      <c r="G288" s="379">
        <f>SUM(G28,G29,G45)-G54</f>
        <v>0</v>
      </c>
      <c r="H288" s="382">
        <f>SUM(H28,H29,H45)-H54</f>
        <v>0</v>
      </c>
      <c r="I288" s="383">
        <f t="shared" si="38"/>
        <v>0</v>
      </c>
      <c r="J288" s="379">
        <f>(J30+J46)-J54</f>
        <v>-86</v>
      </c>
      <c r="K288" s="382">
        <f>(K30+K46)-K54</f>
        <v>0</v>
      </c>
      <c r="L288" s="383">
        <f t="shared" si="39"/>
        <v>-86</v>
      </c>
      <c r="M288" s="378">
        <f>M48-M54</f>
        <v>0</v>
      </c>
      <c r="N288" s="384">
        <f>N48-N54</f>
        <v>0</v>
      </c>
      <c r="O288" s="383">
        <f t="shared" si="58"/>
        <v>0</v>
      </c>
      <c r="P288" s="385"/>
      <c r="R288" s="53"/>
      <c r="S288" s="53"/>
      <c r="T288" s="53"/>
    </row>
    <row r="289" spans="1:20" s="41" customFormat="1" x14ac:dyDescent="0.25">
      <c r="A289" s="376" t="s">
        <v>307</v>
      </c>
      <c r="B289" s="377"/>
      <c r="C289" s="380">
        <f>SUM(C290,C291)-C298+C299</f>
        <v>86</v>
      </c>
      <c r="D289" s="379">
        <f>SUM(D290,D291)-D298+D299</f>
        <v>0</v>
      </c>
      <c r="E289" s="380">
        <f>SUM(E290,E291)-E298+E299</f>
        <v>0</v>
      </c>
      <c r="F289" s="381">
        <f t="shared" si="37"/>
        <v>0</v>
      </c>
      <c r="G289" s="379">
        <f>SUM(G290,G291)-G298+G299</f>
        <v>0</v>
      </c>
      <c r="H289" s="382">
        <f>SUM(H290,H291)-H298+H299</f>
        <v>0</v>
      </c>
      <c r="I289" s="383">
        <f t="shared" si="38"/>
        <v>0</v>
      </c>
      <c r="J289" s="379">
        <f>SUM(J290,J291)-J298+J299</f>
        <v>86</v>
      </c>
      <c r="K289" s="382">
        <f>SUM(K290,K291)-K298+K299</f>
        <v>0</v>
      </c>
      <c r="L289" s="383">
        <f t="shared" si="39"/>
        <v>86</v>
      </c>
      <c r="M289" s="378">
        <f>SUM(M290,M291)-M298+M299</f>
        <v>0</v>
      </c>
      <c r="N289" s="384">
        <f>SUM(N290,N291)-N298+N299</f>
        <v>0</v>
      </c>
      <c r="O289" s="383">
        <f t="shared" si="58"/>
        <v>0</v>
      </c>
      <c r="P289" s="385"/>
      <c r="R289" s="53"/>
      <c r="S289" s="53"/>
      <c r="T289" s="53"/>
    </row>
    <row r="290" spans="1:20" s="41" customFormat="1" x14ac:dyDescent="0.25">
      <c r="A290" s="386" t="s">
        <v>308</v>
      </c>
      <c r="B290" s="386" t="s">
        <v>309</v>
      </c>
      <c r="C290" s="380">
        <f>C25-C284</f>
        <v>86</v>
      </c>
      <c r="D290" s="379">
        <f>D25-D284</f>
        <v>0</v>
      </c>
      <c r="E290" s="380">
        <f>E25-E284</f>
        <v>0</v>
      </c>
      <c r="F290" s="381">
        <f t="shared" si="37"/>
        <v>0</v>
      </c>
      <c r="G290" s="379">
        <f>G25-G284</f>
        <v>0</v>
      </c>
      <c r="H290" s="382">
        <f>H25-H284</f>
        <v>0</v>
      </c>
      <c r="I290" s="383">
        <f t="shared" si="38"/>
        <v>0</v>
      </c>
      <c r="J290" s="379">
        <f>J25-J284</f>
        <v>86</v>
      </c>
      <c r="K290" s="382">
        <f>K25-K284</f>
        <v>0</v>
      </c>
      <c r="L290" s="383">
        <f t="shared" si="39"/>
        <v>86</v>
      </c>
      <c r="M290" s="378">
        <f>M25-M284</f>
        <v>0</v>
      </c>
      <c r="N290" s="384">
        <f>N25-N284</f>
        <v>0</v>
      </c>
      <c r="O290" s="383">
        <f t="shared" si="58"/>
        <v>0</v>
      </c>
      <c r="P290" s="385"/>
      <c r="R290" s="53"/>
      <c r="S290" s="53"/>
      <c r="T290" s="53"/>
    </row>
    <row r="291" spans="1:20" s="41" customFormat="1" hidden="1" x14ac:dyDescent="0.25">
      <c r="A291" s="387" t="s">
        <v>310</v>
      </c>
      <c r="B291" s="387" t="s">
        <v>311</v>
      </c>
      <c r="C291" s="380">
        <f>SUM(C292,C294,C296)-SUM(C293,C295,C297)</f>
        <v>0</v>
      </c>
      <c r="D291" s="379">
        <f t="shared" ref="D291:E291" si="60">SUM(D292,D294,D296)-SUM(D293,D295,D297)</f>
        <v>0</v>
      </c>
      <c r="E291" s="384">
        <f t="shared" si="60"/>
        <v>0</v>
      </c>
      <c r="F291" s="388">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c r="R291" s="53"/>
      <c r="S291" s="53"/>
      <c r="T291" s="53"/>
    </row>
    <row r="292" spans="1:20" s="41" customFormat="1" hidden="1" x14ac:dyDescent="0.25">
      <c r="A292" s="366" t="s">
        <v>312</v>
      </c>
      <c r="B292" s="190" t="s">
        <v>313</v>
      </c>
      <c r="C292" s="143">
        <f t="shared" ref="C292:C299" si="64">F292+I292+L292+O292</f>
        <v>0</v>
      </c>
      <c r="D292" s="149"/>
      <c r="E292" s="363"/>
      <c r="F292" s="364">
        <f t="shared" si="37"/>
        <v>0</v>
      </c>
      <c r="G292" s="149"/>
      <c r="H292" s="150"/>
      <c r="I292" s="151">
        <f t="shared" si="38"/>
        <v>0</v>
      </c>
      <c r="J292" s="149"/>
      <c r="K292" s="150"/>
      <c r="L292" s="151">
        <f t="shared" si="39"/>
        <v>0</v>
      </c>
      <c r="M292" s="365"/>
      <c r="N292" s="363"/>
      <c r="O292" s="151">
        <f t="shared" si="58"/>
        <v>0</v>
      </c>
      <c r="P292" s="153"/>
      <c r="R292" s="53"/>
      <c r="S292" s="53"/>
      <c r="T292" s="53"/>
    </row>
    <row r="293" spans="1:20" ht="24" hidden="1" x14ac:dyDescent="0.25">
      <c r="A293" s="346" t="s">
        <v>314</v>
      </c>
      <c r="B293" s="75" t="s">
        <v>315</v>
      </c>
      <c r="C293" s="128">
        <f t="shared" si="64"/>
        <v>0</v>
      </c>
      <c r="D293" s="134"/>
      <c r="E293" s="285"/>
      <c r="F293" s="286">
        <f t="shared" si="37"/>
        <v>0</v>
      </c>
      <c r="G293" s="134"/>
      <c r="H293" s="135"/>
      <c r="I293" s="136">
        <f t="shared" si="38"/>
        <v>0</v>
      </c>
      <c r="J293" s="134"/>
      <c r="K293" s="135"/>
      <c r="L293" s="136">
        <f t="shared" si="39"/>
        <v>0</v>
      </c>
      <c r="M293" s="284"/>
      <c r="N293" s="285"/>
      <c r="O293" s="136">
        <f t="shared" si="58"/>
        <v>0</v>
      </c>
      <c r="P293" s="85"/>
      <c r="R293" s="53"/>
      <c r="S293" s="53"/>
      <c r="T293" s="53"/>
    </row>
    <row r="294" spans="1:20" hidden="1" x14ac:dyDescent="0.25">
      <c r="A294" s="346" t="s">
        <v>316</v>
      </c>
      <c r="B294" s="75" t="s">
        <v>317</v>
      </c>
      <c r="C294" s="128">
        <f t="shared" si="64"/>
        <v>0</v>
      </c>
      <c r="D294" s="134"/>
      <c r="E294" s="285"/>
      <c r="F294" s="286">
        <f t="shared" si="37"/>
        <v>0</v>
      </c>
      <c r="G294" s="134"/>
      <c r="H294" s="135"/>
      <c r="I294" s="136">
        <f t="shared" si="38"/>
        <v>0</v>
      </c>
      <c r="J294" s="134"/>
      <c r="K294" s="135"/>
      <c r="L294" s="136">
        <f t="shared" si="39"/>
        <v>0</v>
      </c>
      <c r="M294" s="284"/>
      <c r="N294" s="285"/>
      <c r="O294" s="136">
        <f t="shared" si="58"/>
        <v>0</v>
      </c>
      <c r="P294" s="85"/>
      <c r="R294" s="53"/>
      <c r="S294" s="53"/>
      <c r="T294" s="53"/>
    </row>
    <row r="295" spans="1:20" ht="24" hidden="1" x14ac:dyDescent="0.25">
      <c r="A295" s="346" t="s">
        <v>318</v>
      </c>
      <c r="B295" s="75" t="s">
        <v>319</v>
      </c>
      <c r="C295" s="128">
        <f t="shared" si="64"/>
        <v>0</v>
      </c>
      <c r="D295" s="134"/>
      <c r="E295" s="285"/>
      <c r="F295" s="286">
        <f t="shared" si="37"/>
        <v>0</v>
      </c>
      <c r="G295" s="134"/>
      <c r="H295" s="135"/>
      <c r="I295" s="136">
        <f t="shared" si="38"/>
        <v>0</v>
      </c>
      <c r="J295" s="134"/>
      <c r="K295" s="135"/>
      <c r="L295" s="136">
        <f t="shared" si="39"/>
        <v>0</v>
      </c>
      <c r="M295" s="284"/>
      <c r="N295" s="285"/>
      <c r="O295" s="136">
        <f t="shared" si="58"/>
        <v>0</v>
      </c>
      <c r="P295" s="85"/>
      <c r="R295" s="53"/>
      <c r="S295" s="53"/>
      <c r="T295" s="53"/>
    </row>
    <row r="296" spans="1:20" hidden="1" x14ac:dyDescent="0.25">
      <c r="A296" s="346" t="s">
        <v>320</v>
      </c>
      <c r="B296" s="75" t="s">
        <v>321</v>
      </c>
      <c r="C296" s="128">
        <f t="shared" si="64"/>
        <v>0</v>
      </c>
      <c r="D296" s="134"/>
      <c r="E296" s="285"/>
      <c r="F296" s="286">
        <f t="shared" si="37"/>
        <v>0</v>
      </c>
      <c r="G296" s="134"/>
      <c r="H296" s="135"/>
      <c r="I296" s="136">
        <f t="shared" si="38"/>
        <v>0</v>
      </c>
      <c r="J296" s="134"/>
      <c r="K296" s="135"/>
      <c r="L296" s="136">
        <f t="shared" si="39"/>
        <v>0</v>
      </c>
      <c r="M296" s="284"/>
      <c r="N296" s="285"/>
      <c r="O296" s="136">
        <f t="shared" si="58"/>
        <v>0</v>
      </c>
      <c r="P296" s="85"/>
      <c r="R296" s="53"/>
      <c r="S296" s="53"/>
      <c r="T296" s="53"/>
    </row>
    <row r="297" spans="1:20" ht="24" hidden="1" x14ac:dyDescent="0.25">
      <c r="A297" s="389" t="s">
        <v>322</v>
      </c>
      <c r="B297" s="390" t="s">
        <v>323</v>
      </c>
      <c r="C297" s="327">
        <f t="shared" si="64"/>
        <v>0</v>
      </c>
      <c r="D297" s="328"/>
      <c r="E297" s="329"/>
      <c r="F297" s="330">
        <f t="shared" si="37"/>
        <v>0</v>
      </c>
      <c r="G297" s="328"/>
      <c r="H297" s="331"/>
      <c r="I297" s="324">
        <f t="shared" si="38"/>
        <v>0</v>
      </c>
      <c r="J297" s="328"/>
      <c r="K297" s="331"/>
      <c r="L297" s="324">
        <f t="shared" si="39"/>
        <v>0</v>
      </c>
      <c r="M297" s="332"/>
      <c r="N297" s="329"/>
      <c r="O297" s="324">
        <f t="shared" si="58"/>
        <v>0</v>
      </c>
      <c r="P297" s="325"/>
      <c r="R297" s="53"/>
      <c r="S297" s="53"/>
      <c r="T297" s="53"/>
    </row>
    <row r="298" spans="1:20" hidden="1" x14ac:dyDescent="0.25">
      <c r="A298" s="387" t="s">
        <v>324</v>
      </c>
      <c r="B298" s="387" t="s">
        <v>325</v>
      </c>
      <c r="C298" s="391">
        <f t="shared" si="64"/>
        <v>0</v>
      </c>
      <c r="D298" s="392"/>
      <c r="E298" s="393"/>
      <c r="F298" s="388">
        <f t="shared" si="37"/>
        <v>0</v>
      </c>
      <c r="G298" s="392"/>
      <c r="H298" s="394"/>
      <c r="I298" s="383">
        <f t="shared" si="38"/>
        <v>0</v>
      </c>
      <c r="J298" s="392"/>
      <c r="K298" s="394"/>
      <c r="L298" s="383">
        <f t="shared" si="39"/>
        <v>0</v>
      </c>
      <c r="M298" s="395"/>
      <c r="N298" s="393"/>
      <c r="O298" s="383">
        <f t="shared" si="58"/>
        <v>0</v>
      </c>
      <c r="P298" s="385"/>
      <c r="R298" s="53"/>
      <c r="S298" s="53"/>
      <c r="T298" s="53"/>
    </row>
    <row r="299" spans="1:20" s="41" customFormat="1" ht="48" hidden="1" x14ac:dyDescent="0.25">
      <c r="A299" s="387" t="s">
        <v>326</v>
      </c>
      <c r="B299" s="396" t="s">
        <v>327</v>
      </c>
      <c r="C299" s="397">
        <f t="shared" si="64"/>
        <v>0</v>
      </c>
      <c r="D299" s="398"/>
      <c r="E299" s="399"/>
      <c r="F299" s="400">
        <f t="shared" si="37"/>
        <v>0</v>
      </c>
      <c r="G299" s="392"/>
      <c r="H299" s="394"/>
      <c r="I299" s="383">
        <f t="shared" si="38"/>
        <v>0</v>
      </c>
      <c r="J299" s="392"/>
      <c r="K299" s="394"/>
      <c r="L299" s="383">
        <f t="shared" si="39"/>
        <v>0</v>
      </c>
      <c r="M299" s="395"/>
      <c r="N299" s="393"/>
      <c r="O299" s="383">
        <f t="shared" si="58"/>
        <v>0</v>
      </c>
      <c r="P299" s="385"/>
      <c r="R299" s="53"/>
      <c r="S299" s="53"/>
      <c r="T299" s="53"/>
    </row>
    <row r="300" spans="1:20"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20" ht="12.75" thickBot="1" x14ac:dyDescent="0.3">
      <c r="A301" s="404"/>
      <c r="B301" s="405"/>
      <c r="C301" s="405"/>
      <c r="D301" s="405"/>
      <c r="E301" s="405"/>
      <c r="F301" s="405"/>
      <c r="G301" s="405"/>
      <c r="H301" s="405"/>
      <c r="I301" s="405"/>
      <c r="J301" s="405"/>
      <c r="K301" s="405"/>
      <c r="L301" s="405"/>
      <c r="M301" s="405"/>
      <c r="N301" s="405"/>
      <c r="O301" s="405"/>
      <c r="P301" s="406"/>
      <c r="Q301" s="7"/>
    </row>
    <row r="302" spans="1:20" x14ac:dyDescent="0.25">
      <c r="A302" s="5"/>
      <c r="B302" s="5"/>
      <c r="C302" s="5"/>
      <c r="D302" s="5"/>
      <c r="E302" s="5"/>
      <c r="F302" s="5"/>
      <c r="G302" s="5"/>
      <c r="H302" s="5"/>
      <c r="I302" s="5"/>
      <c r="J302" s="5"/>
      <c r="K302" s="5"/>
      <c r="L302" s="5"/>
      <c r="M302" s="5"/>
      <c r="N302" s="5"/>
      <c r="O302" s="5"/>
    </row>
    <row r="303" spans="1:20" x14ac:dyDescent="0.25">
      <c r="A303" s="5"/>
      <c r="B303" s="5"/>
      <c r="C303" s="5"/>
      <c r="D303" s="5"/>
      <c r="E303" s="5"/>
      <c r="F303" s="5"/>
      <c r="G303" s="5"/>
      <c r="H303" s="5"/>
      <c r="I303" s="5"/>
      <c r="J303" s="5"/>
      <c r="K303" s="5"/>
      <c r="L303" s="5"/>
      <c r="M303" s="5"/>
      <c r="N303" s="5"/>
      <c r="O303" s="5"/>
    </row>
    <row r="304" spans="1:20"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8CCbrUSXoOuakfi2WXDELuevwauudRaseGvrBJO9mn5stzk0xa0oZlmDRZbwgTfCpg9FaQs/awYYXn5RedD6rA==" saltValue="AejLGr08GH61ygledfMetQ==" spinCount="100000" sheet="1" objects="1" scenarios="1" selectLockedCells="1" selectUnlockedCells="1"/>
  <autoFilter ref="A22:P300">
    <filterColumn colId="2">
      <filters blank="1">
        <filter val="1 018"/>
        <filter val="1 353"/>
        <filter val="1 500"/>
        <filter val="1 815"/>
        <filter val="10 940"/>
        <filter val="13 864"/>
        <filter val="140"/>
        <filter val="15 967"/>
        <filter val="166"/>
        <filter val="17 042"/>
        <filter val="17 669"/>
        <filter val="173 396"/>
        <filter val="18 799"/>
        <filter val="18 849"/>
        <filter val="180"/>
        <filter val="193 071"/>
        <filter val="2 006"/>
        <filter val="2 047"/>
        <filter val="2 187"/>
        <filter val="2 835"/>
        <filter val="2 853"/>
        <filter val="227"/>
        <filter val="230"/>
        <filter val="24"/>
        <filter val="24 030"/>
        <filter val="244"/>
        <filter val="25 404"/>
        <filter val="257 378"/>
        <filter val="286"/>
        <filter val="29"/>
        <filter val="294"/>
        <filter val="3 748"/>
        <filter val="306 801"/>
        <filter val="307 222"/>
        <filter val="308 240"/>
        <filter val="32"/>
        <filter val="320"/>
        <filter val="321"/>
        <filter val="343"/>
        <filter val="38"/>
        <filter val="424"/>
        <filter val="428"/>
        <filter val="456"/>
        <filter val="459"/>
        <filter val="48 340"/>
        <filter val="49 844"/>
        <filter val="5 055"/>
        <filter val="5 429"/>
        <filter val="50"/>
        <filter val="521"/>
        <filter val="6 190"/>
        <filter val="64 307"/>
        <filter val="641"/>
        <filter val="76"/>
        <filter val="794"/>
        <filter val="80"/>
        <filter val="808"/>
        <filter val="837"/>
        <filter val="86"/>
        <filter val="-86"/>
        <filter val="88"/>
        <filter val="9 349"/>
        <filter val="922"/>
        <filter val="980"/>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91.pielikums Jūrmalas pilsētas domes
2017.gada 30.janvāra saistošajiem noteikumiem Nr.10
(Protokols Nr.4, 1.punkts)
 </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T8" sqref="T8"/>
    </sheetView>
  </sheetViews>
  <sheetFormatPr defaultRowHeight="15" outlineLevelCol="1" x14ac:dyDescent="0.25"/>
  <cols>
    <col min="1" max="1" width="10.85546875" style="1" customWidth="1"/>
    <col min="2" max="2" width="28" style="1" customWidth="1"/>
    <col min="3" max="3" width="9.85546875" style="1" customWidth="1"/>
    <col min="4" max="4" width="8.7109375" style="1" hidden="1" customWidth="1" outlineLevel="1"/>
    <col min="5" max="5" width="9.85546875" style="1" hidden="1" customWidth="1" outlineLevel="1"/>
    <col min="6" max="6" width="10"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collapsed="1"/>
    <col min="18" max="16384" width="9.140625" style="5"/>
  </cols>
  <sheetData>
    <row r="1" spans="1:17" x14ac:dyDescent="0.25">
      <c r="B1" s="2"/>
      <c r="C1" s="2"/>
      <c r="D1" s="2"/>
      <c r="E1" s="2"/>
      <c r="F1" s="2"/>
      <c r="G1" s="2"/>
      <c r="H1" s="2"/>
      <c r="I1" s="2"/>
      <c r="J1" s="2"/>
      <c r="K1" s="2"/>
      <c r="L1" s="2"/>
      <c r="M1" s="3"/>
      <c r="N1" s="3"/>
      <c r="O1" s="4" t="s">
        <v>1267</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610"/>
    </row>
    <row r="4" spans="1:17" ht="15.75" x14ac:dyDescent="0.25">
      <c r="A4" s="1560" t="s">
        <v>1</v>
      </c>
      <c r="B4" s="1561"/>
      <c r="C4" s="1561"/>
      <c r="D4" s="1561"/>
      <c r="E4" s="1561"/>
      <c r="F4" s="1561"/>
      <c r="G4" s="1561"/>
      <c r="H4" s="1561"/>
      <c r="I4" s="1561"/>
      <c r="J4" s="1561"/>
      <c r="K4" s="1561"/>
      <c r="L4" s="1561"/>
      <c r="M4" s="1561"/>
      <c r="N4" s="1561"/>
      <c r="O4" s="1561"/>
      <c r="P4" s="1562"/>
      <c r="Q4" s="610"/>
    </row>
    <row r="5" spans="1:17" x14ac:dyDescent="0.25">
      <c r="A5" s="8"/>
      <c r="B5" s="9"/>
      <c r="C5" s="10"/>
      <c r="D5" s="9"/>
      <c r="E5" s="9"/>
      <c r="F5" s="9"/>
      <c r="G5" s="9"/>
      <c r="H5" s="9"/>
      <c r="I5" s="9"/>
      <c r="J5" s="9"/>
      <c r="K5" s="9"/>
      <c r="L5" s="9"/>
      <c r="M5" s="9"/>
      <c r="N5" s="9"/>
      <c r="O5" s="11"/>
      <c r="P5" s="12"/>
      <c r="Q5" s="610"/>
    </row>
    <row r="6" spans="1:17" x14ac:dyDescent="0.25">
      <c r="A6" s="13" t="s">
        <v>2</v>
      </c>
      <c r="B6" s="14"/>
      <c r="C6" s="1555" t="s">
        <v>1266</v>
      </c>
      <c r="D6" s="1555"/>
      <c r="E6" s="1555"/>
      <c r="F6" s="1555"/>
      <c r="G6" s="1555"/>
      <c r="H6" s="1555"/>
      <c r="I6" s="1555"/>
      <c r="J6" s="1555"/>
      <c r="K6" s="1555"/>
      <c r="L6" s="1555"/>
      <c r="M6" s="1555"/>
      <c r="N6" s="1555"/>
      <c r="O6" s="1555"/>
      <c r="P6" s="1556"/>
      <c r="Q6" s="610"/>
    </row>
    <row r="7" spans="1:17" x14ac:dyDescent="0.25">
      <c r="A7" s="13" t="s">
        <v>4</v>
      </c>
      <c r="B7" s="14"/>
      <c r="C7" s="1555" t="s">
        <v>1265</v>
      </c>
      <c r="D7" s="1555"/>
      <c r="E7" s="1555"/>
      <c r="F7" s="1555"/>
      <c r="G7" s="1555"/>
      <c r="H7" s="1555"/>
      <c r="I7" s="1555"/>
      <c r="J7" s="1555"/>
      <c r="K7" s="1555"/>
      <c r="L7" s="1555"/>
      <c r="M7" s="1555"/>
      <c r="N7" s="1555"/>
      <c r="O7" s="1555"/>
      <c r="P7" s="1556"/>
      <c r="Q7" s="610"/>
    </row>
    <row r="8" spans="1:17" x14ac:dyDescent="0.25">
      <c r="A8" s="8" t="s">
        <v>6</v>
      </c>
      <c r="B8" s="9"/>
      <c r="C8" s="1553" t="s">
        <v>1264</v>
      </c>
      <c r="D8" s="1553"/>
      <c r="E8" s="1553"/>
      <c r="F8" s="1553"/>
      <c r="G8" s="1553"/>
      <c r="H8" s="1553"/>
      <c r="I8" s="1553"/>
      <c r="J8" s="1553"/>
      <c r="K8" s="1553"/>
      <c r="L8" s="1553"/>
      <c r="M8" s="1553"/>
      <c r="N8" s="1553"/>
      <c r="O8" s="1553"/>
      <c r="P8" s="1554"/>
      <c r="Q8" s="610"/>
    </row>
    <row r="9" spans="1:17" x14ac:dyDescent="0.25">
      <c r="A9" s="8" t="s">
        <v>8</v>
      </c>
      <c r="B9" s="9"/>
      <c r="C9" s="1553" t="s">
        <v>1263</v>
      </c>
      <c r="D9" s="1553"/>
      <c r="E9" s="1553"/>
      <c r="F9" s="1553"/>
      <c r="G9" s="1553"/>
      <c r="H9" s="1553"/>
      <c r="I9" s="1553"/>
      <c r="J9" s="1553"/>
      <c r="K9" s="1553"/>
      <c r="L9" s="1553"/>
      <c r="M9" s="1553"/>
      <c r="N9" s="1553"/>
      <c r="O9" s="1553"/>
      <c r="P9" s="1554"/>
      <c r="Q9" s="610"/>
    </row>
    <row r="10" spans="1:17" ht="29.25" customHeight="1" x14ac:dyDescent="0.25">
      <c r="A10" s="8" t="s">
        <v>10</v>
      </c>
      <c r="B10" s="9"/>
      <c r="C10" s="1555" t="s">
        <v>1262</v>
      </c>
      <c r="D10" s="1555"/>
      <c r="E10" s="1555"/>
      <c r="F10" s="1555"/>
      <c r="G10" s="1555"/>
      <c r="H10" s="1555"/>
      <c r="I10" s="1555"/>
      <c r="J10" s="1555"/>
      <c r="K10" s="1555"/>
      <c r="L10" s="1555"/>
      <c r="M10" s="1555"/>
      <c r="N10" s="1555"/>
      <c r="O10" s="1555"/>
      <c r="P10" s="1556"/>
      <c r="Q10" s="610"/>
    </row>
    <row r="11" spans="1:17" x14ac:dyDescent="0.25">
      <c r="A11" s="8" t="s">
        <v>12</v>
      </c>
      <c r="B11" s="9"/>
      <c r="C11" s="1555" t="s">
        <v>1261</v>
      </c>
      <c r="D11" s="1555"/>
      <c r="E11" s="1555"/>
      <c r="F11" s="1555"/>
      <c r="G11" s="1555"/>
      <c r="H11" s="1555"/>
      <c r="I11" s="1555"/>
      <c r="J11" s="1555"/>
      <c r="K11" s="1555"/>
      <c r="L11" s="1555"/>
      <c r="M11" s="1555"/>
      <c r="N11" s="1555"/>
      <c r="O11" s="1555"/>
      <c r="P11" s="1556"/>
      <c r="Q11" s="610"/>
    </row>
    <row r="12" spans="1:17" x14ac:dyDescent="0.25">
      <c r="A12" s="15" t="s">
        <v>14</v>
      </c>
      <c r="B12" s="9"/>
      <c r="C12" s="16"/>
      <c r="D12" s="16"/>
      <c r="E12" s="16"/>
      <c r="F12" s="16"/>
      <c r="G12" s="16"/>
      <c r="H12" s="16"/>
      <c r="I12" s="16"/>
      <c r="J12" s="16"/>
      <c r="K12" s="16"/>
      <c r="L12" s="16"/>
      <c r="M12" s="16"/>
      <c r="N12" s="16"/>
      <c r="O12" s="16"/>
      <c r="P12" s="17"/>
      <c r="Q12" s="610"/>
    </row>
    <row r="13" spans="1:17" x14ac:dyDescent="0.25">
      <c r="A13" s="8"/>
      <c r="B13" s="9" t="s">
        <v>15</v>
      </c>
      <c r="C13" s="1553" t="s">
        <v>1260</v>
      </c>
      <c r="D13" s="1553"/>
      <c r="E13" s="1553"/>
      <c r="F13" s="1553"/>
      <c r="G13" s="1553"/>
      <c r="H13" s="1553"/>
      <c r="I13" s="1553"/>
      <c r="J13" s="1553"/>
      <c r="K13" s="1553"/>
      <c r="L13" s="1553"/>
      <c r="M13" s="1553"/>
      <c r="N13" s="1553"/>
      <c r="O13" s="1553"/>
      <c r="P13" s="1554"/>
      <c r="Q13" s="610"/>
    </row>
    <row r="14" spans="1:17" x14ac:dyDescent="0.25">
      <c r="A14" s="8"/>
      <c r="B14" s="9" t="s">
        <v>17</v>
      </c>
      <c r="C14" s="1553"/>
      <c r="D14" s="1553"/>
      <c r="E14" s="1553"/>
      <c r="F14" s="1553"/>
      <c r="G14" s="1553"/>
      <c r="H14" s="1553"/>
      <c r="I14" s="1553"/>
      <c r="J14" s="1553"/>
      <c r="K14" s="1553"/>
      <c r="L14" s="1553"/>
      <c r="M14" s="1553"/>
      <c r="N14" s="1553"/>
      <c r="O14" s="1553"/>
      <c r="P14" s="1554"/>
      <c r="Q14" s="610"/>
    </row>
    <row r="15" spans="1:17" x14ac:dyDescent="0.25">
      <c r="A15" s="8"/>
      <c r="B15" s="9" t="s">
        <v>19</v>
      </c>
      <c r="C15" s="1553"/>
      <c r="D15" s="1553"/>
      <c r="E15" s="1553"/>
      <c r="F15" s="1553"/>
      <c r="G15" s="1553"/>
      <c r="H15" s="1553"/>
      <c r="I15" s="1553"/>
      <c r="J15" s="1553"/>
      <c r="K15" s="1553"/>
      <c r="L15" s="1553"/>
      <c r="M15" s="1553"/>
      <c r="N15" s="1553"/>
      <c r="O15" s="1553"/>
      <c r="P15" s="1554"/>
      <c r="Q15" s="610"/>
    </row>
    <row r="16" spans="1:17" x14ac:dyDescent="0.25">
      <c r="A16" s="8"/>
      <c r="B16" s="9" t="s">
        <v>20</v>
      </c>
      <c r="C16" s="1553"/>
      <c r="D16" s="1553"/>
      <c r="E16" s="1553"/>
      <c r="F16" s="1553"/>
      <c r="G16" s="1553"/>
      <c r="H16" s="1553"/>
      <c r="I16" s="1553"/>
      <c r="J16" s="1553"/>
      <c r="K16" s="1553"/>
      <c r="L16" s="1553"/>
      <c r="M16" s="1553"/>
      <c r="N16" s="1553"/>
      <c r="O16" s="1553"/>
      <c r="P16" s="1554"/>
      <c r="Q16" s="610"/>
    </row>
    <row r="17" spans="1:17" x14ac:dyDescent="0.25">
      <c r="A17" s="8"/>
      <c r="B17" s="9" t="s">
        <v>22</v>
      </c>
      <c r="C17" s="1553"/>
      <c r="D17" s="1553"/>
      <c r="E17" s="1553"/>
      <c r="F17" s="1553"/>
      <c r="G17" s="1553"/>
      <c r="H17" s="1553"/>
      <c r="I17" s="1553"/>
      <c r="J17" s="1553"/>
      <c r="K17" s="1553"/>
      <c r="L17" s="1553"/>
      <c r="M17" s="1553"/>
      <c r="N17" s="1553"/>
      <c r="O17" s="1553"/>
      <c r="P17" s="1554"/>
      <c r="Q17" s="610"/>
    </row>
    <row r="18" spans="1:17" x14ac:dyDescent="0.25">
      <c r="A18" s="18"/>
      <c r="B18" s="19"/>
      <c r="C18" s="1569"/>
      <c r="D18" s="1569"/>
      <c r="E18" s="1569"/>
      <c r="F18" s="1569"/>
      <c r="G18" s="1569"/>
      <c r="H18" s="1569"/>
      <c r="I18" s="1569"/>
      <c r="J18" s="1569"/>
      <c r="K18" s="1569"/>
      <c r="L18" s="1569"/>
      <c r="M18" s="1569"/>
      <c r="N18" s="1569"/>
      <c r="O18" s="1569"/>
      <c r="P18" s="1570"/>
      <c r="Q18" s="610"/>
    </row>
    <row r="19" spans="1:17" s="20" customFormat="1" ht="12"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17" s="20" customFormat="1" ht="12"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17" s="21" customFormat="1" ht="70.5" customHeight="1" thickBot="1" x14ac:dyDescent="0.3">
      <c r="A21" s="1573"/>
      <c r="B21" s="1576"/>
      <c r="C21" s="1581"/>
      <c r="D21" s="1566"/>
      <c r="E21" s="1568"/>
      <c r="F21" s="1564"/>
      <c r="G21" s="1566"/>
      <c r="H21" s="1568"/>
      <c r="I21" s="1564"/>
      <c r="J21" s="1566"/>
      <c r="K21" s="1568"/>
      <c r="L21" s="1564"/>
      <c r="M21" s="1566"/>
      <c r="N21" s="1568"/>
      <c r="O21" s="1564"/>
      <c r="P21" s="1576"/>
    </row>
    <row r="22" spans="1:17"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17" s="41" customFormat="1" ht="12" x14ac:dyDescent="0.25">
      <c r="A23" s="30"/>
      <c r="B23" s="31" t="s">
        <v>41</v>
      </c>
      <c r="C23" s="32"/>
      <c r="D23" s="33"/>
      <c r="E23" s="34"/>
      <c r="F23" s="35"/>
      <c r="G23" s="33"/>
      <c r="H23" s="36"/>
      <c r="I23" s="37"/>
      <c r="J23" s="33"/>
      <c r="K23" s="38"/>
      <c r="L23" s="37"/>
      <c r="M23" s="38"/>
      <c r="N23" s="39"/>
      <c r="O23" s="37"/>
      <c r="P23" s="40"/>
    </row>
    <row r="24" spans="1:17" s="41" customFormat="1" ht="12.75" thickBot="1" x14ac:dyDescent="0.3">
      <c r="A24" s="42"/>
      <c r="B24" s="43" t="s">
        <v>42</v>
      </c>
      <c r="C24" s="44">
        <f>F24+I24+L24+O24</f>
        <v>450710</v>
      </c>
      <c r="D24" s="45">
        <f>SUM(D25,D28,D29,D45,D46)</f>
        <v>466010</v>
      </c>
      <c r="E24" s="46">
        <f>SUM(E25,E28,E29,E45,E46)</f>
        <v>-15300</v>
      </c>
      <c r="F24" s="47">
        <f t="shared" ref="F24:F29" si="0">D24+E24</f>
        <v>450710</v>
      </c>
      <c r="G24" s="45">
        <f>SUM(G25,G28,G46)</f>
        <v>0</v>
      </c>
      <c r="H24" s="48">
        <f>SUM(H25,H28,H46)</f>
        <v>0</v>
      </c>
      <c r="I24" s="49">
        <f>G24+H24</f>
        <v>0</v>
      </c>
      <c r="J24" s="45">
        <f>SUM(J25,J30,J46)</f>
        <v>0</v>
      </c>
      <c r="K24" s="48">
        <f>SUM(K25,K30,K46)</f>
        <v>0</v>
      </c>
      <c r="L24" s="49">
        <f>J24+K24</f>
        <v>0</v>
      </c>
      <c r="M24" s="50">
        <f>SUM(M25,M48)</f>
        <v>0</v>
      </c>
      <c r="N24" s="51">
        <f>SUM(N25,N48)</f>
        <v>0</v>
      </c>
      <c r="O24" s="49">
        <f>M24+N24</f>
        <v>0</v>
      </c>
      <c r="P24" s="52"/>
    </row>
    <row r="25" spans="1:17" ht="15.75" hidden="1" thickTop="1" x14ac:dyDescent="0.25">
      <c r="A25" s="54"/>
      <c r="B25" s="55" t="s">
        <v>43</v>
      </c>
      <c r="C25" s="56">
        <f>F25+I25+L25+O25</f>
        <v>0</v>
      </c>
      <c r="D25" s="57">
        <f>SUM(D26:D27)</f>
        <v>0</v>
      </c>
      <c r="E25" s="58">
        <f>SUM(E26:E27)</f>
        <v>0</v>
      </c>
      <c r="F25" s="59">
        <f t="shared" si="0"/>
        <v>0</v>
      </c>
      <c r="G25" s="57">
        <f>SUM(G26:G27)</f>
        <v>0</v>
      </c>
      <c r="H25" s="60">
        <f>SUM(H26:H27)</f>
        <v>0</v>
      </c>
      <c r="I25" s="61">
        <f>G25+H25</f>
        <v>0</v>
      </c>
      <c r="J25" s="57">
        <f>SUM(J26:J27)</f>
        <v>0</v>
      </c>
      <c r="K25" s="60">
        <f>SUM(K26:K27)</f>
        <v>0</v>
      </c>
      <c r="L25" s="61">
        <f>J25+K25</f>
        <v>0</v>
      </c>
      <c r="M25" s="62">
        <f>SUM(M26:M27)</f>
        <v>0</v>
      </c>
      <c r="N25" s="63">
        <f>SUM(N26:N27)</f>
        <v>0</v>
      </c>
      <c r="O25" s="61">
        <f>M25+N25</f>
        <v>0</v>
      </c>
      <c r="P25" s="64"/>
    </row>
    <row r="26" spans="1:17" ht="15.75" hidden="1" thickTop="1" x14ac:dyDescent="0.25">
      <c r="A26" s="65"/>
      <c r="B26" s="66" t="s">
        <v>44</v>
      </c>
      <c r="C26" s="67">
        <f>F26+I26+L26+O26</f>
        <v>0</v>
      </c>
      <c r="D26" s="68"/>
      <c r="E26" s="673"/>
      <c r="F26" s="625">
        <f t="shared" si="0"/>
        <v>0</v>
      </c>
      <c r="G26" s="68"/>
      <c r="H26" s="71"/>
      <c r="I26" s="72">
        <f>G26+H26</f>
        <v>0</v>
      </c>
      <c r="J26" s="68"/>
      <c r="K26" s="71"/>
      <c r="L26" s="72">
        <f>J26+K26</f>
        <v>0</v>
      </c>
      <c r="M26" s="73"/>
      <c r="N26" s="69"/>
      <c r="O26" s="72">
        <f>M26+N26</f>
        <v>0</v>
      </c>
      <c r="P26" s="74"/>
    </row>
    <row r="27" spans="1:17" ht="15.75" hidden="1" thickTop="1" x14ac:dyDescent="0.25">
      <c r="A27" s="75"/>
      <c r="B27" s="76" t="s">
        <v>45</v>
      </c>
      <c r="C27" s="77">
        <f>F27+I27+L27+O27</f>
        <v>0</v>
      </c>
      <c r="D27" s="78"/>
      <c r="E27" s="79"/>
      <c r="F27" s="80">
        <f t="shared" si="0"/>
        <v>0</v>
      </c>
      <c r="G27" s="78"/>
      <c r="H27" s="81"/>
      <c r="I27" s="82">
        <f>G27+H27</f>
        <v>0</v>
      </c>
      <c r="J27" s="78"/>
      <c r="K27" s="81"/>
      <c r="L27" s="82">
        <f>J27+K27</f>
        <v>0</v>
      </c>
      <c r="M27" s="83"/>
      <c r="N27" s="84"/>
      <c r="O27" s="82">
        <f>M27+N27</f>
        <v>0</v>
      </c>
      <c r="P27" s="85"/>
    </row>
    <row r="28" spans="1:17" s="41" customFormat="1" ht="25.5" thickTop="1" thickBot="1" x14ac:dyDescent="0.3">
      <c r="A28" s="86">
        <v>19300</v>
      </c>
      <c r="B28" s="86" t="s">
        <v>46</v>
      </c>
      <c r="C28" s="87">
        <f>SUM(F28,I28)</f>
        <v>450710</v>
      </c>
      <c r="D28" s="88">
        <f>D54</f>
        <v>466010</v>
      </c>
      <c r="E28" s="89">
        <v>-15300</v>
      </c>
      <c r="F28" s="90">
        <f t="shared" si="0"/>
        <v>450710</v>
      </c>
      <c r="G28" s="88"/>
      <c r="H28" s="91"/>
      <c r="I28" s="92">
        <f>G28+H28</f>
        <v>0</v>
      </c>
      <c r="J28" s="93" t="s">
        <v>47</v>
      </c>
      <c r="K28" s="94" t="s">
        <v>47</v>
      </c>
      <c r="L28" s="95" t="s">
        <v>47</v>
      </c>
      <c r="M28" s="96" t="s">
        <v>47</v>
      </c>
      <c r="N28" s="97" t="s">
        <v>47</v>
      </c>
      <c r="O28" s="95" t="s">
        <v>47</v>
      </c>
      <c r="P28" s="98"/>
    </row>
    <row r="29" spans="1:17" s="41" customFormat="1" ht="36.75" hidden="1" customHeight="1" thickTop="1" x14ac:dyDescent="0.25">
      <c r="A29" s="99"/>
      <c r="B29" s="99" t="s">
        <v>48</v>
      </c>
      <c r="C29" s="100">
        <f>F29</f>
        <v>0</v>
      </c>
      <c r="D29" s="101"/>
      <c r="E29" s="665"/>
      <c r="F29" s="634">
        <f t="shared" si="0"/>
        <v>0</v>
      </c>
      <c r="G29" s="104" t="s">
        <v>47</v>
      </c>
      <c r="H29" s="105" t="s">
        <v>47</v>
      </c>
      <c r="I29" s="106" t="s">
        <v>47</v>
      </c>
      <c r="J29" s="104" t="s">
        <v>47</v>
      </c>
      <c r="K29" s="105" t="s">
        <v>47</v>
      </c>
      <c r="L29" s="106" t="s">
        <v>47</v>
      </c>
      <c r="M29" s="107" t="s">
        <v>47</v>
      </c>
      <c r="N29" s="108" t="s">
        <v>47</v>
      </c>
      <c r="O29" s="106" t="s">
        <v>47</v>
      </c>
      <c r="P29" s="109"/>
    </row>
    <row r="30" spans="1:17" s="41" customFormat="1" ht="36.75" hidden="1" thickTop="1" x14ac:dyDescent="0.25">
      <c r="A30" s="99">
        <v>21300</v>
      </c>
      <c r="B30" s="99" t="s">
        <v>49</v>
      </c>
      <c r="C30" s="100">
        <f t="shared" ref="C30:C44" si="1">L30</f>
        <v>0</v>
      </c>
      <c r="D30" s="104" t="s">
        <v>47</v>
      </c>
      <c r="E30" s="110" t="s">
        <v>47</v>
      </c>
      <c r="F30" s="111" t="s">
        <v>47</v>
      </c>
      <c r="G30" s="104" t="s">
        <v>47</v>
      </c>
      <c r="H30" s="105" t="s">
        <v>47</v>
      </c>
      <c r="I30" s="106" t="s">
        <v>47</v>
      </c>
      <c r="J30" s="112">
        <f>SUM(J31,J35,J37,J40)</f>
        <v>0</v>
      </c>
      <c r="K30" s="113">
        <f>SUM(K31,K35,K37,K40)</f>
        <v>0</v>
      </c>
      <c r="L30" s="114">
        <f t="shared" ref="L30:L44" si="2">J30+K30</f>
        <v>0</v>
      </c>
      <c r="M30" s="107" t="s">
        <v>47</v>
      </c>
      <c r="N30" s="108" t="s">
        <v>47</v>
      </c>
      <c r="O30" s="106" t="s">
        <v>47</v>
      </c>
      <c r="P30" s="109"/>
    </row>
    <row r="31" spans="1:17" s="41" customFormat="1" ht="24.75" hidden="1" thickTop="1" x14ac:dyDescent="0.25">
      <c r="A31" s="115">
        <v>21350</v>
      </c>
      <c r="B31" s="99" t="s">
        <v>50</v>
      </c>
      <c r="C31" s="100">
        <f t="shared" si="1"/>
        <v>0</v>
      </c>
      <c r="D31" s="104" t="s">
        <v>47</v>
      </c>
      <c r="E31" s="110" t="s">
        <v>47</v>
      </c>
      <c r="F31" s="111" t="s">
        <v>47</v>
      </c>
      <c r="G31" s="104" t="s">
        <v>47</v>
      </c>
      <c r="H31" s="105" t="s">
        <v>47</v>
      </c>
      <c r="I31" s="106" t="s">
        <v>47</v>
      </c>
      <c r="J31" s="112">
        <f>SUM(J32:J34)</f>
        <v>0</v>
      </c>
      <c r="K31" s="113">
        <f>SUM(K32:K34)</f>
        <v>0</v>
      </c>
      <c r="L31" s="114">
        <f t="shared" si="2"/>
        <v>0</v>
      </c>
      <c r="M31" s="107" t="s">
        <v>47</v>
      </c>
      <c r="N31" s="108" t="s">
        <v>47</v>
      </c>
      <c r="O31" s="106" t="s">
        <v>47</v>
      </c>
      <c r="P31" s="109"/>
    </row>
    <row r="32" spans="1:17" ht="15.75" hidden="1" thickTop="1" x14ac:dyDescent="0.25">
      <c r="A32" s="65">
        <v>21351</v>
      </c>
      <c r="B32" s="116" t="s">
        <v>51</v>
      </c>
      <c r="C32" s="117">
        <f t="shared" si="1"/>
        <v>0</v>
      </c>
      <c r="D32" s="118" t="s">
        <v>47</v>
      </c>
      <c r="E32" s="154" t="s">
        <v>47</v>
      </c>
      <c r="F32" s="155" t="s">
        <v>47</v>
      </c>
      <c r="G32" s="118" t="s">
        <v>47</v>
      </c>
      <c r="H32" s="121" t="s">
        <v>47</v>
      </c>
      <c r="I32" s="122" t="s">
        <v>47</v>
      </c>
      <c r="J32" s="123"/>
      <c r="K32" s="124"/>
      <c r="L32" s="125">
        <f t="shared" si="2"/>
        <v>0</v>
      </c>
      <c r="M32" s="126" t="s">
        <v>47</v>
      </c>
      <c r="N32" s="119" t="s">
        <v>47</v>
      </c>
      <c r="O32" s="122" t="s">
        <v>47</v>
      </c>
      <c r="P32" s="74"/>
    </row>
    <row r="33" spans="1:16" ht="15.75" hidden="1" thickTop="1" x14ac:dyDescent="0.25">
      <c r="A33" s="75">
        <v>21352</v>
      </c>
      <c r="B33" s="127" t="s">
        <v>52</v>
      </c>
      <c r="C33" s="128">
        <f t="shared" si="1"/>
        <v>0</v>
      </c>
      <c r="D33" s="129" t="s">
        <v>47</v>
      </c>
      <c r="E33" s="130" t="s">
        <v>47</v>
      </c>
      <c r="F33" s="131" t="s">
        <v>47</v>
      </c>
      <c r="G33" s="129" t="s">
        <v>47</v>
      </c>
      <c r="H33" s="132" t="s">
        <v>47</v>
      </c>
      <c r="I33" s="133" t="s">
        <v>47</v>
      </c>
      <c r="J33" s="134"/>
      <c r="K33" s="135"/>
      <c r="L33" s="136">
        <f t="shared" si="2"/>
        <v>0</v>
      </c>
      <c r="M33" s="137" t="s">
        <v>47</v>
      </c>
      <c r="N33" s="138" t="s">
        <v>47</v>
      </c>
      <c r="O33" s="133" t="s">
        <v>47</v>
      </c>
      <c r="P33" s="85"/>
    </row>
    <row r="34" spans="1:16" ht="24.75" hidden="1" thickTop="1" x14ac:dyDescent="0.25">
      <c r="A34" s="75">
        <v>21359</v>
      </c>
      <c r="B34" s="127" t="s">
        <v>53</v>
      </c>
      <c r="C34" s="128">
        <f t="shared" si="1"/>
        <v>0</v>
      </c>
      <c r="D34" s="129" t="s">
        <v>47</v>
      </c>
      <c r="E34" s="130" t="s">
        <v>47</v>
      </c>
      <c r="F34" s="131" t="s">
        <v>47</v>
      </c>
      <c r="G34" s="129" t="s">
        <v>47</v>
      </c>
      <c r="H34" s="132" t="s">
        <v>47</v>
      </c>
      <c r="I34" s="133" t="s">
        <v>47</v>
      </c>
      <c r="J34" s="134"/>
      <c r="K34" s="135"/>
      <c r="L34" s="136">
        <f t="shared" si="2"/>
        <v>0</v>
      </c>
      <c r="M34" s="137" t="s">
        <v>47</v>
      </c>
      <c r="N34" s="138" t="s">
        <v>47</v>
      </c>
      <c r="O34" s="133" t="s">
        <v>47</v>
      </c>
      <c r="P34" s="85"/>
    </row>
    <row r="35" spans="1:16" s="41" customFormat="1" ht="36.75" hidden="1" thickTop="1" x14ac:dyDescent="0.25">
      <c r="A35" s="115">
        <v>21370</v>
      </c>
      <c r="B35" s="99" t="s">
        <v>54</v>
      </c>
      <c r="C35" s="100">
        <f t="shared" si="1"/>
        <v>0</v>
      </c>
      <c r="D35" s="104" t="s">
        <v>47</v>
      </c>
      <c r="E35" s="110" t="s">
        <v>47</v>
      </c>
      <c r="F35" s="111" t="s">
        <v>47</v>
      </c>
      <c r="G35" s="104" t="s">
        <v>47</v>
      </c>
      <c r="H35" s="105" t="s">
        <v>47</v>
      </c>
      <c r="I35" s="106" t="s">
        <v>47</v>
      </c>
      <c r="J35" s="112">
        <f>SUM(J36)</f>
        <v>0</v>
      </c>
      <c r="K35" s="113">
        <f>SUM(K36)</f>
        <v>0</v>
      </c>
      <c r="L35" s="114">
        <f t="shared" si="2"/>
        <v>0</v>
      </c>
      <c r="M35" s="107" t="s">
        <v>47</v>
      </c>
      <c r="N35" s="108" t="s">
        <v>47</v>
      </c>
      <c r="O35" s="106" t="s">
        <v>47</v>
      </c>
      <c r="P35" s="109"/>
    </row>
    <row r="36" spans="1:16" ht="36.75" hidden="1" thickTop="1" x14ac:dyDescent="0.25">
      <c r="A36" s="141">
        <v>21379</v>
      </c>
      <c r="B36" s="142" t="s">
        <v>55</v>
      </c>
      <c r="C36" s="143">
        <f t="shared" si="1"/>
        <v>0</v>
      </c>
      <c r="D36" s="144" t="s">
        <v>47</v>
      </c>
      <c r="E36" s="668" t="s">
        <v>47</v>
      </c>
      <c r="F36" s="773" t="s">
        <v>47</v>
      </c>
      <c r="G36" s="144" t="s">
        <v>47</v>
      </c>
      <c r="H36" s="147" t="s">
        <v>47</v>
      </c>
      <c r="I36" s="148" t="s">
        <v>47</v>
      </c>
      <c r="J36" s="149"/>
      <c r="K36" s="150"/>
      <c r="L36" s="151">
        <f t="shared" si="2"/>
        <v>0</v>
      </c>
      <c r="M36" s="152" t="s">
        <v>47</v>
      </c>
      <c r="N36" s="145" t="s">
        <v>47</v>
      </c>
      <c r="O36" s="148" t="s">
        <v>47</v>
      </c>
      <c r="P36" s="153"/>
    </row>
    <row r="37" spans="1:16" s="41" customFormat="1" ht="12.75" hidden="1" thickTop="1" x14ac:dyDescent="0.25">
      <c r="A37" s="115">
        <v>21380</v>
      </c>
      <c r="B37" s="99" t="s">
        <v>56</v>
      </c>
      <c r="C37" s="100">
        <f t="shared" si="1"/>
        <v>0</v>
      </c>
      <c r="D37" s="104" t="s">
        <v>47</v>
      </c>
      <c r="E37" s="110" t="s">
        <v>47</v>
      </c>
      <c r="F37" s="111" t="s">
        <v>47</v>
      </c>
      <c r="G37" s="104" t="s">
        <v>47</v>
      </c>
      <c r="H37" s="105" t="s">
        <v>47</v>
      </c>
      <c r="I37" s="106" t="s">
        <v>47</v>
      </c>
      <c r="J37" s="112">
        <f>SUM(J38:J39)</f>
        <v>0</v>
      </c>
      <c r="K37" s="113">
        <f>SUM(K38:K39)</f>
        <v>0</v>
      </c>
      <c r="L37" s="114">
        <f t="shared" si="2"/>
        <v>0</v>
      </c>
      <c r="M37" s="107" t="s">
        <v>47</v>
      </c>
      <c r="N37" s="108" t="s">
        <v>47</v>
      </c>
      <c r="O37" s="106" t="s">
        <v>47</v>
      </c>
      <c r="P37" s="109"/>
    </row>
    <row r="38" spans="1:16" ht="15.75" hidden="1" thickTop="1" x14ac:dyDescent="0.25">
      <c r="A38" s="66">
        <v>21381</v>
      </c>
      <c r="B38" s="116" t="s">
        <v>57</v>
      </c>
      <c r="C38" s="117">
        <f t="shared" si="1"/>
        <v>0</v>
      </c>
      <c r="D38" s="118" t="s">
        <v>47</v>
      </c>
      <c r="E38" s="154" t="s">
        <v>47</v>
      </c>
      <c r="F38" s="155" t="s">
        <v>47</v>
      </c>
      <c r="G38" s="118" t="s">
        <v>47</v>
      </c>
      <c r="H38" s="121" t="s">
        <v>47</v>
      </c>
      <c r="I38" s="122" t="s">
        <v>47</v>
      </c>
      <c r="J38" s="123"/>
      <c r="K38" s="124"/>
      <c r="L38" s="125">
        <f t="shared" si="2"/>
        <v>0</v>
      </c>
      <c r="M38" s="126" t="s">
        <v>47</v>
      </c>
      <c r="N38" s="119" t="s">
        <v>47</v>
      </c>
      <c r="O38" s="122" t="s">
        <v>47</v>
      </c>
      <c r="P38" s="74"/>
    </row>
    <row r="39" spans="1:16" ht="24.75" hidden="1" thickTop="1" x14ac:dyDescent="0.25">
      <c r="A39" s="76">
        <v>21383</v>
      </c>
      <c r="B39" s="127" t="s">
        <v>58</v>
      </c>
      <c r="C39" s="128">
        <f t="shared" si="1"/>
        <v>0</v>
      </c>
      <c r="D39" s="129" t="s">
        <v>47</v>
      </c>
      <c r="E39" s="130" t="s">
        <v>47</v>
      </c>
      <c r="F39" s="131" t="s">
        <v>47</v>
      </c>
      <c r="G39" s="129" t="s">
        <v>47</v>
      </c>
      <c r="H39" s="132" t="s">
        <v>47</v>
      </c>
      <c r="I39" s="133" t="s">
        <v>47</v>
      </c>
      <c r="J39" s="134"/>
      <c r="K39" s="135"/>
      <c r="L39" s="136">
        <f t="shared" si="2"/>
        <v>0</v>
      </c>
      <c r="M39" s="137" t="s">
        <v>47</v>
      </c>
      <c r="N39" s="138" t="s">
        <v>47</v>
      </c>
      <c r="O39" s="133" t="s">
        <v>47</v>
      </c>
      <c r="P39" s="85"/>
    </row>
    <row r="40" spans="1:16" s="41" customFormat="1" ht="24.75" hidden="1" thickTop="1" x14ac:dyDescent="0.25">
      <c r="A40" s="115">
        <v>21390</v>
      </c>
      <c r="B40" s="99" t="s">
        <v>59</v>
      </c>
      <c r="C40" s="100">
        <f t="shared" si="1"/>
        <v>0</v>
      </c>
      <c r="D40" s="104" t="s">
        <v>47</v>
      </c>
      <c r="E40" s="110" t="s">
        <v>47</v>
      </c>
      <c r="F40" s="111" t="s">
        <v>47</v>
      </c>
      <c r="G40" s="104" t="s">
        <v>47</v>
      </c>
      <c r="H40" s="105" t="s">
        <v>47</v>
      </c>
      <c r="I40" s="106" t="s">
        <v>47</v>
      </c>
      <c r="J40" s="112">
        <f>SUM(J41:J44)</f>
        <v>0</v>
      </c>
      <c r="K40" s="113">
        <f>SUM(K41:K44)</f>
        <v>0</v>
      </c>
      <c r="L40" s="114">
        <f t="shared" si="2"/>
        <v>0</v>
      </c>
      <c r="M40" s="107" t="s">
        <v>47</v>
      </c>
      <c r="N40" s="108" t="s">
        <v>47</v>
      </c>
      <c r="O40" s="106" t="s">
        <v>47</v>
      </c>
      <c r="P40" s="109"/>
    </row>
    <row r="41" spans="1:16" ht="24.75" hidden="1" thickTop="1" x14ac:dyDescent="0.25">
      <c r="A41" s="66">
        <v>21391</v>
      </c>
      <c r="B41" s="116" t="s">
        <v>60</v>
      </c>
      <c r="C41" s="117">
        <f t="shared" si="1"/>
        <v>0</v>
      </c>
      <c r="D41" s="118" t="s">
        <v>47</v>
      </c>
      <c r="E41" s="154" t="s">
        <v>47</v>
      </c>
      <c r="F41" s="155" t="s">
        <v>47</v>
      </c>
      <c r="G41" s="118" t="s">
        <v>47</v>
      </c>
      <c r="H41" s="121" t="s">
        <v>47</v>
      </c>
      <c r="I41" s="122" t="s">
        <v>47</v>
      </c>
      <c r="J41" s="123"/>
      <c r="K41" s="124"/>
      <c r="L41" s="125">
        <f t="shared" si="2"/>
        <v>0</v>
      </c>
      <c r="M41" s="126" t="s">
        <v>47</v>
      </c>
      <c r="N41" s="119" t="s">
        <v>47</v>
      </c>
      <c r="O41" s="122" t="s">
        <v>47</v>
      </c>
      <c r="P41" s="74"/>
    </row>
    <row r="42" spans="1:16" ht="15.75" hidden="1" thickTop="1" x14ac:dyDescent="0.25">
      <c r="A42" s="76">
        <v>21393</v>
      </c>
      <c r="B42" s="127" t="s">
        <v>61</v>
      </c>
      <c r="C42" s="128">
        <f t="shared" si="1"/>
        <v>0</v>
      </c>
      <c r="D42" s="129" t="s">
        <v>47</v>
      </c>
      <c r="E42" s="130" t="s">
        <v>47</v>
      </c>
      <c r="F42" s="131" t="s">
        <v>47</v>
      </c>
      <c r="G42" s="129" t="s">
        <v>47</v>
      </c>
      <c r="H42" s="132" t="s">
        <v>47</v>
      </c>
      <c r="I42" s="133" t="s">
        <v>47</v>
      </c>
      <c r="J42" s="134"/>
      <c r="K42" s="135"/>
      <c r="L42" s="136">
        <f t="shared" si="2"/>
        <v>0</v>
      </c>
      <c r="M42" s="137" t="s">
        <v>47</v>
      </c>
      <c r="N42" s="138" t="s">
        <v>47</v>
      </c>
      <c r="O42" s="133" t="s">
        <v>47</v>
      </c>
      <c r="P42" s="85"/>
    </row>
    <row r="43" spans="1:16" ht="15.75" hidden="1" thickTop="1" x14ac:dyDescent="0.25">
      <c r="A43" s="76">
        <v>21395</v>
      </c>
      <c r="B43" s="127" t="s">
        <v>62</v>
      </c>
      <c r="C43" s="128">
        <f t="shared" si="1"/>
        <v>0</v>
      </c>
      <c r="D43" s="129" t="s">
        <v>47</v>
      </c>
      <c r="E43" s="130" t="s">
        <v>47</v>
      </c>
      <c r="F43" s="131" t="s">
        <v>47</v>
      </c>
      <c r="G43" s="129" t="s">
        <v>47</v>
      </c>
      <c r="H43" s="132" t="s">
        <v>47</v>
      </c>
      <c r="I43" s="133" t="s">
        <v>47</v>
      </c>
      <c r="J43" s="134"/>
      <c r="K43" s="135"/>
      <c r="L43" s="136">
        <f t="shared" si="2"/>
        <v>0</v>
      </c>
      <c r="M43" s="137" t="s">
        <v>47</v>
      </c>
      <c r="N43" s="138" t="s">
        <v>47</v>
      </c>
      <c r="O43" s="133" t="s">
        <v>47</v>
      </c>
      <c r="P43" s="85"/>
    </row>
    <row r="44" spans="1:16" ht="24.75" hidden="1" thickTop="1" x14ac:dyDescent="0.25">
      <c r="A44" s="76">
        <v>21399</v>
      </c>
      <c r="B44" s="127" t="s">
        <v>63</v>
      </c>
      <c r="C44" s="128">
        <f t="shared" si="1"/>
        <v>0</v>
      </c>
      <c r="D44" s="129" t="s">
        <v>47</v>
      </c>
      <c r="E44" s="130" t="s">
        <v>47</v>
      </c>
      <c r="F44" s="131" t="s">
        <v>47</v>
      </c>
      <c r="G44" s="129" t="s">
        <v>47</v>
      </c>
      <c r="H44" s="132" t="s">
        <v>47</v>
      </c>
      <c r="I44" s="133" t="s">
        <v>47</v>
      </c>
      <c r="J44" s="134"/>
      <c r="K44" s="135"/>
      <c r="L44" s="136">
        <f t="shared" si="2"/>
        <v>0</v>
      </c>
      <c r="M44" s="137" t="s">
        <v>47</v>
      </c>
      <c r="N44" s="138" t="s">
        <v>47</v>
      </c>
      <c r="O44" s="133" t="s">
        <v>47</v>
      </c>
      <c r="P44" s="85"/>
    </row>
    <row r="45" spans="1:16" s="41" customFormat="1" ht="24.75" hidden="1" thickTop="1" x14ac:dyDescent="0.25">
      <c r="A45" s="115">
        <v>21420</v>
      </c>
      <c r="B45" s="99" t="s">
        <v>64</v>
      </c>
      <c r="C45" s="156">
        <f>F45</f>
        <v>0</v>
      </c>
      <c r="D45" s="157"/>
      <c r="E45" s="702"/>
      <c r="F45" s="634">
        <f>D45+E45</f>
        <v>0</v>
      </c>
      <c r="G45" s="104" t="s">
        <v>47</v>
      </c>
      <c r="H45" s="105" t="s">
        <v>47</v>
      </c>
      <c r="I45" s="106" t="s">
        <v>47</v>
      </c>
      <c r="J45" s="104" t="s">
        <v>47</v>
      </c>
      <c r="K45" s="105" t="s">
        <v>47</v>
      </c>
      <c r="L45" s="106" t="s">
        <v>47</v>
      </c>
      <c r="M45" s="107" t="s">
        <v>47</v>
      </c>
      <c r="N45" s="108" t="s">
        <v>47</v>
      </c>
      <c r="O45" s="106" t="s">
        <v>47</v>
      </c>
      <c r="P45" s="109"/>
    </row>
    <row r="46" spans="1:16" s="41" customFormat="1" ht="24.75" hidden="1" thickTop="1" x14ac:dyDescent="0.25">
      <c r="A46" s="159">
        <v>21490</v>
      </c>
      <c r="B46" s="160" t="s">
        <v>65</v>
      </c>
      <c r="C46" s="156">
        <f>F46+I46+L46</f>
        <v>0</v>
      </c>
      <c r="D46" s="161">
        <f>D47</f>
        <v>0</v>
      </c>
      <c r="E46" s="672">
        <f>E47</f>
        <v>0</v>
      </c>
      <c r="F46" s="774">
        <f>D46+E46</f>
        <v>0</v>
      </c>
      <c r="G46" s="161">
        <f>G47</f>
        <v>0</v>
      </c>
      <c r="H46" s="164">
        <f>H47</f>
        <v>0</v>
      </c>
      <c r="I46" s="165">
        <f>G46+H46</f>
        <v>0</v>
      </c>
      <c r="J46" s="161">
        <f>J47</f>
        <v>0</v>
      </c>
      <c r="K46" s="164">
        <f>K47</f>
        <v>0</v>
      </c>
      <c r="L46" s="165">
        <f>J46+K46</f>
        <v>0</v>
      </c>
      <c r="M46" s="107" t="s">
        <v>47</v>
      </c>
      <c r="N46" s="108" t="s">
        <v>47</v>
      </c>
      <c r="O46" s="106" t="s">
        <v>47</v>
      </c>
      <c r="P46" s="109"/>
    </row>
    <row r="47" spans="1:16" s="41" customFormat="1" ht="24.75" hidden="1" thickTop="1" x14ac:dyDescent="0.25">
      <c r="A47" s="76">
        <v>21499</v>
      </c>
      <c r="B47" s="127" t="s">
        <v>66</v>
      </c>
      <c r="C47" s="166">
        <f>F47+I47+L47</f>
        <v>0</v>
      </c>
      <c r="D47" s="68"/>
      <c r="E47" s="673"/>
      <c r="F47" s="625">
        <f>D47+E47</f>
        <v>0</v>
      </c>
      <c r="G47" s="167"/>
      <c r="H47" s="71"/>
      <c r="I47" s="72">
        <f>G47+H47</f>
        <v>0</v>
      </c>
      <c r="J47" s="68"/>
      <c r="K47" s="71"/>
      <c r="L47" s="72">
        <f>J47+K47</f>
        <v>0</v>
      </c>
      <c r="M47" s="152" t="s">
        <v>47</v>
      </c>
      <c r="N47" s="145" t="s">
        <v>47</v>
      </c>
      <c r="O47" s="148" t="s">
        <v>47</v>
      </c>
      <c r="P47" s="153"/>
    </row>
    <row r="48" spans="1:16" ht="24.75" hidden="1" thickTop="1" x14ac:dyDescent="0.25">
      <c r="A48" s="168">
        <v>23000</v>
      </c>
      <c r="B48" s="169" t="s">
        <v>67</v>
      </c>
      <c r="C48" s="156">
        <f>O48</f>
        <v>0</v>
      </c>
      <c r="D48" s="170" t="s">
        <v>47</v>
      </c>
      <c r="E48" s="669" t="s">
        <v>47</v>
      </c>
      <c r="F48" s="907" t="s">
        <v>47</v>
      </c>
      <c r="G48" s="170" t="s">
        <v>47</v>
      </c>
      <c r="H48" s="173" t="s">
        <v>47</v>
      </c>
      <c r="I48" s="174" t="s">
        <v>47</v>
      </c>
      <c r="J48" s="170" t="s">
        <v>47</v>
      </c>
      <c r="K48" s="173" t="s">
        <v>47</v>
      </c>
      <c r="L48" s="174" t="s">
        <v>47</v>
      </c>
      <c r="M48" s="175">
        <f>SUM(M49:M50)</f>
        <v>0</v>
      </c>
      <c r="N48" s="176">
        <f>SUM(N49:N50)</f>
        <v>0</v>
      </c>
      <c r="O48" s="177">
        <f>M48+N48</f>
        <v>0</v>
      </c>
      <c r="P48" s="109"/>
    </row>
    <row r="49" spans="1:16" ht="24.75" hidden="1" thickTop="1" x14ac:dyDescent="0.25">
      <c r="A49" s="178">
        <v>23410</v>
      </c>
      <c r="B49" s="179" t="s">
        <v>68</v>
      </c>
      <c r="C49" s="180">
        <f>O49</f>
        <v>0</v>
      </c>
      <c r="D49" s="181" t="s">
        <v>47</v>
      </c>
      <c r="E49" s="674" t="s">
        <v>47</v>
      </c>
      <c r="F49" s="908" t="s">
        <v>47</v>
      </c>
      <c r="G49" s="181" t="s">
        <v>47</v>
      </c>
      <c r="H49" s="184" t="s">
        <v>47</v>
      </c>
      <c r="I49" s="185" t="s">
        <v>47</v>
      </c>
      <c r="J49" s="181" t="s">
        <v>47</v>
      </c>
      <c r="K49" s="184" t="s">
        <v>47</v>
      </c>
      <c r="L49" s="185" t="s">
        <v>47</v>
      </c>
      <c r="M49" s="186"/>
      <c r="N49" s="187"/>
      <c r="O49" s="188">
        <f>M49+N49</f>
        <v>0</v>
      </c>
      <c r="P49" s="189"/>
    </row>
    <row r="50" spans="1:16" ht="24.75" hidden="1" thickTop="1" x14ac:dyDescent="0.25">
      <c r="A50" s="178">
        <v>23510</v>
      </c>
      <c r="B50" s="179" t="s">
        <v>69</v>
      </c>
      <c r="C50" s="180">
        <f>O50</f>
        <v>0</v>
      </c>
      <c r="D50" s="181" t="s">
        <v>47</v>
      </c>
      <c r="E50" s="674" t="s">
        <v>47</v>
      </c>
      <c r="F50" s="908" t="s">
        <v>47</v>
      </c>
      <c r="G50" s="181" t="s">
        <v>47</v>
      </c>
      <c r="H50" s="184" t="s">
        <v>47</v>
      </c>
      <c r="I50" s="185" t="s">
        <v>47</v>
      </c>
      <c r="J50" s="181" t="s">
        <v>47</v>
      </c>
      <c r="K50" s="184" t="s">
        <v>47</v>
      </c>
      <c r="L50" s="185" t="s">
        <v>47</v>
      </c>
      <c r="M50" s="186"/>
      <c r="N50" s="187"/>
      <c r="O50" s="188">
        <f>M50+N50</f>
        <v>0</v>
      </c>
      <c r="P50" s="189"/>
    </row>
    <row r="51" spans="1:16" ht="15.75" thickTop="1" x14ac:dyDescent="0.25">
      <c r="A51" s="190"/>
      <c r="B51" s="179"/>
      <c r="C51" s="191"/>
      <c r="D51" s="192"/>
      <c r="E51" s="193"/>
      <c r="F51" s="194"/>
      <c r="G51" s="192"/>
      <c r="H51" s="195"/>
      <c r="I51" s="185"/>
      <c r="J51" s="196"/>
      <c r="K51" s="197"/>
      <c r="L51" s="188"/>
      <c r="M51" s="186"/>
      <c r="N51" s="187"/>
      <c r="O51" s="188"/>
      <c r="P51" s="189"/>
    </row>
    <row r="52" spans="1:16" s="41" customFormat="1" ht="12" x14ac:dyDescent="0.25">
      <c r="A52" s="198"/>
      <c r="B52" s="199" t="s">
        <v>70</v>
      </c>
      <c r="C52" s="200"/>
      <c r="D52" s="201"/>
      <c r="E52" s="202"/>
      <c r="F52" s="203"/>
      <c r="G52" s="201"/>
      <c r="H52" s="204"/>
      <c r="I52" s="205"/>
      <c r="J52" s="201"/>
      <c r="K52" s="204"/>
      <c r="L52" s="205"/>
      <c r="M52" s="206"/>
      <c r="N52" s="207"/>
      <c r="O52" s="205"/>
      <c r="P52" s="208"/>
    </row>
    <row r="53" spans="1:16" s="41" customFormat="1" ht="12.75" thickBot="1" x14ac:dyDescent="0.3">
      <c r="A53" s="209"/>
      <c r="B53" s="42" t="s">
        <v>71</v>
      </c>
      <c r="C53" s="210">
        <f t="shared" ref="C53:C116" si="3">F53+I53+L53+O53</f>
        <v>450710</v>
      </c>
      <c r="D53" s="211">
        <f>SUM(D54,D284)</f>
        <v>466010</v>
      </c>
      <c r="E53" s="212">
        <f>SUM(E54,E284)</f>
        <v>-15300</v>
      </c>
      <c r="F53" s="213">
        <f t="shared" ref="F53:F116" si="4">D53+E53</f>
        <v>450710</v>
      </c>
      <c r="G53" s="211">
        <f>SUM(G54,G284)</f>
        <v>0</v>
      </c>
      <c r="H53" s="214">
        <f>SUM(H54,H284)</f>
        <v>0</v>
      </c>
      <c r="I53" s="215">
        <f t="shared" ref="I53:I116" si="5">G53+H53</f>
        <v>0</v>
      </c>
      <c r="J53" s="211">
        <f>SUM(J54,J284)</f>
        <v>0</v>
      </c>
      <c r="K53" s="214">
        <f>SUM(K54,K284)</f>
        <v>0</v>
      </c>
      <c r="L53" s="215">
        <f t="shared" ref="L53:L116" si="6">J53+K53</f>
        <v>0</v>
      </c>
      <c r="M53" s="216">
        <f>SUM(M54,M284)</f>
        <v>0</v>
      </c>
      <c r="N53" s="217">
        <f>SUM(N54,N284)</f>
        <v>0</v>
      </c>
      <c r="O53" s="215">
        <f t="shared" ref="O53:O116" si="7">M53+N53</f>
        <v>0</v>
      </c>
      <c r="P53" s="52"/>
    </row>
    <row r="54" spans="1:16" s="41" customFormat="1" ht="36.75" thickTop="1" x14ac:dyDescent="0.25">
      <c r="A54" s="218"/>
      <c r="B54" s="219" t="s">
        <v>72</v>
      </c>
      <c r="C54" s="220">
        <f t="shared" si="3"/>
        <v>450710</v>
      </c>
      <c r="D54" s="221">
        <f>SUM(D55,D197)</f>
        <v>466010</v>
      </c>
      <c r="E54" s="222">
        <f>SUM(E55,E197)</f>
        <v>-15300</v>
      </c>
      <c r="F54" s="223">
        <f t="shared" si="4"/>
        <v>450710</v>
      </c>
      <c r="G54" s="221">
        <f>SUM(G55,G197)</f>
        <v>0</v>
      </c>
      <c r="H54" s="224">
        <f>SUM(H55,H197)</f>
        <v>0</v>
      </c>
      <c r="I54" s="225">
        <f t="shared" si="5"/>
        <v>0</v>
      </c>
      <c r="J54" s="221">
        <f>SUM(J55,J197)</f>
        <v>0</v>
      </c>
      <c r="K54" s="224">
        <f>SUM(K55,K197)</f>
        <v>0</v>
      </c>
      <c r="L54" s="225">
        <f t="shared" si="6"/>
        <v>0</v>
      </c>
      <c r="M54" s="226">
        <f>SUM(M55,M197)</f>
        <v>0</v>
      </c>
      <c r="N54" s="227">
        <f>SUM(N55,N197)</f>
        <v>0</v>
      </c>
      <c r="O54" s="225">
        <f t="shared" si="7"/>
        <v>0</v>
      </c>
      <c r="P54" s="228"/>
    </row>
    <row r="55" spans="1:16" s="41" customFormat="1" ht="24" x14ac:dyDescent="0.25">
      <c r="A55" s="35"/>
      <c r="B55" s="30" t="s">
        <v>73</v>
      </c>
      <c r="C55" s="229">
        <f t="shared" si="3"/>
        <v>450710</v>
      </c>
      <c r="D55" s="230">
        <f>SUM(D56,D78,D176,D190)</f>
        <v>466010</v>
      </c>
      <c r="E55" s="231">
        <f>SUM(E56,E78,E176,E190)</f>
        <v>-15300</v>
      </c>
      <c r="F55" s="232">
        <f t="shared" si="4"/>
        <v>450710</v>
      </c>
      <c r="G55" s="230">
        <f>SUM(G56,G78,G176,G190)</f>
        <v>0</v>
      </c>
      <c r="H55" s="233">
        <f>SUM(H56,H78,H176,H190)</f>
        <v>0</v>
      </c>
      <c r="I55" s="234">
        <f t="shared" si="5"/>
        <v>0</v>
      </c>
      <c r="J55" s="230">
        <f>SUM(J56,J78,J176,J190)</f>
        <v>0</v>
      </c>
      <c r="K55" s="233">
        <f>SUM(K56,K78,K176,K190)</f>
        <v>0</v>
      </c>
      <c r="L55" s="234">
        <f t="shared" si="6"/>
        <v>0</v>
      </c>
      <c r="M55" s="53">
        <f>SUM(M56,M78,M176,M190)</f>
        <v>0</v>
      </c>
      <c r="N55" s="235">
        <f>SUM(N56,N78,N176,N190)</f>
        <v>0</v>
      </c>
      <c r="O55" s="234">
        <f t="shared" si="7"/>
        <v>0</v>
      </c>
      <c r="P55" s="236"/>
    </row>
    <row r="56" spans="1:16" s="41" customFormat="1" ht="12" hidden="1" x14ac:dyDescent="0.25">
      <c r="A56" s="237">
        <v>1000</v>
      </c>
      <c r="B56" s="237" t="s">
        <v>74</v>
      </c>
      <c r="C56" s="238">
        <f t="shared" si="3"/>
        <v>0</v>
      </c>
      <c r="D56" s="239">
        <f>SUM(D57,D70)</f>
        <v>0</v>
      </c>
      <c r="E56" s="240">
        <f>SUM(E57,E70)</f>
        <v>0</v>
      </c>
      <c r="F56" s="241">
        <f t="shared" si="4"/>
        <v>0</v>
      </c>
      <c r="G56" s="239">
        <f>SUM(G57,G70)</f>
        <v>0</v>
      </c>
      <c r="H56" s="242">
        <f>SUM(H57,H70)</f>
        <v>0</v>
      </c>
      <c r="I56" s="243">
        <f t="shared" si="5"/>
        <v>0</v>
      </c>
      <c r="J56" s="239">
        <f>SUM(J57,J70)</f>
        <v>0</v>
      </c>
      <c r="K56" s="242">
        <f>SUM(K57,K70)</f>
        <v>0</v>
      </c>
      <c r="L56" s="243">
        <f t="shared" si="6"/>
        <v>0</v>
      </c>
      <c r="M56" s="244">
        <f>SUM(M57,M70)</f>
        <v>0</v>
      </c>
      <c r="N56" s="245">
        <f>SUM(N57,N70)</f>
        <v>0</v>
      </c>
      <c r="O56" s="243">
        <f t="shared" si="7"/>
        <v>0</v>
      </c>
      <c r="P56" s="246"/>
    </row>
    <row r="57" spans="1:16" hidden="1" x14ac:dyDescent="0.25">
      <c r="A57" s="99">
        <v>1100</v>
      </c>
      <c r="B57" s="247" t="s">
        <v>75</v>
      </c>
      <c r="C57" s="100">
        <f t="shared" si="3"/>
        <v>0</v>
      </c>
      <c r="D57" s="112">
        <f>SUM(D58,D61,D69)</f>
        <v>0</v>
      </c>
      <c r="E57" s="248">
        <f>SUM(E58,E61,E69)</f>
        <v>0</v>
      </c>
      <c r="F57" s="249">
        <f t="shared" si="4"/>
        <v>0</v>
      </c>
      <c r="G57" s="112">
        <f>SUM(G58,G61,G69)</f>
        <v>0</v>
      </c>
      <c r="H57" s="113">
        <f>SUM(H58,H61,H69)</f>
        <v>0</v>
      </c>
      <c r="I57" s="114">
        <f t="shared" si="5"/>
        <v>0</v>
      </c>
      <c r="J57" s="112">
        <f>SUM(J58,J61,J69)</f>
        <v>0</v>
      </c>
      <c r="K57" s="113">
        <f>SUM(K58,K61,K69)</f>
        <v>0</v>
      </c>
      <c r="L57" s="114">
        <f t="shared" si="6"/>
        <v>0</v>
      </c>
      <c r="M57" s="250">
        <f>SUM(M58,M61,M69)</f>
        <v>0</v>
      </c>
      <c r="N57" s="251">
        <f>SUM(N58,N61,N69)</f>
        <v>0</v>
      </c>
      <c r="O57" s="252">
        <f t="shared" si="7"/>
        <v>0</v>
      </c>
      <c r="P57" s="253"/>
    </row>
    <row r="58" spans="1:16" hidden="1" x14ac:dyDescent="0.25">
      <c r="A58" s="254">
        <v>1110</v>
      </c>
      <c r="B58" s="179" t="s">
        <v>76</v>
      </c>
      <c r="C58" s="191">
        <f t="shared" si="3"/>
        <v>0</v>
      </c>
      <c r="D58" s="255">
        <f>SUM(D59:D60)</f>
        <v>0</v>
      </c>
      <c r="E58" s="256">
        <f>SUM(E59:E60)</f>
        <v>0</v>
      </c>
      <c r="F58" s="257">
        <f t="shared" si="4"/>
        <v>0</v>
      </c>
      <c r="G58" s="255">
        <f>SUM(G59:G60)</f>
        <v>0</v>
      </c>
      <c r="H58" s="258">
        <f>SUM(H59:H60)</f>
        <v>0</v>
      </c>
      <c r="I58" s="259">
        <f t="shared" si="5"/>
        <v>0</v>
      </c>
      <c r="J58" s="255">
        <f>SUM(J59:J60)</f>
        <v>0</v>
      </c>
      <c r="K58" s="258">
        <f>SUM(K59:K60)</f>
        <v>0</v>
      </c>
      <c r="L58" s="259">
        <f t="shared" si="6"/>
        <v>0</v>
      </c>
      <c r="M58" s="260">
        <f>SUM(M59:M60)</f>
        <v>0</v>
      </c>
      <c r="N58" s="261">
        <f>SUM(N59:N60)</f>
        <v>0</v>
      </c>
      <c r="O58" s="259">
        <f t="shared" si="7"/>
        <v>0</v>
      </c>
      <c r="P58" s="189"/>
    </row>
    <row r="59" spans="1:16" hidden="1" x14ac:dyDescent="0.25">
      <c r="A59" s="66">
        <v>1111</v>
      </c>
      <c r="B59" s="116" t="s">
        <v>77</v>
      </c>
      <c r="C59" s="117">
        <f t="shared" si="3"/>
        <v>0</v>
      </c>
      <c r="D59" s="123"/>
      <c r="E59" s="295"/>
      <c r="F59" s="296">
        <f t="shared" si="4"/>
        <v>0</v>
      </c>
      <c r="G59" s="123"/>
      <c r="H59" s="124"/>
      <c r="I59" s="125">
        <f t="shared" si="5"/>
        <v>0</v>
      </c>
      <c r="J59" s="123"/>
      <c r="K59" s="124"/>
      <c r="L59" s="125">
        <f t="shared" si="6"/>
        <v>0</v>
      </c>
      <c r="M59" s="264"/>
      <c r="N59" s="262"/>
      <c r="O59" s="125">
        <f t="shared" si="7"/>
        <v>0</v>
      </c>
      <c r="P59" s="74"/>
    </row>
    <row r="60" spans="1:16" ht="24" hidden="1" x14ac:dyDescent="0.25">
      <c r="A60" s="76">
        <v>1119</v>
      </c>
      <c r="B60" s="127" t="s">
        <v>78</v>
      </c>
      <c r="C60" s="128">
        <f t="shared" si="3"/>
        <v>0</v>
      </c>
      <c r="D60" s="134"/>
      <c r="E60" s="283"/>
      <c r="F60" s="279">
        <f t="shared" si="4"/>
        <v>0</v>
      </c>
      <c r="G60" s="134"/>
      <c r="H60" s="135"/>
      <c r="I60" s="136">
        <f t="shared" si="5"/>
        <v>0</v>
      </c>
      <c r="J60" s="134"/>
      <c r="K60" s="135"/>
      <c r="L60" s="136">
        <f t="shared" si="6"/>
        <v>0</v>
      </c>
      <c r="M60" s="284"/>
      <c r="N60" s="285"/>
      <c r="O60" s="136">
        <f t="shared" si="7"/>
        <v>0</v>
      </c>
      <c r="P60" s="85"/>
    </row>
    <row r="61" spans="1:16" ht="24" hidden="1" x14ac:dyDescent="0.25">
      <c r="A61" s="276">
        <v>1140</v>
      </c>
      <c r="B61" s="127" t="s">
        <v>79</v>
      </c>
      <c r="C61" s="128">
        <f t="shared" si="3"/>
        <v>0</v>
      </c>
      <c r="D61" s="277">
        <f>SUM(D62:D68)</f>
        <v>0</v>
      </c>
      <c r="E61" s="278">
        <f>SUM(E62:E68)</f>
        <v>0</v>
      </c>
      <c r="F61" s="279">
        <f t="shared" si="4"/>
        <v>0</v>
      </c>
      <c r="G61" s="277">
        <f>SUM(G62:G68)</f>
        <v>0</v>
      </c>
      <c r="H61" s="280">
        <f>SUM(H62:H68)</f>
        <v>0</v>
      </c>
      <c r="I61" s="136">
        <f t="shared" si="5"/>
        <v>0</v>
      </c>
      <c r="J61" s="277">
        <f>SUM(J62:J68)</f>
        <v>0</v>
      </c>
      <c r="K61" s="280">
        <f>SUM(K62:K68)</f>
        <v>0</v>
      </c>
      <c r="L61" s="136">
        <f t="shared" si="6"/>
        <v>0</v>
      </c>
      <c r="M61" s="281">
        <f>SUM(M62:M68)</f>
        <v>0</v>
      </c>
      <c r="N61" s="282">
        <f>SUM(N62:N68)</f>
        <v>0</v>
      </c>
      <c r="O61" s="136">
        <f t="shared" si="7"/>
        <v>0</v>
      </c>
      <c r="P61" s="85"/>
    </row>
    <row r="62" spans="1:16" hidden="1" x14ac:dyDescent="0.25">
      <c r="A62" s="76">
        <v>1141</v>
      </c>
      <c r="B62" s="127" t="s">
        <v>80</v>
      </c>
      <c r="C62" s="128">
        <f t="shared" si="3"/>
        <v>0</v>
      </c>
      <c r="D62" s="134"/>
      <c r="E62" s="283"/>
      <c r="F62" s="279">
        <f t="shared" si="4"/>
        <v>0</v>
      </c>
      <c r="G62" s="134"/>
      <c r="H62" s="135"/>
      <c r="I62" s="136">
        <f t="shared" si="5"/>
        <v>0</v>
      </c>
      <c r="J62" s="134"/>
      <c r="K62" s="135"/>
      <c r="L62" s="136">
        <f t="shared" si="6"/>
        <v>0</v>
      </c>
      <c r="M62" s="284"/>
      <c r="N62" s="285"/>
      <c r="O62" s="136">
        <f t="shared" si="7"/>
        <v>0</v>
      </c>
      <c r="P62" s="85"/>
    </row>
    <row r="63" spans="1:16" ht="24" hidden="1" x14ac:dyDescent="0.25">
      <c r="A63" s="76">
        <v>1142</v>
      </c>
      <c r="B63" s="127" t="s">
        <v>81</v>
      </c>
      <c r="C63" s="128">
        <f t="shared" si="3"/>
        <v>0</v>
      </c>
      <c r="D63" s="134"/>
      <c r="E63" s="283"/>
      <c r="F63" s="279">
        <f t="shared" si="4"/>
        <v>0</v>
      </c>
      <c r="G63" s="134"/>
      <c r="H63" s="135"/>
      <c r="I63" s="136">
        <f t="shared" si="5"/>
        <v>0</v>
      </c>
      <c r="J63" s="134"/>
      <c r="K63" s="135"/>
      <c r="L63" s="136">
        <f t="shared" si="6"/>
        <v>0</v>
      </c>
      <c r="M63" s="284"/>
      <c r="N63" s="285"/>
      <c r="O63" s="136">
        <f t="shared" si="7"/>
        <v>0</v>
      </c>
      <c r="P63" s="85"/>
    </row>
    <row r="64" spans="1:16" ht="24" hidden="1" x14ac:dyDescent="0.25">
      <c r="A64" s="76">
        <v>1145</v>
      </c>
      <c r="B64" s="127" t="s">
        <v>82</v>
      </c>
      <c r="C64" s="128">
        <f t="shared" si="3"/>
        <v>0</v>
      </c>
      <c r="D64" s="134"/>
      <c r="E64" s="283"/>
      <c r="F64" s="279">
        <f t="shared" si="4"/>
        <v>0</v>
      </c>
      <c r="G64" s="134"/>
      <c r="H64" s="135"/>
      <c r="I64" s="136">
        <f t="shared" si="5"/>
        <v>0</v>
      </c>
      <c r="J64" s="134"/>
      <c r="K64" s="135"/>
      <c r="L64" s="136">
        <f t="shared" si="6"/>
        <v>0</v>
      </c>
      <c r="M64" s="284"/>
      <c r="N64" s="285"/>
      <c r="O64" s="136">
        <f t="shared" si="7"/>
        <v>0</v>
      </c>
      <c r="P64" s="85"/>
    </row>
    <row r="65" spans="1:16" ht="24" hidden="1" x14ac:dyDescent="0.25">
      <c r="A65" s="76">
        <v>1146</v>
      </c>
      <c r="B65" s="127" t="s">
        <v>83</v>
      </c>
      <c r="C65" s="128">
        <f t="shared" si="3"/>
        <v>0</v>
      </c>
      <c r="D65" s="134"/>
      <c r="E65" s="283"/>
      <c r="F65" s="279">
        <f t="shared" si="4"/>
        <v>0</v>
      </c>
      <c r="G65" s="134"/>
      <c r="H65" s="135"/>
      <c r="I65" s="136">
        <f t="shared" si="5"/>
        <v>0</v>
      </c>
      <c r="J65" s="134"/>
      <c r="K65" s="135"/>
      <c r="L65" s="136">
        <f t="shared" si="6"/>
        <v>0</v>
      </c>
      <c r="M65" s="284"/>
      <c r="N65" s="285"/>
      <c r="O65" s="136">
        <f t="shared" si="7"/>
        <v>0</v>
      </c>
      <c r="P65" s="85"/>
    </row>
    <row r="66" spans="1:16" hidden="1" x14ac:dyDescent="0.25">
      <c r="A66" s="76">
        <v>1147</v>
      </c>
      <c r="B66" s="127" t="s">
        <v>84</v>
      </c>
      <c r="C66" s="128">
        <f t="shared" si="3"/>
        <v>0</v>
      </c>
      <c r="D66" s="134"/>
      <c r="E66" s="283"/>
      <c r="F66" s="279">
        <f t="shared" si="4"/>
        <v>0</v>
      </c>
      <c r="G66" s="134"/>
      <c r="H66" s="135"/>
      <c r="I66" s="136">
        <f t="shared" si="5"/>
        <v>0</v>
      </c>
      <c r="J66" s="134"/>
      <c r="K66" s="135"/>
      <c r="L66" s="136">
        <f t="shared" si="6"/>
        <v>0</v>
      </c>
      <c r="M66" s="284"/>
      <c r="N66" s="285"/>
      <c r="O66" s="136">
        <f t="shared" si="7"/>
        <v>0</v>
      </c>
      <c r="P66" s="85"/>
    </row>
    <row r="67" spans="1:16" hidden="1" x14ac:dyDescent="0.25">
      <c r="A67" s="76">
        <v>1148</v>
      </c>
      <c r="B67" s="127" t="s">
        <v>85</v>
      </c>
      <c r="C67" s="128">
        <f t="shared" si="3"/>
        <v>0</v>
      </c>
      <c r="D67" s="134"/>
      <c r="E67" s="283"/>
      <c r="F67" s="279">
        <f t="shared" si="4"/>
        <v>0</v>
      </c>
      <c r="G67" s="134"/>
      <c r="H67" s="135"/>
      <c r="I67" s="136">
        <f t="shared" si="5"/>
        <v>0</v>
      </c>
      <c r="J67" s="134"/>
      <c r="K67" s="135"/>
      <c r="L67" s="136">
        <f t="shared" si="6"/>
        <v>0</v>
      </c>
      <c r="M67" s="284"/>
      <c r="N67" s="285"/>
      <c r="O67" s="136">
        <f t="shared" si="7"/>
        <v>0</v>
      </c>
      <c r="P67" s="85"/>
    </row>
    <row r="68" spans="1:16" ht="36" hidden="1" x14ac:dyDescent="0.25">
      <c r="A68" s="76">
        <v>1149</v>
      </c>
      <c r="B68" s="127" t="s">
        <v>86</v>
      </c>
      <c r="C68" s="128">
        <f t="shared" si="3"/>
        <v>0</v>
      </c>
      <c r="D68" s="134"/>
      <c r="E68" s="283"/>
      <c r="F68" s="279">
        <f t="shared" si="4"/>
        <v>0</v>
      </c>
      <c r="G68" s="134"/>
      <c r="H68" s="135"/>
      <c r="I68" s="136">
        <f t="shared" si="5"/>
        <v>0</v>
      </c>
      <c r="J68" s="134"/>
      <c r="K68" s="135"/>
      <c r="L68" s="136">
        <f t="shared" si="6"/>
        <v>0</v>
      </c>
      <c r="M68" s="284"/>
      <c r="N68" s="285"/>
      <c r="O68" s="136">
        <f t="shared" si="7"/>
        <v>0</v>
      </c>
      <c r="P68" s="85"/>
    </row>
    <row r="69" spans="1:16" ht="36" hidden="1" x14ac:dyDescent="0.25">
      <c r="A69" s="254">
        <v>1150</v>
      </c>
      <c r="B69" s="179" t="s">
        <v>87</v>
      </c>
      <c r="C69" s="128">
        <f t="shared" si="3"/>
        <v>0</v>
      </c>
      <c r="D69" s="287"/>
      <c r="E69" s="288"/>
      <c r="F69" s="257">
        <f t="shared" si="4"/>
        <v>0</v>
      </c>
      <c r="G69" s="287"/>
      <c r="H69" s="289"/>
      <c r="I69" s="259">
        <f t="shared" si="5"/>
        <v>0</v>
      </c>
      <c r="J69" s="287"/>
      <c r="K69" s="289"/>
      <c r="L69" s="259">
        <f t="shared" si="6"/>
        <v>0</v>
      </c>
      <c r="M69" s="290"/>
      <c r="N69" s="291"/>
      <c r="O69" s="259">
        <f t="shared" si="7"/>
        <v>0</v>
      </c>
      <c r="P69" s="189"/>
    </row>
    <row r="70" spans="1:16" ht="36" hidden="1" x14ac:dyDescent="0.25">
      <c r="A70" s="99">
        <v>1200</v>
      </c>
      <c r="B70" s="247" t="s">
        <v>88</v>
      </c>
      <c r="C70" s="100">
        <f t="shared" si="3"/>
        <v>0</v>
      </c>
      <c r="D70" s="112">
        <f>SUM(D71:D72)</f>
        <v>0</v>
      </c>
      <c r="E70" s="248">
        <f>SUM(E71:E72)</f>
        <v>0</v>
      </c>
      <c r="F70" s="249">
        <f t="shared" si="4"/>
        <v>0</v>
      </c>
      <c r="G70" s="112">
        <f>SUM(G71:G72)</f>
        <v>0</v>
      </c>
      <c r="H70" s="113">
        <f>SUM(H71:H72)</f>
        <v>0</v>
      </c>
      <c r="I70" s="114">
        <f t="shared" si="5"/>
        <v>0</v>
      </c>
      <c r="J70" s="112">
        <f>SUM(J71:J72)</f>
        <v>0</v>
      </c>
      <c r="K70" s="113">
        <f>SUM(K71:K72)</f>
        <v>0</v>
      </c>
      <c r="L70" s="114">
        <f t="shared" si="6"/>
        <v>0</v>
      </c>
      <c r="M70" s="292">
        <f>SUM(M71:M72)</f>
        <v>0</v>
      </c>
      <c r="N70" s="293">
        <f>SUM(N71:N72)</f>
        <v>0</v>
      </c>
      <c r="O70" s="114">
        <f t="shared" si="7"/>
        <v>0</v>
      </c>
      <c r="P70" s="109"/>
    </row>
    <row r="71" spans="1:16" ht="24" hidden="1" x14ac:dyDescent="0.25">
      <c r="A71" s="1036">
        <v>1210</v>
      </c>
      <c r="B71" s="116" t="s">
        <v>89</v>
      </c>
      <c r="C71" s="117">
        <f t="shared" si="3"/>
        <v>0</v>
      </c>
      <c r="D71" s="123"/>
      <c r="E71" s="295"/>
      <c r="F71" s="296">
        <f t="shared" si="4"/>
        <v>0</v>
      </c>
      <c r="G71" s="123"/>
      <c r="H71" s="124"/>
      <c r="I71" s="125">
        <f t="shared" si="5"/>
        <v>0</v>
      </c>
      <c r="J71" s="123"/>
      <c r="K71" s="124"/>
      <c r="L71" s="125">
        <f t="shared" si="6"/>
        <v>0</v>
      </c>
      <c r="M71" s="264"/>
      <c r="N71" s="262"/>
      <c r="O71" s="125">
        <f t="shared" si="7"/>
        <v>0</v>
      </c>
      <c r="P71" s="74"/>
    </row>
    <row r="72" spans="1:16" ht="24" hidden="1" x14ac:dyDescent="0.25">
      <c r="A72" s="276">
        <v>1220</v>
      </c>
      <c r="B72" s="127" t="s">
        <v>90</v>
      </c>
      <c r="C72" s="128">
        <f t="shared" si="3"/>
        <v>0</v>
      </c>
      <c r="D72" s="277">
        <f>SUM(D73:D77)</f>
        <v>0</v>
      </c>
      <c r="E72" s="278">
        <f>SUM(E73:E77)</f>
        <v>0</v>
      </c>
      <c r="F72" s="279">
        <f t="shared" si="4"/>
        <v>0</v>
      </c>
      <c r="G72" s="277">
        <f>SUM(G73:G77)</f>
        <v>0</v>
      </c>
      <c r="H72" s="280">
        <f>SUM(H73:H77)</f>
        <v>0</v>
      </c>
      <c r="I72" s="136">
        <f t="shared" si="5"/>
        <v>0</v>
      </c>
      <c r="J72" s="277">
        <f>SUM(J73:J77)</f>
        <v>0</v>
      </c>
      <c r="K72" s="280">
        <f>SUM(K73:K77)</f>
        <v>0</v>
      </c>
      <c r="L72" s="136">
        <f t="shared" si="6"/>
        <v>0</v>
      </c>
      <c r="M72" s="281">
        <f>SUM(M73:M77)</f>
        <v>0</v>
      </c>
      <c r="N72" s="282">
        <f>SUM(N73:N77)</f>
        <v>0</v>
      </c>
      <c r="O72" s="136">
        <f t="shared" si="7"/>
        <v>0</v>
      </c>
      <c r="P72" s="85"/>
    </row>
    <row r="73" spans="1:16" ht="60" hidden="1" x14ac:dyDescent="0.25">
      <c r="A73" s="76">
        <v>1221</v>
      </c>
      <c r="B73" s="127" t="s">
        <v>91</v>
      </c>
      <c r="C73" s="128">
        <f t="shared" si="3"/>
        <v>0</v>
      </c>
      <c r="D73" s="134"/>
      <c r="E73" s="283"/>
      <c r="F73" s="279">
        <f t="shared" si="4"/>
        <v>0</v>
      </c>
      <c r="G73" s="134"/>
      <c r="H73" s="135"/>
      <c r="I73" s="136">
        <f t="shared" si="5"/>
        <v>0</v>
      </c>
      <c r="J73" s="134"/>
      <c r="K73" s="135"/>
      <c r="L73" s="136">
        <f t="shared" si="6"/>
        <v>0</v>
      </c>
      <c r="M73" s="284"/>
      <c r="N73" s="285"/>
      <c r="O73" s="136">
        <f t="shared" si="7"/>
        <v>0</v>
      </c>
      <c r="P73" s="85"/>
    </row>
    <row r="74" spans="1:16" hidden="1" x14ac:dyDescent="0.25">
      <c r="A74" s="76">
        <v>1223</v>
      </c>
      <c r="B74" s="127" t="s">
        <v>92</v>
      </c>
      <c r="C74" s="128">
        <f t="shared" si="3"/>
        <v>0</v>
      </c>
      <c r="D74" s="134"/>
      <c r="E74" s="283"/>
      <c r="F74" s="279">
        <f t="shared" si="4"/>
        <v>0</v>
      </c>
      <c r="G74" s="134"/>
      <c r="H74" s="135"/>
      <c r="I74" s="136">
        <f t="shared" si="5"/>
        <v>0</v>
      </c>
      <c r="J74" s="134"/>
      <c r="K74" s="135"/>
      <c r="L74" s="136">
        <f t="shared" si="6"/>
        <v>0</v>
      </c>
      <c r="M74" s="284"/>
      <c r="N74" s="285"/>
      <c r="O74" s="136">
        <f t="shared" si="7"/>
        <v>0</v>
      </c>
      <c r="P74" s="85"/>
    </row>
    <row r="75" spans="1:16" hidden="1" x14ac:dyDescent="0.25">
      <c r="A75" s="76">
        <v>1225</v>
      </c>
      <c r="B75" s="127" t="s">
        <v>93</v>
      </c>
      <c r="C75" s="128">
        <f t="shared" si="3"/>
        <v>0</v>
      </c>
      <c r="D75" s="134"/>
      <c r="E75" s="283"/>
      <c r="F75" s="279">
        <f t="shared" si="4"/>
        <v>0</v>
      </c>
      <c r="G75" s="134"/>
      <c r="H75" s="135"/>
      <c r="I75" s="136">
        <f t="shared" si="5"/>
        <v>0</v>
      </c>
      <c r="J75" s="134"/>
      <c r="K75" s="135"/>
      <c r="L75" s="136">
        <f t="shared" si="6"/>
        <v>0</v>
      </c>
      <c r="M75" s="284"/>
      <c r="N75" s="285"/>
      <c r="O75" s="136">
        <f t="shared" si="7"/>
        <v>0</v>
      </c>
      <c r="P75" s="85"/>
    </row>
    <row r="76" spans="1:16" ht="36" hidden="1" x14ac:dyDescent="0.25">
      <c r="A76" s="76">
        <v>1227</v>
      </c>
      <c r="B76" s="127" t="s">
        <v>94</v>
      </c>
      <c r="C76" s="128">
        <f t="shared" si="3"/>
        <v>0</v>
      </c>
      <c r="D76" s="134"/>
      <c r="E76" s="283"/>
      <c r="F76" s="279">
        <f t="shared" si="4"/>
        <v>0</v>
      </c>
      <c r="G76" s="134"/>
      <c r="H76" s="135"/>
      <c r="I76" s="136">
        <f t="shared" si="5"/>
        <v>0</v>
      </c>
      <c r="J76" s="134"/>
      <c r="K76" s="135"/>
      <c r="L76" s="136">
        <f t="shared" si="6"/>
        <v>0</v>
      </c>
      <c r="M76" s="284"/>
      <c r="N76" s="285"/>
      <c r="O76" s="136">
        <f t="shared" si="7"/>
        <v>0</v>
      </c>
      <c r="P76" s="85"/>
    </row>
    <row r="77" spans="1:16" ht="60" hidden="1" x14ac:dyDescent="0.25">
      <c r="A77" s="76">
        <v>1228</v>
      </c>
      <c r="B77" s="127" t="s">
        <v>95</v>
      </c>
      <c r="C77" s="128">
        <f t="shared" si="3"/>
        <v>0</v>
      </c>
      <c r="D77" s="134"/>
      <c r="E77" s="283"/>
      <c r="F77" s="279">
        <f t="shared" si="4"/>
        <v>0</v>
      </c>
      <c r="G77" s="134"/>
      <c r="H77" s="135"/>
      <c r="I77" s="136">
        <f t="shared" si="5"/>
        <v>0</v>
      </c>
      <c r="J77" s="134"/>
      <c r="K77" s="135"/>
      <c r="L77" s="136">
        <f t="shared" si="6"/>
        <v>0</v>
      </c>
      <c r="M77" s="284"/>
      <c r="N77" s="285"/>
      <c r="O77" s="136">
        <f t="shared" si="7"/>
        <v>0</v>
      </c>
      <c r="P77" s="85"/>
    </row>
    <row r="78" spans="1:16" hidden="1" x14ac:dyDescent="0.25">
      <c r="A78" s="237">
        <v>2000</v>
      </c>
      <c r="B78" s="237" t="s">
        <v>96</v>
      </c>
      <c r="C78" s="238">
        <f t="shared" si="3"/>
        <v>0</v>
      </c>
      <c r="D78" s="239">
        <f>SUM(D79,D86,D133,D167,D168,D175)</f>
        <v>0</v>
      </c>
      <c r="E78" s="240">
        <f>SUM(E79,E86,E133,E167,E168,E175)</f>
        <v>0</v>
      </c>
      <c r="F78" s="241">
        <f t="shared" si="4"/>
        <v>0</v>
      </c>
      <c r="G78" s="239">
        <f>SUM(G79,G86,G133,G167,G168,G175)</f>
        <v>0</v>
      </c>
      <c r="H78" s="242">
        <f>SUM(H79,H86,H133,H167,H168,H175)</f>
        <v>0</v>
      </c>
      <c r="I78" s="243">
        <f t="shared" si="5"/>
        <v>0</v>
      </c>
      <c r="J78" s="239">
        <f>SUM(J79,J86,J133,J167,J168,J175)</f>
        <v>0</v>
      </c>
      <c r="K78" s="242">
        <f>SUM(K79,K86,K133,K167,K168,K175)</f>
        <v>0</v>
      </c>
      <c r="L78" s="243">
        <f t="shared" si="6"/>
        <v>0</v>
      </c>
      <c r="M78" s="244">
        <f>SUM(M79,M86,M133,M167,M168,M175)</f>
        <v>0</v>
      </c>
      <c r="N78" s="245">
        <f>SUM(N79,N86,N133,N167,N168,N175)</f>
        <v>0</v>
      </c>
      <c r="O78" s="243">
        <f t="shared" si="7"/>
        <v>0</v>
      </c>
      <c r="P78" s="246"/>
    </row>
    <row r="79" spans="1:16" ht="24" hidden="1" x14ac:dyDescent="0.25">
      <c r="A79" s="99">
        <v>2100</v>
      </c>
      <c r="B79" s="247" t="s">
        <v>97</v>
      </c>
      <c r="C79" s="100">
        <f t="shared" si="3"/>
        <v>0</v>
      </c>
      <c r="D79" s="112">
        <f>SUM(D80,D83)</f>
        <v>0</v>
      </c>
      <c r="E79" s="248">
        <f>SUM(E80,E83)</f>
        <v>0</v>
      </c>
      <c r="F79" s="249">
        <f t="shared" si="4"/>
        <v>0</v>
      </c>
      <c r="G79" s="112">
        <f>SUM(G80,G83)</f>
        <v>0</v>
      </c>
      <c r="H79" s="113">
        <f>SUM(H80,H83)</f>
        <v>0</v>
      </c>
      <c r="I79" s="114">
        <f t="shared" si="5"/>
        <v>0</v>
      </c>
      <c r="J79" s="112">
        <f>SUM(J80,J83)</f>
        <v>0</v>
      </c>
      <c r="K79" s="113">
        <f>SUM(K80,K83)</f>
        <v>0</v>
      </c>
      <c r="L79" s="114">
        <f t="shared" si="6"/>
        <v>0</v>
      </c>
      <c r="M79" s="292">
        <f>SUM(M80,M83)</f>
        <v>0</v>
      </c>
      <c r="N79" s="293">
        <f>SUM(N80,N83)</f>
        <v>0</v>
      </c>
      <c r="O79" s="114">
        <f t="shared" si="7"/>
        <v>0</v>
      </c>
      <c r="P79" s="109"/>
    </row>
    <row r="80" spans="1:16" ht="24" hidden="1" x14ac:dyDescent="0.25">
      <c r="A80" s="1036">
        <v>2110</v>
      </c>
      <c r="B80" s="116" t="s">
        <v>98</v>
      </c>
      <c r="C80" s="117">
        <f t="shared" si="3"/>
        <v>0</v>
      </c>
      <c r="D80" s="297">
        <f>SUM(D81:D82)</f>
        <v>0</v>
      </c>
      <c r="E80" s="298">
        <f>SUM(E81:E82)</f>
        <v>0</v>
      </c>
      <c r="F80" s="296">
        <f t="shared" si="4"/>
        <v>0</v>
      </c>
      <c r="G80" s="297">
        <f>SUM(G81:G82)</f>
        <v>0</v>
      </c>
      <c r="H80" s="299">
        <f>SUM(H81:H82)</f>
        <v>0</v>
      </c>
      <c r="I80" s="125">
        <f t="shared" si="5"/>
        <v>0</v>
      </c>
      <c r="J80" s="297">
        <f>SUM(J81:J82)</f>
        <v>0</v>
      </c>
      <c r="K80" s="299">
        <f>SUM(K81:K82)</f>
        <v>0</v>
      </c>
      <c r="L80" s="125">
        <f t="shared" si="6"/>
        <v>0</v>
      </c>
      <c r="M80" s="300">
        <f>SUM(M81:M82)</f>
        <v>0</v>
      </c>
      <c r="N80" s="301">
        <f>SUM(N81:N82)</f>
        <v>0</v>
      </c>
      <c r="O80" s="125">
        <f t="shared" si="7"/>
        <v>0</v>
      </c>
      <c r="P80" s="74"/>
    </row>
    <row r="81" spans="1:16" hidden="1" x14ac:dyDescent="0.25">
      <c r="A81" s="76">
        <v>2111</v>
      </c>
      <c r="B81" s="127" t="s">
        <v>99</v>
      </c>
      <c r="C81" s="128">
        <f t="shared" si="3"/>
        <v>0</v>
      </c>
      <c r="D81" s="134"/>
      <c r="E81" s="283"/>
      <c r="F81" s="279">
        <f t="shared" si="4"/>
        <v>0</v>
      </c>
      <c r="G81" s="134"/>
      <c r="H81" s="135"/>
      <c r="I81" s="136">
        <f t="shared" si="5"/>
        <v>0</v>
      </c>
      <c r="J81" s="134"/>
      <c r="K81" s="135"/>
      <c r="L81" s="136">
        <f t="shared" si="6"/>
        <v>0</v>
      </c>
      <c r="M81" s="284"/>
      <c r="N81" s="285"/>
      <c r="O81" s="136">
        <f t="shared" si="7"/>
        <v>0</v>
      </c>
      <c r="P81" s="85"/>
    </row>
    <row r="82" spans="1:16" ht="24" hidden="1" x14ac:dyDescent="0.25">
      <c r="A82" s="76">
        <v>2112</v>
      </c>
      <c r="B82" s="127" t="s">
        <v>100</v>
      </c>
      <c r="C82" s="128">
        <f t="shared" si="3"/>
        <v>0</v>
      </c>
      <c r="D82" s="134"/>
      <c r="E82" s="283"/>
      <c r="F82" s="279">
        <f t="shared" si="4"/>
        <v>0</v>
      </c>
      <c r="G82" s="134"/>
      <c r="H82" s="135"/>
      <c r="I82" s="136">
        <f t="shared" si="5"/>
        <v>0</v>
      </c>
      <c r="J82" s="134"/>
      <c r="K82" s="135"/>
      <c r="L82" s="136">
        <f t="shared" si="6"/>
        <v>0</v>
      </c>
      <c r="M82" s="284"/>
      <c r="N82" s="285"/>
      <c r="O82" s="136">
        <f t="shared" si="7"/>
        <v>0</v>
      </c>
      <c r="P82" s="85"/>
    </row>
    <row r="83" spans="1:16" ht="24" hidden="1" x14ac:dyDescent="0.25">
      <c r="A83" s="276">
        <v>2120</v>
      </c>
      <c r="B83" s="127" t="s">
        <v>101</v>
      </c>
      <c r="C83" s="128">
        <f t="shared" si="3"/>
        <v>0</v>
      </c>
      <c r="D83" s="277">
        <f>SUM(D84:D85)</f>
        <v>0</v>
      </c>
      <c r="E83" s="278">
        <f>SUM(E84:E85)</f>
        <v>0</v>
      </c>
      <c r="F83" s="279">
        <f t="shared" si="4"/>
        <v>0</v>
      </c>
      <c r="G83" s="277">
        <f>SUM(G84:G85)</f>
        <v>0</v>
      </c>
      <c r="H83" s="280">
        <f>SUM(H84:H85)</f>
        <v>0</v>
      </c>
      <c r="I83" s="136">
        <f t="shared" si="5"/>
        <v>0</v>
      </c>
      <c r="J83" s="277">
        <f>SUM(J84:J85)</f>
        <v>0</v>
      </c>
      <c r="K83" s="280">
        <f>SUM(K84:K85)</f>
        <v>0</v>
      </c>
      <c r="L83" s="136">
        <f t="shared" si="6"/>
        <v>0</v>
      </c>
      <c r="M83" s="281">
        <f>SUM(M84:M85)</f>
        <v>0</v>
      </c>
      <c r="N83" s="282">
        <f>SUM(N84:N85)</f>
        <v>0</v>
      </c>
      <c r="O83" s="136">
        <f t="shared" si="7"/>
        <v>0</v>
      </c>
      <c r="P83" s="85"/>
    </row>
    <row r="84" spans="1:16" hidden="1" x14ac:dyDescent="0.25">
      <c r="A84" s="76">
        <v>2121</v>
      </c>
      <c r="B84" s="127" t="s">
        <v>99</v>
      </c>
      <c r="C84" s="128">
        <f t="shared" si="3"/>
        <v>0</v>
      </c>
      <c r="D84" s="134"/>
      <c r="E84" s="283"/>
      <c r="F84" s="279">
        <f t="shared" si="4"/>
        <v>0</v>
      </c>
      <c r="G84" s="134"/>
      <c r="H84" s="135"/>
      <c r="I84" s="136">
        <f t="shared" si="5"/>
        <v>0</v>
      </c>
      <c r="J84" s="134"/>
      <c r="K84" s="135"/>
      <c r="L84" s="136">
        <f t="shared" si="6"/>
        <v>0</v>
      </c>
      <c r="M84" s="284"/>
      <c r="N84" s="285"/>
      <c r="O84" s="136">
        <f t="shared" si="7"/>
        <v>0</v>
      </c>
      <c r="P84" s="85"/>
    </row>
    <row r="85" spans="1:16" ht="24" hidden="1" x14ac:dyDescent="0.25">
      <c r="A85" s="76">
        <v>2122</v>
      </c>
      <c r="B85" s="127" t="s">
        <v>100</v>
      </c>
      <c r="C85" s="128">
        <f t="shared" si="3"/>
        <v>0</v>
      </c>
      <c r="D85" s="134"/>
      <c r="E85" s="283"/>
      <c r="F85" s="279">
        <f t="shared" si="4"/>
        <v>0</v>
      </c>
      <c r="G85" s="134"/>
      <c r="H85" s="135"/>
      <c r="I85" s="136">
        <f t="shared" si="5"/>
        <v>0</v>
      </c>
      <c r="J85" s="134"/>
      <c r="K85" s="135"/>
      <c r="L85" s="136">
        <f t="shared" si="6"/>
        <v>0</v>
      </c>
      <c r="M85" s="284"/>
      <c r="N85" s="285"/>
      <c r="O85" s="136">
        <f t="shared" si="7"/>
        <v>0</v>
      </c>
      <c r="P85" s="85"/>
    </row>
    <row r="86" spans="1:16" hidden="1" x14ac:dyDescent="0.25">
      <c r="A86" s="99">
        <v>2200</v>
      </c>
      <c r="B86" s="247" t="s">
        <v>102</v>
      </c>
      <c r="C86" s="302">
        <f t="shared" si="3"/>
        <v>0</v>
      </c>
      <c r="D86" s="112">
        <f>SUM(D87,D92,D98,D106,D115,D119,D125,D131)</f>
        <v>0</v>
      </c>
      <c r="E86" s="248">
        <f>SUM(E87,E92,E98,E106,E115,E119,E125,E131)</f>
        <v>0</v>
      </c>
      <c r="F86" s="249">
        <f t="shared" si="4"/>
        <v>0</v>
      </c>
      <c r="G86" s="112">
        <f>SUM(G87,G92,G98,G106,G115,G119,G125,G131)</f>
        <v>0</v>
      </c>
      <c r="H86" s="113">
        <f>SUM(H87,H92,H98,H106,H115,H119,H125,H131)</f>
        <v>0</v>
      </c>
      <c r="I86" s="114">
        <f t="shared" si="5"/>
        <v>0</v>
      </c>
      <c r="J86" s="112">
        <f>SUM(J87,J92,J98,J106,J115,J119,J125,J131)</f>
        <v>0</v>
      </c>
      <c r="K86" s="113">
        <f>SUM(K87,K92,K98,K106,K115,K119,K125,K131)</f>
        <v>0</v>
      </c>
      <c r="L86" s="114">
        <f t="shared" si="6"/>
        <v>0</v>
      </c>
      <c r="M86" s="303">
        <f>SUM(M87,M92,M98,M106,M115,M119,M125,M131)</f>
        <v>0</v>
      </c>
      <c r="N86" s="304">
        <f>SUM(N87,N92,N98,N106,N115,N119,N125,N131)</f>
        <v>0</v>
      </c>
      <c r="O86" s="305">
        <f t="shared" si="7"/>
        <v>0</v>
      </c>
      <c r="P86" s="306"/>
    </row>
    <row r="87" spans="1:16" ht="24" hidden="1" x14ac:dyDescent="0.25">
      <c r="A87" s="254">
        <v>2210</v>
      </c>
      <c r="B87" s="179" t="s">
        <v>103</v>
      </c>
      <c r="C87" s="191">
        <f t="shared" si="3"/>
        <v>0</v>
      </c>
      <c r="D87" s="255">
        <f>SUM(D88:D91)</f>
        <v>0</v>
      </c>
      <c r="E87" s="256">
        <f>SUM(E88:E91)</f>
        <v>0</v>
      </c>
      <c r="F87" s="257">
        <f t="shared" si="4"/>
        <v>0</v>
      </c>
      <c r="G87" s="255">
        <f>SUM(G88:G91)</f>
        <v>0</v>
      </c>
      <c r="H87" s="258">
        <f>SUM(H88:H91)</f>
        <v>0</v>
      </c>
      <c r="I87" s="259">
        <f t="shared" si="5"/>
        <v>0</v>
      </c>
      <c r="J87" s="255">
        <f>SUM(J88:J91)</f>
        <v>0</v>
      </c>
      <c r="K87" s="258">
        <f>SUM(K88:K91)</f>
        <v>0</v>
      </c>
      <c r="L87" s="259">
        <f t="shared" si="6"/>
        <v>0</v>
      </c>
      <c r="M87" s="260">
        <f>SUM(M88:M91)</f>
        <v>0</v>
      </c>
      <c r="N87" s="261">
        <f>SUM(N88:N91)</f>
        <v>0</v>
      </c>
      <c r="O87" s="259">
        <f t="shared" si="7"/>
        <v>0</v>
      </c>
      <c r="P87" s="189"/>
    </row>
    <row r="88" spans="1:16" ht="24" hidden="1" x14ac:dyDescent="0.25">
      <c r="A88" s="66">
        <v>2211</v>
      </c>
      <c r="B88" s="116" t="s">
        <v>104</v>
      </c>
      <c r="C88" s="128">
        <f t="shared" si="3"/>
        <v>0</v>
      </c>
      <c r="D88" s="123"/>
      <c r="E88" s="295"/>
      <c r="F88" s="296">
        <f t="shared" si="4"/>
        <v>0</v>
      </c>
      <c r="G88" s="123"/>
      <c r="H88" s="124"/>
      <c r="I88" s="125">
        <f t="shared" si="5"/>
        <v>0</v>
      </c>
      <c r="J88" s="123"/>
      <c r="K88" s="124"/>
      <c r="L88" s="125">
        <f t="shared" si="6"/>
        <v>0</v>
      </c>
      <c r="M88" s="264"/>
      <c r="N88" s="262"/>
      <c r="O88" s="125">
        <f t="shared" si="7"/>
        <v>0</v>
      </c>
      <c r="P88" s="74"/>
    </row>
    <row r="89" spans="1:16" ht="36" hidden="1" x14ac:dyDescent="0.25">
      <c r="A89" s="76">
        <v>2212</v>
      </c>
      <c r="B89" s="127" t="s">
        <v>105</v>
      </c>
      <c r="C89" s="128">
        <f t="shared" si="3"/>
        <v>0</v>
      </c>
      <c r="D89" s="134"/>
      <c r="E89" s="283"/>
      <c r="F89" s="279">
        <f t="shared" si="4"/>
        <v>0</v>
      </c>
      <c r="G89" s="134"/>
      <c r="H89" s="135"/>
      <c r="I89" s="136">
        <f t="shared" si="5"/>
        <v>0</v>
      </c>
      <c r="J89" s="134"/>
      <c r="K89" s="135"/>
      <c r="L89" s="136">
        <f t="shared" si="6"/>
        <v>0</v>
      </c>
      <c r="M89" s="284"/>
      <c r="N89" s="285"/>
      <c r="O89" s="136">
        <f t="shared" si="7"/>
        <v>0</v>
      </c>
      <c r="P89" s="85"/>
    </row>
    <row r="90" spans="1:16" ht="24" hidden="1" x14ac:dyDescent="0.25">
      <c r="A90" s="76">
        <v>2214</v>
      </c>
      <c r="B90" s="127" t="s">
        <v>106</v>
      </c>
      <c r="C90" s="128">
        <f t="shared" si="3"/>
        <v>0</v>
      </c>
      <c r="D90" s="134"/>
      <c r="E90" s="283"/>
      <c r="F90" s="279">
        <f t="shared" si="4"/>
        <v>0</v>
      </c>
      <c r="G90" s="134"/>
      <c r="H90" s="135"/>
      <c r="I90" s="136">
        <f t="shared" si="5"/>
        <v>0</v>
      </c>
      <c r="J90" s="134"/>
      <c r="K90" s="135"/>
      <c r="L90" s="136">
        <f t="shared" si="6"/>
        <v>0</v>
      </c>
      <c r="M90" s="284"/>
      <c r="N90" s="285"/>
      <c r="O90" s="136">
        <f t="shared" si="7"/>
        <v>0</v>
      </c>
      <c r="P90" s="85"/>
    </row>
    <row r="91" spans="1:16" hidden="1" x14ac:dyDescent="0.25">
      <c r="A91" s="76">
        <v>2219</v>
      </c>
      <c r="B91" s="127" t="s">
        <v>107</v>
      </c>
      <c r="C91" s="128">
        <f t="shared" si="3"/>
        <v>0</v>
      </c>
      <c r="D91" s="134"/>
      <c r="E91" s="283"/>
      <c r="F91" s="279">
        <f t="shared" si="4"/>
        <v>0</v>
      </c>
      <c r="G91" s="134"/>
      <c r="H91" s="135"/>
      <c r="I91" s="136">
        <f t="shared" si="5"/>
        <v>0</v>
      </c>
      <c r="J91" s="134"/>
      <c r="K91" s="135"/>
      <c r="L91" s="136">
        <f t="shared" si="6"/>
        <v>0</v>
      </c>
      <c r="M91" s="284"/>
      <c r="N91" s="285"/>
      <c r="O91" s="136">
        <f t="shared" si="7"/>
        <v>0</v>
      </c>
      <c r="P91" s="85"/>
    </row>
    <row r="92" spans="1:16" ht="24" hidden="1" x14ac:dyDescent="0.25">
      <c r="A92" s="276">
        <v>2220</v>
      </c>
      <c r="B92" s="127" t="s">
        <v>108</v>
      </c>
      <c r="C92" s="128">
        <f t="shared" si="3"/>
        <v>0</v>
      </c>
      <c r="D92" s="277">
        <f>SUM(D93:D97)</f>
        <v>0</v>
      </c>
      <c r="E92" s="278">
        <f>SUM(E93:E97)</f>
        <v>0</v>
      </c>
      <c r="F92" s="279">
        <f t="shared" si="4"/>
        <v>0</v>
      </c>
      <c r="G92" s="277">
        <f>SUM(G93:G97)</f>
        <v>0</v>
      </c>
      <c r="H92" s="280">
        <f>SUM(H93:H97)</f>
        <v>0</v>
      </c>
      <c r="I92" s="136">
        <f t="shared" si="5"/>
        <v>0</v>
      </c>
      <c r="J92" s="277">
        <f>SUM(J93:J97)</f>
        <v>0</v>
      </c>
      <c r="K92" s="280">
        <f>SUM(K93:K97)</f>
        <v>0</v>
      </c>
      <c r="L92" s="136">
        <f t="shared" si="6"/>
        <v>0</v>
      </c>
      <c r="M92" s="281">
        <f>SUM(M93:M97)</f>
        <v>0</v>
      </c>
      <c r="N92" s="282">
        <f>SUM(N93:N97)</f>
        <v>0</v>
      </c>
      <c r="O92" s="136">
        <f t="shared" si="7"/>
        <v>0</v>
      </c>
      <c r="P92" s="85"/>
    </row>
    <row r="93" spans="1:16" hidden="1" x14ac:dyDescent="0.25">
      <c r="A93" s="76">
        <v>2221</v>
      </c>
      <c r="B93" s="127" t="s">
        <v>109</v>
      </c>
      <c r="C93" s="128">
        <f t="shared" si="3"/>
        <v>0</v>
      </c>
      <c r="D93" s="134"/>
      <c r="E93" s="283"/>
      <c r="F93" s="279">
        <f t="shared" si="4"/>
        <v>0</v>
      </c>
      <c r="G93" s="134"/>
      <c r="H93" s="135"/>
      <c r="I93" s="136">
        <f t="shared" si="5"/>
        <v>0</v>
      </c>
      <c r="J93" s="134"/>
      <c r="K93" s="135"/>
      <c r="L93" s="136">
        <f t="shared" si="6"/>
        <v>0</v>
      </c>
      <c r="M93" s="284"/>
      <c r="N93" s="285"/>
      <c r="O93" s="136">
        <f t="shared" si="7"/>
        <v>0</v>
      </c>
      <c r="P93" s="85"/>
    </row>
    <row r="94" spans="1:16" hidden="1" x14ac:dyDescent="0.25">
      <c r="A94" s="76">
        <v>2222</v>
      </c>
      <c r="B94" s="127" t="s">
        <v>110</v>
      </c>
      <c r="C94" s="128">
        <f t="shared" si="3"/>
        <v>0</v>
      </c>
      <c r="D94" s="134"/>
      <c r="E94" s="283"/>
      <c r="F94" s="279">
        <f t="shared" si="4"/>
        <v>0</v>
      </c>
      <c r="G94" s="134"/>
      <c r="H94" s="135"/>
      <c r="I94" s="136">
        <f t="shared" si="5"/>
        <v>0</v>
      </c>
      <c r="J94" s="134"/>
      <c r="K94" s="135"/>
      <c r="L94" s="136">
        <f t="shared" si="6"/>
        <v>0</v>
      </c>
      <c r="M94" s="284"/>
      <c r="N94" s="285"/>
      <c r="O94" s="136">
        <f t="shared" si="7"/>
        <v>0</v>
      </c>
      <c r="P94" s="85"/>
    </row>
    <row r="95" spans="1:16" hidden="1" x14ac:dyDescent="0.25">
      <c r="A95" s="76">
        <v>2223</v>
      </c>
      <c r="B95" s="127" t="s">
        <v>111</v>
      </c>
      <c r="C95" s="128">
        <f t="shared" si="3"/>
        <v>0</v>
      </c>
      <c r="D95" s="134"/>
      <c r="E95" s="283"/>
      <c r="F95" s="279">
        <f t="shared" si="4"/>
        <v>0</v>
      </c>
      <c r="G95" s="134"/>
      <c r="H95" s="135"/>
      <c r="I95" s="136">
        <f t="shared" si="5"/>
        <v>0</v>
      </c>
      <c r="J95" s="134"/>
      <c r="K95" s="135"/>
      <c r="L95" s="136">
        <f t="shared" si="6"/>
        <v>0</v>
      </c>
      <c r="M95" s="284"/>
      <c r="N95" s="285"/>
      <c r="O95" s="136">
        <f t="shared" si="7"/>
        <v>0</v>
      </c>
      <c r="P95" s="85"/>
    </row>
    <row r="96" spans="1:16" ht="48" hidden="1" x14ac:dyDescent="0.25">
      <c r="A96" s="76">
        <v>2224</v>
      </c>
      <c r="B96" s="127" t="s">
        <v>112</v>
      </c>
      <c r="C96" s="128">
        <f t="shared" si="3"/>
        <v>0</v>
      </c>
      <c r="D96" s="134"/>
      <c r="E96" s="283"/>
      <c r="F96" s="279">
        <f t="shared" si="4"/>
        <v>0</v>
      </c>
      <c r="G96" s="134"/>
      <c r="H96" s="135"/>
      <c r="I96" s="136">
        <f t="shared" si="5"/>
        <v>0</v>
      </c>
      <c r="J96" s="134"/>
      <c r="K96" s="135"/>
      <c r="L96" s="136">
        <f t="shared" si="6"/>
        <v>0</v>
      </c>
      <c r="M96" s="284"/>
      <c r="N96" s="285"/>
      <c r="O96" s="136">
        <f t="shared" si="7"/>
        <v>0</v>
      </c>
      <c r="P96" s="85"/>
    </row>
    <row r="97" spans="1:16" ht="24" hidden="1" x14ac:dyDescent="0.25">
      <c r="A97" s="76">
        <v>2229</v>
      </c>
      <c r="B97" s="127" t="s">
        <v>113</v>
      </c>
      <c r="C97" s="128">
        <f t="shared" si="3"/>
        <v>0</v>
      </c>
      <c r="D97" s="134"/>
      <c r="E97" s="283"/>
      <c r="F97" s="279">
        <f t="shared" si="4"/>
        <v>0</v>
      </c>
      <c r="G97" s="134"/>
      <c r="H97" s="135"/>
      <c r="I97" s="136">
        <f t="shared" si="5"/>
        <v>0</v>
      </c>
      <c r="J97" s="134"/>
      <c r="K97" s="135"/>
      <c r="L97" s="136">
        <f t="shared" si="6"/>
        <v>0</v>
      </c>
      <c r="M97" s="284"/>
      <c r="N97" s="285"/>
      <c r="O97" s="136">
        <f t="shared" si="7"/>
        <v>0</v>
      </c>
      <c r="P97" s="85"/>
    </row>
    <row r="98" spans="1:16" ht="36" hidden="1" x14ac:dyDescent="0.25">
      <c r="A98" s="276">
        <v>2230</v>
      </c>
      <c r="B98" s="127" t="s">
        <v>114</v>
      </c>
      <c r="C98" s="128">
        <f t="shared" si="3"/>
        <v>0</v>
      </c>
      <c r="D98" s="277">
        <f>SUM(D99:D105)</f>
        <v>0</v>
      </c>
      <c r="E98" s="278">
        <f>SUM(E99:E105)</f>
        <v>0</v>
      </c>
      <c r="F98" s="279">
        <f t="shared" si="4"/>
        <v>0</v>
      </c>
      <c r="G98" s="277">
        <f>SUM(G99:G105)</f>
        <v>0</v>
      </c>
      <c r="H98" s="280">
        <f>SUM(H99:H105)</f>
        <v>0</v>
      </c>
      <c r="I98" s="136">
        <f t="shared" si="5"/>
        <v>0</v>
      </c>
      <c r="J98" s="277">
        <f>SUM(J99:J105)</f>
        <v>0</v>
      </c>
      <c r="K98" s="280">
        <f>SUM(K99:K105)</f>
        <v>0</v>
      </c>
      <c r="L98" s="136">
        <f t="shared" si="6"/>
        <v>0</v>
      </c>
      <c r="M98" s="281">
        <f>SUM(M99:M105)</f>
        <v>0</v>
      </c>
      <c r="N98" s="282">
        <f>SUM(N99:N105)</f>
        <v>0</v>
      </c>
      <c r="O98" s="136">
        <f t="shared" si="7"/>
        <v>0</v>
      </c>
      <c r="P98" s="85"/>
    </row>
    <row r="99" spans="1:16" ht="24" hidden="1" x14ac:dyDescent="0.25">
      <c r="A99" s="76">
        <v>2231</v>
      </c>
      <c r="B99" s="127" t="s">
        <v>115</v>
      </c>
      <c r="C99" s="128">
        <f t="shared" si="3"/>
        <v>0</v>
      </c>
      <c r="D99" s="134"/>
      <c r="E99" s="283"/>
      <c r="F99" s="279">
        <f t="shared" si="4"/>
        <v>0</v>
      </c>
      <c r="G99" s="134"/>
      <c r="H99" s="135"/>
      <c r="I99" s="136">
        <f t="shared" si="5"/>
        <v>0</v>
      </c>
      <c r="J99" s="134"/>
      <c r="K99" s="135"/>
      <c r="L99" s="136">
        <f t="shared" si="6"/>
        <v>0</v>
      </c>
      <c r="M99" s="284"/>
      <c r="N99" s="285"/>
      <c r="O99" s="136">
        <f t="shared" si="7"/>
        <v>0</v>
      </c>
      <c r="P99" s="85"/>
    </row>
    <row r="100" spans="1:16" ht="36" hidden="1" x14ac:dyDescent="0.25">
      <c r="A100" s="76">
        <v>2232</v>
      </c>
      <c r="B100" s="127" t="s">
        <v>116</v>
      </c>
      <c r="C100" s="128">
        <f t="shared" si="3"/>
        <v>0</v>
      </c>
      <c r="D100" s="134"/>
      <c r="E100" s="283"/>
      <c r="F100" s="279">
        <f t="shared" si="4"/>
        <v>0</v>
      </c>
      <c r="G100" s="134"/>
      <c r="H100" s="135"/>
      <c r="I100" s="136">
        <f t="shared" si="5"/>
        <v>0</v>
      </c>
      <c r="J100" s="134"/>
      <c r="K100" s="135"/>
      <c r="L100" s="136">
        <f t="shared" si="6"/>
        <v>0</v>
      </c>
      <c r="M100" s="284"/>
      <c r="N100" s="285"/>
      <c r="O100" s="136">
        <f t="shared" si="7"/>
        <v>0</v>
      </c>
      <c r="P100" s="85"/>
    </row>
    <row r="101" spans="1:16" ht="24" hidden="1" x14ac:dyDescent="0.25">
      <c r="A101" s="66">
        <v>2233</v>
      </c>
      <c r="B101" s="116" t="s">
        <v>117</v>
      </c>
      <c r="C101" s="128">
        <f t="shared" si="3"/>
        <v>0</v>
      </c>
      <c r="D101" s="123"/>
      <c r="E101" s="295"/>
      <c r="F101" s="296">
        <f t="shared" si="4"/>
        <v>0</v>
      </c>
      <c r="G101" s="123"/>
      <c r="H101" s="124"/>
      <c r="I101" s="125">
        <f t="shared" si="5"/>
        <v>0</v>
      </c>
      <c r="J101" s="123"/>
      <c r="K101" s="124"/>
      <c r="L101" s="125">
        <f t="shared" si="6"/>
        <v>0</v>
      </c>
      <c r="M101" s="264"/>
      <c r="N101" s="262"/>
      <c r="O101" s="125">
        <f t="shared" si="7"/>
        <v>0</v>
      </c>
      <c r="P101" s="74"/>
    </row>
    <row r="102" spans="1:16" ht="36" hidden="1" x14ac:dyDescent="0.25">
      <c r="A102" s="76">
        <v>2234</v>
      </c>
      <c r="B102" s="127" t="s">
        <v>118</v>
      </c>
      <c r="C102" s="128">
        <f t="shared" si="3"/>
        <v>0</v>
      </c>
      <c r="D102" s="134"/>
      <c r="E102" s="283"/>
      <c r="F102" s="279">
        <f t="shared" si="4"/>
        <v>0</v>
      </c>
      <c r="G102" s="134"/>
      <c r="H102" s="135"/>
      <c r="I102" s="136">
        <f t="shared" si="5"/>
        <v>0</v>
      </c>
      <c r="J102" s="134"/>
      <c r="K102" s="135"/>
      <c r="L102" s="136">
        <f t="shared" si="6"/>
        <v>0</v>
      </c>
      <c r="M102" s="284"/>
      <c r="N102" s="285"/>
      <c r="O102" s="136">
        <f t="shared" si="7"/>
        <v>0</v>
      </c>
      <c r="P102" s="85"/>
    </row>
    <row r="103" spans="1:16" ht="24" hidden="1" x14ac:dyDescent="0.25">
      <c r="A103" s="76">
        <v>2235</v>
      </c>
      <c r="B103" s="127" t="s">
        <v>119</v>
      </c>
      <c r="C103" s="128">
        <f t="shared" si="3"/>
        <v>0</v>
      </c>
      <c r="D103" s="134"/>
      <c r="E103" s="283"/>
      <c r="F103" s="279">
        <f t="shared" si="4"/>
        <v>0</v>
      </c>
      <c r="G103" s="134"/>
      <c r="H103" s="135"/>
      <c r="I103" s="136">
        <f t="shared" si="5"/>
        <v>0</v>
      </c>
      <c r="J103" s="134"/>
      <c r="K103" s="135"/>
      <c r="L103" s="136">
        <f t="shared" si="6"/>
        <v>0</v>
      </c>
      <c r="M103" s="284"/>
      <c r="N103" s="285"/>
      <c r="O103" s="136">
        <f t="shared" si="7"/>
        <v>0</v>
      </c>
      <c r="P103" s="85"/>
    </row>
    <row r="104" spans="1:16" hidden="1" x14ac:dyDescent="0.25">
      <c r="A104" s="76">
        <v>2236</v>
      </c>
      <c r="B104" s="127" t="s">
        <v>120</v>
      </c>
      <c r="C104" s="128">
        <f t="shared" si="3"/>
        <v>0</v>
      </c>
      <c r="D104" s="134"/>
      <c r="E104" s="283"/>
      <c r="F104" s="279">
        <f t="shared" si="4"/>
        <v>0</v>
      </c>
      <c r="G104" s="134"/>
      <c r="H104" s="135"/>
      <c r="I104" s="136">
        <f t="shared" si="5"/>
        <v>0</v>
      </c>
      <c r="J104" s="134"/>
      <c r="K104" s="135"/>
      <c r="L104" s="136">
        <f t="shared" si="6"/>
        <v>0</v>
      </c>
      <c r="M104" s="284"/>
      <c r="N104" s="285"/>
      <c r="O104" s="136">
        <f t="shared" si="7"/>
        <v>0</v>
      </c>
      <c r="P104" s="85"/>
    </row>
    <row r="105" spans="1:16" ht="24" hidden="1" x14ac:dyDescent="0.25">
      <c r="A105" s="76">
        <v>2239</v>
      </c>
      <c r="B105" s="127" t="s">
        <v>121</v>
      </c>
      <c r="C105" s="128">
        <f t="shared" si="3"/>
        <v>0</v>
      </c>
      <c r="D105" s="134"/>
      <c r="E105" s="283"/>
      <c r="F105" s="279">
        <f t="shared" si="4"/>
        <v>0</v>
      </c>
      <c r="G105" s="134"/>
      <c r="H105" s="135"/>
      <c r="I105" s="136">
        <f t="shared" si="5"/>
        <v>0</v>
      </c>
      <c r="J105" s="134"/>
      <c r="K105" s="135"/>
      <c r="L105" s="136">
        <f t="shared" si="6"/>
        <v>0</v>
      </c>
      <c r="M105" s="284"/>
      <c r="N105" s="285"/>
      <c r="O105" s="136">
        <f t="shared" si="7"/>
        <v>0</v>
      </c>
      <c r="P105" s="85"/>
    </row>
    <row r="106" spans="1:16" ht="36" hidden="1" x14ac:dyDescent="0.25">
      <c r="A106" s="276">
        <v>2240</v>
      </c>
      <c r="B106" s="127" t="s">
        <v>122</v>
      </c>
      <c r="C106" s="128">
        <f t="shared" si="3"/>
        <v>0</v>
      </c>
      <c r="D106" s="277">
        <f>SUM(D107:D114)</f>
        <v>0</v>
      </c>
      <c r="E106" s="278">
        <f>SUM(E107:E114)</f>
        <v>0</v>
      </c>
      <c r="F106" s="279">
        <f t="shared" si="4"/>
        <v>0</v>
      </c>
      <c r="G106" s="277">
        <f>SUM(G107:G114)</f>
        <v>0</v>
      </c>
      <c r="H106" s="280">
        <f>SUM(H107:H114)</f>
        <v>0</v>
      </c>
      <c r="I106" s="136">
        <f t="shared" si="5"/>
        <v>0</v>
      </c>
      <c r="J106" s="277">
        <f>SUM(J107:J114)</f>
        <v>0</v>
      </c>
      <c r="K106" s="280">
        <f>SUM(K107:K114)</f>
        <v>0</v>
      </c>
      <c r="L106" s="136">
        <f t="shared" si="6"/>
        <v>0</v>
      </c>
      <c r="M106" s="281">
        <f>SUM(M107:M114)</f>
        <v>0</v>
      </c>
      <c r="N106" s="282">
        <f>SUM(N107:N114)</f>
        <v>0</v>
      </c>
      <c r="O106" s="136">
        <f t="shared" si="7"/>
        <v>0</v>
      </c>
      <c r="P106" s="85"/>
    </row>
    <row r="107" spans="1:16" hidden="1" x14ac:dyDescent="0.25">
      <c r="A107" s="76">
        <v>2241</v>
      </c>
      <c r="B107" s="127" t="s">
        <v>123</v>
      </c>
      <c r="C107" s="128">
        <f t="shared" si="3"/>
        <v>0</v>
      </c>
      <c r="D107" s="134"/>
      <c r="E107" s="283"/>
      <c r="F107" s="279">
        <f t="shared" si="4"/>
        <v>0</v>
      </c>
      <c r="G107" s="134"/>
      <c r="H107" s="135"/>
      <c r="I107" s="136">
        <f t="shared" si="5"/>
        <v>0</v>
      </c>
      <c r="J107" s="134"/>
      <c r="K107" s="135"/>
      <c r="L107" s="136">
        <f t="shared" si="6"/>
        <v>0</v>
      </c>
      <c r="M107" s="284"/>
      <c r="N107" s="285"/>
      <c r="O107" s="136">
        <f t="shared" si="7"/>
        <v>0</v>
      </c>
      <c r="P107" s="85"/>
    </row>
    <row r="108" spans="1:16" ht="24" hidden="1" x14ac:dyDescent="0.25">
      <c r="A108" s="76">
        <v>2242</v>
      </c>
      <c r="B108" s="127" t="s">
        <v>124</v>
      </c>
      <c r="C108" s="128">
        <f t="shared" si="3"/>
        <v>0</v>
      </c>
      <c r="D108" s="134"/>
      <c r="E108" s="283"/>
      <c r="F108" s="279">
        <f t="shared" si="4"/>
        <v>0</v>
      </c>
      <c r="G108" s="134"/>
      <c r="H108" s="135"/>
      <c r="I108" s="136">
        <f t="shared" si="5"/>
        <v>0</v>
      </c>
      <c r="J108" s="134"/>
      <c r="K108" s="135"/>
      <c r="L108" s="136">
        <f t="shared" si="6"/>
        <v>0</v>
      </c>
      <c r="M108" s="284"/>
      <c r="N108" s="285"/>
      <c r="O108" s="136">
        <f t="shared" si="7"/>
        <v>0</v>
      </c>
      <c r="P108" s="85"/>
    </row>
    <row r="109" spans="1:16" ht="24" hidden="1" x14ac:dyDescent="0.25">
      <c r="A109" s="76">
        <v>2243</v>
      </c>
      <c r="B109" s="127" t="s">
        <v>125</v>
      </c>
      <c r="C109" s="128">
        <f t="shared" si="3"/>
        <v>0</v>
      </c>
      <c r="D109" s="134"/>
      <c r="E109" s="283"/>
      <c r="F109" s="279">
        <f t="shared" si="4"/>
        <v>0</v>
      </c>
      <c r="G109" s="134"/>
      <c r="H109" s="135"/>
      <c r="I109" s="136">
        <f t="shared" si="5"/>
        <v>0</v>
      </c>
      <c r="J109" s="134"/>
      <c r="K109" s="135"/>
      <c r="L109" s="136">
        <f t="shared" si="6"/>
        <v>0</v>
      </c>
      <c r="M109" s="284"/>
      <c r="N109" s="285"/>
      <c r="O109" s="136">
        <f t="shared" si="7"/>
        <v>0</v>
      </c>
      <c r="P109" s="85"/>
    </row>
    <row r="110" spans="1:16" hidden="1" x14ac:dyDescent="0.25">
      <c r="A110" s="76">
        <v>2244</v>
      </c>
      <c r="B110" s="127" t="s">
        <v>126</v>
      </c>
      <c r="C110" s="128">
        <f t="shared" si="3"/>
        <v>0</v>
      </c>
      <c r="D110" s="134"/>
      <c r="E110" s="283"/>
      <c r="F110" s="279">
        <f t="shared" si="4"/>
        <v>0</v>
      </c>
      <c r="G110" s="134"/>
      <c r="H110" s="135"/>
      <c r="I110" s="136">
        <f t="shared" si="5"/>
        <v>0</v>
      </c>
      <c r="J110" s="134"/>
      <c r="K110" s="135"/>
      <c r="L110" s="136">
        <f t="shared" si="6"/>
        <v>0</v>
      </c>
      <c r="M110" s="284"/>
      <c r="N110" s="285"/>
      <c r="O110" s="136">
        <f t="shared" si="7"/>
        <v>0</v>
      </c>
      <c r="P110" s="85"/>
    </row>
    <row r="111" spans="1:16" ht="24" hidden="1" x14ac:dyDescent="0.25">
      <c r="A111" s="76">
        <v>2246</v>
      </c>
      <c r="B111" s="127" t="s">
        <v>127</v>
      </c>
      <c r="C111" s="128">
        <f t="shared" si="3"/>
        <v>0</v>
      </c>
      <c r="D111" s="134"/>
      <c r="E111" s="283"/>
      <c r="F111" s="279">
        <f t="shared" si="4"/>
        <v>0</v>
      </c>
      <c r="G111" s="134"/>
      <c r="H111" s="135"/>
      <c r="I111" s="136">
        <f t="shared" si="5"/>
        <v>0</v>
      </c>
      <c r="J111" s="134"/>
      <c r="K111" s="135"/>
      <c r="L111" s="136">
        <f t="shared" si="6"/>
        <v>0</v>
      </c>
      <c r="M111" s="284"/>
      <c r="N111" s="285"/>
      <c r="O111" s="136">
        <f t="shared" si="7"/>
        <v>0</v>
      </c>
      <c r="P111" s="85"/>
    </row>
    <row r="112" spans="1:16" hidden="1" x14ac:dyDescent="0.25">
      <c r="A112" s="76">
        <v>2247</v>
      </c>
      <c r="B112" s="127" t="s">
        <v>128</v>
      </c>
      <c r="C112" s="128">
        <f t="shared" si="3"/>
        <v>0</v>
      </c>
      <c r="D112" s="134"/>
      <c r="E112" s="283"/>
      <c r="F112" s="279">
        <f t="shared" si="4"/>
        <v>0</v>
      </c>
      <c r="G112" s="134"/>
      <c r="H112" s="135"/>
      <c r="I112" s="136">
        <f t="shared" si="5"/>
        <v>0</v>
      </c>
      <c r="J112" s="134"/>
      <c r="K112" s="135"/>
      <c r="L112" s="136">
        <f t="shared" si="6"/>
        <v>0</v>
      </c>
      <c r="M112" s="284"/>
      <c r="N112" s="285"/>
      <c r="O112" s="136">
        <f t="shared" si="7"/>
        <v>0</v>
      </c>
      <c r="P112" s="85"/>
    </row>
    <row r="113" spans="1:16" ht="24" hidden="1" x14ac:dyDescent="0.25">
      <c r="A113" s="76">
        <v>2248</v>
      </c>
      <c r="B113" s="127" t="s">
        <v>129</v>
      </c>
      <c r="C113" s="128">
        <f t="shared" si="3"/>
        <v>0</v>
      </c>
      <c r="D113" s="134"/>
      <c r="E113" s="283"/>
      <c r="F113" s="279">
        <f t="shared" si="4"/>
        <v>0</v>
      </c>
      <c r="G113" s="134"/>
      <c r="H113" s="135"/>
      <c r="I113" s="136">
        <f t="shared" si="5"/>
        <v>0</v>
      </c>
      <c r="J113" s="134"/>
      <c r="K113" s="135"/>
      <c r="L113" s="136">
        <f t="shared" si="6"/>
        <v>0</v>
      </c>
      <c r="M113" s="284"/>
      <c r="N113" s="285"/>
      <c r="O113" s="136">
        <f t="shared" si="7"/>
        <v>0</v>
      </c>
      <c r="P113" s="85"/>
    </row>
    <row r="114" spans="1:16" ht="24" hidden="1" x14ac:dyDescent="0.25">
      <c r="A114" s="76">
        <v>2249</v>
      </c>
      <c r="B114" s="127" t="s">
        <v>130</v>
      </c>
      <c r="C114" s="128">
        <f t="shared" si="3"/>
        <v>0</v>
      </c>
      <c r="D114" s="134"/>
      <c r="E114" s="283"/>
      <c r="F114" s="279">
        <f t="shared" si="4"/>
        <v>0</v>
      </c>
      <c r="G114" s="134"/>
      <c r="H114" s="135"/>
      <c r="I114" s="136">
        <f t="shared" si="5"/>
        <v>0</v>
      </c>
      <c r="J114" s="134"/>
      <c r="K114" s="135"/>
      <c r="L114" s="136">
        <f t="shared" si="6"/>
        <v>0</v>
      </c>
      <c r="M114" s="284"/>
      <c r="N114" s="285"/>
      <c r="O114" s="136">
        <f t="shared" si="7"/>
        <v>0</v>
      </c>
      <c r="P114" s="85"/>
    </row>
    <row r="115" spans="1:16" hidden="1" x14ac:dyDescent="0.25">
      <c r="A115" s="276">
        <v>2250</v>
      </c>
      <c r="B115" s="127" t="s">
        <v>131</v>
      </c>
      <c r="C115" s="128">
        <f t="shared" si="3"/>
        <v>0</v>
      </c>
      <c r="D115" s="277">
        <f>SUM(D116:D118)</f>
        <v>0</v>
      </c>
      <c r="E115" s="278">
        <f>SUM(E116:E118)</f>
        <v>0</v>
      </c>
      <c r="F115" s="279">
        <f t="shared" si="4"/>
        <v>0</v>
      </c>
      <c r="G115" s="277">
        <f>SUM(G116:G118)</f>
        <v>0</v>
      </c>
      <c r="H115" s="280">
        <f>SUM(H116:H118)</f>
        <v>0</v>
      </c>
      <c r="I115" s="136">
        <f t="shared" si="5"/>
        <v>0</v>
      </c>
      <c r="J115" s="277">
        <f>SUM(J116:J118)</f>
        <v>0</v>
      </c>
      <c r="K115" s="280">
        <f>SUM(K116:K118)</f>
        <v>0</v>
      </c>
      <c r="L115" s="136">
        <f t="shared" si="6"/>
        <v>0</v>
      </c>
      <c r="M115" s="281">
        <f>SUM(M116:M118)</f>
        <v>0</v>
      </c>
      <c r="N115" s="282">
        <f>SUM(N116:N118)</f>
        <v>0</v>
      </c>
      <c r="O115" s="136">
        <f t="shared" si="7"/>
        <v>0</v>
      </c>
      <c r="P115" s="85"/>
    </row>
    <row r="116" spans="1:16" hidden="1" x14ac:dyDescent="0.25">
      <c r="A116" s="76">
        <v>2251</v>
      </c>
      <c r="B116" s="127" t="s">
        <v>132</v>
      </c>
      <c r="C116" s="128">
        <f t="shared" si="3"/>
        <v>0</v>
      </c>
      <c r="D116" s="134"/>
      <c r="E116" s="283"/>
      <c r="F116" s="279">
        <f t="shared" si="4"/>
        <v>0</v>
      </c>
      <c r="G116" s="134"/>
      <c r="H116" s="135"/>
      <c r="I116" s="136">
        <f t="shared" si="5"/>
        <v>0</v>
      </c>
      <c r="J116" s="134"/>
      <c r="K116" s="135"/>
      <c r="L116" s="136">
        <f t="shared" si="6"/>
        <v>0</v>
      </c>
      <c r="M116" s="284"/>
      <c r="N116" s="285"/>
      <c r="O116" s="136">
        <f t="shared" si="7"/>
        <v>0</v>
      </c>
      <c r="P116" s="85"/>
    </row>
    <row r="117" spans="1:16" ht="24" hidden="1" x14ac:dyDescent="0.25">
      <c r="A117" s="76">
        <v>2252</v>
      </c>
      <c r="B117" s="127" t="s">
        <v>133</v>
      </c>
      <c r="C117" s="128">
        <f t="shared" ref="C117:C180" si="8">F117+I117+L117+O117</f>
        <v>0</v>
      </c>
      <c r="D117" s="134"/>
      <c r="E117" s="283"/>
      <c r="F117" s="279">
        <f t="shared" ref="F117:F180" si="9">D117+E117</f>
        <v>0</v>
      </c>
      <c r="G117" s="134"/>
      <c r="H117" s="135"/>
      <c r="I117" s="136">
        <f t="shared" ref="I117:I180" si="10">G117+H117</f>
        <v>0</v>
      </c>
      <c r="J117" s="134"/>
      <c r="K117" s="135"/>
      <c r="L117" s="136">
        <f t="shared" ref="L117:L180" si="11">J117+K117</f>
        <v>0</v>
      </c>
      <c r="M117" s="284"/>
      <c r="N117" s="285"/>
      <c r="O117" s="136">
        <f t="shared" ref="O117:O180" si="12">M117+N117</f>
        <v>0</v>
      </c>
      <c r="P117" s="85"/>
    </row>
    <row r="118" spans="1:16" ht="24" hidden="1" x14ac:dyDescent="0.25">
      <c r="A118" s="76">
        <v>2259</v>
      </c>
      <c r="B118" s="127" t="s">
        <v>134</v>
      </c>
      <c r="C118" s="128">
        <f t="shared" si="8"/>
        <v>0</v>
      </c>
      <c r="D118" s="134"/>
      <c r="E118" s="283"/>
      <c r="F118" s="279">
        <f t="shared" si="9"/>
        <v>0</v>
      </c>
      <c r="G118" s="134"/>
      <c r="H118" s="135"/>
      <c r="I118" s="136">
        <f t="shared" si="10"/>
        <v>0</v>
      </c>
      <c r="J118" s="134"/>
      <c r="K118" s="135"/>
      <c r="L118" s="136">
        <f t="shared" si="11"/>
        <v>0</v>
      </c>
      <c r="M118" s="284"/>
      <c r="N118" s="285"/>
      <c r="O118" s="136">
        <f t="shared" si="12"/>
        <v>0</v>
      </c>
      <c r="P118" s="85"/>
    </row>
    <row r="119" spans="1:16" hidden="1" x14ac:dyDescent="0.25">
      <c r="A119" s="276">
        <v>2260</v>
      </c>
      <c r="B119" s="127" t="s">
        <v>135</v>
      </c>
      <c r="C119" s="128">
        <f t="shared" si="8"/>
        <v>0</v>
      </c>
      <c r="D119" s="277">
        <f>SUM(D120:D124)</f>
        <v>0</v>
      </c>
      <c r="E119" s="278">
        <f>SUM(E120:E124)</f>
        <v>0</v>
      </c>
      <c r="F119" s="279">
        <f t="shared" si="9"/>
        <v>0</v>
      </c>
      <c r="G119" s="277">
        <f>SUM(G120:G124)</f>
        <v>0</v>
      </c>
      <c r="H119" s="280">
        <f>SUM(H120:H124)</f>
        <v>0</v>
      </c>
      <c r="I119" s="136">
        <f t="shared" si="10"/>
        <v>0</v>
      </c>
      <c r="J119" s="277">
        <f>SUM(J120:J124)</f>
        <v>0</v>
      </c>
      <c r="K119" s="280">
        <f>SUM(K120:K124)</f>
        <v>0</v>
      </c>
      <c r="L119" s="136">
        <f t="shared" si="11"/>
        <v>0</v>
      </c>
      <c r="M119" s="281">
        <f>SUM(M120:M124)</f>
        <v>0</v>
      </c>
      <c r="N119" s="282">
        <f>SUM(N120:N124)</f>
        <v>0</v>
      </c>
      <c r="O119" s="136">
        <f t="shared" si="12"/>
        <v>0</v>
      </c>
      <c r="P119" s="85"/>
    </row>
    <row r="120" spans="1:16" hidden="1" x14ac:dyDescent="0.25">
      <c r="A120" s="76">
        <v>2261</v>
      </c>
      <c r="B120" s="127" t="s">
        <v>136</v>
      </c>
      <c r="C120" s="128">
        <f t="shared" si="8"/>
        <v>0</v>
      </c>
      <c r="D120" s="134"/>
      <c r="E120" s="283"/>
      <c r="F120" s="279">
        <f t="shared" si="9"/>
        <v>0</v>
      </c>
      <c r="G120" s="134"/>
      <c r="H120" s="135"/>
      <c r="I120" s="136">
        <f t="shared" si="10"/>
        <v>0</v>
      </c>
      <c r="J120" s="134"/>
      <c r="K120" s="135"/>
      <c r="L120" s="136">
        <f t="shared" si="11"/>
        <v>0</v>
      </c>
      <c r="M120" s="284"/>
      <c r="N120" s="285"/>
      <c r="O120" s="136">
        <f t="shared" si="12"/>
        <v>0</v>
      </c>
      <c r="P120" s="85"/>
    </row>
    <row r="121" spans="1:16" hidden="1" x14ac:dyDescent="0.25">
      <c r="A121" s="76">
        <v>2262</v>
      </c>
      <c r="B121" s="127" t="s">
        <v>137</v>
      </c>
      <c r="C121" s="128">
        <f t="shared" si="8"/>
        <v>0</v>
      </c>
      <c r="D121" s="134"/>
      <c r="E121" s="283"/>
      <c r="F121" s="279">
        <f t="shared" si="9"/>
        <v>0</v>
      </c>
      <c r="G121" s="134"/>
      <c r="H121" s="135"/>
      <c r="I121" s="136">
        <f t="shared" si="10"/>
        <v>0</v>
      </c>
      <c r="J121" s="134"/>
      <c r="K121" s="135"/>
      <c r="L121" s="136">
        <f t="shared" si="11"/>
        <v>0</v>
      </c>
      <c r="M121" s="284"/>
      <c r="N121" s="285"/>
      <c r="O121" s="136">
        <f t="shared" si="12"/>
        <v>0</v>
      </c>
      <c r="P121" s="85"/>
    </row>
    <row r="122" spans="1:16" hidden="1" x14ac:dyDescent="0.25">
      <c r="A122" s="76">
        <v>2263</v>
      </c>
      <c r="B122" s="127" t="s">
        <v>138</v>
      </c>
      <c r="C122" s="128">
        <f t="shared" si="8"/>
        <v>0</v>
      </c>
      <c r="D122" s="134"/>
      <c r="E122" s="283"/>
      <c r="F122" s="279">
        <f t="shared" si="9"/>
        <v>0</v>
      </c>
      <c r="G122" s="134"/>
      <c r="H122" s="135"/>
      <c r="I122" s="136">
        <f t="shared" si="10"/>
        <v>0</v>
      </c>
      <c r="J122" s="134"/>
      <c r="K122" s="135"/>
      <c r="L122" s="136">
        <f t="shared" si="11"/>
        <v>0</v>
      </c>
      <c r="M122" s="284"/>
      <c r="N122" s="285"/>
      <c r="O122" s="136">
        <f t="shared" si="12"/>
        <v>0</v>
      </c>
      <c r="P122" s="85"/>
    </row>
    <row r="123" spans="1:16" ht="24" hidden="1" x14ac:dyDescent="0.25">
      <c r="A123" s="76">
        <v>2264</v>
      </c>
      <c r="B123" s="127" t="s">
        <v>139</v>
      </c>
      <c r="C123" s="128">
        <f t="shared" si="8"/>
        <v>0</v>
      </c>
      <c r="D123" s="134"/>
      <c r="E123" s="283"/>
      <c r="F123" s="279">
        <f t="shared" si="9"/>
        <v>0</v>
      </c>
      <c r="G123" s="134"/>
      <c r="H123" s="135"/>
      <c r="I123" s="136">
        <f t="shared" si="10"/>
        <v>0</v>
      </c>
      <c r="J123" s="134"/>
      <c r="K123" s="135"/>
      <c r="L123" s="136">
        <f t="shared" si="11"/>
        <v>0</v>
      </c>
      <c r="M123" s="284"/>
      <c r="N123" s="285"/>
      <c r="O123" s="136">
        <f t="shared" si="12"/>
        <v>0</v>
      </c>
      <c r="P123" s="85"/>
    </row>
    <row r="124" spans="1:16" hidden="1" x14ac:dyDescent="0.25">
      <c r="A124" s="76">
        <v>2269</v>
      </c>
      <c r="B124" s="127" t="s">
        <v>140</v>
      </c>
      <c r="C124" s="128">
        <f t="shared" si="8"/>
        <v>0</v>
      </c>
      <c r="D124" s="134"/>
      <c r="E124" s="283"/>
      <c r="F124" s="279">
        <f t="shared" si="9"/>
        <v>0</v>
      </c>
      <c r="G124" s="134"/>
      <c r="H124" s="135"/>
      <c r="I124" s="136">
        <f t="shared" si="10"/>
        <v>0</v>
      </c>
      <c r="J124" s="134"/>
      <c r="K124" s="135"/>
      <c r="L124" s="136">
        <f t="shared" si="11"/>
        <v>0</v>
      </c>
      <c r="M124" s="284"/>
      <c r="N124" s="285"/>
      <c r="O124" s="136">
        <f t="shared" si="12"/>
        <v>0</v>
      </c>
      <c r="P124" s="85"/>
    </row>
    <row r="125" spans="1:16" hidden="1" x14ac:dyDescent="0.25">
      <c r="A125" s="276">
        <v>2270</v>
      </c>
      <c r="B125" s="127" t="s">
        <v>141</v>
      </c>
      <c r="C125" s="128">
        <f t="shared" si="8"/>
        <v>0</v>
      </c>
      <c r="D125" s="277">
        <f>SUM(D126:D130)</f>
        <v>0</v>
      </c>
      <c r="E125" s="278">
        <f>SUM(E126:E130)</f>
        <v>0</v>
      </c>
      <c r="F125" s="279">
        <f t="shared" si="9"/>
        <v>0</v>
      </c>
      <c r="G125" s="277">
        <f>SUM(G126:G130)</f>
        <v>0</v>
      </c>
      <c r="H125" s="280">
        <f>SUM(H126:H130)</f>
        <v>0</v>
      </c>
      <c r="I125" s="136">
        <f t="shared" si="10"/>
        <v>0</v>
      </c>
      <c r="J125" s="277">
        <f>SUM(J126:J130)</f>
        <v>0</v>
      </c>
      <c r="K125" s="280">
        <f>SUM(K126:K130)</f>
        <v>0</v>
      </c>
      <c r="L125" s="136">
        <f t="shared" si="11"/>
        <v>0</v>
      </c>
      <c r="M125" s="281">
        <f>SUM(M126:M130)</f>
        <v>0</v>
      </c>
      <c r="N125" s="282">
        <f>SUM(N126:N130)</f>
        <v>0</v>
      </c>
      <c r="O125" s="136">
        <f t="shared" si="12"/>
        <v>0</v>
      </c>
      <c r="P125" s="85"/>
    </row>
    <row r="126" spans="1:16" hidden="1" x14ac:dyDescent="0.25">
      <c r="A126" s="76">
        <v>2272</v>
      </c>
      <c r="B126" s="5" t="s">
        <v>142</v>
      </c>
      <c r="C126" s="128">
        <f t="shared" si="8"/>
        <v>0</v>
      </c>
      <c r="D126" s="134"/>
      <c r="E126" s="283"/>
      <c r="F126" s="279">
        <f t="shared" si="9"/>
        <v>0</v>
      </c>
      <c r="G126" s="134"/>
      <c r="H126" s="135"/>
      <c r="I126" s="136">
        <f t="shared" si="10"/>
        <v>0</v>
      </c>
      <c r="J126" s="134"/>
      <c r="K126" s="135"/>
      <c r="L126" s="136">
        <f t="shared" si="11"/>
        <v>0</v>
      </c>
      <c r="M126" s="284"/>
      <c r="N126" s="285"/>
      <c r="O126" s="136">
        <f t="shared" si="12"/>
        <v>0</v>
      </c>
      <c r="P126" s="85"/>
    </row>
    <row r="127" spans="1:16" ht="24" hidden="1" x14ac:dyDescent="0.25">
      <c r="A127" s="76">
        <v>2275</v>
      </c>
      <c r="B127" s="127" t="s">
        <v>143</v>
      </c>
      <c r="C127" s="128">
        <f t="shared" si="8"/>
        <v>0</v>
      </c>
      <c r="D127" s="134"/>
      <c r="E127" s="283"/>
      <c r="F127" s="279">
        <f t="shared" si="9"/>
        <v>0</v>
      </c>
      <c r="G127" s="134"/>
      <c r="H127" s="135"/>
      <c r="I127" s="136">
        <f t="shared" si="10"/>
        <v>0</v>
      </c>
      <c r="J127" s="134"/>
      <c r="K127" s="135"/>
      <c r="L127" s="136">
        <f t="shared" si="11"/>
        <v>0</v>
      </c>
      <c r="M127" s="284"/>
      <c r="N127" s="285"/>
      <c r="O127" s="136">
        <f t="shared" si="12"/>
        <v>0</v>
      </c>
      <c r="P127" s="85"/>
    </row>
    <row r="128" spans="1:16" ht="36" hidden="1" x14ac:dyDescent="0.25">
      <c r="A128" s="76">
        <v>2276</v>
      </c>
      <c r="B128" s="127" t="s">
        <v>144</v>
      </c>
      <c r="C128" s="128">
        <f t="shared" si="8"/>
        <v>0</v>
      </c>
      <c r="D128" s="134"/>
      <c r="E128" s="283"/>
      <c r="F128" s="279">
        <f t="shared" si="9"/>
        <v>0</v>
      </c>
      <c r="G128" s="134"/>
      <c r="H128" s="135"/>
      <c r="I128" s="136">
        <f t="shared" si="10"/>
        <v>0</v>
      </c>
      <c r="J128" s="134"/>
      <c r="K128" s="135"/>
      <c r="L128" s="136">
        <f t="shared" si="11"/>
        <v>0</v>
      </c>
      <c r="M128" s="284"/>
      <c r="N128" s="285"/>
      <c r="O128" s="136">
        <f t="shared" si="12"/>
        <v>0</v>
      </c>
      <c r="P128" s="85"/>
    </row>
    <row r="129" spans="1:16" ht="24" hidden="1" x14ac:dyDescent="0.25">
      <c r="A129" s="76">
        <v>2278</v>
      </c>
      <c r="B129" s="127" t="s">
        <v>145</v>
      </c>
      <c r="C129" s="128">
        <f t="shared" si="8"/>
        <v>0</v>
      </c>
      <c r="D129" s="134"/>
      <c r="E129" s="283"/>
      <c r="F129" s="279">
        <f t="shared" si="9"/>
        <v>0</v>
      </c>
      <c r="G129" s="134"/>
      <c r="H129" s="135"/>
      <c r="I129" s="136">
        <f t="shared" si="10"/>
        <v>0</v>
      </c>
      <c r="J129" s="134"/>
      <c r="K129" s="135"/>
      <c r="L129" s="136">
        <f t="shared" si="11"/>
        <v>0</v>
      </c>
      <c r="M129" s="284"/>
      <c r="N129" s="285"/>
      <c r="O129" s="136">
        <f t="shared" si="12"/>
        <v>0</v>
      </c>
      <c r="P129" s="85"/>
    </row>
    <row r="130" spans="1:16" ht="24" hidden="1" x14ac:dyDescent="0.25">
      <c r="A130" s="76">
        <v>2279</v>
      </c>
      <c r="B130" s="127" t="s">
        <v>146</v>
      </c>
      <c r="C130" s="128">
        <f t="shared" si="8"/>
        <v>0</v>
      </c>
      <c r="D130" s="134"/>
      <c r="E130" s="283"/>
      <c r="F130" s="279">
        <f t="shared" si="9"/>
        <v>0</v>
      </c>
      <c r="G130" s="134"/>
      <c r="H130" s="135"/>
      <c r="I130" s="136">
        <f t="shared" si="10"/>
        <v>0</v>
      </c>
      <c r="J130" s="134"/>
      <c r="K130" s="135"/>
      <c r="L130" s="136">
        <f t="shared" si="11"/>
        <v>0</v>
      </c>
      <c r="M130" s="284"/>
      <c r="N130" s="285"/>
      <c r="O130" s="136">
        <f t="shared" si="12"/>
        <v>0</v>
      </c>
      <c r="P130" s="85"/>
    </row>
    <row r="131" spans="1:16" ht="24" hidden="1" x14ac:dyDescent="0.25">
      <c r="A131" s="1036">
        <v>2280</v>
      </c>
      <c r="B131" s="116" t="s">
        <v>147</v>
      </c>
      <c r="C131" s="128">
        <f t="shared" si="8"/>
        <v>0</v>
      </c>
      <c r="D131" s="297">
        <f>SUM(D132)</f>
        <v>0</v>
      </c>
      <c r="E131" s="298">
        <f>SUM(E132)</f>
        <v>0</v>
      </c>
      <c r="F131" s="296">
        <f t="shared" si="9"/>
        <v>0</v>
      </c>
      <c r="G131" s="297">
        <f>SUM(G132)</f>
        <v>0</v>
      </c>
      <c r="H131" s="299">
        <f>SUM(H132)</f>
        <v>0</v>
      </c>
      <c r="I131" s="125">
        <f t="shared" si="10"/>
        <v>0</v>
      </c>
      <c r="J131" s="297">
        <f>SUM(J132)</f>
        <v>0</v>
      </c>
      <c r="K131" s="299">
        <f>SUM(K132)</f>
        <v>0</v>
      </c>
      <c r="L131" s="125">
        <f t="shared" si="11"/>
        <v>0</v>
      </c>
      <c r="M131" s="281">
        <f>SUM(M132)</f>
        <v>0</v>
      </c>
      <c r="N131" s="282">
        <f>SUM(N132)</f>
        <v>0</v>
      </c>
      <c r="O131" s="136">
        <f t="shared" si="12"/>
        <v>0</v>
      </c>
      <c r="P131" s="85"/>
    </row>
    <row r="132" spans="1:16" ht="24" hidden="1" x14ac:dyDescent="0.25">
      <c r="A132" s="76">
        <v>2283</v>
      </c>
      <c r="B132" s="127" t="s">
        <v>148</v>
      </c>
      <c r="C132" s="128">
        <f t="shared" si="8"/>
        <v>0</v>
      </c>
      <c r="D132" s="134"/>
      <c r="E132" s="283"/>
      <c r="F132" s="279">
        <f t="shared" si="9"/>
        <v>0</v>
      </c>
      <c r="G132" s="134"/>
      <c r="H132" s="135"/>
      <c r="I132" s="136">
        <f t="shared" si="10"/>
        <v>0</v>
      </c>
      <c r="J132" s="134"/>
      <c r="K132" s="135"/>
      <c r="L132" s="136">
        <f t="shared" si="11"/>
        <v>0</v>
      </c>
      <c r="M132" s="284"/>
      <c r="N132" s="285"/>
      <c r="O132" s="136">
        <f t="shared" si="12"/>
        <v>0</v>
      </c>
      <c r="P132" s="85"/>
    </row>
    <row r="133" spans="1:16" ht="36" hidden="1" x14ac:dyDescent="0.25">
      <c r="A133" s="99">
        <v>2300</v>
      </c>
      <c r="B133" s="247" t="s">
        <v>149</v>
      </c>
      <c r="C133" s="100">
        <f t="shared" si="8"/>
        <v>0</v>
      </c>
      <c r="D133" s="112">
        <f>SUM(D134,D139,D143,D144,D147,D154,D162,D163,D166)</f>
        <v>0</v>
      </c>
      <c r="E133" s="248">
        <f>SUM(E134,E139,E143,E144,E147,E154,E162,E163,E166)</f>
        <v>0</v>
      </c>
      <c r="F133" s="249">
        <f t="shared" si="9"/>
        <v>0</v>
      </c>
      <c r="G133" s="112">
        <f>SUM(G134,G139,G143,G144,G147,G154,G162,G163,G166)</f>
        <v>0</v>
      </c>
      <c r="H133" s="113">
        <f>SUM(H134,H139,H143,H144,H147,H154,H162,H163,H166)</f>
        <v>0</v>
      </c>
      <c r="I133" s="114">
        <f t="shared" si="10"/>
        <v>0</v>
      </c>
      <c r="J133" s="112">
        <f>SUM(J134,J139,J143,J144,J147,J154,J162,J163,J166)</f>
        <v>0</v>
      </c>
      <c r="K133" s="113">
        <f>SUM(K134,K139,K143,K144,K147,K154,K162,K163,K166)</f>
        <v>0</v>
      </c>
      <c r="L133" s="114">
        <f t="shared" si="11"/>
        <v>0</v>
      </c>
      <c r="M133" s="292">
        <f>SUM(M134,M139,M143,M144,M147,M154,M162,M163,M166)</f>
        <v>0</v>
      </c>
      <c r="N133" s="293">
        <f>SUM(N134,N139,N143,N144,N147,N154,N162,N163,N166)</f>
        <v>0</v>
      </c>
      <c r="O133" s="114">
        <f t="shared" si="12"/>
        <v>0</v>
      </c>
      <c r="P133" s="109"/>
    </row>
    <row r="134" spans="1:16" ht="24" hidden="1" x14ac:dyDescent="0.25">
      <c r="A134" s="1036">
        <v>2310</v>
      </c>
      <c r="B134" s="116" t="s">
        <v>150</v>
      </c>
      <c r="C134" s="117">
        <f t="shared" si="8"/>
        <v>0</v>
      </c>
      <c r="D134" s="308">
        <f>SUM(D135:D138)</f>
        <v>0</v>
      </c>
      <c r="E134" s="300">
        <f>SUM(E135:E138)</f>
        <v>0</v>
      </c>
      <c r="F134" s="296">
        <f t="shared" si="9"/>
        <v>0</v>
      </c>
      <c r="G134" s="297">
        <f>SUM(G135:G138)</f>
        <v>0</v>
      </c>
      <c r="H134" s="299">
        <f>SUM(H135:H138)</f>
        <v>0</v>
      </c>
      <c r="I134" s="125">
        <f t="shared" si="10"/>
        <v>0</v>
      </c>
      <c r="J134" s="297">
        <f>SUM(J135:J138)</f>
        <v>0</v>
      </c>
      <c r="K134" s="299">
        <f>SUM(K135:K138)</f>
        <v>0</v>
      </c>
      <c r="L134" s="125">
        <f t="shared" si="11"/>
        <v>0</v>
      </c>
      <c r="M134" s="300">
        <f>SUM(M135:M138)</f>
        <v>0</v>
      </c>
      <c r="N134" s="301">
        <f>SUM(N135:N138)</f>
        <v>0</v>
      </c>
      <c r="O134" s="125">
        <f t="shared" si="12"/>
        <v>0</v>
      </c>
      <c r="P134" s="74"/>
    </row>
    <row r="135" spans="1:16" hidden="1" x14ac:dyDescent="0.25">
      <c r="A135" s="76">
        <v>2311</v>
      </c>
      <c r="B135" s="127" t="s">
        <v>151</v>
      </c>
      <c r="C135" s="128">
        <f t="shared" si="8"/>
        <v>0</v>
      </c>
      <c r="D135" s="134"/>
      <c r="E135" s="283"/>
      <c r="F135" s="279">
        <f t="shared" si="9"/>
        <v>0</v>
      </c>
      <c r="G135" s="134"/>
      <c r="H135" s="135"/>
      <c r="I135" s="136">
        <f t="shared" si="10"/>
        <v>0</v>
      </c>
      <c r="J135" s="134"/>
      <c r="K135" s="135"/>
      <c r="L135" s="136">
        <f t="shared" si="11"/>
        <v>0</v>
      </c>
      <c r="M135" s="284"/>
      <c r="N135" s="285"/>
      <c r="O135" s="136">
        <f t="shared" si="12"/>
        <v>0</v>
      </c>
      <c r="P135" s="85"/>
    </row>
    <row r="136" spans="1:16" hidden="1" x14ac:dyDescent="0.25">
      <c r="A136" s="76">
        <v>2312</v>
      </c>
      <c r="B136" s="127" t="s">
        <v>152</v>
      </c>
      <c r="C136" s="128">
        <f t="shared" si="8"/>
        <v>0</v>
      </c>
      <c r="D136" s="134"/>
      <c r="E136" s="283"/>
      <c r="F136" s="279">
        <f t="shared" si="9"/>
        <v>0</v>
      </c>
      <c r="G136" s="134"/>
      <c r="H136" s="135"/>
      <c r="I136" s="136">
        <f t="shared" si="10"/>
        <v>0</v>
      </c>
      <c r="J136" s="134"/>
      <c r="K136" s="135"/>
      <c r="L136" s="136">
        <f t="shared" si="11"/>
        <v>0</v>
      </c>
      <c r="M136" s="284"/>
      <c r="N136" s="285"/>
      <c r="O136" s="136">
        <f t="shared" si="12"/>
        <v>0</v>
      </c>
      <c r="P136" s="85"/>
    </row>
    <row r="137" spans="1:16" hidden="1" x14ac:dyDescent="0.25">
      <c r="A137" s="76">
        <v>2313</v>
      </c>
      <c r="B137" s="127" t="s">
        <v>153</v>
      </c>
      <c r="C137" s="128">
        <f t="shared" si="8"/>
        <v>0</v>
      </c>
      <c r="D137" s="134"/>
      <c r="E137" s="283"/>
      <c r="F137" s="279">
        <f t="shared" si="9"/>
        <v>0</v>
      </c>
      <c r="G137" s="134"/>
      <c r="H137" s="135"/>
      <c r="I137" s="136">
        <f t="shared" si="10"/>
        <v>0</v>
      </c>
      <c r="J137" s="134"/>
      <c r="K137" s="135"/>
      <c r="L137" s="136">
        <f t="shared" si="11"/>
        <v>0</v>
      </c>
      <c r="M137" s="284"/>
      <c r="N137" s="285"/>
      <c r="O137" s="136">
        <f t="shared" si="12"/>
        <v>0</v>
      </c>
      <c r="P137" s="85"/>
    </row>
    <row r="138" spans="1:16" ht="36" hidden="1" x14ac:dyDescent="0.25">
      <c r="A138" s="76">
        <v>2314</v>
      </c>
      <c r="B138" s="127" t="s">
        <v>154</v>
      </c>
      <c r="C138" s="128">
        <f t="shared" si="8"/>
        <v>0</v>
      </c>
      <c r="D138" s="134"/>
      <c r="E138" s="283"/>
      <c r="F138" s="279">
        <f t="shared" si="9"/>
        <v>0</v>
      </c>
      <c r="G138" s="134"/>
      <c r="H138" s="135"/>
      <c r="I138" s="136">
        <f t="shared" si="10"/>
        <v>0</v>
      </c>
      <c r="J138" s="134"/>
      <c r="K138" s="135"/>
      <c r="L138" s="136">
        <f t="shared" si="11"/>
        <v>0</v>
      </c>
      <c r="M138" s="284"/>
      <c r="N138" s="285"/>
      <c r="O138" s="136">
        <f t="shared" si="12"/>
        <v>0</v>
      </c>
      <c r="P138" s="85"/>
    </row>
    <row r="139" spans="1:16" hidden="1" x14ac:dyDescent="0.25">
      <c r="A139" s="276">
        <v>2320</v>
      </c>
      <c r="B139" s="127" t="s">
        <v>155</v>
      </c>
      <c r="C139" s="128">
        <f t="shared" si="8"/>
        <v>0</v>
      </c>
      <c r="D139" s="277">
        <f>SUM(D140:D142)</f>
        <v>0</v>
      </c>
      <c r="E139" s="278">
        <f>SUM(E140:E142)</f>
        <v>0</v>
      </c>
      <c r="F139" s="279">
        <f t="shared" si="9"/>
        <v>0</v>
      </c>
      <c r="G139" s="277">
        <f>SUM(G140:G142)</f>
        <v>0</v>
      </c>
      <c r="H139" s="280">
        <f>SUM(H140:H142)</f>
        <v>0</v>
      </c>
      <c r="I139" s="136">
        <f t="shared" si="10"/>
        <v>0</v>
      </c>
      <c r="J139" s="277">
        <f>SUM(J140:J142)</f>
        <v>0</v>
      </c>
      <c r="K139" s="280">
        <f>SUM(K140:K142)</f>
        <v>0</v>
      </c>
      <c r="L139" s="136">
        <f t="shared" si="11"/>
        <v>0</v>
      </c>
      <c r="M139" s="281">
        <f>SUM(M140:M142)</f>
        <v>0</v>
      </c>
      <c r="N139" s="282">
        <f>SUM(N140:N142)</f>
        <v>0</v>
      </c>
      <c r="O139" s="136">
        <f t="shared" si="12"/>
        <v>0</v>
      </c>
      <c r="P139" s="85"/>
    </row>
    <row r="140" spans="1:16" hidden="1" x14ac:dyDescent="0.25">
      <c r="A140" s="76">
        <v>2321</v>
      </c>
      <c r="B140" s="127" t="s">
        <v>156</v>
      </c>
      <c r="C140" s="128">
        <f t="shared" si="8"/>
        <v>0</v>
      </c>
      <c r="D140" s="134"/>
      <c r="E140" s="283"/>
      <c r="F140" s="279">
        <f t="shared" si="9"/>
        <v>0</v>
      </c>
      <c r="G140" s="134"/>
      <c r="H140" s="135"/>
      <c r="I140" s="136">
        <f t="shared" si="10"/>
        <v>0</v>
      </c>
      <c r="J140" s="134"/>
      <c r="K140" s="135"/>
      <c r="L140" s="136">
        <f t="shared" si="11"/>
        <v>0</v>
      </c>
      <c r="M140" s="284"/>
      <c r="N140" s="285"/>
      <c r="O140" s="136">
        <f t="shared" si="12"/>
        <v>0</v>
      </c>
      <c r="P140" s="85"/>
    </row>
    <row r="141" spans="1:16" hidden="1" x14ac:dyDescent="0.25">
      <c r="A141" s="76">
        <v>2322</v>
      </c>
      <c r="B141" s="127" t="s">
        <v>157</v>
      </c>
      <c r="C141" s="128">
        <f t="shared" si="8"/>
        <v>0</v>
      </c>
      <c r="D141" s="134"/>
      <c r="E141" s="283"/>
      <c r="F141" s="279">
        <f t="shared" si="9"/>
        <v>0</v>
      </c>
      <c r="G141" s="134"/>
      <c r="H141" s="135"/>
      <c r="I141" s="136">
        <f t="shared" si="10"/>
        <v>0</v>
      </c>
      <c r="J141" s="134"/>
      <c r="K141" s="135"/>
      <c r="L141" s="136">
        <f t="shared" si="11"/>
        <v>0</v>
      </c>
      <c r="M141" s="284"/>
      <c r="N141" s="285"/>
      <c r="O141" s="136">
        <f t="shared" si="12"/>
        <v>0</v>
      </c>
      <c r="P141" s="85"/>
    </row>
    <row r="142" spans="1:16" hidden="1" x14ac:dyDescent="0.25">
      <c r="A142" s="76">
        <v>2329</v>
      </c>
      <c r="B142" s="127" t="s">
        <v>158</v>
      </c>
      <c r="C142" s="128">
        <f t="shared" si="8"/>
        <v>0</v>
      </c>
      <c r="D142" s="134"/>
      <c r="E142" s="283"/>
      <c r="F142" s="279">
        <f t="shared" si="9"/>
        <v>0</v>
      </c>
      <c r="G142" s="134"/>
      <c r="H142" s="135"/>
      <c r="I142" s="136">
        <f t="shared" si="10"/>
        <v>0</v>
      </c>
      <c r="J142" s="134"/>
      <c r="K142" s="135"/>
      <c r="L142" s="136">
        <f t="shared" si="11"/>
        <v>0</v>
      </c>
      <c r="M142" s="284"/>
      <c r="N142" s="285"/>
      <c r="O142" s="136">
        <f t="shared" si="12"/>
        <v>0</v>
      </c>
      <c r="P142" s="85"/>
    </row>
    <row r="143" spans="1:16" hidden="1" x14ac:dyDescent="0.25">
      <c r="A143" s="276">
        <v>2330</v>
      </c>
      <c r="B143" s="127" t="s">
        <v>159</v>
      </c>
      <c r="C143" s="128">
        <f t="shared" si="8"/>
        <v>0</v>
      </c>
      <c r="D143" s="134"/>
      <c r="E143" s="283"/>
      <c r="F143" s="279">
        <f t="shared" si="9"/>
        <v>0</v>
      </c>
      <c r="G143" s="134"/>
      <c r="H143" s="135"/>
      <c r="I143" s="136">
        <f t="shared" si="10"/>
        <v>0</v>
      </c>
      <c r="J143" s="134"/>
      <c r="K143" s="135"/>
      <c r="L143" s="136">
        <f t="shared" si="11"/>
        <v>0</v>
      </c>
      <c r="M143" s="284"/>
      <c r="N143" s="285"/>
      <c r="O143" s="136">
        <f t="shared" si="12"/>
        <v>0</v>
      </c>
      <c r="P143" s="85"/>
    </row>
    <row r="144" spans="1:16" ht="48" hidden="1" x14ac:dyDescent="0.25">
      <c r="A144" s="276">
        <v>2340</v>
      </c>
      <c r="B144" s="127" t="s">
        <v>160</v>
      </c>
      <c r="C144" s="128">
        <f t="shared" si="8"/>
        <v>0</v>
      </c>
      <c r="D144" s="277">
        <f>SUM(D145:D146)</f>
        <v>0</v>
      </c>
      <c r="E144" s="278">
        <f>SUM(E145:E146)</f>
        <v>0</v>
      </c>
      <c r="F144" s="279">
        <f t="shared" si="9"/>
        <v>0</v>
      </c>
      <c r="G144" s="277">
        <f>SUM(G145:G146)</f>
        <v>0</v>
      </c>
      <c r="H144" s="280">
        <f>SUM(H145:H146)</f>
        <v>0</v>
      </c>
      <c r="I144" s="136">
        <f t="shared" si="10"/>
        <v>0</v>
      </c>
      <c r="J144" s="277">
        <f>SUM(J145:J146)</f>
        <v>0</v>
      </c>
      <c r="K144" s="280">
        <f>SUM(K145:K146)</f>
        <v>0</v>
      </c>
      <c r="L144" s="136">
        <f t="shared" si="11"/>
        <v>0</v>
      </c>
      <c r="M144" s="281">
        <f>SUM(M145:M146)</f>
        <v>0</v>
      </c>
      <c r="N144" s="282">
        <f>SUM(N145:N146)</f>
        <v>0</v>
      </c>
      <c r="O144" s="136">
        <f t="shared" si="12"/>
        <v>0</v>
      </c>
      <c r="P144" s="85"/>
    </row>
    <row r="145" spans="1:16" hidden="1" x14ac:dyDescent="0.25">
      <c r="A145" s="76">
        <v>2341</v>
      </c>
      <c r="B145" s="127" t="s">
        <v>161</v>
      </c>
      <c r="C145" s="128">
        <f t="shared" si="8"/>
        <v>0</v>
      </c>
      <c r="D145" s="134"/>
      <c r="E145" s="283"/>
      <c r="F145" s="279">
        <f t="shared" si="9"/>
        <v>0</v>
      </c>
      <c r="G145" s="134"/>
      <c r="H145" s="135"/>
      <c r="I145" s="136">
        <f t="shared" si="10"/>
        <v>0</v>
      </c>
      <c r="J145" s="134"/>
      <c r="K145" s="135"/>
      <c r="L145" s="136">
        <f t="shared" si="11"/>
        <v>0</v>
      </c>
      <c r="M145" s="284"/>
      <c r="N145" s="285"/>
      <c r="O145" s="136">
        <f t="shared" si="12"/>
        <v>0</v>
      </c>
      <c r="P145" s="85"/>
    </row>
    <row r="146" spans="1:16" ht="24" hidden="1" x14ac:dyDescent="0.25">
      <c r="A146" s="76">
        <v>2344</v>
      </c>
      <c r="B146" s="127" t="s">
        <v>162</v>
      </c>
      <c r="C146" s="128">
        <f t="shared" si="8"/>
        <v>0</v>
      </c>
      <c r="D146" s="134"/>
      <c r="E146" s="283"/>
      <c r="F146" s="279">
        <f t="shared" si="9"/>
        <v>0</v>
      </c>
      <c r="G146" s="134"/>
      <c r="H146" s="135"/>
      <c r="I146" s="136">
        <f t="shared" si="10"/>
        <v>0</v>
      </c>
      <c r="J146" s="134"/>
      <c r="K146" s="135"/>
      <c r="L146" s="136">
        <f t="shared" si="11"/>
        <v>0</v>
      </c>
      <c r="M146" s="284"/>
      <c r="N146" s="285"/>
      <c r="O146" s="136">
        <f t="shared" si="12"/>
        <v>0</v>
      </c>
      <c r="P146" s="85"/>
    </row>
    <row r="147" spans="1:16" ht="24" hidden="1" x14ac:dyDescent="0.25">
      <c r="A147" s="254">
        <v>2350</v>
      </c>
      <c r="B147" s="179" t="s">
        <v>163</v>
      </c>
      <c r="C147" s="128">
        <f t="shared" si="8"/>
        <v>0</v>
      </c>
      <c r="D147" s="255">
        <f>SUM(D148:D153)</f>
        <v>0</v>
      </c>
      <c r="E147" s="256">
        <f>SUM(E148:E153)</f>
        <v>0</v>
      </c>
      <c r="F147" s="257">
        <f t="shared" si="9"/>
        <v>0</v>
      </c>
      <c r="G147" s="255">
        <f>SUM(G148:G153)</f>
        <v>0</v>
      </c>
      <c r="H147" s="258">
        <f>SUM(H148:H153)</f>
        <v>0</v>
      </c>
      <c r="I147" s="259">
        <f t="shared" si="10"/>
        <v>0</v>
      </c>
      <c r="J147" s="255">
        <f>SUM(J148:J153)</f>
        <v>0</v>
      </c>
      <c r="K147" s="258">
        <f>SUM(K148:K153)</f>
        <v>0</v>
      </c>
      <c r="L147" s="259">
        <f t="shared" si="11"/>
        <v>0</v>
      </c>
      <c r="M147" s="260">
        <f>SUM(M148:M153)</f>
        <v>0</v>
      </c>
      <c r="N147" s="261">
        <f>SUM(N148:N153)</f>
        <v>0</v>
      </c>
      <c r="O147" s="259">
        <f t="shared" si="12"/>
        <v>0</v>
      </c>
      <c r="P147" s="189"/>
    </row>
    <row r="148" spans="1:16" hidden="1" x14ac:dyDescent="0.25">
      <c r="A148" s="66">
        <v>2351</v>
      </c>
      <c r="B148" s="116" t="s">
        <v>164</v>
      </c>
      <c r="C148" s="128">
        <f t="shared" si="8"/>
        <v>0</v>
      </c>
      <c r="D148" s="123"/>
      <c r="E148" s="295"/>
      <c r="F148" s="296">
        <f t="shared" si="9"/>
        <v>0</v>
      </c>
      <c r="G148" s="123"/>
      <c r="H148" s="124"/>
      <c r="I148" s="125">
        <f t="shared" si="10"/>
        <v>0</v>
      </c>
      <c r="J148" s="123"/>
      <c r="K148" s="124"/>
      <c r="L148" s="125">
        <f t="shared" si="11"/>
        <v>0</v>
      </c>
      <c r="M148" s="264"/>
      <c r="N148" s="262"/>
      <c r="O148" s="125">
        <f t="shared" si="12"/>
        <v>0</v>
      </c>
      <c r="P148" s="74"/>
    </row>
    <row r="149" spans="1:16" hidden="1" x14ac:dyDescent="0.25">
      <c r="A149" s="76">
        <v>2352</v>
      </c>
      <c r="B149" s="127" t="s">
        <v>165</v>
      </c>
      <c r="C149" s="128">
        <f t="shared" si="8"/>
        <v>0</v>
      </c>
      <c r="D149" s="134"/>
      <c r="E149" s="283"/>
      <c r="F149" s="279">
        <f t="shared" si="9"/>
        <v>0</v>
      </c>
      <c r="G149" s="134"/>
      <c r="H149" s="135"/>
      <c r="I149" s="136">
        <f t="shared" si="10"/>
        <v>0</v>
      </c>
      <c r="J149" s="134"/>
      <c r="K149" s="135"/>
      <c r="L149" s="136">
        <f t="shared" si="11"/>
        <v>0</v>
      </c>
      <c r="M149" s="284"/>
      <c r="N149" s="285"/>
      <c r="O149" s="136">
        <f t="shared" si="12"/>
        <v>0</v>
      </c>
      <c r="P149" s="85"/>
    </row>
    <row r="150" spans="1:16" ht="24" hidden="1" x14ac:dyDescent="0.25">
      <c r="A150" s="76">
        <v>2353</v>
      </c>
      <c r="B150" s="127" t="s">
        <v>166</v>
      </c>
      <c r="C150" s="128">
        <f t="shared" si="8"/>
        <v>0</v>
      </c>
      <c r="D150" s="134"/>
      <c r="E150" s="283"/>
      <c r="F150" s="279">
        <f t="shared" si="9"/>
        <v>0</v>
      </c>
      <c r="G150" s="134"/>
      <c r="H150" s="135"/>
      <c r="I150" s="136">
        <f t="shared" si="10"/>
        <v>0</v>
      </c>
      <c r="J150" s="134"/>
      <c r="K150" s="135"/>
      <c r="L150" s="136">
        <f t="shared" si="11"/>
        <v>0</v>
      </c>
      <c r="M150" s="284"/>
      <c r="N150" s="285"/>
      <c r="O150" s="136">
        <f t="shared" si="12"/>
        <v>0</v>
      </c>
      <c r="P150" s="85"/>
    </row>
    <row r="151" spans="1:16" ht="24" hidden="1" x14ac:dyDescent="0.25">
      <c r="A151" s="76">
        <v>2354</v>
      </c>
      <c r="B151" s="127" t="s">
        <v>167</v>
      </c>
      <c r="C151" s="128">
        <f t="shared" si="8"/>
        <v>0</v>
      </c>
      <c r="D151" s="134"/>
      <c r="E151" s="283"/>
      <c r="F151" s="279">
        <f t="shared" si="9"/>
        <v>0</v>
      </c>
      <c r="G151" s="134"/>
      <c r="H151" s="135"/>
      <c r="I151" s="136">
        <f t="shared" si="10"/>
        <v>0</v>
      </c>
      <c r="J151" s="134"/>
      <c r="K151" s="135"/>
      <c r="L151" s="136">
        <f t="shared" si="11"/>
        <v>0</v>
      </c>
      <c r="M151" s="284"/>
      <c r="N151" s="285"/>
      <c r="O151" s="136">
        <f t="shared" si="12"/>
        <v>0</v>
      </c>
      <c r="P151" s="85"/>
    </row>
    <row r="152" spans="1:16" ht="24" hidden="1" x14ac:dyDescent="0.25">
      <c r="A152" s="76">
        <v>2355</v>
      </c>
      <c r="B152" s="127" t="s">
        <v>168</v>
      </c>
      <c r="C152" s="128">
        <f t="shared" si="8"/>
        <v>0</v>
      </c>
      <c r="D152" s="134"/>
      <c r="E152" s="283"/>
      <c r="F152" s="279">
        <f t="shared" si="9"/>
        <v>0</v>
      </c>
      <c r="G152" s="134"/>
      <c r="H152" s="135"/>
      <c r="I152" s="136">
        <f t="shared" si="10"/>
        <v>0</v>
      </c>
      <c r="J152" s="134"/>
      <c r="K152" s="135"/>
      <c r="L152" s="136">
        <f t="shared" si="11"/>
        <v>0</v>
      </c>
      <c r="M152" s="284"/>
      <c r="N152" s="285"/>
      <c r="O152" s="136">
        <f t="shared" si="12"/>
        <v>0</v>
      </c>
      <c r="P152" s="85"/>
    </row>
    <row r="153" spans="1:16" ht="24" hidden="1" x14ac:dyDescent="0.25">
      <c r="A153" s="76">
        <v>2359</v>
      </c>
      <c r="B153" s="127" t="s">
        <v>169</v>
      </c>
      <c r="C153" s="128">
        <f t="shared" si="8"/>
        <v>0</v>
      </c>
      <c r="D153" s="134"/>
      <c r="E153" s="283"/>
      <c r="F153" s="279">
        <f t="shared" si="9"/>
        <v>0</v>
      </c>
      <c r="G153" s="134"/>
      <c r="H153" s="135"/>
      <c r="I153" s="136">
        <f t="shared" si="10"/>
        <v>0</v>
      </c>
      <c r="J153" s="134"/>
      <c r="K153" s="135"/>
      <c r="L153" s="136">
        <f t="shared" si="11"/>
        <v>0</v>
      </c>
      <c r="M153" s="284"/>
      <c r="N153" s="285"/>
      <c r="O153" s="136">
        <f t="shared" si="12"/>
        <v>0</v>
      </c>
      <c r="P153" s="85"/>
    </row>
    <row r="154" spans="1:16" ht="24" hidden="1" x14ac:dyDescent="0.25">
      <c r="A154" s="276">
        <v>2360</v>
      </c>
      <c r="B154" s="127" t="s">
        <v>170</v>
      </c>
      <c r="C154" s="128">
        <f t="shared" si="8"/>
        <v>0</v>
      </c>
      <c r="D154" s="277">
        <f>SUM(D155:D161)</f>
        <v>0</v>
      </c>
      <c r="E154" s="278">
        <f>SUM(E155:E161)</f>
        <v>0</v>
      </c>
      <c r="F154" s="279">
        <f t="shared" si="9"/>
        <v>0</v>
      </c>
      <c r="G154" s="277">
        <f>SUM(G155:G161)</f>
        <v>0</v>
      </c>
      <c r="H154" s="280">
        <f>SUM(H155:H161)</f>
        <v>0</v>
      </c>
      <c r="I154" s="136">
        <f t="shared" si="10"/>
        <v>0</v>
      </c>
      <c r="J154" s="277">
        <f>SUM(J155:J161)</f>
        <v>0</v>
      </c>
      <c r="K154" s="280">
        <f>SUM(K155:K161)</f>
        <v>0</v>
      </c>
      <c r="L154" s="136">
        <f t="shared" si="11"/>
        <v>0</v>
      </c>
      <c r="M154" s="281">
        <f>SUM(M155:M161)</f>
        <v>0</v>
      </c>
      <c r="N154" s="282">
        <f>SUM(N155:N161)</f>
        <v>0</v>
      </c>
      <c r="O154" s="136">
        <f t="shared" si="12"/>
        <v>0</v>
      </c>
      <c r="P154" s="85"/>
    </row>
    <row r="155" spans="1:16" hidden="1" x14ac:dyDescent="0.25">
      <c r="A155" s="75">
        <v>2361</v>
      </c>
      <c r="B155" s="127" t="s">
        <v>171</v>
      </c>
      <c r="C155" s="128">
        <f t="shared" si="8"/>
        <v>0</v>
      </c>
      <c r="D155" s="134"/>
      <c r="E155" s="283"/>
      <c r="F155" s="279">
        <f t="shared" si="9"/>
        <v>0</v>
      </c>
      <c r="G155" s="134"/>
      <c r="H155" s="135"/>
      <c r="I155" s="136">
        <f t="shared" si="10"/>
        <v>0</v>
      </c>
      <c r="J155" s="134"/>
      <c r="K155" s="135"/>
      <c r="L155" s="136">
        <f t="shared" si="11"/>
        <v>0</v>
      </c>
      <c r="M155" s="284"/>
      <c r="N155" s="285"/>
      <c r="O155" s="136">
        <f t="shared" si="12"/>
        <v>0</v>
      </c>
      <c r="P155" s="85"/>
    </row>
    <row r="156" spans="1:16" ht="24" hidden="1" x14ac:dyDescent="0.25">
      <c r="A156" s="75">
        <v>2362</v>
      </c>
      <c r="B156" s="127" t="s">
        <v>172</v>
      </c>
      <c r="C156" s="128">
        <f t="shared" si="8"/>
        <v>0</v>
      </c>
      <c r="D156" s="134"/>
      <c r="E156" s="283"/>
      <c r="F156" s="279">
        <f t="shared" si="9"/>
        <v>0</v>
      </c>
      <c r="G156" s="134"/>
      <c r="H156" s="135"/>
      <c r="I156" s="136">
        <f t="shared" si="10"/>
        <v>0</v>
      </c>
      <c r="J156" s="134"/>
      <c r="K156" s="135"/>
      <c r="L156" s="136">
        <f t="shared" si="11"/>
        <v>0</v>
      </c>
      <c r="M156" s="284"/>
      <c r="N156" s="285"/>
      <c r="O156" s="136">
        <f t="shared" si="12"/>
        <v>0</v>
      </c>
      <c r="P156" s="85"/>
    </row>
    <row r="157" spans="1:16" hidden="1" x14ac:dyDescent="0.25">
      <c r="A157" s="75">
        <v>2363</v>
      </c>
      <c r="B157" s="127" t="s">
        <v>173</v>
      </c>
      <c r="C157" s="128">
        <f t="shared" si="8"/>
        <v>0</v>
      </c>
      <c r="D157" s="134"/>
      <c r="E157" s="283"/>
      <c r="F157" s="279">
        <f t="shared" si="9"/>
        <v>0</v>
      </c>
      <c r="G157" s="134"/>
      <c r="H157" s="135"/>
      <c r="I157" s="136">
        <f t="shared" si="10"/>
        <v>0</v>
      </c>
      <c r="J157" s="134"/>
      <c r="K157" s="135"/>
      <c r="L157" s="136">
        <f t="shared" si="11"/>
        <v>0</v>
      </c>
      <c r="M157" s="284"/>
      <c r="N157" s="285"/>
      <c r="O157" s="136">
        <f t="shared" si="12"/>
        <v>0</v>
      </c>
      <c r="P157" s="85"/>
    </row>
    <row r="158" spans="1:16" hidden="1" x14ac:dyDescent="0.25">
      <c r="A158" s="75">
        <v>2364</v>
      </c>
      <c r="B158" s="127" t="s">
        <v>174</v>
      </c>
      <c r="C158" s="128">
        <f t="shared" si="8"/>
        <v>0</v>
      </c>
      <c r="D158" s="134"/>
      <c r="E158" s="283"/>
      <c r="F158" s="279">
        <f t="shared" si="9"/>
        <v>0</v>
      </c>
      <c r="G158" s="134"/>
      <c r="H158" s="135"/>
      <c r="I158" s="136">
        <f t="shared" si="10"/>
        <v>0</v>
      </c>
      <c r="J158" s="134"/>
      <c r="K158" s="135"/>
      <c r="L158" s="136">
        <f t="shared" si="11"/>
        <v>0</v>
      </c>
      <c r="M158" s="284"/>
      <c r="N158" s="285"/>
      <c r="O158" s="136">
        <f t="shared" si="12"/>
        <v>0</v>
      </c>
      <c r="P158" s="85"/>
    </row>
    <row r="159" spans="1:16" hidden="1" x14ac:dyDescent="0.25">
      <c r="A159" s="75">
        <v>2365</v>
      </c>
      <c r="B159" s="127" t="s">
        <v>175</v>
      </c>
      <c r="C159" s="128">
        <f t="shared" si="8"/>
        <v>0</v>
      </c>
      <c r="D159" s="134"/>
      <c r="E159" s="283"/>
      <c r="F159" s="279">
        <f t="shared" si="9"/>
        <v>0</v>
      </c>
      <c r="G159" s="134"/>
      <c r="H159" s="135"/>
      <c r="I159" s="136">
        <f t="shared" si="10"/>
        <v>0</v>
      </c>
      <c r="J159" s="134"/>
      <c r="K159" s="135"/>
      <c r="L159" s="136">
        <f t="shared" si="11"/>
        <v>0</v>
      </c>
      <c r="M159" s="284"/>
      <c r="N159" s="285"/>
      <c r="O159" s="136">
        <f t="shared" si="12"/>
        <v>0</v>
      </c>
      <c r="P159" s="85"/>
    </row>
    <row r="160" spans="1:16" ht="36" hidden="1" x14ac:dyDescent="0.25">
      <c r="A160" s="75">
        <v>2366</v>
      </c>
      <c r="B160" s="127" t="s">
        <v>176</v>
      </c>
      <c r="C160" s="128">
        <f t="shared" si="8"/>
        <v>0</v>
      </c>
      <c r="D160" s="134"/>
      <c r="E160" s="283"/>
      <c r="F160" s="279">
        <f t="shared" si="9"/>
        <v>0</v>
      </c>
      <c r="G160" s="134"/>
      <c r="H160" s="135"/>
      <c r="I160" s="136">
        <f t="shared" si="10"/>
        <v>0</v>
      </c>
      <c r="J160" s="134"/>
      <c r="K160" s="135"/>
      <c r="L160" s="136">
        <f t="shared" si="11"/>
        <v>0</v>
      </c>
      <c r="M160" s="284"/>
      <c r="N160" s="285"/>
      <c r="O160" s="136">
        <f t="shared" si="12"/>
        <v>0</v>
      </c>
      <c r="P160" s="85"/>
    </row>
    <row r="161" spans="1:16" ht="48" hidden="1" x14ac:dyDescent="0.25">
      <c r="A161" s="75">
        <v>2369</v>
      </c>
      <c r="B161" s="127" t="s">
        <v>177</v>
      </c>
      <c r="C161" s="128">
        <f t="shared" si="8"/>
        <v>0</v>
      </c>
      <c r="D161" s="134"/>
      <c r="E161" s="283"/>
      <c r="F161" s="279">
        <f t="shared" si="9"/>
        <v>0</v>
      </c>
      <c r="G161" s="134"/>
      <c r="H161" s="135"/>
      <c r="I161" s="136">
        <f t="shared" si="10"/>
        <v>0</v>
      </c>
      <c r="J161" s="134"/>
      <c r="K161" s="135"/>
      <c r="L161" s="136">
        <f t="shared" si="11"/>
        <v>0</v>
      </c>
      <c r="M161" s="284"/>
      <c r="N161" s="285"/>
      <c r="O161" s="136">
        <f t="shared" si="12"/>
        <v>0</v>
      </c>
      <c r="P161" s="85"/>
    </row>
    <row r="162" spans="1:16" hidden="1" x14ac:dyDescent="0.25">
      <c r="A162" s="254">
        <v>2370</v>
      </c>
      <c r="B162" s="179" t="s">
        <v>178</v>
      </c>
      <c r="C162" s="128">
        <f t="shared" si="8"/>
        <v>0</v>
      </c>
      <c r="D162" s="287"/>
      <c r="E162" s="288"/>
      <c r="F162" s="257">
        <f t="shared" si="9"/>
        <v>0</v>
      </c>
      <c r="G162" s="287"/>
      <c r="H162" s="289"/>
      <c r="I162" s="259">
        <f t="shared" si="10"/>
        <v>0</v>
      </c>
      <c r="J162" s="287"/>
      <c r="K162" s="289"/>
      <c r="L162" s="259">
        <f t="shared" si="11"/>
        <v>0</v>
      </c>
      <c r="M162" s="290"/>
      <c r="N162" s="291"/>
      <c r="O162" s="259">
        <f t="shared" si="12"/>
        <v>0</v>
      </c>
      <c r="P162" s="189"/>
    </row>
    <row r="163" spans="1:16" hidden="1" x14ac:dyDescent="0.25">
      <c r="A163" s="254">
        <v>2380</v>
      </c>
      <c r="B163" s="179" t="s">
        <v>179</v>
      </c>
      <c r="C163" s="128">
        <f t="shared" si="8"/>
        <v>0</v>
      </c>
      <c r="D163" s="255">
        <f>SUM(D164:D165)</f>
        <v>0</v>
      </c>
      <c r="E163" s="256">
        <f>SUM(E164:E165)</f>
        <v>0</v>
      </c>
      <c r="F163" s="257">
        <f t="shared" si="9"/>
        <v>0</v>
      </c>
      <c r="G163" s="255">
        <f>SUM(G164:G165)</f>
        <v>0</v>
      </c>
      <c r="H163" s="258">
        <f>SUM(H164:H165)</f>
        <v>0</v>
      </c>
      <c r="I163" s="259">
        <f t="shared" si="10"/>
        <v>0</v>
      </c>
      <c r="J163" s="255">
        <f>SUM(J164:J165)</f>
        <v>0</v>
      </c>
      <c r="K163" s="258">
        <f>SUM(K164:K165)</f>
        <v>0</v>
      </c>
      <c r="L163" s="259">
        <f t="shared" si="11"/>
        <v>0</v>
      </c>
      <c r="M163" s="260">
        <f>SUM(M164:M165)</f>
        <v>0</v>
      </c>
      <c r="N163" s="261">
        <f>SUM(N164:N165)</f>
        <v>0</v>
      </c>
      <c r="O163" s="259">
        <f t="shared" si="12"/>
        <v>0</v>
      </c>
      <c r="P163" s="189"/>
    </row>
    <row r="164" spans="1:16" hidden="1" x14ac:dyDescent="0.25">
      <c r="A164" s="65">
        <v>2381</v>
      </c>
      <c r="B164" s="116" t="s">
        <v>180</v>
      </c>
      <c r="C164" s="128">
        <f t="shared" si="8"/>
        <v>0</v>
      </c>
      <c r="D164" s="123"/>
      <c r="E164" s="295"/>
      <c r="F164" s="296">
        <f t="shared" si="9"/>
        <v>0</v>
      </c>
      <c r="G164" s="123"/>
      <c r="H164" s="124"/>
      <c r="I164" s="125">
        <f t="shared" si="10"/>
        <v>0</v>
      </c>
      <c r="J164" s="123"/>
      <c r="K164" s="124"/>
      <c r="L164" s="125">
        <f t="shared" si="11"/>
        <v>0</v>
      </c>
      <c r="M164" s="264"/>
      <c r="N164" s="262"/>
      <c r="O164" s="125">
        <f t="shared" si="12"/>
        <v>0</v>
      </c>
      <c r="P164" s="74"/>
    </row>
    <row r="165" spans="1:16" ht="24" hidden="1" x14ac:dyDescent="0.25">
      <c r="A165" s="75">
        <v>2389</v>
      </c>
      <c r="B165" s="127" t="s">
        <v>181</v>
      </c>
      <c r="C165" s="128">
        <f t="shared" si="8"/>
        <v>0</v>
      </c>
      <c r="D165" s="134"/>
      <c r="E165" s="283"/>
      <c r="F165" s="279">
        <f t="shared" si="9"/>
        <v>0</v>
      </c>
      <c r="G165" s="134"/>
      <c r="H165" s="135"/>
      <c r="I165" s="136">
        <f t="shared" si="10"/>
        <v>0</v>
      </c>
      <c r="J165" s="134"/>
      <c r="K165" s="135"/>
      <c r="L165" s="136">
        <f t="shared" si="11"/>
        <v>0</v>
      </c>
      <c r="M165" s="284"/>
      <c r="N165" s="285"/>
      <c r="O165" s="136">
        <f t="shared" si="12"/>
        <v>0</v>
      </c>
      <c r="P165" s="85"/>
    </row>
    <row r="166" spans="1:16" hidden="1" x14ac:dyDescent="0.25">
      <c r="A166" s="254">
        <v>2390</v>
      </c>
      <c r="B166" s="179" t="s">
        <v>182</v>
      </c>
      <c r="C166" s="128">
        <f t="shared" si="8"/>
        <v>0</v>
      </c>
      <c r="D166" s="287"/>
      <c r="E166" s="288"/>
      <c r="F166" s="257">
        <f t="shared" si="9"/>
        <v>0</v>
      </c>
      <c r="G166" s="287"/>
      <c r="H166" s="289"/>
      <c r="I166" s="259">
        <f t="shared" si="10"/>
        <v>0</v>
      </c>
      <c r="J166" s="287"/>
      <c r="K166" s="289"/>
      <c r="L166" s="259">
        <f t="shared" si="11"/>
        <v>0</v>
      </c>
      <c r="M166" s="290"/>
      <c r="N166" s="291"/>
      <c r="O166" s="259">
        <f t="shared" si="12"/>
        <v>0</v>
      </c>
      <c r="P166" s="189"/>
    </row>
    <row r="167" spans="1:16" hidden="1" x14ac:dyDescent="0.25">
      <c r="A167" s="99">
        <v>2400</v>
      </c>
      <c r="B167" s="247" t="s">
        <v>183</v>
      </c>
      <c r="C167" s="100">
        <f t="shared" si="8"/>
        <v>0</v>
      </c>
      <c r="D167" s="311"/>
      <c r="E167" s="712"/>
      <c r="F167" s="249">
        <f t="shared" si="9"/>
        <v>0</v>
      </c>
      <c r="G167" s="311"/>
      <c r="H167" s="314"/>
      <c r="I167" s="114">
        <f t="shared" si="10"/>
        <v>0</v>
      </c>
      <c r="J167" s="311"/>
      <c r="K167" s="314"/>
      <c r="L167" s="114">
        <f t="shared" si="11"/>
        <v>0</v>
      </c>
      <c r="M167" s="315"/>
      <c r="N167" s="312"/>
      <c r="O167" s="114">
        <f t="shared" si="12"/>
        <v>0</v>
      </c>
      <c r="P167" s="109"/>
    </row>
    <row r="168" spans="1:16" ht="24" hidden="1" x14ac:dyDescent="0.25">
      <c r="A168" s="99">
        <v>2500</v>
      </c>
      <c r="B168" s="247" t="s">
        <v>184</v>
      </c>
      <c r="C168" s="100">
        <f t="shared" si="8"/>
        <v>0</v>
      </c>
      <c r="D168" s="112">
        <f>SUM(D169,D174)</f>
        <v>0</v>
      </c>
      <c r="E168" s="248">
        <f>SUM(E169,E174)</f>
        <v>0</v>
      </c>
      <c r="F168" s="249">
        <f t="shared" si="9"/>
        <v>0</v>
      </c>
      <c r="G168" s="112">
        <f>SUM(G169,G174)</f>
        <v>0</v>
      </c>
      <c r="H168" s="113">
        <f>SUM(H169,H174)</f>
        <v>0</v>
      </c>
      <c r="I168" s="114">
        <f t="shared" si="10"/>
        <v>0</v>
      </c>
      <c r="J168" s="112">
        <f>SUM(J169,J174)</f>
        <v>0</v>
      </c>
      <c r="K168" s="113">
        <f>SUM(K169,K174)</f>
        <v>0</v>
      </c>
      <c r="L168" s="114">
        <f t="shared" si="11"/>
        <v>0</v>
      </c>
      <c r="M168" s="250">
        <f>SUM(M169,M174)</f>
        <v>0</v>
      </c>
      <c r="N168" s="251">
        <f>SUM(N169,N174)</f>
        <v>0</v>
      </c>
      <c r="O168" s="252">
        <f t="shared" si="12"/>
        <v>0</v>
      </c>
      <c r="P168" s="253"/>
    </row>
    <row r="169" spans="1:16" hidden="1" x14ac:dyDescent="0.25">
      <c r="A169" s="1036">
        <v>2510</v>
      </c>
      <c r="B169" s="116" t="s">
        <v>185</v>
      </c>
      <c r="C169" s="117">
        <f t="shared" si="8"/>
        <v>0</v>
      </c>
      <c r="D169" s="297">
        <f>SUM(D170:D173)</f>
        <v>0</v>
      </c>
      <c r="E169" s="298">
        <f>SUM(E170:E173)</f>
        <v>0</v>
      </c>
      <c r="F169" s="296">
        <f t="shared" si="9"/>
        <v>0</v>
      </c>
      <c r="G169" s="297">
        <f>SUM(G170:G173)</f>
        <v>0</v>
      </c>
      <c r="H169" s="299">
        <f>SUM(H170:H173)</f>
        <v>0</v>
      </c>
      <c r="I169" s="125">
        <f t="shared" si="10"/>
        <v>0</v>
      </c>
      <c r="J169" s="297">
        <f>SUM(J170:J173)</f>
        <v>0</v>
      </c>
      <c r="K169" s="299">
        <f>SUM(K170:K173)</f>
        <v>0</v>
      </c>
      <c r="L169" s="125">
        <f t="shared" si="11"/>
        <v>0</v>
      </c>
      <c r="M169" s="317">
        <f>SUM(M170:M173)</f>
        <v>0</v>
      </c>
      <c r="N169" s="318">
        <f>SUM(N170:N173)</f>
        <v>0</v>
      </c>
      <c r="O169" s="151">
        <f t="shared" si="12"/>
        <v>0</v>
      </c>
      <c r="P169" s="153"/>
    </row>
    <row r="170" spans="1:16" ht="24" hidden="1" x14ac:dyDescent="0.25">
      <c r="A170" s="76">
        <v>2512</v>
      </c>
      <c r="B170" s="127" t="s">
        <v>186</v>
      </c>
      <c r="C170" s="128">
        <f t="shared" si="8"/>
        <v>0</v>
      </c>
      <c r="D170" s="134"/>
      <c r="E170" s="283"/>
      <c r="F170" s="279">
        <f t="shared" si="9"/>
        <v>0</v>
      </c>
      <c r="G170" s="134"/>
      <c r="H170" s="135"/>
      <c r="I170" s="136">
        <f t="shared" si="10"/>
        <v>0</v>
      </c>
      <c r="J170" s="134"/>
      <c r="K170" s="135"/>
      <c r="L170" s="136">
        <f t="shared" si="11"/>
        <v>0</v>
      </c>
      <c r="M170" s="284"/>
      <c r="N170" s="285"/>
      <c r="O170" s="136">
        <f t="shared" si="12"/>
        <v>0</v>
      </c>
      <c r="P170" s="85"/>
    </row>
    <row r="171" spans="1:16" ht="36" hidden="1" x14ac:dyDescent="0.25">
      <c r="A171" s="76">
        <v>2513</v>
      </c>
      <c r="B171" s="127" t="s">
        <v>187</v>
      </c>
      <c r="C171" s="128">
        <f t="shared" si="8"/>
        <v>0</v>
      </c>
      <c r="D171" s="134"/>
      <c r="E171" s="283"/>
      <c r="F171" s="279">
        <f t="shared" si="9"/>
        <v>0</v>
      </c>
      <c r="G171" s="134"/>
      <c r="H171" s="135"/>
      <c r="I171" s="136">
        <f t="shared" si="10"/>
        <v>0</v>
      </c>
      <c r="J171" s="134"/>
      <c r="K171" s="135"/>
      <c r="L171" s="136">
        <f t="shared" si="11"/>
        <v>0</v>
      </c>
      <c r="M171" s="284"/>
      <c r="N171" s="285"/>
      <c r="O171" s="136">
        <f t="shared" si="12"/>
        <v>0</v>
      </c>
      <c r="P171" s="85"/>
    </row>
    <row r="172" spans="1:16" ht="24" hidden="1" x14ac:dyDescent="0.25">
      <c r="A172" s="76">
        <v>2515</v>
      </c>
      <c r="B172" s="127" t="s">
        <v>188</v>
      </c>
      <c r="C172" s="128">
        <f t="shared" si="8"/>
        <v>0</v>
      </c>
      <c r="D172" s="134"/>
      <c r="E172" s="283"/>
      <c r="F172" s="279">
        <f t="shared" si="9"/>
        <v>0</v>
      </c>
      <c r="G172" s="134"/>
      <c r="H172" s="135"/>
      <c r="I172" s="136">
        <f t="shared" si="10"/>
        <v>0</v>
      </c>
      <c r="J172" s="134"/>
      <c r="K172" s="135"/>
      <c r="L172" s="136">
        <f t="shared" si="11"/>
        <v>0</v>
      </c>
      <c r="M172" s="284"/>
      <c r="N172" s="285"/>
      <c r="O172" s="136">
        <f t="shared" si="12"/>
        <v>0</v>
      </c>
      <c r="P172" s="85"/>
    </row>
    <row r="173" spans="1:16" ht="24" hidden="1" x14ac:dyDescent="0.25">
      <c r="A173" s="76">
        <v>2519</v>
      </c>
      <c r="B173" s="127" t="s">
        <v>189</v>
      </c>
      <c r="C173" s="128">
        <f t="shared" si="8"/>
        <v>0</v>
      </c>
      <c r="D173" s="134"/>
      <c r="E173" s="283"/>
      <c r="F173" s="279">
        <f t="shared" si="9"/>
        <v>0</v>
      </c>
      <c r="G173" s="134"/>
      <c r="H173" s="135"/>
      <c r="I173" s="136">
        <f t="shared" si="10"/>
        <v>0</v>
      </c>
      <c r="J173" s="134"/>
      <c r="K173" s="135"/>
      <c r="L173" s="136">
        <f t="shared" si="11"/>
        <v>0</v>
      </c>
      <c r="M173" s="284"/>
      <c r="N173" s="285"/>
      <c r="O173" s="136">
        <f t="shared" si="12"/>
        <v>0</v>
      </c>
      <c r="P173" s="85"/>
    </row>
    <row r="174" spans="1:16" ht="24" hidden="1" x14ac:dyDescent="0.25">
      <c r="A174" s="276">
        <v>2520</v>
      </c>
      <c r="B174" s="127" t="s">
        <v>190</v>
      </c>
      <c r="C174" s="128">
        <f t="shared" si="8"/>
        <v>0</v>
      </c>
      <c r="D174" s="134"/>
      <c r="E174" s="283"/>
      <c r="F174" s="279">
        <f t="shared" si="9"/>
        <v>0</v>
      </c>
      <c r="G174" s="134"/>
      <c r="H174" s="135"/>
      <c r="I174" s="136">
        <f t="shared" si="10"/>
        <v>0</v>
      </c>
      <c r="J174" s="134"/>
      <c r="K174" s="135"/>
      <c r="L174" s="136">
        <f t="shared" si="11"/>
        <v>0</v>
      </c>
      <c r="M174" s="284"/>
      <c r="N174" s="285"/>
      <c r="O174" s="136">
        <f t="shared" si="12"/>
        <v>0</v>
      </c>
      <c r="P174" s="85"/>
    </row>
    <row r="175" spans="1:16" s="319" customFormat="1" ht="48" hidden="1" x14ac:dyDescent="0.25">
      <c r="A175" s="31">
        <v>2800</v>
      </c>
      <c r="B175" s="116" t="s">
        <v>191</v>
      </c>
      <c r="C175" s="117">
        <f t="shared" si="8"/>
        <v>0</v>
      </c>
      <c r="D175" s="68"/>
      <c r="E175" s="673"/>
      <c r="F175" s="625">
        <f t="shared" si="9"/>
        <v>0</v>
      </c>
      <c r="G175" s="68"/>
      <c r="H175" s="71"/>
      <c r="I175" s="72">
        <f t="shared" si="10"/>
        <v>0</v>
      </c>
      <c r="J175" s="68"/>
      <c r="K175" s="71"/>
      <c r="L175" s="72">
        <f t="shared" si="11"/>
        <v>0</v>
      </c>
      <c r="M175" s="73"/>
      <c r="N175" s="69"/>
      <c r="O175" s="72">
        <f t="shared" si="12"/>
        <v>0</v>
      </c>
      <c r="P175" s="74"/>
    </row>
    <row r="176" spans="1:16" x14ac:dyDescent="0.25">
      <c r="A176" s="237">
        <v>3000</v>
      </c>
      <c r="B176" s="237" t="s">
        <v>192</v>
      </c>
      <c r="C176" s="238">
        <f t="shared" si="8"/>
        <v>450710</v>
      </c>
      <c r="D176" s="239">
        <f>SUM(D177,D187)</f>
        <v>466010</v>
      </c>
      <c r="E176" s="240">
        <f>SUM(E177,E187)</f>
        <v>-15300</v>
      </c>
      <c r="F176" s="241">
        <f t="shared" si="9"/>
        <v>450710</v>
      </c>
      <c r="G176" s="239">
        <f>SUM(G177,G187)</f>
        <v>0</v>
      </c>
      <c r="H176" s="242">
        <f>SUM(H177,H187)</f>
        <v>0</v>
      </c>
      <c r="I176" s="243">
        <f t="shared" si="10"/>
        <v>0</v>
      </c>
      <c r="J176" s="239">
        <f>SUM(J177,J187)</f>
        <v>0</v>
      </c>
      <c r="K176" s="242">
        <f>SUM(K177,K187)</f>
        <v>0</v>
      </c>
      <c r="L176" s="243">
        <f t="shared" si="11"/>
        <v>0</v>
      </c>
      <c r="M176" s="244">
        <f>SUM(M177,M187)</f>
        <v>0</v>
      </c>
      <c r="N176" s="245">
        <f>SUM(N177,N187)</f>
        <v>0</v>
      </c>
      <c r="O176" s="243">
        <f t="shared" si="12"/>
        <v>0</v>
      </c>
      <c r="P176" s="246"/>
    </row>
    <row r="177" spans="1:16" ht="24" x14ac:dyDescent="0.25">
      <c r="A177" s="99">
        <v>3200</v>
      </c>
      <c r="B177" s="321" t="s">
        <v>193</v>
      </c>
      <c r="C177" s="100">
        <f t="shared" si="8"/>
        <v>450710</v>
      </c>
      <c r="D177" s="112">
        <f>SUM(D178,D182)</f>
        <v>466010</v>
      </c>
      <c r="E177" s="248">
        <f>SUM(E178,E182)</f>
        <v>-15300</v>
      </c>
      <c r="F177" s="249">
        <f t="shared" si="9"/>
        <v>450710</v>
      </c>
      <c r="G177" s="112">
        <f>SUM(G178,G182)</f>
        <v>0</v>
      </c>
      <c r="H177" s="113">
        <f>SUM(H178,H182)</f>
        <v>0</v>
      </c>
      <c r="I177" s="114">
        <f t="shared" si="10"/>
        <v>0</v>
      </c>
      <c r="J177" s="112">
        <f>SUM(J178,J182)</f>
        <v>0</v>
      </c>
      <c r="K177" s="113">
        <f>SUM(K178,K182)</f>
        <v>0</v>
      </c>
      <c r="L177" s="114">
        <f t="shared" si="11"/>
        <v>0</v>
      </c>
      <c r="M177" s="250">
        <f>SUM(M178,M182)</f>
        <v>0</v>
      </c>
      <c r="N177" s="251">
        <f>SUM(N178,N182)</f>
        <v>0</v>
      </c>
      <c r="O177" s="252">
        <f t="shared" si="12"/>
        <v>0</v>
      </c>
      <c r="P177" s="253"/>
    </row>
    <row r="178" spans="1:16" ht="36" x14ac:dyDescent="0.25">
      <c r="A178" s="1036">
        <v>3260</v>
      </c>
      <c r="B178" s="116" t="s">
        <v>194</v>
      </c>
      <c r="C178" s="117">
        <f t="shared" si="8"/>
        <v>450710</v>
      </c>
      <c r="D178" s="297">
        <f>SUM(D179:D181)</f>
        <v>466010</v>
      </c>
      <c r="E178" s="298">
        <f>SUM(E179:E181)</f>
        <v>-15300</v>
      </c>
      <c r="F178" s="296">
        <f t="shared" si="9"/>
        <v>450710</v>
      </c>
      <c r="G178" s="297">
        <f>SUM(G179:G181)</f>
        <v>0</v>
      </c>
      <c r="H178" s="299">
        <f>SUM(H179:H181)</f>
        <v>0</v>
      </c>
      <c r="I178" s="125">
        <f t="shared" si="10"/>
        <v>0</v>
      </c>
      <c r="J178" s="297">
        <f>SUM(J179:J181)</f>
        <v>0</v>
      </c>
      <c r="K178" s="299">
        <f>SUM(K179:K181)</f>
        <v>0</v>
      </c>
      <c r="L178" s="125">
        <f t="shared" si="11"/>
        <v>0</v>
      </c>
      <c r="M178" s="300">
        <f>SUM(M179:M181)</f>
        <v>0</v>
      </c>
      <c r="N178" s="301">
        <f>SUM(N179:N181)</f>
        <v>0</v>
      </c>
      <c r="O178" s="125">
        <f t="shared" si="12"/>
        <v>0</v>
      </c>
      <c r="P178" s="74"/>
    </row>
    <row r="179" spans="1:16" ht="24" x14ac:dyDescent="0.25">
      <c r="A179" s="76">
        <v>3261</v>
      </c>
      <c r="B179" s="127" t="s">
        <v>195</v>
      </c>
      <c r="C179" s="128">
        <f t="shared" si="8"/>
        <v>450710</v>
      </c>
      <c r="D179" s="134">
        <v>466010</v>
      </c>
      <c r="E179" s="283">
        <v>-15300</v>
      </c>
      <c r="F179" s="279">
        <f t="shared" si="9"/>
        <v>450710</v>
      </c>
      <c r="G179" s="134"/>
      <c r="H179" s="135"/>
      <c r="I179" s="136">
        <f t="shared" si="10"/>
        <v>0</v>
      </c>
      <c r="J179" s="134"/>
      <c r="K179" s="135"/>
      <c r="L179" s="136">
        <f t="shared" si="11"/>
        <v>0</v>
      </c>
      <c r="M179" s="284"/>
      <c r="N179" s="285"/>
      <c r="O179" s="136">
        <f t="shared" si="12"/>
        <v>0</v>
      </c>
      <c r="P179" s="85"/>
    </row>
    <row r="180" spans="1:16" ht="36" hidden="1" x14ac:dyDescent="0.25">
      <c r="A180" s="76">
        <v>3262</v>
      </c>
      <c r="B180" s="127" t="s">
        <v>196</v>
      </c>
      <c r="C180" s="128">
        <f t="shared" si="8"/>
        <v>0</v>
      </c>
      <c r="D180" s="134"/>
      <c r="E180" s="283"/>
      <c r="F180" s="279">
        <f t="shared" si="9"/>
        <v>0</v>
      </c>
      <c r="G180" s="134"/>
      <c r="H180" s="135"/>
      <c r="I180" s="136">
        <f t="shared" si="10"/>
        <v>0</v>
      </c>
      <c r="J180" s="134"/>
      <c r="K180" s="135"/>
      <c r="L180" s="136">
        <f t="shared" si="11"/>
        <v>0</v>
      </c>
      <c r="M180" s="284"/>
      <c r="N180" s="285"/>
      <c r="O180" s="136">
        <f t="shared" si="12"/>
        <v>0</v>
      </c>
      <c r="P180" s="85"/>
    </row>
    <row r="181" spans="1:16" ht="24" hidden="1" x14ac:dyDescent="0.25">
      <c r="A181" s="76">
        <v>3263</v>
      </c>
      <c r="B181" s="127" t="s">
        <v>197</v>
      </c>
      <c r="C181" s="128">
        <f t="shared" ref="C181:C244" si="13">F181+I181+L181+O181</f>
        <v>0</v>
      </c>
      <c r="D181" s="134"/>
      <c r="E181" s="283"/>
      <c r="F181" s="279">
        <f t="shared" ref="F181:F244" si="14">D181+E181</f>
        <v>0</v>
      </c>
      <c r="G181" s="134"/>
      <c r="H181" s="135"/>
      <c r="I181" s="136">
        <f t="shared" ref="I181:I244" si="15">G181+H181</f>
        <v>0</v>
      </c>
      <c r="J181" s="134"/>
      <c r="K181" s="135"/>
      <c r="L181" s="136">
        <f t="shared" ref="L181:L244" si="16">J181+K181</f>
        <v>0</v>
      </c>
      <c r="M181" s="284"/>
      <c r="N181" s="285"/>
      <c r="O181" s="136">
        <f t="shared" ref="O181:O244" si="17">M181+N181</f>
        <v>0</v>
      </c>
      <c r="P181" s="85"/>
    </row>
    <row r="182" spans="1:16" ht="84" hidden="1" x14ac:dyDescent="0.25">
      <c r="A182" s="1036">
        <v>3290</v>
      </c>
      <c r="B182" s="116" t="s">
        <v>198</v>
      </c>
      <c r="C182" s="128">
        <f t="shared" si="13"/>
        <v>0</v>
      </c>
      <c r="D182" s="297">
        <f>SUM(D183:D186)</f>
        <v>0</v>
      </c>
      <c r="E182" s="298">
        <f>SUM(E183:E186)</f>
        <v>0</v>
      </c>
      <c r="F182" s="296">
        <f t="shared" si="14"/>
        <v>0</v>
      </c>
      <c r="G182" s="297">
        <f>SUM(G183:G186)</f>
        <v>0</v>
      </c>
      <c r="H182" s="299">
        <f>SUM(H183:H186)</f>
        <v>0</v>
      </c>
      <c r="I182" s="125">
        <f t="shared" si="15"/>
        <v>0</v>
      </c>
      <c r="J182" s="297">
        <f>SUM(J183:J186)</f>
        <v>0</v>
      </c>
      <c r="K182" s="299">
        <f>SUM(K183:K186)</f>
        <v>0</v>
      </c>
      <c r="L182" s="125">
        <f t="shared" si="16"/>
        <v>0</v>
      </c>
      <c r="M182" s="322">
        <f>SUM(M183:M186)</f>
        <v>0</v>
      </c>
      <c r="N182" s="323">
        <f>SUM(N183:N186)</f>
        <v>0</v>
      </c>
      <c r="O182" s="324">
        <f t="shared" si="17"/>
        <v>0</v>
      </c>
      <c r="P182" s="325"/>
    </row>
    <row r="183" spans="1:16" ht="72" hidden="1" x14ac:dyDescent="0.25">
      <c r="A183" s="76">
        <v>3291</v>
      </c>
      <c r="B183" s="127" t="s">
        <v>199</v>
      </c>
      <c r="C183" s="128">
        <f t="shared" si="13"/>
        <v>0</v>
      </c>
      <c r="D183" s="134"/>
      <c r="E183" s="283"/>
      <c r="F183" s="279">
        <f t="shared" si="14"/>
        <v>0</v>
      </c>
      <c r="G183" s="134"/>
      <c r="H183" s="135"/>
      <c r="I183" s="136">
        <f t="shared" si="15"/>
        <v>0</v>
      </c>
      <c r="J183" s="134"/>
      <c r="K183" s="135"/>
      <c r="L183" s="136">
        <f t="shared" si="16"/>
        <v>0</v>
      </c>
      <c r="M183" s="284"/>
      <c r="N183" s="285"/>
      <c r="O183" s="136">
        <f t="shared" si="17"/>
        <v>0</v>
      </c>
      <c r="P183" s="85"/>
    </row>
    <row r="184" spans="1:16" ht="72" hidden="1" x14ac:dyDescent="0.25">
      <c r="A184" s="76">
        <v>3292</v>
      </c>
      <c r="B184" s="127" t="s">
        <v>200</v>
      </c>
      <c r="C184" s="128">
        <f t="shared" si="13"/>
        <v>0</v>
      </c>
      <c r="D184" s="134"/>
      <c r="E184" s="283"/>
      <c r="F184" s="279">
        <f t="shared" si="14"/>
        <v>0</v>
      </c>
      <c r="G184" s="134"/>
      <c r="H184" s="135"/>
      <c r="I184" s="136">
        <f t="shared" si="15"/>
        <v>0</v>
      </c>
      <c r="J184" s="134"/>
      <c r="K184" s="135"/>
      <c r="L184" s="136">
        <f t="shared" si="16"/>
        <v>0</v>
      </c>
      <c r="M184" s="284"/>
      <c r="N184" s="285"/>
      <c r="O184" s="136">
        <f t="shared" si="17"/>
        <v>0</v>
      </c>
      <c r="P184" s="85"/>
    </row>
    <row r="185" spans="1:16" ht="72" hidden="1" x14ac:dyDescent="0.25">
      <c r="A185" s="76">
        <v>3293</v>
      </c>
      <c r="B185" s="127" t="s">
        <v>201</v>
      </c>
      <c r="C185" s="128">
        <f t="shared" si="13"/>
        <v>0</v>
      </c>
      <c r="D185" s="134"/>
      <c r="E185" s="283"/>
      <c r="F185" s="279">
        <f t="shared" si="14"/>
        <v>0</v>
      </c>
      <c r="G185" s="134"/>
      <c r="H185" s="135"/>
      <c r="I185" s="136">
        <f t="shared" si="15"/>
        <v>0</v>
      </c>
      <c r="J185" s="134"/>
      <c r="K185" s="135"/>
      <c r="L185" s="136">
        <f t="shared" si="16"/>
        <v>0</v>
      </c>
      <c r="M185" s="284"/>
      <c r="N185" s="285"/>
      <c r="O185" s="136">
        <f t="shared" si="17"/>
        <v>0</v>
      </c>
      <c r="P185" s="85"/>
    </row>
    <row r="186" spans="1:16" ht="60" hidden="1" x14ac:dyDescent="0.25">
      <c r="A186" s="326">
        <v>3294</v>
      </c>
      <c r="B186" s="127" t="s">
        <v>202</v>
      </c>
      <c r="C186" s="327">
        <f t="shared" si="13"/>
        <v>0</v>
      </c>
      <c r="D186" s="328"/>
      <c r="E186" s="683"/>
      <c r="F186" s="647">
        <f t="shared" si="14"/>
        <v>0</v>
      </c>
      <c r="G186" s="328"/>
      <c r="H186" s="331"/>
      <c r="I186" s="324">
        <f t="shared" si="15"/>
        <v>0</v>
      </c>
      <c r="J186" s="328"/>
      <c r="K186" s="331"/>
      <c r="L186" s="324">
        <f t="shared" si="16"/>
        <v>0</v>
      </c>
      <c r="M186" s="332"/>
      <c r="N186" s="329"/>
      <c r="O186" s="324">
        <f t="shared" si="17"/>
        <v>0</v>
      </c>
      <c r="P186" s="325"/>
    </row>
    <row r="187" spans="1:16" ht="48" hidden="1" x14ac:dyDescent="0.25">
      <c r="A187" s="160">
        <v>3300</v>
      </c>
      <c r="B187" s="321" t="s">
        <v>203</v>
      </c>
      <c r="C187" s="333">
        <f t="shared" si="13"/>
        <v>0</v>
      </c>
      <c r="D187" s="334">
        <f>SUM(D188:D189)</f>
        <v>0</v>
      </c>
      <c r="E187" s="684">
        <f>SUM(E188:E189)</f>
        <v>0</v>
      </c>
      <c r="F187" s="648">
        <f t="shared" si="14"/>
        <v>0</v>
      </c>
      <c r="G187" s="334">
        <f>SUM(G188:G189)</f>
        <v>0</v>
      </c>
      <c r="H187" s="336">
        <f>SUM(H188:H189)</f>
        <v>0</v>
      </c>
      <c r="I187" s="252">
        <f t="shared" si="15"/>
        <v>0</v>
      </c>
      <c r="J187" s="334">
        <f>SUM(J188:J189)</f>
        <v>0</v>
      </c>
      <c r="K187" s="336">
        <f>SUM(K188:K189)</f>
        <v>0</v>
      </c>
      <c r="L187" s="252">
        <f t="shared" si="16"/>
        <v>0</v>
      </c>
      <c r="M187" s="250">
        <f>SUM(M188:M189)</f>
        <v>0</v>
      </c>
      <c r="N187" s="251">
        <f>SUM(N188:N189)</f>
        <v>0</v>
      </c>
      <c r="O187" s="252">
        <f t="shared" si="17"/>
        <v>0</v>
      </c>
      <c r="P187" s="253"/>
    </row>
    <row r="188" spans="1:16" ht="48" hidden="1" x14ac:dyDescent="0.25">
      <c r="A188" s="178">
        <v>3310</v>
      </c>
      <c r="B188" s="179" t="s">
        <v>204</v>
      </c>
      <c r="C188" s="191">
        <f t="shared" si="13"/>
        <v>0</v>
      </c>
      <c r="D188" s="287"/>
      <c r="E188" s="288"/>
      <c r="F188" s="257">
        <f t="shared" si="14"/>
        <v>0</v>
      </c>
      <c r="G188" s="287"/>
      <c r="H188" s="289"/>
      <c r="I188" s="259">
        <f t="shared" si="15"/>
        <v>0</v>
      </c>
      <c r="J188" s="287"/>
      <c r="K188" s="289"/>
      <c r="L188" s="259">
        <f t="shared" si="16"/>
        <v>0</v>
      </c>
      <c r="M188" s="290"/>
      <c r="N188" s="291"/>
      <c r="O188" s="259">
        <f t="shared" si="17"/>
        <v>0</v>
      </c>
      <c r="P188" s="189"/>
    </row>
    <row r="189" spans="1:16" ht="60" hidden="1" x14ac:dyDescent="0.25">
      <c r="A189" s="66">
        <v>3320</v>
      </c>
      <c r="B189" s="116" t="s">
        <v>205</v>
      </c>
      <c r="C189" s="117">
        <f t="shared" si="13"/>
        <v>0</v>
      </c>
      <c r="D189" s="123"/>
      <c r="E189" s="295"/>
      <c r="F189" s="296">
        <f t="shared" si="14"/>
        <v>0</v>
      </c>
      <c r="G189" s="123"/>
      <c r="H189" s="124"/>
      <c r="I189" s="125">
        <f t="shared" si="15"/>
        <v>0</v>
      </c>
      <c r="J189" s="123"/>
      <c r="K189" s="124"/>
      <c r="L189" s="125">
        <f t="shared" si="16"/>
        <v>0</v>
      </c>
      <c r="M189" s="264"/>
      <c r="N189" s="262"/>
      <c r="O189" s="125">
        <f t="shared" si="17"/>
        <v>0</v>
      </c>
      <c r="P189" s="74"/>
    </row>
    <row r="190" spans="1:16" hidden="1" x14ac:dyDescent="0.25">
      <c r="A190" s="337">
        <v>4000</v>
      </c>
      <c r="B190" s="237" t="s">
        <v>206</v>
      </c>
      <c r="C190" s="238">
        <f t="shared" si="13"/>
        <v>0</v>
      </c>
      <c r="D190" s="239">
        <f>SUM(D191,D194)</f>
        <v>0</v>
      </c>
      <c r="E190" s="240">
        <f>SUM(E191,E194)</f>
        <v>0</v>
      </c>
      <c r="F190" s="241">
        <f t="shared" si="14"/>
        <v>0</v>
      </c>
      <c r="G190" s="239">
        <f>SUM(G191,G194)</f>
        <v>0</v>
      </c>
      <c r="H190" s="242">
        <f>SUM(H191,H194)</f>
        <v>0</v>
      </c>
      <c r="I190" s="243">
        <f t="shared" si="15"/>
        <v>0</v>
      </c>
      <c r="J190" s="239">
        <f>SUM(J191,J194)</f>
        <v>0</v>
      </c>
      <c r="K190" s="242">
        <f>SUM(K191,K194)</f>
        <v>0</v>
      </c>
      <c r="L190" s="243">
        <f t="shared" si="16"/>
        <v>0</v>
      </c>
      <c r="M190" s="244">
        <f>SUM(M191,M194)</f>
        <v>0</v>
      </c>
      <c r="N190" s="245">
        <f>SUM(N191,N194)</f>
        <v>0</v>
      </c>
      <c r="O190" s="243">
        <f t="shared" si="17"/>
        <v>0</v>
      </c>
      <c r="P190" s="246"/>
    </row>
    <row r="191" spans="1:16" ht="24" hidden="1" x14ac:dyDescent="0.25">
      <c r="A191" s="338">
        <v>4200</v>
      </c>
      <c r="B191" s="247" t="s">
        <v>207</v>
      </c>
      <c r="C191" s="100">
        <f t="shared" si="13"/>
        <v>0</v>
      </c>
      <c r="D191" s="112">
        <f>SUM(D192,D193)</f>
        <v>0</v>
      </c>
      <c r="E191" s="248">
        <f>SUM(E192,E193)</f>
        <v>0</v>
      </c>
      <c r="F191" s="249">
        <f t="shared" si="14"/>
        <v>0</v>
      </c>
      <c r="G191" s="112">
        <f>SUM(G192,G193)</f>
        <v>0</v>
      </c>
      <c r="H191" s="113">
        <f>SUM(H192,H193)</f>
        <v>0</v>
      </c>
      <c r="I191" s="114">
        <f t="shared" si="15"/>
        <v>0</v>
      </c>
      <c r="J191" s="112">
        <f>SUM(J192,J193)</f>
        <v>0</v>
      </c>
      <c r="K191" s="113">
        <f>SUM(K192,K193)</f>
        <v>0</v>
      </c>
      <c r="L191" s="114">
        <f t="shared" si="16"/>
        <v>0</v>
      </c>
      <c r="M191" s="292">
        <f>SUM(M192,M193)</f>
        <v>0</v>
      </c>
      <c r="N191" s="293">
        <f>SUM(N192,N193)</f>
        <v>0</v>
      </c>
      <c r="O191" s="114">
        <f t="shared" si="17"/>
        <v>0</v>
      </c>
      <c r="P191" s="109"/>
    </row>
    <row r="192" spans="1:16" ht="36" hidden="1" x14ac:dyDescent="0.25">
      <c r="A192" s="1036">
        <v>4240</v>
      </c>
      <c r="B192" s="116" t="s">
        <v>208</v>
      </c>
      <c r="C192" s="117">
        <f t="shared" si="13"/>
        <v>0</v>
      </c>
      <c r="D192" s="123"/>
      <c r="E192" s="295"/>
      <c r="F192" s="296">
        <f t="shared" si="14"/>
        <v>0</v>
      </c>
      <c r="G192" s="123"/>
      <c r="H192" s="124"/>
      <c r="I192" s="125">
        <f t="shared" si="15"/>
        <v>0</v>
      </c>
      <c r="J192" s="123"/>
      <c r="K192" s="124"/>
      <c r="L192" s="125">
        <f t="shared" si="16"/>
        <v>0</v>
      </c>
      <c r="M192" s="264"/>
      <c r="N192" s="262"/>
      <c r="O192" s="125">
        <f t="shared" si="17"/>
        <v>0</v>
      </c>
      <c r="P192" s="74"/>
    </row>
    <row r="193" spans="1:16" ht="24" hidden="1" x14ac:dyDescent="0.25">
      <c r="A193" s="276">
        <v>4250</v>
      </c>
      <c r="B193" s="127" t="s">
        <v>209</v>
      </c>
      <c r="C193" s="128">
        <f t="shared" si="13"/>
        <v>0</v>
      </c>
      <c r="D193" s="134"/>
      <c r="E193" s="283"/>
      <c r="F193" s="279">
        <f t="shared" si="14"/>
        <v>0</v>
      </c>
      <c r="G193" s="134"/>
      <c r="H193" s="135"/>
      <c r="I193" s="136">
        <f t="shared" si="15"/>
        <v>0</v>
      </c>
      <c r="J193" s="134"/>
      <c r="K193" s="135"/>
      <c r="L193" s="136">
        <f t="shared" si="16"/>
        <v>0</v>
      </c>
      <c r="M193" s="284"/>
      <c r="N193" s="285"/>
      <c r="O193" s="136">
        <f t="shared" si="17"/>
        <v>0</v>
      </c>
      <c r="P193" s="85"/>
    </row>
    <row r="194" spans="1:16" hidden="1" x14ac:dyDescent="0.25">
      <c r="A194" s="99">
        <v>4300</v>
      </c>
      <c r="B194" s="247" t="s">
        <v>210</v>
      </c>
      <c r="C194" s="100">
        <f t="shared" si="13"/>
        <v>0</v>
      </c>
      <c r="D194" s="112">
        <f>SUM(D195)</f>
        <v>0</v>
      </c>
      <c r="E194" s="248">
        <f>SUM(E195)</f>
        <v>0</v>
      </c>
      <c r="F194" s="249">
        <f t="shared" si="14"/>
        <v>0</v>
      </c>
      <c r="G194" s="112">
        <f>SUM(G195)</f>
        <v>0</v>
      </c>
      <c r="H194" s="113">
        <f>SUM(H195)</f>
        <v>0</v>
      </c>
      <c r="I194" s="114">
        <f t="shared" si="15"/>
        <v>0</v>
      </c>
      <c r="J194" s="112">
        <f>SUM(J195)</f>
        <v>0</v>
      </c>
      <c r="K194" s="113">
        <f>SUM(K195)</f>
        <v>0</v>
      </c>
      <c r="L194" s="114">
        <f t="shared" si="16"/>
        <v>0</v>
      </c>
      <c r="M194" s="292">
        <f>SUM(M195)</f>
        <v>0</v>
      </c>
      <c r="N194" s="293">
        <f>SUM(N195)</f>
        <v>0</v>
      </c>
      <c r="O194" s="114">
        <f t="shared" si="17"/>
        <v>0</v>
      </c>
      <c r="P194" s="109"/>
    </row>
    <row r="195" spans="1:16" ht="24" hidden="1" x14ac:dyDescent="0.25">
      <c r="A195" s="1036">
        <v>4310</v>
      </c>
      <c r="B195" s="116" t="s">
        <v>211</v>
      </c>
      <c r="C195" s="117">
        <f t="shared" si="13"/>
        <v>0</v>
      </c>
      <c r="D195" s="297">
        <f>SUM(D196:D196)</f>
        <v>0</v>
      </c>
      <c r="E195" s="298">
        <f>SUM(E196:E196)</f>
        <v>0</v>
      </c>
      <c r="F195" s="296">
        <f t="shared" si="14"/>
        <v>0</v>
      </c>
      <c r="G195" s="297">
        <f>SUM(G196:G196)</f>
        <v>0</v>
      </c>
      <c r="H195" s="299">
        <f>SUM(H196:H196)</f>
        <v>0</v>
      </c>
      <c r="I195" s="125">
        <f t="shared" si="15"/>
        <v>0</v>
      </c>
      <c r="J195" s="297">
        <f>SUM(J196:J196)</f>
        <v>0</v>
      </c>
      <c r="K195" s="299">
        <f>SUM(K196:K196)</f>
        <v>0</v>
      </c>
      <c r="L195" s="125">
        <f t="shared" si="16"/>
        <v>0</v>
      </c>
      <c r="M195" s="300">
        <f>SUM(M196:M196)</f>
        <v>0</v>
      </c>
      <c r="N195" s="301">
        <f>SUM(N196:N196)</f>
        <v>0</v>
      </c>
      <c r="O195" s="125">
        <f t="shared" si="17"/>
        <v>0</v>
      </c>
      <c r="P195" s="74"/>
    </row>
    <row r="196" spans="1:16" ht="36" hidden="1" x14ac:dyDescent="0.25">
      <c r="A196" s="76">
        <v>4311</v>
      </c>
      <c r="B196" s="127" t="s">
        <v>212</v>
      </c>
      <c r="C196" s="128">
        <f t="shared" si="13"/>
        <v>0</v>
      </c>
      <c r="D196" s="134"/>
      <c r="E196" s="283"/>
      <c r="F196" s="279">
        <f t="shared" si="14"/>
        <v>0</v>
      </c>
      <c r="G196" s="134"/>
      <c r="H196" s="135"/>
      <c r="I196" s="136">
        <f t="shared" si="15"/>
        <v>0</v>
      </c>
      <c r="J196" s="134"/>
      <c r="K196" s="135"/>
      <c r="L196" s="136">
        <f t="shared" si="16"/>
        <v>0</v>
      </c>
      <c r="M196" s="284"/>
      <c r="N196" s="285"/>
      <c r="O196" s="136">
        <f t="shared" si="17"/>
        <v>0</v>
      </c>
      <c r="P196" s="85"/>
    </row>
    <row r="197" spans="1:16" s="41" customFormat="1" ht="24" hidden="1" x14ac:dyDescent="0.25">
      <c r="A197" s="339"/>
      <c r="B197" s="31" t="s">
        <v>213</v>
      </c>
      <c r="C197" s="229">
        <f t="shared" si="13"/>
        <v>0</v>
      </c>
      <c r="D197" s="230">
        <f>SUM(D198,D233,D271)</f>
        <v>0</v>
      </c>
      <c r="E197" s="231">
        <f>SUM(E198,E233,E271)</f>
        <v>0</v>
      </c>
      <c r="F197" s="232">
        <f t="shared" si="14"/>
        <v>0</v>
      </c>
      <c r="G197" s="230">
        <f>SUM(G198,G233,G271)</f>
        <v>0</v>
      </c>
      <c r="H197" s="233">
        <f>SUM(H198,H233,H271)</f>
        <v>0</v>
      </c>
      <c r="I197" s="234">
        <f t="shared" si="15"/>
        <v>0</v>
      </c>
      <c r="J197" s="230">
        <f>SUM(J198,J233,J271)</f>
        <v>0</v>
      </c>
      <c r="K197" s="233">
        <f>SUM(K198,K233,K271)</f>
        <v>0</v>
      </c>
      <c r="L197" s="234">
        <f t="shared" si="16"/>
        <v>0</v>
      </c>
      <c r="M197" s="340">
        <f>SUM(M198,M233,M271)</f>
        <v>0</v>
      </c>
      <c r="N197" s="341">
        <f>SUM(N198,N233,N271)</f>
        <v>0</v>
      </c>
      <c r="O197" s="342">
        <f t="shared" si="17"/>
        <v>0</v>
      </c>
      <c r="P197" s="343"/>
    </row>
    <row r="198" spans="1:16" hidden="1" x14ac:dyDescent="0.25">
      <c r="A198" s="237">
        <v>5000</v>
      </c>
      <c r="B198" s="237" t="s">
        <v>214</v>
      </c>
      <c r="C198" s="238">
        <f t="shared" si="13"/>
        <v>0</v>
      </c>
      <c r="D198" s="239">
        <f>D199+D207</f>
        <v>0</v>
      </c>
      <c r="E198" s="240">
        <f>E199+E207</f>
        <v>0</v>
      </c>
      <c r="F198" s="241">
        <f t="shared" si="14"/>
        <v>0</v>
      </c>
      <c r="G198" s="239">
        <f>G199+G207</f>
        <v>0</v>
      </c>
      <c r="H198" s="242">
        <f>H199+H207</f>
        <v>0</v>
      </c>
      <c r="I198" s="243">
        <f t="shared" si="15"/>
        <v>0</v>
      </c>
      <c r="J198" s="239">
        <f>J199+J207</f>
        <v>0</v>
      </c>
      <c r="K198" s="242">
        <f>K199+K207</f>
        <v>0</v>
      </c>
      <c r="L198" s="243">
        <f t="shared" si="16"/>
        <v>0</v>
      </c>
      <c r="M198" s="244">
        <f>M199+M207</f>
        <v>0</v>
      </c>
      <c r="N198" s="245">
        <f>N199+N207</f>
        <v>0</v>
      </c>
      <c r="O198" s="243">
        <f t="shared" si="17"/>
        <v>0</v>
      </c>
      <c r="P198" s="246"/>
    </row>
    <row r="199" spans="1:16" hidden="1" x14ac:dyDescent="0.25">
      <c r="A199" s="99">
        <v>5100</v>
      </c>
      <c r="B199" s="247" t="s">
        <v>215</v>
      </c>
      <c r="C199" s="100">
        <f t="shared" si="13"/>
        <v>0</v>
      </c>
      <c r="D199" s="112">
        <f>D200+D201+D204+D205+D206</f>
        <v>0</v>
      </c>
      <c r="E199" s="248">
        <f>E200+E201+E204+E205+E206</f>
        <v>0</v>
      </c>
      <c r="F199" s="249">
        <f t="shared" si="14"/>
        <v>0</v>
      </c>
      <c r="G199" s="112">
        <f>G200+G201+G204+G205+G206</f>
        <v>0</v>
      </c>
      <c r="H199" s="113">
        <f>H200+H201+H204+H205+H206</f>
        <v>0</v>
      </c>
      <c r="I199" s="114">
        <f t="shared" si="15"/>
        <v>0</v>
      </c>
      <c r="J199" s="112">
        <f>J200+J201+J204+J205+J206</f>
        <v>0</v>
      </c>
      <c r="K199" s="113">
        <f>K200+K201+K204+K205+K206</f>
        <v>0</v>
      </c>
      <c r="L199" s="114">
        <f t="shared" si="16"/>
        <v>0</v>
      </c>
      <c r="M199" s="292">
        <f>M200+M201+M204+M205+M206</f>
        <v>0</v>
      </c>
      <c r="N199" s="293">
        <f>N200+N201+N204+N205+N206</f>
        <v>0</v>
      </c>
      <c r="O199" s="114">
        <f t="shared" si="17"/>
        <v>0</v>
      </c>
      <c r="P199" s="109"/>
    </row>
    <row r="200" spans="1:16" hidden="1" x14ac:dyDescent="0.25">
      <c r="A200" s="1036">
        <v>5110</v>
      </c>
      <c r="B200" s="116" t="s">
        <v>216</v>
      </c>
      <c r="C200" s="117">
        <f t="shared" si="13"/>
        <v>0</v>
      </c>
      <c r="D200" s="123"/>
      <c r="E200" s="295"/>
      <c r="F200" s="296">
        <f t="shared" si="14"/>
        <v>0</v>
      </c>
      <c r="G200" s="123"/>
      <c r="H200" s="124"/>
      <c r="I200" s="125">
        <f t="shared" si="15"/>
        <v>0</v>
      </c>
      <c r="J200" s="123"/>
      <c r="K200" s="124"/>
      <c r="L200" s="125">
        <f t="shared" si="16"/>
        <v>0</v>
      </c>
      <c r="M200" s="264"/>
      <c r="N200" s="262"/>
      <c r="O200" s="125">
        <f t="shared" si="17"/>
        <v>0</v>
      </c>
      <c r="P200" s="74"/>
    </row>
    <row r="201" spans="1:16" ht="24" hidden="1" x14ac:dyDescent="0.25">
      <c r="A201" s="276">
        <v>5120</v>
      </c>
      <c r="B201" s="127" t="s">
        <v>217</v>
      </c>
      <c r="C201" s="128">
        <f t="shared" si="13"/>
        <v>0</v>
      </c>
      <c r="D201" s="277">
        <f>D202+D203</f>
        <v>0</v>
      </c>
      <c r="E201" s="278">
        <f>E202+E203</f>
        <v>0</v>
      </c>
      <c r="F201" s="279">
        <f t="shared" si="14"/>
        <v>0</v>
      </c>
      <c r="G201" s="277">
        <f>G202+G203</f>
        <v>0</v>
      </c>
      <c r="H201" s="280">
        <f>H202+H203</f>
        <v>0</v>
      </c>
      <c r="I201" s="136">
        <f t="shared" si="15"/>
        <v>0</v>
      </c>
      <c r="J201" s="277">
        <f>J202+J203</f>
        <v>0</v>
      </c>
      <c r="K201" s="280">
        <f>K202+K203</f>
        <v>0</v>
      </c>
      <c r="L201" s="136">
        <f t="shared" si="16"/>
        <v>0</v>
      </c>
      <c r="M201" s="281">
        <f>M202+M203</f>
        <v>0</v>
      </c>
      <c r="N201" s="282">
        <f>N202+N203</f>
        <v>0</v>
      </c>
      <c r="O201" s="136">
        <f t="shared" si="17"/>
        <v>0</v>
      </c>
      <c r="P201" s="85"/>
    </row>
    <row r="202" spans="1:16" hidden="1" x14ac:dyDescent="0.25">
      <c r="A202" s="76">
        <v>5121</v>
      </c>
      <c r="B202" s="127" t="s">
        <v>218</v>
      </c>
      <c r="C202" s="128">
        <f t="shared" si="13"/>
        <v>0</v>
      </c>
      <c r="D202" s="134"/>
      <c r="E202" s="283"/>
      <c r="F202" s="279">
        <f t="shared" si="14"/>
        <v>0</v>
      </c>
      <c r="G202" s="134"/>
      <c r="H202" s="135"/>
      <c r="I202" s="136">
        <f t="shared" si="15"/>
        <v>0</v>
      </c>
      <c r="J202" s="134"/>
      <c r="K202" s="135"/>
      <c r="L202" s="136">
        <f t="shared" si="16"/>
        <v>0</v>
      </c>
      <c r="M202" s="284"/>
      <c r="N202" s="285"/>
      <c r="O202" s="136">
        <f t="shared" si="17"/>
        <v>0</v>
      </c>
      <c r="P202" s="85"/>
    </row>
    <row r="203" spans="1:16" ht="24" hidden="1" x14ac:dyDescent="0.25">
      <c r="A203" s="76">
        <v>5129</v>
      </c>
      <c r="B203" s="127" t="s">
        <v>219</v>
      </c>
      <c r="C203" s="128">
        <f t="shared" si="13"/>
        <v>0</v>
      </c>
      <c r="D203" s="134"/>
      <c r="E203" s="283"/>
      <c r="F203" s="279">
        <f t="shared" si="14"/>
        <v>0</v>
      </c>
      <c r="G203" s="134"/>
      <c r="H203" s="135"/>
      <c r="I203" s="136">
        <f t="shared" si="15"/>
        <v>0</v>
      </c>
      <c r="J203" s="134"/>
      <c r="K203" s="135"/>
      <c r="L203" s="136">
        <f t="shared" si="16"/>
        <v>0</v>
      </c>
      <c r="M203" s="284"/>
      <c r="N203" s="285"/>
      <c r="O203" s="136">
        <f t="shared" si="17"/>
        <v>0</v>
      </c>
      <c r="P203" s="85"/>
    </row>
    <row r="204" spans="1:16" hidden="1" x14ac:dyDescent="0.25">
      <c r="A204" s="276">
        <v>5130</v>
      </c>
      <c r="B204" s="127" t="s">
        <v>220</v>
      </c>
      <c r="C204" s="128">
        <f t="shared" si="13"/>
        <v>0</v>
      </c>
      <c r="D204" s="134"/>
      <c r="E204" s="283"/>
      <c r="F204" s="279">
        <f t="shared" si="14"/>
        <v>0</v>
      </c>
      <c r="G204" s="134"/>
      <c r="H204" s="135"/>
      <c r="I204" s="136">
        <f t="shared" si="15"/>
        <v>0</v>
      </c>
      <c r="J204" s="134"/>
      <c r="K204" s="135"/>
      <c r="L204" s="136">
        <f t="shared" si="16"/>
        <v>0</v>
      </c>
      <c r="M204" s="284"/>
      <c r="N204" s="285"/>
      <c r="O204" s="136">
        <f t="shared" si="17"/>
        <v>0</v>
      </c>
      <c r="P204" s="85"/>
    </row>
    <row r="205" spans="1:16" hidden="1" x14ac:dyDescent="0.25">
      <c r="A205" s="276">
        <v>5140</v>
      </c>
      <c r="B205" s="127" t="s">
        <v>221</v>
      </c>
      <c r="C205" s="128">
        <f t="shared" si="13"/>
        <v>0</v>
      </c>
      <c r="D205" s="134"/>
      <c r="E205" s="283"/>
      <c r="F205" s="279">
        <f t="shared" si="14"/>
        <v>0</v>
      </c>
      <c r="G205" s="134"/>
      <c r="H205" s="135"/>
      <c r="I205" s="136">
        <f t="shared" si="15"/>
        <v>0</v>
      </c>
      <c r="J205" s="134"/>
      <c r="K205" s="135"/>
      <c r="L205" s="136">
        <f t="shared" si="16"/>
        <v>0</v>
      </c>
      <c r="M205" s="284"/>
      <c r="N205" s="285"/>
      <c r="O205" s="136">
        <f t="shared" si="17"/>
        <v>0</v>
      </c>
      <c r="P205" s="85"/>
    </row>
    <row r="206" spans="1:16" ht="24" hidden="1" x14ac:dyDescent="0.25">
      <c r="A206" s="276">
        <v>5170</v>
      </c>
      <c r="B206" s="127" t="s">
        <v>222</v>
      </c>
      <c r="C206" s="128">
        <f t="shared" si="13"/>
        <v>0</v>
      </c>
      <c r="D206" s="134"/>
      <c r="E206" s="283"/>
      <c r="F206" s="279">
        <f t="shared" si="14"/>
        <v>0</v>
      </c>
      <c r="G206" s="134"/>
      <c r="H206" s="135"/>
      <c r="I206" s="136">
        <f t="shared" si="15"/>
        <v>0</v>
      </c>
      <c r="J206" s="134"/>
      <c r="K206" s="135"/>
      <c r="L206" s="136">
        <f t="shared" si="16"/>
        <v>0</v>
      </c>
      <c r="M206" s="284"/>
      <c r="N206" s="285"/>
      <c r="O206" s="136">
        <f t="shared" si="17"/>
        <v>0</v>
      </c>
      <c r="P206" s="85"/>
    </row>
    <row r="207" spans="1:16" hidden="1" x14ac:dyDescent="0.25">
      <c r="A207" s="99">
        <v>5200</v>
      </c>
      <c r="B207" s="247" t="s">
        <v>223</v>
      </c>
      <c r="C207" s="100">
        <f t="shared" si="13"/>
        <v>0</v>
      </c>
      <c r="D207" s="112">
        <f>D208+D218+D219+D228+D229+D230+D232</f>
        <v>0</v>
      </c>
      <c r="E207" s="248">
        <f>E208+E218+E219+E228+E229+E230+E232</f>
        <v>0</v>
      </c>
      <c r="F207" s="249">
        <f t="shared" si="14"/>
        <v>0</v>
      </c>
      <c r="G207" s="112">
        <f>G208+G218+G219+G228+G229+G230+G232</f>
        <v>0</v>
      </c>
      <c r="H207" s="113">
        <f>H208+H218+H219+H228+H229+H230+H232</f>
        <v>0</v>
      </c>
      <c r="I207" s="114">
        <f t="shared" si="15"/>
        <v>0</v>
      </c>
      <c r="J207" s="112">
        <f>J208+J218+J219+J228+J229+J230+J232</f>
        <v>0</v>
      </c>
      <c r="K207" s="113">
        <f>K208+K218+K219+K228+K229+K230+K232</f>
        <v>0</v>
      </c>
      <c r="L207" s="114">
        <f t="shared" si="16"/>
        <v>0</v>
      </c>
      <c r="M207" s="292">
        <f>M208+M218+M219+M228+M229+M230+M232</f>
        <v>0</v>
      </c>
      <c r="N207" s="293">
        <f>N208+N218+N219+N228+N229+N230+N232</f>
        <v>0</v>
      </c>
      <c r="O207" s="114">
        <f t="shared" si="17"/>
        <v>0</v>
      </c>
      <c r="P207" s="109"/>
    </row>
    <row r="208" spans="1:16" hidden="1" x14ac:dyDescent="0.25">
      <c r="A208" s="254">
        <v>5210</v>
      </c>
      <c r="B208" s="179" t="s">
        <v>224</v>
      </c>
      <c r="C208" s="191">
        <f t="shared" si="13"/>
        <v>0</v>
      </c>
      <c r="D208" s="255">
        <f>SUM(D209:D217)</f>
        <v>0</v>
      </c>
      <c r="E208" s="256">
        <f>SUM(E209:E217)</f>
        <v>0</v>
      </c>
      <c r="F208" s="257">
        <f t="shared" si="14"/>
        <v>0</v>
      </c>
      <c r="G208" s="255">
        <f>SUM(G209:G217)</f>
        <v>0</v>
      </c>
      <c r="H208" s="258">
        <f>SUM(H209:H217)</f>
        <v>0</v>
      </c>
      <c r="I208" s="259">
        <f t="shared" si="15"/>
        <v>0</v>
      </c>
      <c r="J208" s="255">
        <f>SUM(J209:J217)</f>
        <v>0</v>
      </c>
      <c r="K208" s="258">
        <f>SUM(K209:K217)</f>
        <v>0</v>
      </c>
      <c r="L208" s="259">
        <f t="shared" si="16"/>
        <v>0</v>
      </c>
      <c r="M208" s="260">
        <f>SUM(M209:M217)</f>
        <v>0</v>
      </c>
      <c r="N208" s="261">
        <f>SUM(N209:N217)</f>
        <v>0</v>
      </c>
      <c r="O208" s="259">
        <f t="shared" si="17"/>
        <v>0</v>
      </c>
      <c r="P208" s="189"/>
    </row>
    <row r="209" spans="1:16" hidden="1" x14ac:dyDescent="0.25">
      <c r="A209" s="66">
        <v>5211</v>
      </c>
      <c r="B209" s="116" t="s">
        <v>225</v>
      </c>
      <c r="C209" s="279">
        <f t="shared" si="13"/>
        <v>0</v>
      </c>
      <c r="D209" s="123"/>
      <c r="E209" s="295"/>
      <c r="F209" s="296">
        <f t="shared" si="14"/>
        <v>0</v>
      </c>
      <c r="G209" s="123"/>
      <c r="H209" s="124"/>
      <c r="I209" s="125">
        <f t="shared" si="15"/>
        <v>0</v>
      </c>
      <c r="J209" s="123"/>
      <c r="K209" s="124"/>
      <c r="L209" s="125">
        <f t="shared" si="16"/>
        <v>0</v>
      </c>
      <c r="M209" s="264"/>
      <c r="N209" s="262"/>
      <c r="O209" s="125">
        <f t="shared" si="17"/>
        <v>0</v>
      </c>
      <c r="P209" s="74"/>
    </row>
    <row r="210" spans="1:16" hidden="1" x14ac:dyDescent="0.25">
      <c r="A210" s="76">
        <v>5212</v>
      </c>
      <c r="B210" s="127" t="s">
        <v>226</v>
      </c>
      <c r="C210" s="279">
        <f t="shared" si="13"/>
        <v>0</v>
      </c>
      <c r="D210" s="134"/>
      <c r="E210" s="283"/>
      <c r="F210" s="279">
        <f t="shared" si="14"/>
        <v>0</v>
      </c>
      <c r="G210" s="134"/>
      <c r="H210" s="135"/>
      <c r="I210" s="136">
        <f t="shared" si="15"/>
        <v>0</v>
      </c>
      <c r="J210" s="134"/>
      <c r="K210" s="135"/>
      <c r="L210" s="136">
        <f t="shared" si="16"/>
        <v>0</v>
      </c>
      <c r="M210" s="284"/>
      <c r="N210" s="285"/>
      <c r="O210" s="136">
        <f t="shared" si="17"/>
        <v>0</v>
      </c>
      <c r="P210" s="85"/>
    </row>
    <row r="211" spans="1:16" hidden="1" x14ac:dyDescent="0.25">
      <c r="A211" s="76">
        <v>5213</v>
      </c>
      <c r="B211" s="127" t="s">
        <v>227</v>
      </c>
      <c r="C211" s="279">
        <f t="shared" si="13"/>
        <v>0</v>
      </c>
      <c r="D211" s="134"/>
      <c r="E211" s="283"/>
      <c r="F211" s="279">
        <f t="shared" si="14"/>
        <v>0</v>
      </c>
      <c r="G211" s="134"/>
      <c r="H211" s="135"/>
      <c r="I211" s="136">
        <f t="shared" si="15"/>
        <v>0</v>
      </c>
      <c r="J211" s="134"/>
      <c r="K211" s="135"/>
      <c r="L211" s="136">
        <f t="shared" si="16"/>
        <v>0</v>
      </c>
      <c r="M211" s="284"/>
      <c r="N211" s="285"/>
      <c r="O211" s="136">
        <f t="shared" si="17"/>
        <v>0</v>
      </c>
      <c r="P211" s="85"/>
    </row>
    <row r="212" spans="1:16" hidden="1" x14ac:dyDescent="0.25">
      <c r="A212" s="76">
        <v>5214</v>
      </c>
      <c r="B212" s="127" t="s">
        <v>228</v>
      </c>
      <c r="C212" s="279">
        <f t="shared" si="13"/>
        <v>0</v>
      </c>
      <c r="D212" s="134"/>
      <c r="E212" s="283"/>
      <c r="F212" s="279">
        <f t="shared" si="14"/>
        <v>0</v>
      </c>
      <c r="G212" s="134"/>
      <c r="H212" s="135"/>
      <c r="I212" s="136">
        <f t="shared" si="15"/>
        <v>0</v>
      </c>
      <c r="J212" s="134"/>
      <c r="K212" s="135"/>
      <c r="L212" s="136">
        <f t="shared" si="16"/>
        <v>0</v>
      </c>
      <c r="M212" s="284"/>
      <c r="N212" s="285"/>
      <c r="O212" s="136">
        <f t="shared" si="17"/>
        <v>0</v>
      </c>
      <c r="P212" s="85"/>
    </row>
    <row r="213" spans="1:16" hidden="1" x14ac:dyDescent="0.25">
      <c r="A213" s="76">
        <v>5215</v>
      </c>
      <c r="B213" s="127" t="s">
        <v>229</v>
      </c>
      <c r="C213" s="279">
        <f t="shared" si="13"/>
        <v>0</v>
      </c>
      <c r="D213" s="134"/>
      <c r="E213" s="283"/>
      <c r="F213" s="279">
        <f t="shared" si="14"/>
        <v>0</v>
      </c>
      <c r="G213" s="134"/>
      <c r="H213" s="135"/>
      <c r="I213" s="136">
        <f t="shared" si="15"/>
        <v>0</v>
      </c>
      <c r="J213" s="134"/>
      <c r="K213" s="135"/>
      <c r="L213" s="136">
        <f t="shared" si="16"/>
        <v>0</v>
      </c>
      <c r="M213" s="284"/>
      <c r="N213" s="285"/>
      <c r="O213" s="136">
        <f t="shared" si="17"/>
        <v>0</v>
      </c>
      <c r="P213" s="85"/>
    </row>
    <row r="214" spans="1:16" ht="24" hidden="1" x14ac:dyDescent="0.25">
      <c r="A214" s="76">
        <v>5216</v>
      </c>
      <c r="B214" s="127" t="s">
        <v>230</v>
      </c>
      <c r="C214" s="279">
        <f t="shared" si="13"/>
        <v>0</v>
      </c>
      <c r="D214" s="134"/>
      <c r="E214" s="283"/>
      <c r="F214" s="279">
        <f t="shared" si="14"/>
        <v>0</v>
      </c>
      <c r="G214" s="134"/>
      <c r="H214" s="135"/>
      <c r="I214" s="136">
        <f t="shared" si="15"/>
        <v>0</v>
      </c>
      <c r="J214" s="134"/>
      <c r="K214" s="135"/>
      <c r="L214" s="136">
        <f t="shared" si="16"/>
        <v>0</v>
      </c>
      <c r="M214" s="284"/>
      <c r="N214" s="285"/>
      <c r="O214" s="136">
        <f t="shared" si="17"/>
        <v>0</v>
      </c>
      <c r="P214" s="85"/>
    </row>
    <row r="215" spans="1:16" hidden="1" x14ac:dyDescent="0.25">
      <c r="A215" s="76">
        <v>5217</v>
      </c>
      <c r="B215" s="127" t="s">
        <v>231</v>
      </c>
      <c r="C215" s="279">
        <f t="shared" si="13"/>
        <v>0</v>
      </c>
      <c r="D215" s="134"/>
      <c r="E215" s="283"/>
      <c r="F215" s="279">
        <f t="shared" si="14"/>
        <v>0</v>
      </c>
      <c r="G215" s="134"/>
      <c r="H215" s="135"/>
      <c r="I215" s="136">
        <f t="shared" si="15"/>
        <v>0</v>
      </c>
      <c r="J215" s="134"/>
      <c r="K215" s="135"/>
      <c r="L215" s="136">
        <f t="shared" si="16"/>
        <v>0</v>
      </c>
      <c r="M215" s="284"/>
      <c r="N215" s="285"/>
      <c r="O215" s="136">
        <f t="shared" si="17"/>
        <v>0</v>
      </c>
      <c r="P215" s="85"/>
    </row>
    <row r="216" spans="1:16" hidden="1" x14ac:dyDescent="0.25">
      <c r="A216" s="76">
        <v>5218</v>
      </c>
      <c r="B216" s="127" t="s">
        <v>232</v>
      </c>
      <c r="C216" s="279">
        <f t="shared" si="13"/>
        <v>0</v>
      </c>
      <c r="D216" s="134"/>
      <c r="E216" s="283"/>
      <c r="F216" s="279">
        <f t="shared" si="14"/>
        <v>0</v>
      </c>
      <c r="G216" s="134"/>
      <c r="H216" s="135"/>
      <c r="I216" s="136">
        <f t="shared" si="15"/>
        <v>0</v>
      </c>
      <c r="J216" s="134"/>
      <c r="K216" s="135"/>
      <c r="L216" s="136">
        <f t="shared" si="16"/>
        <v>0</v>
      </c>
      <c r="M216" s="284"/>
      <c r="N216" s="285"/>
      <c r="O216" s="136">
        <f t="shared" si="17"/>
        <v>0</v>
      </c>
      <c r="P216" s="85"/>
    </row>
    <row r="217" spans="1:16" hidden="1" x14ac:dyDescent="0.25">
      <c r="A217" s="76">
        <v>5219</v>
      </c>
      <c r="B217" s="127" t="s">
        <v>233</v>
      </c>
      <c r="C217" s="279">
        <f t="shared" si="13"/>
        <v>0</v>
      </c>
      <c r="D217" s="134"/>
      <c r="E217" s="283"/>
      <c r="F217" s="279">
        <f t="shared" si="14"/>
        <v>0</v>
      </c>
      <c r="G217" s="134"/>
      <c r="H217" s="135"/>
      <c r="I217" s="136">
        <f t="shared" si="15"/>
        <v>0</v>
      </c>
      <c r="J217" s="134"/>
      <c r="K217" s="135"/>
      <c r="L217" s="136">
        <f t="shared" si="16"/>
        <v>0</v>
      </c>
      <c r="M217" s="284"/>
      <c r="N217" s="285"/>
      <c r="O217" s="136">
        <f t="shared" si="17"/>
        <v>0</v>
      </c>
      <c r="P217" s="85"/>
    </row>
    <row r="218" spans="1:16" hidden="1" x14ac:dyDescent="0.25">
      <c r="A218" s="276">
        <v>5220</v>
      </c>
      <c r="B218" s="127" t="s">
        <v>234</v>
      </c>
      <c r="C218" s="279">
        <f t="shared" si="13"/>
        <v>0</v>
      </c>
      <c r="D218" s="134"/>
      <c r="E218" s="283"/>
      <c r="F218" s="279">
        <f t="shared" si="14"/>
        <v>0</v>
      </c>
      <c r="G218" s="134"/>
      <c r="H218" s="135"/>
      <c r="I218" s="136">
        <f t="shared" si="15"/>
        <v>0</v>
      </c>
      <c r="J218" s="134"/>
      <c r="K218" s="135"/>
      <c r="L218" s="136">
        <f t="shared" si="16"/>
        <v>0</v>
      </c>
      <c r="M218" s="284"/>
      <c r="N218" s="285"/>
      <c r="O218" s="136">
        <f t="shared" si="17"/>
        <v>0</v>
      </c>
      <c r="P218" s="85"/>
    </row>
    <row r="219" spans="1:16" hidden="1" x14ac:dyDescent="0.25">
      <c r="A219" s="276">
        <v>5230</v>
      </c>
      <c r="B219" s="127" t="s">
        <v>235</v>
      </c>
      <c r="C219" s="279">
        <f t="shared" si="13"/>
        <v>0</v>
      </c>
      <c r="D219" s="277">
        <f>SUM(D220:D227)</f>
        <v>0</v>
      </c>
      <c r="E219" s="278">
        <f>SUM(E220:E227)</f>
        <v>0</v>
      </c>
      <c r="F219" s="279">
        <f t="shared" si="14"/>
        <v>0</v>
      </c>
      <c r="G219" s="277">
        <f>SUM(G220:G227)</f>
        <v>0</v>
      </c>
      <c r="H219" s="280">
        <f>SUM(H220:H227)</f>
        <v>0</v>
      </c>
      <c r="I219" s="136">
        <f t="shared" si="15"/>
        <v>0</v>
      </c>
      <c r="J219" s="277">
        <f>SUM(J220:J227)</f>
        <v>0</v>
      </c>
      <c r="K219" s="280">
        <f>SUM(K220:K227)</f>
        <v>0</v>
      </c>
      <c r="L219" s="136">
        <f t="shared" si="16"/>
        <v>0</v>
      </c>
      <c r="M219" s="281">
        <f>SUM(M220:M227)</f>
        <v>0</v>
      </c>
      <c r="N219" s="282">
        <f>SUM(N220:N227)</f>
        <v>0</v>
      </c>
      <c r="O219" s="136">
        <f t="shared" si="17"/>
        <v>0</v>
      </c>
      <c r="P219" s="85"/>
    </row>
    <row r="220" spans="1:16" hidden="1" x14ac:dyDescent="0.25">
      <c r="A220" s="76">
        <v>5231</v>
      </c>
      <c r="B220" s="127" t="s">
        <v>236</v>
      </c>
      <c r="C220" s="279">
        <f t="shared" si="13"/>
        <v>0</v>
      </c>
      <c r="D220" s="134"/>
      <c r="E220" s="283"/>
      <c r="F220" s="279">
        <f t="shared" si="14"/>
        <v>0</v>
      </c>
      <c r="G220" s="134"/>
      <c r="H220" s="135"/>
      <c r="I220" s="136">
        <f t="shared" si="15"/>
        <v>0</v>
      </c>
      <c r="J220" s="134"/>
      <c r="K220" s="135"/>
      <c r="L220" s="136">
        <f t="shared" si="16"/>
        <v>0</v>
      </c>
      <c r="M220" s="284"/>
      <c r="N220" s="285"/>
      <c r="O220" s="136">
        <f t="shared" si="17"/>
        <v>0</v>
      </c>
      <c r="P220" s="85"/>
    </row>
    <row r="221" spans="1:16" hidden="1" x14ac:dyDescent="0.25">
      <c r="A221" s="76">
        <v>5232</v>
      </c>
      <c r="B221" s="127" t="s">
        <v>237</v>
      </c>
      <c r="C221" s="279">
        <f t="shared" si="13"/>
        <v>0</v>
      </c>
      <c r="D221" s="134"/>
      <c r="E221" s="283"/>
      <c r="F221" s="279">
        <f t="shared" si="14"/>
        <v>0</v>
      </c>
      <c r="G221" s="134"/>
      <c r="H221" s="135"/>
      <c r="I221" s="136">
        <f t="shared" si="15"/>
        <v>0</v>
      </c>
      <c r="J221" s="134"/>
      <c r="K221" s="135"/>
      <c r="L221" s="136">
        <f t="shared" si="16"/>
        <v>0</v>
      </c>
      <c r="M221" s="284"/>
      <c r="N221" s="285"/>
      <c r="O221" s="136">
        <f t="shared" si="17"/>
        <v>0</v>
      </c>
      <c r="P221" s="85"/>
    </row>
    <row r="222" spans="1:16" hidden="1" x14ac:dyDescent="0.25">
      <c r="A222" s="76">
        <v>5233</v>
      </c>
      <c r="B222" s="127" t="s">
        <v>238</v>
      </c>
      <c r="C222" s="279">
        <f t="shared" si="13"/>
        <v>0</v>
      </c>
      <c r="D222" s="134"/>
      <c r="E222" s="283"/>
      <c r="F222" s="279">
        <f t="shared" si="14"/>
        <v>0</v>
      </c>
      <c r="G222" s="134"/>
      <c r="H222" s="135"/>
      <c r="I222" s="136">
        <f t="shared" si="15"/>
        <v>0</v>
      </c>
      <c r="J222" s="134"/>
      <c r="K222" s="135"/>
      <c r="L222" s="136">
        <f t="shared" si="16"/>
        <v>0</v>
      </c>
      <c r="M222" s="284"/>
      <c r="N222" s="285"/>
      <c r="O222" s="136">
        <f t="shared" si="17"/>
        <v>0</v>
      </c>
      <c r="P222" s="85"/>
    </row>
    <row r="223" spans="1:16" ht="24" hidden="1" x14ac:dyDescent="0.25">
      <c r="A223" s="76">
        <v>5234</v>
      </c>
      <c r="B223" s="127" t="s">
        <v>239</v>
      </c>
      <c r="C223" s="279">
        <f t="shared" si="13"/>
        <v>0</v>
      </c>
      <c r="D223" s="134"/>
      <c r="E223" s="283"/>
      <c r="F223" s="279">
        <f t="shared" si="14"/>
        <v>0</v>
      </c>
      <c r="G223" s="134"/>
      <c r="H223" s="135"/>
      <c r="I223" s="136">
        <f t="shared" si="15"/>
        <v>0</v>
      </c>
      <c r="J223" s="134"/>
      <c r="K223" s="135"/>
      <c r="L223" s="136">
        <f t="shared" si="16"/>
        <v>0</v>
      </c>
      <c r="M223" s="284"/>
      <c r="N223" s="285"/>
      <c r="O223" s="136">
        <f t="shared" si="17"/>
        <v>0</v>
      </c>
      <c r="P223" s="85"/>
    </row>
    <row r="224" spans="1:16" hidden="1" x14ac:dyDescent="0.25">
      <c r="A224" s="76">
        <v>5236</v>
      </c>
      <c r="B224" s="127" t="s">
        <v>240</v>
      </c>
      <c r="C224" s="279">
        <f t="shared" si="13"/>
        <v>0</v>
      </c>
      <c r="D224" s="134"/>
      <c r="E224" s="283"/>
      <c r="F224" s="279">
        <f t="shared" si="14"/>
        <v>0</v>
      </c>
      <c r="G224" s="134"/>
      <c r="H224" s="135"/>
      <c r="I224" s="136">
        <f t="shared" si="15"/>
        <v>0</v>
      </c>
      <c r="J224" s="134"/>
      <c r="K224" s="135"/>
      <c r="L224" s="136">
        <f t="shared" si="16"/>
        <v>0</v>
      </c>
      <c r="M224" s="284"/>
      <c r="N224" s="285"/>
      <c r="O224" s="136">
        <f t="shared" si="17"/>
        <v>0</v>
      </c>
      <c r="P224" s="85"/>
    </row>
    <row r="225" spans="1:16" hidden="1" x14ac:dyDescent="0.25">
      <c r="A225" s="76">
        <v>5237</v>
      </c>
      <c r="B225" s="127" t="s">
        <v>241</v>
      </c>
      <c r="C225" s="279">
        <f t="shared" si="13"/>
        <v>0</v>
      </c>
      <c r="D225" s="134"/>
      <c r="E225" s="283"/>
      <c r="F225" s="279">
        <f t="shared" si="14"/>
        <v>0</v>
      </c>
      <c r="G225" s="134"/>
      <c r="H225" s="135"/>
      <c r="I225" s="136">
        <f t="shared" si="15"/>
        <v>0</v>
      </c>
      <c r="J225" s="134"/>
      <c r="K225" s="135"/>
      <c r="L225" s="136">
        <f t="shared" si="16"/>
        <v>0</v>
      </c>
      <c r="M225" s="284"/>
      <c r="N225" s="285"/>
      <c r="O225" s="136">
        <f t="shared" si="17"/>
        <v>0</v>
      </c>
      <c r="P225" s="85"/>
    </row>
    <row r="226" spans="1:16" ht="24" hidden="1" x14ac:dyDescent="0.25">
      <c r="A226" s="76">
        <v>5238</v>
      </c>
      <c r="B226" s="127" t="s">
        <v>242</v>
      </c>
      <c r="C226" s="279">
        <f t="shared" si="13"/>
        <v>0</v>
      </c>
      <c r="D226" s="134"/>
      <c r="E226" s="283"/>
      <c r="F226" s="279">
        <f t="shared" si="14"/>
        <v>0</v>
      </c>
      <c r="G226" s="134"/>
      <c r="H226" s="135"/>
      <c r="I226" s="136">
        <f t="shared" si="15"/>
        <v>0</v>
      </c>
      <c r="J226" s="134"/>
      <c r="K226" s="135"/>
      <c r="L226" s="136">
        <f t="shared" si="16"/>
        <v>0</v>
      </c>
      <c r="M226" s="284"/>
      <c r="N226" s="285"/>
      <c r="O226" s="136">
        <f t="shared" si="17"/>
        <v>0</v>
      </c>
      <c r="P226" s="85"/>
    </row>
    <row r="227" spans="1:16" ht="24" hidden="1" x14ac:dyDescent="0.25">
      <c r="A227" s="76">
        <v>5239</v>
      </c>
      <c r="B227" s="127" t="s">
        <v>243</v>
      </c>
      <c r="C227" s="279">
        <f t="shared" si="13"/>
        <v>0</v>
      </c>
      <c r="D227" s="134"/>
      <c r="E227" s="283"/>
      <c r="F227" s="279">
        <f t="shared" si="14"/>
        <v>0</v>
      </c>
      <c r="G227" s="134"/>
      <c r="H227" s="135"/>
      <c r="I227" s="136">
        <f t="shared" si="15"/>
        <v>0</v>
      </c>
      <c r="J227" s="134"/>
      <c r="K227" s="135"/>
      <c r="L227" s="136">
        <f t="shared" si="16"/>
        <v>0</v>
      </c>
      <c r="M227" s="284"/>
      <c r="N227" s="285"/>
      <c r="O227" s="136">
        <f t="shared" si="17"/>
        <v>0</v>
      </c>
      <c r="P227" s="85"/>
    </row>
    <row r="228" spans="1:16" ht="24" hidden="1" x14ac:dyDescent="0.25">
      <c r="A228" s="276">
        <v>5240</v>
      </c>
      <c r="B228" s="127" t="s">
        <v>244</v>
      </c>
      <c r="C228" s="279">
        <f t="shared" si="13"/>
        <v>0</v>
      </c>
      <c r="D228" s="134"/>
      <c r="E228" s="283"/>
      <c r="F228" s="279">
        <f t="shared" si="14"/>
        <v>0</v>
      </c>
      <c r="G228" s="134"/>
      <c r="H228" s="135"/>
      <c r="I228" s="136">
        <f t="shared" si="15"/>
        <v>0</v>
      </c>
      <c r="J228" s="134"/>
      <c r="K228" s="135"/>
      <c r="L228" s="136">
        <f t="shared" si="16"/>
        <v>0</v>
      </c>
      <c r="M228" s="284"/>
      <c r="N228" s="285"/>
      <c r="O228" s="136">
        <f t="shared" si="17"/>
        <v>0</v>
      </c>
      <c r="P228" s="85"/>
    </row>
    <row r="229" spans="1:16" hidden="1" x14ac:dyDescent="0.25">
      <c r="A229" s="276">
        <v>5250</v>
      </c>
      <c r="B229" s="127" t="s">
        <v>245</v>
      </c>
      <c r="C229" s="279">
        <f t="shared" si="13"/>
        <v>0</v>
      </c>
      <c r="D229" s="134"/>
      <c r="E229" s="283"/>
      <c r="F229" s="279">
        <f t="shared" si="14"/>
        <v>0</v>
      </c>
      <c r="G229" s="134"/>
      <c r="H229" s="135"/>
      <c r="I229" s="136">
        <f t="shared" si="15"/>
        <v>0</v>
      </c>
      <c r="J229" s="134"/>
      <c r="K229" s="135"/>
      <c r="L229" s="136">
        <f t="shared" si="16"/>
        <v>0</v>
      </c>
      <c r="M229" s="284"/>
      <c r="N229" s="285"/>
      <c r="O229" s="136">
        <f t="shared" si="17"/>
        <v>0</v>
      </c>
      <c r="P229" s="85"/>
    </row>
    <row r="230" spans="1:16" hidden="1" x14ac:dyDescent="0.25">
      <c r="A230" s="276">
        <v>5260</v>
      </c>
      <c r="B230" s="127" t="s">
        <v>246</v>
      </c>
      <c r="C230" s="279">
        <f t="shared" si="13"/>
        <v>0</v>
      </c>
      <c r="D230" s="277">
        <f>SUM(D231)</f>
        <v>0</v>
      </c>
      <c r="E230" s="278">
        <f>SUM(E231)</f>
        <v>0</v>
      </c>
      <c r="F230" s="279">
        <f t="shared" si="14"/>
        <v>0</v>
      </c>
      <c r="G230" s="277">
        <f>SUM(G231)</f>
        <v>0</v>
      </c>
      <c r="H230" s="280">
        <f>SUM(H231)</f>
        <v>0</v>
      </c>
      <c r="I230" s="136">
        <f t="shared" si="15"/>
        <v>0</v>
      </c>
      <c r="J230" s="277">
        <f>SUM(J231)</f>
        <v>0</v>
      </c>
      <c r="K230" s="280">
        <f>SUM(K231)</f>
        <v>0</v>
      </c>
      <c r="L230" s="136">
        <f t="shared" si="16"/>
        <v>0</v>
      </c>
      <c r="M230" s="281">
        <f>SUM(M231)</f>
        <v>0</v>
      </c>
      <c r="N230" s="282">
        <f>SUM(N231)</f>
        <v>0</v>
      </c>
      <c r="O230" s="136">
        <f t="shared" si="17"/>
        <v>0</v>
      </c>
      <c r="P230" s="85"/>
    </row>
    <row r="231" spans="1:16" ht="24" hidden="1" x14ac:dyDescent="0.25">
      <c r="A231" s="76">
        <v>5269</v>
      </c>
      <c r="B231" s="127" t="s">
        <v>247</v>
      </c>
      <c r="C231" s="279">
        <f t="shared" si="13"/>
        <v>0</v>
      </c>
      <c r="D231" s="134"/>
      <c r="E231" s="283"/>
      <c r="F231" s="279">
        <f t="shared" si="14"/>
        <v>0</v>
      </c>
      <c r="G231" s="134"/>
      <c r="H231" s="135"/>
      <c r="I231" s="136">
        <f t="shared" si="15"/>
        <v>0</v>
      </c>
      <c r="J231" s="134"/>
      <c r="K231" s="135"/>
      <c r="L231" s="136">
        <f t="shared" si="16"/>
        <v>0</v>
      </c>
      <c r="M231" s="284"/>
      <c r="N231" s="285"/>
      <c r="O231" s="136">
        <f t="shared" si="17"/>
        <v>0</v>
      </c>
      <c r="P231" s="85"/>
    </row>
    <row r="232" spans="1:16" ht="24" hidden="1" x14ac:dyDescent="0.25">
      <c r="A232" s="254">
        <v>5270</v>
      </c>
      <c r="B232" s="179" t="s">
        <v>248</v>
      </c>
      <c r="C232" s="302">
        <f t="shared" si="13"/>
        <v>0</v>
      </c>
      <c r="D232" s="287"/>
      <c r="E232" s="288"/>
      <c r="F232" s="257">
        <f t="shared" si="14"/>
        <v>0</v>
      </c>
      <c r="G232" s="287"/>
      <c r="H232" s="289"/>
      <c r="I232" s="259">
        <f t="shared" si="15"/>
        <v>0</v>
      </c>
      <c r="J232" s="287"/>
      <c r="K232" s="289"/>
      <c r="L232" s="259">
        <f t="shared" si="16"/>
        <v>0</v>
      </c>
      <c r="M232" s="290"/>
      <c r="N232" s="291"/>
      <c r="O232" s="259">
        <f t="shared" si="17"/>
        <v>0</v>
      </c>
      <c r="P232" s="189"/>
    </row>
    <row r="233" spans="1:16" hidden="1" x14ac:dyDescent="0.25">
      <c r="A233" s="237">
        <v>6000</v>
      </c>
      <c r="B233" s="237" t="s">
        <v>249</v>
      </c>
      <c r="C233" s="238">
        <f t="shared" si="13"/>
        <v>0</v>
      </c>
      <c r="D233" s="239">
        <f>D234+D254+D261</f>
        <v>0</v>
      </c>
      <c r="E233" s="240">
        <f>E234+E254+E261</f>
        <v>0</v>
      </c>
      <c r="F233" s="241">
        <f t="shared" si="14"/>
        <v>0</v>
      </c>
      <c r="G233" s="239">
        <f>G234+G254+G261</f>
        <v>0</v>
      </c>
      <c r="H233" s="242">
        <f>H234+H254+H261</f>
        <v>0</v>
      </c>
      <c r="I233" s="243">
        <f t="shared" si="15"/>
        <v>0</v>
      </c>
      <c r="J233" s="239">
        <f>J234+J254+J261</f>
        <v>0</v>
      </c>
      <c r="K233" s="242">
        <f>K234+K254+K261</f>
        <v>0</v>
      </c>
      <c r="L233" s="243">
        <f t="shared" si="16"/>
        <v>0</v>
      </c>
      <c r="M233" s="244">
        <f>M234+M254+M261</f>
        <v>0</v>
      </c>
      <c r="N233" s="245">
        <f>N234+N254+N261</f>
        <v>0</v>
      </c>
      <c r="O233" s="243">
        <f t="shared" si="17"/>
        <v>0</v>
      </c>
      <c r="P233" s="246"/>
    </row>
    <row r="234" spans="1:16" hidden="1" x14ac:dyDescent="0.25">
      <c r="A234" s="160">
        <v>6200</v>
      </c>
      <c r="B234" s="321" t="s">
        <v>250</v>
      </c>
      <c r="C234" s="333">
        <f t="shared" si="13"/>
        <v>0</v>
      </c>
      <c r="D234" s="334">
        <f>SUM(D235,D236,D238,D241,D247,D248,D249)</f>
        <v>0</v>
      </c>
      <c r="E234" s="684">
        <f>SUM(E235,E236,E238,E241,E247,E248,E249)</f>
        <v>0</v>
      </c>
      <c r="F234" s="648">
        <f t="shared" si="14"/>
        <v>0</v>
      </c>
      <c r="G234" s="334">
        <f>SUM(G235,G236,G238,G241,G247,G248,G249)</f>
        <v>0</v>
      </c>
      <c r="H234" s="336">
        <f>SUM(H235,H236,H238,H241,H247,H248,H249)</f>
        <v>0</v>
      </c>
      <c r="I234" s="252">
        <f t="shared" si="15"/>
        <v>0</v>
      </c>
      <c r="J234" s="334">
        <f>SUM(J235,J236,J238,J241,J247,J248,J249)</f>
        <v>0</v>
      </c>
      <c r="K234" s="336">
        <f>SUM(K235,K236,K238,K241,K247,K248,K249)</f>
        <v>0</v>
      </c>
      <c r="L234" s="252">
        <f t="shared" si="16"/>
        <v>0</v>
      </c>
      <c r="M234" s="250">
        <f>SUM(M235,M236,M238,M241,M247,M248,M249)</f>
        <v>0</v>
      </c>
      <c r="N234" s="251">
        <f>SUM(N235,N236,N238,N241,N247,N248,N249)</f>
        <v>0</v>
      </c>
      <c r="O234" s="252">
        <f t="shared" si="17"/>
        <v>0</v>
      </c>
      <c r="P234" s="253"/>
    </row>
    <row r="235" spans="1:16" ht="24" hidden="1" x14ac:dyDescent="0.25">
      <c r="A235" s="1036">
        <v>6220</v>
      </c>
      <c r="B235" s="116" t="s">
        <v>251</v>
      </c>
      <c r="C235" s="298">
        <f t="shared" si="13"/>
        <v>0</v>
      </c>
      <c r="D235" s="123"/>
      <c r="E235" s="295"/>
      <c r="F235" s="296">
        <f t="shared" si="14"/>
        <v>0</v>
      </c>
      <c r="G235" s="123"/>
      <c r="H235" s="124"/>
      <c r="I235" s="125">
        <f t="shared" si="15"/>
        <v>0</v>
      </c>
      <c r="J235" s="123"/>
      <c r="K235" s="124"/>
      <c r="L235" s="125">
        <f t="shared" si="16"/>
        <v>0</v>
      </c>
      <c r="M235" s="264"/>
      <c r="N235" s="262"/>
      <c r="O235" s="125">
        <f t="shared" si="17"/>
        <v>0</v>
      </c>
      <c r="P235" s="74"/>
    </row>
    <row r="236" spans="1:16" hidden="1" x14ac:dyDescent="0.25">
      <c r="A236" s="276">
        <v>6230</v>
      </c>
      <c r="B236" s="127" t="s">
        <v>252</v>
      </c>
      <c r="C236" s="278">
        <f t="shared" si="13"/>
        <v>0</v>
      </c>
      <c r="D236" s="277">
        <f>SUM(D237)</f>
        <v>0</v>
      </c>
      <c r="E236" s="281">
        <f>SUM(E237)</f>
        <v>0</v>
      </c>
      <c r="F236" s="279">
        <f t="shared" si="14"/>
        <v>0</v>
      </c>
      <c r="G236" s="277">
        <f>SUM(G237)</f>
        <v>0</v>
      </c>
      <c r="H236" s="280">
        <f>SUM(H237)</f>
        <v>0</v>
      </c>
      <c r="I236" s="136">
        <f t="shared" si="15"/>
        <v>0</v>
      </c>
      <c r="J236" s="277">
        <f>SUM(J237)</f>
        <v>0</v>
      </c>
      <c r="K236" s="280">
        <f>SUM(K237)</f>
        <v>0</v>
      </c>
      <c r="L236" s="136">
        <f t="shared" si="16"/>
        <v>0</v>
      </c>
      <c r="M236" s="277">
        <f>SUM(M237)</f>
        <v>0</v>
      </c>
      <c r="N236" s="280">
        <f>SUM(N237)</f>
        <v>0</v>
      </c>
      <c r="O236" s="136">
        <f t="shared" si="17"/>
        <v>0</v>
      </c>
      <c r="P236" s="85"/>
    </row>
    <row r="237" spans="1:16" ht="24" hidden="1" x14ac:dyDescent="0.25">
      <c r="A237" s="76">
        <v>6239</v>
      </c>
      <c r="B237" s="116" t="s">
        <v>253</v>
      </c>
      <c r="C237" s="278">
        <f t="shared" si="13"/>
        <v>0</v>
      </c>
      <c r="D237" s="134"/>
      <c r="E237" s="283"/>
      <c r="F237" s="279">
        <f t="shared" si="14"/>
        <v>0</v>
      </c>
      <c r="G237" s="134"/>
      <c r="H237" s="135"/>
      <c r="I237" s="136">
        <f t="shared" si="15"/>
        <v>0</v>
      </c>
      <c r="J237" s="134"/>
      <c r="K237" s="135"/>
      <c r="L237" s="136">
        <f t="shared" si="16"/>
        <v>0</v>
      </c>
      <c r="M237" s="284"/>
      <c r="N237" s="285"/>
      <c r="O237" s="136">
        <f t="shared" si="17"/>
        <v>0</v>
      </c>
      <c r="P237" s="85"/>
    </row>
    <row r="238" spans="1:16" ht="24" hidden="1" x14ac:dyDescent="0.25">
      <c r="A238" s="276">
        <v>6240</v>
      </c>
      <c r="B238" s="127" t="s">
        <v>254</v>
      </c>
      <c r="C238" s="278">
        <f t="shared" si="13"/>
        <v>0</v>
      </c>
      <c r="D238" s="277">
        <f>SUM(D239:D240)</f>
        <v>0</v>
      </c>
      <c r="E238" s="278">
        <f>SUM(E239:E240)</f>
        <v>0</v>
      </c>
      <c r="F238" s="279">
        <f t="shared" si="14"/>
        <v>0</v>
      </c>
      <c r="G238" s="277">
        <f>SUM(G239:G240)</f>
        <v>0</v>
      </c>
      <c r="H238" s="280">
        <f>SUM(H239:H240)</f>
        <v>0</v>
      </c>
      <c r="I238" s="136">
        <f t="shared" si="15"/>
        <v>0</v>
      </c>
      <c r="J238" s="277">
        <f>SUM(J239:J240)</f>
        <v>0</v>
      </c>
      <c r="K238" s="280">
        <f>SUM(K239:K240)</f>
        <v>0</v>
      </c>
      <c r="L238" s="136">
        <f t="shared" si="16"/>
        <v>0</v>
      </c>
      <c r="M238" s="281">
        <f>SUM(M239:M240)</f>
        <v>0</v>
      </c>
      <c r="N238" s="282">
        <f>SUM(N239:N240)</f>
        <v>0</v>
      </c>
      <c r="O238" s="136">
        <f t="shared" si="17"/>
        <v>0</v>
      </c>
      <c r="P238" s="85"/>
    </row>
    <row r="239" spans="1:16" hidden="1" x14ac:dyDescent="0.25">
      <c r="A239" s="76">
        <v>6241</v>
      </c>
      <c r="B239" s="127" t="s">
        <v>255</v>
      </c>
      <c r="C239" s="278">
        <f t="shared" si="13"/>
        <v>0</v>
      </c>
      <c r="D239" s="134"/>
      <c r="E239" s="283"/>
      <c r="F239" s="279">
        <f t="shared" si="14"/>
        <v>0</v>
      </c>
      <c r="G239" s="134"/>
      <c r="H239" s="135"/>
      <c r="I239" s="136">
        <f t="shared" si="15"/>
        <v>0</v>
      </c>
      <c r="J239" s="134"/>
      <c r="K239" s="135"/>
      <c r="L239" s="136">
        <f t="shared" si="16"/>
        <v>0</v>
      </c>
      <c r="M239" s="284"/>
      <c r="N239" s="285"/>
      <c r="O239" s="136">
        <f t="shared" si="17"/>
        <v>0</v>
      </c>
      <c r="P239" s="85"/>
    </row>
    <row r="240" spans="1:16" hidden="1" x14ac:dyDescent="0.25">
      <c r="A240" s="76">
        <v>6242</v>
      </c>
      <c r="B240" s="127" t="s">
        <v>256</v>
      </c>
      <c r="C240" s="278">
        <f t="shared" si="13"/>
        <v>0</v>
      </c>
      <c r="D240" s="134"/>
      <c r="E240" s="283"/>
      <c r="F240" s="279">
        <f t="shared" si="14"/>
        <v>0</v>
      </c>
      <c r="G240" s="134"/>
      <c r="H240" s="135"/>
      <c r="I240" s="136">
        <f t="shared" si="15"/>
        <v>0</v>
      </c>
      <c r="J240" s="134"/>
      <c r="K240" s="135"/>
      <c r="L240" s="136">
        <f t="shared" si="16"/>
        <v>0</v>
      </c>
      <c r="M240" s="284"/>
      <c r="N240" s="285"/>
      <c r="O240" s="136">
        <f t="shared" si="17"/>
        <v>0</v>
      </c>
      <c r="P240" s="85"/>
    </row>
    <row r="241" spans="1:16" ht="24" hidden="1" x14ac:dyDescent="0.25">
      <c r="A241" s="276">
        <v>6250</v>
      </c>
      <c r="B241" s="127" t="s">
        <v>257</v>
      </c>
      <c r="C241" s="278">
        <f t="shared" si="13"/>
        <v>0</v>
      </c>
      <c r="D241" s="277">
        <f>SUM(D242:D246)</f>
        <v>0</v>
      </c>
      <c r="E241" s="278">
        <f>SUM(E242:E246)</f>
        <v>0</v>
      </c>
      <c r="F241" s="279">
        <f t="shared" si="14"/>
        <v>0</v>
      </c>
      <c r="G241" s="277">
        <f>SUM(G242:G246)</f>
        <v>0</v>
      </c>
      <c r="H241" s="280">
        <f>SUM(H242:H246)</f>
        <v>0</v>
      </c>
      <c r="I241" s="136">
        <f t="shared" si="15"/>
        <v>0</v>
      </c>
      <c r="J241" s="277">
        <f>SUM(J242:J246)</f>
        <v>0</v>
      </c>
      <c r="K241" s="280">
        <f>SUM(K242:K246)</f>
        <v>0</v>
      </c>
      <c r="L241" s="136">
        <f t="shared" si="16"/>
        <v>0</v>
      </c>
      <c r="M241" s="281">
        <f>SUM(M242:M246)</f>
        <v>0</v>
      </c>
      <c r="N241" s="282">
        <f>SUM(N242:N246)</f>
        <v>0</v>
      </c>
      <c r="O241" s="136">
        <f t="shared" si="17"/>
        <v>0</v>
      </c>
      <c r="P241" s="85"/>
    </row>
    <row r="242" spans="1:16" hidden="1" x14ac:dyDescent="0.25">
      <c r="A242" s="76">
        <v>6252</v>
      </c>
      <c r="B242" s="127" t="s">
        <v>258</v>
      </c>
      <c r="C242" s="278">
        <f t="shared" si="13"/>
        <v>0</v>
      </c>
      <c r="D242" s="134"/>
      <c r="E242" s="283"/>
      <c r="F242" s="279">
        <f t="shared" si="14"/>
        <v>0</v>
      </c>
      <c r="G242" s="134"/>
      <c r="H242" s="135"/>
      <c r="I242" s="136">
        <f t="shared" si="15"/>
        <v>0</v>
      </c>
      <c r="J242" s="134"/>
      <c r="K242" s="135"/>
      <c r="L242" s="136">
        <f t="shared" si="16"/>
        <v>0</v>
      </c>
      <c r="M242" s="284"/>
      <c r="N242" s="285"/>
      <c r="O242" s="136">
        <f t="shared" si="17"/>
        <v>0</v>
      </c>
      <c r="P242" s="85"/>
    </row>
    <row r="243" spans="1:16" hidden="1" x14ac:dyDescent="0.25">
      <c r="A243" s="76">
        <v>6253</v>
      </c>
      <c r="B243" s="127" t="s">
        <v>259</v>
      </c>
      <c r="C243" s="278">
        <f t="shared" si="13"/>
        <v>0</v>
      </c>
      <c r="D243" s="134"/>
      <c r="E243" s="283"/>
      <c r="F243" s="279">
        <f t="shared" si="14"/>
        <v>0</v>
      </c>
      <c r="G243" s="134"/>
      <c r="H243" s="135"/>
      <c r="I243" s="136">
        <f t="shared" si="15"/>
        <v>0</v>
      </c>
      <c r="J243" s="134"/>
      <c r="K243" s="135"/>
      <c r="L243" s="136">
        <f t="shared" si="16"/>
        <v>0</v>
      </c>
      <c r="M243" s="284"/>
      <c r="N243" s="285"/>
      <c r="O243" s="136">
        <f t="shared" si="17"/>
        <v>0</v>
      </c>
      <c r="P243" s="85"/>
    </row>
    <row r="244" spans="1:16" ht="24" hidden="1" x14ac:dyDescent="0.25">
      <c r="A244" s="76">
        <v>6254</v>
      </c>
      <c r="B244" s="127" t="s">
        <v>260</v>
      </c>
      <c r="C244" s="278">
        <f t="shared" si="13"/>
        <v>0</v>
      </c>
      <c r="D244" s="134"/>
      <c r="E244" s="283"/>
      <c r="F244" s="279">
        <f t="shared" si="14"/>
        <v>0</v>
      </c>
      <c r="G244" s="134"/>
      <c r="H244" s="135"/>
      <c r="I244" s="136">
        <f t="shared" si="15"/>
        <v>0</v>
      </c>
      <c r="J244" s="134"/>
      <c r="K244" s="135"/>
      <c r="L244" s="136">
        <f t="shared" si="16"/>
        <v>0</v>
      </c>
      <c r="M244" s="284"/>
      <c r="N244" s="285"/>
      <c r="O244" s="136">
        <f t="shared" si="17"/>
        <v>0</v>
      </c>
      <c r="P244" s="85"/>
    </row>
    <row r="245" spans="1:16" ht="24" hidden="1" x14ac:dyDescent="0.25">
      <c r="A245" s="76">
        <v>6255</v>
      </c>
      <c r="B245" s="127" t="s">
        <v>261</v>
      </c>
      <c r="C245" s="278">
        <f t="shared" ref="C245:C286" si="18">F245+I245+L245+O245</f>
        <v>0</v>
      </c>
      <c r="D245" s="134"/>
      <c r="E245" s="283"/>
      <c r="F245" s="279">
        <f t="shared" ref="F245:F299" si="19">D245+E245</f>
        <v>0</v>
      </c>
      <c r="G245" s="134"/>
      <c r="H245" s="135"/>
      <c r="I245" s="136">
        <f t="shared" ref="I245:I299" si="20">G245+H245</f>
        <v>0</v>
      </c>
      <c r="J245" s="134"/>
      <c r="K245" s="135"/>
      <c r="L245" s="136">
        <f t="shared" ref="L245:L299" si="21">J245+K245</f>
        <v>0</v>
      </c>
      <c r="M245" s="284"/>
      <c r="N245" s="285"/>
      <c r="O245" s="136">
        <f t="shared" ref="O245:O277" si="22">M245+N245</f>
        <v>0</v>
      </c>
      <c r="P245" s="85"/>
    </row>
    <row r="246" spans="1:16" hidden="1" x14ac:dyDescent="0.25">
      <c r="A246" s="76">
        <v>6259</v>
      </c>
      <c r="B246" s="127" t="s">
        <v>262</v>
      </c>
      <c r="C246" s="278">
        <f t="shared" si="18"/>
        <v>0</v>
      </c>
      <c r="D246" s="134"/>
      <c r="E246" s="283"/>
      <c r="F246" s="279">
        <f t="shared" si="19"/>
        <v>0</v>
      </c>
      <c r="G246" s="134"/>
      <c r="H246" s="135"/>
      <c r="I246" s="136">
        <f t="shared" si="20"/>
        <v>0</v>
      </c>
      <c r="J246" s="134"/>
      <c r="K246" s="135"/>
      <c r="L246" s="136">
        <f t="shared" si="21"/>
        <v>0</v>
      </c>
      <c r="M246" s="284"/>
      <c r="N246" s="285"/>
      <c r="O246" s="136">
        <f t="shared" si="22"/>
        <v>0</v>
      </c>
      <c r="P246" s="85"/>
    </row>
    <row r="247" spans="1:16" ht="24" hidden="1" x14ac:dyDescent="0.25">
      <c r="A247" s="276">
        <v>6260</v>
      </c>
      <c r="B247" s="127" t="s">
        <v>263</v>
      </c>
      <c r="C247" s="278">
        <f t="shared" si="18"/>
        <v>0</v>
      </c>
      <c r="D247" s="134"/>
      <c r="E247" s="283"/>
      <c r="F247" s="279">
        <f t="shared" si="19"/>
        <v>0</v>
      </c>
      <c r="G247" s="134"/>
      <c r="H247" s="135"/>
      <c r="I247" s="136">
        <f t="shared" si="20"/>
        <v>0</v>
      </c>
      <c r="J247" s="134"/>
      <c r="K247" s="135"/>
      <c r="L247" s="136">
        <f t="shared" si="21"/>
        <v>0</v>
      </c>
      <c r="M247" s="284"/>
      <c r="N247" s="285"/>
      <c r="O247" s="136">
        <f t="shared" si="22"/>
        <v>0</v>
      </c>
      <c r="P247" s="85"/>
    </row>
    <row r="248" spans="1:16" hidden="1" x14ac:dyDescent="0.25">
      <c r="A248" s="276">
        <v>6270</v>
      </c>
      <c r="B248" s="127" t="s">
        <v>264</v>
      </c>
      <c r="C248" s="278">
        <f t="shared" si="18"/>
        <v>0</v>
      </c>
      <c r="D248" s="134"/>
      <c r="E248" s="283"/>
      <c r="F248" s="279">
        <f t="shared" si="19"/>
        <v>0</v>
      </c>
      <c r="G248" s="134"/>
      <c r="H248" s="135"/>
      <c r="I248" s="136">
        <f t="shared" si="20"/>
        <v>0</v>
      </c>
      <c r="J248" s="134"/>
      <c r="K248" s="135"/>
      <c r="L248" s="136">
        <f t="shared" si="21"/>
        <v>0</v>
      </c>
      <c r="M248" s="284"/>
      <c r="N248" s="285"/>
      <c r="O248" s="136">
        <f t="shared" si="22"/>
        <v>0</v>
      </c>
      <c r="P248" s="85"/>
    </row>
    <row r="249" spans="1:16" ht="24" hidden="1" x14ac:dyDescent="0.25">
      <c r="A249" s="1036">
        <v>6290</v>
      </c>
      <c r="B249" s="116" t="s">
        <v>265</v>
      </c>
      <c r="C249" s="278">
        <f t="shared" si="18"/>
        <v>0</v>
      </c>
      <c r="D249" s="297">
        <f>SUM(D250:D253)</f>
        <v>0</v>
      </c>
      <c r="E249" s="298">
        <f>SUM(E250:E253)</f>
        <v>0</v>
      </c>
      <c r="F249" s="296">
        <f t="shared" si="19"/>
        <v>0</v>
      </c>
      <c r="G249" s="297">
        <f>SUM(G250:G253)</f>
        <v>0</v>
      </c>
      <c r="H249" s="299">
        <f>SUM(H250:H253)</f>
        <v>0</v>
      </c>
      <c r="I249" s="125">
        <f t="shared" si="20"/>
        <v>0</v>
      </c>
      <c r="J249" s="297">
        <f>SUM(J250:J253)</f>
        <v>0</v>
      </c>
      <c r="K249" s="299">
        <f>SUM(K250:K253)</f>
        <v>0</v>
      </c>
      <c r="L249" s="125">
        <f t="shared" si="21"/>
        <v>0</v>
      </c>
      <c r="M249" s="322">
        <f>SUM(M250:M253)</f>
        <v>0</v>
      </c>
      <c r="N249" s="323">
        <f>SUM(N250:N253)</f>
        <v>0</v>
      </c>
      <c r="O249" s="324">
        <f t="shared" si="22"/>
        <v>0</v>
      </c>
      <c r="P249" s="325"/>
    </row>
    <row r="250" spans="1:16" hidden="1" x14ac:dyDescent="0.25">
      <c r="A250" s="76">
        <v>6291</v>
      </c>
      <c r="B250" s="127" t="s">
        <v>266</v>
      </c>
      <c r="C250" s="278">
        <f t="shared" si="18"/>
        <v>0</v>
      </c>
      <c r="D250" s="134"/>
      <c r="E250" s="283"/>
      <c r="F250" s="279">
        <f t="shared" si="19"/>
        <v>0</v>
      </c>
      <c r="G250" s="134"/>
      <c r="H250" s="135"/>
      <c r="I250" s="136">
        <f t="shared" si="20"/>
        <v>0</v>
      </c>
      <c r="J250" s="134"/>
      <c r="K250" s="135"/>
      <c r="L250" s="136">
        <f t="shared" si="21"/>
        <v>0</v>
      </c>
      <c r="M250" s="284"/>
      <c r="N250" s="285"/>
      <c r="O250" s="136">
        <f t="shared" si="22"/>
        <v>0</v>
      </c>
      <c r="P250" s="85"/>
    </row>
    <row r="251" spans="1:16" hidden="1" x14ac:dyDescent="0.25">
      <c r="A251" s="76">
        <v>6292</v>
      </c>
      <c r="B251" s="127" t="s">
        <v>267</v>
      </c>
      <c r="C251" s="278">
        <f t="shared" si="18"/>
        <v>0</v>
      </c>
      <c r="D251" s="134"/>
      <c r="E251" s="283"/>
      <c r="F251" s="279">
        <f t="shared" si="19"/>
        <v>0</v>
      </c>
      <c r="G251" s="134"/>
      <c r="H251" s="135"/>
      <c r="I251" s="136">
        <f t="shared" si="20"/>
        <v>0</v>
      </c>
      <c r="J251" s="134"/>
      <c r="K251" s="135"/>
      <c r="L251" s="136">
        <f t="shared" si="21"/>
        <v>0</v>
      </c>
      <c r="M251" s="284"/>
      <c r="N251" s="285"/>
      <c r="O251" s="136">
        <f t="shared" si="22"/>
        <v>0</v>
      </c>
      <c r="P251" s="85"/>
    </row>
    <row r="252" spans="1:16" ht="72" hidden="1" x14ac:dyDescent="0.25">
      <c r="A252" s="76">
        <v>6296</v>
      </c>
      <c r="B252" s="127" t="s">
        <v>268</v>
      </c>
      <c r="C252" s="278">
        <f t="shared" si="18"/>
        <v>0</v>
      </c>
      <c r="D252" s="134"/>
      <c r="E252" s="283"/>
      <c r="F252" s="279">
        <f t="shared" si="19"/>
        <v>0</v>
      </c>
      <c r="G252" s="134"/>
      <c r="H252" s="135"/>
      <c r="I252" s="136">
        <f t="shared" si="20"/>
        <v>0</v>
      </c>
      <c r="J252" s="134"/>
      <c r="K252" s="135"/>
      <c r="L252" s="136">
        <f t="shared" si="21"/>
        <v>0</v>
      </c>
      <c r="M252" s="284"/>
      <c r="N252" s="285"/>
      <c r="O252" s="136">
        <f t="shared" si="22"/>
        <v>0</v>
      </c>
      <c r="P252" s="85"/>
    </row>
    <row r="253" spans="1:16" ht="36" hidden="1" x14ac:dyDescent="0.25">
      <c r="A253" s="76">
        <v>6299</v>
      </c>
      <c r="B253" s="127" t="s">
        <v>269</v>
      </c>
      <c r="C253" s="278">
        <f t="shared" si="18"/>
        <v>0</v>
      </c>
      <c r="D253" s="134"/>
      <c r="E253" s="283"/>
      <c r="F253" s="279">
        <f t="shared" si="19"/>
        <v>0</v>
      </c>
      <c r="G253" s="134"/>
      <c r="H253" s="135"/>
      <c r="I253" s="136">
        <f t="shared" si="20"/>
        <v>0</v>
      </c>
      <c r="J253" s="134"/>
      <c r="K253" s="135"/>
      <c r="L253" s="136">
        <f t="shared" si="21"/>
        <v>0</v>
      </c>
      <c r="M253" s="284"/>
      <c r="N253" s="285"/>
      <c r="O253" s="136">
        <f t="shared" si="22"/>
        <v>0</v>
      </c>
      <c r="P253" s="85"/>
    </row>
    <row r="254" spans="1:16" hidden="1" x14ac:dyDescent="0.25">
      <c r="A254" s="99">
        <v>6300</v>
      </c>
      <c r="B254" s="247" t="s">
        <v>270</v>
      </c>
      <c r="C254" s="100">
        <f t="shared" si="18"/>
        <v>0</v>
      </c>
      <c r="D254" s="112">
        <f>SUM(D255,D259,D260)</f>
        <v>0</v>
      </c>
      <c r="E254" s="248">
        <f>SUM(E255,E259,E260)</f>
        <v>0</v>
      </c>
      <c r="F254" s="249">
        <f t="shared" si="19"/>
        <v>0</v>
      </c>
      <c r="G254" s="112">
        <f>SUM(G255,G259,G260)</f>
        <v>0</v>
      </c>
      <c r="H254" s="113">
        <f>SUM(H255,H259,H260)</f>
        <v>0</v>
      </c>
      <c r="I254" s="114">
        <f t="shared" si="20"/>
        <v>0</v>
      </c>
      <c r="J254" s="112">
        <f>SUM(J255,J259,J260)</f>
        <v>0</v>
      </c>
      <c r="K254" s="113">
        <f>SUM(K255,K259,K260)</f>
        <v>0</v>
      </c>
      <c r="L254" s="114">
        <f t="shared" si="21"/>
        <v>0</v>
      </c>
      <c r="M254" s="303">
        <f>SUM(M255,M259,M260)</f>
        <v>0</v>
      </c>
      <c r="N254" s="304">
        <f>SUM(N255,N259,N260)</f>
        <v>0</v>
      </c>
      <c r="O254" s="305">
        <f t="shared" si="22"/>
        <v>0</v>
      </c>
      <c r="P254" s="306"/>
    </row>
    <row r="255" spans="1:16" ht="24" hidden="1" x14ac:dyDescent="0.25">
      <c r="A255" s="1036">
        <v>6320</v>
      </c>
      <c r="B255" s="116" t="s">
        <v>271</v>
      </c>
      <c r="C255" s="322">
        <f t="shared" si="18"/>
        <v>0</v>
      </c>
      <c r="D255" s="297">
        <f>SUM(D256:D258)</f>
        <v>0</v>
      </c>
      <c r="E255" s="298">
        <f>SUM(E256:E258)</f>
        <v>0</v>
      </c>
      <c r="F255" s="296">
        <f t="shared" si="19"/>
        <v>0</v>
      </c>
      <c r="G255" s="297">
        <f>SUM(G256:G258)</f>
        <v>0</v>
      </c>
      <c r="H255" s="299">
        <f>SUM(H256:H258)</f>
        <v>0</v>
      </c>
      <c r="I255" s="125">
        <f t="shared" si="20"/>
        <v>0</v>
      </c>
      <c r="J255" s="297">
        <f>SUM(J256:J258)</f>
        <v>0</v>
      </c>
      <c r="K255" s="299">
        <f>SUM(K256:K258)</f>
        <v>0</v>
      </c>
      <c r="L255" s="125">
        <f t="shared" si="21"/>
        <v>0</v>
      </c>
      <c r="M255" s="300">
        <f>SUM(M256:M258)</f>
        <v>0</v>
      </c>
      <c r="N255" s="301">
        <f>SUM(N256:N258)</f>
        <v>0</v>
      </c>
      <c r="O255" s="125">
        <f t="shared" si="22"/>
        <v>0</v>
      </c>
      <c r="P255" s="74"/>
    </row>
    <row r="256" spans="1:16" hidden="1" x14ac:dyDescent="0.25">
      <c r="A256" s="76">
        <v>6322</v>
      </c>
      <c r="B256" s="127" t="s">
        <v>272</v>
      </c>
      <c r="C256" s="281">
        <f t="shared" si="18"/>
        <v>0</v>
      </c>
      <c r="D256" s="134"/>
      <c r="E256" s="283"/>
      <c r="F256" s="279">
        <f t="shared" si="19"/>
        <v>0</v>
      </c>
      <c r="G256" s="134"/>
      <c r="H256" s="135"/>
      <c r="I256" s="136">
        <f t="shared" si="20"/>
        <v>0</v>
      </c>
      <c r="J256" s="134"/>
      <c r="K256" s="135"/>
      <c r="L256" s="136">
        <f t="shared" si="21"/>
        <v>0</v>
      </c>
      <c r="M256" s="284"/>
      <c r="N256" s="285"/>
      <c r="O256" s="136">
        <f t="shared" si="22"/>
        <v>0</v>
      </c>
      <c r="P256" s="85"/>
    </row>
    <row r="257" spans="1:16" ht="24" hidden="1" x14ac:dyDescent="0.25">
      <c r="A257" s="76">
        <v>6323</v>
      </c>
      <c r="B257" s="127" t="s">
        <v>273</v>
      </c>
      <c r="C257" s="281">
        <f t="shared" si="18"/>
        <v>0</v>
      </c>
      <c r="D257" s="134"/>
      <c r="E257" s="283"/>
      <c r="F257" s="279">
        <f t="shared" si="19"/>
        <v>0</v>
      </c>
      <c r="G257" s="134"/>
      <c r="H257" s="135"/>
      <c r="I257" s="136">
        <f t="shared" si="20"/>
        <v>0</v>
      </c>
      <c r="J257" s="134"/>
      <c r="K257" s="135"/>
      <c r="L257" s="136">
        <f t="shared" si="21"/>
        <v>0</v>
      </c>
      <c r="M257" s="284"/>
      <c r="N257" s="285"/>
      <c r="O257" s="136">
        <f t="shared" si="22"/>
        <v>0</v>
      </c>
      <c r="P257" s="85"/>
    </row>
    <row r="258" spans="1:16" ht="24" hidden="1" x14ac:dyDescent="0.25">
      <c r="A258" s="66">
        <v>6324</v>
      </c>
      <c r="B258" s="116" t="s">
        <v>274</v>
      </c>
      <c r="C258" s="281">
        <f t="shared" si="18"/>
        <v>0</v>
      </c>
      <c r="D258" s="123"/>
      <c r="E258" s="295"/>
      <c r="F258" s="296">
        <f t="shared" si="19"/>
        <v>0</v>
      </c>
      <c r="G258" s="123"/>
      <c r="H258" s="124"/>
      <c r="I258" s="125">
        <f t="shared" si="20"/>
        <v>0</v>
      </c>
      <c r="J258" s="123"/>
      <c r="K258" s="124"/>
      <c r="L258" s="125">
        <f t="shared" si="21"/>
        <v>0</v>
      </c>
      <c r="M258" s="264"/>
      <c r="N258" s="262"/>
      <c r="O258" s="125">
        <f t="shared" si="22"/>
        <v>0</v>
      </c>
      <c r="P258" s="74"/>
    </row>
    <row r="259" spans="1:16" ht="24" hidden="1" x14ac:dyDescent="0.25">
      <c r="A259" s="344">
        <v>6330</v>
      </c>
      <c r="B259" s="345" t="s">
        <v>275</v>
      </c>
      <c r="C259" s="281">
        <f t="shared" si="18"/>
        <v>0</v>
      </c>
      <c r="D259" s="328"/>
      <c r="E259" s="683"/>
      <c r="F259" s="647">
        <f t="shared" si="19"/>
        <v>0</v>
      </c>
      <c r="G259" s="328"/>
      <c r="H259" s="331"/>
      <c r="I259" s="324">
        <f t="shared" si="20"/>
        <v>0</v>
      </c>
      <c r="J259" s="328"/>
      <c r="K259" s="331"/>
      <c r="L259" s="324">
        <f t="shared" si="21"/>
        <v>0</v>
      </c>
      <c r="M259" s="332"/>
      <c r="N259" s="329"/>
      <c r="O259" s="324">
        <f t="shared" si="22"/>
        <v>0</v>
      </c>
      <c r="P259" s="325"/>
    </row>
    <row r="260" spans="1:16" hidden="1" x14ac:dyDescent="0.25">
      <c r="A260" s="276">
        <v>6360</v>
      </c>
      <c r="B260" s="127" t="s">
        <v>276</v>
      </c>
      <c r="C260" s="281">
        <f t="shared" si="18"/>
        <v>0</v>
      </c>
      <c r="D260" s="134"/>
      <c r="E260" s="283"/>
      <c r="F260" s="279">
        <f t="shared" si="19"/>
        <v>0</v>
      </c>
      <c r="G260" s="134"/>
      <c r="H260" s="135"/>
      <c r="I260" s="136">
        <f t="shared" si="20"/>
        <v>0</v>
      </c>
      <c r="J260" s="134"/>
      <c r="K260" s="135"/>
      <c r="L260" s="136">
        <f t="shared" si="21"/>
        <v>0</v>
      </c>
      <c r="M260" s="284"/>
      <c r="N260" s="285"/>
      <c r="O260" s="136">
        <f t="shared" si="22"/>
        <v>0</v>
      </c>
      <c r="P260" s="85"/>
    </row>
    <row r="261" spans="1:16" ht="36" hidden="1" x14ac:dyDescent="0.25">
      <c r="A261" s="99">
        <v>6400</v>
      </c>
      <c r="B261" s="247" t="s">
        <v>277</v>
      </c>
      <c r="C261" s="100">
        <f t="shared" si="18"/>
        <v>0</v>
      </c>
      <c r="D261" s="112">
        <f>SUM(D262,D266)</f>
        <v>0</v>
      </c>
      <c r="E261" s="248">
        <f>SUM(E262,E266)</f>
        <v>0</v>
      </c>
      <c r="F261" s="249">
        <f t="shared" si="19"/>
        <v>0</v>
      </c>
      <c r="G261" s="112">
        <f>SUM(G262,G266)</f>
        <v>0</v>
      </c>
      <c r="H261" s="113">
        <f>SUM(H262,H266)</f>
        <v>0</v>
      </c>
      <c r="I261" s="114">
        <f t="shared" si="20"/>
        <v>0</v>
      </c>
      <c r="J261" s="112">
        <f>SUM(J262,J266)</f>
        <v>0</v>
      </c>
      <c r="K261" s="113">
        <f>SUM(K262,K266)</f>
        <v>0</v>
      </c>
      <c r="L261" s="114">
        <f t="shared" si="21"/>
        <v>0</v>
      </c>
      <c r="M261" s="303">
        <f>SUM(M262,M266)</f>
        <v>0</v>
      </c>
      <c r="N261" s="304">
        <f>SUM(N262,N266)</f>
        <v>0</v>
      </c>
      <c r="O261" s="305">
        <f t="shared" si="22"/>
        <v>0</v>
      </c>
      <c r="P261" s="306"/>
    </row>
    <row r="262" spans="1:16" ht="24" hidden="1" x14ac:dyDescent="0.25">
      <c r="A262" s="1036">
        <v>6410</v>
      </c>
      <c r="B262" s="116" t="s">
        <v>278</v>
      </c>
      <c r="C262" s="300">
        <f t="shared" si="18"/>
        <v>0</v>
      </c>
      <c r="D262" s="297">
        <f>SUM(D263:D265)</f>
        <v>0</v>
      </c>
      <c r="E262" s="298">
        <f>SUM(E263:E265)</f>
        <v>0</v>
      </c>
      <c r="F262" s="296">
        <f t="shared" si="19"/>
        <v>0</v>
      </c>
      <c r="G262" s="297">
        <f>SUM(G263:G265)</f>
        <v>0</v>
      </c>
      <c r="H262" s="299">
        <f>SUM(H263:H265)</f>
        <v>0</v>
      </c>
      <c r="I262" s="125">
        <f t="shared" si="20"/>
        <v>0</v>
      </c>
      <c r="J262" s="297">
        <f>SUM(J263:J265)</f>
        <v>0</v>
      </c>
      <c r="K262" s="299">
        <f>SUM(K263:K265)</f>
        <v>0</v>
      </c>
      <c r="L262" s="125">
        <f t="shared" si="21"/>
        <v>0</v>
      </c>
      <c r="M262" s="317">
        <f>SUM(M263:M265)</f>
        <v>0</v>
      </c>
      <c r="N262" s="318">
        <f>SUM(N263:N265)</f>
        <v>0</v>
      </c>
      <c r="O262" s="151">
        <f t="shared" si="22"/>
        <v>0</v>
      </c>
      <c r="P262" s="153"/>
    </row>
    <row r="263" spans="1:16" hidden="1" x14ac:dyDescent="0.25">
      <c r="A263" s="76">
        <v>6411</v>
      </c>
      <c r="B263" s="346" t="s">
        <v>279</v>
      </c>
      <c r="C263" s="278">
        <f t="shared" si="18"/>
        <v>0</v>
      </c>
      <c r="D263" s="134"/>
      <c r="E263" s="283"/>
      <c r="F263" s="279">
        <f t="shared" si="19"/>
        <v>0</v>
      </c>
      <c r="G263" s="134"/>
      <c r="H263" s="135"/>
      <c r="I263" s="136">
        <f t="shared" si="20"/>
        <v>0</v>
      </c>
      <c r="J263" s="134"/>
      <c r="K263" s="135"/>
      <c r="L263" s="136">
        <f t="shared" si="21"/>
        <v>0</v>
      </c>
      <c r="M263" s="284"/>
      <c r="N263" s="285"/>
      <c r="O263" s="136">
        <f t="shared" si="22"/>
        <v>0</v>
      </c>
      <c r="P263" s="85"/>
    </row>
    <row r="264" spans="1:16" ht="36" hidden="1" x14ac:dyDescent="0.25">
      <c r="A264" s="76">
        <v>6412</v>
      </c>
      <c r="B264" s="127" t="s">
        <v>280</v>
      </c>
      <c r="C264" s="278">
        <f t="shared" si="18"/>
        <v>0</v>
      </c>
      <c r="D264" s="134"/>
      <c r="E264" s="283"/>
      <c r="F264" s="279">
        <f t="shared" si="19"/>
        <v>0</v>
      </c>
      <c r="G264" s="134"/>
      <c r="H264" s="135"/>
      <c r="I264" s="136">
        <f t="shared" si="20"/>
        <v>0</v>
      </c>
      <c r="J264" s="134"/>
      <c r="K264" s="135"/>
      <c r="L264" s="136">
        <f t="shared" si="21"/>
        <v>0</v>
      </c>
      <c r="M264" s="284"/>
      <c r="N264" s="285"/>
      <c r="O264" s="136">
        <f t="shared" si="22"/>
        <v>0</v>
      </c>
      <c r="P264" s="85"/>
    </row>
    <row r="265" spans="1:16" ht="36" hidden="1" x14ac:dyDescent="0.25">
      <c r="A265" s="76">
        <v>6419</v>
      </c>
      <c r="B265" s="127" t="s">
        <v>281</v>
      </c>
      <c r="C265" s="278">
        <f t="shared" si="18"/>
        <v>0</v>
      </c>
      <c r="D265" s="134"/>
      <c r="E265" s="283"/>
      <c r="F265" s="279">
        <f t="shared" si="19"/>
        <v>0</v>
      </c>
      <c r="G265" s="134"/>
      <c r="H265" s="135"/>
      <c r="I265" s="136">
        <f t="shared" si="20"/>
        <v>0</v>
      </c>
      <c r="J265" s="134"/>
      <c r="K265" s="135"/>
      <c r="L265" s="136">
        <f t="shared" si="21"/>
        <v>0</v>
      </c>
      <c r="M265" s="284"/>
      <c r="N265" s="285"/>
      <c r="O265" s="136">
        <f t="shared" si="22"/>
        <v>0</v>
      </c>
      <c r="P265" s="85"/>
    </row>
    <row r="266" spans="1:16" ht="36" hidden="1" x14ac:dyDescent="0.25">
      <c r="A266" s="276">
        <v>6420</v>
      </c>
      <c r="B266" s="127" t="s">
        <v>282</v>
      </c>
      <c r="C266" s="278">
        <f t="shared" si="18"/>
        <v>0</v>
      </c>
      <c r="D266" s="277">
        <f>SUM(D267:D270)</f>
        <v>0</v>
      </c>
      <c r="E266" s="278">
        <f>SUM(E267:E270)</f>
        <v>0</v>
      </c>
      <c r="F266" s="279">
        <f t="shared" si="19"/>
        <v>0</v>
      </c>
      <c r="G266" s="277">
        <f>SUM(G267:G270)</f>
        <v>0</v>
      </c>
      <c r="H266" s="280">
        <f>SUM(H267:H270)</f>
        <v>0</v>
      </c>
      <c r="I266" s="136">
        <f t="shared" si="20"/>
        <v>0</v>
      </c>
      <c r="J266" s="277">
        <f>SUM(J267:J270)</f>
        <v>0</v>
      </c>
      <c r="K266" s="280">
        <f>SUM(K267:K270)</f>
        <v>0</v>
      </c>
      <c r="L266" s="136">
        <f t="shared" si="21"/>
        <v>0</v>
      </c>
      <c r="M266" s="281">
        <f>SUM(M267:M270)</f>
        <v>0</v>
      </c>
      <c r="N266" s="282">
        <f>SUM(N267:N270)</f>
        <v>0</v>
      </c>
      <c r="O266" s="136">
        <f t="shared" si="22"/>
        <v>0</v>
      </c>
      <c r="P266" s="85"/>
    </row>
    <row r="267" spans="1:16" hidden="1" x14ac:dyDescent="0.25">
      <c r="A267" s="76">
        <v>6421</v>
      </c>
      <c r="B267" s="127" t="s">
        <v>283</v>
      </c>
      <c r="C267" s="278">
        <f t="shared" si="18"/>
        <v>0</v>
      </c>
      <c r="D267" s="134"/>
      <c r="E267" s="283"/>
      <c r="F267" s="279">
        <f t="shared" si="19"/>
        <v>0</v>
      </c>
      <c r="G267" s="134"/>
      <c r="H267" s="135"/>
      <c r="I267" s="136">
        <f t="shared" si="20"/>
        <v>0</v>
      </c>
      <c r="J267" s="134"/>
      <c r="K267" s="135"/>
      <c r="L267" s="136">
        <f t="shared" si="21"/>
        <v>0</v>
      </c>
      <c r="M267" s="284"/>
      <c r="N267" s="285"/>
      <c r="O267" s="136">
        <f t="shared" si="22"/>
        <v>0</v>
      </c>
      <c r="P267" s="85"/>
    </row>
    <row r="268" spans="1:16" hidden="1" x14ac:dyDescent="0.25">
      <c r="A268" s="76">
        <v>6422</v>
      </c>
      <c r="B268" s="127" t="s">
        <v>284</v>
      </c>
      <c r="C268" s="278">
        <f t="shared" si="18"/>
        <v>0</v>
      </c>
      <c r="D268" s="134"/>
      <c r="E268" s="283"/>
      <c r="F268" s="279">
        <f t="shared" si="19"/>
        <v>0</v>
      </c>
      <c r="G268" s="134"/>
      <c r="H268" s="135"/>
      <c r="I268" s="136">
        <f t="shared" si="20"/>
        <v>0</v>
      </c>
      <c r="J268" s="134"/>
      <c r="K268" s="135"/>
      <c r="L268" s="136">
        <f t="shared" si="21"/>
        <v>0</v>
      </c>
      <c r="M268" s="284"/>
      <c r="N268" s="285"/>
      <c r="O268" s="136">
        <f t="shared" si="22"/>
        <v>0</v>
      </c>
      <c r="P268" s="85"/>
    </row>
    <row r="269" spans="1:16" ht="24" hidden="1" x14ac:dyDescent="0.25">
      <c r="A269" s="76">
        <v>6423</v>
      </c>
      <c r="B269" s="127" t="s">
        <v>285</v>
      </c>
      <c r="C269" s="278">
        <f t="shared" si="18"/>
        <v>0</v>
      </c>
      <c r="D269" s="134"/>
      <c r="E269" s="283"/>
      <c r="F269" s="279">
        <f t="shared" si="19"/>
        <v>0</v>
      </c>
      <c r="G269" s="134"/>
      <c r="H269" s="135"/>
      <c r="I269" s="136">
        <f t="shared" si="20"/>
        <v>0</v>
      </c>
      <c r="J269" s="134"/>
      <c r="K269" s="135"/>
      <c r="L269" s="136">
        <f t="shared" si="21"/>
        <v>0</v>
      </c>
      <c r="M269" s="284"/>
      <c r="N269" s="285"/>
      <c r="O269" s="136">
        <f t="shared" si="22"/>
        <v>0</v>
      </c>
      <c r="P269" s="85"/>
    </row>
    <row r="270" spans="1:16" ht="36" hidden="1" x14ac:dyDescent="0.25">
      <c r="A270" s="76">
        <v>6424</v>
      </c>
      <c r="B270" s="127" t="s">
        <v>286</v>
      </c>
      <c r="C270" s="278">
        <f t="shared" si="18"/>
        <v>0</v>
      </c>
      <c r="D270" s="134"/>
      <c r="E270" s="283"/>
      <c r="F270" s="279">
        <f t="shared" si="19"/>
        <v>0</v>
      </c>
      <c r="G270" s="134"/>
      <c r="H270" s="135"/>
      <c r="I270" s="136">
        <f t="shared" si="20"/>
        <v>0</v>
      </c>
      <c r="J270" s="134"/>
      <c r="K270" s="135"/>
      <c r="L270" s="136">
        <f t="shared" si="21"/>
        <v>0</v>
      </c>
      <c r="M270" s="284"/>
      <c r="N270" s="285"/>
      <c r="O270" s="136">
        <f t="shared" si="22"/>
        <v>0</v>
      </c>
      <c r="P270" s="85"/>
    </row>
    <row r="271" spans="1:16" ht="36" hidden="1" x14ac:dyDescent="0.25">
      <c r="A271" s="347">
        <v>7000</v>
      </c>
      <c r="B271" s="347" t="s">
        <v>287</v>
      </c>
      <c r="C271" s="348">
        <f t="shared" si="18"/>
        <v>0</v>
      </c>
      <c r="D271" s="349">
        <f>SUM(D272,D282)</f>
        <v>0</v>
      </c>
      <c r="E271" s="350">
        <f>SUM(E272,E282)</f>
        <v>0</v>
      </c>
      <c r="F271" s="351">
        <f t="shared" si="19"/>
        <v>0</v>
      </c>
      <c r="G271" s="349">
        <f>SUM(G272,G282)</f>
        <v>0</v>
      </c>
      <c r="H271" s="352">
        <f>SUM(H272,H282)</f>
        <v>0</v>
      </c>
      <c r="I271" s="353">
        <f t="shared" si="20"/>
        <v>0</v>
      </c>
      <c r="J271" s="349">
        <f>SUM(J272,J282)</f>
        <v>0</v>
      </c>
      <c r="K271" s="352">
        <f>SUM(K272,K282)</f>
        <v>0</v>
      </c>
      <c r="L271" s="353">
        <f t="shared" si="21"/>
        <v>0</v>
      </c>
      <c r="M271" s="354">
        <f>SUM(M272,M282)</f>
        <v>0</v>
      </c>
      <c r="N271" s="355">
        <f>SUM(N272,N282)</f>
        <v>0</v>
      </c>
      <c r="O271" s="356">
        <f t="shared" si="22"/>
        <v>0</v>
      </c>
      <c r="P271" s="357"/>
    </row>
    <row r="272" spans="1:16" ht="24" hidden="1" x14ac:dyDescent="0.25">
      <c r="A272" s="99">
        <v>7200</v>
      </c>
      <c r="B272" s="247" t="s">
        <v>288</v>
      </c>
      <c r="C272" s="100">
        <f t="shared" si="18"/>
        <v>0</v>
      </c>
      <c r="D272" s="112">
        <f>SUM(D273,D274,D277,D278,D281)</f>
        <v>0</v>
      </c>
      <c r="E272" s="248">
        <f>SUM(E273,E274,E277,E278,E281)</f>
        <v>0</v>
      </c>
      <c r="F272" s="249">
        <f t="shared" si="19"/>
        <v>0</v>
      </c>
      <c r="G272" s="112">
        <f>SUM(G273,G274,G277,G278,G281)</f>
        <v>0</v>
      </c>
      <c r="H272" s="113">
        <f>SUM(H273,H274,H277,H278,H281)</f>
        <v>0</v>
      </c>
      <c r="I272" s="114">
        <f t="shared" si="20"/>
        <v>0</v>
      </c>
      <c r="J272" s="112">
        <f>SUM(J273,J274,J277,J278,J281)</f>
        <v>0</v>
      </c>
      <c r="K272" s="113">
        <f>SUM(K273,K274,K277,K278,K281)</f>
        <v>0</v>
      </c>
      <c r="L272" s="114">
        <f t="shared" si="21"/>
        <v>0</v>
      </c>
      <c r="M272" s="250">
        <f>SUM(M273,M274,M277,M278,M281)</f>
        <v>0</v>
      </c>
      <c r="N272" s="251">
        <f>SUM(N273,N274,N277,N278,N281)</f>
        <v>0</v>
      </c>
      <c r="O272" s="252">
        <f t="shared" si="22"/>
        <v>0</v>
      </c>
      <c r="P272" s="253"/>
    </row>
    <row r="273" spans="1:16" ht="24" hidden="1" x14ac:dyDescent="0.25">
      <c r="A273" s="1036">
        <v>7210</v>
      </c>
      <c r="B273" s="116" t="s">
        <v>289</v>
      </c>
      <c r="C273" s="117">
        <f t="shared" si="18"/>
        <v>0</v>
      </c>
      <c r="D273" s="123"/>
      <c r="E273" s="295"/>
      <c r="F273" s="296">
        <f t="shared" si="19"/>
        <v>0</v>
      </c>
      <c r="G273" s="123"/>
      <c r="H273" s="124"/>
      <c r="I273" s="125">
        <f t="shared" si="20"/>
        <v>0</v>
      </c>
      <c r="J273" s="123"/>
      <c r="K273" s="124"/>
      <c r="L273" s="125">
        <f t="shared" si="21"/>
        <v>0</v>
      </c>
      <c r="M273" s="264"/>
      <c r="N273" s="262"/>
      <c r="O273" s="125">
        <f t="shared" si="22"/>
        <v>0</v>
      </c>
      <c r="P273" s="74"/>
    </row>
    <row r="274" spans="1:16" s="358" customFormat="1" ht="36" hidden="1" x14ac:dyDescent="0.25">
      <c r="A274" s="276">
        <v>7220</v>
      </c>
      <c r="B274" s="127" t="s">
        <v>290</v>
      </c>
      <c r="C274" s="128">
        <f t="shared" si="18"/>
        <v>0</v>
      </c>
      <c r="D274" s="277">
        <f>SUM(D275:D276)</f>
        <v>0</v>
      </c>
      <c r="E274" s="278">
        <f>SUM(E275:E276)</f>
        <v>0</v>
      </c>
      <c r="F274" s="279">
        <f t="shared" si="19"/>
        <v>0</v>
      </c>
      <c r="G274" s="277">
        <f>SUM(G275:G276)</f>
        <v>0</v>
      </c>
      <c r="H274" s="280">
        <f>SUM(H275:H276)</f>
        <v>0</v>
      </c>
      <c r="I274" s="136">
        <f t="shared" si="20"/>
        <v>0</v>
      </c>
      <c r="J274" s="277">
        <f>SUM(J275:J276)</f>
        <v>0</v>
      </c>
      <c r="K274" s="280">
        <f>SUM(K275:K276)</f>
        <v>0</v>
      </c>
      <c r="L274" s="136">
        <f t="shared" si="21"/>
        <v>0</v>
      </c>
      <c r="M274" s="281">
        <f>SUM(M275:M276)</f>
        <v>0</v>
      </c>
      <c r="N274" s="282">
        <f>SUM(N275:N276)</f>
        <v>0</v>
      </c>
      <c r="O274" s="136">
        <f t="shared" si="22"/>
        <v>0</v>
      </c>
      <c r="P274" s="85"/>
    </row>
    <row r="275" spans="1:16" s="358" customFormat="1" ht="36" hidden="1" x14ac:dyDescent="0.25">
      <c r="A275" s="76">
        <v>7221</v>
      </c>
      <c r="B275" s="127" t="s">
        <v>291</v>
      </c>
      <c r="C275" s="128">
        <f t="shared" si="18"/>
        <v>0</v>
      </c>
      <c r="D275" s="134"/>
      <c r="E275" s="283"/>
      <c r="F275" s="279">
        <f t="shared" si="19"/>
        <v>0</v>
      </c>
      <c r="G275" s="134"/>
      <c r="H275" s="135"/>
      <c r="I275" s="136">
        <f t="shared" si="20"/>
        <v>0</v>
      </c>
      <c r="J275" s="134"/>
      <c r="K275" s="135"/>
      <c r="L275" s="136">
        <f t="shared" si="21"/>
        <v>0</v>
      </c>
      <c r="M275" s="284"/>
      <c r="N275" s="285"/>
      <c r="O275" s="136">
        <f t="shared" si="22"/>
        <v>0</v>
      </c>
      <c r="P275" s="85"/>
    </row>
    <row r="276" spans="1:16" s="358" customFormat="1" ht="36" hidden="1" x14ac:dyDescent="0.25">
      <c r="A276" s="76">
        <v>7222</v>
      </c>
      <c r="B276" s="127" t="s">
        <v>292</v>
      </c>
      <c r="C276" s="128">
        <f t="shared" si="18"/>
        <v>0</v>
      </c>
      <c r="D276" s="134"/>
      <c r="E276" s="283"/>
      <c r="F276" s="279">
        <f t="shared" si="19"/>
        <v>0</v>
      </c>
      <c r="G276" s="134"/>
      <c r="H276" s="135"/>
      <c r="I276" s="136">
        <f t="shared" si="20"/>
        <v>0</v>
      </c>
      <c r="J276" s="134"/>
      <c r="K276" s="135"/>
      <c r="L276" s="136">
        <f t="shared" si="21"/>
        <v>0</v>
      </c>
      <c r="M276" s="284"/>
      <c r="N276" s="285"/>
      <c r="O276" s="136">
        <f t="shared" si="22"/>
        <v>0</v>
      </c>
      <c r="P276" s="85"/>
    </row>
    <row r="277" spans="1:16" s="358" customFormat="1" ht="24" hidden="1" x14ac:dyDescent="0.25">
      <c r="A277" s="276">
        <v>7230</v>
      </c>
      <c r="B277" s="127" t="s">
        <v>293</v>
      </c>
      <c r="C277" s="128">
        <f t="shared" si="18"/>
        <v>0</v>
      </c>
      <c r="D277" s="134"/>
      <c r="E277" s="283"/>
      <c r="F277" s="279">
        <f t="shared" si="19"/>
        <v>0</v>
      </c>
      <c r="G277" s="134"/>
      <c r="H277" s="135"/>
      <c r="I277" s="136">
        <f t="shared" si="20"/>
        <v>0</v>
      </c>
      <c r="J277" s="134"/>
      <c r="K277" s="135"/>
      <c r="L277" s="136">
        <f t="shared" si="21"/>
        <v>0</v>
      </c>
      <c r="M277" s="284"/>
      <c r="N277" s="285"/>
      <c r="O277" s="136">
        <f t="shared" si="22"/>
        <v>0</v>
      </c>
      <c r="P277" s="85"/>
    </row>
    <row r="278" spans="1:16" ht="24" hidden="1" x14ac:dyDescent="0.25">
      <c r="A278" s="276">
        <v>7240</v>
      </c>
      <c r="B278" s="127" t="s">
        <v>294</v>
      </c>
      <c r="C278" s="128">
        <f t="shared" si="18"/>
        <v>0</v>
      </c>
      <c r="D278" s="277">
        <f>SUM(D279:D280)</f>
        <v>0</v>
      </c>
      <c r="E278" s="278">
        <f>SUM(E279:E280)</f>
        <v>0</v>
      </c>
      <c r="F278" s="279">
        <f t="shared" si="19"/>
        <v>0</v>
      </c>
      <c r="G278" s="277">
        <f>SUM(G279:G280)</f>
        <v>0</v>
      </c>
      <c r="H278" s="280">
        <f>SUM(H279:H280)</f>
        <v>0</v>
      </c>
      <c r="I278" s="136">
        <f t="shared" si="20"/>
        <v>0</v>
      </c>
      <c r="J278" s="277">
        <f>SUM(J279:J280)</f>
        <v>0</v>
      </c>
      <c r="K278" s="280">
        <f>SUM(K279:K280)</f>
        <v>0</v>
      </c>
      <c r="L278" s="136">
        <f t="shared" si="21"/>
        <v>0</v>
      </c>
      <c r="M278" s="281">
        <f>SUM(M279:M280)</f>
        <v>0</v>
      </c>
      <c r="N278" s="282">
        <f>SUM(N279:N280)</f>
        <v>0</v>
      </c>
      <c r="O278" s="136">
        <f>SUM(O279:O280)</f>
        <v>0</v>
      </c>
      <c r="P278" s="85"/>
    </row>
    <row r="279" spans="1:16" ht="48" hidden="1" x14ac:dyDescent="0.25">
      <c r="A279" s="76">
        <v>7245</v>
      </c>
      <c r="B279" s="127" t="s">
        <v>295</v>
      </c>
      <c r="C279" s="128">
        <f t="shared" si="18"/>
        <v>0</v>
      </c>
      <c r="D279" s="134"/>
      <c r="E279" s="283"/>
      <c r="F279" s="279">
        <f t="shared" si="19"/>
        <v>0</v>
      </c>
      <c r="G279" s="134"/>
      <c r="H279" s="135"/>
      <c r="I279" s="136">
        <f t="shared" si="20"/>
        <v>0</v>
      </c>
      <c r="J279" s="134"/>
      <c r="K279" s="135"/>
      <c r="L279" s="136">
        <f t="shared" si="21"/>
        <v>0</v>
      </c>
      <c r="M279" s="284"/>
      <c r="N279" s="285"/>
      <c r="O279" s="136">
        <f t="shared" ref="O279:O299" si="23">M279+N279</f>
        <v>0</v>
      </c>
      <c r="P279" s="85"/>
    </row>
    <row r="280" spans="1:16" ht="96" hidden="1" x14ac:dyDescent="0.25">
      <c r="A280" s="76">
        <v>7246</v>
      </c>
      <c r="B280" s="127" t="s">
        <v>296</v>
      </c>
      <c r="C280" s="128">
        <f t="shared" si="18"/>
        <v>0</v>
      </c>
      <c r="D280" s="134"/>
      <c r="E280" s="283"/>
      <c r="F280" s="279">
        <f t="shared" si="19"/>
        <v>0</v>
      </c>
      <c r="G280" s="134"/>
      <c r="H280" s="135"/>
      <c r="I280" s="136">
        <f t="shared" si="20"/>
        <v>0</v>
      </c>
      <c r="J280" s="134"/>
      <c r="K280" s="135"/>
      <c r="L280" s="136">
        <f t="shared" si="21"/>
        <v>0</v>
      </c>
      <c r="M280" s="284"/>
      <c r="N280" s="285"/>
      <c r="O280" s="136">
        <f t="shared" si="23"/>
        <v>0</v>
      </c>
      <c r="P280" s="85"/>
    </row>
    <row r="281" spans="1:16" ht="24" hidden="1" x14ac:dyDescent="0.25">
      <c r="A281" s="276">
        <v>7260</v>
      </c>
      <c r="B281" s="127" t="s">
        <v>297</v>
      </c>
      <c r="C281" s="128">
        <f t="shared" si="18"/>
        <v>0</v>
      </c>
      <c r="D281" s="123"/>
      <c r="E281" s="295"/>
      <c r="F281" s="296">
        <f t="shared" si="19"/>
        <v>0</v>
      </c>
      <c r="G281" s="123"/>
      <c r="H281" s="124"/>
      <c r="I281" s="125">
        <f t="shared" si="20"/>
        <v>0</v>
      </c>
      <c r="J281" s="123"/>
      <c r="K281" s="124"/>
      <c r="L281" s="125">
        <f t="shared" si="21"/>
        <v>0</v>
      </c>
      <c r="M281" s="264"/>
      <c r="N281" s="262"/>
      <c r="O281" s="125">
        <f t="shared" si="23"/>
        <v>0</v>
      </c>
      <c r="P281" s="74"/>
    </row>
    <row r="282" spans="1:16" hidden="1" x14ac:dyDescent="0.25">
      <c r="A282" s="99">
        <v>7700</v>
      </c>
      <c r="B282" s="247" t="s">
        <v>298</v>
      </c>
      <c r="C282" s="359">
        <f t="shared" si="18"/>
        <v>0</v>
      </c>
      <c r="D282" s="360">
        <f>D283</f>
        <v>0</v>
      </c>
      <c r="E282" s="679">
        <f>SUM(E283)</f>
        <v>0</v>
      </c>
      <c r="F282" s="302">
        <f t="shared" si="19"/>
        <v>0</v>
      </c>
      <c r="G282" s="360">
        <f>G283</f>
        <v>0</v>
      </c>
      <c r="H282" s="361">
        <f>SUM(H283)</f>
        <v>0</v>
      </c>
      <c r="I282" s="305">
        <f t="shared" si="20"/>
        <v>0</v>
      </c>
      <c r="J282" s="360">
        <f>J283</f>
        <v>0</v>
      </c>
      <c r="K282" s="361">
        <f>SUM(K283)</f>
        <v>0</v>
      </c>
      <c r="L282" s="305">
        <f t="shared" si="21"/>
        <v>0</v>
      </c>
      <c r="M282" s="303">
        <f>SUM(M283)</f>
        <v>0</v>
      </c>
      <c r="N282" s="304">
        <f>SUM(N283)</f>
        <v>0</v>
      </c>
      <c r="O282" s="305">
        <f t="shared" si="23"/>
        <v>0</v>
      </c>
      <c r="P282" s="306"/>
    </row>
    <row r="283" spans="1:16" hidden="1" x14ac:dyDescent="0.25">
      <c r="A283" s="141">
        <v>7720</v>
      </c>
      <c r="B283" s="142" t="s">
        <v>299</v>
      </c>
      <c r="C283" s="362">
        <f t="shared" si="18"/>
        <v>0</v>
      </c>
      <c r="D283" s="149"/>
      <c r="E283" s="686"/>
      <c r="F283" s="362">
        <f t="shared" si="19"/>
        <v>0</v>
      </c>
      <c r="G283" s="149"/>
      <c r="H283" s="150"/>
      <c r="I283" s="151">
        <f t="shared" si="20"/>
        <v>0</v>
      </c>
      <c r="J283" s="149"/>
      <c r="K283" s="150"/>
      <c r="L283" s="151">
        <f t="shared" si="21"/>
        <v>0</v>
      </c>
      <c r="M283" s="365"/>
      <c r="N283" s="363"/>
      <c r="O283" s="151">
        <f t="shared" si="23"/>
        <v>0</v>
      </c>
      <c r="P283" s="153"/>
    </row>
    <row r="284" spans="1:16" hidden="1" x14ac:dyDescent="0.25">
      <c r="A284" s="366"/>
      <c r="B284" s="179" t="s">
        <v>300</v>
      </c>
      <c r="C284" s="117">
        <f t="shared" si="18"/>
        <v>0</v>
      </c>
      <c r="D284" s="255">
        <f>SUM(D285:D286)</f>
        <v>0</v>
      </c>
      <c r="E284" s="256">
        <f>SUM(E285:E286)</f>
        <v>0</v>
      </c>
      <c r="F284" s="257">
        <f t="shared" si="19"/>
        <v>0</v>
      </c>
      <c r="G284" s="255">
        <f>SUM(G285:G286)</f>
        <v>0</v>
      </c>
      <c r="H284" s="258">
        <f>SUM(H285:H286)</f>
        <v>0</v>
      </c>
      <c r="I284" s="259">
        <f t="shared" si="20"/>
        <v>0</v>
      </c>
      <c r="J284" s="255">
        <f>SUM(J285:J286)</f>
        <v>0</v>
      </c>
      <c r="K284" s="258">
        <f>SUM(K285:K286)</f>
        <v>0</v>
      </c>
      <c r="L284" s="259">
        <f t="shared" si="21"/>
        <v>0</v>
      </c>
      <c r="M284" s="260">
        <f>SUM(M285:M286)</f>
        <v>0</v>
      </c>
      <c r="N284" s="261">
        <f>SUM(N285:N286)</f>
        <v>0</v>
      </c>
      <c r="O284" s="259">
        <f t="shared" si="23"/>
        <v>0</v>
      </c>
      <c r="P284" s="189"/>
    </row>
    <row r="285" spans="1:16" hidden="1" x14ac:dyDescent="0.25">
      <c r="A285" s="346" t="s">
        <v>301</v>
      </c>
      <c r="B285" s="76" t="s">
        <v>302</v>
      </c>
      <c r="C285" s="279">
        <f t="shared" si="18"/>
        <v>0</v>
      </c>
      <c r="D285" s="134"/>
      <c r="E285" s="283"/>
      <c r="F285" s="279">
        <f t="shared" si="19"/>
        <v>0</v>
      </c>
      <c r="G285" s="134"/>
      <c r="H285" s="135"/>
      <c r="I285" s="136">
        <f t="shared" si="20"/>
        <v>0</v>
      </c>
      <c r="J285" s="134"/>
      <c r="K285" s="135"/>
      <c r="L285" s="136">
        <f t="shared" si="21"/>
        <v>0</v>
      </c>
      <c r="M285" s="284"/>
      <c r="N285" s="285"/>
      <c r="O285" s="136">
        <f t="shared" si="23"/>
        <v>0</v>
      </c>
      <c r="P285" s="85"/>
    </row>
    <row r="286" spans="1:16" ht="24" hidden="1" x14ac:dyDescent="0.25">
      <c r="A286" s="346" t="s">
        <v>303</v>
      </c>
      <c r="B286" s="367" t="s">
        <v>304</v>
      </c>
      <c r="C286" s="117">
        <f t="shared" si="18"/>
        <v>0</v>
      </c>
      <c r="D286" s="123"/>
      <c r="E286" s="295"/>
      <c r="F286" s="296">
        <f t="shared" si="19"/>
        <v>0</v>
      </c>
      <c r="G286" s="123"/>
      <c r="H286" s="124"/>
      <c r="I286" s="125">
        <f t="shared" si="20"/>
        <v>0</v>
      </c>
      <c r="J286" s="123"/>
      <c r="K286" s="124"/>
      <c r="L286" s="125">
        <f t="shared" si="21"/>
        <v>0</v>
      </c>
      <c r="M286" s="264"/>
      <c r="N286" s="262"/>
      <c r="O286" s="125">
        <f t="shared" si="23"/>
        <v>0</v>
      </c>
      <c r="P286" s="74"/>
    </row>
    <row r="287" spans="1:16" x14ac:dyDescent="0.25">
      <c r="A287" s="368"/>
      <c r="B287" s="369" t="s">
        <v>305</v>
      </c>
      <c r="C287" s="370">
        <f>SUM(C284,C271,C233,C198,C190,C176,C78,C56)</f>
        <v>450710</v>
      </c>
      <c r="D287" s="371">
        <f>SUM(D284,D271,D233,D198,D190,D176,D78,D56)</f>
        <v>466010</v>
      </c>
      <c r="E287" s="372">
        <f>SUM(E284,E271,E233,E198,E190,E176,E78,E56)</f>
        <v>-15300</v>
      </c>
      <c r="F287" s="373">
        <f t="shared" si="19"/>
        <v>450710</v>
      </c>
      <c r="G287" s="371">
        <f>SUM(G284,G271,G233,G198,G190,G176,G78,G56)</f>
        <v>0</v>
      </c>
      <c r="H287" s="374">
        <f>SUM(H284,H271,H233,H198,H190,H176,H78,H56)</f>
        <v>0</v>
      </c>
      <c r="I287" s="375">
        <f t="shared" si="20"/>
        <v>0</v>
      </c>
      <c r="J287" s="371">
        <f>SUM(J284,J271,J233,J198,J190,J176,J78,J56)</f>
        <v>0</v>
      </c>
      <c r="K287" s="374">
        <f>SUM(K284,K271,K233,K198,K190,K176,K78,K56)</f>
        <v>0</v>
      </c>
      <c r="L287" s="375">
        <f t="shared" si="21"/>
        <v>0</v>
      </c>
      <c r="M287" s="250">
        <f>SUM(M284,M271,M233,M198,M190,M176,M78,M56)</f>
        <v>0</v>
      </c>
      <c r="N287" s="251">
        <f>SUM(N284,N271,N233,N198,N190,N176,N78,N56)</f>
        <v>0</v>
      </c>
      <c r="O287" s="252">
        <f t="shared" si="23"/>
        <v>0</v>
      </c>
      <c r="P287" s="253"/>
    </row>
    <row r="288" spans="1:16" hidden="1" x14ac:dyDescent="0.25">
      <c r="A288" s="376" t="s">
        <v>306</v>
      </c>
      <c r="B288" s="377"/>
      <c r="C288" s="378">
        <f>F288+I288+L288+O288</f>
        <v>0</v>
      </c>
      <c r="D288" s="379">
        <f>SUM(D28,D29,D45)-D54</f>
        <v>0</v>
      </c>
      <c r="E288" s="380">
        <f>SUM(E28,E29,E45)-E54</f>
        <v>0</v>
      </c>
      <c r="F288" s="381">
        <f t="shared" si="19"/>
        <v>0</v>
      </c>
      <c r="G288" s="379">
        <f>SUM(G28,G29,G45)-G54</f>
        <v>0</v>
      </c>
      <c r="H288" s="382">
        <f>SUM(H28,H29,H45)-H54</f>
        <v>0</v>
      </c>
      <c r="I288" s="383">
        <f t="shared" si="20"/>
        <v>0</v>
      </c>
      <c r="J288" s="379">
        <f>(J30+J46)-J54</f>
        <v>0</v>
      </c>
      <c r="K288" s="382">
        <f>(K30+K46)-K54</f>
        <v>0</v>
      </c>
      <c r="L288" s="383">
        <f t="shared" si="21"/>
        <v>0</v>
      </c>
      <c r="M288" s="378">
        <f>M48-M54</f>
        <v>0</v>
      </c>
      <c r="N288" s="384">
        <f>N48-N54</f>
        <v>0</v>
      </c>
      <c r="O288" s="383">
        <f t="shared" si="23"/>
        <v>0</v>
      </c>
      <c r="P288" s="385"/>
    </row>
    <row r="289" spans="1:17" s="41" customFormat="1" ht="12" hidden="1" x14ac:dyDescent="0.25">
      <c r="A289" s="376" t="s">
        <v>307</v>
      </c>
      <c r="B289" s="377"/>
      <c r="C289" s="380">
        <f>SUM(C290,C291)-C298+C299</f>
        <v>0</v>
      </c>
      <c r="D289" s="379">
        <f>SUM(D290,D291)-D298+D299</f>
        <v>0</v>
      </c>
      <c r="E289" s="380">
        <f>SUM(E290,E291)-E298+E299</f>
        <v>0</v>
      </c>
      <c r="F289" s="381">
        <f t="shared" si="19"/>
        <v>0</v>
      </c>
      <c r="G289" s="379">
        <f>SUM(G290,G291)-G298+G299</f>
        <v>0</v>
      </c>
      <c r="H289" s="382">
        <f>SUM(H290,H291)-H298+H299</f>
        <v>0</v>
      </c>
      <c r="I289" s="383">
        <f t="shared" si="20"/>
        <v>0</v>
      </c>
      <c r="J289" s="379">
        <f>SUM(J290,J291)-J298+J299</f>
        <v>0</v>
      </c>
      <c r="K289" s="382">
        <f>SUM(K290,K291)-K298+K299</f>
        <v>0</v>
      </c>
      <c r="L289" s="383">
        <f t="shared" si="21"/>
        <v>0</v>
      </c>
      <c r="M289" s="378">
        <f>SUM(M290,M291)-M298+M299</f>
        <v>0</v>
      </c>
      <c r="N289" s="384">
        <f>SUM(N290,N291)-N298+N299</f>
        <v>0</v>
      </c>
      <c r="O289" s="383">
        <f t="shared" si="23"/>
        <v>0</v>
      </c>
      <c r="P289" s="385"/>
    </row>
    <row r="290" spans="1:17" s="41" customFormat="1" ht="12" hidden="1" x14ac:dyDescent="0.25">
      <c r="A290" s="386" t="s">
        <v>308</v>
      </c>
      <c r="B290" s="386" t="s">
        <v>309</v>
      </c>
      <c r="C290" s="380">
        <f>C25-C284</f>
        <v>0</v>
      </c>
      <c r="D290" s="379">
        <f>D25-D284</f>
        <v>0</v>
      </c>
      <c r="E290" s="380">
        <f>E25-E284</f>
        <v>0</v>
      </c>
      <c r="F290" s="381">
        <f t="shared" si="19"/>
        <v>0</v>
      </c>
      <c r="G290" s="379">
        <f>G25-G284</f>
        <v>0</v>
      </c>
      <c r="H290" s="382">
        <f>H25-H284</f>
        <v>0</v>
      </c>
      <c r="I290" s="383">
        <f t="shared" si="20"/>
        <v>0</v>
      </c>
      <c r="J290" s="379">
        <f>J25-J284</f>
        <v>0</v>
      </c>
      <c r="K290" s="382">
        <f>K25-K284</f>
        <v>0</v>
      </c>
      <c r="L290" s="383">
        <f t="shared" si="21"/>
        <v>0</v>
      </c>
      <c r="M290" s="378">
        <f>M25-M284</f>
        <v>0</v>
      </c>
      <c r="N290" s="384">
        <f>N25-N284</f>
        <v>0</v>
      </c>
      <c r="O290" s="383">
        <f t="shared" si="23"/>
        <v>0</v>
      </c>
      <c r="P290" s="385"/>
    </row>
    <row r="291" spans="1:17" s="41" customFormat="1" ht="12" hidden="1" x14ac:dyDescent="0.25">
      <c r="A291" s="387" t="s">
        <v>310</v>
      </c>
      <c r="B291" s="387" t="s">
        <v>311</v>
      </c>
      <c r="C291" s="380">
        <f>SUM(C292,C294,C296)-SUM(C293,C295,C297)</f>
        <v>0</v>
      </c>
      <c r="D291" s="379">
        <f>SUM(D292,D294,D296)-SUM(D293,D295,D297)</f>
        <v>0</v>
      </c>
      <c r="E291" s="380">
        <f>SUM(E292,E294,E296)-SUM(E293,E295,E297)</f>
        <v>0</v>
      </c>
      <c r="F291" s="381">
        <f t="shared" si="19"/>
        <v>0</v>
      </c>
      <c r="G291" s="379">
        <f>SUM(G292,G294,G296)-SUM(G293,G295,G297)</f>
        <v>0</v>
      </c>
      <c r="H291" s="382">
        <f>SUM(H292,H294,H296)-SUM(H293,H295,H297)</f>
        <v>0</v>
      </c>
      <c r="I291" s="383">
        <f t="shared" si="20"/>
        <v>0</v>
      </c>
      <c r="J291" s="379">
        <f>SUM(J292,J294,J296)-SUM(J293,J295,J297)</f>
        <v>0</v>
      </c>
      <c r="K291" s="382">
        <f>SUM(K292,K294,K296)-SUM(K293,K295,K297)</f>
        <v>0</v>
      </c>
      <c r="L291" s="383">
        <f t="shared" si="21"/>
        <v>0</v>
      </c>
      <c r="M291" s="378">
        <f>SUM(M292,M294,M296)-SUM(M293,M295,M297)</f>
        <v>0</v>
      </c>
      <c r="N291" s="384">
        <f>SUM(N292,N294,N296)-SUM(N293,N295,N297)</f>
        <v>0</v>
      </c>
      <c r="O291" s="383">
        <f t="shared" si="23"/>
        <v>0</v>
      </c>
      <c r="P291" s="385"/>
    </row>
    <row r="292" spans="1:17" s="41" customFormat="1" ht="12" hidden="1" x14ac:dyDescent="0.25">
      <c r="A292" s="366" t="s">
        <v>312</v>
      </c>
      <c r="B292" s="190" t="s">
        <v>313</v>
      </c>
      <c r="C292" s="143">
        <f t="shared" ref="C292:C299" si="24">F292+I292+L292+O292</f>
        <v>0</v>
      </c>
      <c r="D292" s="149"/>
      <c r="E292" s="686"/>
      <c r="F292" s="362">
        <f t="shared" si="19"/>
        <v>0</v>
      </c>
      <c r="G292" s="149"/>
      <c r="H292" s="150"/>
      <c r="I292" s="151">
        <f t="shared" si="20"/>
        <v>0</v>
      </c>
      <c r="J292" s="149"/>
      <c r="K292" s="150"/>
      <c r="L292" s="151">
        <f t="shared" si="21"/>
        <v>0</v>
      </c>
      <c r="M292" s="365"/>
      <c r="N292" s="363"/>
      <c r="O292" s="151">
        <f t="shared" si="23"/>
        <v>0</v>
      </c>
      <c r="P292" s="153"/>
    </row>
    <row r="293" spans="1:17" ht="24" hidden="1" x14ac:dyDescent="0.25">
      <c r="A293" s="346" t="s">
        <v>314</v>
      </c>
      <c r="B293" s="75" t="s">
        <v>315</v>
      </c>
      <c r="C293" s="128">
        <f t="shared" si="24"/>
        <v>0</v>
      </c>
      <c r="D293" s="134"/>
      <c r="E293" s="283"/>
      <c r="F293" s="279">
        <f t="shared" si="19"/>
        <v>0</v>
      </c>
      <c r="G293" s="134"/>
      <c r="H293" s="135"/>
      <c r="I293" s="136">
        <f t="shared" si="20"/>
        <v>0</v>
      </c>
      <c r="J293" s="134"/>
      <c r="K293" s="135"/>
      <c r="L293" s="136">
        <f t="shared" si="21"/>
        <v>0</v>
      </c>
      <c r="M293" s="284"/>
      <c r="N293" s="285"/>
      <c r="O293" s="136">
        <f t="shared" si="23"/>
        <v>0</v>
      </c>
      <c r="P293" s="85"/>
    </row>
    <row r="294" spans="1:17" hidden="1" x14ac:dyDescent="0.25">
      <c r="A294" s="346" t="s">
        <v>316</v>
      </c>
      <c r="B294" s="75" t="s">
        <v>317</v>
      </c>
      <c r="C294" s="128">
        <f t="shared" si="24"/>
        <v>0</v>
      </c>
      <c r="D294" s="134"/>
      <c r="E294" s="283"/>
      <c r="F294" s="279">
        <f t="shared" si="19"/>
        <v>0</v>
      </c>
      <c r="G294" s="134"/>
      <c r="H294" s="135"/>
      <c r="I294" s="136">
        <f t="shared" si="20"/>
        <v>0</v>
      </c>
      <c r="J294" s="134"/>
      <c r="K294" s="135"/>
      <c r="L294" s="136">
        <f t="shared" si="21"/>
        <v>0</v>
      </c>
      <c r="M294" s="284"/>
      <c r="N294" s="285"/>
      <c r="O294" s="136">
        <f t="shared" si="23"/>
        <v>0</v>
      </c>
      <c r="P294" s="85"/>
    </row>
    <row r="295" spans="1:17" ht="24" hidden="1" x14ac:dyDescent="0.25">
      <c r="A295" s="346" t="s">
        <v>318</v>
      </c>
      <c r="B295" s="75" t="s">
        <v>319</v>
      </c>
      <c r="C295" s="128">
        <f t="shared" si="24"/>
        <v>0</v>
      </c>
      <c r="D295" s="134"/>
      <c r="E295" s="283"/>
      <c r="F295" s="279">
        <f t="shared" si="19"/>
        <v>0</v>
      </c>
      <c r="G295" s="134"/>
      <c r="H295" s="135"/>
      <c r="I295" s="136">
        <f t="shared" si="20"/>
        <v>0</v>
      </c>
      <c r="J295" s="134"/>
      <c r="K295" s="135"/>
      <c r="L295" s="136">
        <f t="shared" si="21"/>
        <v>0</v>
      </c>
      <c r="M295" s="284"/>
      <c r="N295" s="285"/>
      <c r="O295" s="136">
        <f t="shared" si="23"/>
        <v>0</v>
      </c>
      <c r="P295" s="85"/>
    </row>
    <row r="296" spans="1:17" hidden="1" x14ac:dyDescent="0.25">
      <c r="A296" s="346" t="s">
        <v>320</v>
      </c>
      <c r="B296" s="75" t="s">
        <v>321</v>
      </c>
      <c r="C296" s="128">
        <f t="shared" si="24"/>
        <v>0</v>
      </c>
      <c r="D296" s="134"/>
      <c r="E296" s="283"/>
      <c r="F296" s="279">
        <f t="shared" si="19"/>
        <v>0</v>
      </c>
      <c r="G296" s="134"/>
      <c r="H296" s="135"/>
      <c r="I296" s="136">
        <f t="shared" si="20"/>
        <v>0</v>
      </c>
      <c r="J296" s="134"/>
      <c r="K296" s="135"/>
      <c r="L296" s="136">
        <f t="shared" si="21"/>
        <v>0</v>
      </c>
      <c r="M296" s="284"/>
      <c r="N296" s="285"/>
      <c r="O296" s="136">
        <f t="shared" si="23"/>
        <v>0</v>
      </c>
      <c r="P296" s="85"/>
    </row>
    <row r="297" spans="1:17" ht="24" hidden="1" x14ac:dyDescent="0.25">
      <c r="A297" s="389" t="s">
        <v>322</v>
      </c>
      <c r="B297" s="390" t="s">
        <v>323</v>
      </c>
      <c r="C297" s="327">
        <f t="shared" si="24"/>
        <v>0</v>
      </c>
      <c r="D297" s="328"/>
      <c r="E297" s="683"/>
      <c r="F297" s="647">
        <f t="shared" si="19"/>
        <v>0</v>
      </c>
      <c r="G297" s="328"/>
      <c r="H297" s="331"/>
      <c r="I297" s="324">
        <f t="shared" si="20"/>
        <v>0</v>
      </c>
      <c r="J297" s="328"/>
      <c r="K297" s="331"/>
      <c r="L297" s="324">
        <f t="shared" si="21"/>
        <v>0</v>
      </c>
      <c r="M297" s="332"/>
      <c r="N297" s="329"/>
      <c r="O297" s="324">
        <f t="shared" si="23"/>
        <v>0</v>
      </c>
      <c r="P297" s="325"/>
    </row>
    <row r="298" spans="1:17" hidden="1" x14ac:dyDescent="0.25">
      <c r="A298" s="387" t="s">
        <v>324</v>
      </c>
      <c r="B298" s="387" t="s">
        <v>325</v>
      </c>
      <c r="C298" s="391">
        <f t="shared" si="24"/>
        <v>0</v>
      </c>
      <c r="D298" s="392"/>
      <c r="E298" s="687"/>
      <c r="F298" s="381">
        <f t="shared" si="19"/>
        <v>0</v>
      </c>
      <c r="G298" s="392"/>
      <c r="H298" s="394"/>
      <c r="I298" s="383">
        <f t="shared" si="20"/>
        <v>0</v>
      </c>
      <c r="J298" s="392"/>
      <c r="K298" s="394"/>
      <c r="L298" s="383">
        <f t="shared" si="21"/>
        <v>0</v>
      </c>
      <c r="M298" s="395"/>
      <c r="N298" s="393"/>
      <c r="O298" s="383">
        <f t="shared" si="23"/>
        <v>0</v>
      </c>
      <c r="P298" s="385"/>
    </row>
    <row r="299" spans="1:17" s="41" customFormat="1" ht="48" hidden="1" x14ac:dyDescent="0.25">
      <c r="A299" s="387" t="s">
        <v>326</v>
      </c>
      <c r="B299" s="396" t="s">
        <v>327</v>
      </c>
      <c r="C299" s="397">
        <f t="shared" si="24"/>
        <v>0</v>
      </c>
      <c r="D299" s="398"/>
      <c r="E299" s="688"/>
      <c r="F299" s="651">
        <f t="shared" si="19"/>
        <v>0</v>
      </c>
      <c r="G299" s="392"/>
      <c r="H299" s="394"/>
      <c r="I299" s="383">
        <f t="shared" si="20"/>
        <v>0</v>
      </c>
      <c r="J299" s="392"/>
      <c r="K299" s="394"/>
      <c r="L299" s="383">
        <f t="shared" si="21"/>
        <v>0</v>
      </c>
      <c r="M299" s="395"/>
      <c r="N299" s="393"/>
      <c r="O299" s="383">
        <f t="shared" si="23"/>
        <v>0</v>
      </c>
      <c r="P299" s="385"/>
    </row>
    <row r="300" spans="1:17" s="41" customFormat="1" ht="12" x14ac:dyDescent="0.25">
      <c r="A300" s="401" t="s">
        <v>328</v>
      </c>
      <c r="B300" s="402"/>
      <c r="C300" s="402"/>
      <c r="D300" s="402"/>
      <c r="E300" s="402"/>
      <c r="F300" s="402"/>
      <c r="G300" s="402"/>
      <c r="H300" s="402"/>
      <c r="I300" s="402"/>
      <c r="J300" s="402"/>
      <c r="K300" s="402"/>
      <c r="L300" s="402"/>
      <c r="M300" s="402"/>
      <c r="N300" s="402"/>
      <c r="O300" s="402"/>
      <c r="P300" s="403"/>
      <c r="Q300" s="32"/>
    </row>
    <row r="301" spans="1:17" customFormat="1" ht="15.75" thickBot="1" x14ac:dyDescent="0.3">
      <c r="A301" s="404"/>
      <c r="B301" s="405"/>
      <c r="C301" s="405"/>
      <c r="D301" s="405"/>
      <c r="E301" s="405"/>
      <c r="F301" s="405"/>
      <c r="G301" s="405"/>
      <c r="H301" s="405"/>
      <c r="I301" s="405"/>
      <c r="J301" s="405"/>
      <c r="K301" s="405"/>
      <c r="L301" s="405"/>
      <c r="M301" s="405"/>
      <c r="N301" s="405"/>
      <c r="O301" s="405"/>
      <c r="P301" s="406"/>
      <c r="Q301" s="610"/>
    </row>
    <row r="302" spans="1:17" customFormat="1" x14ac:dyDescent="0.25">
      <c r="A302" s="5"/>
      <c r="B302" s="5"/>
      <c r="C302" s="5"/>
      <c r="D302" s="5"/>
      <c r="E302" s="5"/>
      <c r="F302" s="5"/>
      <c r="G302" s="5"/>
      <c r="H302" s="5"/>
      <c r="I302" s="5"/>
      <c r="J302" s="5"/>
      <c r="K302" s="5"/>
      <c r="L302" s="5"/>
      <c r="M302" s="5"/>
      <c r="N302" s="5"/>
      <c r="O302" s="5"/>
      <c r="P302" s="5"/>
    </row>
    <row r="303" spans="1:17" customFormat="1" x14ac:dyDescent="0.25">
      <c r="A303" s="5"/>
      <c r="B303" s="5"/>
      <c r="C303" s="5"/>
      <c r="D303" s="5"/>
      <c r="E303" s="5"/>
      <c r="F303" s="5"/>
      <c r="G303" s="5"/>
      <c r="H303" s="5"/>
      <c r="I303" s="5"/>
      <c r="J303" s="5"/>
      <c r="K303" s="5"/>
      <c r="L303" s="5"/>
      <c r="M303" s="5"/>
      <c r="N303" s="5"/>
      <c r="O303" s="5"/>
      <c r="P303" s="5"/>
    </row>
    <row r="304" spans="1:17" customFormat="1" x14ac:dyDescent="0.25">
      <c r="A304" s="5"/>
      <c r="B304" s="5"/>
      <c r="C304" s="5"/>
      <c r="D304" s="5"/>
      <c r="E304" s="5"/>
      <c r="F304" s="5"/>
      <c r="G304" s="5"/>
      <c r="H304" s="5"/>
      <c r="I304" s="5"/>
      <c r="J304" s="5"/>
      <c r="K304" s="5"/>
      <c r="L304" s="5"/>
      <c r="M304" s="5"/>
      <c r="N304" s="5"/>
      <c r="O304" s="5"/>
      <c r="P304" s="5"/>
    </row>
    <row r="305" spans="1:16" customFormat="1" x14ac:dyDescent="0.25">
      <c r="A305" s="5"/>
      <c r="B305" s="5"/>
      <c r="C305" s="5"/>
      <c r="D305" s="5"/>
      <c r="E305" s="5"/>
      <c r="F305" s="5"/>
      <c r="G305" s="5"/>
      <c r="H305" s="5"/>
      <c r="I305" s="5"/>
      <c r="J305" s="5"/>
      <c r="K305" s="5"/>
      <c r="L305" s="5"/>
      <c r="M305" s="5"/>
      <c r="N305" s="5"/>
      <c r="O305" s="5"/>
      <c r="P305" s="5"/>
    </row>
    <row r="306" spans="1:16" customFormat="1" x14ac:dyDescent="0.25">
      <c r="A306" s="5"/>
      <c r="B306" s="5"/>
      <c r="C306" s="5"/>
      <c r="D306" s="5"/>
      <c r="E306" s="5"/>
      <c r="F306" s="5"/>
      <c r="G306" s="5"/>
      <c r="H306" s="5"/>
      <c r="I306" s="5"/>
      <c r="J306" s="5"/>
      <c r="K306" s="5"/>
      <c r="L306" s="5"/>
      <c r="M306" s="5"/>
      <c r="N306" s="5"/>
      <c r="O306" s="5"/>
      <c r="P306" s="5"/>
    </row>
    <row r="307" spans="1:16" customFormat="1" x14ac:dyDescent="0.25">
      <c r="A307" s="5"/>
      <c r="B307" s="5"/>
      <c r="C307" s="5"/>
      <c r="D307" s="5"/>
      <c r="E307" s="5"/>
      <c r="F307" s="5"/>
      <c r="G307" s="5"/>
      <c r="H307" s="5"/>
      <c r="I307" s="5"/>
      <c r="J307" s="5"/>
      <c r="K307" s="5"/>
      <c r="L307" s="5"/>
      <c r="M307" s="5"/>
      <c r="N307" s="5"/>
      <c r="O307" s="5"/>
      <c r="P307" s="5"/>
    </row>
    <row r="308" spans="1:16" customFormat="1" x14ac:dyDescent="0.25">
      <c r="A308" s="5"/>
      <c r="B308" s="5"/>
      <c r="C308" s="5"/>
      <c r="D308" s="5"/>
      <c r="E308" s="5"/>
      <c r="F308" s="5"/>
      <c r="G308" s="5"/>
      <c r="H308" s="5"/>
      <c r="I308" s="5"/>
      <c r="J308" s="5"/>
      <c r="K308" s="5"/>
      <c r="L308" s="5"/>
      <c r="M308" s="5"/>
      <c r="N308" s="5"/>
      <c r="O308" s="5"/>
      <c r="P308" s="5"/>
    </row>
    <row r="309" spans="1:16" customFormat="1" x14ac:dyDescent="0.25">
      <c r="A309" s="5"/>
      <c r="B309" s="5"/>
      <c r="C309" s="5"/>
      <c r="D309" s="5"/>
      <c r="E309" s="5"/>
      <c r="F309" s="5"/>
      <c r="G309" s="5"/>
      <c r="H309" s="5"/>
      <c r="I309" s="5"/>
      <c r="J309" s="5"/>
      <c r="K309" s="5"/>
      <c r="L309" s="5"/>
      <c r="M309" s="5"/>
      <c r="N309" s="5"/>
      <c r="O309" s="5"/>
      <c r="P309" s="5"/>
    </row>
    <row r="310" spans="1:16" customFormat="1" x14ac:dyDescent="0.25">
      <c r="A310" s="5"/>
      <c r="B310" s="5"/>
      <c r="C310" s="5"/>
      <c r="D310" s="5"/>
      <c r="E310" s="5"/>
      <c r="F310" s="5"/>
      <c r="G310" s="5"/>
      <c r="H310" s="5"/>
      <c r="I310" s="5"/>
      <c r="J310" s="5"/>
      <c r="K310" s="5"/>
      <c r="L310" s="5"/>
      <c r="M310" s="5"/>
      <c r="N310" s="5"/>
      <c r="O310" s="5"/>
      <c r="P310" s="5"/>
    </row>
    <row r="311" spans="1:16" customFormat="1" x14ac:dyDescent="0.25">
      <c r="A311" s="5"/>
      <c r="B311" s="5"/>
      <c r="C311" s="5"/>
      <c r="D311" s="5"/>
      <c r="E311" s="5"/>
      <c r="F311" s="5"/>
      <c r="G311" s="5"/>
      <c r="H311" s="5"/>
      <c r="I311" s="5"/>
      <c r="J311" s="5"/>
      <c r="K311" s="5"/>
      <c r="L311" s="5"/>
      <c r="M311" s="5"/>
      <c r="N311" s="5"/>
      <c r="O311" s="5"/>
      <c r="P311" s="5"/>
    </row>
    <row r="312" spans="1:16" customFormat="1" x14ac:dyDescent="0.25">
      <c r="A312" s="5"/>
      <c r="B312" s="5"/>
      <c r="C312" s="5"/>
      <c r="D312" s="5"/>
      <c r="E312" s="5"/>
      <c r="F312" s="5"/>
      <c r="G312" s="5"/>
      <c r="H312" s="5"/>
      <c r="I312" s="5"/>
      <c r="J312" s="5"/>
      <c r="K312" s="5"/>
      <c r="L312" s="5"/>
      <c r="M312" s="5"/>
      <c r="N312" s="5"/>
      <c r="O312" s="5"/>
      <c r="P312" s="5"/>
    </row>
    <row r="313" spans="1:16" x14ac:dyDescent="0.25">
      <c r="A313" s="5"/>
      <c r="B313" s="5"/>
      <c r="C313" s="5"/>
      <c r="D313" s="5"/>
      <c r="E313" s="5"/>
      <c r="F313" s="5"/>
      <c r="G313" s="5"/>
      <c r="H313" s="5"/>
      <c r="I313" s="5"/>
      <c r="J313" s="5"/>
      <c r="K313" s="5"/>
      <c r="L313" s="5"/>
      <c r="M313" s="5"/>
      <c r="N313" s="5"/>
      <c r="O313" s="5"/>
    </row>
    <row r="314" spans="1:16" x14ac:dyDescent="0.25">
      <c r="A314" s="5"/>
      <c r="B314" s="5"/>
      <c r="C314" s="5"/>
      <c r="D314" s="5"/>
      <c r="E314" s="5"/>
      <c r="F314" s="5"/>
      <c r="G314" s="5"/>
      <c r="H314" s="5"/>
      <c r="I314" s="5"/>
      <c r="J314" s="5"/>
      <c r="K314" s="5"/>
      <c r="L314" s="5"/>
      <c r="M314" s="5"/>
      <c r="N314" s="5"/>
      <c r="O314" s="5"/>
    </row>
    <row r="315" spans="1:16" x14ac:dyDescent="0.25">
      <c r="A315" s="5"/>
      <c r="B315" s="5"/>
      <c r="C315" s="5"/>
      <c r="D315" s="5"/>
      <c r="E315" s="5"/>
      <c r="F315" s="5"/>
      <c r="G315" s="5"/>
      <c r="H315" s="5"/>
      <c r="I315" s="5"/>
      <c r="J315" s="5"/>
      <c r="K315" s="5"/>
      <c r="L315" s="5"/>
      <c r="M315" s="5"/>
      <c r="N315" s="5"/>
      <c r="O315" s="5"/>
    </row>
    <row r="316" spans="1:16" x14ac:dyDescent="0.25">
      <c r="A316" s="5"/>
      <c r="B316" s="5"/>
      <c r="C316" s="5"/>
      <c r="D316" s="5"/>
      <c r="E316" s="5"/>
      <c r="F316" s="5"/>
      <c r="G316" s="5"/>
      <c r="H316" s="5"/>
      <c r="I316" s="5"/>
      <c r="J316" s="5"/>
      <c r="K316" s="5"/>
      <c r="L316" s="5"/>
      <c r="M316" s="5"/>
      <c r="N316" s="5"/>
      <c r="O316" s="5"/>
    </row>
    <row r="317" spans="1:16" x14ac:dyDescent="0.25">
      <c r="A317" s="5"/>
      <c r="B317" s="5"/>
      <c r="C317" s="5"/>
      <c r="D317" s="5"/>
      <c r="E317" s="5"/>
      <c r="F317" s="5"/>
      <c r="G317" s="5"/>
      <c r="H317" s="5"/>
      <c r="I317" s="5"/>
      <c r="J317" s="5"/>
      <c r="K317" s="5"/>
      <c r="L317" s="5"/>
      <c r="M317" s="5"/>
      <c r="N317" s="5"/>
      <c r="O317" s="5"/>
    </row>
    <row r="318" spans="1:16" x14ac:dyDescent="0.25">
      <c r="A318" s="5"/>
      <c r="B318" s="5"/>
      <c r="C318" s="5"/>
      <c r="D318" s="5"/>
      <c r="E318" s="5"/>
      <c r="F318" s="5"/>
      <c r="G318" s="5"/>
      <c r="H318" s="5"/>
      <c r="I318" s="5"/>
      <c r="J318" s="5"/>
      <c r="K318" s="5"/>
      <c r="L318" s="5"/>
      <c r="M318" s="5"/>
      <c r="N318" s="5"/>
      <c r="O318" s="5"/>
    </row>
    <row r="319" spans="1:16" x14ac:dyDescent="0.25">
      <c r="A319" s="5"/>
      <c r="B319" s="5"/>
      <c r="C319" s="5"/>
      <c r="D319" s="5"/>
      <c r="E319" s="5"/>
      <c r="F319" s="5"/>
      <c r="G319" s="5"/>
      <c r="H319" s="5"/>
      <c r="I319" s="5"/>
      <c r="J319" s="5"/>
      <c r="K319" s="5"/>
      <c r="L319" s="5"/>
      <c r="M319" s="5"/>
      <c r="N319" s="5"/>
      <c r="O319" s="5"/>
    </row>
    <row r="320" spans="1:16"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E+tFtnSmn1pXux8IgPP6DxgyrhrpLtMXFK5czVO2o9IJMWjqqroargwlpY94XtvBmTXTBbtLeaScqY05zee8aA==" saltValue="0RTBIgk/jFdw6LgUMZf20Q==" spinCount="100000" sheet="1" objects="1" scenarios="1" formatCells="0" formatColumns="0" formatRows="0"/>
  <autoFilter ref="A22:P300">
    <filterColumn colId="2">
      <filters>
        <filter val="450 710"/>
      </filters>
    </filterColumn>
  </autoFilter>
  <mergeCells count="31">
    <mergeCell ref="A19:A21"/>
    <mergeCell ref="B19:B21"/>
    <mergeCell ref="C19:O19"/>
    <mergeCell ref="P19:P21"/>
    <mergeCell ref="C20:C21"/>
    <mergeCell ref="O20:O21"/>
    <mergeCell ref="G20:G21"/>
    <mergeCell ref="H20:H21"/>
    <mergeCell ref="I20:I21"/>
    <mergeCell ref="J20:J21"/>
    <mergeCell ref="K20:K21"/>
    <mergeCell ref="L20:L21"/>
    <mergeCell ref="D20:D21"/>
    <mergeCell ref="E20:E21"/>
    <mergeCell ref="F20:F21"/>
    <mergeCell ref="M20:M21"/>
    <mergeCell ref="N20:N21"/>
    <mergeCell ref="C14:P14"/>
    <mergeCell ref="C15:P15"/>
    <mergeCell ref="C16:P16"/>
    <mergeCell ref="C17:P17"/>
    <mergeCell ref="C18:P18"/>
    <mergeCell ref="C9:P9"/>
    <mergeCell ref="C10:P10"/>
    <mergeCell ref="C11:P11"/>
    <mergeCell ref="C13:P13"/>
    <mergeCell ref="A3:P3"/>
    <mergeCell ref="A4:P4"/>
    <mergeCell ref="C6:P6"/>
    <mergeCell ref="C7:P7"/>
    <mergeCell ref="C8:P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65.pielikums Jūrmalas pilsētas domes
2017.gada 30.janvāra saistošajiem noteikumiem Nr.10
(Protokols Nr.4, 1.punkts)
 </firstHeader>
    <firstFooter>&amp;L&amp;9&amp;D; &amp;T&amp;R&amp;9&amp;P (&amp;N)</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1"/>
  <sheetViews>
    <sheetView view="pageLayout" zoomScaleNormal="100" workbookViewId="0">
      <selection activeCell="S13" sqref="S13"/>
    </sheetView>
  </sheetViews>
  <sheetFormatPr defaultRowHeight="12" outlineLevelCol="1" x14ac:dyDescent="0.25"/>
  <cols>
    <col min="1" max="1" width="10.85546875" style="1" customWidth="1"/>
    <col min="2" max="2" width="28" style="1" customWidth="1"/>
    <col min="3" max="3" width="8.7109375" style="1" customWidth="1"/>
    <col min="4" max="4" width="8.7109375" style="1" hidden="1" customWidth="1" outlineLevel="1"/>
    <col min="5" max="5" width="9.4257812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1117</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7"/>
    </row>
    <row r="4" spans="1:17" ht="15.75"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1118</v>
      </c>
      <c r="D6" s="1555"/>
      <c r="E6" s="1555"/>
      <c r="F6" s="1555"/>
      <c r="G6" s="1555"/>
      <c r="H6" s="1555"/>
      <c r="I6" s="1555"/>
      <c r="J6" s="1555"/>
      <c r="K6" s="1555"/>
      <c r="L6" s="1555"/>
      <c r="M6" s="1555"/>
      <c r="N6" s="1555"/>
      <c r="O6" s="1555"/>
      <c r="P6" s="1556"/>
      <c r="Q6" s="7"/>
    </row>
    <row r="7" spans="1:17" ht="12.75" x14ac:dyDescent="0.25">
      <c r="A7" s="13" t="s">
        <v>4</v>
      </c>
      <c r="B7" s="14"/>
      <c r="C7" s="1555" t="s">
        <v>1119</v>
      </c>
      <c r="D7" s="1555"/>
      <c r="E7" s="1555"/>
      <c r="F7" s="1555"/>
      <c r="G7" s="1555"/>
      <c r="H7" s="1555"/>
      <c r="I7" s="1555"/>
      <c r="J7" s="1555"/>
      <c r="K7" s="1555"/>
      <c r="L7" s="1555"/>
      <c r="M7" s="1555"/>
      <c r="N7" s="1555"/>
      <c r="O7" s="1555"/>
      <c r="P7" s="1556"/>
      <c r="Q7" s="7"/>
    </row>
    <row r="8" spans="1:17" x14ac:dyDescent="0.25">
      <c r="A8" s="8" t="s">
        <v>6</v>
      </c>
      <c r="B8" s="9"/>
      <c r="C8" s="1553" t="s">
        <v>1120</v>
      </c>
      <c r="D8" s="1553"/>
      <c r="E8" s="1553"/>
      <c r="F8" s="1553"/>
      <c r="G8" s="1553"/>
      <c r="H8" s="1553"/>
      <c r="I8" s="1553"/>
      <c r="J8" s="1553"/>
      <c r="K8" s="1553"/>
      <c r="L8" s="1553"/>
      <c r="M8" s="1553"/>
      <c r="N8" s="1553"/>
      <c r="O8" s="1553"/>
      <c r="P8" s="1554"/>
      <c r="Q8" s="7"/>
    </row>
    <row r="9" spans="1:17" x14ac:dyDescent="0.25">
      <c r="A9" s="8" t="s">
        <v>8</v>
      </c>
      <c r="B9" s="9"/>
      <c r="C9" s="1553" t="s">
        <v>9</v>
      </c>
      <c r="D9" s="1553"/>
      <c r="E9" s="1553"/>
      <c r="F9" s="1553"/>
      <c r="G9" s="1553"/>
      <c r="H9" s="1553"/>
      <c r="I9" s="1553"/>
      <c r="J9" s="1553"/>
      <c r="K9" s="1553"/>
      <c r="L9" s="1553"/>
      <c r="M9" s="1553"/>
      <c r="N9" s="1553"/>
      <c r="O9" s="1553"/>
      <c r="P9" s="1554"/>
      <c r="Q9" s="7"/>
    </row>
    <row r="10" spans="1:17" ht="23.25" customHeight="1" x14ac:dyDescent="0.25">
      <c r="A10" s="8" t="s">
        <v>10</v>
      </c>
      <c r="B10" s="9"/>
      <c r="C10" s="1555" t="s">
        <v>11</v>
      </c>
      <c r="D10" s="1555"/>
      <c r="E10" s="1555"/>
      <c r="F10" s="1555"/>
      <c r="G10" s="1555"/>
      <c r="H10" s="1555"/>
      <c r="I10" s="1555"/>
      <c r="J10" s="1555"/>
      <c r="K10" s="1555"/>
      <c r="L10" s="1555"/>
      <c r="M10" s="1555"/>
      <c r="N10" s="1555"/>
      <c r="O10" s="1555"/>
      <c r="P10" s="1556"/>
      <c r="Q10" s="7"/>
    </row>
    <row r="11" spans="1:17" x14ac:dyDescent="0.25">
      <c r="A11" s="8" t="s">
        <v>12</v>
      </c>
      <c r="B11" s="9"/>
      <c r="C11" s="1555" t="s">
        <v>13</v>
      </c>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1121</v>
      </c>
      <c r="D13" s="1553"/>
      <c r="E13" s="1553"/>
      <c r="F13" s="1553"/>
      <c r="G13" s="1553"/>
      <c r="H13" s="1553"/>
      <c r="I13" s="1553"/>
      <c r="J13" s="1553"/>
      <c r="K13" s="1553"/>
      <c r="L13" s="1553"/>
      <c r="M13" s="1553"/>
      <c r="N13" s="1553"/>
      <c r="O13" s="1553"/>
      <c r="P13" s="1554"/>
      <c r="Q13" s="7"/>
    </row>
    <row r="14" spans="1:17" x14ac:dyDescent="0.25">
      <c r="A14" s="8"/>
      <c r="B14" s="9" t="s">
        <v>17</v>
      </c>
      <c r="C14" s="1553" t="s">
        <v>1122</v>
      </c>
      <c r="D14" s="1553"/>
      <c r="E14" s="1553"/>
      <c r="F14" s="1553"/>
      <c r="G14" s="1553"/>
      <c r="H14" s="1553"/>
      <c r="I14" s="1553"/>
      <c r="J14" s="1553"/>
      <c r="K14" s="1553"/>
      <c r="L14" s="1553"/>
      <c r="M14" s="1553"/>
      <c r="N14" s="1553"/>
      <c r="O14" s="1553"/>
      <c r="P14" s="1554"/>
      <c r="Q14" s="7"/>
    </row>
    <row r="15" spans="1:17" x14ac:dyDescent="0.25">
      <c r="A15" s="8"/>
      <c r="B15" s="9" t="s">
        <v>19</v>
      </c>
      <c r="C15" s="1553"/>
      <c r="D15" s="1553"/>
      <c r="E15" s="1553"/>
      <c r="F15" s="1553"/>
      <c r="G15" s="1553"/>
      <c r="H15" s="1553"/>
      <c r="I15" s="1553"/>
      <c r="J15" s="1553"/>
      <c r="K15" s="1553"/>
      <c r="L15" s="1553"/>
      <c r="M15" s="1553"/>
      <c r="N15" s="1553"/>
      <c r="O15" s="1553"/>
      <c r="P15" s="1554"/>
      <c r="Q15" s="7"/>
    </row>
    <row r="16" spans="1:17" x14ac:dyDescent="0.25">
      <c r="A16" s="8"/>
      <c r="B16" s="9" t="s">
        <v>20</v>
      </c>
      <c r="C16" s="1553" t="s">
        <v>1123</v>
      </c>
      <c r="D16" s="1553"/>
      <c r="E16" s="1553"/>
      <c r="F16" s="1553"/>
      <c r="G16" s="1553"/>
      <c r="H16" s="1553"/>
      <c r="I16" s="1553"/>
      <c r="J16" s="1553"/>
      <c r="K16" s="1553"/>
      <c r="L16" s="1553"/>
      <c r="M16" s="1553"/>
      <c r="N16" s="1553"/>
      <c r="O16" s="1553"/>
      <c r="P16" s="1554"/>
      <c r="Q16" s="7"/>
    </row>
    <row r="17" spans="1:20" x14ac:dyDescent="0.25">
      <c r="A17" s="8"/>
      <c r="B17" s="9" t="s">
        <v>22</v>
      </c>
      <c r="C17" s="1553"/>
      <c r="D17" s="1553"/>
      <c r="E17" s="1553"/>
      <c r="F17" s="1553"/>
      <c r="G17" s="1553"/>
      <c r="H17" s="1553"/>
      <c r="I17" s="1553"/>
      <c r="J17" s="1553"/>
      <c r="K17" s="1553"/>
      <c r="L17" s="1553"/>
      <c r="M17" s="1553"/>
      <c r="N17" s="1553"/>
      <c r="O17" s="1553"/>
      <c r="P17" s="1554"/>
      <c r="Q17" s="7"/>
    </row>
    <row r="18" spans="1:20" x14ac:dyDescent="0.25">
      <c r="A18" s="18"/>
      <c r="B18" s="19"/>
      <c r="C18" s="1569"/>
      <c r="D18" s="1569"/>
      <c r="E18" s="1569"/>
      <c r="F18" s="1569"/>
      <c r="G18" s="1569"/>
      <c r="H18" s="1569"/>
      <c r="I18" s="1569"/>
      <c r="J18" s="1569"/>
      <c r="K18" s="1569"/>
      <c r="L18" s="1569"/>
      <c r="M18" s="1569"/>
      <c r="N18" s="1569"/>
      <c r="O18" s="1569"/>
      <c r="P18" s="1570"/>
      <c r="Q18" s="7"/>
    </row>
    <row r="19" spans="1:20"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0"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20" s="21" customFormat="1" ht="55.5" customHeight="1" thickBot="1" x14ac:dyDescent="0.3">
      <c r="A21" s="1573"/>
      <c r="B21" s="1576"/>
      <c r="C21" s="1581"/>
      <c r="D21" s="1566"/>
      <c r="E21" s="1568"/>
      <c r="F21" s="1564"/>
      <c r="G21" s="1566"/>
      <c r="H21" s="1568"/>
      <c r="I21" s="1564"/>
      <c r="J21" s="1566"/>
      <c r="K21" s="1568"/>
      <c r="L21" s="1564"/>
      <c r="M21" s="1566"/>
      <c r="N21" s="1568"/>
      <c r="O21" s="1564"/>
      <c r="P21" s="1576"/>
    </row>
    <row r="22" spans="1:20"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0" s="41" customFormat="1" x14ac:dyDescent="0.25">
      <c r="A23" s="30"/>
      <c r="B23" s="31" t="s">
        <v>41</v>
      </c>
      <c r="C23" s="32"/>
      <c r="D23" s="33"/>
      <c r="E23" s="34"/>
      <c r="F23" s="35"/>
      <c r="G23" s="33"/>
      <c r="H23" s="36"/>
      <c r="I23" s="37"/>
      <c r="J23" s="33"/>
      <c r="K23" s="38"/>
      <c r="L23" s="37"/>
      <c r="M23" s="38"/>
      <c r="N23" s="39"/>
      <c r="O23" s="37"/>
      <c r="P23" s="40"/>
    </row>
    <row r="24" spans="1:20" s="41" customFormat="1" ht="12.75" thickBot="1" x14ac:dyDescent="0.3">
      <c r="A24" s="42"/>
      <c r="B24" s="43" t="s">
        <v>42</v>
      </c>
      <c r="C24" s="44">
        <f>F24+I24+L24+O24</f>
        <v>568954</v>
      </c>
      <c r="D24" s="45">
        <f>SUM(D25,D28,D29,D45,D46)</f>
        <v>531003</v>
      </c>
      <c r="E24" s="46">
        <f>SUM(E25,E28,E29,E45,E46)</f>
        <v>0</v>
      </c>
      <c r="F24" s="47">
        <f t="shared" ref="F24:F29" si="0">D24+E24</f>
        <v>531003</v>
      </c>
      <c r="G24" s="45">
        <f>SUM(G25,G28,G46)</f>
        <v>33768</v>
      </c>
      <c r="H24" s="48">
        <f>SUM(H25,H28,H46)</f>
        <v>0</v>
      </c>
      <c r="I24" s="49">
        <f>G24+H24</f>
        <v>33768</v>
      </c>
      <c r="J24" s="45">
        <f>SUM(J25,J30,J46)</f>
        <v>4183</v>
      </c>
      <c r="K24" s="48">
        <f>SUM(K25,K30,K46)</f>
        <v>0</v>
      </c>
      <c r="L24" s="49">
        <f>J24+K24</f>
        <v>4183</v>
      </c>
      <c r="M24" s="50">
        <f>SUM(M25,M48)</f>
        <v>0</v>
      </c>
      <c r="N24" s="51">
        <f>SUM(N25,N48)</f>
        <v>0</v>
      </c>
      <c r="O24" s="49">
        <f>M24+N24</f>
        <v>0</v>
      </c>
      <c r="P24" s="52"/>
      <c r="R24" s="53"/>
      <c r="S24" s="53"/>
      <c r="T24" s="53"/>
    </row>
    <row r="25" spans="1:20" ht="12.75" thickTop="1" x14ac:dyDescent="0.25">
      <c r="A25" s="54"/>
      <c r="B25" s="55" t="s">
        <v>43</v>
      </c>
      <c r="C25" s="56">
        <f>F25+I25+L25+O25</f>
        <v>558</v>
      </c>
      <c r="D25" s="57">
        <f>SUM(D26:D27)</f>
        <v>0</v>
      </c>
      <c r="E25" s="58">
        <f>SUM(E26:E27)</f>
        <v>0</v>
      </c>
      <c r="F25" s="59">
        <f t="shared" si="0"/>
        <v>0</v>
      </c>
      <c r="G25" s="57">
        <f>SUM(G26:G27)</f>
        <v>0</v>
      </c>
      <c r="H25" s="60">
        <f>SUM(H26:H27)</f>
        <v>0</v>
      </c>
      <c r="I25" s="61">
        <f>G25+H25</f>
        <v>0</v>
      </c>
      <c r="J25" s="57">
        <f>SUM(J26:J27)</f>
        <v>558</v>
      </c>
      <c r="K25" s="60">
        <f>SUM(K26:K27)</f>
        <v>0</v>
      </c>
      <c r="L25" s="61">
        <f>J25+K25</f>
        <v>558</v>
      </c>
      <c r="M25" s="62">
        <f>SUM(M26:M27)</f>
        <v>0</v>
      </c>
      <c r="N25" s="63">
        <f>SUM(N26:N27)</f>
        <v>0</v>
      </c>
      <c r="O25" s="61">
        <f>M25+N25</f>
        <v>0</v>
      </c>
      <c r="P25" s="64"/>
    </row>
    <row r="26" spans="1:20" hidden="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row>
    <row r="27" spans="1:20" x14ac:dyDescent="0.25">
      <c r="A27" s="75"/>
      <c r="B27" s="76" t="s">
        <v>45</v>
      </c>
      <c r="C27" s="77">
        <f>F27+I27+L27+O27</f>
        <v>558</v>
      </c>
      <c r="D27" s="78"/>
      <c r="E27" s="79"/>
      <c r="F27" s="80">
        <f t="shared" si="0"/>
        <v>0</v>
      </c>
      <c r="G27" s="78"/>
      <c r="H27" s="81"/>
      <c r="I27" s="82">
        <f>G27+H27</f>
        <v>0</v>
      </c>
      <c r="J27" s="78">
        <v>558</v>
      </c>
      <c r="K27" s="81"/>
      <c r="L27" s="82">
        <f>J27+K27</f>
        <v>558</v>
      </c>
      <c r="M27" s="83"/>
      <c r="N27" s="84"/>
      <c r="O27" s="82">
        <f>M27+N27</f>
        <v>0</v>
      </c>
      <c r="P27" s="85"/>
    </row>
    <row r="28" spans="1:20" s="41" customFormat="1" ht="24.75" thickBot="1" x14ac:dyDescent="0.3">
      <c r="A28" s="86">
        <v>19300</v>
      </c>
      <c r="B28" s="86" t="s">
        <v>46</v>
      </c>
      <c r="C28" s="87">
        <f>SUM(F28,I28)</f>
        <v>564771</v>
      </c>
      <c r="D28" s="88">
        <v>531003</v>
      </c>
      <c r="E28" s="89"/>
      <c r="F28" s="90">
        <f t="shared" si="0"/>
        <v>531003</v>
      </c>
      <c r="G28" s="88">
        <v>33768</v>
      </c>
      <c r="H28" s="91"/>
      <c r="I28" s="92">
        <f>G28+H28</f>
        <v>33768</v>
      </c>
      <c r="J28" s="93" t="s">
        <v>47</v>
      </c>
      <c r="K28" s="94" t="s">
        <v>47</v>
      </c>
      <c r="L28" s="95" t="s">
        <v>47</v>
      </c>
      <c r="M28" s="96" t="s">
        <v>47</v>
      </c>
      <c r="N28" s="97" t="s">
        <v>47</v>
      </c>
      <c r="O28" s="95" t="s">
        <v>47</v>
      </c>
      <c r="P28" s="98"/>
    </row>
    <row r="29" spans="1:20" s="41" customFormat="1" ht="24.75" hidden="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row>
    <row r="30" spans="1:20" s="41" customFormat="1" ht="36.75" thickTop="1" x14ac:dyDescent="0.25">
      <c r="A30" s="99">
        <v>21300</v>
      </c>
      <c r="B30" s="99" t="s">
        <v>49</v>
      </c>
      <c r="C30" s="100">
        <f t="shared" ref="C30:C44" si="1">L30</f>
        <v>3625</v>
      </c>
      <c r="D30" s="104" t="s">
        <v>47</v>
      </c>
      <c r="E30" s="110" t="s">
        <v>47</v>
      </c>
      <c r="F30" s="111" t="s">
        <v>47</v>
      </c>
      <c r="G30" s="104" t="s">
        <v>47</v>
      </c>
      <c r="H30" s="105" t="s">
        <v>47</v>
      </c>
      <c r="I30" s="106" t="s">
        <v>47</v>
      </c>
      <c r="J30" s="112">
        <f>SUM(J31,J35,J37,J40)</f>
        <v>3625</v>
      </c>
      <c r="K30" s="113">
        <f>SUM(K31,K35,K37,K40)</f>
        <v>0</v>
      </c>
      <c r="L30" s="114">
        <f t="shared" ref="L30:L44" si="2">J30+K30</f>
        <v>3625</v>
      </c>
      <c r="M30" s="107" t="s">
        <v>47</v>
      </c>
      <c r="N30" s="108" t="s">
        <v>47</v>
      </c>
      <c r="O30" s="106" t="s">
        <v>47</v>
      </c>
      <c r="P30" s="109"/>
    </row>
    <row r="31" spans="1:20" s="41" customFormat="1" ht="24" x14ac:dyDescent="0.25">
      <c r="A31" s="115">
        <v>21350</v>
      </c>
      <c r="B31" s="99" t="s">
        <v>50</v>
      </c>
      <c r="C31" s="100">
        <f t="shared" si="1"/>
        <v>295</v>
      </c>
      <c r="D31" s="104" t="s">
        <v>47</v>
      </c>
      <c r="E31" s="110" t="s">
        <v>47</v>
      </c>
      <c r="F31" s="111" t="s">
        <v>47</v>
      </c>
      <c r="G31" s="104" t="s">
        <v>47</v>
      </c>
      <c r="H31" s="105" t="s">
        <v>47</v>
      </c>
      <c r="I31" s="106" t="s">
        <v>47</v>
      </c>
      <c r="J31" s="112">
        <f>SUM(J32:J34)</f>
        <v>295</v>
      </c>
      <c r="K31" s="113">
        <f>SUM(K32:K34)</f>
        <v>0</v>
      </c>
      <c r="L31" s="114">
        <f t="shared" si="2"/>
        <v>295</v>
      </c>
      <c r="M31" s="107" t="s">
        <v>47</v>
      </c>
      <c r="N31" s="108" t="s">
        <v>47</v>
      </c>
      <c r="O31" s="106" t="s">
        <v>47</v>
      </c>
      <c r="P31" s="109"/>
    </row>
    <row r="32" spans="1:20" hidden="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row>
    <row r="33" spans="1:16" x14ac:dyDescent="0.25">
      <c r="A33" s="75">
        <v>21352</v>
      </c>
      <c r="B33" s="127" t="s">
        <v>52</v>
      </c>
      <c r="C33" s="128">
        <f t="shared" si="1"/>
        <v>295</v>
      </c>
      <c r="D33" s="129" t="s">
        <v>47</v>
      </c>
      <c r="E33" s="130" t="s">
        <v>47</v>
      </c>
      <c r="F33" s="131" t="s">
        <v>47</v>
      </c>
      <c r="G33" s="129" t="s">
        <v>47</v>
      </c>
      <c r="H33" s="132" t="s">
        <v>47</v>
      </c>
      <c r="I33" s="133" t="s">
        <v>47</v>
      </c>
      <c r="J33" s="134">
        <v>295</v>
      </c>
      <c r="K33" s="135"/>
      <c r="L33" s="136">
        <f t="shared" si="2"/>
        <v>295</v>
      </c>
      <c r="M33" s="137" t="s">
        <v>47</v>
      </c>
      <c r="N33" s="138" t="s">
        <v>47</v>
      </c>
      <c r="O33" s="133" t="s">
        <v>47</v>
      </c>
      <c r="P33" s="85"/>
    </row>
    <row r="34" spans="1:16" ht="24" hidden="1" x14ac:dyDescent="0.25">
      <c r="A34" s="75">
        <v>21359</v>
      </c>
      <c r="B34" s="127" t="s">
        <v>53</v>
      </c>
      <c r="C34" s="128">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row>
    <row r="35" spans="1:16" s="41" customFormat="1" ht="36" hidden="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row>
    <row r="36" spans="1:16" ht="36" hidden="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row>
    <row r="37" spans="1:16" s="41" customFormat="1" x14ac:dyDescent="0.25">
      <c r="A37" s="115">
        <v>21380</v>
      </c>
      <c r="B37" s="99" t="s">
        <v>56</v>
      </c>
      <c r="C37" s="100">
        <f t="shared" si="1"/>
        <v>462</v>
      </c>
      <c r="D37" s="104" t="s">
        <v>47</v>
      </c>
      <c r="E37" s="110" t="s">
        <v>47</v>
      </c>
      <c r="F37" s="111" t="s">
        <v>47</v>
      </c>
      <c r="G37" s="104" t="s">
        <v>47</v>
      </c>
      <c r="H37" s="105" t="s">
        <v>47</v>
      </c>
      <c r="I37" s="106" t="s">
        <v>47</v>
      </c>
      <c r="J37" s="112">
        <f>SUM(J38:J39)</f>
        <v>462</v>
      </c>
      <c r="K37" s="113">
        <f>SUM(K38:K39)</f>
        <v>0</v>
      </c>
      <c r="L37" s="114">
        <f t="shared" si="2"/>
        <v>462</v>
      </c>
      <c r="M37" s="107" t="s">
        <v>47</v>
      </c>
      <c r="N37" s="108" t="s">
        <v>47</v>
      </c>
      <c r="O37" s="106" t="s">
        <v>47</v>
      </c>
      <c r="P37" s="109"/>
    </row>
    <row r="38" spans="1:16" x14ac:dyDescent="0.25">
      <c r="A38" s="66">
        <v>21381</v>
      </c>
      <c r="B38" s="116" t="s">
        <v>57</v>
      </c>
      <c r="C38" s="117">
        <f t="shared" si="1"/>
        <v>462</v>
      </c>
      <c r="D38" s="118" t="s">
        <v>47</v>
      </c>
      <c r="E38" s="154" t="s">
        <v>47</v>
      </c>
      <c r="F38" s="155" t="s">
        <v>47</v>
      </c>
      <c r="G38" s="118" t="s">
        <v>47</v>
      </c>
      <c r="H38" s="121" t="s">
        <v>47</v>
      </c>
      <c r="I38" s="122" t="s">
        <v>47</v>
      </c>
      <c r="J38" s="123">
        <v>462</v>
      </c>
      <c r="K38" s="124"/>
      <c r="L38" s="125">
        <f t="shared" si="2"/>
        <v>462</v>
      </c>
      <c r="M38" s="126" t="s">
        <v>47</v>
      </c>
      <c r="N38" s="119" t="s">
        <v>47</v>
      </c>
      <c r="O38" s="122" t="s">
        <v>47</v>
      </c>
      <c r="P38" s="928"/>
    </row>
    <row r="39" spans="1:16" ht="24" hidden="1" x14ac:dyDescent="0.25">
      <c r="A39" s="76">
        <v>21383</v>
      </c>
      <c r="B39" s="127" t="s">
        <v>58</v>
      </c>
      <c r="C39" s="128">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row>
    <row r="40" spans="1:16" s="41" customFormat="1" ht="24" x14ac:dyDescent="0.25">
      <c r="A40" s="115">
        <v>21390</v>
      </c>
      <c r="B40" s="99" t="s">
        <v>59</v>
      </c>
      <c r="C40" s="100">
        <f t="shared" si="1"/>
        <v>2868</v>
      </c>
      <c r="D40" s="104" t="s">
        <v>47</v>
      </c>
      <c r="E40" s="110" t="s">
        <v>47</v>
      </c>
      <c r="F40" s="111" t="s">
        <v>47</v>
      </c>
      <c r="G40" s="104" t="s">
        <v>47</v>
      </c>
      <c r="H40" s="105" t="s">
        <v>47</v>
      </c>
      <c r="I40" s="106" t="s">
        <v>47</v>
      </c>
      <c r="J40" s="112">
        <f>SUM(J41:J44)</f>
        <v>2868</v>
      </c>
      <c r="K40" s="113">
        <f>SUM(K41:K44)</f>
        <v>0</v>
      </c>
      <c r="L40" s="114">
        <f t="shared" si="2"/>
        <v>2868</v>
      </c>
      <c r="M40" s="107" t="s">
        <v>47</v>
      </c>
      <c r="N40" s="108" t="s">
        <v>47</v>
      </c>
      <c r="O40" s="106" t="s">
        <v>47</v>
      </c>
      <c r="P40" s="109"/>
    </row>
    <row r="41" spans="1:16" ht="24" hidden="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row>
    <row r="42" spans="1:16" hidden="1" x14ac:dyDescent="0.25">
      <c r="A42" s="76">
        <v>21393</v>
      </c>
      <c r="B42" s="127" t="s">
        <v>61</v>
      </c>
      <c r="C42" s="128">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row>
    <row r="43" spans="1:16" hidden="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row>
    <row r="44" spans="1:16" ht="24" x14ac:dyDescent="0.25">
      <c r="A44" s="265">
        <v>21399</v>
      </c>
      <c r="B44" s="266" t="s">
        <v>63</v>
      </c>
      <c r="C44" s="267">
        <f t="shared" si="1"/>
        <v>2868</v>
      </c>
      <c r="D44" s="782" t="s">
        <v>47</v>
      </c>
      <c r="E44" s="783" t="s">
        <v>47</v>
      </c>
      <c r="F44" s="784" t="s">
        <v>47</v>
      </c>
      <c r="G44" s="782" t="s">
        <v>47</v>
      </c>
      <c r="H44" s="785" t="s">
        <v>47</v>
      </c>
      <c r="I44" s="786" t="s">
        <v>47</v>
      </c>
      <c r="J44" s="268">
        <v>2868</v>
      </c>
      <c r="K44" s="271"/>
      <c r="L44" s="272">
        <f t="shared" si="2"/>
        <v>2868</v>
      </c>
      <c r="M44" s="787" t="s">
        <v>47</v>
      </c>
      <c r="N44" s="788" t="s">
        <v>47</v>
      </c>
      <c r="O44" s="786" t="s">
        <v>47</v>
      </c>
      <c r="P44" s="275"/>
    </row>
    <row r="45" spans="1:16" s="41" customFormat="1" ht="24" hidden="1" x14ac:dyDescent="0.25">
      <c r="A45" s="115">
        <v>21420</v>
      </c>
      <c r="B45" s="99" t="s">
        <v>64</v>
      </c>
      <c r="C45" s="156">
        <f>F45</f>
        <v>0</v>
      </c>
      <c r="D45" s="157"/>
      <c r="E45" s="158"/>
      <c r="F45" s="103">
        <f>D45+E45</f>
        <v>0</v>
      </c>
      <c r="G45" s="104" t="s">
        <v>47</v>
      </c>
      <c r="H45" s="105" t="s">
        <v>47</v>
      </c>
      <c r="I45" s="106" t="s">
        <v>47</v>
      </c>
      <c r="J45" s="104" t="s">
        <v>47</v>
      </c>
      <c r="K45" s="105" t="s">
        <v>47</v>
      </c>
      <c r="L45" s="106" t="s">
        <v>47</v>
      </c>
      <c r="M45" s="107" t="s">
        <v>47</v>
      </c>
      <c r="N45" s="108" t="s">
        <v>47</v>
      </c>
      <c r="O45" s="106" t="s">
        <v>47</v>
      </c>
      <c r="P45" s="109"/>
    </row>
    <row r="46" spans="1:16" s="41" customFormat="1" ht="24" hidden="1" x14ac:dyDescent="0.25">
      <c r="A46" s="159">
        <v>21490</v>
      </c>
      <c r="B46" s="160" t="s">
        <v>65</v>
      </c>
      <c r="C46" s="156">
        <f>F46+I46+L46</f>
        <v>0</v>
      </c>
      <c r="D46" s="161">
        <f>D47</f>
        <v>0</v>
      </c>
      <c r="E46" s="162">
        <f>E47</f>
        <v>0</v>
      </c>
      <c r="F46" s="163">
        <f>D46+E46</f>
        <v>0</v>
      </c>
      <c r="G46" s="161">
        <f>G47</f>
        <v>0</v>
      </c>
      <c r="H46" s="164">
        <f t="shared" ref="H46:K46" si="3">H47</f>
        <v>0</v>
      </c>
      <c r="I46" s="165">
        <f>G46+H46</f>
        <v>0</v>
      </c>
      <c r="J46" s="161">
        <f>J47</f>
        <v>0</v>
      </c>
      <c r="K46" s="164">
        <f t="shared" si="3"/>
        <v>0</v>
      </c>
      <c r="L46" s="165">
        <f>J46+K46</f>
        <v>0</v>
      </c>
      <c r="M46" s="107" t="s">
        <v>47</v>
      </c>
      <c r="N46" s="108" t="s">
        <v>47</v>
      </c>
      <c r="O46" s="106" t="s">
        <v>47</v>
      </c>
      <c r="P46" s="109"/>
    </row>
    <row r="47" spans="1:16" s="41" customFormat="1" ht="24" hidden="1" x14ac:dyDescent="0.25">
      <c r="A47" s="265">
        <v>21499</v>
      </c>
      <c r="B47" s="266" t="s">
        <v>66</v>
      </c>
      <c r="C47" s="929">
        <f>F47+I47+L47</f>
        <v>0</v>
      </c>
      <c r="D47" s="930"/>
      <c r="E47" s="931"/>
      <c r="F47" s="932">
        <f>D47+E47</f>
        <v>0</v>
      </c>
      <c r="G47" s="933"/>
      <c r="H47" s="934"/>
      <c r="I47" s="935">
        <f>G47+H47</f>
        <v>0</v>
      </c>
      <c r="J47" s="930"/>
      <c r="K47" s="934"/>
      <c r="L47" s="935">
        <f>J47+K47</f>
        <v>0</v>
      </c>
      <c r="M47" s="936" t="s">
        <v>47</v>
      </c>
      <c r="N47" s="937" t="s">
        <v>47</v>
      </c>
      <c r="O47" s="938" t="s">
        <v>47</v>
      </c>
      <c r="P47" s="939"/>
    </row>
    <row r="48" spans="1:16" ht="24" hidden="1" x14ac:dyDescent="0.25">
      <c r="A48" s="168">
        <v>23000</v>
      </c>
      <c r="B48" s="169" t="s">
        <v>67</v>
      </c>
      <c r="C48" s="156">
        <f>O48</f>
        <v>0</v>
      </c>
      <c r="D48" s="170" t="s">
        <v>47</v>
      </c>
      <c r="E48" s="171" t="s">
        <v>47</v>
      </c>
      <c r="F48" s="172" t="s">
        <v>47</v>
      </c>
      <c r="G48" s="170" t="s">
        <v>47</v>
      </c>
      <c r="H48" s="173" t="s">
        <v>47</v>
      </c>
      <c r="I48" s="174" t="s">
        <v>47</v>
      </c>
      <c r="J48" s="170" t="s">
        <v>47</v>
      </c>
      <c r="K48" s="173" t="s">
        <v>47</v>
      </c>
      <c r="L48" s="174" t="s">
        <v>47</v>
      </c>
      <c r="M48" s="175">
        <f>SUM(M49:M50)</f>
        <v>0</v>
      </c>
      <c r="N48" s="176">
        <f>SUM(N49:N50)</f>
        <v>0</v>
      </c>
      <c r="O48" s="177">
        <f>M48+N48</f>
        <v>0</v>
      </c>
      <c r="P48" s="109"/>
    </row>
    <row r="49" spans="1:16" ht="24" hidden="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row>
    <row r="50" spans="1:16" ht="24" hidden="1" x14ac:dyDescent="0.25">
      <c r="A50" s="178">
        <v>23510</v>
      </c>
      <c r="B50" s="179" t="s">
        <v>69</v>
      </c>
      <c r="C50" s="180">
        <f>O50</f>
        <v>0</v>
      </c>
      <c r="D50" s="181" t="s">
        <v>47</v>
      </c>
      <c r="E50" s="182" t="s">
        <v>47</v>
      </c>
      <c r="F50" s="183" t="s">
        <v>47</v>
      </c>
      <c r="G50" s="181" t="s">
        <v>47</v>
      </c>
      <c r="H50" s="184" t="s">
        <v>47</v>
      </c>
      <c r="I50" s="185" t="s">
        <v>47</v>
      </c>
      <c r="J50" s="181" t="s">
        <v>47</v>
      </c>
      <c r="K50" s="184" t="s">
        <v>47</v>
      </c>
      <c r="L50" s="185" t="s">
        <v>47</v>
      </c>
      <c r="M50" s="186"/>
      <c r="N50" s="187"/>
      <c r="O50" s="188">
        <f>M50+N50</f>
        <v>0</v>
      </c>
      <c r="P50" s="189"/>
    </row>
    <row r="51" spans="1:16" x14ac:dyDescent="0.25">
      <c r="A51" s="190"/>
      <c r="B51" s="179"/>
      <c r="C51" s="191"/>
      <c r="D51" s="192"/>
      <c r="E51" s="193"/>
      <c r="F51" s="194"/>
      <c r="G51" s="192"/>
      <c r="H51" s="195"/>
      <c r="I51" s="185"/>
      <c r="J51" s="196"/>
      <c r="K51" s="197"/>
      <c r="L51" s="188"/>
      <c r="M51" s="186"/>
      <c r="N51" s="187"/>
      <c r="O51" s="188"/>
      <c r="P51" s="189"/>
    </row>
    <row r="52" spans="1:16" s="41" customFormat="1" x14ac:dyDescent="0.25">
      <c r="A52" s="198"/>
      <c r="B52" s="199" t="s">
        <v>70</v>
      </c>
      <c r="C52" s="200"/>
      <c r="D52" s="201"/>
      <c r="E52" s="202"/>
      <c r="F52" s="203"/>
      <c r="G52" s="201"/>
      <c r="H52" s="204"/>
      <c r="I52" s="205"/>
      <c r="J52" s="201"/>
      <c r="K52" s="204"/>
      <c r="L52" s="205"/>
      <c r="M52" s="206"/>
      <c r="N52" s="207"/>
      <c r="O52" s="205"/>
      <c r="P52" s="208"/>
    </row>
    <row r="53" spans="1:16" s="41" customFormat="1" ht="12.75" thickBot="1" x14ac:dyDescent="0.3">
      <c r="A53" s="209"/>
      <c r="B53" s="42" t="s">
        <v>71</v>
      </c>
      <c r="C53" s="210">
        <f t="shared" ref="C53:C116" si="4">F53+I53+L53+O53</f>
        <v>568954</v>
      </c>
      <c r="D53" s="211">
        <f>SUM(D54,D284)</f>
        <v>531003</v>
      </c>
      <c r="E53" s="212">
        <f>SUM(E54,E284)</f>
        <v>0</v>
      </c>
      <c r="F53" s="213">
        <f t="shared" ref="F53:F117" si="5">D53+E53</f>
        <v>531003</v>
      </c>
      <c r="G53" s="211">
        <f>SUM(G54,G284)</f>
        <v>33768</v>
      </c>
      <c r="H53" s="214">
        <f>SUM(H54,H284)</f>
        <v>0</v>
      </c>
      <c r="I53" s="215">
        <f t="shared" ref="I53:I117" si="6">G53+H53</f>
        <v>33768</v>
      </c>
      <c r="J53" s="211">
        <f>SUM(J54,J284)</f>
        <v>4183</v>
      </c>
      <c r="K53" s="214">
        <f>SUM(K54,K284)</f>
        <v>0</v>
      </c>
      <c r="L53" s="215">
        <f t="shared" ref="L53:L117" si="7">J53+K53</f>
        <v>4183</v>
      </c>
      <c r="M53" s="216">
        <f>SUM(M54,M284)</f>
        <v>0</v>
      </c>
      <c r="N53" s="217">
        <f>SUM(N54,N284)</f>
        <v>0</v>
      </c>
      <c r="O53" s="215">
        <f t="shared" ref="O53:O117" si="8">M53+N53</f>
        <v>0</v>
      </c>
      <c r="P53" s="52"/>
    </row>
    <row r="54" spans="1:16" s="41" customFormat="1" ht="36.75" thickTop="1" x14ac:dyDescent="0.25">
      <c r="A54" s="218"/>
      <c r="B54" s="219" t="s">
        <v>72</v>
      </c>
      <c r="C54" s="220">
        <f t="shared" si="4"/>
        <v>568659</v>
      </c>
      <c r="D54" s="221">
        <f>SUM(D55,D197)</f>
        <v>531003</v>
      </c>
      <c r="E54" s="222">
        <f>SUM(E55,E197)</f>
        <v>0</v>
      </c>
      <c r="F54" s="223">
        <f t="shared" si="5"/>
        <v>531003</v>
      </c>
      <c r="G54" s="221">
        <f>SUM(G55,G197)</f>
        <v>33768</v>
      </c>
      <c r="H54" s="224">
        <f>SUM(H55,H197)</f>
        <v>0</v>
      </c>
      <c r="I54" s="225">
        <f t="shared" si="6"/>
        <v>33768</v>
      </c>
      <c r="J54" s="221">
        <f>SUM(J55,J197)</f>
        <v>3888</v>
      </c>
      <c r="K54" s="224">
        <f>SUM(K55,K197)</f>
        <v>0</v>
      </c>
      <c r="L54" s="225">
        <f t="shared" si="7"/>
        <v>3888</v>
      </c>
      <c r="M54" s="226">
        <f>SUM(M55,M197)</f>
        <v>0</v>
      </c>
      <c r="N54" s="227">
        <f>SUM(N55,N197)</f>
        <v>0</v>
      </c>
      <c r="O54" s="225">
        <f t="shared" si="8"/>
        <v>0</v>
      </c>
      <c r="P54" s="228"/>
    </row>
    <row r="55" spans="1:16" s="41" customFormat="1" ht="24" x14ac:dyDescent="0.25">
      <c r="A55" s="35"/>
      <c r="B55" s="30" t="s">
        <v>73</v>
      </c>
      <c r="C55" s="229">
        <f t="shared" si="4"/>
        <v>564312</v>
      </c>
      <c r="D55" s="230">
        <f>SUM(D56,D78,D176,D190)</f>
        <v>527100</v>
      </c>
      <c r="E55" s="231">
        <f>SUM(E56,E78,E176,E190)</f>
        <v>0</v>
      </c>
      <c r="F55" s="232">
        <f t="shared" si="5"/>
        <v>527100</v>
      </c>
      <c r="G55" s="230">
        <f>SUM(G56,G78,G176,G190)</f>
        <v>33327</v>
      </c>
      <c r="H55" s="233">
        <f>SUM(H56,H78,H176,H190)</f>
        <v>0</v>
      </c>
      <c r="I55" s="234">
        <f t="shared" si="6"/>
        <v>33327</v>
      </c>
      <c r="J55" s="230">
        <f>SUM(J56,J78,J176,J190)</f>
        <v>3885</v>
      </c>
      <c r="K55" s="233">
        <f>SUM(K56,K78,K176,K190)</f>
        <v>0</v>
      </c>
      <c r="L55" s="234">
        <f t="shared" si="7"/>
        <v>3885</v>
      </c>
      <c r="M55" s="53">
        <f>SUM(M56,M78,M176,M190)</f>
        <v>0</v>
      </c>
      <c r="N55" s="235">
        <f>SUM(N56,N78,N176,N190)</f>
        <v>0</v>
      </c>
      <c r="O55" s="234">
        <f t="shared" si="8"/>
        <v>0</v>
      </c>
      <c r="P55" s="236"/>
    </row>
    <row r="56" spans="1:16" s="41" customFormat="1" x14ac:dyDescent="0.25">
      <c r="A56" s="237">
        <v>1000</v>
      </c>
      <c r="B56" s="237" t="s">
        <v>74</v>
      </c>
      <c r="C56" s="238">
        <f t="shared" si="4"/>
        <v>494198</v>
      </c>
      <c r="D56" s="239">
        <f>SUM(D57,D70)</f>
        <v>461476</v>
      </c>
      <c r="E56" s="240">
        <f>SUM(E57,E70)</f>
        <v>0</v>
      </c>
      <c r="F56" s="241">
        <f t="shared" si="5"/>
        <v>461476</v>
      </c>
      <c r="G56" s="239">
        <f>SUM(G57,G70)</f>
        <v>32722</v>
      </c>
      <c r="H56" s="242">
        <f>SUM(H57,H70)</f>
        <v>0</v>
      </c>
      <c r="I56" s="243">
        <f t="shared" si="6"/>
        <v>32722</v>
      </c>
      <c r="J56" s="239">
        <f>SUM(J57,J70)</f>
        <v>0</v>
      </c>
      <c r="K56" s="242">
        <f>SUM(K57,K70)</f>
        <v>0</v>
      </c>
      <c r="L56" s="243">
        <f t="shared" si="7"/>
        <v>0</v>
      </c>
      <c r="M56" s="244">
        <f>SUM(M57,M70)</f>
        <v>0</v>
      </c>
      <c r="N56" s="245">
        <f>SUM(N57,N70)</f>
        <v>0</v>
      </c>
      <c r="O56" s="243">
        <f t="shared" si="8"/>
        <v>0</v>
      </c>
      <c r="P56" s="246"/>
    </row>
    <row r="57" spans="1:16" x14ac:dyDescent="0.25">
      <c r="A57" s="99">
        <v>1100</v>
      </c>
      <c r="B57" s="247" t="s">
        <v>75</v>
      </c>
      <c r="C57" s="100">
        <f t="shared" si="4"/>
        <v>375023</v>
      </c>
      <c r="D57" s="112">
        <f>SUM(D58,D61,D69)</f>
        <v>349624</v>
      </c>
      <c r="E57" s="248">
        <f>SUM(E58,E61,E69)</f>
        <v>0</v>
      </c>
      <c r="F57" s="249">
        <f t="shared" si="5"/>
        <v>349624</v>
      </c>
      <c r="G57" s="112">
        <f>SUM(G58,G61,G69)</f>
        <v>26076</v>
      </c>
      <c r="H57" s="113">
        <f>SUM(H58,H61,H69)</f>
        <v>-677</v>
      </c>
      <c r="I57" s="114">
        <f t="shared" si="6"/>
        <v>25399</v>
      </c>
      <c r="J57" s="112">
        <f>SUM(J58,J61,J69)</f>
        <v>0</v>
      </c>
      <c r="K57" s="113">
        <f>SUM(K58,K61,K69)</f>
        <v>0</v>
      </c>
      <c r="L57" s="114">
        <f t="shared" si="7"/>
        <v>0</v>
      </c>
      <c r="M57" s="250">
        <f>SUM(M58,M61,M69)</f>
        <v>0</v>
      </c>
      <c r="N57" s="251">
        <f>SUM(N58,N61,N69)</f>
        <v>0</v>
      </c>
      <c r="O57" s="252">
        <f t="shared" si="8"/>
        <v>0</v>
      </c>
      <c r="P57" s="253"/>
    </row>
    <row r="58" spans="1:16" x14ac:dyDescent="0.25">
      <c r="A58" s="254">
        <v>1110</v>
      </c>
      <c r="B58" s="179" t="s">
        <v>76</v>
      </c>
      <c r="C58" s="191">
        <f t="shared" si="4"/>
        <v>336075</v>
      </c>
      <c r="D58" s="255">
        <f>SUM(D59:D60)</f>
        <v>311579</v>
      </c>
      <c r="E58" s="256">
        <f>SUM(E59:E60)</f>
        <v>0</v>
      </c>
      <c r="F58" s="257">
        <f t="shared" si="5"/>
        <v>311579</v>
      </c>
      <c r="G58" s="255">
        <f>SUM(G59:G60)</f>
        <v>24196</v>
      </c>
      <c r="H58" s="258">
        <f>SUM(H59:H60)</f>
        <v>300</v>
      </c>
      <c r="I58" s="259">
        <f t="shared" si="6"/>
        <v>24496</v>
      </c>
      <c r="J58" s="255">
        <f>SUM(J59:J60)</f>
        <v>0</v>
      </c>
      <c r="K58" s="258">
        <f>SUM(K59:K60)</f>
        <v>0</v>
      </c>
      <c r="L58" s="259">
        <f t="shared" si="7"/>
        <v>0</v>
      </c>
      <c r="M58" s="260">
        <f>SUM(M59:M60)</f>
        <v>0</v>
      </c>
      <c r="N58" s="261">
        <f>SUM(N59:N60)</f>
        <v>0</v>
      </c>
      <c r="O58" s="259">
        <f t="shared" si="8"/>
        <v>0</v>
      </c>
      <c r="P58" s="189"/>
    </row>
    <row r="59" spans="1:16" hidden="1" x14ac:dyDescent="0.25">
      <c r="A59" s="66">
        <v>1111</v>
      </c>
      <c r="B59" s="116" t="s">
        <v>77</v>
      </c>
      <c r="C59" s="117">
        <f t="shared" si="4"/>
        <v>0</v>
      </c>
      <c r="D59" s="123"/>
      <c r="E59" s="262"/>
      <c r="F59" s="263">
        <f t="shared" si="5"/>
        <v>0</v>
      </c>
      <c r="G59" s="123"/>
      <c r="H59" s="124"/>
      <c r="I59" s="125">
        <f t="shared" si="6"/>
        <v>0</v>
      </c>
      <c r="J59" s="123"/>
      <c r="K59" s="124"/>
      <c r="L59" s="125">
        <f t="shared" si="7"/>
        <v>0</v>
      </c>
      <c r="M59" s="264"/>
      <c r="N59" s="262"/>
      <c r="O59" s="125">
        <f t="shared" si="8"/>
        <v>0</v>
      </c>
      <c r="P59" s="74"/>
    </row>
    <row r="60" spans="1:16" ht="24" x14ac:dyDescent="0.25">
      <c r="A60" s="76">
        <v>1119</v>
      </c>
      <c r="B60" s="127" t="s">
        <v>78</v>
      </c>
      <c r="C60" s="128">
        <f t="shared" si="4"/>
        <v>336075</v>
      </c>
      <c r="D60" s="134">
        <v>311579</v>
      </c>
      <c r="E60" s="283"/>
      <c r="F60" s="279">
        <f t="shared" si="5"/>
        <v>311579</v>
      </c>
      <c r="G60" s="134">
        <v>24196</v>
      </c>
      <c r="H60" s="135">
        <v>300</v>
      </c>
      <c r="I60" s="136">
        <f t="shared" si="6"/>
        <v>24496</v>
      </c>
      <c r="J60" s="134"/>
      <c r="K60" s="135"/>
      <c r="L60" s="136">
        <f t="shared" si="7"/>
        <v>0</v>
      </c>
      <c r="M60" s="284"/>
      <c r="N60" s="285"/>
      <c r="O60" s="136">
        <f t="shared" si="8"/>
        <v>0</v>
      </c>
      <c r="P60" s="85" t="s">
        <v>1124</v>
      </c>
    </row>
    <row r="61" spans="1:16" ht="24" x14ac:dyDescent="0.25">
      <c r="A61" s="276">
        <v>1140</v>
      </c>
      <c r="B61" s="127" t="s">
        <v>79</v>
      </c>
      <c r="C61" s="128">
        <f t="shared" si="4"/>
        <v>37673</v>
      </c>
      <c r="D61" s="277">
        <f>SUM(D62:D68)</f>
        <v>36770</v>
      </c>
      <c r="E61" s="278">
        <f>SUM(E62:E68)</f>
        <v>0</v>
      </c>
      <c r="F61" s="279">
        <f>D61+E61</f>
        <v>36770</v>
      </c>
      <c r="G61" s="277">
        <f>SUM(G62:G68)</f>
        <v>1880</v>
      </c>
      <c r="H61" s="280">
        <f>SUM(H62:H68)</f>
        <v>-977</v>
      </c>
      <c r="I61" s="136">
        <f t="shared" si="6"/>
        <v>903</v>
      </c>
      <c r="J61" s="277">
        <f>SUM(J62:J68)</f>
        <v>0</v>
      </c>
      <c r="K61" s="280">
        <f>SUM(K62:K68)</f>
        <v>0</v>
      </c>
      <c r="L61" s="136">
        <f t="shared" si="7"/>
        <v>0</v>
      </c>
      <c r="M61" s="281">
        <f>SUM(M62:M68)</f>
        <v>0</v>
      </c>
      <c r="N61" s="282">
        <f>SUM(N62:N68)</f>
        <v>0</v>
      </c>
      <c r="O61" s="136">
        <f t="shared" si="8"/>
        <v>0</v>
      </c>
      <c r="P61" s="85"/>
    </row>
    <row r="62" spans="1:16" x14ac:dyDescent="0.25">
      <c r="A62" s="76">
        <v>1141</v>
      </c>
      <c r="B62" s="127" t="s">
        <v>80</v>
      </c>
      <c r="C62" s="128">
        <f t="shared" si="4"/>
        <v>3748</v>
      </c>
      <c r="D62" s="134">
        <v>3748</v>
      </c>
      <c r="E62" s="283"/>
      <c r="F62" s="279">
        <f t="shared" si="5"/>
        <v>3748</v>
      </c>
      <c r="G62" s="134"/>
      <c r="H62" s="135"/>
      <c r="I62" s="136">
        <f t="shared" si="6"/>
        <v>0</v>
      </c>
      <c r="J62" s="134"/>
      <c r="K62" s="135"/>
      <c r="L62" s="136">
        <f t="shared" si="7"/>
        <v>0</v>
      </c>
      <c r="M62" s="284"/>
      <c r="N62" s="285"/>
      <c r="O62" s="136">
        <f t="shared" si="8"/>
        <v>0</v>
      </c>
      <c r="P62" s="85"/>
    </row>
    <row r="63" spans="1:16" ht="24" x14ac:dyDescent="0.25">
      <c r="A63" s="76">
        <v>1142</v>
      </c>
      <c r="B63" s="127" t="s">
        <v>81</v>
      </c>
      <c r="C63" s="128">
        <f t="shared" si="4"/>
        <v>922</v>
      </c>
      <c r="D63" s="134">
        <v>922</v>
      </c>
      <c r="E63" s="283"/>
      <c r="F63" s="279">
        <f t="shared" si="5"/>
        <v>922</v>
      </c>
      <c r="G63" s="134"/>
      <c r="H63" s="135"/>
      <c r="I63" s="136">
        <f t="shared" si="6"/>
        <v>0</v>
      </c>
      <c r="J63" s="134"/>
      <c r="K63" s="135"/>
      <c r="L63" s="136">
        <f t="shared" si="7"/>
        <v>0</v>
      </c>
      <c r="M63" s="284"/>
      <c r="N63" s="285"/>
      <c r="O63" s="136">
        <f t="shared" si="8"/>
        <v>0</v>
      </c>
      <c r="P63" s="85"/>
    </row>
    <row r="64" spans="1:16" ht="24" hidden="1" x14ac:dyDescent="0.25">
      <c r="A64" s="76">
        <v>1145</v>
      </c>
      <c r="B64" s="127" t="s">
        <v>82</v>
      </c>
      <c r="C64" s="128">
        <f t="shared" si="4"/>
        <v>0</v>
      </c>
      <c r="D64" s="134"/>
      <c r="E64" s="285"/>
      <c r="F64" s="286">
        <f t="shared" si="5"/>
        <v>0</v>
      </c>
      <c r="G64" s="134"/>
      <c r="H64" s="135"/>
      <c r="I64" s="136">
        <f t="shared" si="6"/>
        <v>0</v>
      </c>
      <c r="J64" s="134"/>
      <c r="K64" s="135"/>
      <c r="L64" s="136">
        <f t="shared" si="7"/>
        <v>0</v>
      </c>
      <c r="M64" s="284"/>
      <c r="N64" s="285"/>
      <c r="O64" s="136">
        <f t="shared" si="8"/>
        <v>0</v>
      </c>
      <c r="P64" s="85"/>
    </row>
    <row r="65" spans="1:16" ht="24" hidden="1" x14ac:dyDescent="0.25">
      <c r="A65" s="76">
        <v>1146</v>
      </c>
      <c r="B65" s="127" t="s">
        <v>83</v>
      </c>
      <c r="C65" s="128">
        <f t="shared" si="4"/>
        <v>0</v>
      </c>
      <c r="D65" s="134"/>
      <c r="E65" s="285"/>
      <c r="F65" s="286">
        <f t="shared" si="5"/>
        <v>0</v>
      </c>
      <c r="G65" s="134"/>
      <c r="H65" s="135"/>
      <c r="I65" s="136">
        <f t="shared" si="6"/>
        <v>0</v>
      </c>
      <c r="J65" s="134"/>
      <c r="K65" s="135"/>
      <c r="L65" s="136">
        <f t="shared" si="7"/>
        <v>0</v>
      </c>
      <c r="M65" s="284"/>
      <c r="N65" s="285"/>
      <c r="O65" s="136">
        <f t="shared" si="8"/>
        <v>0</v>
      </c>
      <c r="P65" s="85"/>
    </row>
    <row r="66" spans="1:16" x14ac:dyDescent="0.25">
      <c r="A66" s="76">
        <v>1147</v>
      </c>
      <c r="B66" s="127" t="s">
        <v>84</v>
      </c>
      <c r="C66" s="128">
        <f t="shared" si="4"/>
        <v>3091</v>
      </c>
      <c r="D66" s="134">
        <v>3091</v>
      </c>
      <c r="E66" s="283"/>
      <c r="F66" s="279">
        <f t="shared" si="5"/>
        <v>3091</v>
      </c>
      <c r="G66" s="134"/>
      <c r="H66" s="135"/>
      <c r="I66" s="136">
        <f t="shared" si="6"/>
        <v>0</v>
      </c>
      <c r="J66" s="134"/>
      <c r="K66" s="135"/>
      <c r="L66" s="136">
        <f t="shared" si="7"/>
        <v>0</v>
      </c>
      <c r="M66" s="284"/>
      <c r="N66" s="285"/>
      <c r="O66" s="136">
        <f t="shared" si="8"/>
        <v>0</v>
      </c>
      <c r="P66" s="85"/>
    </row>
    <row r="67" spans="1:16" x14ac:dyDescent="0.25">
      <c r="A67" s="76">
        <v>1148</v>
      </c>
      <c r="B67" s="127" t="s">
        <v>85</v>
      </c>
      <c r="C67" s="128">
        <f t="shared" si="4"/>
        <v>25041</v>
      </c>
      <c r="D67" s="134">
        <v>25041</v>
      </c>
      <c r="E67" s="283"/>
      <c r="F67" s="279">
        <f t="shared" si="5"/>
        <v>25041</v>
      </c>
      <c r="G67" s="134"/>
      <c r="H67" s="135"/>
      <c r="I67" s="136">
        <f t="shared" si="6"/>
        <v>0</v>
      </c>
      <c r="J67" s="134"/>
      <c r="K67" s="135"/>
      <c r="L67" s="136">
        <f t="shared" si="7"/>
        <v>0</v>
      </c>
      <c r="M67" s="284"/>
      <c r="N67" s="285"/>
      <c r="O67" s="136">
        <f t="shared" si="8"/>
        <v>0</v>
      </c>
      <c r="P67" s="85"/>
    </row>
    <row r="68" spans="1:16" ht="36" x14ac:dyDescent="0.25">
      <c r="A68" s="76">
        <v>1149</v>
      </c>
      <c r="B68" s="127" t="s">
        <v>86</v>
      </c>
      <c r="C68" s="128">
        <f t="shared" si="4"/>
        <v>4871</v>
      </c>
      <c r="D68" s="134">
        <v>3968</v>
      </c>
      <c r="E68" s="283"/>
      <c r="F68" s="279">
        <f t="shared" si="5"/>
        <v>3968</v>
      </c>
      <c r="G68" s="134">
        <v>1880</v>
      </c>
      <c r="H68" s="135">
        <v>-977</v>
      </c>
      <c r="I68" s="136">
        <f t="shared" si="6"/>
        <v>903</v>
      </c>
      <c r="J68" s="134"/>
      <c r="K68" s="135"/>
      <c r="L68" s="136">
        <f t="shared" si="7"/>
        <v>0</v>
      </c>
      <c r="M68" s="284"/>
      <c r="N68" s="285"/>
      <c r="O68" s="136">
        <f t="shared" si="8"/>
        <v>0</v>
      </c>
      <c r="P68" s="85" t="s">
        <v>550</v>
      </c>
    </row>
    <row r="69" spans="1:16" ht="36" x14ac:dyDescent="0.25">
      <c r="A69" s="254">
        <v>1150</v>
      </c>
      <c r="B69" s="179" t="s">
        <v>87</v>
      </c>
      <c r="C69" s="128">
        <f t="shared" si="4"/>
        <v>1275</v>
      </c>
      <c r="D69" s="287">
        <v>1275</v>
      </c>
      <c r="E69" s="288"/>
      <c r="F69" s="257">
        <f t="shared" si="5"/>
        <v>1275</v>
      </c>
      <c r="G69" s="287"/>
      <c r="H69" s="289"/>
      <c r="I69" s="259">
        <f t="shared" si="6"/>
        <v>0</v>
      </c>
      <c r="J69" s="287"/>
      <c r="K69" s="289"/>
      <c r="L69" s="259">
        <f t="shared" si="7"/>
        <v>0</v>
      </c>
      <c r="M69" s="290"/>
      <c r="N69" s="291"/>
      <c r="O69" s="259">
        <f t="shared" si="8"/>
        <v>0</v>
      </c>
      <c r="P69" s="189"/>
    </row>
    <row r="70" spans="1:16" ht="36" x14ac:dyDescent="0.25">
      <c r="A70" s="99">
        <v>1200</v>
      </c>
      <c r="B70" s="247" t="s">
        <v>88</v>
      </c>
      <c r="C70" s="100">
        <f t="shared" si="4"/>
        <v>119175</v>
      </c>
      <c r="D70" s="112">
        <f>SUM(D71:D72)</f>
        <v>111852</v>
      </c>
      <c r="E70" s="248">
        <f>SUM(E71:E72)</f>
        <v>0</v>
      </c>
      <c r="F70" s="249">
        <f>D70+E70</f>
        <v>111852</v>
      </c>
      <c r="G70" s="112">
        <f>SUM(G71:G72)</f>
        <v>6646</v>
      </c>
      <c r="H70" s="113">
        <f>SUM(H71:H72)</f>
        <v>677</v>
      </c>
      <c r="I70" s="114">
        <f t="shared" si="6"/>
        <v>7323</v>
      </c>
      <c r="J70" s="112">
        <f>SUM(J71:J72)</f>
        <v>0</v>
      </c>
      <c r="K70" s="113">
        <f>SUM(K71:K72)</f>
        <v>0</v>
      </c>
      <c r="L70" s="114">
        <f t="shared" si="7"/>
        <v>0</v>
      </c>
      <c r="M70" s="292">
        <f>SUM(M71:M72)</f>
        <v>0</v>
      </c>
      <c r="N70" s="293">
        <f>SUM(N71:N72)</f>
        <v>0</v>
      </c>
      <c r="O70" s="114">
        <f t="shared" si="8"/>
        <v>0</v>
      </c>
      <c r="P70" s="109"/>
    </row>
    <row r="71" spans="1:16" ht="24" x14ac:dyDescent="0.25">
      <c r="A71" s="656">
        <v>1210</v>
      </c>
      <c r="B71" s="116" t="s">
        <v>89</v>
      </c>
      <c r="C71" s="117">
        <f t="shared" si="4"/>
        <v>92854</v>
      </c>
      <c r="D71" s="123">
        <v>85766</v>
      </c>
      <c r="E71" s="295"/>
      <c r="F71" s="296">
        <f t="shared" si="5"/>
        <v>85766</v>
      </c>
      <c r="G71" s="123">
        <v>6246</v>
      </c>
      <c r="H71" s="124">
        <v>842</v>
      </c>
      <c r="I71" s="125">
        <f t="shared" si="6"/>
        <v>7088</v>
      </c>
      <c r="J71" s="123"/>
      <c r="K71" s="124"/>
      <c r="L71" s="125">
        <f t="shared" si="7"/>
        <v>0</v>
      </c>
      <c r="M71" s="264"/>
      <c r="N71" s="262"/>
      <c r="O71" s="125">
        <f t="shared" si="8"/>
        <v>0</v>
      </c>
      <c r="P71" s="85" t="s">
        <v>1116</v>
      </c>
    </row>
    <row r="72" spans="1:16" ht="24" x14ac:dyDescent="0.25">
      <c r="A72" s="276">
        <v>1220</v>
      </c>
      <c r="B72" s="127" t="s">
        <v>90</v>
      </c>
      <c r="C72" s="128">
        <f t="shared" si="4"/>
        <v>26321</v>
      </c>
      <c r="D72" s="277">
        <f>SUM(D73:D77)</f>
        <v>26086</v>
      </c>
      <c r="E72" s="278">
        <f>SUM(E73:E77)</f>
        <v>0</v>
      </c>
      <c r="F72" s="279">
        <f t="shared" si="5"/>
        <v>26086</v>
      </c>
      <c r="G72" s="277">
        <f>SUM(G73:G77)</f>
        <v>400</v>
      </c>
      <c r="H72" s="280">
        <f>SUM(H73:H77)</f>
        <v>-165</v>
      </c>
      <c r="I72" s="136">
        <f t="shared" si="6"/>
        <v>235</v>
      </c>
      <c r="J72" s="277">
        <f>SUM(J73:J77)</f>
        <v>0</v>
      </c>
      <c r="K72" s="280">
        <f>SUM(K73:K77)</f>
        <v>0</v>
      </c>
      <c r="L72" s="136">
        <f t="shared" si="7"/>
        <v>0</v>
      </c>
      <c r="M72" s="281">
        <f>SUM(M73:M77)</f>
        <v>0</v>
      </c>
      <c r="N72" s="282">
        <f>SUM(N73:N77)</f>
        <v>0</v>
      </c>
      <c r="O72" s="136">
        <f t="shared" si="8"/>
        <v>0</v>
      </c>
      <c r="P72" s="85"/>
    </row>
    <row r="73" spans="1:16" ht="60" x14ac:dyDescent="0.25">
      <c r="A73" s="76">
        <v>1221</v>
      </c>
      <c r="B73" s="127" t="s">
        <v>91</v>
      </c>
      <c r="C73" s="128">
        <f t="shared" si="4"/>
        <v>15154</v>
      </c>
      <c r="D73" s="134">
        <v>14919</v>
      </c>
      <c r="E73" s="283"/>
      <c r="F73" s="279">
        <f t="shared" si="5"/>
        <v>14919</v>
      </c>
      <c r="G73" s="134">
        <v>400</v>
      </c>
      <c r="H73" s="135">
        <v>-165</v>
      </c>
      <c r="I73" s="136">
        <f t="shared" si="6"/>
        <v>235</v>
      </c>
      <c r="J73" s="134"/>
      <c r="K73" s="135"/>
      <c r="L73" s="136">
        <f t="shared" si="7"/>
        <v>0</v>
      </c>
      <c r="M73" s="284"/>
      <c r="N73" s="285"/>
      <c r="O73" s="136">
        <f t="shared" si="8"/>
        <v>0</v>
      </c>
      <c r="P73" s="85" t="s">
        <v>550</v>
      </c>
    </row>
    <row r="74" spans="1:16" hidden="1" x14ac:dyDescent="0.25">
      <c r="A74" s="76">
        <v>1223</v>
      </c>
      <c r="B74" s="127" t="s">
        <v>92</v>
      </c>
      <c r="C74" s="128">
        <f t="shared" si="4"/>
        <v>0</v>
      </c>
      <c r="D74" s="134"/>
      <c r="E74" s="285"/>
      <c r="F74" s="286">
        <f t="shared" si="5"/>
        <v>0</v>
      </c>
      <c r="G74" s="134"/>
      <c r="H74" s="135"/>
      <c r="I74" s="136">
        <f t="shared" si="6"/>
        <v>0</v>
      </c>
      <c r="J74" s="134"/>
      <c r="K74" s="135"/>
      <c r="L74" s="136">
        <f t="shared" si="7"/>
        <v>0</v>
      </c>
      <c r="M74" s="284"/>
      <c r="N74" s="285"/>
      <c r="O74" s="136">
        <f t="shared" si="8"/>
        <v>0</v>
      </c>
      <c r="P74" s="85"/>
    </row>
    <row r="75" spans="1:16" hidden="1" x14ac:dyDescent="0.25">
      <c r="A75" s="76">
        <v>1225</v>
      </c>
      <c r="B75" s="127" t="s">
        <v>93</v>
      </c>
      <c r="C75" s="128">
        <f t="shared" si="4"/>
        <v>0</v>
      </c>
      <c r="D75" s="134"/>
      <c r="E75" s="285"/>
      <c r="F75" s="286">
        <f t="shared" si="5"/>
        <v>0</v>
      </c>
      <c r="G75" s="134"/>
      <c r="H75" s="135"/>
      <c r="I75" s="136">
        <f t="shared" si="6"/>
        <v>0</v>
      </c>
      <c r="J75" s="134"/>
      <c r="K75" s="135"/>
      <c r="L75" s="136">
        <f t="shared" si="7"/>
        <v>0</v>
      </c>
      <c r="M75" s="284"/>
      <c r="N75" s="285"/>
      <c r="O75" s="136">
        <f t="shared" si="8"/>
        <v>0</v>
      </c>
      <c r="P75" s="85"/>
    </row>
    <row r="76" spans="1:16" ht="36" x14ac:dyDescent="0.25">
      <c r="A76" s="265">
        <v>1227</v>
      </c>
      <c r="B76" s="266" t="s">
        <v>94</v>
      </c>
      <c r="C76" s="267">
        <f t="shared" si="4"/>
        <v>10739</v>
      </c>
      <c r="D76" s="268">
        <v>10739</v>
      </c>
      <c r="E76" s="269"/>
      <c r="F76" s="270">
        <f t="shared" si="5"/>
        <v>10739</v>
      </c>
      <c r="G76" s="268"/>
      <c r="H76" s="271"/>
      <c r="I76" s="272">
        <f t="shared" si="6"/>
        <v>0</v>
      </c>
      <c r="J76" s="268"/>
      <c r="K76" s="271"/>
      <c r="L76" s="272">
        <f t="shared" si="7"/>
        <v>0</v>
      </c>
      <c r="M76" s="273"/>
      <c r="N76" s="274"/>
      <c r="O76" s="272">
        <f t="shared" si="8"/>
        <v>0</v>
      </c>
      <c r="P76" s="275"/>
    </row>
    <row r="77" spans="1:16" ht="60" x14ac:dyDescent="0.25">
      <c r="A77" s="76">
        <v>1228</v>
      </c>
      <c r="B77" s="127" t="s">
        <v>95</v>
      </c>
      <c r="C77" s="128">
        <f t="shared" si="4"/>
        <v>428</v>
      </c>
      <c r="D77" s="134">
        <v>428</v>
      </c>
      <c r="E77" s="283"/>
      <c r="F77" s="279">
        <f t="shared" si="5"/>
        <v>428</v>
      </c>
      <c r="G77" s="134"/>
      <c r="H77" s="135"/>
      <c r="I77" s="136">
        <f t="shared" si="6"/>
        <v>0</v>
      </c>
      <c r="J77" s="134"/>
      <c r="K77" s="135"/>
      <c r="L77" s="136">
        <f t="shared" si="7"/>
        <v>0</v>
      </c>
      <c r="M77" s="284"/>
      <c r="N77" s="285"/>
      <c r="O77" s="136">
        <f t="shared" si="8"/>
        <v>0</v>
      </c>
      <c r="P77" s="85"/>
    </row>
    <row r="78" spans="1:16" x14ac:dyDescent="0.25">
      <c r="A78" s="237">
        <v>2000</v>
      </c>
      <c r="B78" s="237" t="s">
        <v>96</v>
      </c>
      <c r="C78" s="238">
        <f t="shared" si="4"/>
        <v>70114</v>
      </c>
      <c r="D78" s="239">
        <f>SUM(D79,D86,D133,D167,D168,D175)</f>
        <v>65624</v>
      </c>
      <c r="E78" s="240">
        <f>SUM(E79,E86,E133,E167,E168,E175)</f>
        <v>0</v>
      </c>
      <c r="F78" s="241">
        <f t="shared" si="5"/>
        <v>65624</v>
      </c>
      <c r="G78" s="239">
        <f>SUM(G79,G86,G133,G167,G168,G175)</f>
        <v>605</v>
      </c>
      <c r="H78" s="242">
        <f>SUM(H79,H86,H133,H167,H168,H175)</f>
        <v>0</v>
      </c>
      <c r="I78" s="243">
        <f t="shared" si="6"/>
        <v>605</v>
      </c>
      <c r="J78" s="239">
        <f>SUM(J79,J86,J133,J167,J168,J175)</f>
        <v>3885</v>
      </c>
      <c r="K78" s="242">
        <f>SUM(K79,K86,K133,K167,K168,K175)</f>
        <v>0</v>
      </c>
      <c r="L78" s="243">
        <f t="shared" si="7"/>
        <v>3885</v>
      </c>
      <c r="M78" s="244">
        <f>SUM(M79,M86,M133,M167,M168,M175)</f>
        <v>0</v>
      </c>
      <c r="N78" s="245">
        <f>SUM(N79,N86,N133,N167,N168,N175)</f>
        <v>0</v>
      </c>
      <c r="O78" s="243">
        <f t="shared" si="8"/>
        <v>0</v>
      </c>
      <c r="P78" s="246"/>
    </row>
    <row r="79" spans="1:16" ht="24" x14ac:dyDescent="0.25">
      <c r="A79" s="99">
        <v>2100</v>
      </c>
      <c r="B79" s="247" t="s">
        <v>97</v>
      </c>
      <c r="C79" s="100">
        <f t="shared" si="4"/>
        <v>216</v>
      </c>
      <c r="D79" s="112">
        <f>SUM(D80,D83)</f>
        <v>216</v>
      </c>
      <c r="E79" s="248">
        <f>SUM(E80,E83)</f>
        <v>0</v>
      </c>
      <c r="F79" s="249">
        <f t="shared" si="5"/>
        <v>216</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row>
    <row r="80" spans="1:16" ht="24" x14ac:dyDescent="0.25">
      <c r="A80" s="656">
        <v>2110</v>
      </c>
      <c r="B80" s="116" t="s">
        <v>98</v>
      </c>
      <c r="C80" s="117">
        <f t="shared" si="4"/>
        <v>216</v>
      </c>
      <c r="D80" s="297">
        <f>SUM(D81:D82)</f>
        <v>216</v>
      </c>
      <c r="E80" s="298">
        <f>SUM(E81:E82)</f>
        <v>0</v>
      </c>
      <c r="F80" s="296">
        <f t="shared" si="5"/>
        <v>216</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row>
    <row r="81" spans="1:16" hidden="1" x14ac:dyDescent="0.25">
      <c r="A81" s="76">
        <v>2111</v>
      </c>
      <c r="B81" s="127" t="s">
        <v>99</v>
      </c>
      <c r="C81" s="128">
        <f t="shared" si="4"/>
        <v>0</v>
      </c>
      <c r="D81" s="134"/>
      <c r="E81" s="285"/>
      <c r="F81" s="286">
        <f t="shared" si="5"/>
        <v>0</v>
      </c>
      <c r="G81" s="134"/>
      <c r="H81" s="135"/>
      <c r="I81" s="136">
        <f t="shared" si="6"/>
        <v>0</v>
      </c>
      <c r="J81" s="134"/>
      <c r="K81" s="135"/>
      <c r="L81" s="136">
        <f t="shared" si="7"/>
        <v>0</v>
      </c>
      <c r="M81" s="284"/>
      <c r="N81" s="285"/>
      <c r="O81" s="136">
        <f t="shared" si="8"/>
        <v>0</v>
      </c>
      <c r="P81" s="85"/>
    </row>
    <row r="82" spans="1:16" ht="24" x14ac:dyDescent="0.25">
      <c r="A82" s="76">
        <v>2112</v>
      </c>
      <c r="B82" s="127" t="s">
        <v>100</v>
      </c>
      <c r="C82" s="128">
        <f t="shared" si="4"/>
        <v>216</v>
      </c>
      <c r="D82" s="134">
        <v>216</v>
      </c>
      <c r="E82" s="283"/>
      <c r="F82" s="279">
        <f t="shared" si="5"/>
        <v>216</v>
      </c>
      <c r="G82" s="134"/>
      <c r="H82" s="135"/>
      <c r="I82" s="136">
        <f t="shared" si="6"/>
        <v>0</v>
      </c>
      <c r="J82" s="134"/>
      <c r="K82" s="135"/>
      <c r="L82" s="136">
        <f t="shared" si="7"/>
        <v>0</v>
      </c>
      <c r="M82" s="284"/>
      <c r="N82" s="285"/>
      <c r="O82" s="136">
        <f t="shared" si="8"/>
        <v>0</v>
      </c>
      <c r="P82" s="85"/>
    </row>
    <row r="83" spans="1:16" ht="24" hidden="1" x14ac:dyDescent="0.25">
      <c r="A83" s="276">
        <v>2120</v>
      </c>
      <c r="B83" s="127" t="s">
        <v>101</v>
      </c>
      <c r="C83" s="128">
        <f t="shared" si="4"/>
        <v>0</v>
      </c>
      <c r="D83" s="277">
        <f>SUM(D84:D85)</f>
        <v>0</v>
      </c>
      <c r="E83" s="282">
        <f>SUM(E84:E85)</f>
        <v>0</v>
      </c>
      <c r="F83" s="28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row>
    <row r="84" spans="1:16" hidden="1" x14ac:dyDescent="0.25">
      <c r="A84" s="76">
        <v>2121</v>
      </c>
      <c r="B84" s="127" t="s">
        <v>99</v>
      </c>
      <c r="C84" s="128">
        <f t="shared" si="4"/>
        <v>0</v>
      </c>
      <c r="D84" s="134"/>
      <c r="E84" s="285"/>
      <c r="F84" s="286">
        <f t="shared" si="5"/>
        <v>0</v>
      </c>
      <c r="G84" s="134"/>
      <c r="H84" s="135"/>
      <c r="I84" s="136">
        <f t="shared" si="6"/>
        <v>0</v>
      </c>
      <c r="J84" s="134"/>
      <c r="K84" s="135"/>
      <c r="L84" s="136">
        <f t="shared" si="7"/>
        <v>0</v>
      </c>
      <c r="M84" s="284"/>
      <c r="N84" s="285"/>
      <c r="O84" s="136">
        <f t="shared" si="8"/>
        <v>0</v>
      </c>
      <c r="P84" s="85"/>
    </row>
    <row r="85" spans="1:16" ht="24" hidden="1" x14ac:dyDescent="0.25">
      <c r="A85" s="76">
        <v>2122</v>
      </c>
      <c r="B85" s="127" t="s">
        <v>100</v>
      </c>
      <c r="C85" s="128">
        <f t="shared" si="4"/>
        <v>0</v>
      </c>
      <c r="D85" s="134"/>
      <c r="E85" s="285"/>
      <c r="F85" s="286">
        <f t="shared" si="5"/>
        <v>0</v>
      </c>
      <c r="G85" s="134"/>
      <c r="H85" s="135"/>
      <c r="I85" s="136">
        <f t="shared" si="6"/>
        <v>0</v>
      </c>
      <c r="J85" s="134"/>
      <c r="K85" s="135"/>
      <c r="L85" s="136">
        <f t="shared" si="7"/>
        <v>0</v>
      </c>
      <c r="M85" s="284"/>
      <c r="N85" s="285"/>
      <c r="O85" s="136">
        <f t="shared" si="8"/>
        <v>0</v>
      </c>
      <c r="P85" s="85"/>
    </row>
    <row r="86" spans="1:16" x14ac:dyDescent="0.25">
      <c r="A86" s="99">
        <v>2200</v>
      </c>
      <c r="B86" s="247" t="s">
        <v>102</v>
      </c>
      <c r="C86" s="302">
        <f t="shared" si="4"/>
        <v>57137</v>
      </c>
      <c r="D86" s="112">
        <f>SUM(D87,D92,D98,D106,D115,D119,D125,D131)</f>
        <v>56120</v>
      </c>
      <c r="E86" s="248">
        <f>SUM(E87,E92,E98,E106,E115,E119,E125,E131)</f>
        <v>0</v>
      </c>
      <c r="F86" s="249">
        <f t="shared" si="5"/>
        <v>56120</v>
      </c>
      <c r="G86" s="112">
        <f>SUM(G87,G92,G98,G106,G115,G119,G125,G131)</f>
        <v>0</v>
      </c>
      <c r="H86" s="113">
        <f>SUM(H87,H92,H98,H106,H115,H119,H125,H131)</f>
        <v>0</v>
      </c>
      <c r="I86" s="114">
        <f t="shared" si="6"/>
        <v>0</v>
      </c>
      <c r="J86" s="112">
        <f>SUM(J87,J92,J98,J106,J115,J119,J125,J131)</f>
        <v>1017</v>
      </c>
      <c r="K86" s="113">
        <f>SUM(K87,K92,K98,K106,K115,K119,K125,K131)</f>
        <v>0</v>
      </c>
      <c r="L86" s="114">
        <f t="shared" si="7"/>
        <v>1017</v>
      </c>
      <c r="M86" s="303">
        <f>SUM(M87,M92,M98,M106,M115,M119,M125,M131)</f>
        <v>0</v>
      </c>
      <c r="N86" s="304">
        <f>SUM(N87,N92,N98,N106,N115,N119,N125,N131)</f>
        <v>0</v>
      </c>
      <c r="O86" s="305">
        <f t="shared" si="8"/>
        <v>0</v>
      </c>
      <c r="P86" s="306"/>
    </row>
    <row r="87" spans="1:16" ht="24" x14ac:dyDescent="0.25">
      <c r="A87" s="254">
        <v>2210</v>
      </c>
      <c r="B87" s="179" t="s">
        <v>103</v>
      </c>
      <c r="C87" s="191">
        <f t="shared" si="4"/>
        <v>1132</v>
      </c>
      <c r="D87" s="255">
        <f>SUM(D88:D91)</f>
        <v>1132</v>
      </c>
      <c r="E87" s="256">
        <f>SUM(E88:E91)</f>
        <v>0</v>
      </c>
      <c r="F87" s="257">
        <f t="shared" si="5"/>
        <v>1132</v>
      </c>
      <c r="G87" s="255">
        <f>SUM(G88:G91)</f>
        <v>0</v>
      </c>
      <c r="H87" s="258">
        <f>SUM(H88:H91)</f>
        <v>0</v>
      </c>
      <c r="I87" s="259">
        <f t="shared" si="6"/>
        <v>0</v>
      </c>
      <c r="J87" s="255">
        <f>SUM(J88:J91)</f>
        <v>0</v>
      </c>
      <c r="K87" s="258">
        <f>SUM(K88:K91)</f>
        <v>0</v>
      </c>
      <c r="L87" s="259">
        <f t="shared" si="7"/>
        <v>0</v>
      </c>
      <c r="M87" s="260">
        <f>SUM(M88:M91)</f>
        <v>0</v>
      </c>
      <c r="N87" s="261">
        <f>SUM(N88:N91)</f>
        <v>0</v>
      </c>
      <c r="O87" s="259">
        <f t="shared" si="8"/>
        <v>0</v>
      </c>
      <c r="P87" s="189"/>
    </row>
    <row r="88" spans="1:16" ht="24" hidden="1" x14ac:dyDescent="0.25">
      <c r="A88" s="66">
        <v>2211</v>
      </c>
      <c r="B88" s="116" t="s">
        <v>104</v>
      </c>
      <c r="C88" s="128">
        <f t="shared" si="4"/>
        <v>0</v>
      </c>
      <c r="D88" s="123"/>
      <c r="E88" s="262"/>
      <c r="F88" s="263">
        <f t="shared" si="5"/>
        <v>0</v>
      </c>
      <c r="G88" s="123"/>
      <c r="H88" s="124"/>
      <c r="I88" s="125">
        <f t="shared" si="6"/>
        <v>0</v>
      </c>
      <c r="J88" s="123"/>
      <c r="K88" s="124"/>
      <c r="L88" s="125">
        <f t="shared" si="7"/>
        <v>0</v>
      </c>
      <c r="M88" s="264"/>
      <c r="N88" s="262"/>
      <c r="O88" s="125">
        <f t="shared" si="8"/>
        <v>0</v>
      </c>
      <c r="P88" s="74"/>
    </row>
    <row r="89" spans="1:16" ht="36" x14ac:dyDescent="0.25">
      <c r="A89" s="76">
        <v>2212</v>
      </c>
      <c r="B89" s="127" t="s">
        <v>105</v>
      </c>
      <c r="C89" s="128">
        <f t="shared" si="4"/>
        <v>888</v>
      </c>
      <c r="D89" s="134">
        <v>888</v>
      </c>
      <c r="E89" s="283"/>
      <c r="F89" s="279">
        <f t="shared" si="5"/>
        <v>888</v>
      </c>
      <c r="G89" s="134"/>
      <c r="H89" s="135"/>
      <c r="I89" s="136">
        <f t="shared" si="6"/>
        <v>0</v>
      </c>
      <c r="J89" s="134"/>
      <c r="K89" s="135"/>
      <c r="L89" s="136">
        <f t="shared" si="7"/>
        <v>0</v>
      </c>
      <c r="M89" s="284"/>
      <c r="N89" s="285"/>
      <c r="O89" s="136">
        <f t="shared" si="8"/>
        <v>0</v>
      </c>
      <c r="P89" s="85"/>
    </row>
    <row r="90" spans="1:16" ht="24" x14ac:dyDescent="0.25">
      <c r="A90" s="265">
        <v>2214</v>
      </c>
      <c r="B90" s="266" t="s">
        <v>106</v>
      </c>
      <c r="C90" s="267">
        <f t="shared" si="4"/>
        <v>204</v>
      </c>
      <c r="D90" s="268">
        <v>204</v>
      </c>
      <c r="E90" s="269"/>
      <c r="F90" s="270">
        <f t="shared" si="5"/>
        <v>204</v>
      </c>
      <c r="G90" s="268"/>
      <c r="H90" s="271"/>
      <c r="I90" s="272">
        <f t="shared" si="6"/>
        <v>0</v>
      </c>
      <c r="J90" s="268"/>
      <c r="K90" s="271"/>
      <c r="L90" s="272">
        <f t="shared" si="7"/>
        <v>0</v>
      </c>
      <c r="M90" s="273"/>
      <c r="N90" s="274"/>
      <c r="O90" s="272">
        <f t="shared" si="8"/>
        <v>0</v>
      </c>
      <c r="P90" s="275"/>
    </row>
    <row r="91" spans="1:16" x14ac:dyDescent="0.25">
      <c r="A91" s="76">
        <v>2219</v>
      </c>
      <c r="B91" s="127" t="s">
        <v>107</v>
      </c>
      <c r="C91" s="128">
        <f t="shared" si="4"/>
        <v>40</v>
      </c>
      <c r="D91" s="134">
        <v>40</v>
      </c>
      <c r="E91" s="283"/>
      <c r="F91" s="279">
        <f t="shared" si="5"/>
        <v>40</v>
      </c>
      <c r="G91" s="134"/>
      <c r="H91" s="135"/>
      <c r="I91" s="136">
        <f t="shared" si="6"/>
        <v>0</v>
      </c>
      <c r="J91" s="134"/>
      <c r="K91" s="135"/>
      <c r="L91" s="136">
        <f t="shared" si="7"/>
        <v>0</v>
      </c>
      <c r="M91" s="284"/>
      <c r="N91" s="285"/>
      <c r="O91" s="136">
        <f t="shared" si="8"/>
        <v>0</v>
      </c>
      <c r="P91" s="85"/>
    </row>
    <row r="92" spans="1:16" ht="24" x14ac:dyDescent="0.25">
      <c r="A92" s="276">
        <v>2220</v>
      </c>
      <c r="B92" s="127" t="s">
        <v>108</v>
      </c>
      <c r="C92" s="128">
        <f t="shared" si="4"/>
        <v>49118</v>
      </c>
      <c r="D92" s="277">
        <f>SUM(D93:D97)</f>
        <v>48656</v>
      </c>
      <c r="E92" s="278">
        <f>SUM(E93:E97)</f>
        <v>0</v>
      </c>
      <c r="F92" s="279">
        <f t="shared" si="5"/>
        <v>48656</v>
      </c>
      <c r="G92" s="277">
        <f>SUM(G93:G97)</f>
        <v>0</v>
      </c>
      <c r="H92" s="280">
        <f>SUM(H93:H97)</f>
        <v>0</v>
      </c>
      <c r="I92" s="136">
        <f t="shared" si="6"/>
        <v>0</v>
      </c>
      <c r="J92" s="277">
        <f>SUM(J93:J97)</f>
        <v>462</v>
      </c>
      <c r="K92" s="280">
        <f>SUM(K93:K97)</f>
        <v>0</v>
      </c>
      <c r="L92" s="136">
        <f t="shared" si="7"/>
        <v>462</v>
      </c>
      <c r="M92" s="281">
        <f>SUM(M93:M97)</f>
        <v>0</v>
      </c>
      <c r="N92" s="282">
        <f>SUM(N93:N97)</f>
        <v>0</v>
      </c>
      <c r="O92" s="136">
        <f t="shared" si="8"/>
        <v>0</v>
      </c>
      <c r="P92" s="85"/>
    </row>
    <row r="93" spans="1:16" x14ac:dyDescent="0.25">
      <c r="A93" s="76">
        <v>2221</v>
      </c>
      <c r="B93" s="127" t="s">
        <v>109</v>
      </c>
      <c r="C93" s="128">
        <f t="shared" si="4"/>
        <v>32656</v>
      </c>
      <c r="D93" s="134">
        <v>32656</v>
      </c>
      <c r="E93" s="283"/>
      <c r="F93" s="279">
        <f t="shared" si="5"/>
        <v>32656</v>
      </c>
      <c r="G93" s="134"/>
      <c r="H93" s="135"/>
      <c r="I93" s="136">
        <f t="shared" si="6"/>
        <v>0</v>
      </c>
      <c r="J93" s="134"/>
      <c r="K93" s="135"/>
      <c r="L93" s="136">
        <f t="shared" si="7"/>
        <v>0</v>
      </c>
      <c r="M93" s="284"/>
      <c r="N93" s="285"/>
      <c r="O93" s="136">
        <f t="shared" si="8"/>
        <v>0</v>
      </c>
    </row>
    <row r="94" spans="1:16" x14ac:dyDescent="0.25">
      <c r="A94" s="76">
        <v>2222</v>
      </c>
      <c r="B94" s="127" t="s">
        <v>110</v>
      </c>
      <c r="C94" s="128">
        <f t="shared" si="4"/>
        <v>6512</v>
      </c>
      <c r="D94" s="134">
        <v>6512</v>
      </c>
      <c r="E94" s="283"/>
      <c r="F94" s="279">
        <f t="shared" si="5"/>
        <v>6512</v>
      </c>
      <c r="G94" s="134"/>
      <c r="H94" s="135"/>
      <c r="I94" s="136">
        <f t="shared" si="6"/>
        <v>0</v>
      </c>
      <c r="J94" s="134"/>
      <c r="K94" s="135"/>
      <c r="L94" s="136">
        <f t="shared" si="7"/>
        <v>0</v>
      </c>
      <c r="M94" s="284"/>
      <c r="N94" s="285"/>
      <c r="O94" s="136">
        <f t="shared" si="8"/>
        <v>0</v>
      </c>
      <c r="P94" s="928"/>
    </row>
    <row r="95" spans="1:16" x14ac:dyDescent="0.25">
      <c r="A95" s="76">
        <v>2223</v>
      </c>
      <c r="B95" s="127" t="s">
        <v>111</v>
      </c>
      <c r="C95" s="128">
        <f t="shared" si="4"/>
        <v>8411</v>
      </c>
      <c r="D95" s="134">
        <v>7949</v>
      </c>
      <c r="E95" s="283"/>
      <c r="F95" s="279">
        <f t="shared" si="5"/>
        <v>7949</v>
      </c>
      <c r="G95" s="134"/>
      <c r="H95" s="135"/>
      <c r="I95" s="136">
        <f t="shared" si="6"/>
        <v>0</v>
      </c>
      <c r="J95" s="134">
        <v>462</v>
      </c>
      <c r="K95" s="135"/>
      <c r="L95" s="136">
        <f t="shared" si="7"/>
        <v>462</v>
      </c>
      <c r="M95" s="284"/>
      <c r="N95" s="285"/>
      <c r="O95" s="136">
        <f t="shared" si="8"/>
        <v>0</v>
      </c>
      <c r="P95" s="928"/>
    </row>
    <row r="96" spans="1:16" ht="48" x14ac:dyDescent="0.25">
      <c r="A96" s="76">
        <v>2224</v>
      </c>
      <c r="B96" s="127" t="s">
        <v>112</v>
      </c>
      <c r="C96" s="128">
        <f t="shared" si="4"/>
        <v>1539</v>
      </c>
      <c r="D96" s="134">
        <v>1539</v>
      </c>
      <c r="E96" s="283"/>
      <c r="F96" s="279">
        <f t="shared" si="5"/>
        <v>1539</v>
      </c>
      <c r="G96" s="134"/>
      <c r="H96" s="135"/>
      <c r="I96" s="136">
        <f t="shared" si="6"/>
        <v>0</v>
      </c>
      <c r="J96" s="134"/>
      <c r="K96" s="135"/>
      <c r="L96" s="136">
        <f t="shared" si="7"/>
        <v>0</v>
      </c>
      <c r="M96" s="284"/>
      <c r="N96" s="285"/>
      <c r="O96" s="136">
        <f t="shared" si="8"/>
        <v>0</v>
      </c>
      <c r="P96" s="85"/>
    </row>
    <row r="97" spans="1:16" ht="24" hidden="1" x14ac:dyDescent="0.25">
      <c r="A97" s="76">
        <v>2229</v>
      </c>
      <c r="B97" s="127" t="s">
        <v>113</v>
      </c>
      <c r="C97" s="128">
        <f t="shared" si="4"/>
        <v>0</v>
      </c>
      <c r="D97" s="134"/>
      <c r="E97" s="285"/>
      <c r="F97" s="286">
        <f t="shared" si="5"/>
        <v>0</v>
      </c>
      <c r="G97" s="134"/>
      <c r="H97" s="135"/>
      <c r="I97" s="136">
        <f t="shared" si="6"/>
        <v>0</v>
      </c>
      <c r="J97" s="134"/>
      <c r="K97" s="135"/>
      <c r="L97" s="136">
        <f t="shared" si="7"/>
        <v>0</v>
      </c>
      <c r="M97" s="284"/>
      <c r="N97" s="285"/>
      <c r="O97" s="136">
        <f t="shared" si="8"/>
        <v>0</v>
      </c>
      <c r="P97" s="85"/>
    </row>
    <row r="98" spans="1:16" ht="36" x14ac:dyDescent="0.25">
      <c r="A98" s="276">
        <v>2230</v>
      </c>
      <c r="B98" s="127" t="s">
        <v>114</v>
      </c>
      <c r="C98" s="128">
        <f t="shared" si="4"/>
        <v>1562</v>
      </c>
      <c r="D98" s="277">
        <f>SUM(D99:D105)</f>
        <v>1562</v>
      </c>
      <c r="E98" s="278">
        <f>SUM(E99:E105)</f>
        <v>0</v>
      </c>
      <c r="F98" s="279">
        <f t="shared" si="5"/>
        <v>1562</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row>
    <row r="99" spans="1:16" ht="24" hidden="1" x14ac:dyDescent="0.25">
      <c r="A99" s="76">
        <v>2231</v>
      </c>
      <c r="B99" s="127" t="s">
        <v>115</v>
      </c>
      <c r="C99" s="128">
        <f t="shared" si="4"/>
        <v>0</v>
      </c>
      <c r="D99" s="134"/>
      <c r="E99" s="285"/>
      <c r="F99" s="286">
        <f t="shared" si="5"/>
        <v>0</v>
      </c>
      <c r="G99" s="134"/>
      <c r="H99" s="135"/>
      <c r="I99" s="136">
        <f t="shared" si="6"/>
        <v>0</v>
      </c>
      <c r="J99" s="134"/>
      <c r="K99" s="135"/>
      <c r="L99" s="136">
        <f t="shared" si="7"/>
        <v>0</v>
      </c>
      <c r="M99" s="284"/>
      <c r="N99" s="285"/>
      <c r="O99" s="136">
        <f t="shared" si="8"/>
        <v>0</v>
      </c>
      <c r="P99" s="85"/>
    </row>
    <row r="100" spans="1:16" ht="36" hidden="1" x14ac:dyDescent="0.25">
      <c r="A100" s="76">
        <v>2232</v>
      </c>
      <c r="B100" s="127" t="s">
        <v>116</v>
      </c>
      <c r="C100" s="128">
        <f t="shared" si="4"/>
        <v>0</v>
      </c>
      <c r="D100" s="134"/>
      <c r="E100" s="285"/>
      <c r="F100" s="286">
        <f t="shared" si="5"/>
        <v>0</v>
      </c>
      <c r="G100" s="134"/>
      <c r="H100" s="135"/>
      <c r="I100" s="136">
        <f t="shared" si="6"/>
        <v>0</v>
      </c>
      <c r="J100" s="134"/>
      <c r="K100" s="135"/>
      <c r="L100" s="136">
        <f t="shared" si="7"/>
        <v>0</v>
      </c>
      <c r="M100" s="284"/>
      <c r="N100" s="285"/>
      <c r="O100" s="136">
        <f t="shared" si="8"/>
        <v>0</v>
      </c>
      <c r="P100" s="85"/>
    </row>
    <row r="101" spans="1:16" ht="24" hidden="1" x14ac:dyDescent="0.25">
      <c r="A101" s="66">
        <v>2233</v>
      </c>
      <c r="B101" s="116" t="s">
        <v>117</v>
      </c>
      <c r="C101" s="128">
        <f t="shared" si="4"/>
        <v>0</v>
      </c>
      <c r="D101" s="123"/>
      <c r="E101" s="262"/>
      <c r="F101" s="263">
        <f t="shared" si="5"/>
        <v>0</v>
      </c>
      <c r="G101" s="123"/>
      <c r="H101" s="124"/>
      <c r="I101" s="125">
        <f t="shared" si="6"/>
        <v>0</v>
      </c>
      <c r="J101" s="123"/>
      <c r="K101" s="124"/>
      <c r="L101" s="125">
        <f t="shared" si="7"/>
        <v>0</v>
      </c>
      <c r="M101" s="264"/>
      <c r="N101" s="262"/>
      <c r="O101" s="125">
        <f t="shared" si="8"/>
        <v>0</v>
      </c>
      <c r="P101" s="74"/>
    </row>
    <row r="102" spans="1:16" ht="36" hidden="1" x14ac:dyDescent="0.25">
      <c r="A102" s="76">
        <v>2234</v>
      </c>
      <c r="B102" s="127" t="s">
        <v>118</v>
      </c>
      <c r="C102" s="128">
        <f t="shared" si="4"/>
        <v>0</v>
      </c>
      <c r="D102" s="134"/>
      <c r="E102" s="285"/>
      <c r="F102" s="286">
        <f t="shared" si="5"/>
        <v>0</v>
      </c>
      <c r="G102" s="134"/>
      <c r="H102" s="135"/>
      <c r="I102" s="136">
        <f t="shared" si="6"/>
        <v>0</v>
      </c>
      <c r="J102" s="134"/>
      <c r="K102" s="135"/>
      <c r="L102" s="136">
        <f t="shared" si="7"/>
        <v>0</v>
      </c>
      <c r="M102" s="284"/>
      <c r="N102" s="285"/>
      <c r="O102" s="136">
        <f t="shared" si="8"/>
        <v>0</v>
      </c>
      <c r="P102" s="85"/>
    </row>
    <row r="103" spans="1:16" ht="24" hidden="1" x14ac:dyDescent="0.25">
      <c r="A103" s="76">
        <v>2235</v>
      </c>
      <c r="B103" s="127" t="s">
        <v>119</v>
      </c>
      <c r="C103" s="128">
        <f t="shared" si="4"/>
        <v>0</v>
      </c>
      <c r="D103" s="134"/>
      <c r="E103" s="285"/>
      <c r="F103" s="286">
        <f t="shared" si="5"/>
        <v>0</v>
      </c>
      <c r="G103" s="134"/>
      <c r="H103" s="135"/>
      <c r="I103" s="136">
        <f t="shared" si="6"/>
        <v>0</v>
      </c>
      <c r="J103" s="134"/>
      <c r="K103" s="135"/>
      <c r="L103" s="136">
        <f t="shared" si="7"/>
        <v>0</v>
      </c>
      <c r="M103" s="284"/>
      <c r="N103" s="285"/>
      <c r="O103" s="136">
        <f t="shared" si="8"/>
        <v>0</v>
      </c>
      <c r="P103" s="85"/>
    </row>
    <row r="104" spans="1:16" hidden="1" x14ac:dyDescent="0.25">
      <c r="A104" s="76">
        <v>2236</v>
      </c>
      <c r="B104" s="127" t="s">
        <v>120</v>
      </c>
      <c r="C104" s="128">
        <f t="shared" si="4"/>
        <v>0</v>
      </c>
      <c r="D104" s="134"/>
      <c r="E104" s="285"/>
      <c r="F104" s="286">
        <f t="shared" si="5"/>
        <v>0</v>
      </c>
      <c r="G104" s="134"/>
      <c r="H104" s="135"/>
      <c r="I104" s="136">
        <f t="shared" si="6"/>
        <v>0</v>
      </c>
      <c r="J104" s="134"/>
      <c r="K104" s="135"/>
      <c r="L104" s="136">
        <f t="shared" si="7"/>
        <v>0</v>
      </c>
      <c r="M104" s="284"/>
      <c r="N104" s="285"/>
      <c r="O104" s="136">
        <f t="shared" si="8"/>
        <v>0</v>
      </c>
      <c r="P104" s="85"/>
    </row>
    <row r="105" spans="1:16" ht="24" x14ac:dyDescent="0.25">
      <c r="A105" s="76">
        <v>2239</v>
      </c>
      <c r="B105" s="127" t="s">
        <v>121</v>
      </c>
      <c r="C105" s="128">
        <f t="shared" si="4"/>
        <v>1562</v>
      </c>
      <c r="D105" s="134">
        <v>1562</v>
      </c>
      <c r="E105" s="283"/>
      <c r="F105" s="279">
        <f t="shared" si="5"/>
        <v>1562</v>
      </c>
      <c r="G105" s="134"/>
      <c r="H105" s="135"/>
      <c r="I105" s="136">
        <f t="shared" si="6"/>
        <v>0</v>
      </c>
      <c r="J105" s="134"/>
      <c r="K105" s="135"/>
      <c r="L105" s="136">
        <f t="shared" si="7"/>
        <v>0</v>
      </c>
      <c r="M105" s="284"/>
      <c r="N105" s="285"/>
      <c r="O105" s="136">
        <f t="shared" si="8"/>
        <v>0</v>
      </c>
      <c r="P105" s="85"/>
    </row>
    <row r="106" spans="1:16" ht="36" x14ac:dyDescent="0.25">
      <c r="A106" s="276">
        <v>2240</v>
      </c>
      <c r="B106" s="127" t="s">
        <v>122</v>
      </c>
      <c r="C106" s="128">
        <f t="shared" si="4"/>
        <v>4477</v>
      </c>
      <c r="D106" s="277">
        <f>SUM(D107:D114)</f>
        <v>4477</v>
      </c>
      <c r="E106" s="278">
        <f>SUM(E107:E114)</f>
        <v>0</v>
      </c>
      <c r="F106" s="279">
        <f t="shared" si="5"/>
        <v>4477</v>
      </c>
      <c r="G106" s="277">
        <f>SUM(G107:G114)</f>
        <v>0</v>
      </c>
      <c r="H106" s="280">
        <f>SUM(H107:H114)</f>
        <v>0</v>
      </c>
      <c r="I106" s="136">
        <f t="shared" si="6"/>
        <v>0</v>
      </c>
      <c r="J106" s="277">
        <f>SUM(J107:J114)</f>
        <v>0</v>
      </c>
      <c r="K106" s="280">
        <f>SUM(K107:K114)</f>
        <v>0</v>
      </c>
      <c r="L106" s="136">
        <f t="shared" si="7"/>
        <v>0</v>
      </c>
      <c r="M106" s="281">
        <f>SUM(M107:M114)</f>
        <v>0</v>
      </c>
      <c r="N106" s="282">
        <f>SUM(N107:N114)</f>
        <v>0</v>
      </c>
      <c r="O106" s="136">
        <f t="shared" si="8"/>
        <v>0</v>
      </c>
      <c r="P106" s="85"/>
    </row>
    <row r="107" spans="1:16" hidden="1" x14ac:dyDescent="0.25">
      <c r="A107" s="76">
        <v>2241</v>
      </c>
      <c r="B107" s="127" t="s">
        <v>123</v>
      </c>
      <c r="C107" s="128">
        <f t="shared" si="4"/>
        <v>0</v>
      </c>
      <c r="D107" s="134"/>
      <c r="E107" s="285"/>
      <c r="F107" s="286">
        <f t="shared" si="5"/>
        <v>0</v>
      </c>
      <c r="G107" s="134"/>
      <c r="H107" s="135"/>
      <c r="I107" s="136">
        <f t="shared" si="6"/>
        <v>0</v>
      </c>
      <c r="J107" s="134"/>
      <c r="K107" s="135"/>
      <c r="L107" s="136">
        <f t="shared" si="7"/>
        <v>0</v>
      </c>
      <c r="M107" s="284"/>
      <c r="N107" s="285"/>
      <c r="O107" s="136">
        <f t="shared" si="8"/>
        <v>0</v>
      </c>
      <c r="P107" s="85"/>
    </row>
    <row r="108" spans="1:16" ht="24" hidden="1" x14ac:dyDescent="0.25">
      <c r="A108" s="76">
        <v>2242</v>
      </c>
      <c r="B108" s="127" t="s">
        <v>124</v>
      </c>
      <c r="C108" s="128">
        <f t="shared" si="4"/>
        <v>0</v>
      </c>
      <c r="D108" s="134"/>
      <c r="E108" s="285"/>
      <c r="F108" s="286">
        <f t="shared" si="5"/>
        <v>0</v>
      </c>
      <c r="G108" s="134"/>
      <c r="H108" s="135"/>
      <c r="I108" s="136">
        <f t="shared" si="6"/>
        <v>0</v>
      </c>
      <c r="J108" s="134"/>
      <c r="K108" s="135"/>
      <c r="L108" s="136">
        <f t="shared" si="7"/>
        <v>0</v>
      </c>
      <c r="M108" s="284"/>
      <c r="N108" s="285"/>
      <c r="O108" s="136">
        <f t="shared" si="8"/>
        <v>0</v>
      </c>
      <c r="P108" s="85"/>
    </row>
    <row r="109" spans="1:16" ht="24" x14ac:dyDescent="0.25">
      <c r="A109" s="76">
        <v>2243</v>
      </c>
      <c r="B109" s="127" t="s">
        <v>125</v>
      </c>
      <c r="C109" s="128">
        <f t="shared" si="4"/>
        <v>470</v>
      </c>
      <c r="D109" s="134">
        <v>470</v>
      </c>
      <c r="E109" s="283"/>
      <c r="F109" s="279">
        <f t="shared" si="5"/>
        <v>470</v>
      </c>
      <c r="G109" s="134"/>
      <c r="H109" s="135"/>
      <c r="I109" s="136">
        <f t="shared" si="6"/>
        <v>0</v>
      </c>
      <c r="J109" s="134"/>
      <c r="K109" s="135"/>
      <c r="L109" s="136">
        <f t="shared" si="7"/>
        <v>0</v>
      </c>
      <c r="M109" s="284"/>
      <c r="N109" s="285"/>
      <c r="O109" s="136">
        <f t="shared" si="8"/>
        <v>0</v>
      </c>
      <c r="P109" s="85"/>
    </row>
    <row r="110" spans="1:16" x14ac:dyDescent="0.25">
      <c r="A110" s="265">
        <v>2244</v>
      </c>
      <c r="B110" s="266" t="s">
        <v>126</v>
      </c>
      <c r="C110" s="267">
        <f t="shared" si="4"/>
        <v>4007</v>
      </c>
      <c r="D110" s="268">
        <v>4007</v>
      </c>
      <c r="E110" s="269"/>
      <c r="F110" s="270">
        <f t="shared" si="5"/>
        <v>4007</v>
      </c>
      <c r="G110" s="268"/>
      <c r="H110" s="271"/>
      <c r="I110" s="272">
        <f t="shared" si="6"/>
        <v>0</v>
      </c>
      <c r="J110" s="268"/>
      <c r="K110" s="271"/>
      <c r="L110" s="272">
        <f t="shared" si="7"/>
        <v>0</v>
      </c>
      <c r="M110" s="273"/>
      <c r="N110" s="274"/>
      <c r="O110" s="272">
        <f t="shared" si="8"/>
        <v>0</v>
      </c>
      <c r="P110" s="275"/>
    </row>
    <row r="111" spans="1:16" ht="24" hidden="1" x14ac:dyDescent="0.25">
      <c r="A111" s="76">
        <v>2246</v>
      </c>
      <c r="B111" s="127" t="s">
        <v>127</v>
      </c>
      <c r="C111" s="128">
        <f t="shared" si="4"/>
        <v>0</v>
      </c>
      <c r="D111" s="134"/>
      <c r="E111" s="285"/>
      <c r="F111" s="286">
        <f t="shared" si="5"/>
        <v>0</v>
      </c>
      <c r="G111" s="134"/>
      <c r="H111" s="135"/>
      <c r="I111" s="136">
        <f t="shared" si="6"/>
        <v>0</v>
      </c>
      <c r="J111" s="134"/>
      <c r="K111" s="135"/>
      <c r="L111" s="136">
        <f t="shared" si="7"/>
        <v>0</v>
      </c>
      <c r="M111" s="284"/>
      <c r="N111" s="285"/>
      <c r="O111" s="136">
        <f t="shared" si="8"/>
        <v>0</v>
      </c>
      <c r="P111" s="85"/>
    </row>
    <row r="112" spans="1:16" hidden="1" x14ac:dyDescent="0.25">
      <c r="A112" s="76">
        <v>2247</v>
      </c>
      <c r="B112" s="127" t="s">
        <v>128</v>
      </c>
      <c r="C112" s="128">
        <f t="shared" si="4"/>
        <v>0</v>
      </c>
      <c r="D112" s="134"/>
      <c r="E112" s="285"/>
      <c r="F112" s="286">
        <f t="shared" si="5"/>
        <v>0</v>
      </c>
      <c r="G112" s="134"/>
      <c r="H112" s="135"/>
      <c r="I112" s="136">
        <f t="shared" si="6"/>
        <v>0</v>
      </c>
      <c r="J112" s="134"/>
      <c r="K112" s="135"/>
      <c r="L112" s="136">
        <f t="shared" si="7"/>
        <v>0</v>
      </c>
      <c r="M112" s="284"/>
      <c r="N112" s="285"/>
      <c r="O112" s="136">
        <f t="shared" si="8"/>
        <v>0</v>
      </c>
      <c r="P112" s="85"/>
    </row>
    <row r="113" spans="1:16" ht="24" hidden="1" x14ac:dyDescent="0.25">
      <c r="A113" s="76">
        <v>2248</v>
      </c>
      <c r="B113" s="127" t="s">
        <v>129</v>
      </c>
      <c r="C113" s="128">
        <f t="shared" si="4"/>
        <v>0</v>
      </c>
      <c r="D113" s="134"/>
      <c r="E113" s="285"/>
      <c r="F113" s="286">
        <f t="shared" si="5"/>
        <v>0</v>
      </c>
      <c r="G113" s="134"/>
      <c r="H113" s="135"/>
      <c r="I113" s="136">
        <f t="shared" si="6"/>
        <v>0</v>
      </c>
      <c r="J113" s="134"/>
      <c r="K113" s="135"/>
      <c r="L113" s="136">
        <f t="shared" si="7"/>
        <v>0</v>
      </c>
      <c r="M113" s="284"/>
      <c r="N113" s="285"/>
      <c r="O113" s="136">
        <f t="shared" si="8"/>
        <v>0</v>
      </c>
      <c r="P113" s="85"/>
    </row>
    <row r="114" spans="1:16" ht="24" hidden="1" x14ac:dyDescent="0.25">
      <c r="A114" s="76">
        <v>2249</v>
      </c>
      <c r="B114" s="127" t="s">
        <v>130</v>
      </c>
      <c r="C114" s="128">
        <f t="shared" si="4"/>
        <v>0</v>
      </c>
      <c r="D114" s="134"/>
      <c r="E114" s="285"/>
      <c r="F114" s="286">
        <f t="shared" si="5"/>
        <v>0</v>
      </c>
      <c r="G114" s="134"/>
      <c r="H114" s="135"/>
      <c r="I114" s="136">
        <f t="shared" si="6"/>
        <v>0</v>
      </c>
      <c r="J114" s="134"/>
      <c r="K114" s="135"/>
      <c r="L114" s="136">
        <f t="shared" si="7"/>
        <v>0</v>
      </c>
      <c r="M114" s="284"/>
      <c r="N114" s="285"/>
      <c r="O114" s="136">
        <f t="shared" si="8"/>
        <v>0</v>
      </c>
      <c r="P114" s="85"/>
    </row>
    <row r="115" spans="1:16" x14ac:dyDescent="0.25">
      <c r="A115" s="276">
        <v>2250</v>
      </c>
      <c r="B115" s="127" t="s">
        <v>131</v>
      </c>
      <c r="C115" s="128">
        <f t="shared" si="4"/>
        <v>166</v>
      </c>
      <c r="D115" s="277">
        <f>SUM(D116:D118)</f>
        <v>166</v>
      </c>
      <c r="E115" s="278">
        <f>SUM(E116:E118)</f>
        <v>0</v>
      </c>
      <c r="F115" s="279">
        <f t="shared" si="5"/>
        <v>166</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row>
    <row r="116" spans="1:16" x14ac:dyDescent="0.25">
      <c r="A116" s="76">
        <v>2251</v>
      </c>
      <c r="B116" s="127" t="s">
        <v>132</v>
      </c>
      <c r="C116" s="128">
        <f t="shared" si="4"/>
        <v>166</v>
      </c>
      <c r="D116" s="134">
        <v>166</v>
      </c>
      <c r="E116" s="283"/>
      <c r="F116" s="279">
        <f t="shared" si="5"/>
        <v>166</v>
      </c>
      <c r="G116" s="134"/>
      <c r="H116" s="135"/>
      <c r="I116" s="136">
        <f t="shared" si="6"/>
        <v>0</v>
      </c>
      <c r="J116" s="134"/>
      <c r="K116" s="135"/>
      <c r="L116" s="136">
        <f t="shared" si="7"/>
        <v>0</v>
      </c>
      <c r="M116" s="284"/>
      <c r="N116" s="285"/>
      <c r="O116" s="136">
        <f t="shared" si="8"/>
        <v>0</v>
      </c>
      <c r="P116" s="85"/>
    </row>
    <row r="117" spans="1:16" ht="24" hidden="1" x14ac:dyDescent="0.25">
      <c r="A117" s="76">
        <v>2252</v>
      </c>
      <c r="B117" s="127" t="s">
        <v>133</v>
      </c>
      <c r="C117" s="128">
        <f t="shared" ref="C117:C181" si="9">F117+I117+L117+O117</f>
        <v>0</v>
      </c>
      <c r="D117" s="134"/>
      <c r="E117" s="285"/>
      <c r="F117" s="286">
        <f t="shared" si="5"/>
        <v>0</v>
      </c>
      <c r="G117" s="134"/>
      <c r="H117" s="135"/>
      <c r="I117" s="136">
        <f t="shared" si="6"/>
        <v>0</v>
      </c>
      <c r="J117" s="134"/>
      <c r="K117" s="135"/>
      <c r="L117" s="136">
        <f t="shared" si="7"/>
        <v>0</v>
      </c>
      <c r="M117" s="284"/>
      <c r="N117" s="285"/>
      <c r="O117" s="136">
        <f t="shared" si="8"/>
        <v>0</v>
      </c>
      <c r="P117" s="85"/>
    </row>
    <row r="118" spans="1:16" ht="24" hidden="1" x14ac:dyDescent="0.25">
      <c r="A118" s="265">
        <v>2259</v>
      </c>
      <c r="B118" s="266" t="s">
        <v>134</v>
      </c>
      <c r="C118" s="267">
        <f t="shared" si="9"/>
        <v>0</v>
      </c>
      <c r="D118" s="268">
        <v>0</v>
      </c>
      <c r="E118" s="274"/>
      <c r="F118" s="940">
        <f t="shared" ref="F118:F182" si="10">D118+E118</f>
        <v>0</v>
      </c>
      <c r="G118" s="268"/>
      <c r="H118" s="271"/>
      <c r="I118" s="272">
        <f t="shared" ref="I118:I182" si="11">G118+H118</f>
        <v>0</v>
      </c>
      <c r="J118" s="268"/>
      <c r="K118" s="271"/>
      <c r="L118" s="272">
        <f t="shared" ref="L118:L182" si="12">J118+K118</f>
        <v>0</v>
      </c>
      <c r="M118" s="273"/>
      <c r="N118" s="274"/>
      <c r="O118" s="272">
        <f t="shared" ref="O118:O182" si="13">M118+N118</f>
        <v>0</v>
      </c>
      <c r="P118" s="275"/>
    </row>
    <row r="119" spans="1:16" x14ac:dyDescent="0.25">
      <c r="A119" s="276">
        <v>2260</v>
      </c>
      <c r="B119" s="127" t="s">
        <v>135</v>
      </c>
      <c r="C119" s="128">
        <f t="shared" si="9"/>
        <v>47</v>
      </c>
      <c r="D119" s="277">
        <f>SUM(D120:D124)</f>
        <v>47</v>
      </c>
      <c r="E119" s="278">
        <f>SUM(E120:E124)</f>
        <v>0</v>
      </c>
      <c r="F119" s="279">
        <f t="shared" si="10"/>
        <v>47</v>
      </c>
      <c r="G119" s="277">
        <f>SUM(G120:G124)</f>
        <v>0</v>
      </c>
      <c r="H119" s="280">
        <f>SUM(H120:H124)</f>
        <v>0</v>
      </c>
      <c r="I119" s="136">
        <f t="shared" si="11"/>
        <v>0</v>
      </c>
      <c r="J119" s="277">
        <f>SUM(J120:J124)</f>
        <v>0</v>
      </c>
      <c r="K119" s="280">
        <f>SUM(K120:K124)</f>
        <v>0</v>
      </c>
      <c r="L119" s="136">
        <f t="shared" si="12"/>
        <v>0</v>
      </c>
      <c r="M119" s="281">
        <f>SUM(M120:M124)</f>
        <v>0</v>
      </c>
      <c r="N119" s="282">
        <f>SUM(N120:N124)</f>
        <v>0</v>
      </c>
      <c r="O119" s="136">
        <f t="shared" si="13"/>
        <v>0</v>
      </c>
      <c r="P119" s="85"/>
    </row>
    <row r="120" spans="1:16" hidden="1" x14ac:dyDescent="0.25">
      <c r="A120" s="76">
        <v>2261</v>
      </c>
      <c r="B120" s="127" t="s">
        <v>136</v>
      </c>
      <c r="C120" s="128">
        <f t="shared" si="9"/>
        <v>0</v>
      </c>
      <c r="D120" s="134"/>
      <c r="E120" s="285"/>
      <c r="F120" s="286">
        <f t="shared" si="10"/>
        <v>0</v>
      </c>
      <c r="G120" s="134"/>
      <c r="H120" s="135"/>
      <c r="I120" s="136">
        <f t="shared" si="11"/>
        <v>0</v>
      </c>
      <c r="J120" s="134"/>
      <c r="K120" s="135"/>
      <c r="L120" s="136">
        <f t="shared" si="12"/>
        <v>0</v>
      </c>
      <c r="M120" s="284"/>
      <c r="N120" s="285"/>
      <c r="O120" s="136">
        <f t="shared" si="13"/>
        <v>0</v>
      </c>
      <c r="P120" s="85"/>
    </row>
    <row r="121" spans="1:16" hidden="1" x14ac:dyDescent="0.25">
      <c r="A121" s="76">
        <v>2262</v>
      </c>
      <c r="B121" s="127" t="s">
        <v>137</v>
      </c>
      <c r="C121" s="128">
        <f t="shared" si="9"/>
        <v>0</v>
      </c>
      <c r="D121" s="134"/>
      <c r="E121" s="285"/>
      <c r="F121" s="286">
        <f t="shared" si="10"/>
        <v>0</v>
      </c>
      <c r="G121" s="134"/>
      <c r="H121" s="135"/>
      <c r="I121" s="136">
        <f t="shared" si="11"/>
        <v>0</v>
      </c>
      <c r="J121" s="134"/>
      <c r="K121" s="135"/>
      <c r="L121" s="136">
        <f t="shared" si="12"/>
        <v>0</v>
      </c>
      <c r="M121" s="284"/>
      <c r="N121" s="285"/>
      <c r="O121" s="136">
        <f t="shared" si="13"/>
        <v>0</v>
      </c>
      <c r="P121" s="85"/>
    </row>
    <row r="122" spans="1:16" hidden="1" x14ac:dyDescent="0.25">
      <c r="A122" s="76">
        <v>2263</v>
      </c>
      <c r="B122" s="127" t="s">
        <v>138</v>
      </c>
      <c r="C122" s="128">
        <f t="shared" si="9"/>
        <v>0</v>
      </c>
      <c r="D122" s="134"/>
      <c r="E122" s="285"/>
      <c r="F122" s="286">
        <f t="shared" si="10"/>
        <v>0</v>
      </c>
      <c r="G122" s="134"/>
      <c r="H122" s="135"/>
      <c r="I122" s="136">
        <f t="shared" si="11"/>
        <v>0</v>
      </c>
      <c r="J122" s="134"/>
      <c r="K122" s="135"/>
      <c r="L122" s="136">
        <f t="shared" si="12"/>
        <v>0</v>
      </c>
      <c r="M122" s="284"/>
      <c r="N122" s="285"/>
      <c r="O122" s="136">
        <f t="shared" si="13"/>
        <v>0</v>
      </c>
      <c r="P122" s="85"/>
    </row>
    <row r="123" spans="1:16" ht="24" hidden="1" x14ac:dyDescent="0.25">
      <c r="A123" s="76">
        <v>2264</v>
      </c>
      <c r="B123" s="127" t="s">
        <v>139</v>
      </c>
      <c r="C123" s="128">
        <f t="shared" si="9"/>
        <v>0</v>
      </c>
      <c r="D123" s="134"/>
      <c r="E123" s="285"/>
      <c r="F123" s="286">
        <f t="shared" si="10"/>
        <v>0</v>
      </c>
      <c r="G123" s="134"/>
      <c r="H123" s="135"/>
      <c r="I123" s="136">
        <f t="shared" si="11"/>
        <v>0</v>
      </c>
      <c r="J123" s="134"/>
      <c r="K123" s="135"/>
      <c r="L123" s="136">
        <f t="shared" si="12"/>
        <v>0</v>
      </c>
      <c r="M123" s="284"/>
      <c r="N123" s="285"/>
      <c r="O123" s="136">
        <f t="shared" si="13"/>
        <v>0</v>
      </c>
      <c r="P123" s="85"/>
    </row>
    <row r="124" spans="1:16" x14ac:dyDescent="0.25">
      <c r="A124" s="76">
        <v>2269</v>
      </c>
      <c r="B124" s="127" t="s">
        <v>140</v>
      </c>
      <c r="C124" s="128">
        <f t="shared" si="9"/>
        <v>47</v>
      </c>
      <c r="D124" s="134">
        <v>47</v>
      </c>
      <c r="E124" s="283"/>
      <c r="F124" s="279">
        <f t="shared" si="10"/>
        <v>47</v>
      </c>
      <c r="G124" s="134"/>
      <c r="H124" s="135"/>
      <c r="I124" s="136">
        <f t="shared" si="11"/>
        <v>0</v>
      </c>
      <c r="J124" s="134"/>
      <c r="K124" s="135"/>
      <c r="L124" s="136">
        <f t="shared" si="12"/>
        <v>0</v>
      </c>
      <c r="M124" s="284"/>
      <c r="N124" s="285"/>
      <c r="O124" s="136">
        <f t="shared" si="13"/>
        <v>0</v>
      </c>
      <c r="P124" s="85"/>
    </row>
    <row r="125" spans="1:16" x14ac:dyDescent="0.25">
      <c r="A125" s="276">
        <v>2270</v>
      </c>
      <c r="B125" s="127" t="s">
        <v>141</v>
      </c>
      <c r="C125" s="128">
        <f t="shared" si="9"/>
        <v>635</v>
      </c>
      <c r="D125" s="277">
        <f>SUM(D126:D130)</f>
        <v>80</v>
      </c>
      <c r="E125" s="278">
        <f>SUM(E126:E130)</f>
        <v>0</v>
      </c>
      <c r="F125" s="279">
        <f t="shared" si="10"/>
        <v>80</v>
      </c>
      <c r="G125" s="277">
        <f>SUM(G126:G130)</f>
        <v>0</v>
      </c>
      <c r="H125" s="280">
        <f>SUM(H126:H130)</f>
        <v>0</v>
      </c>
      <c r="I125" s="136">
        <f t="shared" si="11"/>
        <v>0</v>
      </c>
      <c r="J125" s="277">
        <f>SUM(J126:J130)</f>
        <v>555</v>
      </c>
      <c r="K125" s="280">
        <f>SUM(K126:K130)</f>
        <v>0</v>
      </c>
      <c r="L125" s="136">
        <f t="shared" si="12"/>
        <v>555</v>
      </c>
      <c r="M125" s="281">
        <f>SUM(M126:M130)</f>
        <v>0</v>
      </c>
      <c r="N125" s="282">
        <f>SUM(N126:N130)</f>
        <v>0</v>
      </c>
      <c r="O125" s="136">
        <f t="shared" si="13"/>
        <v>0</v>
      </c>
      <c r="P125" s="85"/>
    </row>
    <row r="126" spans="1:16" hidden="1" x14ac:dyDescent="0.25">
      <c r="A126" s="76">
        <v>2272</v>
      </c>
      <c r="B126" s="5" t="s">
        <v>142</v>
      </c>
      <c r="C126" s="128">
        <f t="shared" si="9"/>
        <v>0</v>
      </c>
      <c r="D126" s="134"/>
      <c r="E126" s="285"/>
      <c r="F126" s="286">
        <f t="shared" si="10"/>
        <v>0</v>
      </c>
      <c r="G126" s="134"/>
      <c r="H126" s="135"/>
      <c r="I126" s="136">
        <f t="shared" si="11"/>
        <v>0</v>
      </c>
      <c r="J126" s="134"/>
      <c r="K126" s="135"/>
      <c r="L126" s="136">
        <f t="shared" si="12"/>
        <v>0</v>
      </c>
      <c r="M126" s="284"/>
      <c r="N126" s="285"/>
      <c r="O126" s="136">
        <f t="shared" si="13"/>
        <v>0</v>
      </c>
      <c r="P126" s="85"/>
    </row>
    <row r="127" spans="1:16" ht="24" hidden="1" x14ac:dyDescent="0.25">
      <c r="A127" s="76">
        <v>2275</v>
      </c>
      <c r="B127" s="127" t="s">
        <v>143</v>
      </c>
      <c r="C127" s="128">
        <f t="shared" si="9"/>
        <v>0</v>
      </c>
      <c r="D127" s="134"/>
      <c r="E127" s="285"/>
      <c r="F127" s="286">
        <f t="shared" si="10"/>
        <v>0</v>
      </c>
      <c r="G127" s="134"/>
      <c r="H127" s="135"/>
      <c r="I127" s="136">
        <f t="shared" si="11"/>
        <v>0</v>
      </c>
      <c r="J127" s="134"/>
      <c r="K127" s="135"/>
      <c r="L127" s="136">
        <f t="shared" si="12"/>
        <v>0</v>
      </c>
      <c r="M127" s="284"/>
      <c r="N127" s="285"/>
      <c r="O127" s="136">
        <f t="shared" si="13"/>
        <v>0</v>
      </c>
      <c r="P127" s="85"/>
    </row>
    <row r="128" spans="1:16" ht="36" hidden="1" x14ac:dyDescent="0.25">
      <c r="A128" s="76">
        <v>2276</v>
      </c>
      <c r="B128" s="127" t="s">
        <v>144</v>
      </c>
      <c r="C128" s="128">
        <f t="shared" si="9"/>
        <v>0</v>
      </c>
      <c r="D128" s="134"/>
      <c r="E128" s="285"/>
      <c r="F128" s="286">
        <f t="shared" si="10"/>
        <v>0</v>
      </c>
      <c r="G128" s="134"/>
      <c r="H128" s="135"/>
      <c r="I128" s="136">
        <f t="shared" si="11"/>
        <v>0</v>
      </c>
      <c r="J128" s="134"/>
      <c r="K128" s="135"/>
      <c r="L128" s="136">
        <f t="shared" si="12"/>
        <v>0</v>
      </c>
      <c r="M128" s="284"/>
      <c r="N128" s="285"/>
      <c r="O128" s="136">
        <f t="shared" si="13"/>
        <v>0</v>
      </c>
      <c r="P128" s="85"/>
    </row>
    <row r="129" spans="1:16" ht="24" hidden="1" x14ac:dyDescent="0.25">
      <c r="A129" s="76">
        <v>2278</v>
      </c>
      <c r="B129" s="127" t="s">
        <v>145</v>
      </c>
      <c r="C129" s="128">
        <f t="shared" si="9"/>
        <v>0</v>
      </c>
      <c r="D129" s="134"/>
      <c r="E129" s="285"/>
      <c r="F129" s="286">
        <f t="shared" si="10"/>
        <v>0</v>
      </c>
      <c r="G129" s="134"/>
      <c r="H129" s="135"/>
      <c r="I129" s="136">
        <f t="shared" si="11"/>
        <v>0</v>
      </c>
      <c r="J129" s="134"/>
      <c r="K129" s="135"/>
      <c r="L129" s="136">
        <f t="shared" si="12"/>
        <v>0</v>
      </c>
      <c r="M129" s="284"/>
      <c r="N129" s="285"/>
      <c r="O129" s="136">
        <f t="shared" si="13"/>
        <v>0</v>
      </c>
      <c r="P129" s="85"/>
    </row>
    <row r="130" spans="1:16" ht="24" x14ac:dyDescent="0.25">
      <c r="A130" s="76">
        <v>2279</v>
      </c>
      <c r="B130" s="127" t="s">
        <v>146</v>
      </c>
      <c r="C130" s="128">
        <f t="shared" si="9"/>
        <v>635</v>
      </c>
      <c r="D130" s="134">
        <v>80</v>
      </c>
      <c r="E130" s="283"/>
      <c r="F130" s="279">
        <f t="shared" si="10"/>
        <v>80</v>
      </c>
      <c r="G130" s="134"/>
      <c r="H130" s="135"/>
      <c r="I130" s="136">
        <f t="shared" si="11"/>
        <v>0</v>
      </c>
      <c r="J130" s="134">
        <v>555</v>
      </c>
      <c r="K130" s="135"/>
      <c r="L130" s="136">
        <f t="shared" si="12"/>
        <v>555</v>
      </c>
      <c r="M130" s="284"/>
      <c r="N130" s="285"/>
      <c r="O130" s="136">
        <f t="shared" si="13"/>
        <v>0</v>
      </c>
      <c r="P130" s="85"/>
    </row>
    <row r="131" spans="1:16" ht="24" hidden="1" x14ac:dyDescent="0.25">
      <c r="A131" s="656">
        <v>2280</v>
      </c>
      <c r="B131" s="116" t="s">
        <v>147</v>
      </c>
      <c r="C131" s="128">
        <f t="shared" si="9"/>
        <v>0</v>
      </c>
      <c r="D131" s="297">
        <f t="shared" ref="D131:N131" si="14">SUM(D132)</f>
        <v>0</v>
      </c>
      <c r="E131" s="301">
        <f t="shared" si="14"/>
        <v>0</v>
      </c>
      <c r="F131" s="263">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row>
    <row r="132" spans="1:16" ht="24" hidden="1" x14ac:dyDescent="0.25">
      <c r="A132" s="76">
        <v>2283</v>
      </c>
      <c r="B132" s="127" t="s">
        <v>148</v>
      </c>
      <c r="C132" s="128">
        <f t="shared" si="9"/>
        <v>0</v>
      </c>
      <c r="D132" s="134"/>
      <c r="E132" s="285"/>
      <c r="F132" s="286">
        <f t="shared" si="10"/>
        <v>0</v>
      </c>
      <c r="G132" s="134"/>
      <c r="H132" s="135"/>
      <c r="I132" s="136">
        <f t="shared" si="11"/>
        <v>0</v>
      </c>
      <c r="J132" s="134"/>
      <c r="K132" s="135"/>
      <c r="L132" s="136">
        <f t="shared" si="12"/>
        <v>0</v>
      </c>
      <c r="M132" s="284"/>
      <c r="N132" s="285"/>
      <c r="O132" s="136">
        <f t="shared" si="13"/>
        <v>0</v>
      </c>
      <c r="P132" s="85"/>
    </row>
    <row r="133" spans="1:16" ht="36" x14ac:dyDescent="0.25">
      <c r="A133" s="99">
        <v>2300</v>
      </c>
      <c r="B133" s="247" t="s">
        <v>149</v>
      </c>
      <c r="C133" s="100">
        <f t="shared" si="9"/>
        <v>12761</v>
      </c>
      <c r="D133" s="112">
        <f>SUM(D134,D139,D143,D144,D147,D154,D162,D163,D166)</f>
        <v>9288</v>
      </c>
      <c r="E133" s="248">
        <f>SUM(E134,E139,E143,E144,E147,E154,E162,E163,E166)</f>
        <v>0</v>
      </c>
      <c r="F133" s="249">
        <f t="shared" si="10"/>
        <v>9288</v>
      </c>
      <c r="G133" s="112">
        <f>SUM(G134,G139,G143,G144,G147,G154,G162,G163,G166)</f>
        <v>605</v>
      </c>
      <c r="H133" s="113">
        <f>SUM(H134,H139,H143,H144,H147,H154,H162,H163,H166)</f>
        <v>0</v>
      </c>
      <c r="I133" s="114">
        <f t="shared" si="11"/>
        <v>605</v>
      </c>
      <c r="J133" s="112">
        <f>SUM(J134,J139,J143,J144,J147,J154,J162,J163,J166)</f>
        <v>2868</v>
      </c>
      <c r="K133" s="113">
        <f>SUM(K134,K139,K143,K144,K147,K154,K162,K163,K166)</f>
        <v>0</v>
      </c>
      <c r="L133" s="114">
        <f t="shared" si="12"/>
        <v>2868</v>
      </c>
      <c r="M133" s="292">
        <f>SUM(M134,M139,M143,M144,M147,M154,M162,M163,M166)</f>
        <v>0</v>
      </c>
      <c r="N133" s="293">
        <f>SUM(N134,N139,N143,N144,N147,N154,N162,N163,N166)</f>
        <v>0</v>
      </c>
      <c r="O133" s="114">
        <f t="shared" si="13"/>
        <v>0</v>
      </c>
      <c r="P133" s="109"/>
    </row>
    <row r="134" spans="1:16" ht="24" x14ac:dyDescent="0.25">
      <c r="A134" s="656">
        <v>2310</v>
      </c>
      <c r="B134" s="116" t="s">
        <v>150</v>
      </c>
      <c r="C134" s="117">
        <f t="shared" si="9"/>
        <v>4663</v>
      </c>
      <c r="D134" s="308">
        <f>SUM(D135:D138)</f>
        <v>4663</v>
      </c>
      <c r="E134" s="300">
        <f>SUM(E135:E138)</f>
        <v>0</v>
      </c>
      <c r="F134" s="296">
        <f t="shared" si="10"/>
        <v>4663</v>
      </c>
      <c r="G134" s="297">
        <f>SUM(G135:G138)</f>
        <v>0</v>
      </c>
      <c r="H134" s="299">
        <f>SUM(H135:H138)</f>
        <v>0</v>
      </c>
      <c r="I134" s="125">
        <f t="shared" si="11"/>
        <v>0</v>
      </c>
      <c r="J134" s="297">
        <f>SUM(J135:J138)</f>
        <v>0</v>
      </c>
      <c r="K134" s="299">
        <f>SUM(K135:K138)</f>
        <v>0</v>
      </c>
      <c r="L134" s="125">
        <f t="shared" si="12"/>
        <v>0</v>
      </c>
      <c r="M134" s="300">
        <f>SUM(M135:M138)</f>
        <v>0</v>
      </c>
      <c r="N134" s="301">
        <f>SUM(N135:N138)</f>
        <v>0</v>
      </c>
      <c r="O134" s="125">
        <f t="shared" si="13"/>
        <v>0</v>
      </c>
      <c r="P134" s="74"/>
    </row>
    <row r="135" spans="1:16" x14ac:dyDescent="0.25">
      <c r="A135" s="265">
        <v>2311</v>
      </c>
      <c r="B135" s="266" t="s">
        <v>151</v>
      </c>
      <c r="C135" s="267">
        <f t="shared" si="9"/>
        <v>804</v>
      </c>
      <c r="D135" s="268">
        <v>804</v>
      </c>
      <c r="E135" s="269"/>
      <c r="F135" s="270">
        <f t="shared" si="10"/>
        <v>804</v>
      </c>
      <c r="G135" s="268"/>
      <c r="H135" s="271"/>
      <c r="I135" s="272">
        <f t="shared" si="11"/>
        <v>0</v>
      </c>
      <c r="J135" s="268"/>
      <c r="K135" s="271"/>
      <c r="L135" s="272">
        <f t="shared" si="12"/>
        <v>0</v>
      </c>
      <c r="M135" s="273"/>
      <c r="N135" s="274"/>
      <c r="O135" s="272">
        <f t="shared" si="13"/>
        <v>0</v>
      </c>
      <c r="P135" s="275"/>
    </row>
    <row r="136" spans="1:16" x14ac:dyDescent="0.25">
      <c r="A136" s="265">
        <v>2312</v>
      </c>
      <c r="B136" s="266" t="s">
        <v>152</v>
      </c>
      <c r="C136" s="267">
        <f t="shared" si="9"/>
        <v>3759</v>
      </c>
      <c r="D136" s="268">
        <v>3759</v>
      </c>
      <c r="E136" s="269"/>
      <c r="F136" s="270">
        <f t="shared" si="10"/>
        <v>3759</v>
      </c>
      <c r="G136" s="268"/>
      <c r="H136" s="271"/>
      <c r="I136" s="272">
        <f t="shared" si="11"/>
        <v>0</v>
      </c>
      <c r="J136" s="268"/>
      <c r="K136" s="271"/>
      <c r="L136" s="272">
        <f t="shared" si="12"/>
        <v>0</v>
      </c>
      <c r="M136" s="273"/>
      <c r="N136" s="274"/>
      <c r="O136" s="272">
        <f t="shared" si="13"/>
        <v>0</v>
      </c>
      <c r="P136" s="275"/>
    </row>
    <row r="137" spans="1:16" x14ac:dyDescent="0.25">
      <c r="A137" s="76">
        <v>2313</v>
      </c>
      <c r="B137" s="127" t="s">
        <v>153</v>
      </c>
      <c r="C137" s="128">
        <f t="shared" si="9"/>
        <v>100</v>
      </c>
      <c r="D137" s="134">
        <v>100</v>
      </c>
      <c r="E137" s="283"/>
      <c r="F137" s="279">
        <f t="shared" si="10"/>
        <v>100</v>
      </c>
      <c r="G137" s="134"/>
      <c r="H137" s="135"/>
      <c r="I137" s="136">
        <f t="shared" si="11"/>
        <v>0</v>
      </c>
      <c r="J137" s="134"/>
      <c r="K137" s="135"/>
      <c r="L137" s="136">
        <f t="shared" si="12"/>
        <v>0</v>
      </c>
      <c r="M137" s="284"/>
      <c r="N137" s="285"/>
      <c r="O137" s="136">
        <f t="shared" si="13"/>
        <v>0</v>
      </c>
      <c r="P137" s="85"/>
    </row>
    <row r="138" spans="1:16" ht="36" hidden="1" x14ac:dyDescent="0.25">
      <c r="A138" s="76">
        <v>2314</v>
      </c>
      <c r="B138" s="127" t="s">
        <v>154</v>
      </c>
      <c r="C138" s="128">
        <f t="shared" si="9"/>
        <v>0</v>
      </c>
      <c r="D138" s="134"/>
      <c r="E138" s="285"/>
      <c r="F138" s="286">
        <f t="shared" si="10"/>
        <v>0</v>
      </c>
      <c r="G138" s="134"/>
      <c r="H138" s="135"/>
      <c r="I138" s="136">
        <f t="shared" si="11"/>
        <v>0</v>
      </c>
      <c r="J138" s="134"/>
      <c r="K138" s="135"/>
      <c r="L138" s="136">
        <f t="shared" si="12"/>
        <v>0</v>
      </c>
      <c r="M138" s="284"/>
      <c r="N138" s="285"/>
      <c r="O138" s="136">
        <f t="shared" si="13"/>
        <v>0</v>
      </c>
      <c r="P138" s="85"/>
    </row>
    <row r="139" spans="1:16" x14ac:dyDescent="0.25">
      <c r="A139" s="276">
        <v>2320</v>
      </c>
      <c r="B139" s="127" t="s">
        <v>155</v>
      </c>
      <c r="C139" s="128">
        <f t="shared" si="9"/>
        <v>72</v>
      </c>
      <c r="D139" s="277">
        <f>SUM(D140:D142)</f>
        <v>72</v>
      </c>
      <c r="E139" s="278">
        <f>SUM(E140:E142)</f>
        <v>0</v>
      </c>
      <c r="F139" s="279">
        <f t="shared" si="10"/>
        <v>72</v>
      </c>
      <c r="G139" s="277">
        <f>SUM(G140:G142)</f>
        <v>0</v>
      </c>
      <c r="H139" s="280">
        <f>SUM(H140:H142)</f>
        <v>0</v>
      </c>
      <c r="I139" s="136">
        <f t="shared" si="11"/>
        <v>0</v>
      </c>
      <c r="J139" s="277">
        <f>SUM(J140:J142)</f>
        <v>0</v>
      </c>
      <c r="K139" s="280">
        <f>SUM(K140:K142)</f>
        <v>0</v>
      </c>
      <c r="L139" s="136">
        <f t="shared" si="12"/>
        <v>0</v>
      </c>
      <c r="M139" s="281">
        <f>SUM(M140:M142)</f>
        <v>0</v>
      </c>
      <c r="N139" s="282">
        <f>SUM(N140:N142)</f>
        <v>0</v>
      </c>
      <c r="O139" s="136">
        <f t="shared" si="13"/>
        <v>0</v>
      </c>
      <c r="P139" s="85"/>
    </row>
    <row r="140" spans="1:16" hidden="1" x14ac:dyDescent="0.25">
      <c r="A140" s="76">
        <v>2321</v>
      </c>
      <c r="B140" s="127" t="s">
        <v>156</v>
      </c>
      <c r="C140" s="128">
        <f t="shared" si="9"/>
        <v>0</v>
      </c>
      <c r="D140" s="134"/>
      <c r="E140" s="285"/>
      <c r="F140" s="286">
        <f t="shared" si="10"/>
        <v>0</v>
      </c>
      <c r="G140" s="134"/>
      <c r="H140" s="135"/>
      <c r="I140" s="136">
        <f t="shared" si="11"/>
        <v>0</v>
      </c>
      <c r="J140" s="134"/>
      <c r="K140" s="135"/>
      <c r="L140" s="136">
        <f t="shared" si="12"/>
        <v>0</v>
      </c>
      <c r="M140" s="284"/>
      <c r="N140" s="285"/>
      <c r="O140" s="136">
        <f t="shared" si="13"/>
        <v>0</v>
      </c>
      <c r="P140" s="85"/>
    </row>
    <row r="141" spans="1:16" x14ac:dyDescent="0.25">
      <c r="A141" s="76">
        <v>2322</v>
      </c>
      <c r="B141" s="127" t="s">
        <v>157</v>
      </c>
      <c r="C141" s="128">
        <f t="shared" si="9"/>
        <v>72</v>
      </c>
      <c r="D141" s="134">
        <v>72</v>
      </c>
      <c r="E141" s="283"/>
      <c r="F141" s="279">
        <f t="shared" si="10"/>
        <v>72</v>
      </c>
      <c r="G141" s="134"/>
      <c r="H141" s="135"/>
      <c r="I141" s="136">
        <f t="shared" si="11"/>
        <v>0</v>
      </c>
      <c r="J141" s="134"/>
      <c r="K141" s="135"/>
      <c r="L141" s="136">
        <f t="shared" si="12"/>
        <v>0</v>
      </c>
      <c r="M141" s="284"/>
      <c r="N141" s="285"/>
      <c r="O141" s="136">
        <f t="shared" si="13"/>
        <v>0</v>
      </c>
      <c r="P141" s="85"/>
    </row>
    <row r="142" spans="1:16" hidden="1" x14ac:dyDescent="0.25">
      <c r="A142" s="76">
        <v>2329</v>
      </c>
      <c r="B142" s="127" t="s">
        <v>158</v>
      </c>
      <c r="C142" s="128">
        <f t="shared" si="9"/>
        <v>0</v>
      </c>
      <c r="D142" s="134"/>
      <c r="E142" s="285"/>
      <c r="F142" s="286">
        <f t="shared" si="10"/>
        <v>0</v>
      </c>
      <c r="G142" s="134"/>
      <c r="H142" s="135"/>
      <c r="I142" s="136">
        <f t="shared" si="11"/>
        <v>0</v>
      </c>
      <c r="J142" s="134"/>
      <c r="K142" s="135"/>
      <c r="L142" s="136">
        <f t="shared" si="12"/>
        <v>0</v>
      </c>
      <c r="M142" s="284"/>
      <c r="N142" s="285"/>
      <c r="O142" s="136">
        <f t="shared" si="13"/>
        <v>0</v>
      </c>
      <c r="P142" s="85"/>
    </row>
    <row r="143" spans="1:16" hidden="1" x14ac:dyDescent="0.25">
      <c r="A143" s="276">
        <v>2330</v>
      </c>
      <c r="B143" s="127" t="s">
        <v>159</v>
      </c>
      <c r="C143" s="128">
        <f t="shared" si="9"/>
        <v>0</v>
      </c>
      <c r="D143" s="134"/>
      <c r="E143" s="285"/>
      <c r="F143" s="286">
        <f t="shared" si="10"/>
        <v>0</v>
      </c>
      <c r="G143" s="134"/>
      <c r="H143" s="135"/>
      <c r="I143" s="136">
        <f t="shared" si="11"/>
        <v>0</v>
      </c>
      <c r="J143" s="134"/>
      <c r="K143" s="135"/>
      <c r="L143" s="136">
        <f t="shared" si="12"/>
        <v>0</v>
      </c>
      <c r="M143" s="284"/>
      <c r="N143" s="285"/>
      <c r="O143" s="136">
        <f t="shared" si="13"/>
        <v>0</v>
      </c>
      <c r="P143" s="85"/>
    </row>
    <row r="144" spans="1:16" ht="48" x14ac:dyDescent="0.25">
      <c r="A144" s="276">
        <v>2340</v>
      </c>
      <c r="B144" s="127" t="s">
        <v>160</v>
      </c>
      <c r="C144" s="128">
        <f t="shared" si="9"/>
        <v>214</v>
      </c>
      <c r="D144" s="277">
        <f>SUM(D145:D146)</f>
        <v>214</v>
      </c>
      <c r="E144" s="278">
        <f>SUM(E145:E146)</f>
        <v>0</v>
      </c>
      <c r="F144" s="279">
        <f t="shared" si="10"/>
        <v>214</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row>
    <row r="145" spans="1:16" x14ac:dyDescent="0.25">
      <c r="A145" s="76">
        <v>2341</v>
      </c>
      <c r="B145" s="127" t="s">
        <v>161</v>
      </c>
      <c r="C145" s="128">
        <f t="shared" si="9"/>
        <v>214</v>
      </c>
      <c r="D145" s="134">
        <v>214</v>
      </c>
      <c r="E145" s="283"/>
      <c r="F145" s="279">
        <f t="shared" si="10"/>
        <v>214</v>
      </c>
      <c r="G145" s="134"/>
      <c r="H145" s="135"/>
      <c r="I145" s="136">
        <f t="shared" si="11"/>
        <v>0</v>
      </c>
      <c r="J145" s="134"/>
      <c r="K145" s="135"/>
      <c r="L145" s="136">
        <f t="shared" si="12"/>
        <v>0</v>
      </c>
      <c r="M145" s="284"/>
      <c r="N145" s="285"/>
      <c r="O145" s="136">
        <f t="shared" si="13"/>
        <v>0</v>
      </c>
      <c r="P145" s="85"/>
    </row>
    <row r="146" spans="1:16" ht="24" hidden="1" x14ac:dyDescent="0.25">
      <c r="A146" s="76">
        <v>2344</v>
      </c>
      <c r="B146" s="127" t="s">
        <v>162</v>
      </c>
      <c r="C146" s="128">
        <f t="shared" si="9"/>
        <v>0</v>
      </c>
      <c r="D146" s="134"/>
      <c r="E146" s="285"/>
      <c r="F146" s="286">
        <f t="shared" si="10"/>
        <v>0</v>
      </c>
      <c r="G146" s="134"/>
      <c r="H146" s="135"/>
      <c r="I146" s="136">
        <f t="shared" si="11"/>
        <v>0</v>
      </c>
      <c r="J146" s="134"/>
      <c r="K146" s="135"/>
      <c r="L146" s="136">
        <f t="shared" si="12"/>
        <v>0</v>
      </c>
      <c r="M146" s="284"/>
      <c r="N146" s="285"/>
      <c r="O146" s="136">
        <f t="shared" si="13"/>
        <v>0</v>
      </c>
      <c r="P146" s="85"/>
    </row>
    <row r="147" spans="1:16" ht="24" x14ac:dyDescent="0.25">
      <c r="A147" s="254">
        <v>2350</v>
      </c>
      <c r="B147" s="179" t="s">
        <v>163</v>
      </c>
      <c r="C147" s="128">
        <f t="shared" si="9"/>
        <v>3016</v>
      </c>
      <c r="D147" s="255">
        <f>SUM(D148:D153)</f>
        <v>3016</v>
      </c>
      <c r="E147" s="256">
        <f>SUM(E148:E153)</f>
        <v>0</v>
      </c>
      <c r="F147" s="257">
        <f t="shared" si="10"/>
        <v>3016</v>
      </c>
      <c r="G147" s="255">
        <f>SUM(G148:G153)</f>
        <v>0</v>
      </c>
      <c r="H147" s="258">
        <f>SUM(H148:H153)</f>
        <v>0</v>
      </c>
      <c r="I147" s="259">
        <f t="shared" si="11"/>
        <v>0</v>
      </c>
      <c r="J147" s="255">
        <f>SUM(J148:J153)</f>
        <v>0</v>
      </c>
      <c r="K147" s="258">
        <f>SUM(K148:K153)</f>
        <v>0</v>
      </c>
      <c r="L147" s="259">
        <f t="shared" si="12"/>
        <v>0</v>
      </c>
      <c r="M147" s="260">
        <f>SUM(M148:M153)</f>
        <v>0</v>
      </c>
      <c r="N147" s="261">
        <f>SUM(N148:N153)</f>
        <v>0</v>
      </c>
      <c r="O147" s="259">
        <f t="shared" si="13"/>
        <v>0</v>
      </c>
      <c r="P147" s="189"/>
    </row>
    <row r="148" spans="1:16" x14ac:dyDescent="0.25">
      <c r="A148" s="66">
        <v>2351</v>
      </c>
      <c r="B148" s="116" t="s">
        <v>164</v>
      </c>
      <c r="C148" s="128">
        <f t="shared" si="9"/>
        <v>770</v>
      </c>
      <c r="D148" s="123">
        <v>770</v>
      </c>
      <c r="E148" s="295"/>
      <c r="F148" s="296">
        <f t="shared" si="10"/>
        <v>770</v>
      </c>
      <c r="G148" s="123"/>
      <c r="H148" s="124"/>
      <c r="I148" s="125">
        <f t="shared" si="11"/>
        <v>0</v>
      </c>
      <c r="J148" s="123"/>
      <c r="K148" s="124"/>
      <c r="L148" s="125">
        <f t="shared" si="12"/>
        <v>0</v>
      </c>
      <c r="M148" s="264"/>
      <c r="N148" s="262"/>
      <c r="O148" s="125">
        <f t="shared" si="13"/>
        <v>0</v>
      </c>
      <c r="P148" s="74"/>
    </row>
    <row r="149" spans="1:16" x14ac:dyDescent="0.25">
      <c r="A149" s="76">
        <v>2352</v>
      </c>
      <c r="B149" s="127" t="s">
        <v>165</v>
      </c>
      <c r="C149" s="128">
        <f t="shared" si="9"/>
        <v>2246</v>
      </c>
      <c r="D149" s="134">
        <v>2246</v>
      </c>
      <c r="E149" s="283"/>
      <c r="F149" s="279">
        <f t="shared" si="10"/>
        <v>2246</v>
      </c>
      <c r="G149" s="134"/>
      <c r="H149" s="135"/>
      <c r="I149" s="136">
        <f t="shared" si="11"/>
        <v>0</v>
      </c>
      <c r="J149" s="134"/>
      <c r="K149" s="135"/>
      <c r="L149" s="136">
        <f t="shared" si="12"/>
        <v>0</v>
      </c>
      <c r="M149" s="284"/>
      <c r="N149" s="285"/>
      <c r="O149" s="136">
        <f t="shared" si="13"/>
        <v>0</v>
      </c>
      <c r="P149" s="85"/>
    </row>
    <row r="150" spans="1:16" ht="24" hidden="1" x14ac:dyDescent="0.25">
      <c r="A150" s="76">
        <v>2353</v>
      </c>
      <c r="B150" s="127" t="s">
        <v>166</v>
      </c>
      <c r="C150" s="128">
        <f t="shared" si="9"/>
        <v>0</v>
      </c>
      <c r="D150" s="134"/>
      <c r="E150" s="285"/>
      <c r="F150" s="286">
        <f t="shared" si="10"/>
        <v>0</v>
      </c>
      <c r="G150" s="134"/>
      <c r="H150" s="135"/>
      <c r="I150" s="136">
        <f t="shared" si="11"/>
        <v>0</v>
      </c>
      <c r="J150" s="134"/>
      <c r="K150" s="135"/>
      <c r="L150" s="136">
        <f t="shared" si="12"/>
        <v>0</v>
      </c>
      <c r="M150" s="284"/>
      <c r="N150" s="285"/>
      <c r="O150" s="136">
        <f t="shared" si="13"/>
        <v>0</v>
      </c>
      <c r="P150" s="85"/>
    </row>
    <row r="151" spans="1:16" ht="24" hidden="1" x14ac:dyDescent="0.25">
      <c r="A151" s="76">
        <v>2354</v>
      </c>
      <c r="B151" s="127" t="s">
        <v>167</v>
      </c>
      <c r="C151" s="128">
        <f t="shared" si="9"/>
        <v>0</v>
      </c>
      <c r="D151" s="134"/>
      <c r="E151" s="285"/>
      <c r="F151" s="286">
        <f t="shared" si="10"/>
        <v>0</v>
      </c>
      <c r="G151" s="134"/>
      <c r="H151" s="135"/>
      <c r="I151" s="136">
        <f t="shared" si="11"/>
        <v>0</v>
      </c>
      <c r="J151" s="134"/>
      <c r="K151" s="135"/>
      <c r="L151" s="136">
        <f t="shared" si="12"/>
        <v>0</v>
      </c>
      <c r="M151" s="284"/>
      <c r="N151" s="285"/>
      <c r="O151" s="136">
        <f t="shared" si="13"/>
        <v>0</v>
      </c>
      <c r="P151" s="85"/>
    </row>
    <row r="152" spans="1:16" ht="24" hidden="1" x14ac:dyDescent="0.25">
      <c r="A152" s="76">
        <v>2355</v>
      </c>
      <c r="B152" s="127" t="s">
        <v>168</v>
      </c>
      <c r="C152" s="128">
        <f t="shared" si="9"/>
        <v>0</v>
      </c>
      <c r="D152" s="134"/>
      <c r="E152" s="285"/>
      <c r="F152" s="286">
        <f t="shared" si="10"/>
        <v>0</v>
      </c>
      <c r="G152" s="134"/>
      <c r="H152" s="135"/>
      <c r="I152" s="136">
        <f t="shared" si="11"/>
        <v>0</v>
      </c>
      <c r="J152" s="134"/>
      <c r="K152" s="135"/>
      <c r="L152" s="136">
        <f t="shared" si="12"/>
        <v>0</v>
      </c>
      <c r="M152" s="284"/>
      <c r="N152" s="285"/>
      <c r="O152" s="136">
        <f t="shared" si="13"/>
        <v>0</v>
      </c>
      <c r="P152" s="85"/>
    </row>
    <row r="153" spans="1:16" ht="24" hidden="1" x14ac:dyDescent="0.25">
      <c r="A153" s="76">
        <v>2359</v>
      </c>
      <c r="B153" s="127" t="s">
        <v>169</v>
      </c>
      <c r="C153" s="128">
        <f t="shared" si="9"/>
        <v>0</v>
      </c>
      <c r="D153" s="134"/>
      <c r="E153" s="285"/>
      <c r="F153" s="286">
        <f t="shared" si="10"/>
        <v>0</v>
      </c>
      <c r="G153" s="134"/>
      <c r="H153" s="135"/>
      <c r="I153" s="136">
        <f t="shared" si="11"/>
        <v>0</v>
      </c>
      <c r="J153" s="134"/>
      <c r="K153" s="135"/>
      <c r="L153" s="136">
        <f t="shared" si="12"/>
        <v>0</v>
      </c>
      <c r="M153" s="284"/>
      <c r="N153" s="285"/>
      <c r="O153" s="136">
        <f t="shared" si="13"/>
        <v>0</v>
      </c>
      <c r="P153" s="85"/>
    </row>
    <row r="154" spans="1:16" ht="24" x14ac:dyDescent="0.25">
      <c r="A154" s="276">
        <v>2360</v>
      </c>
      <c r="B154" s="127" t="s">
        <v>170</v>
      </c>
      <c r="C154" s="128">
        <f t="shared" si="9"/>
        <v>3368</v>
      </c>
      <c r="D154" s="277">
        <f>SUM(D155:D161)</f>
        <v>500</v>
      </c>
      <c r="E154" s="278">
        <f>SUM(E155:E161)</f>
        <v>0</v>
      </c>
      <c r="F154" s="279">
        <f t="shared" si="10"/>
        <v>500</v>
      </c>
      <c r="G154" s="277">
        <f>SUM(G155:G161)</f>
        <v>0</v>
      </c>
      <c r="H154" s="280">
        <f>SUM(H155:H161)</f>
        <v>0</v>
      </c>
      <c r="I154" s="136">
        <f t="shared" si="11"/>
        <v>0</v>
      </c>
      <c r="J154" s="277">
        <f>SUM(J155:J161)</f>
        <v>2868</v>
      </c>
      <c r="K154" s="280">
        <f>SUM(K155:K161)</f>
        <v>0</v>
      </c>
      <c r="L154" s="136">
        <f t="shared" si="12"/>
        <v>2868</v>
      </c>
      <c r="M154" s="281">
        <f>SUM(M155:M161)</f>
        <v>0</v>
      </c>
      <c r="N154" s="282">
        <f>SUM(N155:N161)</f>
        <v>0</v>
      </c>
      <c r="O154" s="136">
        <f t="shared" si="13"/>
        <v>0</v>
      </c>
      <c r="P154" s="85"/>
    </row>
    <row r="155" spans="1:16" x14ac:dyDescent="0.25">
      <c r="A155" s="75">
        <v>2361</v>
      </c>
      <c r="B155" s="127" t="s">
        <v>171</v>
      </c>
      <c r="C155" s="128">
        <f t="shared" si="9"/>
        <v>400</v>
      </c>
      <c r="D155" s="134">
        <v>400</v>
      </c>
      <c r="E155" s="283"/>
      <c r="F155" s="279">
        <f t="shared" si="10"/>
        <v>400</v>
      </c>
      <c r="G155" s="134"/>
      <c r="H155" s="135"/>
      <c r="I155" s="136">
        <f t="shared" si="11"/>
        <v>0</v>
      </c>
      <c r="J155" s="134"/>
      <c r="K155" s="135"/>
      <c r="L155" s="136">
        <f t="shared" si="12"/>
        <v>0</v>
      </c>
      <c r="M155" s="284"/>
      <c r="N155" s="285"/>
      <c r="O155" s="136">
        <f t="shared" si="13"/>
        <v>0</v>
      </c>
      <c r="P155" s="85"/>
    </row>
    <row r="156" spans="1:16" ht="24" x14ac:dyDescent="0.25">
      <c r="A156" s="75">
        <v>2362</v>
      </c>
      <c r="B156" s="127" t="s">
        <v>172</v>
      </c>
      <c r="C156" s="128">
        <f t="shared" si="9"/>
        <v>100</v>
      </c>
      <c r="D156" s="134">
        <v>100</v>
      </c>
      <c r="E156" s="283"/>
      <c r="F156" s="279">
        <f t="shared" si="10"/>
        <v>100</v>
      </c>
      <c r="G156" s="134"/>
      <c r="H156" s="135"/>
      <c r="I156" s="136">
        <f t="shared" si="11"/>
        <v>0</v>
      </c>
      <c r="J156" s="134"/>
      <c r="K156" s="135"/>
      <c r="L156" s="136">
        <f t="shared" si="12"/>
        <v>0</v>
      </c>
      <c r="M156" s="284"/>
      <c r="N156" s="285"/>
      <c r="O156" s="136">
        <f t="shared" si="13"/>
        <v>0</v>
      </c>
      <c r="P156" s="85"/>
    </row>
    <row r="157" spans="1:16" x14ac:dyDescent="0.25">
      <c r="A157" s="781">
        <v>2363</v>
      </c>
      <c r="B157" s="266" t="s">
        <v>173</v>
      </c>
      <c r="C157" s="267">
        <f t="shared" si="9"/>
        <v>2868</v>
      </c>
      <c r="D157" s="268"/>
      <c r="E157" s="269"/>
      <c r="F157" s="270">
        <f t="shared" si="10"/>
        <v>0</v>
      </c>
      <c r="G157" s="268"/>
      <c r="H157" s="271"/>
      <c r="I157" s="272">
        <f t="shared" si="11"/>
        <v>0</v>
      </c>
      <c r="J157" s="941">
        <v>2868</v>
      </c>
      <c r="K157" s="271"/>
      <c r="L157" s="272">
        <f t="shared" si="12"/>
        <v>2868</v>
      </c>
      <c r="M157" s="273"/>
      <c r="N157" s="274"/>
      <c r="O157" s="272">
        <f t="shared" si="13"/>
        <v>0</v>
      </c>
      <c r="P157" s="275"/>
    </row>
    <row r="158" spans="1:16" hidden="1" x14ac:dyDescent="0.25">
      <c r="A158" s="75">
        <v>2364</v>
      </c>
      <c r="B158" s="127" t="s">
        <v>174</v>
      </c>
      <c r="C158" s="128">
        <f t="shared" si="9"/>
        <v>0</v>
      </c>
      <c r="D158" s="134"/>
      <c r="E158" s="285"/>
      <c r="F158" s="286">
        <f t="shared" si="10"/>
        <v>0</v>
      </c>
      <c r="G158" s="134"/>
      <c r="H158" s="135"/>
      <c r="I158" s="136">
        <f t="shared" si="11"/>
        <v>0</v>
      </c>
      <c r="J158" s="134"/>
      <c r="K158" s="135"/>
      <c r="L158" s="136">
        <f t="shared" si="12"/>
        <v>0</v>
      </c>
      <c r="M158" s="284"/>
      <c r="N158" s="285"/>
      <c r="O158" s="136">
        <f t="shared" si="13"/>
        <v>0</v>
      </c>
      <c r="P158" s="85"/>
    </row>
    <row r="159" spans="1:16" hidden="1" x14ac:dyDescent="0.25">
      <c r="A159" s="75">
        <v>2365</v>
      </c>
      <c r="B159" s="127" t="s">
        <v>175</v>
      </c>
      <c r="C159" s="128">
        <f t="shared" si="9"/>
        <v>0</v>
      </c>
      <c r="D159" s="134"/>
      <c r="E159" s="285"/>
      <c r="F159" s="286">
        <f t="shared" si="10"/>
        <v>0</v>
      </c>
      <c r="G159" s="134"/>
      <c r="H159" s="135"/>
      <c r="I159" s="136">
        <f t="shared" si="11"/>
        <v>0</v>
      </c>
      <c r="J159" s="134"/>
      <c r="K159" s="135"/>
      <c r="L159" s="136">
        <f t="shared" si="12"/>
        <v>0</v>
      </c>
      <c r="M159" s="284"/>
      <c r="N159" s="285"/>
      <c r="O159" s="136">
        <f t="shared" si="13"/>
        <v>0</v>
      </c>
      <c r="P159" s="85"/>
    </row>
    <row r="160" spans="1:16" ht="36" hidden="1" x14ac:dyDescent="0.25">
      <c r="A160" s="75">
        <v>2366</v>
      </c>
      <c r="B160" s="127" t="s">
        <v>176</v>
      </c>
      <c r="C160" s="128">
        <f t="shared" si="9"/>
        <v>0</v>
      </c>
      <c r="D160" s="134"/>
      <c r="E160" s="285"/>
      <c r="F160" s="286">
        <f t="shared" si="10"/>
        <v>0</v>
      </c>
      <c r="G160" s="134"/>
      <c r="H160" s="135"/>
      <c r="I160" s="136">
        <f t="shared" si="11"/>
        <v>0</v>
      </c>
      <c r="J160" s="134"/>
      <c r="K160" s="135"/>
      <c r="L160" s="136">
        <f t="shared" si="12"/>
        <v>0</v>
      </c>
      <c r="M160" s="284"/>
      <c r="N160" s="285"/>
      <c r="O160" s="136">
        <f t="shared" si="13"/>
        <v>0</v>
      </c>
      <c r="P160" s="85"/>
    </row>
    <row r="161" spans="1:16" ht="48" hidden="1" x14ac:dyDescent="0.25">
      <c r="A161" s="75">
        <v>2369</v>
      </c>
      <c r="B161" s="127" t="s">
        <v>177</v>
      </c>
      <c r="C161" s="128">
        <f t="shared" si="9"/>
        <v>0</v>
      </c>
      <c r="D161" s="134"/>
      <c r="E161" s="285"/>
      <c r="F161" s="286">
        <f t="shared" si="10"/>
        <v>0</v>
      </c>
      <c r="G161" s="134"/>
      <c r="H161" s="135"/>
      <c r="I161" s="136">
        <f t="shared" si="11"/>
        <v>0</v>
      </c>
      <c r="J161" s="134"/>
      <c r="K161" s="135"/>
      <c r="L161" s="136">
        <f t="shared" si="12"/>
        <v>0</v>
      </c>
      <c r="M161" s="284"/>
      <c r="N161" s="285"/>
      <c r="O161" s="136">
        <f t="shared" si="13"/>
        <v>0</v>
      </c>
      <c r="P161" s="85"/>
    </row>
    <row r="162" spans="1:16" x14ac:dyDescent="0.25">
      <c r="A162" s="254">
        <v>2370</v>
      </c>
      <c r="B162" s="179" t="s">
        <v>178</v>
      </c>
      <c r="C162" s="128">
        <f t="shared" si="9"/>
        <v>1198</v>
      </c>
      <c r="D162" s="287">
        <v>593</v>
      </c>
      <c r="E162" s="288"/>
      <c r="F162" s="257">
        <f t="shared" si="10"/>
        <v>593</v>
      </c>
      <c r="G162" s="287">
        <v>605</v>
      </c>
      <c r="H162" s="289"/>
      <c r="I162" s="259">
        <f t="shared" si="11"/>
        <v>605</v>
      </c>
      <c r="J162" s="287"/>
      <c r="K162" s="289"/>
      <c r="L162" s="259">
        <f t="shared" si="12"/>
        <v>0</v>
      </c>
      <c r="M162" s="290"/>
      <c r="N162" s="291"/>
      <c r="O162" s="259">
        <f t="shared" si="13"/>
        <v>0</v>
      </c>
      <c r="P162" s="189"/>
    </row>
    <row r="163" spans="1:16" x14ac:dyDescent="0.25">
      <c r="A163" s="254">
        <v>2380</v>
      </c>
      <c r="B163" s="179" t="s">
        <v>179</v>
      </c>
      <c r="C163" s="128">
        <f t="shared" si="9"/>
        <v>30</v>
      </c>
      <c r="D163" s="255">
        <f>SUM(D164:D165)</f>
        <v>30</v>
      </c>
      <c r="E163" s="256">
        <f>SUM(E164:E165)</f>
        <v>0</v>
      </c>
      <c r="F163" s="257">
        <f t="shared" si="10"/>
        <v>30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row>
    <row r="164" spans="1:16" hidden="1" x14ac:dyDescent="0.25">
      <c r="A164" s="65">
        <v>2381</v>
      </c>
      <c r="B164" s="116" t="s">
        <v>180</v>
      </c>
      <c r="C164" s="128">
        <f t="shared" si="9"/>
        <v>0</v>
      </c>
      <c r="D164" s="123"/>
      <c r="E164" s="262"/>
      <c r="F164" s="263">
        <f t="shared" si="10"/>
        <v>0</v>
      </c>
      <c r="G164" s="123"/>
      <c r="H164" s="124"/>
      <c r="I164" s="125">
        <f t="shared" si="11"/>
        <v>0</v>
      </c>
      <c r="J164" s="123"/>
      <c r="K164" s="124"/>
      <c r="L164" s="125">
        <f t="shared" si="12"/>
        <v>0</v>
      </c>
      <c r="M164" s="264"/>
      <c r="N164" s="262"/>
      <c r="O164" s="125">
        <f t="shared" si="13"/>
        <v>0</v>
      </c>
      <c r="P164" s="74"/>
    </row>
    <row r="165" spans="1:16" ht="24" x14ac:dyDescent="0.25">
      <c r="A165" s="75">
        <v>2389</v>
      </c>
      <c r="B165" s="127" t="s">
        <v>181</v>
      </c>
      <c r="C165" s="128">
        <f t="shared" si="9"/>
        <v>30</v>
      </c>
      <c r="D165" s="134">
        <v>30</v>
      </c>
      <c r="E165" s="283"/>
      <c r="F165" s="279">
        <f t="shared" si="10"/>
        <v>30</v>
      </c>
      <c r="G165" s="134"/>
      <c r="H165" s="135"/>
      <c r="I165" s="136">
        <f t="shared" si="11"/>
        <v>0</v>
      </c>
      <c r="J165" s="134"/>
      <c r="K165" s="135"/>
      <c r="L165" s="136">
        <f t="shared" si="12"/>
        <v>0</v>
      </c>
      <c r="M165" s="284"/>
      <c r="N165" s="285"/>
      <c r="O165" s="136">
        <f t="shared" si="13"/>
        <v>0</v>
      </c>
      <c r="P165" s="85"/>
    </row>
    <row r="166" spans="1:16" x14ac:dyDescent="0.25">
      <c r="A166" s="254">
        <v>2390</v>
      </c>
      <c r="B166" s="179" t="s">
        <v>182</v>
      </c>
      <c r="C166" s="128">
        <f t="shared" si="9"/>
        <v>200</v>
      </c>
      <c r="D166" s="287">
        <v>200</v>
      </c>
      <c r="E166" s="288"/>
      <c r="F166" s="257">
        <f t="shared" si="10"/>
        <v>200</v>
      </c>
      <c r="G166" s="287"/>
      <c r="H166" s="289"/>
      <c r="I166" s="259">
        <f t="shared" si="11"/>
        <v>0</v>
      </c>
      <c r="J166" s="287"/>
      <c r="K166" s="289"/>
      <c r="L166" s="259">
        <f t="shared" si="12"/>
        <v>0</v>
      </c>
      <c r="M166" s="290"/>
      <c r="N166" s="291"/>
      <c r="O166" s="259">
        <f t="shared" si="13"/>
        <v>0</v>
      </c>
      <c r="P166" s="189"/>
    </row>
    <row r="167" spans="1:16" hidden="1" x14ac:dyDescent="0.25">
      <c r="A167" s="99">
        <v>2400</v>
      </c>
      <c r="B167" s="247" t="s">
        <v>183</v>
      </c>
      <c r="C167" s="100">
        <f t="shared" si="9"/>
        <v>0</v>
      </c>
      <c r="D167" s="311"/>
      <c r="E167" s="312"/>
      <c r="F167" s="313">
        <f t="shared" si="10"/>
        <v>0</v>
      </c>
      <c r="G167" s="311"/>
      <c r="H167" s="314"/>
      <c r="I167" s="114">
        <f t="shared" si="11"/>
        <v>0</v>
      </c>
      <c r="J167" s="311"/>
      <c r="K167" s="314"/>
      <c r="L167" s="114">
        <f t="shared" si="12"/>
        <v>0</v>
      </c>
      <c r="M167" s="315"/>
      <c r="N167" s="312"/>
      <c r="O167" s="114">
        <f t="shared" si="13"/>
        <v>0</v>
      </c>
      <c r="P167" s="109"/>
    </row>
    <row r="168" spans="1:16" ht="24" hidden="1" x14ac:dyDescent="0.25">
      <c r="A168" s="99">
        <v>2500</v>
      </c>
      <c r="B168" s="247" t="s">
        <v>184</v>
      </c>
      <c r="C168" s="100">
        <f t="shared" si="9"/>
        <v>0</v>
      </c>
      <c r="D168" s="112">
        <f>SUM(D169,D174)</f>
        <v>0</v>
      </c>
      <c r="E168" s="293">
        <f>SUM(E169,E174)</f>
        <v>0</v>
      </c>
      <c r="F168" s="313">
        <f t="shared" si="10"/>
        <v>0</v>
      </c>
      <c r="G168" s="112">
        <f>SUM(G169,G174)</f>
        <v>0</v>
      </c>
      <c r="H168" s="113">
        <f t="shared" ref="H168" si="17">SUM(H169,H174)</f>
        <v>0</v>
      </c>
      <c r="I168" s="114">
        <f t="shared" si="11"/>
        <v>0</v>
      </c>
      <c r="J168" s="112">
        <f>SUM(J169,J174)</f>
        <v>0</v>
      </c>
      <c r="K168" s="113">
        <f t="shared" ref="K168" si="18">SUM(K169,K174)</f>
        <v>0</v>
      </c>
      <c r="L168" s="114">
        <f t="shared" si="12"/>
        <v>0</v>
      </c>
      <c r="M168" s="250">
        <f t="shared" ref="M168:N168" si="19">SUM(M169,M174)</f>
        <v>0</v>
      </c>
      <c r="N168" s="251">
        <f t="shared" si="19"/>
        <v>0</v>
      </c>
      <c r="O168" s="252">
        <f t="shared" si="13"/>
        <v>0</v>
      </c>
      <c r="P168" s="253"/>
    </row>
    <row r="169" spans="1:16" hidden="1" x14ac:dyDescent="0.25">
      <c r="A169" s="656">
        <v>2510</v>
      </c>
      <c r="B169" s="116" t="s">
        <v>185</v>
      </c>
      <c r="C169" s="117">
        <f t="shared" si="9"/>
        <v>0</v>
      </c>
      <c r="D169" s="297">
        <f>SUM(D170:D173)</f>
        <v>0</v>
      </c>
      <c r="E169" s="301">
        <f>SUM(E170:E173)</f>
        <v>0</v>
      </c>
      <c r="F169" s="263">
        <f t="shared" si="10"/>
        <v>0</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row>
    <row r="170" spans="1:16" ht="24" hidden="1" x14ac:dyDescent="0.25">
      <c r="A170" s="76">
        <v>2512</v>
      </c>
      <c r="B170" s="127" t="s">
        <v>186</v>
      </c>
      <c r="C170" s="128">
        <f t="shared" si="9"/>
        <v>0</v>
      </c>
      <c r="D170" s="134"/>
      <c r="E170" s="285"/>
      <c r="F170" s="286">
        <f t="shared" si="10"/>
        <v>0</v>
      </c>
      <c r="G170" s="134"/>
      <c r="H170" s="135"/>
      <c r="I170" s="136">
        <f t="shared" si="11"/>
        <v>0</v>
      </c>
      <c r="J170" s="134"/>
      <c r="K170" s="135"/>
      <c r="L170" s="136">
        <f t="shared" si="12"/>
        <v>0</v>
      </c>
      <c r="M170" s="284"/>
      <c r="N170" s="285"/>
      <c r="O170" s="136">
        <f t="shared" si="13"/>
        <v>0</v>
      </c>
      <c r="P170" s="85"/>
    </row>
    <row r="171" spans="1:16" ht="36" hidden="1" x14ac:dyDescent="0.25">
      <c r="A171" s="76">
        <v>2513</v>
      </c>
      <c r="B171" s="127" t="s">
        <v>187</v>
      </c>
      <c r="C171" s="128">
        <f t="shared" si="9"/>
        <v>0</v>
      </c>
      <c r="D171" s="134"/>
      <c r="E171" s="285"/>
      <c r="F171" s="286">
        <f t="shared" si="10"/>
        <v>0</v>
      </c>
      <c r="G171" s="134"/>
      <c r="H171" s="135"/>
      <c r="I171" s="136">
        <f t="shared" si="11"/>
        <v>0</v>
      </c>
      <c r="J171" s="134"/>
      <c r="K171" s="135"/>
      <c r="L171" s="136">
        <f t="shared" si="12"/>
        <v>0</v>
      </c>
      <c r="M171" s="284"/>
      <c r="N171" s="285"/>
      <c r="O171" s="136">
        <f t="shared" si="13"/>
        <v>0</v>
      </c>
      <c r="P171" s="85"/>
    </row>
    <row r="172" spans="1:16" ht="24" hidden="1" x14ac:dyDescent="0.25">
      <c r="A172" s="76">
        <v>2515</v>
      </c>
      <c r="B172" s="127" t="s">
        <v>188</v>
      </c>
      <c r="C172" s="128">
        <f t="shared" si="9"/>
        <v>0</v>
      </c>
      <c r="D172" s="134"/>
      <c r="E172" s="285"/>
      <c r="F172" s="286">
        <f t="shared" si="10"/>
        <v>0</v>
      </c>
      <c r="G172" s="134"/>
      <c r="H172" s="135"/>
      <c r="I172" s="136">
        <f t="shared" si="11"/>
        <v>0</v>
      </c>
      <c r="J172" s="134"/>
      <c r="K172" s="135"/>
      <c r="L172" s="136">
        <f t="shared" si="12"/>
        <v>0</v>
      </c>
      <c r="M172" s="284"/>
      <c r="N172" s="285"/>
      <c r="O172" s="136">
        <f t="shared" si="13"/>
        <v>0</v>
      </c>
      <c r="P172" s="85"/>
    </row>
    <row r="173" spans="1:16" ht="24" hidden="1" x14ac:dyDescent="0.25">
      <c r="A173" s="76">
        <v>2519</v>
      </c>
      <c r="B173" s="127" t="s">
        <v>189</v>
      </c>
      <c r="C173" s="128">
        <f t="shared" si="9"/>
        <v>0</v>
      </c>
      <c r="D173" s="134"/>
      <c r="E173" s="285"/>
      <c r="F173" s="286">
        <f t="shared" si="10"/>
        <v>0</v>
      </c>
      <c r="G173" s="134"/>
      <c r="H173" s="135"/>
      <c r="I173" s="136">
        <f t="shared" si="11"/>
        <v>0</v>
      </c>
      <c r="J173" s="134"/>
      <c r="K173" s="135"/>
      <c r="L173" s="136">
        <f t="shared" si="12"/>
        <v>0</v>
      </c>
      <c r="M173" s="284"/>
      <c r="N173" s="285"/>
      <c r="O173" s="136">
        <f t="shared" si="13"/>
        <v>0</v>
      </c>
      <c r="P173" s="85"/>
    </row>
    <row r="174" spans="1:16" ht="24" hidden="1" x14ac:dyDescent="0.25">
      <c r="A174" s="276">
        <v>2520</v>
      </c>
      <c r="B174" s="127" t="s">
        <v>190</v>
      </c>
      <c r="C174" s="128">
        <f t="shared" si="9"/>
        <v>0</v>
      </c>
      <c r="D174" s="134"/>
      <c r="E174" s="285"/>
      <c r="F174" s="286">
        <f t="shared" si="10"/>
        <v>0</v>
      </c>
      <c r="G174" s="134"/>
      <c r="H174" s="135"/>
      <c r="I174" s="136">
        <f t="shared" si="11"/>
        <v>0</v>
      </c>
      <c r="J174" s="134"/>
      <c r="K174" s="135"/>
      <c r="L174" s="136">
        <f t="shared" si="12"/>
        <v>0</v>
      </c>
      <c r="M174" s="284"/>
      <c r="N174" s="285"/>
      <c r="O174" s="136">
        <f t="shared" si="13"/>
        <v>0</v>
      </c>
      <c r="P174" s="85"/>
    </row>
    <row r="175" spans="1:16" s="319" customFormat="1" ht="48" hidden="1" x14ac:dyDescent="0.25">
      <c r="A175" s="31">
        <v>2800</v>
      </c>
      <c r="B175" s="116" t="s">
        <v>191</v>
      </c>
      <c r="C175" s="117">
        <f t="shared" si="9"/>
        <v>0</v>
      </c>
      <c r="D175" s="68"/>
      <c r="E175" s="69"/>
      <c r="F175" s="70">
        <f t="shared" si="10"/>
        <v>0</v>
      </c>
      <c r="G175" s="68"/>
      <c r="H175" s="71"/>
      <c r="I175" s="72">
        <f t="shared" si="11"/>
        <v>0</v>
      </c>
      <c r="J175" s="68"/>
      <c r="K175" s="71"/>
      <c r="L175" s="72">
        <f t="shared" si="12"/>
        <v>0</v>
      </c>
      <c r="M175" s="73"/>
      <c r="N175" s="69"/>
      <c r="O175" s="72">
        <f t="shared" si="13"/>
        <v>0</v>
      </c>
      <c r="P175" s="74"/>
    </row>
    <row r="176" spans="1:16" hidden="1" x14ac:dyDescent="0.25">
      <c r="A176" s="237">
        <v>3000</v>
      </c>
      <c r="B176" s="237" t="s">
        <v>192</v>
      </c>
      <c r="C176" s="238">
        <f t="shared" si="9"/>
        <v>0</v>
      </c>
      <c r="D176" s="239">
        <f>SUM(D177,D187)</f>
        <v>0</v>
      </c>
      <c r="E176" s="245">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row>
    <row r="177" spans="1:16" ht="24" hidden="1" x14ac:dyDescent="0.25">
      <c r="A177" s="99">
        <v>3200</v>
      </c>
      <c r="B177" s="321" t="s">
        <v>193</v>
      </c>
      <c r="C177" s="100">
        <f t="shared" si="9"/>
        <v>0</v>
      </c>
      <c r="D177" s="112">
        <f>SUM(D178,D182)</f>
        <v>0</v>
      </c>
      <c r="E177" s="293">
        <f>SUM(E178,E182)</f>
        <v>0</v>
      </c>
      <c r="F177" s="313">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row>
    <row r="178" spans="1:16" ht="36" hidden="1" x14ac:dyDescent="0.25">
      <c r="A178" s="656">
        <v>3260</v>
      </c>
      <c r="B178" s="116" t="s">
        <v>194</v>
      </c>
      <c r="C178" s="117">
        <f t="shared" si="9"/>
        <v>0</v>
      </c>
      <c r="D178" s="297">
        <f>SUM(D179:D181)</f>
        <v>0</v>
      </c>
      <c r="E178" s="301">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row>
    <row r="179" spans="1:16" ht="24" hidden="1" x14ac:dyDescent="0.25">
      <c r="A179" s="76">
        <v>3261</v>
      </c>
      <c r="B179" s="127" t="s">
        <v>195</v>
      </c>
      <c r="C179" s="128">
        <f t="shared" si="9"/>
        <v>0</v>
      </c>
      <c r="D179" s="134"/>
      <c r="E179" s="285"/>
      <c r="F179" s="286">
        <f t="shared" si="10"/>
        <v>0</v>
      </c>
      <c r="G179" s="134"/>
      <c r="H179" s="135"/>
      <c r="I179" s="136">
        <f t="shared" si="11"/>
        <v>0</v>
      </c>
      <c r="J179" s="134"/>
      <c r="K179" s="135"/>
      <c r="L179" s="136">
        <f t="shared" si="12"/>
        <v>0</v>
      </c>
      <c r="M179" s="284"/>
      <c r="N179" s="285"/>
      <c r="O179" s="136">
        <f t="shared" si="13"/>
        <v>0</v>
      </c>
      <c r="P179" s="85"/>
    </row>
    <row r="180" spans="1:16" ht="36" hidden="1" x14ac:dyDescent="0.25">
      <c r="A180" s="76">
        <v>3262</v>
      </c>
      <c r="B180" s="127" t="s">
        <v>196</v>
      </c>
      <c r="C180" s="128">
        <f t="shared" si="9"/>
        <v>0</v>
      </c>
      <c r="D180" s="134"/>
      <c r="E180" s="285"/>
      <c r="F180" s="286">
        <f t="shared" si="10"/>
        <v>0</v>
      </c>
      <c r="G180" s="134"/>
      <c r="H180" s="135"/>
      <c r="I180" s="136">
        <f t="shared" si="11"/>
        <v>0</v>
      </c>
      <c r="J180" s="134"/>
      <c r="K180" s="135"/>
      <c r="L180" s="136">
        <f t="shared" si="12"/>
        <v>0</v>
      </c>
      <c r="M180" s="284"/>
      <c r="N180" s="285"/>
      <c r="O180" s="136">
        <f t="shared" si="13"/>
        <v>0</v>
      </c>
      <c r="P180" s="85"/>
    </row>
    <row r="181" spans="1:16" ht="24" hidden="1" x14ac:dyDescent="0.25">
      <c r="A181" s="76">
        <v>3263</v>
      </c>
      <c r="B181" s="127" t="s">
        <v>197</v>
      </c>
      <c r="C181" s="128">
        <f t="shared" si="9"/>
        <v>0</v>
      </c>
      <c r="D181" s="134"/>
      <c r="E181" s="285"/>
      <c r="F181" s="286">
        <f t="shared" si="10"/>
        <v>0</v>
      </c>
      <c r="G181" s="134"/>
      <c r="H181" s="135"/>
      <c r="I181" s="136">
        <f t="shared" si="11"/>
        <v>0</v>
      </c>
      <c r="J181" s="134"/>
      <c r="K181" s="135"/>
      <c r="L181" s="136">
        <f t="shared" si="12"/>
        <v>0</v>
      </c>
      <c r="M181" s="284"/>
      <c r="N181" s="285"/>
      <c r="O181" s="136">
        <f t="shared" si="13"/>
        <v>0</v>
      </c>
      <c r="P181" s="85"/>
    </row>
    <row r="182" spans="1:16" ht="84" hidden="1" x14ac:dyDescent="0.25">
      <c r="A182" s="656">
        <v>3290</v>
      </c>
      <c r="B182" s="116" t="s">
        <v>198</v>
      </c>
      <c r="C182" s="128">
        <f t="shared" ref="C182:C258" si="26">F182+I182+L182+O182</f>
        <v>0</v>
      </c>
      <c r="D182" s="297">
        <f>SUM(D183:D186)</f>
        <v>0</v>
      </c>
      <c r="E182" s="301">
        <f>SUM(E183:E186)</f>
        <v>0</v>
      </c>
      <c r="F182" s="263">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row>
    <row r="183" spans="1:16" ht="72" hidden="1" x14ac:dyDescent="0.25">
      <c r="A183" s="76">
        <v>3291</v>
      </c>
      <c r="B183" s="127" t="s">
        <v>199</v>
      </c>
      <c r="C183" s="128">
        <f t="shared" si="26"/>
        <v>0</v>
      </c>
      <c r="D183" s="134"/>
      <c r="E183" s="285"/>
      <c r="F183" s="286">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row>
    <row r="184" spans="1:16" ht="72" hidden="1" x14ac:dyDescent="0.25">
      <c r="A184" s="76">
        <v>3292</v>
      </c>
      <c r="B184" s="127" t="s">
        <v>200</v>
      </c>
      <c r="C184" s="128">
        <f t="shared" si="26"/>
        <v>0</v>
      </c>
      <c r="D184" s="134"/>
      <c r="E184" s="285"/>
      <c r="F184" s="286">
        <f t="shared" si="30"/>
        <v>0</v>
      </c>
      <c r="G184" s="134"/>
      <c r="H184" s="135"/>
      <c r="I184" s="136">
        <f t="shared" si="31"/>
        <v>0</v>
      </c>
      <c r="J184" s="134"/>
      <c r="K184" s="135"/>
      <c r="L184" s="136">
        <f t="shared" si="32"/>
        <v>0</v>
      </c>
      <c r="M184" s="284"/>
      <c r="N184" s="285"/>
      <c r="O184" s="136">
        <f t="shared" si="33"/>
        <v>0</v>
      </c>
      <c r="P184" s="85"/>
    </row>
    <row r="185" spans="1:16" ht="72" hidden="1" x14ac:dyDescent="0.25">
      <c r="A185" s="76">
        <v>3293</v>
      </c>
      <c r="B185" s="127" t="s">
        <v>201</v>
      </c>
      <c r="C185" s="128">
        <f t="shared" si="26"/>
        <v>0</v>
      </c>
      <c r="D185" s="134"/>
      <c r="E185" s="285"/>
      <c r="F185" s="286">
        <f t="shared" si="30"/>
        <v>0</v>
      </c>
      <c r="G185" s="134"/>
      <c r="H185" s="135"/>
      <c r="I185" s="136">
        <f t="shared" si="31"/>
        <v>0</v>
      </c>
      <c r="J185" s="134"/>
      <c r="K185" s="135"/>
      <c r="L185" s="136">
        <f t="shared" si="32"/>
        <v>0</v>
      </c>
      <c r="M185" s="284"/>
      <c r="N185" s="285"/>
      <c r="O185" s="136">
        <f t="shared" si="33"/>
        <v>0</v>
      </c>
      <c r="P185" s="85"/>
    </row>
    <row r="186" spans="1:16" ht="60" hidden="1" x14ac:dyDescent="0.25">
      <c r="A186" s="326">
        <v>3294</v>
      </c>
      <c r="B186" s="127" t="s">
        <v>202</v>
      </c>
      <c r="C186" s="327">
        <f t="shared" si="26"/>
        <v>0</v>
      </c>
      <c r="D186" s="328"/>
      <c r="E186" s="329"/>
      <c r="F186" s="330">
        <f t="shared" si="30"/>
        <v>0</v>
      </c>
      <c r="G186" s="328"/>
      <c r="H186" s="331"/>
      <c r="I186" s="324">
        <f t="shared" si="31"/>
        <v>0</v>
      </c>
      <c r="J186" s="328"/>
      <c r="K186" s="331"/>
      <c r="L186" s="324">
        <f t="shared" si="32"/>
        <v>0</v>
      </c>
      <c r="M186" s="332"/>
      <c r="N186" s="329"/>
      <c r="O186" s="324">
        <f t="shared" si="33"/>
        <v>0</v>
      </c>
      <c r="P186" s="325"/>
    </row>
    <row r="187" spans="1:16" ht="48" hidden="1" x14ac:dyDescent="0.25">
      <c r="A187" s="160">
        <v>3300</v>
      </c>
      <c r="B187" s="321" t="s">
        <v>203</v>
      </c>
      <c r="C187" s="333">
        <f t="shared" si="26"/>
        <v>0</v>
      </c>
      <c r="D187" s="334">
        <f>SUM(D188:D189)</f>
        <v>0</v>
      </c>
      <c r="E187" s="251">
        <f>SUM(E188:E189)</f>
        <v>0</v>
      </c>
      <c r="F187" s="335">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row>
    <row r="188" spans="1:16" ht="48" hidden="1" x14ac:dyDescent="0.25">
      <c r="A188" s="178">
        <v>3310</v>
      </c>
      <c r="B188" s="179" t="s">
        <v>204</v>
      </c>
      <c r="C188" s="191">
        <f t="shared" si="26"/>
        <v>0</v>
      </c>
      <c r="D188" s="287"/>
      <c r="E188" s="291"/>
      <c r="F188" s="310">
        <f t="shared" si="30"/>
        <v>0</v>
      </c>
      <c r="G188" s="287"/>
      <c r="H188" s="289"/>
      <c r="I188" s="259">
        <f t="shared" si="31"/>
        <v>0</v>
      </c>
      <c r="J188" s="287"/>
      <c r="K188" s="289"/>
      <c r="L188" s="259">
        <f t="shared" si="32"/>
        <v>0</v>
      </c>
      <c r="M188" s="290"/>
      <c r="N188" s="291"/>
      <c r="O188" s="259">
        <f t="shared" si="33"/>
        <v>0</v>
      </c>
      <c r="P188" s="189"/>
    </row>
    <row r="189" spans="1:16" ht="60" hidden="1" x14ac:dyDescent="0.25">
      <c r="A189" s="66">
        <v>3320</v>
      </c>
      <c r="B189" s="116" t="s">
        <v>205</v>
      </c>
      <c r="C189" s="117">
        <f t="shared" si="26"/>
        <v>0</v>
      </c>
      <c r="D189" s="123"/>
      <c r="E189" s="262"/>
      <c r="F189" s="263">
        <f t="shared" si="30"/>
        <v>0</v>
      </c>
      <c r="G189" s="123"/>
      <c r="H189" s="124"/>
      <c r="I189" s="125">
        <f t="shared" si="31"/>
        <v>0</v>
      </c>
      <c r="J189" s="123"/>
      <c r="K189" s="124"/>
      <c r="L189" s="125">
        <f t="shared" si="32"/>
        <v>0</v>
      </c>
      <c r="M189" s="264"/>
      <c r="N189" s="262"/>
      <c r="O189" s="125">
        <f t="shared" si="33"/>
        <v>0</v>
      </c>
      <c r="P189" s="74"/>
    </row>
    <row r="190" spans="1:16" hidden="1" x14ac:dyDescent="0.25">
      <c r="A190" s="337">
        <v>4000</v>
      </c>
      <c r="B190" s="237" t="s">
        <v>206</v>
      </c>
      <c r="C190" s="238">
        <f t="shared" si="26"/>
        <v>0</v>
      </c>
      <c r="D190" s="239">
        <f>SUM(D191,D194)</f>
        <v>0</v>
      </c>
      <c r="E190" s="245">
        <f>SUM(E191,E194)</f>
        <v>0</v>
      </c>
      <c r="F190" s="320">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row>
    <row r="191" spans="1:16" ht="24" hidden="1" x14ac:dyDescent="0.25">
      <c r="A191" s="338">
        <v>4200</v>
      </c>
      <c r="B191" s="247" t="s">
        <v>207</v>
      </c>
      <c r="C191" s="100">
        <f t="shared" si="26"/>
        <v>0</v>
      </c>
      <c r="D191" s="112">
        <f>SUM(D192,D193)</f>
        <v>0</v>
      </c>
      <c r="E191" s="293">
        <f>SUM(E192,E193)</f>
        <v>0</v>
      </c>
      <c r="F191" s="313">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row>
    <row r="192" spans="1:16" ht="36" hidden="1" x14ac:dyDescent="0.25">
      <c r="A192" s="656">
        <v>4240</v>
      </c>
      <c r="B192" s="116" t="s">
        <v>208</v>
      </c>
      <c r="C192" s="117">
        <f t="shared" si="26"/>
        <v>0</v>
      </c>
      <c r="D192" s="123"/>
      <c r="E192" s="262"/>
      <c r="F192" s="263">
        <f t="shared" si="30"/>
        <v>0</v>
      </c>
      <c r="G192" s="123"/>
      <c r="H192" s="124"/>
      <c r="I192" s="125">
        <f t="shared" si="31"/>
        <v>0</v>
      </c>
      <c r="J192" s="123"/>
      <c r="K192" s="124"/>
      <c r="L192" s="125">
        <f t="shared" si="32"/>
        <v>0</v>
      </c>
      <c r="M192" s="264"/>
      <c r="N192" s="262"/>
      <c r="O192" s="125">
        <f t="shared" si="33"/>
        <v>0</v>
      </c>
      <c r="P192" s="74"/>
    </row>
    <row r="193" spans="1:16" ht="24" hidden="1" x14ac:dyDescent="0.25">
      <c r="A193" s="276">
        <v>4250</v>
      </c>
      <c r="B193" s="127" t="s">
        <v>209</v>
      </c>
      <c r="C193" s="128">
        <f t="shared" si="26"/>
        <v>0</v>
      </c>
      <c r="D193" s="134"/>
      <c r="E193" s="285"/>
      <c r="F193" s="286">
        <f t="shared" si="30"/>
        <v>0</v>
      </c>
      <c r="G193" s="134"/>
      <c r="H193" s="135"/>
      <c r="I193" s="136">
        <f t="shared" si="31"/>
        <v>0</v>
      </c>
      <c r="J193" s="134"/>
      <c r="K193" s="135"/>
      <c r="L193" s="136">
        <f t="shared" si="32"/>
        <v>0</v>
      </c>
      <c r="M193" s="284"/>
      <c r="N193" s="285"/>
      <c r="O193" s="136">
        <f t="shared" si="33"/>
        <v>0</v>
      </c>
      <c r="P193" s="85"/>
    </row>
    <row r="194" spans="1:16" hidden="1" x14ac:dyDescent="0.25">
      <c r="A194" s="99">
        <v>4300</v>
      </c>
      <c r="B194" s="247" t="s">
        <v>210</v>
      </c>
      <c r="C194" s="100">
        <f t="shared" si="26"/>
        <v>0</v>
      </c>
      <c r="D194" s="112">
        <f>SUM(D195)</f>
        <v>0</v>
      </c>
      <c r="E194" s="293">
        <f>SUM(E195)</f>
        <v>0</v>
      </c>
      <c r="F194" s="313">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row>
    <row r="195" spans="1:16" ht="24" hidden="1" x14ac:dyDescent="0.25">
      <c r="A195" s="656">
        <v>4310</v>
      </c>
      <c r="B195" s="116" t="s">
        <v>211</v>
      </c>
      <c r="C195" s="117">
        <f t="shared" si="26"/>
        <v>0</v>
      </c>
      <c r="D195" s="297">
        <f>SUM(D196:D196)</f>
        <v>0</v>
      </c>
      <c r="E195" s="301">
        <f>SUM(E196:E196)</f>
        <v>0</v>
      </c>
      <c r="F195" s="263">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row>
    <row r="196" spans="1:16" ht="36" hidden="1" x14ac:dyDescent="0.25">
      <c r="A196" s="76">
        <v>4311</v>
      </c>
      <c r="B196" s="127" t="s">
        <v>212</v>
      </c>
      <c r="C196" s="128">
        <f t="shared" si="26"/>
        <v>0</v>
      </c>
      <c r="D196" s="134"/>
      <c r="E196" s="285"/>
      <c r="F196" s="286">
        <f t="shared" si="30"/>
        <v>0</v>
      </c>
      <c r="G196" s="134"/>
      <c r="H196" s="135"/>
      <c r="I196" s="136">
        <f t="shared" si="31"/>
        <v>0</v>
      </c>
      <c r="J196" s="134"/>
      <c r="K196" s="135"/>
      <c r="L196" s="136">
        <f t="shared" si="32"/>
        <v>0</v>
      </c>
      <c r="M196" s="284"/>
      <c r="N196" s="285"/>
      <c r="O196" s="136">
        <f t="shared" si="33"/>
        <v>0</v>
      </c>
      <c r="P196" s="85"/>
    </row>
    <row r="197" spans="1:16" s="41" customFormat="1" ht="24" x14ac:dyDescent="0.25">
      <c r="A197" s="339"/>
      <c r="B197" s="31" t="s">
        <v>213</v>
      </c>
      <c r="C197" s="229">
        <f t="shared" si="26"/>
        <v>4347</v>
      </c>
      <c r="D197" s="230">
        <f>SUM(D198,D233,D271)</f>
        <v>3903</v>
      </c>
      <c r="E197" s="231">
        <f>SUM(E198,E233,E271)</f>
        <v>0</v>
      </c>
      <c r="F197" s="232">
        <f t="shared" si="30"/>
        <v>3903</v>
      </c>
      <c r="G197" s="230">
        <f>SUM(G198,G233,G271)</f>
        <v>441</v>
      </c>
      <c r="H197" s="233">
        <f>SUM(H198,H233,H271)</f>
        <v>0</v>
      </c>
      <c r="I197" s="234">
        <f t="shared" si="31"/>
        <v>441</v>
      </c>
      <c r="J197" s="230">
        <f>SUM(J198,J233,J271)</f>
        <v>3</v>
      </c>
      <c r="K197" s="233">
        <f>SUM(K198,K233,K271)</f>
        <v>0</v>
      </c>
      <c r="L197" s="234">
        <f t="shared" si="32"/>
        <v>3</v>
      </c>
      <c r="M197" s="340">
        <f>SUM(M198,M233,M271)</f>
        <v>0</v>
      </c>
      <c r="N197" s="341">
        <f>SUM(N198,N233,N271)</f>
        <v>0</v>
      </c>
      <c r="O197" s="342">
        <f t="shared" si="33"/>
        <v>0</v>
      </c>
      <c r="P197" s="343"/>
    </row>
    <row r="198" spans="1:16" x14ac:dyDescent="0.25">
      <c r="A198" s="237">
        <v>5000</v>
      </c>
      <c r="B198" s="237" t="s">
        <v>214</v>
      </c>
      <c r="C198" s="238">
        <f>F198+I198+L198+O198</f>
        <v>4344</v>
      </c>
      <c r="D198" s="239">
        <f>D199+D207</f>
        <v>3903</v>
      </c>
      <c r="E198" s="240">
        <f>E199+E207</f>
        <v>0</v>
      </c>
      <c r="F198" s="241">
        <f t="shared" si="30"/>
        <v>3903</v>
      </c>
      <c r="G198" s="239">
        <f>G199+G207</f>
        <v>441</v>
      </c>
      <c r="H198" s="242">
        <f>H199+H207</f>
        <v>0</v>
      </c>
      <c r="I198" s="243">
        <f t="shared" si="31"/>
        <v>441</v>
      </c>
      <c r="J198" s="239">
        <f>J199+J207</f>
        <v>0</v>
      </c>
      <c r="K198" s="242">
        <f>K199+K207</f>
        <v>0</v>
      </c>
      <c r="L198" s="243">
        <f t="shared" si="32"/>
        <v>0</v>
      </c>
      <c r="M198" s="244">
        <f>M199+M207</f>
        <v>0</v>
      </c>
      <c r="N198" s="245">
        <f>N199+N207</f>
        <v>0</v>
      </c>
      <c r="O198" s="243">
        <f t="shared" si="33"/>
        <v>0</v>
      </c>
      <c r="P198" s="246"/>
    </row>
    <row r="199" spans="1:16" hidden="1" x14ac:dyDescent="0.25">
      <c r="A199" s="99">
        <v>5100</v>
      </c>
      <c r="B199" s="247" t="s">
        <v>215</v>
      </c>
      <c r="C199" s="100">
        <f t="shared" si="26"/>
        <v>0</v>
      </c>
      <c r="D199" s="112">
        <f>D200+D201+D204+D205+D206</f>
        <v>0</v>
      </c>
      <c r="E199" s="293">
        <f>E200+E201+E204+E205+E206</f>
        <v>0</v>
      </c>
      <c r="F199" s="313">
        <f t="shared" si="30"/>
        <v>0</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row>
    <row r="200" spans="1:16" hidden="1" x14ac:dyDescent="0.25">
      <c r="A200" s="656">
        <v>5110</v>
      </c>
      <c r="B200" s="116" t="s">
        <v>216</v>
      </c>
      <c r="C200" s="117">
        <f t="shared" si="26"/>
        <v>0</v>
      </c>
      <c r="D200" s="123"/>
      <c r="E200" s="262"/>
      <c r="F200" s="263">
        <f t="shared" si="30"/>
        <v>0</v>
      </c>
      <c r="G200" s="123"/>
      <c r="H200" s="124"/>
      <c r="I200" s="125">
        <f t="shared" si="31"/>
        <v>0</v>
      </c>
      <c r="J200" s="123"/>
      <c r="K200" s="124"/>
      <c r="L200" s="125">
        <f t="shared" si="32"/>
        <v>0</v>
      </c>
      <c r="M200" s="264"/>
      <c r="N200" s="262"/>
      <c r="O200" s="125">
        <f t="shared" si="33"/>
        <v>0</v>
      </c>
      <c r="P200" s="74"/>
    </row>
    <row r="201" spans="1:16" ht="24" hidden="1" x14ac:dyDescent="0.25">
      <c r="A201" s="276">
        <v>5120</v>
      </c>
      <c r="B201" s="127" t="s">
        <v>217</v>
      </c>
      <c r="C201" s="128">
        <f t="shared" si="26"/>
        <v>0</v>
      </c>
      <c r="D201" s="277">
        <f>D202+D203</f>
        <v>0</v>
      </c>
      <c r="E201" s="282">
        <f>E202+E203</f>
        <v>0</v>
      </c>
      <c r="F201" s="286">
        <f t="shared" si="30"/>
        <v>0</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row>
    <row r="202" spans="1:16" hidden="1" x14ac:dyDescent="0.25">
      <c r="A202" s="76">
        <v>5121</v>
      </c>
      <c r="B202" s="127" t="s">
        <v>218</v>
      </c>
      <c r="C202" s="128">
        <f t="shared" si="26"/>
        <v>0</v>
      </c>
      <c r="D202" s="134"/>
      <c r="E202" s="285"/>
      <c r="F202" s="286">
        <f t="shared" si="30"/>
        <v>0</v>
      </c>
      <c r="G202" s="134"/>
      <c r="H202" s="135"/>
      <c r="I202" s="136">
        <f t="shared" si="31"/>
        <v>0</v>
      </c>
      <c r="J202" s="134"/>
      <c r="K202" s="135"/>
      <c r="L202" s="136">
        <f t="shared" si="32"/>
        <v>0</v>
      </c>
      <c r="M202" s="284"/>
      <c r="N202" s="285"/>
      <c r="O202" s="136">
        <f t="shared" si="33"/>
        <v>0</v>
      </c>
      <c r="P202" s="85"/>
    </row>
    <row r="203" spans="1:16" ht="24" hidden="1" x14ac:dyDescent="0.25">
      <c r="A203" s="76">
        <v>5129</v>
      </c>
      <c r="B203" s="127" t="s">
        <v>219</v>
      </c>
      <c r="C203" s="128">
        <f t="shared" si="26"/>
        <v>0</v>
      </c>
      <c r="D203" s="134"/>
      <c r="E203" s="285"/>
      <c r="F203" s="286">
        <f t="shared" si="30"/>
        <v>0</v>
      </c>
      <c r="G203" s="134"/>
      <c r="H203" s="135"/>
      <c r="I203" s="136">
        <f t="shared" si="31"/>
        <v>0</v>
      </c>
      <c r="J203" s="134"/>
      <c r="K203" s="135"/>
      <c r="L203" s="136">
        <f t="shared" si="32"/>
        <v>0</v>
      </c>
      <c r="M203" s="284"/>
      <c r="N203" s="285"/>
      <c r="O203" s="136">
        <f t="shared" si="33"/>
        <v>0</v>
      </c>
      <c r="P203" s="85"/>
    </row>
    <row r="204" spans="1:16" hidden="1" x14ac:dyDescent="0.25">
      <c r="A204" s="276">
        <v>5130</v>
      </c>
      <c r="B204" s="127" t="s">
        <v>220</v>
      </c>
      <c r="C204" s="128">
        <f t="shared" si="26"/>
        <v>0</v>
      </c>
      <c r="D204" s="134"/>
      <c r="E204" s="285"/>
      <c r="F204" s="286">
        <f t="shared" si="30"/>
        <v>0</v>
      </c>
      <c r="G204" s="134"/>
      <c r="H204" s="135"/>
      <c r="I204" s="136">
        <f t="shared" si="31"/>
        <v>0</v>
      </c>
      <c r="J204" s="134"/>
      <c r="K204" s="135"/>
      <c r="L204" s="136">
        <f t="shared" si="32"/>
        <v>0</v>
      </c>
      <c r="M204" s="284"/>
      <c r="N204" s="285"/>
      <c r="O204" s="136">
        <f t="shared" si="33"/>
        <v>0</v>
      </c>
      <c r="P204" s="85"/>
    </row>
    <row r="205" spans="1:16" hidden="1" x14ac:dyDescent="0.25">
      <c r="A205" s="276">
        <v>5140</v>
      </c>
      <c r="B205" s="127" t="s">
        <v>221</v>
      </c>
      <c r="C205" s="128">
        <f t="shared" si="26"/>
        <v>0</v>
      </c>
      <c r="D205" s="134"/>
      <c r="E205" s="285"/>
      <c r="F205" s="286">
        <f t="shared" si="30"/>
        <v>0</v>
      </c>
      <c r="G205" s="134"/>
      <c r="H205" s="135"/>
      <c r="I205" s="136">
        <f t="shared" si="31"/>
        <v>0</v>
      </c>
      <c r="J205" s="134"/>
      <c r="K205" s="135"/>
      <c r="L205" s="136">
        <f t="shared" si="32"/>
        <v>0</v>
      </c>
      <c r="M205" s="284"/>
      <c r="N205" s="285"/>
      <c r="O205" s="136">
        <f t="shared" si="33"/>
        <v>0</v>
      </c>
      <c r="P205" s="85"/>
    </row>
    <row r="206" spans="1:16" ht="24" hidden="1" x14ac:dyDescent="0.25">
      <c r="A206" s="276">
        <v>5170</v>
      </c>
      <c r="B206" s="127" t="s">
        <v>222</v>
      </c>
      <c r="C206" s="128">
        <f t="shared" si="26"/>
        <v>0</v>
      </c>
      <c r="D206" s="134"/>
      <c r="E206" s="285"/>
      <c r="F206" s="286">
        <f t="shared" si="30"/>
        <v>0</v>
      </c>
      <c r="G206" s="134"/>
      <c r="H206" s="135"/>
      <c r="I206" s="136">
        <f t="shared" si="31"/>
        <v>0</v>
      </c>
      <c r="J206" s="134"/>
      <c r="K206" s="135"/>
      <c r="L206" s="136">
        <f t="shared" si="32"/>
        <v>0</v>
      </c>
      <c r="M206" s="284"/>
      <c r="N206" s="285"/>
      <c r="O206" s="136">
        <f t="shared" si="33"/>
        <v>0</v>
      </c>
      <c r="P206" s="85"/>
    </row>
    <row r="207" spans="1:16" x14ac:dyDescent="0.25">
      <c r="A207" s="99">
        <v>5200</v>
      </c>
      <c r="B207" s="247" t="s">
        <v>223</v>
      </c>
      <c r="C207" s="100">
        <f t="shared" si="26"/>
        <v>4344</v>
      </c>
      <c r="D207" s="112">
        <f>D208+D218+D219+D228+D229+D230+D232</f>
        <v>3903</v>
      </c>
      <c r="E207" s="248">
        <f>E208+E218+E219+E228+E229+E230+E232</f>
        <v>0</v>
      </c>
      <c r="F207" s="249">
        <f t="shared" si="30"/>
        <v>3903</v>
      </c>
      <c r="G207" s="112">
        <f>G208+G218+G219+G228+G229+G230+G232</f>
        <v>441</v>
      </c>
      <c r="H207" s="113">
        <f>H208+H218+H219+H228+H229+H230+H232</f>
        <v>0</v>
      </c>
      <c r="I207" s="114">
        <f t="shared" si="31"/>
        <v>441</v>
      </c>
      <c r="J207" s="112">
        <f>J208+J218+J219+J228+J229+J230+J232</f>
        <v>0</v>
      </c>
      <c r="K207" s="113">
        <f>K208+K218+K219+K228+K229+K230+K232</f>
        <v>0</v>
      </c>
      <c r="L207" s="114">
        <f t="shared" si="32"/>
        <v>0</v>
      </c>
      <c r="M207" s="292">
        <f>M208+M218+M219+M228+M229+M230+M232</f>
        <v>0</v>
      </c>
      <c r="N207" s="293">
        <f>N208+N218+N219+N228+N229+N230+N232</f>
        <v>0</v>
      </c>
      <c r="O207" s="114">
        <f t="shared" si="33"/>
        <v>0</v>
      </c>
      <c r="P207" s="109"/>
    </row>
    <row r="208" spans="1:16" hidden="1" x14ac:dyDescent="0.25">
      <c r="A208" s="254">
        <v>5210</v>
      </c>
      <c r="B208" s="179" t="s">
        <v>224</v>
      </c>
      <c r="C208" s="191">
        <f t="shared" si="26"/>
        <v>0</v>
      </c>
      <c r="D208" s="255">
        <f>SUM(D209:D217)</f>
        <v>0</v>
      </c>
      <c r="E208" s="261">
        <f>SUM(E209:E217)</f>
        <v>0</v>
      </c>
      <c r="F208" s="310">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row>
    <row r="209" spans="1:16" hidden="1" x14ac:dyDescent="0.25">
      <c r="A209" s="66">
        <v>5211</v>
      </c>
      <c r="B209" s="116" t="s">
        <v>225</v>
      </c>
      <c r="C209" s="279">
        <f t="shared" si="26"/>
        <v>0</v>
      </c>
      <c r="D209" s="123"/>
      <c r="E209" s="262"/>
      <c r="F209" s="263">
        <f t="shared" si="30"/>
        <v>0</v>
      </c>
      <c r="G209" s="123"/>
      <c r="H209" s="124"/>
      <c r="I209" s="125">
        <f t="shared" si="31"/>
        <v>0</v>
      </c>
      <c r="J209" s="123"/>
      <c r="K209" s="124"/>
      <c r="L209" s="125">
        <f t="shared" si="32"/>
        <v>0</v>
      </c>
      <c r="M209" s="264"/>
      <c r="N209" s="262"/>
      <c r="O209" s="125">
        <f t="shared" si="33"/>
        <v>0</v>
      </c>
      <c r="P209" s="74"/>
    </row>
    <row r="210" spans="1:16" hidden="1" x14ac:dyDescent="0.25">
      <c r="A210" s="76">
        <v>5212</v>
      </c>
      <c r="B210" s="127" t="s">
        <v>226</v>
      </c>
      <c r="C210" s="279">
        <f t="shared" si="26"/>
        <v>0</v>
      </c>
      <c r="D210" s="134"/>
      <c r="E210" s="285"/>
      <c r="F210" s="286">
        <f t="shared" si="30"/>
        <v>0</v>
      </c>
      <c r="G210" s="134"/>
      <c r="H210" s="135"/>
      <c r="I210" s="136">
        <f t="shared" si="31"/>
        <v>0</v>
      </c>
      <c r="J210" s="134"/>
      <c r="K210" s="135"/>
      <c r="L210" s="136">
        <f t="shared" si="32"/>
        <v>0</v>
      </c>
      <c r="M210" s="284"/>
      <c r="N210" s="285"/>
      <c r="O210" s="136">
        <f t="shared" si="33"/>
        <v>0</v>
      </c>
      <c r="P210" s="85"/>
    </row>
    <row r="211" spans="1:16" hidden="1" x14ac:dyDescent="0.25">
      <c r="A211" s="76">
        <v>5213</v>
      </c>
      <c r="B211" s="127" t="s">
        <v>227</v>
      </c>
      <c r="C211" s="279">
        <f t="shared" si="26"/>
        <v>0</v>
      </c>
      <c r="D211" s="134"/>
      <c r="E211" s="285"/>
      <c r="F211" s="286">
        <f t="shared" si="30"/>
        <v>0</v>
      </c>
      <c r="G211" s="134"/>
      <c r="H211" s="135"/>
      <c r="I211" s="136">
        <f t="shared" si="31"/>
        <v>0</v>
      </c>
      <c r="J211" s="134"/>
      <c r="K211" s="135"/>
      <c r="L211" s="136">
        <f t="shared" si="32"/>
        <v>0</v>
      </c>
      <c r="M211" s="284"/>
      <c r="N211" s="285"/>
      <c r="O211" s="136">
        <f t="shared" si="33"/>
        <v>0</v>
      </c>
      <c r="P211" s="85"/>
    </row>
    <row r="212" spans="1:16" hidden="1" x14ac:dyDescent="0.25">
      <c r="A212" s="76">
        <v>5214</v>
      </c>
      <c r="B212" s="127" t="s">
        <v>228</v>
      </c>
      <c r="C212" s="279">
        <f t="shared" si="26"/>
        <v>0</v>
      </c>
      <c r="D212" s="134"/>
      <c r="E212" s="285"/>
      <c r="F212" s="286">
        <f t="shared" si="30"/>
        <v>0</v>
      </c>
      <c r="G212" s="134"/>
      <c r="H212" s="135"/>
      <c r="I212" s="136">
        <f t="shared" si="31"/>
        <v>0</v>
      </c>
      <c r="J212" s="134"/>
      <c r="K212" s="135"/>
      <c r="L212" s="136">
        <f t="shared" si="32"/>
        <v>0</v>
      </c>
      <c r="M212" s="284"/>
      <c r="N212" s="285"/>
      <c r="O212" s="136">
        <f t="shared" si="33"/>
        <v>0</v>
      </c>
      <c r="P212" s="85"/>
    </row>
    <row r="213" spans="1:16" hidden="1" x14ac:dyDescent="0.25">
      <c r="A213" s="76">
        <v>5215</v>
      </c>
      <c r="B213" s="127" t="s">
        <v>229</v>
      </c>
      <c r="C213" s="279">
        <f t="shared" si="26"/>
        <v>0</v>
      </c>
      <c r="D213" s="134"/>
      <c r="E213" s="285"/>
      <c r="F213" s="286">
        <f t="shared" si="30"/>
        <v>0</v>
      </c>
      <c r="G213" s="134"/>
      <c r="H213" s="135"/>
      <c r="I213" s="136">
        <f t="shared" si="31"/>
        <v>0</v>
      </c>
      <c r="J213" s="134"/>
      <c r="K213" s="135"/>
      <c r="L213" s="136">
        <f t="shared" si="32"/>
        <v>0</v>
      </c>
      <c r="M213" s="284"/>
      <c r="N213" s="285"/>
      <c r="O213" s="136">
        <f t="shared" si="33"/>
        <v>0</v>
      </c>
      <c r="P213" s="85"/>
    </row>
    <row r="214" spans="1:16" ht="24" hidden="1" x14ac:dyDescent="0.25">
      <c r="A214" s="76">
        <v>5216</v>
      </c>
      <c r="B214" s="127" t="s">
        <v>230</v>
      </c>
      <c r="C214" s="279">
        <f t="shared" si="26"/>
        <v>0</v>
      </c>
      <c r="D214" s="134"/>
      <c r="E214" s="285"/>
      <c r="F214" s="286">
        <f t="shared" si="30"/>
        <v>0</v>
      </c>
      <c r="G214" s="134"/>
      <c r="H214" s="135"/>
      <c r="I214" s="136">
        <f t="shared" si="31"/>
        <v>0</v>
      </c>
      <c r="J214" s="134"/>
      <c r="K214" s="135"/>
      <c r="L214" s="136">
        <f t="shared" si="32"/>
        <v>0</v>
      </c>
      <c r="M214" s="284"/>
      <c r="N214" s="285"/>
      <c r="O214" s="136">
        <f t="shared" si="33"/>
        <v>0</v>
      </c>
      <c r="P214" s="85"/>
    </row>
    <row r="215" spans="1:16" hidden="1" x14ac:dyDescent="0.25">
      <c r="A215" s="76">
        <v>5217</v>
      </c>
      <c r="B215" s="127" t="s">
        <v>231</v>
      </c>
      <c r="C215" s="279">
        <f t="shared" si="26"/>
        <v>0</v>
      </c>
      <c r="D215" s="134"/>
      <c r="E215" s="285"/>
      <c r="F215" s="286">
        <f t="shared" si="30"/>
        <v>0</v>
      </c>
      <c r="G215" s="134"/>
      <c r="H215" s="135"/>
      <c r="I215" s="136">
        <f t="shared" si="31"/>
        <v>0</v>
      </c>
      <c r="J215" s="134"/>
      <c r="K215" s="135"/>
      <c r="L215" s="136">
        <f t="shared" si="32"/>
        <v>0</v>
      </c>
      <c r="M215" s="284"/>
      <c r="N215" s="285"/>
      <c r="O215" s="136">
        <f t="shared" si="33"/>
        <v>0</v>
      </c>
      <c r="P215" s="85"/>
    </row>
    <row r="216" spans="1:16" hidden="1" x14ac:dyDescent="0.25">
      <c r="A216" s="76">
        <v>5218</v>
      </c>
      <c r="B216" s="127" t="s">
        <v>232</v>
      </c>
      <c r="C216" s="279">
        <f t="shared" si="26"/>
        <v>0</v>
      </c>
      <c r="D216" s="134"/>
      <c r="E216" s="285"/>
      <c r="F216" s="286">
        <f t="shared" si="30"/>
        <v>0</v>
      </c>
      <c r="G216" s="134"/>
      <c r="H216" s="135"/>
      <c r="I216" s="136">
        <f t="shared" si="31"/>
        <v>0</v>
      </c>
      <c r="J216" s="134"/>
      <c r="K216" s="135"/>
      <c r="L216" s="136">
        <f t="shared" si="32"/>
        <v>0</v>
      </c>
      <c r="M216" s="284"/>
      <c r="N216" s="285"/>
      <c r="O216" s="136">
        <f t="shared" si="33"/>
        <v>0</v>
      </c>
      <c r="P216" s="85"/>
    </row>
    <row r="217" spans="1:16" hidden="1" x14ac:dyDescent="0.25">
      <c r="A217" s="76">
        <v>5219</v>
      </c>
      <c r="B217" s="127" t="s">
        <v>233</v>
      </c>
      <c r="C217" s="279">
        <f t="shared" si="26"/>
        <v>0</v>
      </c>
      <c r="D217" s="134"/>
      <c r="E217" s="285"/>
      <c r="F217" s="286">
        <f t="shared" si="30"/>
        <v>0</v>
      </c>
      <c r="G217" s="134"/>
      <c r="H217" s="135"/>
      <c r="I217" s="136">
        <f t="shared" si="31"/>
        <v>0</v>
      </c>
      <c r="J217" s="134"/>
      <c r="K217" s="135"/>
      <c r="L217" s="136">
        <f t="shared" si="32"/>
        <v>0</v>
      </c>
      <c r="M217" s="284"/>
      <c r="N217" s="285"/>
      <c r="O217" s="136">
        <f t="shared" si="33"/>
        <v>0</v>
      </c>
      <c r="P217" s="85"/>
    </row>
    <row r="218" spans="1:16" hidden="1" x14ac:dyDescent="0.25">
      <c r="A218" s="276">
        <v>5220</v>
      </c>
      <c r="B218" s="127" t="s">
        <v>234</v>
      </c>
      <c r="C218" s="279">
        <f t="shared" si="26"/>
        <v>0</v>
      </c>
      <c r="D218" s="134"/>
      <c r="E218" s="285"/>
      <c r="F218" s="286">
        <f t="shared" si="30"/>
        <v>0</v>
      </c>
      <c r="G218" s="134"/>
      <c r="H218" s="135"/>
      <c r="I218" s="136">
        <f t="shared" si="31"/>
        <v>0</v>
      </c>
      <c r="J218" s="134"/>
      <c r="K218" s="135"/>
      <c r="L218" s="136">
        <f t="shared" si="32"/>
        <v>0</v>
      </c>
      <c r="M218" s="284"/>
      <c r="N218" s="285"/>
      <c r="O218" s="136">
        <f t="shared" si="33"/>
        <v>0</v>
      </c>
      <c r="P218" s="85"/>
    </row>
    <row r="219" spans="1:16" x14ac:dyDescent="0.25">
      <c r="A219" s="276">
        <v>5230</v>
      </c>
      <c r="B219" s="127" t="s">
        <v>235</v>
      </c>
      <c r="C219" s="279">
        <f t="shared" si="26"/>
        <v>4344</v>
      </c>
      <c r="D219" s="277">
        <f>SUM(D220:D227)</f>
        <v>3903</v>
      </c>
      <c r="E219" s="278">
        <f>SUM(E220:E227)</f>
        <v>0</v>
      </c>
      <c r="F219" s="279">
        <f t="shared" si="30"/>
        <v>3903</v>
      </c>
      <c r="G219" s="277">
        <f>SUM(G220:G227)</f>
        <v>441</v>
      </c>
      <c r="H219" s="280">
        <f>SUM(H220:H227)</f>
        <v>0</v>
      </c>
      <c r="I219" s="136">
        <f t="shared" si="31"/>
        <v>441</v>
      </c>
      <c r="J219" s="277">
        <f>SUM(J220:J227)</f>
        <v>0</v>
      </c>
      <c r="K219" s="280">
        <f>SUM(K220:K227)</f>
        <v>0</v>
      </c>
      <c r="L219" s="136">
        <f t="shared" si="32"/>
        <v>0</v>
      </c>
      <c r="M219" s="281">
        <f>SUM(M220:M227)</f>
        <v>0</v>
      </c>
      <c r="N219" s="282">
        <f>SUM(N220:N227)</f>
        <v>0</v>
      </c>
      <c r="O219" s="136">
        <f t="shared" si="33"/>
        <v>0</v>
      </c>
      <c r="P219" s="85"/>
    </row>
    <row r="220" spans="1:16" hidden="1" x14ac:dyDescent="0.25">
      <c r="A220" s="76">
        <v>5231</v>
      </c>
      <c r="B220" s="127" t="s">
        <v>236</v>
      </c>
      <c r="C220" s="279">
        <f t="shared" si="26"/>
        <v>0</v>
      </c>
      <c r="D220" s="134"/>
      <c r="E220" s="285"/>
      <c r="F220" s="286">
        <f t="shared" si="30"/>
        <v>0</v>
      </c>
      <c r="G220" s="134"/>
      <c r="H220" s="135"/>
      <c r="I220" s="136">
        <f t="shared" si="31"/>
        <v>0</v>
      </c>
      <c r="J220" s="134"/>
      <c r="K220" s="135"/>
      <c r="L220" s="136">
        <f t="shared" si="32"/>
        <v>0</v>
      </c>
      <c r="M220" s="284"/>
      <c r="N220" s="285"/>
      <c r="O220" s="136">
        <f t="shared" si="33"/>
        <v>0</v>
      </c>
      <c r="P220" s="85"/>
    </row>
    <row r="221" spans="1:16" x14ac:dyDescent="0.25">
      <c r="A221" s="76">
        <v>5232</v>
      </c>
      <c r="B221" s="127" t="s">
        <v>237</v>
      </c>
      <c r="C221" s="279">
        <f t="shared" si="26"/>
        <v>3003</v>
      </c>
      <c r="D221" s="134">
        <v>3003</v>
      </c>
      <c r="E221" s="283"/>
      <c r="F221" s="279">
        <f t="shared" si="30"/>
        <v>3003</v>
      </c>
      <c r="G221" s="134"/>
      <c r="H221" s="135"/>
      <c r="I221" s="136">
        <f t="shared" si="31"/>
        <v>0</v>
      </c>
      <c r="J221" s="134"/>
      <c r="K221" s="135"/>
      <c r="L221" s="136">
        <f t="shared" si="32"/>
        <v>0</v>
      </c>
      <c r="M221" s="284"/>
      <c r="N221" s="285"/>
      <c r="O221" s="136">
        <f t="shared" si="33"/>
        <v>0</v>
      </c>
      <c r="P221" s="85"/>
    </row>
    <row r="222" spans="1:16" x14ac:dyDescent="0.25">
      <c r="A222" s="76">
        <v>5233</v>
      </c>
      <c r="B222" s="127" t="s">
        <v>238</v>
      </c>
      <c r="C222" s="279">
        <f t="shared" si="26"/>
        <v>841</v>
      </c>
      <c r="D222" s="134">
        <v>400</v>
      </c>
      <c r="E222" s="283"/>
      <c r="F222" s="279">
        <f t="shared" si="30"/>
        <v>400</v>
      </c>
      <c r="G222" s="134">
        <v>441</v>
      </c>
      <c r="H222" s="135"/>
      <c r="I222" s="136">
        <f t="shared" si="31"/>
        <v>441</v>
      </c>
      <c r="J222" s="134"/>
      <c r="K222" s="135"/>
      <c r="L222" s="136">
        <f t="shared" si="32"/>
        <v>0</v>
      </c>
      <c r="M222" s="284"/>
      <c r="N222" s="285"/>
      <c r="O222" s="136">
        <f t="shared" si="33"/>
        <v>0</v>
      </c>
      <c r="P222" s="85"/>
    </row>
    <row r="223" spans="1:16" ht="24" hidden="1" x14ac:dyDescent="0.25">
      <c r="A223" s="76">
        <v>5234</v>
      </c>
      <c r="B223" s="127" t="s">
        <v>239</v>
      </c>
      <c r="C223" s="279">
        <f t="shared" si="26"/>
        <v>0</v>
      </c>
      <c r="D223" s="134"/>
      <c r="E223" s="285"/>
      <c r="F223" s="286">
        <f t="shared" si="30"/>
        <v>0</v>
      </c>
      <c r="G223" s="134"/>
      <c r="H223" s="135"/>
      <c r="I223" s="136">
        <f t="shared" si="31"/>
        <v>0</v>
      </c>
      <c r="J223" s="134"/>
      <c r="K223" s="135"/>
      <c r="L223" s="136">
        <f t="shared" si="32"/>
        <v>0</v>
      </c>
      <c r="M223" s="284"/>
      <c r="N223" s="285"/>
      <c r="O223" s="136">
        <f t="shared" si="33"/>
        <v>0</v>
      </c>
      <c r="P223" s="85"/>
    </row>
    <row r="224" spans="1:16" hidden="1" x14ac:dyDescent="0.25">
      <c r="A224" s="76">
        <v>5236</v>
      </c>
      <c r="B224" s="127" t="s">
        <v>240</v>
      </c>
      <c r="C224" s="279">
        <f t="shared" si="26"/>
        <v>0</v>
      </c>
      <c r="D224" s="134"/>
      <c r="E224" s="285"/>
      <c r="F224" s="286">
        <f t="shared" si="30"/>
        <v>0</v>
      </c>
      <c r="G224" s="134"/>
      <c r="H224" s="135"/>
      <c r="I224" s="136">
        <f t="shared" si="31"/>
        <v>0</v>
      </c>
      <c r="J224" s="134"/>
      <c r="K224" s="135"/>
      <c r="L224" s="136">
        <f t="shared" si="32"/>
        <v>0</v>
      </c>
      <c r="M224" s="284"/>
      <c r="N224" s="285"/>
      <c r="O224" s="136">
        <f t="shared" si="33"/>
        <v>0</v>
      </c>
      <c r="P224" s="85"/>
    </row>
    <row r="225" spans="1:16" hidden="1" x14ac:dyDescent="0.25">
      <c r="A225" s="76">
        <v>5237</v>
      </c>
      <c r="B225" s="127" t="s">
        <v>241</v>
      </c>
      <c r="C225" s="279">
        <f t="shared" si="26"/>
        <v>0</v>
      </c>
      <c r="D225" s="134"/>
      <c r="E225" s="285"/>
      <c r="F225" s="286">
        <f t="shared" si="30"/>
        <v>0</v>
      </c>
      <c r="G225" s="134"/>
      <c r="H225" s="135"/>
      <c r="I225" s="136">
        <f t="shared" si="31"/>
        <v>0</v>
      </c>
      <c r="J225" s="134"/>
      <c r="K225" s="135"/>
      <c r="L225" s="136">
        <f t="shared" si="32"/>
        <v>0</v>
      </c>
      <c r="M225" s="284"/>
      <c r="N225" s="285"/>
      <c r="O225" s="136">
        <f t="shared" si="33"/>
        <v>0</v>
      </c>
      <c r="P225" s="85"/>
    </row>
    <row r="226" spans="1:16" ht="24" x14ac:dyDescent="0.25">
      <c r="A226" s="76">
        <v>5238</v>
      </c>
      <c r="B226" s="127" t="s">
        <v>242</v>
      </c>
      <c r="C226" s="279">
        <f t="shared" si="26"/>
        <v>500</v>
      </c>
      <c r="D226" s="134">
        <v>500</v>
      </c>
      <c r="E226" s="283"/>
      <c r="F226" s="279">
        <f t="shared" si="30"/>
        <v>500</v>
      </c>
      <c r="G226" s="134"/>
      <c r="H226" s="135"/>
      <c r="I226" s="136">
        <f t="shared" si="31"/>
        <v>0</v>
      </c>
      <c r="J226" s="134"/>
      <c r="K226" s="135"/>
      <c r="L226" s="136">
        <f t="shared" si="32"/>
        <v>0</v>
      </c>
      <c r="M226" s="284"/>
      <c r="N226" s="285"/>
      <c r="O226" s="136">
        <f t="shared" si="33"/>
        <v>0</v>
      </c>
      <c r="P226" s="85"/>
    </row>
    <row r="227" spans="1:16" ht="24" hidden="1" x14ac:dyDescent="0.25">
      <c r="A227" s="76">
        <v>5239</v>
      </c>
      <c r="B227" s="127" t="s">
        <v>243</v>
      </c>
      <c r="C227" s="279">
        <f t="shared" si="26"/>
        <v>0</v>
      </c>
      <c r="D227" s="134"/>
      <c r="E227" s="285"/>
      <c r="F227" s="286">
        <f t="shared" si="30"/>
        <v>0</v>
      </c>
      <c r="G227" s="134"/>
      <c r="H227" s="135"/>
      <c r="I227" s="136">
        <f t="shared" si="31"/>
        <v>0</v>
      </c>
      <c r="J227" s="134"/>
      <c r="K227" s="135"/>
      <c r="L227" s="136">
        <f t="shared" si="32"/>
        <v>0</v>
      </c>
      <c r="M227" s="284"/>
      <c r="N227" s="285"/>
      <c r="O227" s="136">
        <f t="shared" si="33"/>
        <v>0</v>
      </c>
      <c r="P227" s="85"/>
    </row>
    <row r="228" spans="1:16" ht="24" hidden="1" x14ac:dyDescent="0.25">
      <c r="A228" s="276">
        <v>5240</v>
      </c>
      <c r="B228" s="127" t="s">
        <v>244</v>
      </c>
      <c r="C228" s="279">
        <f t="shared" si="26"/>
        <v>0</v>
      </c>
      <c r="D228" s="134"/>
      <c r="E228" s="285"/>
      <c r="F228" s="286">
        <f t="shared" si="30"/>
        <v>0</v>
      </c>
      <c r="G228" s="134"/>
      <c r="H228" s="135"/>
      <c r="I228" s="136">
        <f t="shared" si="31"/>
        <v>0</v>
      </c>
      <c r="J228" s="134"/>
      <c r="K228" s="135"/>
      <c r="L228" s="136">
        <f t="shared" si="32"/>
        <v>0</v>
      </c>
      <c r="M228" s="284"/>
      <c r="N228" s="285"/>
      <c r="O228" s="136">
        <f t="shared" si="33"/>
        <v>0</v>
      </c>
      <c r="P228" s="85"/>
    </row>
    <row r="229" spans="1:16" hidden="1" x14ac:dyDescent="0.25">
      <c r="A229" s="276">
        <v>5250</v>
      </c>
      <c r="B229" s="127" t="s">
        <v>245</v>
      </c>
      <c r="C229" s="279">
        <f t="shared" si="26"/>
        <v>0</v>
      </c>
      <c r="D229" s="134"/>
      <c r="E229" s="285"/>
      <c r="F229" s="286">
        <f t="shared" si="30"/>
        <v>0</v>
      </c>
      <c r="G229" s="134"/>
      <c r="H229" s="135"/>
      <c r="I229" s="136">
        <f t="shared" si="31"/>
        <v>0</v>
      </c>
      <c r="J229" s="134"/>
      <c r="K229" s="135"/>
      <c r="L229" s="136">
        <f t="shared" si="32"/>
        <v>0</v>
      </c>
      <c r="M229" s="284"/>
      <c r="N229" s="285"/>
      <c r="O229" s="136">
        <f t="shared" si="33"/>
        <v>0</v>
      </c>
      <c r="P229" s="85"/>
    </row>
    <row r="230" spans="1:16" hidden="1" x14ac:dyDescent="0.25">
      <c r="A230" s="276">
        <v>5260</v>
      </c>
      <c r="B230" s="127" t="s">
        <v>246</v>
      </c>
      <c r="C230" s="279">
        <f t="shared" si="26"/>
        <v>0</v>
      </c>
      <c r="D230" s="277">
        <f>SUM(D231)</f>
        <v>0</v>
      </c>
      <c r="E230" s="282">
        <f>SUM(E231)</f>
        <v>0</v>
      </c>
      <c r="F230" s="286">
        <f t="shared" si="30"/>
        <v>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row>
    <row r="231" spans="1:16" ht="24" hidden="1" x14ac:dyDescent="0.25">
      <c r="A231" s="76">
        <v>5269</v>
      </c>
      <c r="B231" s="127" t="s">
        <v>247</v>
      </c>
      <c r="C231" s="279">
        <f t="shared" si="26"/>
        <v>0</v>
      </c>
      <c r="D231" s="134"/>
      <c r="E231" s="285"/>
      <c r="F231" s="286">
        <f t="shared" si="30"/>
        <v>0</v>
      </c>
      <c r="G231" s="134"/>
      <c r="H231" s="135"/>
      <c r="I231" s="136">
        <f t="shared" si="31"/>
        <v>0</v>
      </c>
      <c r="J231" s="134"/>
      <c r="K231" s="135"/>
      <c r="L231" s="136">
        <f t="shared" si="32"/>
        <v>0</v>
      </c>
      <c r="M231" s="284"/>
      <c r="N231" s="285"/>
      <c r="O231" s="136">
        <f t="shared" si="33"/>
        <v>0</v>
      </c>
      <c r="P231" s="85"/>
    </row>
    <row r="232" spans="1:16" ht="24" hidden="1" x14ac:dyDescent="0.25">
      <c r="A232" s="254">
        <v>5270</v>
      </c>
      <c r="B232" s="179" t="s">
        <v>248</v>
      </c>
      <c r="C232" s="302">
        <f t="shared" si="26"/>
        <v>0</v>
      </c>
      <c r="D232" s="287"/>
      <c r="E232" s="291"/>
      <c r="F232" s="310">
        <f t="shared" si="30"/>
        <v>0</v>
      </c>
      <c r="G232" s="287"/>
      <c r="H232" s="289"/>
      <c r="I232" s="259">
        <f t="shared" si="31"/>
        <v>0</v>
      </c>
      <c r="J232" s="287"/>
      <c r="K232" s="289"/>
      <c r="L232" s="259">
        <f t="shared" si="32"/>
        <v>0</v>
      </c>
      <c r="M232" s="290"/>
      <c r="N232" s="291"/>
      <c r="O232" s="259">
        <f t="shared" si="33"/>
        <v>0</v>
      </c>
      <c r="P232" s="189"/>
    </row>
    <row r="233" spans="1:16" hidden="1" x14ac:dyDescent="0.25">
      <c r="A233" s="237">
        <v>6000</v>
      </c>
      <c r="B233" s="237" t="s">
        <v>249</v>
      </c>
      <c r="C233" s="238">
        <f t="shared" si="26"/>
        <v>0</v>
      </c>
      <c r="D233" s="239">
        <f>D234+D254+D261</f>
        <v>0</v>
      </c>
      <c r="E233" s="245">
        <f>E234+E254+E261</f>
        <v>0</v>
      </c>
      <c r="F233" s="320">
        <f t="shared" si="30"/>
        <v>0</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row>
    <row r="234" spans="1:16"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row>
    <row r="235" spans="1:16" ht="24" hidden="1" x14ac:dyDescent="0.25">
      <c r="A235" s="656">
        <v>6220</v>
      </c>
      <c r="B235" s="116" t="s">
        <v>251</v>
      </c>
      <c r="C235" s="298">
        <f t="shared" si="26"/>
        <v>0</v>
      </c>
      <c r="D235" s="123"/>
      <c r="E235" s="262"/>
      <c r="F235" s="263">
        <f t="shared" si="30"/>
        <v>0</v>
      </c>
      <c r="G235" s="123"/>
      <c r="H235" s="124"/>
      <c r="I235" s="125">
        <f t="shared" si="31"/>
        <v>0</v>
      </c>
      <c r="J235" s="123"/>
      <c r="K235" s="124"/>
      <c r="L235" s="125">
        <f t="shared" si="32"/>
        <v>0</v>
      </c>
      <c r="M235" s="264"/>
      <c r="N235" s="262"/>
      <c r="O235" s="125">
        <f t="shared" si="33"/>
        <v>0</v>
      </c>
      <c r="P235" s="74"/>
    </row>
    <row r="236" spans="1:16" hidden="1" x14ac:dyDescent="0.25">
      <c r="A236" s="276">
        <v>6230</v>
      </c>
      <c r="B236" s="127" t="s">
        <v>252</v>
      </c>
      <c r="C236" s="278">
        <f t="shared" si="26"/>
        <v>0</v>
      </c>
      <c r="D236" s="277">
        <f>SUM(D237)</f>
        <v>0</v>
      </c>
      <c r="E236" s="280">
        <f>SUM(E237)</f>
        <v>0</v>
      </c>
      <c r="F236" s="28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row>
    <row r="237" spans="1:16" ht="24" hidden="1" x14ac:dyDescent="0.25">
      <c r="A237" s="76">
        <v>6239</v>
      </c>
      <c r="B237" s="116" t="s">
        <v>253</v>
      </c>
      <c r="C237" s="278">
        <f t="shared" si="26"/>
        <v>0</v>
      </c>
      <c r="D237" s="134"/>
      <c r="E237" s="285"/>
      <c r="F237" s="286">
        <f t="shared" si="30"/>
        <v>0</v>
      </c>
      <c r="G237" s="134"/>
      <c r="H237" s="135"/>
      <c r="I237" s="136">
        <f t="shared" si="31"/>
        <v>0</v>
      </c>
      <c r="J237" s="134"/>
      <c r="K237" s="135"/>
      <c r="L237" s="136">
        <f t="shared" si="32"/>
        <v>0</v>
      </c>
      <c r="M237" s="284"/>
      <c r="N237" s="285"/>
      <c r="O237" s="136">
        <f t="shared" si="33"/>
        <v>0</v>
      </c>
      <c r="P237" s="85"/>
    </row>
    <row r="238" spans="1:16" ht="24" hidden="1" x14ac:dyDescent="0.25">
      <c r="A238" s="276">
        <v>6240</v>
      </c>
      <c r="B238" s="127" t="s">
        <v>254</v>
      </c>
      <c r="C238" s="278">
        <f t="shared" si="26"/>
        <v>0</v>
      </c>
      <c r="D238" s="277">
        <f>SUM(D239:D240)</f>
        <v>0</v>
      </c>
      <c r="E238" s="282">
        <f>SUM(E239:E240)</f>
        <v>0</v>
      </c>
      <c r="F238" s="28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row>
    <row r="239" spans="1:16" hidden="1" x14ac:dyDescent="0.25">
      <c r="A239" s="76">
        <v>6241</v>
      </c>
      <c r="B239" s="127" t="s">
        <v>255</v>
      </c>
      <c r="C239" s="278">
        <f t="shared" si="26"/>
        <v>0</v>
      </c>
      <c r="D239" s="134"/>
      <c r="E239" s="285"/>
      <c r="F239" s="286">
        <f t="shared" si="30"/>
        <v>0</v>
      </c>
      <c r="G239" s="134"/>
      <c r="H239" s="135"/>
      <c r="I239" s="136">
        <f t="shared" si="31"/>
        <v>0</v>
      </c>
      <c r="J239" s="134"/>
      <c r="K239" s="135"/>
      <c r="L239" s="136">
        <f t="shared" si="32"/>
        <v>0</v>
      </c>
      <c r="M239" s="284"/>
      <c r="N239" s="285"/>
      <c r="O239" s="136">
        <f t="shared" si="33"/>
        <v>0</v>
      </c>
      <c r="P239" s="85"/>
    </row>
    <row r="240" spans="1:16" hidden="1" x14ac:dyDescent="0.25">
      <c r="A240" s="76">
        <v>6242</v>
      </c>
      <c r="B240" s="127" t="s">
        <v>256</v>
      </c>
      <c r="C240" s="278">
        <f t="shared" si="26"/>
        <v>0</v>
      </c>
      <c r="D240" s="134"/>
      <c r="E240" s="285"/>
      <c r="F240" s="286">
        <f t="shared" si="30"/>
        <v>0</v>
      </c>
      <c r="G240" s="134"/>
      <c r="H240" s="135"/>
      <c r="I240" s="136">
        <f t="shared" si="31"/>
        <v>0</v>
      </c>
      <c r="J240" s="134"/>
      <c r="K240" s="135"/>
      <c r="L240" s="136">
        <f t="shared" si="32"/>
        <v>0</v>
      </c>
      <c r="M240" s="284"/>
      <c r="N240" s="285"/>
      <c r="O240" s="136">
        <f t="shared" si="33"/>
        <v>0</v>
      </c>
      <c r="P240" s="85"/>
    </row>
    <row r="241" spans="1:16" ht="24" hidden="1" x14ac:dyDescent="0.25">
      <c r="A241" s="276">
        <v>6250</v>
      </c>
      <c r="B241" s="127" t="s">
        <v>257</v>
      </c>
      <c r="C241" s="278">
        <f t="shared" si="26"/>
        <v>0</v>
      </c>
      <c r="D241" s="277">
        <f>SUM(D242:D246)</f>
        <v>0</v>
      </c>
      <c r="E241" s="282">
        <f>SUM(E242:E246)</f>
        <v>0</v>
      </c>
      <c r="F241" s="28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row>
    <row r="242" spans="1:16" hidden="1" x14ac:dyDescent="0.25">
      <c r="A242" s="76">
        <v>6252</v>
      </c>
      <c r="B242" s="127" t="s">
        <v>258</v>
      </c>
      <c r="C242" s="278">
        <f t="shared" si="26"/>
        <v>0</v>
      </c>
      <c r="D242" s="134"/>
      <c r="E242" s="285"/>
      <c r="F242" s="286">
        <f t="shared" si="30"/>
        <v>0</v>
      </c>
      <c r="G242" s="134"/>
      <c r="H242" s="135"/>
      <c r="I242" s="136">
        <f t="shared" si="31"/>
        <v>0</v>
      </c>
      <c r="J242" s="134"/>
      <c r="K242" s="135"/>
      <c r="L242" s="136">
        <f t="shared" si="32"/>
        <v>0</v>
      </c>
      <c r="M242" s="284"/>
      <c r="N242" s="285"/>
      <c r="O242" s="136">
        <f t="shared" si="33"/>
        <v>0</v>
      </c>
      <c r="P242" s="85"/>
    </row>
    <row r="243" spans="1:16" hidden="1" x14ac:dyDescent="0.25">
      <c r="A243" s="76">
        <v>6253</v>
      </c>
      <c r="B243" s="127" t="s">
        <v>259</v>
      </c>
      <c r="C243" s="278">
        <f t="shared" si="26"/>
        <v>0</v>
      </c>
      <c r="D243" s="134"/>
      <c r="E243" s="285"/>
      <c r="F243" s="286">
        <f t="shared" si="30"/>
        <v>0</v>
      </c>
      <c r="G243" s="134"/>
      <c r="H243" s="135"/>
      <c r="I243" s="136">
        <f t="shared" si="31"/>
        <v>0</v>
      </c>
      <c r="J243" s="134"/>
      <c r="K243" s="135"/>
      <c r="L243" s="136">
        <f t="shared" si="32"/>
        <v>0</v>
      </c>
      <c r="M243" s="284"/>
      <c r="N243" s="285"/>
      <c r="O243" s="136">
        <f t="shared" si="33"/>
        <v>0</v>
      </c>
      <c r="P243" s="85"/>
    </row>
    <row r="244" spans="1:16" ht="24" hidden="1" x14ac:dyDescent="0.25">
      <c r="A244" s="76">
        <v>6254</v>
      </c>
      <c r="B244" s="127" t="s">
        <v>260</v>
      </c>
      <c r="C244" s="278">
        <f t="shared" si="26"/>
        <v>0</v>
      </c>
      <c r="D244" s="134"/>
      <c r="E244" s="285"/>
      <c r="F244" s="286">
        <f t="shared" si="30"/>
        <v>0</v>
      </c>
      <c r="G244" s="134"/>
      <c r="H244" s="135"/>
      <c r="I244" s="136">
        <f t="shared" si="31"/>
        <v>0</v>
      </c>
      <c r="J244" s="134"/>
      <c r="K244" s="135"/>
      <c r="L244" s="136">
        <f t="shared" si="32"/>
        <v>0</v>
      </c>
      <c r="M244" s="284"/>
      <c r="N244" s="285"/>
      <c r="O244" s="136">
        <f t="shared" si="33"/>
        <v>0</v>
      </c>
      <c r="P244" s="85"/>
    </row>
    <row r="245" spans="1:16" ht="24" hidden="1" x14ac:dyDescent="0.25">
      <c r="A245" s="76">
        <v>6255</v>
      </c>
      <c r="B245" s="127" t="s">
        <v>261</v>
      </c>
      <c r="C245" s="278">
        <f t="shared" si="26"/>
        <v>0</v>
      </c>
      <c r="D245" s="134"/>
      <c r="E245" s="285"/>
      <c r="F245" s="286">
        <f t="shared" si="30"/>
        <v>0</v>
      </c>
      <c r="G245" s="134"/>
      <c r="H245" s="135"/>
      <c r="I245" s="136">
        <f t="shared" si="31"/>
        <v>0</v>
      </c>
      <c r="J245" s="134"/>
      <c r="K245" s="135"/>
      <c r="L245" s="136">
        <f t="shared" si="32"/>
        <v>0</v>
      </c>
      <c r="M245" s="284"/>
      <c r="N245" s="285"/>
      <c r="O245" s="136">
        <f t="shared" si="33"/>
        <v>0</v>
      </c>
      <c r="P245" s="85"/>
    </row>
    <row r="246" spans="1:16" hidden="1" x14ac:dyDescent="0.25">
      <c r="A246" s="76">
        <v>6259</v>
      </c>
      <c r="B246" s="127" t="s">
        <v>262</v>
      </c>
      <c r="C246" s="278">
        <f t="shared" si="26"/>
        <v>0</v>
      </c>
      <c r="D246" s="134"/>
      <c r="E246" s="285"/>
      <c r="F246" s="286">
        <f t="shared" si="30"/>
        <v>0</v>
      </c>
      <c r="G246" s="134"/>
      <c r="H246" s="135"/>
      <c r="I246" s="136">
        <f t="shared" si="31"/>
        <v>0</v>
      </c>
      <c r="J246" s="134"/>
      <c r="K246" s="135"/>
      <c r="L246" s="136">
        <f t="shared" si="32"/>
        <v>0</v>
      </c>
      <c r="M246" s="284"/>
      <c r="N246" s="285"/>
      <c r="O246" s="136">
        <f t="shared" si="33"/>
        <v>0</v>
      </c>
      <c r="P246" s="85"/>
    </row>
    <row r="247" spans="1:16" ht="24" hidden="1" x14ac:dyDescent="0.25">
      <c r="A247" s="276">
        <v>6260</v>
      </c>
      <c r="B247" s="127" t="s">
        <v>263</v>
      </c>
      <c r="C247" s="278">
        <f t="shared" si="26"/>
        <v>0</v>
      </c>
      <c r="D247" s="134"/>
      <c r="E247" s="285"/>
      <c r="F247" s="286">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row>
    <row r="248" spans="1:16" hidden="1" x14ac:dyDescent="0.25">
      <c r="A248" s="276">
        <v>6270</v>
      </c>
      <c r="B248" s="127" t="s">
        <v>264</v>
      </c>
      <c r="C248" s="278">
        <f t="shared" si="26"/>
        <v>0</v>
      </c>
      <c r="D248" s="134"/>
      <c r="E248" s="285"/>
      <c r="F248" s="286">
        <f t="shared" si="37"/>
        <v>0</v>
      </c>
      <c r="G248" s="134"/>
      <c r="H248" s="135"/>
      <c r="I248" s="136">
        <f t="shared" si="38"/>
        <v>0</v>
      </c>
      <c r="J248" s="134"/>
      <c r="K248" s="135"/>
      <c r="L248" s="136">
        <f t="shared" si="39"/>
        <v>0</v>
      </c>
      <c r="M248" s="284"/>
      <c r="N248" s="285"/>
      <c r="O248" s="136">
        <f t="shared" si="40"/>
        <v>0</v>
      </c>
      <c r="P248" s="85"/>
    </row>
    <row r="249" spans="1:16" ht="24" hidden="1" x14ac:dyDescent="0.25">
      <c r="A249" s="656">
        <v>6290</v>
      </c>
      <c r="B249" s="116" t="s">
        <v>265</v>
      </c>
      <c r="C249" s="278">
        <f t="shared" si="26"/>
        <v>0</v>
      </c>
      <c r="D249" s="297">
        <f>SUM(D250:D253)</f>
        <v>0</v>
      </c>
      <c r="E249" s="301">
        <f>SUM(E250:E253)</f>
        <v>0</v>
      </c>
      <c r="F249" s="263">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row>
    <row r="250" spans="1:16" hidden="1" x14ac:dyDescent="0.25">
      <c r="A250" s="76">
        <v>6291</v>
      </c>
      <c r="B250" s="127" t="s">
        <v>266</v>
      </c>
      <c r="C250" s="278">
        <f t="shared" si="26"/>
        <v>0</v>
      </c>
      <c r="D250" s="134"/>
      <c r="E250" s="285"/>
      <c r="F250" s="286">
        <f t="shared" si="37"/>
        <v>0</v>
      </c>
      <c r="G250" s="134"/>
      <c r="H250" s="135"/>
      <c r="I250" s="136">
        <f t="shared" si="38"/>
        <v>0</v>
      </c>
      <c r="J250" s="134"/>
      <c r="K250" s="135"/>
      <c r="L250" s="136">
        <f t="shared" si="39"/>
        <v>0</v>
      </c>
      <c r="M250" s="284"/>
      <c r="N250" s="285"/>
      <c r="O250" s="136">
        <f t="shared" si="40"/>
        <v>0</v>
      </c>
      <c r="P250" s="85"/>
    </row>
    <row r="251" spans="1:16" hidden="1" x14ac:dyDescent="0.25">
      <c r="A251" s="76">
        <v>6292</v>
      </c>
      <c r="B251" s="127" t="s">
        <v>267</v>
      </c>
      <c r="C251" s="278">
        <f t="shared" si="26"/>
        <v>0</v>
      </c>
      <c r="D251" s="134"/>
      <c r="E251" s="285"/>
      <c r="F251" s="286">
        <f t="shared" si="37"/>
        <v>0</v>
      </c>
      <c r="G251" s="134"/>
      <c r="H251" s="135"/>
      <c r="I251" s="136">
        <f t="shared" si="38"/>
        <v>0</v>
      </c>
      <c r="J251" s="134"/>
      <c r="K251" s="135"/>
      <c r="L251" s="136">
        <f t="shared" si="39"/>
        <v>0</v>
      </c>
      <c r="M251" s="284"/>
      <c r="N251" s="285"/>
      <c r="O251" s="136">
        <f t="shared" si="40"/>
        <v>0</v>
      </c>
      <c r="P251" s="85"/>
    </row>
    <row r="252" spans="1:16" ht="72" hidden="1" x14ac:dyDescent="0.25">
      <c r="A252" s="76">
        <v>6296</v>
      </c>
      <c r="B252" s="127" t="s">
        <v>268</v>
      </c>
      <c r="C252" s="278">
        <f t="shared" si="26"/>
        <v>0</v>
      </c>
      <c r="D252" s="134"/>
      <c r="E252" s="285"/>
      <c r="F252" s="286">
        <f t="shared" si="37"/>
        <v>0</v>
      </c>
      <c r="G252" s="134"/>
      <c r="H252" s="135"/>
      <c r="I252" s="136">
        <f t="shared" si="38"/>
        <v>0</v>
      </c>
      <c r="J252" s="134"/>
      <c r="K252" s="135"/>
      <c r="L252" s="136">
        <f t="shared" si="39"/>
        <v>0</v>
      </c>
      <c r="M252" s="284"/>
      <c r="N252" s="285"/>
      <c r="O252" s="136">
        <f t="shared" si="40"/>
        <v>0</v>
      </c>
      <c r="P252" s="85"/>
    </row>
    <row r="253" spans="1:16" ht="36" hidden="1" x14ac:dyDescent="0.25">
      <c r="A253" s="76">
        <v>6299</v>
      </c>
      <c r="B253" s="127" t="s">
        <v>269</v>
      </c>
      <c r="C253" s="278">
        <f t="shared" si="26"/>
        <v>0</v>
      </c>
      <c r="D253" s="134"/>
      <c r="E253" s="285"/>
      <c r="F253" s="286">
        <f t="shared" si="37"/>
        <v>0</v>
      </c>
      <c r="G253" s="134"/>
      <c r="H253" s="135"/>
      <c r="I253" s="136">
        <f t="shared" si="38"/>
        <v>0</v>
      </c>
      <c r="J253" s="134"/>
      <c r="K253" s="135"/>
      <c r="L253" s="136">
        <f t="shared" si="39"/>
        <v>0</v>
      </c>
      <c r="M253" s="284"/>
      <c r="N253" s="285"/>
      <c r="O253" s="136">
        <f t="shared" si="40"/>
        <v>0</v>
      </c>
      <c r="P253" s="85"/>
    </row>
    <row r="254" spans="1:16" hidden="1" x14ac:dyDescent="0.25">
      <c r="A254" s="99">
        <v>6300</v>
      </c>
      <c r="B254" s="247" t="s">
        <v>270</v>
      </c>
      <c r="C254" s="100">
        <f t="shared" si="26"/>
        <v>0</v>
      </c>
      <c r="D254" s="112">
        <f>SUM(D255,D259,D260)</f>
        <v>0</v>
      </c>
      <c r="E254" s="293">
        <f>SUM(E255,E259,E260)</f>
        <v>0</v>
      </c>
      <c r="F254" s="313">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row>
    <row r="255" spans="1:16" ht="24" hidden="1" x14ac:dyDescent="0.25">
      <c r="A255" s="656">
        <v>6320</v>
      </c>
      <c r="B255" s="116" t="s">
        <v>271</v>
      </c>
      <c r="C255" s="322">
        <f t="shared" si="26"/>
        <v>0</v>
      </c>
      <c r="D255" s="297">
        <f>SUM(D256:D258)</f>
        <v>0</v>
      </c>
      <c r="E255" s="301">
        <f>SUM(E256:E258)</f>
        <v>0</v>
      </c>
      <c r="F255" s="263">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row>
    <row r="256" spans="1:16" hidden="1" x14ac:dyDescent="0.25">
      <c r="A256" s="76">
        <v>6322</v>
      </c>
      <c r="B256" s="127" t="s">
        <v>272</v>
      </c>
      <c r="C256" s="281">
        <f t="shared" si="26"/>
        <v>0</v>
      </c>
      <c r="D256" s="134"/>
      <c r="E256" s="285"/>
      <c r="F256" s="286">
        <f t="shared" si="37"/>
        <v>0</v>
      </c>
      <c r="G256" s="134"/>
      <c r="H256" s="135"/>
      <c r="I256" s="136">
        <f t="shared" si="38"/>
        <v>0</v>
      </c>
      <c r="J256" s="134"/>
      <c r="K256" s="135"/>
      <c r="L256" s="136">
        <f t="shared" si="39"/>
        <v>0</v>
      </c>
      <c r="M256" s="284"/>
      <c r="N256" s="285"/>
      <c r="O256" s="136">
        <f t="shared" si="40"/>
        <v>0</v>
      </c>
      <c r="P256" s="85"/>
    </row>
    <row r="257" spans="1:16" ht="24" hidden="1" x14ac:dyDescent="0.25">
      <c r="A257" s="76">
        <v>6323</v>
      </c>
      <c r="B257" s="127" t="s">
        <v>273</v>
      </c>
      <c r="C257" s="281">
        <f t="shared" si="26"/>
        <v>0</v>
      </c>
      <c r="D257" s="134"/>
      <c r="E257" s="285"/>
      <c r="F257" s="286">
        <f t="shared" si="37"/>
        <v>0</v>
      </c>
      <c r="G257" s="134"/>
      <c r="H257" s="135"/>
      <c r="I257" s="136">
        <f t="shared" si="38"/>
        <v>0</v>
      </c>
      <c r="J257" s="134"/>
      <c r="K257" s="135"/>
      <c r="L257" s="136">
        <f t="shared" si="39"/>
        <v>0</v>
      </c>
      <c r="M257" s="284"/>
      <c r="N257" s="285"/>
      <c r="O257" s="136">
        <f t="shared" si="40"/>
        <v>0</v>
      </c>
      <c r="P257" s="85"/>
    </row>
    <row r="258" spans="1:16" ht="24" hidden="1" x14ac:dyDescent="0.25">
      <c r="A258" s="66">
        <v>6324</v>
      </c>
      <c r="B258" s="116" t="s">
        <v>274</v>
      </c>
      <c r="C258" s="281">
        <f t="shared" si="26"/>
        <v>0</v>
      </c>
      <c r="D258" s="123"/>
      <c r="E258" s="262"/>
      <c r="F258" s="263">
        <f t="shared" si="37"/>
        <v>0</v>
      </c>
      <c r="G258" s="123"/>
      <c r="H258" s="124"/>
      <c r="I258" s="125">
        <f t="shared" si="38"/>
        <v>0</v>
      </c>
      <c r="J258" s="123"/>
      <c r="K258" s="124"/>
      <c r="L258" s="125">
        <f t="shared" si="39"/>
        <v>0</v>
      </c>
      <c r="M258" s="264"/>
      <c r="N258" s="262"/>
      <c r="O258" s="125">
        <f t="shared" si="40"/>
        <v>0</v>
      </c>
      <c r="P258" s="74"/>
    </row>
    <row r="259" spans="1:16" ht="24" hidden="1" x14ac:dyDescent="0.25">
      <c r="A259" s="344">
        <v>6330</v>
      </c>
      <c r="B259" s="345" t="s">
        <v>275</v>
      </c>
      <c r="C259" s="281">
        <f t="shared" ref="C259:C286" si="50">F259+I259+L259+O259</f>
        <v>0</v>
      </c>
      <c r="D259" s="328"/>
      <c r="E259" s="329"/>
      <c r="F259" s="330">
        <f t="shared" si="37"/>
        <v>0</v>
      </c>
      <c r="G259" s="328"/>
      <c r="H259" s="331"/>
      <c r="I259" s="324">
        <f t="shared" si="38"/>
        <v>0</v>
      </c>
      <c r="J259" s="328"/>
      <c r="K259" s="331"/>
      <c r="L259" s="324">
        <f t="shared" si="39"/>
        <v>0</v>
      </c>
      <c r="M259" s="332"/>
      <c r="N259" s="329"/>
      <c r="O259" s="324">
        <f t="shared" si="40"/>
        <v>0</v>
      </c>
      <c r="P259" s="325"/>
    </row>
    <row r="260" spans="1:16" hidden="1" x14ac:dyDescent="0.25">
      <c r="A260" s="276">
        <v>6360</v>
      </c>
      <c r="B260" s="127" t="s">
        <v>276</v>
      </c>
      <c r="C260" s="281">
        <f t="shared" si="50"/>
        <v>0</v>
      </c>
      <c r="D260" s="134"/>
      <c r="E260" s="285"/>
      <c r="F260" s="286">
        <f t="shared" si="37"/>
        <v>0</v>
      </c>
      <c r="G260" s="134"/>
      <c r="H260" s="135"/>
      <c r="I260" s="136">
        <f t="shared" si="38"/>
        <v>0</v>
      </c>
      <c r="J260" s="134"/>
      <c r="K260" s="135"/>
      <c r="L260" s="136">
        <f t="shared" si="39"/>
        <v>0</v>
      </c>
      <c r="M260" s="284"/>
      <c r="N260" s="285"/>
      <c r="O260" s="136">
        <f t="shared" si="40"/>
        <v>0</v>
      </c>
      <c r="P260" s="85"/>
    </row>
    <row r="261" spans="1:16" ht="36" hidden="1" x14ac:dyDescent="0.25">
      <c r="A261" s="99">
        <v>6400</v>
      </c>
      <c r="B261" s="247" t="s">
        <v>277</v>
      </c>
      <c r="C261" s="100">
        <f t="shared" si="50"/>
        <v>0</v>
      </c>
      <c r="D261" s="112">
        <f>SUM(D262,D266)</f>
        <v>0</v>
      </c>
      <c r="E261" s="293">
        <f>SUM(E262,E266)</f>
        <v>0</v>
      </c>
      <c r="F261" s="313">
        <f t="shared" si="37"/>
        <v>0</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row>
    <row r="262" spans="1:16" ht="24" hidden="1" x14ac:dyDescent="0.25">
      <c r="A262" s="656">
        <v>6410</v>
      </c>
      <c r="B262" s="116" t="s">
        <v>278</v>
      </c>
      <c r="C262" s="300">
        <f t="shared" si="50"/>
        <v>0</v>
      </c>
      <c r="D262" s="297">
        <f>SUM(D263:D265)</f>
        <v>0</v>
      </c>
      <c r="E262" s="301">
        <f>SUM(E263:E265)</f>
        <v>0</v>
      </c>
      <c r="F262" s="263">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row>
    <row r="263" spans="1:16" hidden="1" x14ac:dyDescent="0.25">
      <c r="A263" s="76">
        <v>6411</v>
      </c>
      <c r="B263" s="346" t="s">
        <v>279</v>
      </c>
      <c r="C263" s="278">
        <f t="shared" si="50"/>
        <v>0</v>
      </c>
      <c r="D263" s="134"/>
      <c r="E263" s="285"/>
      <c r="F263" s="286">
        <f t="shared" si="37"/>
        <v>0</v>
      </c>
      <c r="G263" s="134"/>
      <c r="H263" s="135"/>
      <c r="I263" s="136">
        <f t="shared" si="38"/>
        <v>0</v>
      </c>
      <c r="J263" s="134"/>
      <c r="K263" s="135"/>
      <c r="L263" s="136">
        <f t="shared" si="39"/>
        <v>0</v>
      </c>
      <c r="M263" s="284"/>
      <c r="N263" s="285"/>
      <c r="O263" s="136">
        <f t="shared" si="40"/>
        <v>0</v>
      </c>
      <c r="P263" s="85"/>
    </row>
    <row r="264" spans="1:16" ht="36" hidden="1" x14ac:dyDescent="0.25">
      <c r="A264" s="76">
        <v>6412</v>
      </c>
      <c r="B264" s="127" t="s">
        <v>280</v>
      </c>
      <c r="C264" s="278">
        <f t="shared" si="50"/>
        <v>0</v>
      </c>
      <c r="D264" s="134"/>
      <c r="E264" s="285"/>
      <c r="F264" s="286">
        <f t="shared" si="37"/>
        <v>0</v>
      </c>
      <c r="G264" s="134"/>
      <c r="H264" s="135"/>
      <c r="I264" s="136">
        <f t="shared" si="38"/>
        <v>0</v>
      </c>
      <c r="J264" s="134"/>
      <c r="K264" s="135"/>
      <c r="L264" s="136">
        <f t="shared" si="39"/>
        <v>0</v>
      </c>
      <c r="M264" s="284"/>
      <c r="N264" s="285"/>
      <c r="O264" s="136">
        <f t="shared" si="40"/>
        <v>0</v>
      </c>
      <c r="P264" s="85"/>
    </row>
    <row r="265" spans="1:16" ht="36" hidden="1" x14ac:dyDescent="0.25">
      <c r="A265" s="76">
        <v>6419</v>
      </c>
      <c r="B265" s="127" t="s">
        <v>281</v>
      </c>
      <c r="C265" s="278">
        <f t="shared" si="50"/>
        <v>0</v>
      </c>
      <c r="D265" s="134"/>
      <c r="E265" s="285"/>
      <c r="F265" s="286">
        <f t="shared" si="37"/>
        <v>0</v>
      </c>
      <c r="G265" s="134"/>
      <c r="H265" s="135"/>
      <c r="I265" s="136">
        <f t="shared" si="38"/>
        <v>0</v>
      </c>
      <c r="J265" s="134"/>
      <c r="K265" s="135"/>
      <c r="L265" s="136">
        <f t="shared" si="39"/>
        <v>0</v>
      </c>
      <c r="M265" s="284"/>
      <c r="N265" s="285"/>
      <c r="O265" s="136">
        <f t="shared" si="40"/>
        <v>0</v>
      </c>
      <c r="P265" s="85"/>
    </row>
    <row r="266" spans="1:16" ht="36" hidden="1" x14ac:dyDescent="0.25">
      <c r="A266" s="276">
        <v>6420</v>
      </c>
      <c r="B266" s="127" t="s">
        <v>282</v>
      </c>
      <c r="C266" s="278">
        <f t="shared" si="50"/>
        <v>0</v>
      </c>
      <c r="D266" s="277">
        <f>SUM(D267:D270)</f>
        <v>0</v>
      </c>
      <c r="E266" s="282">
        <f>SUM(E267:E270)</f>
        <v>0</v>
      </c>
      <c r="F266" s="286">
        <f t="shared" si="37"/>
        <v>0</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row>
    <row r="267" spans="1:16" hidden="1" x14ac:dyDescent="0.25">
      <c r="A267" s="76">
        <v>6421</v>
      </c>
      <c r="B267" s="127" t="s">
        <v>283</v>
      </c>
      <c r="C267" s="278">
        <f t="shared" si="50"/>
        <v>0</v>
      </c>
      <c r="D267" s="134"/>
      <c r="E267" s="285"/>
      <c r="F267" s="286">
        <f t="shared" si="37"/>
        <v>0</v>
      </c>
      <c r="G267" s="134"/>
      <c r="H267" s="135"/>
      <c r="I267" s="136">
        <f t="shared" si="38"/>
        <v>0</v>
      </c>
      <c r="J267" s="134"/>
      <c r="K267" s="135"/>
      <c r="L267" s="136">
        <f t="shared" si="39"/>
        <v>0</v>
      </c>
      <c r="M267" s="284"/>
      <c r="N267" s="285"/>
      <c r="O267" s="136">
        <f t="shared" si="40"/>
        <v>0</v>
      </c>
      <c r="P267" s="85"/>
    </row>
    <row r="268" spans="1:16" hidden="1" x14ac:dyDescent="0.25">
      <c r="A268" s="76">
        <v>6422</v>
      </c>
      <c r="B268" s="127" t="s">
        <v>284</v>
      </c>
      <c r="C268" s="278">
        <f t="shared" si="50"/>
        <v>0</v>
      </c>
      <c r="D268" s="134"/>
      <c r="E268" s="285"/>
      <c r="F268" s="286">
        <f t="shared" si="37"/>
        <v>0</v>
      </c>
      <c r="G268" s="134"/>
      <c r="H268" s="135"/>
      <c r="I268" s="136">
        <f t="shared" si="38"/>
        <v>0</v>
      </c>
      <c r="J268" s="134"/>
      <c r="K268" s="135"/>
      <c r="L268" s="136">
        <f t="shared" si="39"/>
        <v>0</v>
      </c>
      <c r="M268" s="284"/>
      <c r="N268" s="285"/>
      <c r="O268" s="136">
        <f t="shared" si="40"/>
        <v>0</v>
      </c>
      <c r="P268" s="85"/>
    </row>
    <row r="269" spans="1:16" ht="24" hidden="1" x14ac:dyDescent="0.25">
      <c r="A269" s="76">
        <v>6423</v>
      </c>
      <c r="B269" s="127" t="s">
        <v>285</v>
      </c>
      <c r="C269" s="278">
        <f t="shared" si="50"/>
        <v>0</v>
      </c>
      <c r="D269" s="134"/>
      <c r="E269" s="285"/>
      <c r="F269" s="286">
        <f t="shared" si="37"/>
        <v>0</v>
      </c>
      <c r="G269" s="134"/>
      <c r="H269" s="135"/>
      <c r="I269" s="136">
        <f t="shared" si="38"/>
        <v>0</v>
      </c>
      <c r="J269" s="134"/>
      <c r="K269" s="135"/>
      <c r="L269" s="136">
        <f t="shared" si="39"/>
        <v>0</v>
      </c>
      <c r="M269" s="284"/>
      <c r="N269" s="285"/>
      <c r="O269" s="136">
        <f t="shared" si="40"/>
        <v>0</v>
      </c>
      <c r="P269" s="85"/>
    </row>
    <row r="270" spans="1:16" ht="36" hidden="1" x14ac:dyDescent="0.25">
      <c r="A270" s="76">
        <v>6424</v>
      </c>
      <c r="B270" s="127" t="s">
        <v>286</v>
      </c>
      <c r="C270" s="278">
        <f t="shared" si="50"/>
        <v>0</v>
      </c>
      <c r="D270" s="134"/>
      <c r="E270" s="285"/>
      <c r="F270" s="286">
        <f t="shared" si="37"/>
        <v>0</v>
      </c>
      <c r="G270" s="134"/>
      <c r="H270" s="135"/>
      <c r="I270" s="136">
        <f t="shared" si="38"/>
        <v>0</v>
      </c>
      <c r="J270" s="134"/>
      <c r="K270" s="135"/>
      <c r="L270" s="136">
        <f t="shared" si="39"/>
        <v>0</v>
      </c>
      <c r="M270" s="284"/>
      <c r="N270" s="285"/>
      <c r="O270" s="136">
        <f t="shared" si="40"/>
        <v>0</v>
      </c>
      <c r="P270" s="85"/>
    </row>
    <row r="271" spans="1:16" ht="36" x14ac:dyDescent="0.25">
      <c r="A271" s="347">
        <v>7000</v>
      </c>
      <c r="B271" s="347" t="s">
        <v>287</v>
      </c>
      <c r="C271" s="348">
        <f t="shared" si="50"/>
        <v>3</v>
      </c>
      <c r="D271" s="349">
        <f>SUM(D272,D282)</f>
        <v>0</v>
      </c>
      <c r="E271" s="350">
        <f>SUM(E272,E282)</f>
        <v>0</v>
      </c>
      <c r="F271" s="351">
        <f t="shared" si="37"/>
        <v>0</v>
      </c>
      <c r="G271" s="349">
        <f>SUM(G272,G282)</f>
        <v>0</v>
      </c>
      <c r="H271" s="352">
        <f>SUM(H272,H282)</f>
        <v>0</v>
      </c>
      <c r="I271" s="353">
        <f t="shared" si="38"/>
        <v>0</v>
      </c>
      <c r="J271" s="349">
        <f>SUM(J272,J282)</f>
        <v>3</v>
      </c>
      <c r="K271" s="352">
        <f>SUM(K272,K282)</f>
        <v>0</v>
      </c>
      <c r="L271" s="353">
        <f t="shared" si="39"/>
        <v>3</v>
      </c>
      <c r="M271" s="354">
        <f>SUM(M272,M282)</f>
        <v>0</v>
      </c>
      <c r="N271" s="355">
        <f>SUM(N272,N282)</f>
        <v>0</v>
      </c>
      <c r="O271" s="356">
        <f t="shared" si="40"/>
        <v>0</v>
      </c>
      <c r="P271" s="357"/>
    </row>
    <row r="272" spans="1:16" ht="24" x14ac:dyDescent="0.25">
      <c r="A272" s="99">
        <v>7200</v>
      </c>
      <c r="B272" s="247" t="s">
        <v>288</v>
      </c>
      <c r="C272" s="100">
        <f t="shared" si="50"/>
        <v>3</v>
      </c>
      <c r="D272" s="112">
        <f>SUM(D273,D274,D277,D278,D281)</f>
        <v>0</v>
      </c>
      <c r="E272" s="248">
        <f>SUM(E273,E274,E277,E278,E281)</f>
        <v>0</v>
      </c>
      <c r="F272" s="249">
        <f t="shared" si="37"/>
        <v>0</v>
      </c>
      <c r="G272" s="112">
        <f>SUM(G273,G274,G277,G278,G281)</f>
        <v>0</v>
      </c>
      <c r="H272" s="113">
        <f>SUM(H273,H274,H277,H278,H281)</f>
        <v>0</v>
      </c>
      <c r="I272" s="114">
        <f t="shared" si="38"/>
        <v>0</v>
      </c>
      <c r="J272" s="112">
        <f>SUM(J273,J274,J277,J278,J281)</f>
        <v>3</v>
      </c>
      <c r="K272" s="113">
        <f>SUM(K273,K274,K277,K278,K281)</f>
        <v>0</v>
      </c>
      <c r="L272" s="114">
        <f t="shared" si="39"/>
        <v>3</v>
      </c>
      <c r="M272" s="250">
        <f>SUM(M273,M274,M277,M278,M281)</f>
        <v>0</v>
      </c>
      <c r="N272" s="251">
        <f>SUM(N273,N274,N277,N278,N281)</f>
        <v>0</v>
      </c>
      <c r="O272" s="252">
        <f t="shared" si="40"/>
        <v>0</v>
      </c>
      <c r="P272" s="253"/>
    </row>
    <row r="273" spans="1:16" ht="24" hidden="1" x14ac:dyDescent="0.25">
      <c r="A273" s="656">
        <v>7210</v>
      </c>
      <c r="B273" s="116" t="s">
        <v>289</v>
      </c>
      <c r="C273" s="117">
        <f t="shared" si="50"/>
        <v>0</v>
      </c>
      <c r="D273" s="123"/>
      <c r="E273" s="262"/>
      <c r="F273" s="263">
        <f t="shared" si="37"/>
        <v>0</v>
      </c>
      <c r="G273" s="123"/>
      <c r="H273" s="124"/>
      <c r="I273" s="125">
        <f t="shared" si="38"/>
        <v>0</v>
      </c>
      <c r="J273" s="123"/>
      <c r="K273" s="124"/>
      <c r="L273" s="125">
        <f t="shared" si="39"/>
        <v>0</v>
      </c>
      <c r="M273" s="264"/>
      <c r="N273" s="262"/>
      <c r="O273" s="125">
        <f t="shared" si="40"/>
        <v>0</v>
      </c>
      <c r="P273" s="74"/>
    </row>
    <row r="274" spans="1:16" s="358" customFormat="1" ht="36" hidden="1" x14ac:dyDescent="0.25">
      <c r="A274" s="276">
        <v>7220</v>
      </c>
      <c r="B274" s="127" t="s">
        <v>290</v>
      </c>
      <c r="C274" s="128">
        <f t="shared" si="50"/>
        <v>0</v>
      </c>
      <c r="D274" s="277">
        <f>SUM(D275:D276)</f>
        <v>0</v>
      </c>
      <c r="E274" s="282">
        <f>SUM(E275:E276)</f>
        <v>0</v>
      </c>
      <c r="F274" s="28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row>
    <row r="275" spans="1:16" s="358" customFormat="1" ht="36" hidden="1" x14ac:dyDescent="0.25">
      <c r="A275" s="76">
        <v>7221</v>
      </c>
      <c r="B275" s="127" t="s">
        <v>291</v>
      </c>
      <c r="C275" s="128">
        <f t="shared" si="50"/>
        <v>0</v>
      </c>
      <c r="D275" s="134"/>
      <c r="E275" s="285"/>
      <c r="F275" s="286">
        <f t="shared" si="37"/>
        <v>0</v>
      </c>
      <c r="G275" s="134"/>
      <c r="H275" s="135"/>
      <c r="I275" s="136">
        <f t="shared" si="38"/>
        <v>0</v>
      </c>
      <c r="J275" s="134"/>
      <c r="K275" s="135"/>
      <c r="L275" s="136">
        <f t="shared" si="39"/>
        <v>0</v>
      </c>
      <c r="M275" s="284"/>
      <c r="N275" s="285"/>
      <c r="O275" s="136">
        <f t="shared" si="40"/>
        <v>0</v>
      </c>
      <c r="P275" s="85"/>
    </row>
    <row r="276" spans="1:16" s="358" customFormat="1" ht="36" hidden="1" x14ac:dyDescent="0.25">
      <c r="A276" s="76">
        <v>7222</v>
      </c>
      <c r="B276" s="127" t="s">
        <v>292</v>
      </c>
      <c r="C276" s="128">
        <f t="shared" si="50"/>
        <v>0</v>
      </c>
      <c r="D276" s="134"/>
      <c r="E276" s="285"/>
      <c r="F276" s="286">
        <f t="shared" si="37"/>
        <v>0</v>
      </c>
      <c r="G276" s="134"/>
      <c r="H276" s="135"/>
      <c r="I276" s="136">
        <f t="shared" si="38"/>
        <v>0</v>
      </c>
      <c r="J276" s="134"/>
      <c r="K276" s="135"/>
      <c r="L276" s="136">
        <f t="shared" si="39"/>
        <v>0</v>
      </c>
      <c r="M276" s="284"/>
      <c r="N276" s="285"/>
      <c r="O276" s="136">
        <f t="shared" si="40"/>
        <v>0</v>
      </c>
      <c r="P276" s="85"/>
    </row>
    <row r="277" spans="1:16" s="358" customFormat="1" ht="24" x14ac:dyDescent="0.25">
      <c r="A277" s="276">
        <v>7230</v>
      </c>
      <c r="B277" s="127" t="s">
        <v>293</v>
      </c>
      <c r="C277" s="128">
        <f t="shared" si="50"/>
        <v>3</v>
      </c>
      <c r="D277" s="134"/>
      <c r="E277" s="283"/>
      <c r="F277" s="279">
        <f t="shared" si="37"/>
        <v>0</v>
      </c>
      <c r="G277" s="134"/>
      <c r="H277" s="135"/>
      <c r="I277" s="136">
        <f t="shared" si="38"/>
        <v>0</v>
      </c>
      <c r="J277" s="134">
        <v>3</v>
      </c>
      <c r="K277" s="135"/>
      <c r="L277" s="136">
        <f t="shared" si="39"/>
        <v>3</v>
      </c>
      <c r="M277" s="284"/>
      <c r="N277" s="285"/>
      <c r="O277" s="136">
        <f>M277+N277</f>
        <v>0</v>
      </c>
      <c r="P277" s="85"/>
    </row>
    <row r="278" spans="1:16" ht="24" hidden="1" x14ac:dyDescent="0.25">
      <c r="A278" s="276">
        <v>7240</v>
      </c>
      <c r="B278" s="127" t="s">
        <v>294</v>
      </c>
      <c r="C278" s="128">
        <f t="shared" si="50"/>
        <v>0</v>
      </c>
      <c r="D278" s="277">
        <f>SUM(D279:D280)</f>
        <v>0</v>
      </c>
      <c r="E278" s="282">
        <f>SUM(E279:E280)</f>
        <v>0</v>
      </c>
      <c r="F278" s="28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row>
    <row r="279" spans="1:16" ht="48" hidden="1" x14ac:dyDescent="0.25">
      <c r="A279" s="76">
        <v>7245</v>
      </c>
      <c r="B279" s="127" t="s">
        <v>295</v>
      </c>
      <c r="C279" s="128">
        <f t="shared" si="50"/>
        <v>0</v>
      </c>
      <c r="D279" s="134"/>
      <c r="E279" s="285"/>
      <c r="F279" s="286">
        <f t="shared" si="37"/>
        <v>0</v>
      </c>
      <c r="G279" s="134"/>
      <c r="H279" s="135"/>
      <c r="I279" s="136">
        <f t="shared" si="38"/>
        <v>0</v>
      </c>
      <c r="J279" s="134"/>
      <c r="K279" s="135"/>
      <c r="L279" s="136">
        <f t="shared" si="39"/>
        <v>0</v>
      </c>
      <c r="M279" s="284"/>
      <c r="N279" s="285"/>
      <c r="O279" s="136">
        <f t="shared" ref="O279:O282" si="57">M279+N279</f>
        <v>0</v>
      </c>
      <c r="P279" s="85"/>
    </row>
    <row r="280" spans="1:16" ht="96" hidden="1" x14ac:dyDescent="0.25">
      <c r="A280" s="76">
        <v>7246</v>
      </c>
      <c r="B280" s="127" t="s">
        <v>296</v>
      </c>
      <c r="C280" s="128">
        <f t="shared" si="50"/>
        <v>0</v>
      </c>
      <c r="D280" s="134"/>
      <c r="E280" s="285"/>
      <c r="F280" s="286">
        <f t="shared" si="37"/>
        <v>0</v>
      </c>
      <c r="G280" s="134"/>
      <c r="H280" s="135"/>
      <c r="I280" s="136">
        <f t="shared" si="38"/>
        <v>0</v>
      </c>
      <c r="J280" s="134"/>
      <c r="K280" s="135"/>
      <c r="L280" s="136">
        <f t="shared" si="39"/>
        <v>0</v>
      </c>
      <c r="M280" s="284"/>
      <c r="N280" s="285"/>
      <c r="O280" s="136">
        <f t="shared" si="57"/>
        <v>0</v>
      </c>
      <c r="P280" s="85"/>
    </row>
    <row r="281" spans="1:16" ht="24" hidden="1" x14ac:dyDescent="0.25">
      <c r="A281" s="276">
        <v>7260</v>
      </c>
      <c r="B281" s="127" t="s">
        <v>297</v>
      </c>
      <c r="C281" s="128">
        <f t="shared" si="50"/>
        <v>0</v>
      </c>
      <c r="D281" s="123"/>
      <c r="E281" s="262"/>
      <c r="F281" s="263">
        <f t="shared" si="37"/>
        <v>0</v>
      </c>
      <c r="G281" s="123"/>
      <c r="H281" s="124"/>
      <c r="I281" s="125">
        <f t="shared" si="38"/>
        <v>0</v>
      </c>
      <c r="J281" s="123"/>
      <c r="K281" s="124"/>
      <c r="L281" s="125">
        <f t="shared" si="39"/>
        <v>0</v>
      </c>
      <c r="M281" s="264"/>
      <c r="N281" s="262"/>
      <c r="O281" s="125">
        <f t="shared" si="57"/>
        <v>0</v>
      </c>
      <c r="P281" s="74"/>
    </row>
    <row r="282" spans="1:16" hidden="1" x14ac:dyDescent="0.25">
      <c r="A282" s="99">
        <v>7700</v>
      </c>
      <c r="B282" s="247" t="s">
        <v>298</v>
      </c>
      <c r="C282" s="359">
        <f t="shared" si="50"/>
        <v>0</v>
      </c>
      <c r="D282" s="360">
        <f>D283</f>
        <v>0</v>
      </c>
      <c r="E282" s="304">
        <f>SUM(E283)</f>
        <v>0</v>
      </c>
      <c r="F282" s="316">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row>
    <row r="283" spans="1:16" hidden="1" x14ac:dyDescent="0.25">
      <c r="A283" s="141">
        <v>7720</v>
      </c>
      <c r="B283" s="142" t="s">
        <v>299</v>
      </c>
      <c r="C283" s="362">
        <f t="shared" si="50"/>
        <v>0</v>
      </c>
      <c r="D283" s="149"/>
      <c r="E283" s="363"/>
      <c r="F283" s="364">
        <f t="shared" si="37"/>
        <v>0</v>
      </c>
      <c r="G283" s="149"/>
      <c r="H283" s="150"/>
      <c r="I283" s="151">
        <f t="shared" si="38"/>
        <v>0</v>
      </c>
      <c r="J283" s="149"/>
      <c r="K283" s="150"/>
      <c r="L283" s="151">
        <f t="shared" si="39"/>
        <v>0</v>
      </c>
      <c r="M283" s="365"/>
      <c r="N283" s="363"/>
      <c r="O283" s="151">
        <f>M283+N283</f>
        <v>0</v>
      </c>
      <c r="P283" s="153"/>
    </row>
    <row r="284" spans="1:16" x14ac:dyDescent="0.25">
      <c r="A284" s="366"/>
      <c r="B284" s="179" t="s">
        <v>300</v>
      </c>
      <c r="C284" s="117">
        <f t="shared" si="50"/>
        <v>295</v>
      </c>
      <c r="D284" s="255">
        <f>SUM(D285:D286)</f>
        <v>0</v>
      </c>
      <c r="E284" s="256">
        <f>SUM(E285:E286)</f>
        <v>0</v>
      </c>
      <c r="F284" s="257">
        <f t="shared" si="37"/>
        <v>0</v>
      </c>
      <c r="G284" s="255">
        <f>SUM(G285:G286)</f>
        <v>0</v>
      </c>
      <c r="H284" s="258">
        <f>SUM(H285:H286)</f>
        <v>0</v>
      </c>
      <c r="I284" s="259">
        <f t="shared" si="38"/>
        <v>0</v>
      </c>
      <c r="J284" s="255">
        <f>SUM(J285:J286)</f>
        <v>295</v>
      </c>
      <c r="K284" s="258">
        <f>SUM(K285:K286)</f>
        <v>0</v>
      </c>
      <c r="L284" s="259">
        <f t="shared" si="39"/>
        <v>295</v>
      </c>
      <c r="M284" s="260">
        <f>SUM(M285:M286)</f>
        <v>0</v>
      </c>
      <c r="N284" s="261">
        <f>SUM(N285:N286)</f>
        <v>0</v>
      </c>
      <c r="O284" s="259">
        <f t="shared" ref="O284:O299" si="58">M284+N284</f>
        <v>0</v>
      </c>
      <c r="P284" s="189"/>
    </row>
    <row r="285" spans="1:16" hidden="1" x14ac:dyDescent="0.25">
      <c r="A285" s="346" t="s">
        <v>301</v>
      </c>
      <c r="B285" s="76" t="s">
        <v>302</v>
      </c>
      <c r="C285" s="279">
        <f t="shared" si="50"/>
        <v>0</v>
      </c>
      <c r="D285" s="134"/>
      <c r="E285" s="285"/>
      <c r="F285" s="286">
        <f t="shared" si="37"/>
        <v>0</v>
      </c>
      <c r="G285" s="134"/>
      <c r="H285" s="135"/>
      <c r="I285" s="136">
        <f t="shared" si="38"/>
        <v>0</v>
      </c>
      <c r="J285" s="134"/>
      <c r="K285" s="135"/>
      <c r="L285" s="136">
        <f t="shared" si="39"/>
        <v>0</v>
      </c>
      <c r="M285" s="284"/>
      <c r="N285" s="285"/>
      <c r="O285" s="136">
        <f t="shared" si="58"/>
        <v>0</v>
      </c>
      <c r="P285" s="85"/>
    </row>
    <row r="286" spans="1:16" ht="24" x14ac:dyDescent="0.25">
      <c r="A286" s="346" t="s">
        <v>303</v>
      </c>
      <c r="B286" s="367" t="s">
        <v>304</v>
      </c>
      <c r="C286" s="117">
        <f t="shared" si="50"/>
        <v>295</v>
      </c>
      <c r="D286" s="123"/>
      <c r="E286" s="295"/>
      <c r="F286" s="296">
        <f t="shared" si="37"/>
        <v>0</v>
      </c>
      <c r="G286" s="123"/>
      <c r="H286" s="124"/>
      <c r="I286" s="125">
        <f t="shared" si="38"/>
        <v>0</v>
      </c>
      <c r="J286" s="123">
        <v>295</v>
      </c>
      <c r="K286" s="124"/>
      <c r="L286" s="125">
        <f t="shared" si="39"/>
        <v>295</v>
      </c>
      <c r="M286" s="264"/>
      <c r="N286" s="262"/>
      <c r="O286" s="125">
        <f t="shared" si="58"/>
        <v>0</v>
      </c>
      <c r="P286" s="74"/>
    </row>
    <row r="287" spans="1:16" x14ac:dyDescent="0.25">
      <c r="A287" s="368"/>
      <c r="B287" s="369" t="s">
        <v>305</v>
      </c>
      <c r="C287" s="370">
        <f>SUM(C284,C271,C233,C198,C190,C176,C78,C56)</f>
        <v>568954</v>
      </c>
      <c r="D287" s="371">
        <f>SUM(D284,D271,D233,D198,D190,D176,D78,D56)</f>
        <v>531003</v>
      </c>
      <c r="E287" s="372">
        <f>SUM(E284,E271,E233,E198,E190,E176,E78,E56)</f>
        <v>0</v>
      </c>
      <c r="F287" s="373">
        <f t="shared" si="37"/>
        <v>531003</v>
      </c>
      <c r="G287" s="371">
        <f>SUM(G284,G271,G233,G198,G190,G176,G78,G56)</f>
        <v>33768</v>
      </c>
      <c r="H287" s="374">
        <f>SUM(H284,H271,H233,H198,H190,H176,H78,H56)</f>
        <v>0</v>
      </c>
      <c r="I287" s="375">
        <f t="shared" si="38"/>
        <v>33768</v>
      </c>
      <c r="J287" s="371">
        <f>SUM(J284,J271,J233,J198,J190,J176,J78,J56)</f>
        <v>4183</v>
      </c>
      <c r="K287" s="374">
        <f>SUM(K284,K271,K233,K198,K190,K176,K78,K56)</f>
        <v>0</v>
      </c>
      <c r="L287" s="375">
        <f t="shared" si="39"/>
        <v>4183</v>
      </c>
      <c r="M287" s="250">
        <f>SUM(M284,M271,M233,M198,M190,M176,M78,M56)</f>
        <v>0</v>
      </c>
      <c r="N287" s="251">
        <f>SUM(N284,N271,N233,N198,N190,N176,N78,N56)</f>
        <v>0</v>
      </c>
      <c r="O287" s="252">
        <f t="shared" si="58"/>
        <v>0</v>
      </c>
      <c r="P287" s="253"/>
    </row>
    <row r="288" spans="1:16" x14ac:dyDescent="0.25">
      <c r="A288" s="376" t="s">
        <v>306</v>
      </c>
      <c r="B288" s="377"/>
      <c r="C288" s="378">
        <f t="shared" ref="C288" si="59">F288+I288+L288+O288</f>
        <v>-263</v>
      </c>
      <c r="D288" s="379">
        <f>SUM(D28,D29,D45)-D54</f>
        <v>0</v>
      </c>
      <c r="E288" s="380">
        <f>SUM(E28,E29,E45)-E54</f>
        <v>0</v>
      </c>
      <c r="F288" s="381">
        <f t="shared" si="37"/>
        <v>0</v>
      </c>
      <c r="G288" s="379">
        <f>SUM(G28,G29,G45)-G54</f>
        <v>0</v>
      </c>
      <c r="H288" s="382">
        <f>SUM(H28,H29,H45)-H54</f>
        <v>0</v>
      </c>
      <c r="I288" s="383">
        <f t="shared" si="38"/>
        <v>0</v>
      </c>
      <c r="J288" s="379">
        <f>(J30+J46)-J54</f>
        <v>-263</v>
      </c>
      <c r="K288" s="382">
        <f>(K30+K46)-K54</f>
        <v>0</v>
      </c>
      <c r="L288" s="383">
        <f t="shared" si="39"/>
        <v>-263</v>
      </c>
      <c r="M288" s="378">
        <f>M48-M54</f>
        <v>0</v>
      </c>
      <c r="N288" s="384">
        <f>N48-N54</f>
        <v>0</v>
      </c>
      <c r="O288" s="383">
        <f t="shared" si="58"/>
        <v>0</v>
      </c>
      <c r="P288" s="385"/>
    </row>
    <row r="289" spans="1:17" s="41" customFormat="1" x14ac:dyDescent="0.25">
      <c r="A289" s="376" t="s">
        <v>307</v>
      </c>
      <c r="B289" s="377"/>
      <c r="C289" s="380">
        <f>SUM(C290,C291)-C298+C299</f>
        <v>263</v>
      </c>
      <c r="D289" s="379">
        <f>SUM(D290,D291)-D298+D299</f>
        <v>0</v>
      </c>
      <c r="E289" s="380">
        <f>SUM(E290,E291)-E298+E299</f>
        <v>0</v>
      </c>
      <c r="F289" s="381">
        <f t="shared" si="37"/>
        <v>0</v>
      </c>
      <c r="G289" s="379">
        <f>SUM(G290,G291)-G298+G299</f>
        <v>0</v>
      </c>
      <c r="H289" s="382">
        <f>SUM(H290,H291)-H298+H299</f>
        <v>0</v>
      </c>
      <c r="I289" s="383">
        <f t="shared" si="38"/>
        <v>0</v>
      </c>
      <c r="J289" s="379">
        <f>SUM(J290,J291)-J298+J299</f>
        <v>263</v>
      </c>
      <c r="K289" s="382">
        <f>SUM(K290,K291)-K298+K299</f>
        <v>0</v>
      </c>
      <c r="L289" s="383">
        <f t="shared" si="39"/>
        <v>263</v>
      </c>
      <c r="M289" s="378">
        <f>SUM(M290,M291)-M298+M299</f>
        <v>0</v>
      </c>
      <c r="N289" s="384">
        <f>SUM(N290,N291)-N298+N299</f>
        <v>0</v>
      </c>
      <c r="O289" s="383">
        <f t="shared" si="58"/>
        <v>0</v>
      </c>
      <c r="P289" s="385"/>
    </row>
    <row r="290" spans="1:17" s="41" customFormat="1" x14ac:dyDescent="0.25">
      <c r="A290" s="386" t="s">
        <v>308</v>
      </c>
      <c r="B290" s="386" t="s">
        <v>309</v>
      </c>
      <c r="C290" s="380">
        <f>C25-C284</f>
        <v>263</v>
      </c>
      <c r="D290" s="379">
        <f>D25-D284</f>
        <v>0</v>
      </c>
      <c r="E290" s="380">
        <f>E25-E284</f>
        <v>0</v>
      </c>
      <c r="F290" s="381">
        <f t="shared" si="37"/>
        <v>0</v>
      </c>
      <c r="G290" s="379">
        <f>G25-G284</f>
        <v>0</v>
      </c>
      <c r="H290" s="382">
        <f>H25-H284</f>
        <v>0</v>
      </c>
      <c r="I290" s="383">
        <f t="shared" si="38"/>
        <v>0</v>
      </c>
      <c r="J290" s="379">
        <f>J25-J284</f>
        <v>263</v>
      </c>
      <c r="K290" s="382">
        <f>K25-K284</f>
        <v>0</v>
      </c>
      <c r="L290" s="383">
        <f t="shared" si="39"/>
        <v>263</v>
      </c>
      <c r="M290" s="378">
        <f>M25-M284</f>
        <v>0</v>
      </c>
      <c r="N290" s="384">
        <f>N25-N284</f>
        <v>0</v>
      </c>
      <c r="O290" s="383">
        <f t="shared" si="58"/>
        <v>0</v>
      </c>
      <c r="P290" s="385"/>
    </row>
    <row r="291" spans="1:17" s="41" customFormat="1" hidden="1" x14ac:dyDescent="0.25">
      <c r="A291" s="387" t="s">
        <v>310</v>
      </c>
      <c r="B291" s="387" t="s">
        <v>311</v>
      </c>
      <c r="C291" s="380">
        <f>SUM(C292,C294,C296)-SUM(C293,C295,C297)</f>
        <v>0</v>
      </c>
      <c r="D291" s="379">
        <f t="shared" ref="D291:E291" si="60">SUM(D292,D294,D296)-SUM(D293,D295,D297)</f>
        <v>0</v>
      </c>
      <c r="E291" s="384">
        <f t="shared" si="60"/>
        <v>0</v>
      </c>
      <c r="F291" s="388">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row>
    <row r="292" spans="1:17" s="41" customFormat="1" hidden="1" x14ac:dyDescent="0.25">
      <c r="A292" s="366" t="s">
        <v>312</v>
      </c>
      <c r="B292" s="190" t="s">
        <v>313</v>
      </c>
      <c r="C292" s="143">
        <f t="shared" ref="C292:C299" si="64">F292+I292+L292+O292</f>
        <v>0</v>
      </c>
      <c r="D292" s="149"/>
      <c r="E292" s="363"/>
      <c r="F292" s="364">
        <f t="shared" si="37"/>
        <v>0</v>
      </c>
      <c r="G292" s="149"/>
      <c r="H292" s="150"/>
      <c r="I292" s="151">
        <f t="shared" si="38"/>
        <v>0</v>
      </c>
      <c r="J292" s="149"/>
      <c r="K292" s="150"/>
      <c r="L292" s="151">
        <f t="shared" si="39"/>
        <v>0</v>
      </c>
      <c r="M292" s="365"/>
      <c r="N292" s="363"/>
      <c r="O292" s="151">
        <f t="shared" si="58"/>
        <v>0</v>
      </c>
      <c r="P292" s="153"/>
    </row>
    <row r="293" spans="1:17" ht="24" hidden="1" x14ac:dyDescent="0.25">
      <c r="A293" s="346" t="s">
        <v>314</v>
      </c>
      <c r="B293" s="75" t="s">
        <v>315</v>
      </c>
      <c r="C293" s="128">
        <f t="shared" si="64"/>
        <v>0</v>
      </c>
      <c r="D293" s="134"/>
      <c r="E293" s="285"/>
      <c r="F293" s="286">
        <f t="shared" si="37"/>
        <v>0</v>
      </c>
      <c r="G293" s="134"/>
      <c r="H293" s="135"/>
      <c r="I293" s="136">
        <f t="shared" si="38"/>
        <v>0</v>
      </c>
      <c r="J293" s="134"/>
      <c r="K293" s="135"/>
      <c r="L293" s="136">
        <f t="shared" si="39"/>
        <v>0</v>
      </c>
      <c r="M293" s="284"/>
      <c r="N293" s="285"/>
      <c r="O293" s="136">
        <f t="shared" si="58"/>
        <v>0</v>
      </c>
      <c r="P293" s="85"/>
    </row>
    <row r="294" spans="1:17" hidden="1" x14ac:dyDescent="0.25">
      <c r="A294" s="346" t="s">
        <v>316</v>
      </c>
      <c r="B294" s="75" t="s">
        <v>317</v>
      </c>
      <c r="C294" s="128">
        <f t="shared" si="64"/>
        <v>0</v>
      </c>
      <c r="D294" s="134"/>
      <c r="E294" s="285"/>
      <c r="F294" s="286">
        <f t="shared" si="37"/>
        <v>0</v>
      </c>
      <c r="G294" s="134"/>
      <c r="H294" s="135"/>
      <c r="I294" s="136">
        <f t="shared" si="38"/>
        <v>0</v>
      </c>
      <c r="J294" s="134"/>
      <c r="K294" s="135"/>
      <c r="L294" s="136">
        <f t="shared" si="39"/>
        <v>0</v>
      </c>
      <c r="M294" s="284"/>
      <c r="N294" s="285"/>
      <c r="O294" s="136">
        <f t="shared" si="58"/>
        <v>0</v>
      </c>
      <c r="P294" s="85"/>
    </row>
    <row r="295" spans="1:17" ht="24" hidden="1" x14ac:dyDescent="0.25">
      <c r="A295" s="346" t="s">
        <v>318</v>
      </c>
      <c r="B295" s="75" t="s">
        <v>319</v>
      </c>
      <c r="C295" s="128">
        <f t="shared" si="64"/>
        <v>0</v>
      </c>
      <c r="D295" s="134"/>
      <c r="E295" s="285"/>
      <c r="F295" s="286">
        <f t="shared" si="37"/>
        <v>0</v>
      </c>
      <c r="G295" s="134"/>
      <c r="H295" s="135"/>
      <c r="I295" s="136">
        <f t="shared" si="38"/>
        <v>0</v>
      </c>
      <c r="J295" s="134"/>
      <c r="K295" s="135"/>
      <c r="L295" s="136">
        <f t="shared" si="39"/>
        <v>0</v>
      </c>
      <c r="M295" s="284"/>
      <c r="N295" s="285"/>
      <c r="O295" s="136">
        <f t="shared" si="58"/>
        <v>0</v>
      </c>
      <c r="P295" s="85"/>
    </row>
    <row r="296" spans="1:17" hidden="1" x14ac:dyDescent="0.25">
      <c r="A296" s="346" t="s">
        <v>320</v>
      </c>
      <c r="B296" s="75" t="s">
        <v>321</v>
      </c>
      <c r="C296" s="128">
        <f t="shared" si="64"/>
        <v>0</v>
      </c>
      <c r="D296" s="134"/>
      <c r="E296" s="285"/>
      <c r="F296" s="286">
        <f t="shared" si="37"/>
        <v>0</v>
      </c>
      <c r="G296" s="134"/>
      <c r="H296" s="135"/>
      <c r="I296" s="136">
        <f t="shared" si="38"/>
        <v>0</v>
      </c>
      <c r="J296" s="134"/>
      <c r="K296" s="135"/>
      <c r="L296" s="136">
        <f t="shared" si="39"/>
        <v>0</v>
      </c>
      <c r="M296" s="284"/>
      <c r="N296" s="285"/>
      <c r="O296" s="136">
        <f t="shared" si="58"/>
        <v>0</v>
      </c>
      <c r="P296" s="85"/>
    </row>
    <row r="297" spans="1:17" ht="24" hidden="1" x14ac:dyDescent="0.25">
      <c r="A297" s="389" t="s">
        <v>322</v>
      </c>
      <c r="B297" s="390" t="s">
        <v>323</v>
      </c>
      <c r="C297" s="327">
        <f t="shared" si="64"/>
        <v>0</v>
      </c>
      <c r="D297" s="328"/>
      <c r="E297" s="329"/>
      <c r="F297" s="330">
        <f t="shared" si="37"/>
        <v>0</v>
      </c>
      <c r="G297" s="328"/>
      <c r="H297" s="331"/>
      <c r="I297" s="324">
        <f t="shared" si="38"/>
        <v>0</v>
      </c>
      <c r="J297" s="328"/>
      <c r="K297" s="331"/>
      <c r="L297" s="324">
        <f t="shared" si="39"/>
        <v>0</v>
      </c>
      <c r="M297" s="332"/>
      <c r="N297" s="329"/>
      <c r="O297" s="324">
        <f t="shared" si="58"/>
        <v>0</v>
      </c>
      <c r="P297" s="325"/>
    </row>
    <row r="298" spans="1:17" hidden="1" x14ac:dyDescent="0.25">
      <c r="A298" s="387" t="s">
        <v>324</v>
      </c>
      <c r="B298" s="387" t="s">
        <v>325</v>
      </c>
      <c r="C298" s="391">
        <f t="shared" si="64"/>
        <v>0</v>
      </c>
      <c r="D298" s="392"/>
      <c r="E298" s="393"/>
      <c r="F298" s="388">
        <f t="shared" si="37"/>
        <v>0</v>
      </c>
      <c r="G298" s="392"/>
      <c r="H298" s="394"/>
      <c r="I298" s="383">
        <f t="shared" si="38"/>
        <v>0</v>
      </c>
      <c r="J298" s="392"/>
      <c r="K298" s="394"/>
      <c r="L298" s="383">
        <f t="shared" si="39"/>
        <v>0</v>
      </c>
      <c r="M298" s="395"/>
      <c r="N298" s="393"/>
      <c r="O298" s="383">
        <f t="shared" si="58"/>
        <v>0</v>
      </c>
      <c r="P298" s="385"/>
    </row>
    <row r="299" spans="1:17" s="41" customFormat="1" ht="48" hidden="1" x14ac:dyDescent="0.25">
      <c r="A299" s="387" t="s">
        <v>326</v>
      </c>
      <c r="B299" s="396" t="s">
        <v>327</v>
      </c>
      <c r="C299" s="397">
        <f t="shared" si="64"/>
        <v>0</v>
      </c>
      <c r="D299" s="398"/>
      <c r="E299" s="399"/>
      <c r="F299" s="400">
        <f t="shared" si="37"/>
        <v>0</v>
      </c>
      <c r="G299" s="392"/>
      <c r="H299" s="394"/>
      <c r="I299" s="383">
        <f t="shared" si="38"/>
        <v>0</v>
      </c>
      <c r="J299" s="392"/>
      <c r="K299" s="394"/>
      <c r="L299" s="383">
        <f t="shared" si="39"/>
        <v>0</v>
      </c>
      <c r="M299" s="395"/>
      <c r="N299" s="393"/>
      <c r="O299" s="383">
        <f t="shared" si="58"/>
        <v>0</v>
      </c>
      <c r="P299" s="385"/>
    </row>
    <row r="300" spans="1:17"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17" ht="12.75" thickBot="1" x14ac:dyDescent="0.3">
      <c r="A301" s="404"/>
      <c r="B301" s="405"/>
      <c r="C301" s="405"/>
      <c r="D301" s="405"/>
      <c r="E301" s="405"/>
      <c r="F301" s="405"/>
      <c r="G301" s="405"/>
      <c r="H301" s="405"/>
      <c r="I301" s="405"/>
      <c r="J301" s="405"/>
      <c r="K301" s="405"/>
      <c r="L301" s="405"/>
      <c r="M301" s="405"/>
      <c r="N301" s="405"/>
      <c r="O301" s="405"/>
      <c r="P301" s="406"/>
      <c r="Q301" s="7"/>
    </row>
    <row r="302" spans="1:17" x14ac:dyDescent="0.25">
      <c r="A302" s="5"/>
      <c r="B302" s="5"/>
      <c r="C302" s="5"/>
      <c r="D302" s="5"/>
      <c r="E302" s="5"/>
      <c r="F302" s="5"/>
      <c r="G302" s="5"/>
      <c r="H302" s="5"/>
      <c r="I302" s="5"/>
      <c r="J302" s="5"/>
      <c r="K302" s="5"/>
      <c r="L302" s="5"/>
      <c r="M302" s="5"/>
      <c r="N302" s="5"/>
      <c r="O302" s="5"/>
    </row>
    <row r="303" spans="1:17" x14ac:dyDescent="0.25">
      <c r="A303" s="5"/>
      <c r="B303" s="5"/>
      <c r="C303" s="5"/>
      <c r="D303" s="5"/>
      <c r="E303" s="5"/>
      <c r="F303" s="5"/>
      <c r="G303" s="5"/>
      <c r="H303" s="5"/>
      <c r="I303" s="5"/>
      <c r="J303" s="5"/>
      <c r="K303" s="5"/>
      <c r="L303" s="5"/>
      <c r="M303" s="5"/>
      <c r="N303" s="5"/>
      <c r="O303" s="5"/>
    </row>
    <row r="304" spans="1:17"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YISJsDv7ayIq53nEWY638LXEO0Swrty3uSKnbusAQspdubdIYQ6qPrx9WtzJLFYgVb+KfwIbwvr6gcZ5si+snQ==" saltValue="dEFTt98vnGJNJhx0tdaMJQ==" spinCount="100000" sheet="1" objects="1" scenarios="1" selectLockedCells="1" selectUnlockedCells="1"/>
  <autoFilter ref="A22:P300">
    <filterColumn colId="2">
      <filters blank="1">
        <filter val="1 132"/>
        <filter val="1 198"/>
        <filter val="1 275"/>
        <filter val="1 539"/>
        <filter val="1 562"/>
        <filter val="10 739"/>
        <filter val="100"/>
        <filter val="119 175"/>
        <filter val="12 761"/>
        <filter val="15 154"/>
        <filter val="166"/>
        <filter val="2 246"/>
        <filter val="2 868"/>
        <filter val="200"/>
        <filter val="204"/>
        <filter val="214"/>
        <filter val="216"/>
        <filter val="25 041"/>
        <filter val="26 321"/>
        <filter val="263"/>
        <filter val="-263"/>
        <filter val="295"/>
        <filter val="3"/>
        <filter val="3 003"/>
        <filter val="3 016"/>
        <filter val="3 091"/>
        <filter val="3 368"/>
        <filter val="3 625"/>
        <filter val="3 748"/>
        <filter val="3 759"/>
        <filter val="30"/>
        <filter val="32 656"/>
        <filter val="336 075"/>
        <filter val="37 673"/>
        <filter val="375 023"/>
        <filter val="4 007"/>
        <filter val="4 344"/>
        <filter val="4 347"/>
        <filter val="4 477"/>
        <filter val="4 663"/>
        <filter val="4 871"/>
        <filter val="40"/>
        <filter val="400"/>
        <filter val="428"/>
        <filter val="462"/>
        <filter val="47"/>
        <filter val="470"/>
        <filter val="49 118"/>
        <filter val="494 198"/>
        <filter val="500"/>
        <filter val="558"/>
        <filter val="564 312"/>
        <filter val="564 771"/>
        <filter val="568 659"/>
        <filter val="568 954"/>
        <filter val="57 137"/>
        <filter val="6 512"/>
        <filter val="635"/>
        <filter val="70 114"/>
        <filter val="72"/>
        <filter val="770"/>
        <filter val="8 411"/>
        <filter val="804"/>
        <filter val="841"/>
        <filter val="888"/>
        <filter val="92 854"/>
        <filter val="922"/>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92.pielikums Jūrmalas pilsētas domes
2017.gada 30.janvāra saistošajiem noteikumiem Nr.10
(Protokols Nr.4, 1.punkts)
 </firstHeader>
    <firstFooter>&amp;L&amp;9&amp;D; &amp;T&amp;R&amp;9&amp;P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1"/>
  <sheetViews>
    <sheetView view="pageLayout" zoomScaleNormal="100" workbookViewId="0">
      <selection activeCell="S13" sqref="S13"/>
    </sheetView>
  </sheetViews>
  <sheetFormatPr defaultRowHeight="12" outlineLevelCol="1" x14ac:dyDescent="0.25"/>
  <cols>
    <col min="1" max="1" width="10.85546875" style="1" customWidth="1"/>
    <col min="2" max="2" width="28" style="1" customWidth="1"/>
    <col min="3" max="3" width="8.7109375" style="1" customWidth="1"/>
    <col min="4" max="4" width="8.7109375" style="1" hidden="1" customWidth="1" outlineLevel="1"/>
    <col min="5" max="5" width="9.4257812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1125</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7"/>
    </row>
    <row r="4" spans="1:17" ht="15.75"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1126</v>
      </c>
      <c r="D6" s="1555"/>
      <c r="E6" s="1555"/>
      <c r="F6" s="1555"/>
      <c r="G6" s="1555"/>
      <c r="H6" s="1555"/>
      <c r="I6" s="1555"/>
      <c r="J6" s="1555"/>
      <c r="K6" s="1555"/>
      <c r="L6" s="1555"/>
      <c r="M6" s="1555"/>
      <c r="N6" s="1555"/>
      <c r="O6" s="1555"/>
      <c r="P6" s="1556"/>
      <c r="Q6" s="7"/>
    </row>
    <row r="7" spans="1:17" ht="12.75" x14ac:dyDescent="0.25">
      <c r="A7" s="13" t="s">
        <v>4</v>
      </c>
      <c r="B7" s="14"/>
      <c r="C7" s="1555" t="s">
        <v>1127</v>
      </c>
      <c r="D7" s="1555"/>
      <c r="E7" s="1555"/>
      <c r="F7" s="1555"/>
      <c r="G7" s="1555"/>
      <c r="H7" s="1555"/>
      <c r="I7" s="1555"/>
      <c r="J7" s="1555"/>
      <c r="K7" s="1555"/>
      <c r="L7" s="1555"/>
      <c r="M7" s="1555"/>
      <c r="N7" s="1555"/>
      <c r="O7" s="1555"/>
      <c r="P7" s="1556"/>
      <c r="Q7" s="7"/>
    </row>
    <row r="8" spans="1:17" x14ac:dyDescent="0.25">
      <c r="A8" s="8" t="s">
        <v>6</v>
      </c>
      <c r="B8" s="9"/>
      <c r="C8" s="1553" t="s">
        <v>1128</v>
      </c>
      <c r="D8" s="1553"/>
      <c r="E8" s="1553"/>
      <c r="F8" s="1553"/>
      <c r="G8" s="1553"/>
      <c r="H8" s="1553"/>
      <c r="I8" s="1553"/>
      <c r="J8" s="1553"/>
      <c r="K8" s="1553"/>
      <c r="L8" s="1553"/>
      <c r="M8" s="1553"/>
      <c r="N8" s="1553"/>
      <c r="O8" s="1553"/>
      <c r="P8" s="1554"/>
      <c r="Q8" s="7"/>
    </row>
    <row r="9" spans="1:17" x14ac:dyDescent="0.25">
      <c r="A9" s="8" t="s">
        <v>8</v>
      </c>
      <c r="B9" s="9"/>
      <c r="C9" s="1553" t="s">
        <v>9</v>
      </c>
      <c r="D9" s="1553"/>
      <c r="E9" s="1553"/>
      <c r="F9" s="1553"/>
      <c r="G9" s="1553"/>
      <c r="H9" s="1553"/>
      <c r="I9" s="1553"/>
      <c r="J9" s="1553"/>
      <c r="K9" s="1553"/>
      <c r="L9" s="1553"/>
      <c r="M9" s="1553"/>
      <c r="N9" s="1553"/>
      <c r="O9" s="1553"/>
      <c r="P9" s="1554"/>
      <c r="Q9" s="7"/>
    </row>
    <row r="10" spans="1:17" ht="24" customHeight="1" x14ac:dyDescent="0.25">
      <c r="A10" s="8" t="s">
        <v>10</v>
      </c>
      <c r="B10" s="9"/>
      <c r="C10" s="1555" t="s">
        <v>11</v>
      </c>
      <c r="D10" s="1555"/>
      <c r="E10" s="1555"/>
      <c r="F10" s="1555"/>
      <c r="G10" s="1555"/>
      <c r="H10" s="1555"/>
      <c r="I10" s="1555"/>
      <c r="J10" s="1555"/>
      <c r="K10" s="1555"/>
      <c r="L10" s="1555"/>
      <c r="M10" s="1555"/>
      <c r="N10" s="1555"/>
      <c r="O10" s="1555"/>
      <c r="P10" s="1556"/>
      <c r="Q10" s="7"/>
    </row>
    <row r="11" spans="1:17" x14ac:dyDescent="0.25">
      <c r="A11" s="8" t="s">
        <v>12</v>
      </c>
      <c r="B11" s="9"/>
      <c r="C11" s="1555" t="s">
        <v>13</v>
      </c>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1129</v>
      </c>
      <c r="D13" s="1553"/>
      <c r="E13" s="1553"/>
      <c r="F13" s="1553"/>
      <c r="G13" s="1553"/>
      <c r="H13" s="1553"/>
      <c r="I13" s="1553"/>
      <c r="J13" s="1553"/>
      <c r="K13" s="1553"/>
      <c r="L13" s="1553"/>
      <c r="M13" s="1553"/>
      <c r="N13" s="1553"/>
      <c r="O13" s="1553"/>
      <c r="P13" s="1554"/>
      <c r="Q13" s="7"/>
    </row>
    <row r="14" spans="1:17" x14ac:dyDescent="0.25">
      <c r="A14" s="8"/>
      <c r="B14" s="9" t="s">
        <v>17</v>
      </c>
      <c r="C14" s="1553" t="s">
        <v>1130</v>
      </c>
      <c r="D14" s="1553"/>
      <c r="E14" s="1553"/>
      <c r="F14" s="1553"/>
      <c r="G14" s="1553"/>
      <c r="H14" s="1553"/>
      <c r="I14" s="1553"/>
      <c r="J14" s="1553"/>
      <c r="K14" s="1553"/>
      <c r="L14" s="1553"/>
      <c r="M14" s="1553"/>
      <c r="N14" s="1553"/>
      <c r="O14" s="1553"/>
      <c r="P14" s="1554"/>
      <c r="Q14" s="7"/>
    </row>
    <row r="15" spans="1:17" x14ac:dyDescent="0.25">
      <c r="A15" s="8"/>
      <c r="B15" s="9" t="s">
        <v>19</v>
      </c>
      <c r="C15" s="1553"/>
      <c r="D15" s="1553"/>
      <c r="E15" s="1553"/>
      <c r="F15" s="1553"/>
      <c r="G15" s="1553"/>
      <c r="H15" s="1553"/>
      <c r="I15" s="1553"/>
      <c r="J15" s="1553"/>
      <c r="K15" s="1553"/>
      <c r="L15" s="1553"/>
      <c r="M15" s="1553"/>
      <c r="N15" s="1553"/>
      <c r="O15" s="1553"/>
      <c r="P15" s="1554"/>
      <c r="Q15" s="7"/>
    </row>
    <row r="16" spans="1:17" x14ac:dyDescent="0.25">
      <c r="A16" s="8"/>
      <c r="B16" s="9" t="s">
        <v>20</v>
      </c>
      <c r="C16" s="1553" t="s">
        <v>1131</v>
      </c>
      <c r="D16" s="1553"/>
      <c r="E16" s="1553"/>
      <c r="F16" s="1553"/>
      <c r="G16" s="1553"/>
      <c r="H16" s="1553"/>
      <c r="I16" s="1553"/>
      <c r="J16" s="1553"/>
      <c r="K16" s="1553"/>
      <c r="L16" s="1553"/>
      <c r="M16" s="1553"/>
      <c r="N16" s="1553"/>
      <c r="O16" s="1553"/>
      <c r="P16" s="1554"/>
      <c r="Q16" s="7"/>
    </row>
    <row r="17" spans="1:20" x14ac:dyDescent="0.25">
      <c r="A17" s="8"/>
      <c r="B17" s="9" t="s">
        <v>22</v>
      </c>
      <c r="C17" s="1553"/>
      <c r="D17" s="1553"/>
      <c r="E17" s="1553"/>
      <c r="F17" s="1553"/>
      <c r="G17" s="1553"/>
      <c r="H17" s="1553"/>
      <c r="I17" s="1553"/>
      <c r="J17" s="1553"/>
      <c r="K17" s="1553"/>
      <c r="L17" s="1553"/>
      <c r="M17" s="1553"/>
      <c r="N17" s="1553"/>
      <c r="O17" s="1553"/>
      <c r="P17" s="1554"/>
      <c r="Q17" s="7"/>
    </row>
    <row r="18" spans="1:20" x14ac:dyDescent="0.25">
      <c r="A18" s="18"/>
      <c r="B18" s="19"/>
      <c r="C18" s="1569"/>
      <c r="D18" s="1569"/>
      <c r="E18" s="1569"/>
      <c r="F18" s="1569"/>
      <c r="G18" s="1569"/>
      <c r="H18" s="1569"/>
      <c r="I18" s="1569"/>
      <c r="J18" s="1569"/>
      <c r="K18" s="1569"/>
      <c r="L18" s="1569"/>
      <c r="M18" s="1569"/>
      <c r="N18" s="1569"/>
      <c r="O18" s="1569"/>
      <c r="P18" s="1570"/>
      <c r="Q18" s="7"/>
    </row>
    <row r="19" spans="1:20"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0"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20" s="21" customFormat="1" ht="70.5" customHeight="1" thickBot="1" x14ac:dyDescent="0.3">
      <c r="A21" s="1573"/>
      <c r="B21" s="1576"/>
      <c r="C21" s="1581"/>
      <c r="D21" s="1566"/>
      <c r="E21" s="1568"/>
      <c r="F21" s="1564"/>
      <c r="G21" s="1566"/>
      <c r="H21" s="1568"/>
      <c r="I21" s="1564"/>
      <c r="J21" s="1566"/>
      <c r="K21" s="1568"/>
      <c r="L21" s="1564"/>
      <c r="M21" s="1566"/>
      <c r="N21" s="1568"/>
      <c r="O21" s="1564"/>
      <c r="P21" s="1576"/>
    </row>
    <row r="22" spans="1:20"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0" s="41" customFormat="1" x14ac:dyDescent="0.25">
      <c r="A23" s="30"/>
      <c r="B23" s="31" t="s">
        <v>41</v>
      </c>
      <c r="C23" s="32"/>
      <c r="D23" s="33"/>
      <c r="E23" s="34"/>
      <c r="F23" s="35"/>
      <c r="G23" s="33"/>
      <c r="H23" s="36"/>
      <c r="I23" s="37"/>
      <c r="J23" s="33"/>
      <c r="K23" s="38"/>
      <c r="L23" s="37"/>
      <c r="M23" s="38"/>
      <c r="N23" s="39"/>
      <c r="O23" s="37"/>
      <c r="P23" s="40"/>
    </row>
    <row r="24" spans="1:20" s="41" customFormat="1" ht="12.75" thickBot="1" x14ac:dyDescent="0.3">
      <c r="A24" s="42"/>
      <c r="B24" s="43" t="s">
        <v>42</v>
      </c>
      <c r="C24" s="44">
        <f>F24+I24+L24+O24</f>
        <v>321647</v>
      </c>
      <c r="D24" s="45">
        <f>SUM(D25,D28,D29,D45,D46)</f>
        <v>300455</v>
      </c>
      <c r="E24" s="46">
        <f>SUM(E25,E28,E29,E45,E46)</f>
        <v>0</v>
      </c>
      <c r="F24" s="47">
        <f t="shared" ref="F24:F29" si="0">D24+E24</f>
        <v>300455</v>
      </c>
      <c r="G24" s="45">
        <f>SUM(G25,G28,G46)</f>
        <v>20521</v>
      </c>
      <c r="H24" s="48">
        <f>SUM(H25,H28,H46)</f>
        <v>0</v>
      </c>
      <c r="I24" s="49">
        <f>G24+H24</f>
        <v>20521</v>
      </c>
      <c r="J24" s="45">
        <f>SUM(J25,J30,J46)</f>
        <v>671</v>
      </c>
      <c r="K24" s="48">
        <f>SUM(K25,K30,K46)</f>
        <v>0</v>
      </c>
      <c r="L24" s="49">
        <f>J24+K24</f>
        <v>671</v>
      </c>
      <c r="M24" s="50">
        <f>SUM(M25,M48)</f>
        <v>0</v>
      </c>
      <c r="N24" s="51">
        <f>SUM(N25,N48)</f>
        <v>0</v>
      </c>
      <c r="O24" s="49">
        <f>M24+N24</f>
        <v>0</v>
      </c>
      <c r="P24" s="52"/>
      <c r="R24" s="53"/>
      <c r="S24" s="53"/>
      <c r="T24" s="53"/>
    </row>
    <row r="25" spans="1:20" ht="12.75" thickTop="1" x14ac:dyDescent="0.25">
      <c r="A25" s="54"/>
      <c r="B25" s="55" t="s">
        <v>43</v>
      </c>
      <c r="C25" s="56">
        <f>F25+I25+L25+O25</f>
        <v>411</v>
      </c>
      <c r="D25" s="57">
        <f>SUM(D26:D27)</f>
        <v>0</v>
      </c>
      <c r="E25" s="58">
        <f>SUM(E26:E27)</f>
        <v>0</v>
      </c>
      <c r="F25" s="59">
        <f t="shared" si="0"/>
        <v>0</v>
      </c>
      <c r="G25" s="57">
        <f>SUM(G26:G27)</f>
        <v>0</v>
      </c>
      <c r="H25" s="60">
        <f>SUM(H26:H27)</f>
        <v>0</v>
      </c>
      <c r="I25" s="61">
        <f>G25+H25</f>
        <v>0</v>
      </c>
      <c r="J25" s="57">
        <f>SUM(J26:J27)</f>
        <v>411</v>
      </c>
      <c r="K25" s="60">
        <f>SUM(K26:K27)</f>
        <v>0</v>
      </c>
      <c r="L25" s="61">
        <f>J25+K25</f>
        <v>411</v>
      </c>
      <c r="M25" s="62">
        <f>SUM(M26:M27)</f>
        <v>0</v>
      </c>
      <c r="N25" s="63">
        <f>SUM(N26:N27)</f>
        <v>0</v>
      </c>
      <c r="O25" s="61">
        <f>M25+N25</f>
        <v>0</v>
      </c>
      <c r="P25" s="64"/>
      <c r="R25" s="53"/>
      <c r="S25" s="53"/>
      <c r="T25" s="53"/>
    </row>
    <row r="26" spans="1:20" hidden="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c r="R26" s="53"/>
      <c r="S26" s="53"/>
      <c r="T26" s="53"/>
    </row>
    <row r="27" spans="1:20" x14ac:dyDescent="0.25">
      <c r="A27" s="75"/>
      <c r="B27" s="76" t="s">
        <v>45</v>
      </c>
      <c r="C27" s="77">
        <f>F27+I27+L27+O27</f>
        <v>411</v>
      </c>
      <c r="D27" s="78"/>
      <c r="E27" s="79"/>
      <c r="F27" s="80">
        <f t="shared" si="0"/>
        <v>0</v>
      </c>
      <c r="G27" s="78"/>
      <c r="H27" s="81"/>
      <c r="I27" s="82">
        <f>G27+H27</f>
        <v>0</v>
      </c>
      <c r="J27" s="78">
        <v>411</v>
      </c>
      <c r="K27" s="81"/>
      <c r="L27" s="82">
        <f>J27+K27</f>
        <v>411</v>
      </c>
      <c r="M27" s="83"/>
      <c r="N27" s="84"/>
      <c r="O27" s="82">
        <f>M27+N27</f>
        <v>0</v>
      </c>
      <c r="P27" s="85"/>
      <c r="R27" s="53"/>
      <c r="S27" s="53"/>
      <c r="T27" s="53"/>
    </row>
    <row r="28" spans="1:20" s="41" customFormat="1" ht="24.75" thickBot="1" x14ac:dyDescent="0.3">
      <c r="A28" s="86">
        <v>19300</v>
      </c>
      <c r="B28" s="86" t="s">
        <v>46</v>
      </c>
      <c r="C28" s="87">
        <f>SUM(F28,I28)</f>
        <v>320976</v>
      </c>
      <c r="D28" s="88">
        <v>300455</v>
      </c>
      <c r="E28" s="89"/>
      <c r="F28" s="90">
        <f t="shared" si="0"/>
        <v>300455</v>
      </c>
      <c r="G28" s="88">
        <v>20521</v>
      </c>
      <c r="H28" s="91"/>
      <c r="I28" s="92">
        <f>G28+H28</f>
        <v>20521</v>
      </c>
      <c r="J28" s="93" t="s">
        <v>47</v>
      </c>
      <c r="K28" s="94" t="s">
        <v>47</v>
      </c>
      <c r="L28" s="95" t="s">
        <v>47</v>
      </c>
      <c r="M28" s="96" t="s">
        <v>47</v>
      </c>
      <c r="N28" s="97" t="s">
        <v>47</v>
      </c>
      <c r="O28" s="95" t="s">
        <v>47</v>
      </c>
      <c r="P28" s="98"/>
      <c r="R28" s="53"/>
      <c r="S28" s="53"/>
      <c r="T28" s="53"/>
    </row>
    <row r="29" spans="1:20" s="41" customFormat="1" ht="24.75" hidden="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c r="R29" s="53"/>
      <c r="S29" s="53"/>
      <c r="T29" s="53"/>
    </row>
    <row r="30" spans="1:20" s="41" customFormat="1" ht="36.75" thickTop="1" x14ac:dyDescent="0.25">
      <c r="A30" s="99">
        <v>21300</v>
      </c>
      <c r="B30" s="99" t="s">
        <v>49</v>
      </c>
      <c r="C30" s="100">
        <f t="shared" ref="C30:C44" si="1">L30</f>
        <v>255</v>
      </c>
      <c r="D30" s="104" t="s">
        <v>47</v>
      </c>
      <c r="E30" s="110" t="s">
        <v>47</v>
      </c>
      <c r="F30" s="111" t="s">
        <v>47</v>
      </c>
      <c r="G30" s="104" t="s">
        <v>47</v>
      </c>
      <c r="H30" s="105" t="s">
        <v>47</v>
      </c>
      <c r="I30" s="106" t="s">
        <v>47</v>
      </c>
      <c r="J30" s="112">
        <f>SUM(J31,J35,J37,J40)</f>
        <v>255</v>
      </c>
      <c r="K30" s="113">
        <f>SUM(K31,K35,K37,K40)</f>
        <v>0</v>
      </c>
      <c r="L30" s="114">
        <f t="shared" ref="L30:L44" si="2">J30+K30</f>
        <v>255</v>
      </c>
      <c r="M30" s="107" t="s">
        <v>47</v>
      </c>
      <c r="N30" s="108" t="s">
        <v>47</v>
      </c>
      <c r="O30" s="106" t="s">
        <v>47</v>
      </c>
      <c r="P30" s="109"/>
      <c r="R30" s="53"/>
      <c r="S30" s="53"/>
      <c r="T30" s="53"/>
    </row>
    <row r="31" spans="1:20" s="41" customFormat="1" ht="24" x14ac:dyDescent="0.25">
      <c r="A31" s="115">
        <v>21350</v>
      </c>
      <c r="B31" s="99" t="s">
        <v>50</v>
      </c>
      <c r="C31" s="100">
        <f t="shared" si="1"/>
        <v>199</v>
      </c>
      <c r="D31" s="104" t="s">
        <v>47</v>
      </c>
      <c r="E31" s="110" t="s">
        <v>47</v>
      </c>
      <c r="F31" s="111" t="s">
        <v>47</v>
      </c>
      <c r="G31" s="104" t="s">
        <v>47</v>
      </c>
      <c r="H31" s="105" t="s">
        <v>47</v>
      </c>
      <c r="I31" s="106" t="s">
        <v>47</v>
      </c>
      <c r="J31" s="112">
        <f>SUM(J32:J34)</f>
        <v>199</v>
      </c>
      <c r="K31" s="113">
        <f>SUM(K32:K34)</f>
        <v>0</v>
      </c>
      <c r="L31" s="114">
        <f t="shared" si="2"/>
        <v>199</v>
      </c>
      <c r="M31" s="107" t="s">
        <v>47</v>
      </c>
      <c r="N31" s="108" t="s">
        <v>47</v>
      </c>
      <c r="O31" s="106" t="s">
        <v>47</v>
      </c>
      <c r="P31" s="109"/>
      <c r="R31" s="53"/>
      <c r="S31" s="53"/>
      <c r="T31" s="53"/>
    </row>
    <row r="32" spans="1:20" hidden="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c r="R32" s="53"/>
      <c r="S32" s="53"/>
      <c r="T32" s="53"/>
    </row>
    <row r="33" spans="1:20" x14ac:dyDescent="0.25">
      <c r="A33" s="75">
        <v>21352</v>
      </c>
      <c r="B33" s="127" t="s">
        <v>52</v>
      </c>
      <c r="C33" s="128">
        <f t="shared" si="1"/>
        <v>199</v>
      </c>
      <c r="D33" s="129" t="s">
        <v>47</v>
      </c>
      <c r="E33" s="130" t="s">
        <v>47</v>
      </c>
      <c r="F33" s="131" t="s">
        <v>47</v>
      </c>
      <c r="G33" s="129" t="s">
        <v>47</v>
      </c>
      <c r="H33" s="132" t="s">
        <v>47</v>
      </c>
      <c r="I33" s="133" t="s">
        <v>47</v>
      </c>
      <c r="J33" s="134">
        <v>199</v>
      </c>
      <c r="K33" s="135"/>
      <c r="L33" s="136">
        <f t="shared" si="2"/>
        <v>199</v>
      </c>
      <c r="M33" s="137" t="s">
        <v>47</v>
      </c>
      <c r="N33" s="138" t="s">
        <v>47</v>
      </c>
      <c r="O33" s="133" t="s">
        <v>47</v>
      </c>
      <c r="P33" s="85"/>
      <c r="R33" s="53"/>
      <c r="S33" s="53"/>
      <c r="T33" s="53"/>
    </row>
    <row r="34" spans="1:20" ht="24" hidden="1" x14ac:dyDescent="0.25">
      <c r="A34" s="75">
        <v>21359</v>
      </c>
      <c r="B34" s="127" t="s">
        <v>53</v>
      </c>
      <c r="C34" s="128">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c r="R34" s="53"/>
      <c r="S34" s="53"/>
      <c r="T34" s="53"/>
    </row>
    <row r="35" spans="1:20" s="41" customFormat="1" ht="36" hidden="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c r="R35" s="53"/>
      <c r="S35" s="53"/>
      <c r="T35" s="53"/>
    </row>
    <row r="36" spans="1:20" ht="36" hidden="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c r="R36" s="53"/>
      <c r="S36" s="53"/>
      <c r="T36" s="53"/>
    </row>
    <row r="37" spans="1:20" s="41" customFormat="1" hidden="1" x14ac:dyDescent="0.25">
      <c r="A37" s="115">
        <v>21380</v>
      </c>
      <c r="B37" s="99" t="s">
        <v>56</v>
      </c>
      <c r="C37" s="100">
        <f t="shared" si="1"/>
        <v>0</v>
      </c>
      <c r="D37" s="104" t="s">
        <v>47</v>
      </c>
      <c r="E37" s="108" t="s">
        <v>47</v>
      </c>
      <c r="F37" s="140" t="s">
        <v>47</v>
      </c>
      <c r="G37" s="104" t="s">
        <v>47</v>
      </c>
      <c r="H37" s="105" t="s">
        <v>47</v>
      </c>
      <c r="I37" s="106" t="s">
        <v>47</v>
      </c>
      <c r="J37" s="112">
        <f>SUM(J38:J39)</f>
        <v>0</v>
      </c>
      <c r="K37" s="113">
        <f>SUM(K38:K39)</f>
        <v>0</v>
      </c>
      <c r="L37" s="114">
        <f t="shared" si="2"/>
        <v>0</v>
      </c>
      <c r="M37" s="107" t="s">
        <v>47</v>
      </c>
      <c r="N37" s="108" t="s">
        <v>47</v>
      </c>
      <c r="O37" s="106" t="s">
        <v>47</v>
      </c>
      <c r="P37" s="109"/>
      <c r="R37" s="53"/>
      <c r="S37" s="53"/>
      <c r="T37" s="53"/>
    </row>
    <row r="38" spans="1:20" hidden="1" x14ac:dyDescent="0.25">
      <c r="A38" s="66">
        <v>21381</v>
      </c>
      <c r="B38" s="116" t="s">
        <v>57</v>
      </c>
      <c r="C38" s="117">
        <f t="shared" si="1"/>
        <v>0</v>
      </c>
      <c r="D38" s="118" t="s">
        <v>47</v>
      </c>
      <c r="E38" s="119" t="s">
        <v>47</v>
      </c>
      <c r="F38" s="120" t="s">
        <v>47</v>
      </c>
      <c r="G38" s="118" t="s">
        <v>47</v>
      </c>
      <c r="H38" s="121" t="s">
        <v>47</v>
      </c>
      <c r="I38" s="122" t="s">
        <v>47</v>
      </c>
      <c r="J38" s="123"/>
      <c r="K38" s="124"/>
      <c r="L38" s="125">
        <f t="shared" si="2"/>
        <v>0</v>
      </c>
      <c r="M38" s="126" t="s">
        <v>47</v>
      </c>
      <c r="N38" s="119" t="s">
        <v>47</v>
      </c>
      <c r="O38" s="122" t="s">
        <v>47</v>
      </c>
      <c r="P38" s="928"/>
      <c r="R38" s="53"/>
      <c r="S38" s="53"/>
      <c r="T38" s="53"/>
    </row>
    <row r="39" spans="1:20" ht="24" hidden="1" x14ac:dyDescent="0.25">
      <c r="A39" s="76">
        <v>21383</v>
      </c>
      <c r="B39" s="127" t="s">
        <v>58</v>
      </c>
      <c r="C39" s="128">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c r="R39" s="53"/>
      <c r="S39" s="53"/>
      <c r="T39" s="53"/>
    </row>
    <row r="40" spans="1:20" s="41" customFormat="1" ht="24" x14ac:dyDescent="0.25">
      <c r="A40" s="115">
        <v>21390</v>
      </c>
      <c r="B40" s="99" t="s">
        <v>59</v>
      </c>
      <c r="C40" s="100">
        <f t="shared" si="1"/>
        <v>56</v>
      </c>
      <c r="D40" s="104" t="s">
        <v>47</v>
      </c>
      <c r="E40" s="110" t="s">
        <v>47</v>
      </c>
      <c r="F40" s="111" t="s">
        <v>47</v>
      </c>
      <c r="G40" s="104" t="s">
        <v>47</v>
      </c>
      <c r="H40" s="105" t="s">
        <v>47</v>
      </c>
      <c r="I40" s="106" t="s">
        <v>47</v>
      </c>
      <c r="J40" s="112">
        <f>SUM(J41:J44)</f>
        <v>56</v>
      </c>
      <c r="K40" s="113">
        <f>SUM(K41:K44)</f>
        <v>0</v>
      </c>
      <c r="L40" s="114">
        <f t="shared" si="2"/>
        <v>56</v>
      </c>
      <c r="M40" s="107" t="s">
        <v>47</v>
      </c>
      <c r="N40" s="108" t="s">
        <v>47</v>
      </c>
      <c r="O40" s="106" t="s">
        <v>47</v>
      </c>
      <c r="P40" s="109"/>
      <c r="R40" s="53"/>
      <c r="S40" s="53"/>
      <c r="T40" s="53"/>
    </row>
    <row r="41" spans="1:20" ht="24" hidden="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c r="R41" s="53"/>
      <c r="S41" s="53"/>
      <c r="T41" s="53"/>
    </row>
    <row r="42" spans="1:20" hidden="1" x14ac:dyDescent="0.25">
      <c r="A42" s="76">
        <v>21393</v>
      </c>
      <c r="B42" s="127" t="s">
        <v>61</v>
      </c>
      <c r="C42" s="128">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c r="R42" s="53"/>
      <c r="S42" s="53"/>
      <c r="T42" s="53"/>
    </row>
    <row r="43" spans="1:20" hidden="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c r="R43" s="53"/>
      <c r="S43" s="53"/>
      <c r="T43" s="53"/>
    </row>
    <row r="44" spans="1:20" ht="24" x14ac:dyDescent="0.25">
      <c r="A44" s="265">
        <v>21399</v>
      </c>
      <c r="B44" s="266" t="s">
        <v>63</v>
      </c>
      <c r="C44" s="942">
        <f t="shared" si="1"/>
        <v>56</v>
      </c>
      <c r="D44" s="782" t="s">
        <v>47</v>
      </c>
      <c r="E44" s="783" t="s">
        <v>47</v>
      </c>
      <c r="F44" s="943" t="s">
        <v>47</v>
      </c>
      <c r="G44" s="782" t="s">
        <v>47</v>
      </c>
      <c r="H44" s="785" t="s">
        <v>47</v>
      </c>
      <c r="I44" s="944" t="s">
        <v>47</v>
      </c>
      <c r="J44" s="268">
        <v>56</v>
      </c>
      <c r="K44" s="271"/>
      <c r="L44" s="945">
        <f t="shared" si="2"/>
        <v>56</v>
      </c>
      <c r="M44" s="787" t="s">
        <v>47</v>
      </c>
      <c r="N44" s="788" t="s">
        <v>47</v>
      </c>
      <c r="O44" s="944" t="s">
        <v>47</v>
      </c>
      <c r="P44" s="275"/>
      <c r="R44" s="53"/>
      <c r="S44" s="53"/>
      <c r="T44" s="53"/>
    </row>
    <row r="45" spans="1:20" s="41" customFormat="1" ht="24" hidden="1" x14ac:dyDescent="0.25">
      <c r="A45" s="115">
        <v>21420</v>
      </c>
      <c r="B45" s="99" t="s">
        <v>64</v>
      </c>
      <c r="C45" s="156">
        <f>F45</f>
        <v>0</v>
      </c>
      <c r="D45" s="157"/>
      <c r="E45" s="158"/>
      <c r="F45" s="103">
        <f>D45+E45</f>
        <v>0</v>
      </c>
      <c r="G45" s="104" t="s">
        <v>47</v>
      </c>
      <c r="H45" s="105" t="s">
        <v>47</v>
      </c>
      <c r="I45" s="106" t="s">
        <v>47</v>
      </c>
      <c r="J45" s="104" t="s">
        <v>47</v>
      </c>
      <c r="K45" s="105" t="s">
        <v>47</v>
      </c>
      <c r="L45" s="106" t="s">
        <v>47</v>
      </c>
      <c r="M45" s="107" t="s">
        <v>47</v>
      </c>
      <c r="N45" s="108" t="s">
        <v>47</v>
      </c>
      <c r="O45" s="106" t="s">
        <v>47</v>
      </c>
      <c r="P45" s="109"/>
      <c r="R45" s="53"/>
      <c r="S45" s="53"/>
      <c r="T45" s="53"/>
    </row>
    <row r="46" spans="1:20" s="41" customFormat="1" ht="24" x14ac:dyDescent="0.25">
      <c r="A46" s="159">
        <v>21490</v>
      </c>
      <c r="B46" s="160" t="s">
        <v>65</v>
      </c>
      <c r="C46" s="156">
        <f>F46+I46+L46</f>
        <v>5</v>
      </c>
      <c r="D46" s="161">
        <f>D47</f>
        <v>0</v>
      </c>
      <c r="E46" s="672">
        <f>E47</f>
        <v>0</v>
      </c>
      <c r="F46" s="946">
        <f>D46+E46</f>
        <v>0</v>
      </c>
      <c r="G46" s="161">
        <f>G47</f>
        <v>0</v>
      </c>
      <c r="H46" s="164">
        <f t="shared" ref="H46:K46" si="3">H47</f>
        <v>0</v>
      </c>
      <c r="I46" s="947">
        <f>G46+H46</f>
        <v>0</v>
      </c>
      <c r="J46" s="161">
        <f>J47</f>
        <v>5</v>
      </c>
      <c r="K46" s="164">
        <f t="shared" si="3"/>
        <v>0</v>
      </c>
      <c r="L46" s="947">
        <f>J46+K46</f>
        <v>5</v>
      </c>
      <c r="M46" s="107" t="s">
        <v>47</v>
      </c>
      <c r="N46" s="108" t="s">
        <v>47</v>
      </c>
      <c r="O46" s="106" t="s">
        <v>47</v>
      </c>
      <c r="P46" s="109"/>
      <c r="R46" s="53"/>
      <c r="S46" s="53"/>
      <c r="T46" s="53"/>
    </row>
    <row r="47" spans="1:20" s="41" customFormat="1" ht="24" x14ac:dyDescent="0.25">
      <c r="A47" s="265">
        <v>21499</v>
      </c>
      <c r="B47" s="266" t="s">
        <v>66</v>
      </c>
      <c r="C47" s="929">
        <f>F47+I47+L47</f>
        <v>5</v>
      </c>
      <c r="D47" s="930"/>
      <c r="E47" s="948"/>
      <c r="F47" s="949">
        <f>D47+E47</f>
        <v>0</v>
      </c>
      <c r="G47" s="933"/>
      <c r="H47" s="934"/>
      <c r="I47" s="950">
        <f>G47+H47</f>
        <v>0</v>
      </c>
      <c r="J47" s="930">
        <v>5</v>
      </c>
      <c r="K47" s="934"/>
      <c r="L47" s="950">
        <f>J47+K47</f>
        <v>5</v>
      </c>
      <c r="M47" s="936" t="s">
        <v>47</v>
      </c>
      <c r="N47" s="937" t="s">
        <v>47</v>
      </c>
      <c r="O47" s="938" t="s">
        <v>47</v>
      </c>
      <c r="P47" s="939"/>
      <c r="R47" s="53"/>
      <c r="S47" s="53"/>
      <c r="T47" s="53"/>
    </row>
    <row r="48" spans="1:20" ht="24" hidden="1" x14ac:dyDescent="0.25">
      <c r="A48" s="168">
        <v>23000</v>
      </c>
      <c r="B48" s="169" t="s">
        <v>67</v>
      </c>
      <c r="C48" s="156">
        <f>O48</f>
        <v>0</v>
      </c>
      <c r="D48" s="170" t="s">
        <v>47</v>
      </c>
      <c r="E48" s="171" t="s">
        <v>47</v>
      </c>
      <c r="F48" s="172" t="s">
        <v>47</v>
      </c>
      <c r="G48" s="170" t="s">
        <v>47</v>
      </c>
      <c r="H48" s="173" t="s">
        <v>47</v>
      </c>
      <c r="I48" s="174" t="s">
        <v>47</v>
      </c>
      <c r="J48" s="170" t="s">
        <v>47</v>
      </c>
      <c r="K48" s="173" t="s">
        <v>47</v>
      </c>
      <c r="L48" s="174" t="s">
        <v>47</v>
      </c>
      <c r="M48" s="175">
        <f>SUM(M49:M50)</f>
        <v>0</v>
      </c>
      <c r="N48" s="176">
        <f>SUM(N49:N50)</f>
        <v>0</v>
      </c>
      <c r="O48" s="177">
        <f>M48+N48</f>
        <v>0</v>
      </c>
      <c r="P48" s="109"/>
      <c r="R48" s="53"/>
      <c r="S48" s="53"/>
      <c r="T48" s="53"/>
    </row>
    <row r="49" spans="1:20" ht="24" hidden="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c r="R49" s="53"/>
      <c r="S49" s="53"/>
      <c r="T49" s="53"/>
    </row>
    <row r="50" spans="1:20" ht="24" hidden="1" x14ac:dyDescent="0.25">
      <c r="A50" s="178">
        <v>23510</v>
      </c>
      <c r="B50" s="179" t="s">
        <v>69</v>
      </c>
      <c r="C50" s="180">
        <f>O50</f>
        <v>0</v>
      </c>
      <c r="D50" s="181" t="s">
        <v>47</v>
      </c>
      <c r="E50" s="182" t="s">
        <v>47</v>
      </c>
      <c r="F50" s="183" t="s">
        <v>47</v>
      </c>
      <c r="G50" s="181" t="s">
        <v>47</v>
      </c>
      <c r="H50" s="184" t="s">
        <v>47</v>
      </c>
      <c r="I50" s="185" t="s">
        <v>47</v>
      </c>
      <c r="J50" s="181" t="s">
        <v>47</v>
      </c>
      <c r="K50" s="184" t="s">
        <v>47</v>
      </c>
      <c r="L50" s="185" t="s">
        <v>47</v>
      </c>
      <c r="M50" s="186"/>
      <c r="N50" s="187"/>
      <c r="O50" s="188">
        <f>M50+N50</f>
        <v>0</v>
      </c>
      <c r="P50" s="189"/>
      <c r="R50" s="53"/>
      <c r="S50" s="53"/>
      <c r="T50" s="53"/>
    </row>
    <row r="51" spans="1:20" x14ac:dyDescent="0.25">
      <c r="A51" s="190"/>
      <c r="B51" s="179"/>
      <c r="C51" s="191"/>
      <c r="D51" s="192"/>
      <c r="E51" s="193"/>
      <c r="F51" s="194"/>
      <c r="G51" s="192"/>
      <c r="H51" s="195"/>
      <c r="I51" s="185"/>
      <c r="J51" s="196"/>
      <c r="K51" s="197"/>
      <c r="L51" s="188"/>
      <c r="M51" s="186"/>
      <c r="N51" s="187"/>
      <c r="O51" s="188"/>
      <c r="P51" s="189"/>
      <c r="R51" s="53"/>
      <c r="S51" s="53"/>
      <c r="T51" s="53"/>
    </row>
    <row r="52" spans="1:20" s="41" customFormat="1" x14ac:dyDescent="0.25">
      <c r="A52" s="198"/>
      <c r="B52" s="199" t="s">
        <v>70</v>
      </c>
      <c r="C52" s="200"/>
      <c r="D52" s="201"/>
      <c r="E52" s="202"/>
      <c r="F52" s="203"/>
      <c r="G52" s="201"/>
      <c r="H52" s="204"/>
      <c r="I52" s="205"/>
      <c r="J52" s="201"/>
      <c r="K52" s="204"/>
      <c r="L52" s="205"/>
      <c r="M52" s="206"/>
      <c r="N52" s="207"/>
      <c r="O52" s="205"/>
      <c r="P52" s="208"/>
      <c r="R52" s="53"/>
      <c r="S52" s="53"/>
      <c r="T52" s="53"/>
    </row>
    <row r="53" spans="1:20" s="41" customFormat="1" ht="12.75" thickBot="1" x14ac:dyDescent="0.3">
      <c r="A53" s="209"/>
      <c r="B53" s="42" t="s">
        <v>71</v>
      </c>
      <c r="C53" s="210">
        <f t="shared" ref="C53:C116" si="4">F53+I53+L53+O53</f>
        <v>321647</v>
      </c>
      <c r="D53" s="211">
        <f>SUM(D54,D284)</f>
        <v>300455</v>
      </c>
      <c r="E53" s="212">
        <f>SUM(E54,E284)</f>
        <v>0</v>
      </c>
      <c r="F53" s="213">
        <f t="shared" ref="F53:F117" si="5">D53+E53</f>
        <v>300455</v>
      </c>
      <c r="G53" s="211">
        <f>SUM(G54,G284)</f>
        <v>20521</v>
      </c>
      <c r="H53" s="214">
        <f>SUM(H54,H284)</f>
        <v>0</v>
      </c>
      <c r="I53" s="215">
        <f t="shared" ref="I53:I117" si="6">G53+H53</f>
        <v>20521</v>
      </c>
      <c r="J53" s="211">
        <f>SUM(J54,J284)</f>
        <v>671</v>
      </c>
      <c r="K53" s="214">
        <f>SUM(K54,K284)</f>
        <v>0</v>
      </c>
      <c r="L53" s="215">
        <f t="shared" ref="L53:L117" si="7">J53+K53</f>
        <v>671</v>
      </c>
      <c r="M53" s="216">
        <f>SUM(M54,M284)</f>
        <v>0</v>
      </c>
      <c r="N53" s="217">
        <f>SUM(N54,N284)</f>
        <v>0</v>
      </c>
      <c r="O53" s="215">
        <f t="shared" ref="O53:O117" si="8">M53+N53</f>
        <v>0</v>
      </c>
      <c r="P53" s="52"/>
      <c r="R53" s="53"/>
      <c r="S53" s="53"/>
      <c r="T53" s="53"/>
    </row>
    <row r="54" spans="1:20" s="41" customFormat="1" ht="36.75" thickTop="1" x14ac:dyDescent="0.25">
      <c r="A54" s="218"/>
      <c r="B54" s="219" t="s">
        <v>72</v>
      </c>
      <c r="C54" s="220">
        <f t="shared" si="4"/>
        <v>321448</v>
      </c>
      <c r="D54" s="221">
        <f>SUM(D55,D197)</f>
        <v>300455</v>
      </c>
      <c r="E54" s="222">
        <f>SUM(E55,E197)</f>
        <v>0</v>
      </c>
      <c r="F54" s="223">
        <f t="shared" si="5"/>
        <v>300455</v>
      </c>
      <c r="G54" s="221">
        <f>SUM(G55,G197)</f>
        <v>20521</v>
      </c>
      <c r="H54" s="224">
        <f>SUM(H55,H197)</f>
        <v>0</v>
      </c>
      <c r="I54" s="225">
        <f t="shared" si="6"/>
        <v>20521</v>
      </c>
      <c r="J54" s="221">
        <f>SUM(J55,J197)</f>
        <v>472</v>
      </c>
      <c r="K54" s="224">
        <f>SUM(K55,K197)</f>
        <v>0</v>
      </c>
      <c r="L54" s="225">
        <f t="shared" si="7"/>
        <v>472</v>
      </c>
      <c r="M54" s="226">
        <f>SUM(M55,M197)</f>
        <v>0</v>
      </c>
      <c r="N54" s="227">
        <f>SUM(N55,N197)</f>
        <v>0</v>
      </c>
      <c r="O54" s="225">
        <f t="shared" si="8"/>
        <v>0</v>
      </c>
      <c r="P54" s="228"/>
      <c r="R54" s="53"/>
      <c r="S54" s="53"/>
      <c r="T54" s="53"/>
    </row>
    <row r="55" spans="1:20" s="41" customFormat="1" ht="24" x14ac:dyDescent="0.25">
      <c r="A55" s="35"/>
      <c r="B55" s="30" t="s">
        <v>73</v>
      </c>
      <c r="C55" s="229">
        <f t="shared" si="4"/>
        <v>320197</v>
      </c>
      <c r="D55" s="230">
        <f>SUM(D56,D78,D176,D190)</f>
        <v>299391</v>
      </c>
      <c r="E55" s="231">
        <f>SUM(E56,E78,E176,E190)</f>
        <v>0</v>
      </c>
      <c r="F55" s="232">
        <f t="shared" si="5"/>
        <v>299391</v>
      </c>
      <c r="G55" s="230">
        <f>SUM(G56,G78,G176,G190)</f>
        <v>20371</v>
      </c>
      <c r="H55" s="233">
        <f>SUM(H56,H78,H176,H190)</f>
        <v>0</v>
      </c>
      <c r="I55" s="234">
        <f t="shared" si="6"/>
        <v>20371</v>
      </c>
      <c r="J55" s="230">
        <f>SUM(J56,J78,J176,J190)</f>
        <v>435</v>
      </c>
      <c r="K55" s="233">
        <f>SUM(K56,K78,K176,K190)</f>
        <v>0</v>
      </c>
      <c r="L55" s="234">
        <f t="shared" si="7"/>
        <v>435</v>
      </c>
      <c r="M55" s="53">
        <f>SUM(M56,M78,M176,M190)</f>
        <v>0</v>
      </c>
      <c r="N55" s="235">
        <f>SUM(N56,N78,N176,N190)</f>
        <v>0</v>
      </c>
      <c r="O55" s="234">
        <f t="shared" si="8"/>
        <v>0</v>
      </c>
      <c r="P55" s="236"/>
      <c r="R55" s="53"/>
      <c r="S55" s="53"/>
      <c r="T55" s="53"/>
    </row>
    <row r="56" spans="1:20" s="41" customFormat="1" x14ac:dyDescent="0.25">
      <c r="A56" s="237">
        <v>1000</v>
      </c>
      <c r="B56" s="237" t="s">
        <v>74</v>
      </c>
      <c r="C56" s="238">
        <f t="shared" si="4"/>
        <v>274903</v>
      </c>
      <c r="D56" s="239">
        <f>SUM(D57,D70)</f>
        <v>254969</v>
      </c>
      <c r="E56" s="240">
        <f>SUM(E57,E70)</f>
        <v>0</v>
      </c>
      <c r="F56" s="241">
        <f t="shared" si="5"/>
        <v>254969</v>
      </c>
      <c r="G56" s="239">
        <f>SUM(G57,G70)</f>
        <v>19934</v>
      </c>
      <c r="H56" s="242">
        <f>SUM(H57,H70)</f>
        <v>0</v>
      </c>
      <c r="I56" s="243">
        <f t="shared" si="6"/>
        <v>19934</v>
      </c>
      <c r="J56" s="239">
        <f>SUM(J57,J70)</f>
        <v>0</v>
      </c>
      <c r="K56" s="242">
        <f>SUM(K57,K70)</f>
        <v>0</v>
      </c>
      <c r="L56" s="243">
        <f t="shared" si="7"/>
        <v>0</v>
      </c>
      <c r="M56" s="244">
        <f>SUM(M57,M70)</f>
        <v>0</v>
      </c>
      <c r="N56" s="245">
        <f>SUM(N57,N70)</f>
        <v>0</v>
      </c>
      <c r="O56" s="243">
        <f t="shared" si="8"/>
        <v>0</v>
      </c>
      <c r="P56" s="246"/>
      <c r="R56" s="53"/>
      <c r="S56" s="53"/>
      <c r="T56" s="53"/>
    </row>
    <row r="57" spans="1:20" x14ac:dyDescent="0.25">
      <c r="A57" s="99">
        <v>1100</v>
      </c>
      <c r="B57" s="247" t="s">
        <v>75</v>
      </c>
      <c r="C57" s="100">
        <f t="shared" si="4"/>
        <v>209047</v>
      </c>
      <c r="D57" s="112">
        <f>SUM(D58,D61,D69)</f>
        <v>192919</v>
      </c>
      <c r="E57" s="248">
        <f>SUM(E58,E61,E69)</f>
        <v>0</v>
      </c>
      <c r="F57" s="249">
        <f t="shared" si="5"/>
        <v>192919</v>
      </c>
      <c r="G57" s="112">
        <f>SUM(G58,G61,G69)</f>
        <v>16028</v>
      </c>
      <c r="H57" s="113">
        <f>SUM(H58,H61,H69)</f>
        <v>100</v>
      </c>
      <c r="I57" s="114">
        <f t="shared" si="6"/>
        <v>16128</v>
      </c>
      <c r="J57" s="112">
        <f>SUM(J58,J61,J69)</f>
        <v>0</v>
      </c>
      <c r="K57" s="113">
        <f>SUM(K58,K61,K69)</f>
        <v>0</v>
      </c>
      <c r="L57" s="114">
        <f t="shared" si="7"/>
        <v>0</v>
      </c>
      <c r="M57" s="250">
        <f>SUM(M58,M61,M69)</f>
        <v>0</v>
      </c>
      <c r="N57" s="251">
        <f>SUM(N58,N61,N69)</f>
        <v>0</v>
      </c>
      <c r="O57" s="252">
        <f t="shared" si="8"/>
        <v>0</v>
      </c>
      <c r="P57" s="253"/>
      <c r="R57" s="53"/>
      <c r="S57" s="53"/>
      <c r="T57" s="53"/>
    </row>
    <row r="58" spans="1:20" x14ac:dyDescent="0.25">
      <c r="A58" s="254">
        <v>1110</v>
      </c>
      <c r="B58" s="179" t="s">
        <v>76</v>
      </c>
      <c r="C58" s="191">
        <f t="shared" si="4"/>
        <v>186068</v>
      </c>
      <c r="D58" s="255">
        <f>SUM(D59:D60)</f>
        <v>171162</v>
      </c>
      <c r="E58" s="256">
        <f>SUM(E59:E60)</f>
        <v>0</v>
      </c>
      <c r="F58" s="257">
        <f t="shared" si="5"/>
        <v>171162</v>
      </c>
      <c r="G58" s="255">
        <f>SUM(G59:G60)</f>
        <v>14164</v>
      </c>
      <c r="H58" s="258">
        <f>SUM(H59:H60)</f>
        <v>742</v>
      </c>
      <c r="I58" s="259">
        <f t="shared" si="6"/>
        <v>14906</v>
      </c>
      <c r="J58" s="255">
        <f>SUM(J59:J60)</f>
        <v>0</v>
      </c>
      <c r="K58" s="258">
        <f>SUM(K59:K60)</f>
        <v>0</v>
      </c>
      <c r="L58" s="259">
        <f t="shared" si="7"/>
        <v>0</v>
      </c>
      <c r="M58" s="260">
        <f>SUM(M59:M60)</f>
        <v>0</v>
      </c>
      <c r="N58" s="261">
        <f>SUM(N59:N60)</f>
        <v>0</v>
      </c>
      <c r="O58" s="259">
        <f t="shared" si="8"/>
        <v>0</v>
      </c>
      <c r="P58" s="189"/>
      <c r="R58" s="53"/>
      <c r="S58" s="53"/>
      <c r="T58" s="53"/>
    </row>
    <row r="59" spans="1:20" hidden="1" x14ac:dyDescent="0.25">
      <c r="A59" s="66">
        <v>1111</v>
      </c>
      <c r="B59" s="116" t="s">
        <v>77</v>
      </c>
      <c r="C59" s="117">
        <f t="shared" si="4"/>
        <v>0</v>
      </c>
      <c r="D59" s="123"/>
      <c r="E59" s="262"/>
      <c r="F59" s="263">
        <f t="shared" si="5"/>
        <v>0</v>
      </c>
      <c r="G59" s="123"/>
      <c r="H59" s="124"/>
      <c r="I59" s="125">
        <f t="shared" si="6"/>
        <v>0</v>
      </c>
      <c r="J59" s="123"/>
      <c r="K59" s="124"/>
      <c r="L59" s="125">
        <f t="shared" si="7"/>
        <v>0</v>
      </c>
      <c r="M59" s="264"/>
      <c r="N59" s="262"/>
      <c r="O59" s="125">
        <f t="shared" si="8"/>
        <v>0</v>
      </c>
      <c r="P59" s="74"/>
      <c r="R59" s="53"/>
      <c r="S59" s="53"/>
      <c r="T59" s="53"/>
    </row>
    <row r="60" spans="1:20" ht="24" x14ac:dyDescent="0.25">
      <c r="A60" s="76">
        <v>1119</v>
      </c>
      <c r="B60" s="127" t="s">
        <v>78</v>
      </c>
      <c r="C60" s="128">
        <f t="shared" si="4"/>
        <v>186068</v>
      </c>
      <c r="D60" s="134">
        <v>171162</v>
      </c>
      <c r="E60" s="283"/>
      <c r="F60" s="279">
        <f t="shared" si="5"/>
        <v>171162</v>
      </c>
      <c r="G60" s="134">
        <v>14164</v>
      </c>
      <c r="H60" s="135">
        <v>742</v>
      </c>
      <c r="I60" s="136">
        <f t="shared" si="6"/>
        <v>14906</v>
      </c>
      <c r="J60" s="134"/>
      <c r="K60" s="135"/>
      <c r="L60" s="136">
        <f t="shared" si="7"/>
        <v>0</v>
      </c>
      <c r="M60" s="284"/>
      <c r="N60" s="285"/>
      <c r="O60" s="136">
        <f t="shared" si="8"/>
        <v>0</v>
      </c>
      <c r="P60" s="85" t="s">
        <v>1124</v>
      </c>
      <c r="R60" s="53"/>
      <c r="S60" s="53"/>
      <c r="T60" s="53"/>
    </row>
    <row r="61" spans="1:20" ht="24" x14ac:dyDescent="0.25">
      <c r="A61" s="276">
        <v>1140</v>
      </c>
      <c r="B61" s="127" t="s">
        <v>79</v>
      </c>
      <c r="C61" s="128">
        <f t="shared" si="4"/>
        <v>21917</v>
      </c>
      <c r="D61" s="277">
        <f>SUM(D62:D68)</f>
        <v>20695</v>
      </c>
      <c r="E61" s="278">
        <f>SUM(E62:E68)</f>
        <v>0</v>
      </c>
      <c r="F61" s="279">
        <f>D61+E61</f>
        <v>20695</v>
      </c>
      <c r="G61" s="277">
        <f>SUM(G62:G68)</f>
        <v>1864</v>
      </c>
      <c r="H61" s="280">
        <f>SUM(H62:H68)</f>
        <v>-642</v>
      </c>
      <c r="I61" s="136">
        <f t="shared" si="6"/>
        <v>1222</v>
      </c>
      <c r="J61" s="277">
        <f>SUM(J62:J68)</f>
        <v>0</v>
      </c>
      <c r="K61" s="280">
        <f>SUM(K62:K68)</f>
        <v>0</v>
      </c>
      <c r="L61" s="136">
        <f t="shared" si="7"/>
        <v>0</v>
      </c>
      <c r="M61" s="281">
        <f>SUM(M62:M68)</f>
        <v>0</v>
      </c>
      <c r="N61" s="282">
        <f>SUM(N62:N68)</f>
        <v>0</v>
      </c>
      <c r="O61" s="136">
        <f t="shared" si="8"/>
        <v>0</v>
      </c>
      <c r="P61" s="85"/>
      <c r="R61" s="53"/>
      <c r="S61" s="53"/>
      <c r="T61" s="53"/>
    </row>
    <row r="62" spans="1:20" x14ac:dyDescent="0.25">
      <c r="A62" s="76">
        <v>1141</v>
      </c>
      <c r="B62" s="127" t="s">
        <v>80</v>
      </c>
      <c r="C62" s="128">
        <f t="shared" si="4"/>
        <v>3748</v>
      </c>
      <c r="D62" s="134">
        <v>3748</v>
      </c>
      <c r="E62" s="283"/>
      <c r="F62" s="279">
        <f t="shared" si="5"/>
        <v>3748</v>
      </c>
      <c r="G62" s="134"/>
      <c r="H62" s="135"/>
      <c r="I62" s="136">
        <f t="shared" si="6"/>
        <v>0</v>
      </c>
      <c r="J62" s="134"/>
      <c r="K62" s="135"/>
      <c r="L62" s="136">
        <f t="shared" si="7"/>
        <v>0</v>
      </c>
      <c r="M62" s="284"/>
      <c r="N62" s="285"/>
      <c r="O62" s="136">
        <f t="shared" si="8"/>
        <v>0</v>
      </c>
      <c r="P62" s="85"/>
      <c r="R62" s="53"/>
      <c r="S62" s="53"/>
      <c r="T62" s="53"/>
    </row>
    <row r="63" spans="1:20" ht="24" x14ac:dyDescent="0.25">
      <c r="A63" s="76">
        <v>1142</v>
      </c>
      <c r="B63" s="127" t="s">
        <v>81</v>
      </c>
      <c r="C63" s="128">
        <f t="shared" si="4"/>
        <v>922</v>
      </c>
      <c r="D63" s="134">
        <v>922</v>
      </c>
      <c r="E63" s="283"/>
      <c r="F63" s="279">
        <f t="shared" si="5"/>
        <v>922</v>
      </c>
      <c r="G63" s="134"/>
      <c r="H63" s="135"/>
      <c r="I63" s="136">
        <f t="shared" si="6"/>
        <v>0</v>
      </c>
      <c r="J63" s="134"/>
      <c r="K63" s="135"/>
      <c r="L63" s="136">
        <f t="shared" si="7"/>
        <v>0</v>
      </c>
      <c r="M63" s="284"/>
      <c r="N63" s="285"/>
      <c r="O63" s="136">
        <f t="shared" si="8"/>
        <v>0</v>
      </c>
      <c r="P63" s="85"/>
      <c r="R63" s="53"/>
      <c r="S63" s="53"/>
      <c r="T63" s="53"/>
    </row>
    <row r="64" spans="1:20" ht="24" hidden="1" x14ac:dyDescent="0.25">
      <c r="A64" s="76">
        <v>1145</v>
      </c>
      <c r="B64" s="127" t="s">
        <v>82</v>
      </c>
      <c r="C64" s="128">
        <f t="shared" si="4"/>
        <v>0</v>
      </c>
      <c r="D64" s="134"/>
      <c r="E64" s="285"/>
      <c r="F64" s="286">
        <f t="shared" si="5"/>
        <v>0</v>
      </c>
      <c r="G64" s="134"/>
      <c r="H64" s="135"/>
      <c r="I64" s="136">
        <f t="shared" si="6"/>
        <v>0</v>
      </c>
      <c r="J64" s="134"/>
      <c r="K64" s="135"/>
      <c r="L64" s="136">
        <f t="shared" si="7"/>
        <v>0</v>
      </c>
      <c r="M64" s="284"/>
      <c r="N64" s="285"/>
      <c r="O64" s="136">
        <f t="shared" si="8"/>
        <v>0</v>
      </c>
      <c r="P64" s="85"/>
      <c r="R64" s="53"/>
      <c r="S64" s="53"/>
      <c r="T64" s="53"/>
    </row>
    <row r="65" spans="1:20" ht="24" hidden="1" x14ac:dyDescent="0.25">
      <c r="A65" s="76">
        <v>1146</v>
      </c>
      <c r="B65" s="127" t="s">
        <v>83</v>
      </c>
      <c r="C65" s="128">
        <f t="shared" si="4"/>
        <v>0</v>
      </c>
      <c r="D65" s="134"/>
      <c r="E65" s="285"/>
      <c r="F65" s="286">
        <f t="shared" si="5"/>
        <v>0</v>
      </c>
      <c r="G65" s="134"/>
      <c r="H65" s="135"/>
      <c r="I65" s="136">
        <f t="shared" si="6"/>
        <v>0</v>
      </c>
      <c r="J65" s="134"/>
      <c r="K65" s="135"/>
      <c r="L65" s="136">
        <f t="shared" si="7"/>
        <v>0</v>
      </c>
      <c r="M65" s="284"/>
      <c r="N65" s="285"/>
      <c r="O65" s="136">
        <f t="shared" si="8"/>
        <v>0</v>
      </c>
      <c r="P65" s="85"/>
      <c r="R65" s="53"/>
      <c r="S65" s="53"/>
      <c r="T65" s="53"/>
    </row>
    <row r="66" spans="1:20" x14ac:dyDescent="0.25">
      <c r="A66" s="76">
        <v>1147</v>
      </c>
      <c r="B66" s="127" t="s">
        <v>84</v>
      </c>
      <c r="C66" s="128">
        <f t="shared" si="4"/>
        <v>1865</v>
      </c>
      <c r="D66" s="134">
        <v>1865</v>
      </c>
      <c r="E66" s="283"/>
      <c r="F66" s="279">
        <f t="shared" si="5"/>
        <v>1865</v>
      </c>
      <c r="G66" s="134"/>
      <c r="H66" s="135"/>
      <c r="I66" s="136">
        <f t="shared" si="6"/>
        <v>0</v>
      </c>
      <c r="J66" s="134"/>
      <c r="K66" s="135"/>
      <c r="L66" s="136">
        <f t="shared" si="7"/>
        <v>0</v>
      </c>
      <c r="M66" s="284"/>
      <c r="N66" s="285"/>
      <c r="O66" s="136">
        <f t="shared" si="8"/>
        <v>0</v>
      </c>
      <c r="P66" s="85"/>
      <c r="R66" s="53"/>
      <c r="S66" s="53"/>
      <c r="T66" s="53"/>
    </row>
    <row r="67" spans="1:20" x14ac:dyDescent="0.25">
      <c r="A67" s="76">
        <v>1148</v>
      </c>
      <c r="B67" s="127" t="s">
        <v>85</v>
      </c>
      <c r="C67" s="128">
        <f t="shared" si="4"/>
        <v>12893</v>
      </c>
      <c r="D67" s="134">
        <v>12893</v>
      </c>
      <c r="E67" s="283"/>
      <c r="F67" s="279">
        <f t="shared" si="5"/>
        <v>12893</v>
      </c>
      <c r="G67" s="134"/>
      <c r="H67" s="135"/>
      <c r="I67" s="136">
        <f t="shared" si="6"/>
        <v>0</v>
      </c>
      <c r="J67" s="134"/>
      <c r="K67" s="135"/>
      <c r="L67" s="136">
        <f t="shared" si="7"/>
        <v>0</v>
      </c>
      <c r="M67" s="284"/>
      <c r="N67" s="285"/>
      <c r="O67" s="136">
        <f t="shared" si="8"/>
        <v>0</v>
      </c>
      <c r="P67" s="85"/>
      <c r="R67" s="53"/>
      <c r="S67" s="53"/>
      <c r="T67" s="53"/>
    </row>
    <row r="68" spans="1:20" ht="36" x14ac:dyDescent="0.25">
      <c r="A68" s="76">
        <v>1149</v>
      </c>
      <c r="B68" s="127" t="s">
        <v>86</v>
      </c>
      <c r="C68" s="128">
        <f t="shared" si="4"/>
        <v>2489</v>
      </c>
      <c r="D68" s="134">
        <v>1267</v>
      </c>
      <c r="E68" s="283"/>
      <c r="F68" s="279">
        <f t="shared" si="5"/>
        <v>1267</v>
      </c>
      <c r="G68" s="134">
        <v>1864</v>
      </c>
      <c r="H68" s="135">
        <v>-642</v>
      </c>
      <c r="I68" s="136">
        <f t="shared" si="6"/>
        <v>1222</v>
      </c>
      <c r="J68" s="134"/>
      <c r="K68" s="135"/>
      <c r="L68" s="136">
        <f t="shared" si="7"/>
        <v>0</v>
      </c>
      <c r="M68" s="284"/>
      <c r="N68" s="285"/>
      <c r="O68" s="136">
        <f t="shared" si="8"/>
        <v>0</v>
      </c>
      <c r="P68" s="85" t="s">
        <v>550</v>
      </c>
      <c r="R68" s="53"/>
      <c r="S68" s="53"/>
      <c r="T68" s="53"/>
    </row>
    <row r="69" spans="1:20" ht="36" x14ac:dyDescent="0.25">
      <c r="A69" s="254">
        <v>1150</v>
      </c>
      <c r="B69" s="179" t="s">
        <v>87</v>
      </c>
      <c r="C69" s="128">
        <f t="shared" si="4"/>
        <v>1062</v>
      </c>
      <c r="D69" s="287">
        <v>1062</v>
      </c>
      <c r="E69" s="288"/>
      <c r="F69" s="257">
        <f t="shared" si="5"/>
        <v>1062</v>
      </c>
      <c r="G69" s="287"/>
      <c r="H69" s="289"/>
      <c r="I69" s="259">
        <f t="shared" si="6"/>
        <v>0</v>
      </c>
      <c r="J69" s="287"/>
      <c r="K69" s="289"/>
      <c r="L69" s="259">
        <f t="shared" si="7"/>
        <v>0</v>
      </c>
      <c r="M69" s="290"/>
      <c r="N69" s="291"/>
      <c r="O69" s="259">
        <f t="shared" si="8"/>
        <v>0</v>
      </c>
      <c r="P69" s="189"/>
      <c r="R69" s="53"/>
      <c r="S69" s="53"/>
      <c r="T69" s="53"/>
    </row>
    <row r="70" spans="1:20" ht="36" x14ac:dyDescent="0.25">
      <c r="A70" s="99">
        <v>1200</v>
      </c>
      <c r="B70" s="247" t="s">
        <v>88</v>
      </c>
      <c r="C70" s="100">
        <f t="shared" si="4"/>
        <v>65856</v>
      </c>
      <c r="D70" s="112">
        <f>SUM(D71:D72)</f>
        <v>62050</v>
      </c>
      <c r="E70" s="248">
        <f>SUM(E71:E72)</f>
        <v>0</v>
      </c>
      <c r="F70" s="249">
        <f>D70+E70</f>
        <v>62050</v>
      </c>
      <c r="G70" s="112">
        <f>SUM(G71:G72)</f>
        <v>3906</v>
      </c>
      <c r="H70" s="113">
        <f>SUM(H71:H72)</f>
        <v>-100</v>
      </c>
      <c r="I70" s="114">
        <f t="shared" si="6"/>
        <v>3806</v>
      </c>
      <c r="J70" s="112">
        <f>SUM(J71:J72)</f>
        <v>0</v>
      </c>
      <c r="K70" s="113">
        <f>SUM(K71:K72)</f>
        <v>0</v>
      </c>
      <c r="L70" s="114">
        <f t="shared" si="7"/>
        <v>0</v>
      </c>
      <c r="M70" s="292">
        <f>SUM(M71:M72)</f>
        <v>0</v>
      </c>
      <c r="N70" s="293">
        <f>SUM(N71:N72)</f>
        <v>0</v>
      </c>
      <c r="O70" s="114">
        <f t="shared" si="8"/>
        <v>0</v>
      </c>
      <c r="P70" s="109"/>
      <c r="R70" s="53"/>
      <c r="S70" s="53"/>
      <c r="T70" s="53"/>
    </row>
    <row r="71" spans="1:20" ht="24" x14ac:dyDescent="0.25">
      <c r="A71" s="656">
        <v>1210</v>
      </c>
      <c r="B71" s="116" t="s">
        <v>89</v>
      </c>
      <c r="C71" s="117">
        <f t="shared" si="4"/>
        <v>51274</v>
      </c>
      <c r="D71" s="123">
        <v>47468</v>
      </c>
      <c r="E71" s="295"/>
      <c r="F71" s="296">
        <f t="shared" si="5"/>
        <v>47468</v>
      </c>
      <c r="G71" s="123">
        <v>3806</v>
      </c>
      <c r="H71" s="124"/>
      <c r="I71" s="125">
        <f t="shared" si="6"/>
        <v>3806</v>
      </c>
      <c r="J71" s="123"/>
      <c r="K71" s="124"/>
      <c r="L71" s="125">
        <f t="shared" si="7"/>
        <v>0</v>
      </c>
      <c r="M71" s="264"/>
      <c r="N71" s="262"/>
      <c r="O71" s="125">
        <f t="shared" si="8"/>
        <v>0</v>
      </c>
      <c r="P71" s="74"/>
      <c r="R71" s="53"/>
      <c r="S71" s="53"/>
      <c r="T71" s="53"/>
    </row>
    <row r="72" spans="1:20" ht="24" x14ac:dyDescent="0.25">
      <c r="A72" s="276">
        <v>1220</v>
      </c>
      <c r="B72" s="127" t="s">
        <v>90</v>
      </c>
      <c r="C72" s="128">
        <f t="shared" si="4"/>
        <v>14582</v>
      </c>
      <c r="D72" s="277">
        <f>SUM(D73:D77)</f>
        <v>14582</v>
      </c>
      <c r="E72" s="278">
        <f>SUM(E73:E77)</f>
        <v>0</v>
      </c>
      <c r="F72" s="279">
        <f t="shared" si="5"/>
        <v>14582</v>
      </c>
      <c r="G72" s="277">
        <f>SUM(G73:G77)</f>
        <v>100</v>
      </c>
      <c r="H72" s="280">
        <f>SUM(H73:H77)</f>
        <v>-100</v>
      </c>
      <c r="I72" s="136">
        <f t="shared" si="6"/>
        <v>0</v>
      </c>
      <c r="J72" s="277">
        <f>SUM(J73:J77)</f>
        <v>0</v>
      </c>
      <c r="K72" s="280">
        <f>SUM(K73:K77)</f>
        <v>0</v>
      </c>
      <c r="L72" s="136">
        <f t="shared" si="7"/>
        <v>0</v>
      </c>
      <c r="M72" s="281">
        <f>SUM(M73:M77)</f>
        <v>0</v>
      </c>
      <c r="N72" s="282">
        <f>SUM(N73:N77)</f>
        <v>0</v>
      </c>
      <c r="O72" s="136">
        <f t="shared" si="8"/>
        <v>0</v>
      </c>
      <c r="P72" s="85"/>
      <c r="R72" s="53"/>
      <c r="S72" s="53"/>
      <c r="T72" s="53"/>
    </row>
    <row r="73" spans="1:20" ht="60" x14ac:dyDescent="0.25">
      <c r="A73" s="76">
        <v>1221</v>
      </c>
      <c r="B73" s="127" t="s">
        <v>91</v>
      </c>
      <c r="C73" s="128">
        <f t="shared" si="4"/>
        <v>7964</v>
      </c>
      <c r="D73" s="134">
        <v>7964</v>
      </c>
      <c r="E73" s="283"/>
      <c r="F73" s="279">
        <f t="shared" si="5"/>
        <v>7964</v>
      </c>
      <c r="G73" s="134">
        <v>100</v>
      </c>
      <c r="H73" s="135">
        <v>-100</v>
      </c>
      <c r="I73" s="136">
        <f t="shared" si="6"/>
        <v>0</v>
      </c>
      <c r="J73" s="134"/>
      <c r="K73" s="135"/>
      <c r="L73" s="136">
        <f t="shared" si="7"/>
        <v>0</v>
      </c>
      <c r="M73" s="284"/>
      <c r="N73" s="285"/>
      <c r="O73" s="136">
        <f t="shared" si="8"/>
        <v>0</v>
      </c>
      <c r="P73" s="85" t="s">
        <v>550</v>
      </c>
      <c r="R73" s="53"/>
      <c r="S73" s="53"/>
      <c r="T73" s="53"/>
    </row>
    <row r="74" spans="1:20" hidden="1" x14ac:dyDescent="0.25">
      <c r="A74" s="76">
        <v>1223</v>
      </c>
      <c r="B74" s="127" t="s">
        <v>92</v>
      </c>
      <c r="C74" s="128">
        <f t="shared" si="4"/>
        <v>0</v>
      </c>
      <c r="D74" s="134"/>
      <c r="E74" s="285"/>
      <c r="F74" s="286">
        <f t="shared" si="5"/>
        <v>0</v>
      </c>
      <c r="G74" s="134"/>
      <c r="H74" s="135"/>
      <c r="I74" s="136">
        <f t="shared" si="6"/>
        <v>0</v>
      </c>
      <c r="J74" s="134"/>
      <c r="K74" s="135"/>
      <c r="L74" s="136">
        <f t="shared" si="7"/>
        <v>0</v>
      </c>
      <c r="M74" s="284"/>
      <c r="N74" s="285"/>
      <c r="O74" s="136">
        <f t="shared" si="8"/>
        <v>0</v>
      </c>
      <c r="P74" s="85"/>
      <c r="R74" s="53"/>
      <c r="S74" s="53"/>
      <c r="T74" s="53"/>
    </row>
    <row r="75" spans="1:20" hidden="1" x14ac:dyDescent="0.25">
      <c r="A75" s="76">
        <v>1225</v>
      </c>
      <c r="B75" s="127" t="s">
        <v>93</v>
      </c>
      <c r="C75" s="128">
        <f t="shared" si="4"/>
        <v>0</v>
      </c>
      <c r="D75" s="134"/>
      <c r="E75" s="285"/>
      <c r="F75" s="286">
        <f t="shared" si="5"/>
        <v>0</v>
      </c>
      <c r="G75" s="134"/>
      <c r="H75" s="135"/>
      <c r="I75" s="136">
        <f t="shared" si="6"/>
        <v>0</v>
      </c>
      <c r="J75" s="134"/>
      <c r="K75" s="135"/>
      <c r="L75" s="136">
        <f t="shared" si="7"/>
        <v>0</v>
      </c>
      <c r="M75" s="284"/>
      <c r="N75" s="285"/>
      <c r="O75" s="136">
        <f t="shared" si="8"/>
        <v>0</v>
      </c>
      <c r="P75" s="85"/>
      <c r="R75" s="53"/>
      <c r="S75" s="53"/>
      <c r="T75" s="53"/>
    </row>
    <row r="76" spans="1:20" ht="36" x14ac:dyDescent="0.25">
      <c r="A76" s="76">
        <v>1227</v>
      </c>
      <c r="B76" s="127" t="s">
        <v>94</v>
      </c>
      <c r="C76" s="128">
        <f t="shared" si="4"/>
        <v>5977</v>
      </c>
      <c r="D76" s="134">
        <v>5977</v>
      </c>
      <c r="E76" s="283"/>
      <c r="F76" s="279">
        <f t="shared" si="5"/>
        <v>5977</v>
      </c>
      <c r="G76" s="134"/>
      <c r="H76" s="135"/>
      <c r="I76" s="136">
        <f t="shared" si="6"/>
        <v>0</v>
      </c>
      <c r="J76" s="134"/>
      <c r="K76" s="135"/>
      <c r="L76" s="136">
        <f t="shared" si="7"/>
        <v>0</v>
      </c>
      <c r="M76" s="284"/>
      <c r="N76" s="285"/>
      <c r="O76" s="136">
        <f t="shared" si="8"/>
        <v>0</v>
      </c>
      <c r="P76" s="85"/>
      <c r="R76" s="53"/>
      <c r="S76" s="53"/>
      <c r="T76" s="53"/>
    </row>
    <row r="77" spans="1:20" ht="60" x14ac:dyDescent="0.25">
      <c r="A77" s="265">
        <v>1228</v>
      </c>
      <c r="B77" s="266" t="s">
        <v>95</v>
      </c>
      <c r="C77" s="267">
        <f t="shared" si="4"/>
        <v>641</v>
      </c>
      <c r="D77" s="268">
        <v>641</v>
      </c>
      <c r="E77" s="269"/>
      <c r="F77" s="270">
        <f t="shared" si="5"/>
        <v>641</v>
      </c>
      <c r="G77" s="268"/>
      <c r="H77" s="271"/>
      <c r="I77" s="272">
        <f t="shared" si="6"/>
        <v>0</v>
      </c>
      <c r="J77" s="268"/>
      <c r="K77" s="271"/>
      <c r="L77" s="272">
        <f t="shared" si="7"/>
        <v>0</v>
      </c>
      <c r="M77" s="273"/>
      <c r="N77" s="274"/>
      <c r="O77" s="272">
        <f t="shared" si="8"/>
        <v>0</v>
      </c>
      <c r="P77" s="275"/>
      <c r="R77" s="53"/>
      <c r="S77" s="53"/>
      <c r="T77" s="53"/>
    </row>
    <row r="78" spans="1:20" x14ac:dyDescent="0.25">
      <c r="A78" s="237">
        <v>2000</v>
      </c>
      <c r="B78" s="237" t="s">
        <v>96</v>
      </c>
      <c r="C78" s="238">
        <f t="shared" si="4"/>
        <v>45294</v>
      </c>
      <c r="D78" s="239">
        <f>SUM(D79,D86,D133,D167,D168,D175)</f>
        <v>44422</v>
      </c>
      <c r="E78" s="240">
        <f>SUM(E79,E86,E133,E167,E168,E175)</f>
        <v>0</v>
      </c>
      <c r="F78" s="241">
        <f t="shared" si="5"/>
        <v>44422</v>
      </c>
      <c r="G78" s="239">
        <f>SUM(G79,G86,G133,G167,G168,G175)</f>
        <v>437</v>
      </c>
      <c r="H78" s="242">
        <f>SUM(H79,H86,H133,H167,H168,H175)</f>
        <v>0</v>
      </c>
      <c r="I78" s="243">
        <f t="shared" si="6"/>
        <v>437</v>
      </c>
      <c r="J78" s="239">
        <f>SUM(J79,J86,J133,J167,J168,J175)</f>
        <v>435</v>
      </c>
      <c r="K78" s="242">
        <f>SUM(K79,K86,K133,K167,K168,K175)</f>
        <v>0</v>
      </c>
      <c r="L78" s="243">
        <f t="shared" si="7"/>
        <v>435</v>
      </c>
      <c r="M78" s="244">
        <f>SUM(M79,M86,M133,M167,M168,M175)</f>
        <v>0</v>
      </c>
      <c r="N78" s="245">
        <f>SUM(N79,N86,N133,N167,N168,N175)</f>
        <v>0</v>
      </c>
      <c r="O78" s="243">
        <f t="shared" si="8"/>
        <v>0</v>
      </c>
      <c r="P78" s="246"/>
      <c r="R78" s="53"/>
      <c r="S78" s="53"/>
      <c r="T78" s="53"/>
    </row>
    <row r="79" spans="1:20" ht="24" x14ac:dyDescent="0.25">
      <c r="A79" s="99">
        <v>2100</v>
      </c>
      <c r="B79" s="247" t="s">
        <v>97</v>
      </c>
      <c r="C79" s="100">
        <f t="shared" si="4"/>
        <v>96</v>
      </c>
      <c r="D79" s="112">
        <f>SUM(D80,D83)</f>
        <v>96</v>
      </c>
      <c r="E79" s="248">
        <f>SUM(E80,E83)</f>
        <v>0</v>
      </c>
      <c r="F79" s="249">
        <f t="shared" si="5"/>
        <v>96</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c r="R79" s="53"/>
      <c r="S79" s="53"/>
      <c r="T79" s="53"/>
    </row>
    <row r="80" spans="1:20" ht="24" x14ac:dyDescent="0.25">
      <c r="A80" s="656">
        <v>2110</v>
      </c>
      <c r="B80" s="116" t="s">
        <v>98</v>
      </c>
      <c r="C80" s="117">
        <f t="shared" si="4"/>
        <v>96</v>
      </c>
      <c r="D80" s="297">
        <f>SUM(D81:D82)</f>
        <v>96</v>
      </c>
      <c r="E80" s="298">
        <f>SUM(E81:E82)</f>
        <v>0</v>
      </c>
      <c r="F80" s="296">
        <f t="shared" si="5"/>
        <v>96</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c r="R80" s="53"/>
      <c r="S80" s="53"/>
      <c r="T80" s="53"/>
    </row>
    <row r="81" spans="1:20" hidden="1" x14ac:dyDescent="0.25">
      <c r="A81" s="76">
        <v>2111</v>
      </c>
      <c r="B81" s="127" t="s">
        <v>99</v>
      </c>
      <c r="C81" s="128">
        <f t="shared" si="4"/>
        <v>0</v>
      </c>
      <c r="D81" s="134"/>
      <c r="E81" s="285"/>
      <c r="F81" s="286">
        <f t="shared" si="5"/>
        <v>0</v>
      </c>
      <c r="G81" s="134"/>
      <c r="H81" s="135"/>
      <c r="I81" s="136">
        <f t="shared" si="6"/>
        <v>0</v>
      </c>
      <c r="J81" s="134"/>
      <c r="K81" s="135"/>
      <c r="L81" s="136">
        <f t="shared" si="7"/>
        <v>0</v>
      </c>
      <c r="M81" s="284"/>
      <c r="N81" s="285"/>
      <c r="O81" s="136">
        <f t="shared" si="8"/>
        <v>0</v>
      </c>
      <c r="P81" s="85"/>
      <c r="R81" s="53"/>
      <c r="S81" s="53"/>
      <c r="T81" s="53"/>
    </row>
    <row r="82" spans="1:20" ht="24" x14ac:dyDescent="0.25">
      <c r="A82" s="76">
        <v>2112</v>
      </c>
      <c r="B82" s="127" t="s">
        <v>100</v>
      </c>
      <c r="C82" s="128">
        <f t="shared" si="4"/>
        <v>96</v>
      </c>
      <c r="D82" s="134">
        <v>96</v>
      </c>
      <c r="E82" s="283"/>
      <c r="F82" s="279">
        <f t="shared" si="5"/>
        <v>96</v>
      </c>
      <c r="G82" s="134"/>
      <c r="H82" s="135"/>
      <c r="I82" s="136">
        <f t="shared" si="6"/>
        <v>0</v>
      </c>
      <c r="J82" s="134"/>
      <c r="K82" s="135"/>
      <c r="L82" s="136">
        <f t="shared" si="7"/>
        <v>0</v>
      </c>
      <c r="M82" s="284"/>
      <c r="N82" s="285"/>
      <c r="O82" s="136">
        <f t="shared" si="8"/>
        <v>0</v>
      </c>
      <c r="P82" s="85"/>
      <c r="R82" s="53"/>
      <c r="S82" s="53"/>
      <c r="T82" s="53"/>
    </row>
    <row r="83" spans="1:20" ht="24" hidden="1" x14ac:dyDescent="0.25">
      <c r="A83" s="276">
        <v>2120</v>
      </c>
      <c r="B83" s="127" t="s">
        <v>101</v>
      </c>
      <c r="C83" s="128">
        <f t="shared" si="4"/>
        <v>0</v>
      </c>
      <c r="D83" s="277">
        <f>SUM(D84:D85)</f>
        <v>0</v>
      </c>
      <c r="E83" s="282">
        <f>SUM(E84:E85)</f>
        <v>0</v>
      </c>
      <c r="F83" s="28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c r="R83" s="53"/>
      <c r="S83" s="53"/>
      <c r="T83" s="53"/>
    </row>
    <row r="84" spans="1:20" hidden="1" x14ac:dyDescent="0.25">
      <c r="A84" s="76">
        <v>2121</v>
      </c>
      <c r="B84" s="127" t="s">
        <v>99</v>
      </c>
      <c r="C84" s="128">
        <f t="shared" si="4"/>
        <v>0</v>
      </c>
      <c r="D84" s="134"/>
      <c r="E84" s="285"/>
      <c r="F84" s="286">
        <f t="shared" si="5"/>
        <v>0</v>
      </c>
      <c r="G84" s="134"/>
      <c r="H84" s="135"/>
      <c r="I84" s="136">
        <f t="shared" si="6"/>
        <v>0</v>
      </c>
      <c r="J84" s="134"/>
      <c r="K84" s="135"/>
      <c r="L84" s="136">
        <f t="shared" si="7"/>
        <v>0</v>
      </c>
      <c r="M84" s="284"/>
      <c r="N84" s="285"/>
      <c r="O84" s="136">
        <f t="shared" si="8"/>
        <v>0</v>
      </c>
      <c r="P84" s="85"/>
      <c r="R84" s="53"/>
      <c r="S84" s="53"/>
      <c r="T84" s="53"/>
    </row>
    <row r="85" spans="1:20" ht="24" hidden="1" x14ac:dyDescent="0.25">
      <c r="A85" s="76">
        <v>2122</v>
      </c>
      <c r="B85" s="127" t="s">
        <v>100</v>
      </c>
      <c r="C85" s="128">
        <f t="shared" si="4"/>
        <v>0</v>
      </c>
      <c r="D85" s="134"/>
      <c r="E85" s="285"/>
      <c r="F85" s="286">
        <f t="shared" si="5"/>
        <v>0</v>
      </c>
      <c r="G85" s="134"/>
      <c r="H85" s="135"/>
      <c r="I85" s="136">
        <f t="shared" si="6"/>
        <v>0</v>
      </c>
      <c r="J85" s="134"/>
      <c r="K85" s="135"/>
      <c r="L85" s="136">
        <f t="shared" si="7"/>
        <v>0</v>
      </c>
      <c r="M85" s="284"/>
      <c r="N85" s="285"/>
      <c r="O85" s="136">
        <f t="shared" si="8"/>
        <v>0</v>
      </c>
      <c r="P85" s="85"/>
      <c r="R85" s="53"/>
      <c r="S85" s="53"/>
      <c r="T85" s="53"/>
    </row>
    <row r="86" spans="1:20" x14ac:dyDescent="0.25">
      <c r="A86" s="99">
        <v>2200</v>
      </c>
      <c r="B86" s="247" t="s">
        <v>102</v>
      </c>
      <c r="C86" s="302">
        <f t="shared" si="4"/>
        <v>39447</v>
      </c>
      <c r="D86" s="112">
        <f>SUM(D87,D92,D98,D106,D115,D119,D125,D131)</f>
        <v>39068</v>
      </c>
      <c r="E86" s="248">
        <f>SUM(E87,E92,E98,E106,E115,E119,E125,E131)</f>
        <v>0</v>
      </c>
      <c r="F86" s="249">
        <f t="shared" si="5"/>
        <v>39068</v>
      </c>
      <c r="G86" s="112">
        <f>SUM(G87,G92,G98,G106,G115,G119,G125,G131)</f>
        <v>0</v>
      </c>
      <c r="H86" s="113">
        <f>SUM(H87,H92,H98,H106,H115,H119,H125,H131)</f>
        <v>0</v>
      </c>
      <c r="I86" s="114">
        <f t="shared" si="6"/>
        <v>0</v>
      </c>
      <c r="J86" s="112">
        <f>SUM(J87,J92,J98,J106,J115,J119,J125,J131)</f>
        <v>379</v>
      </c>
      <c r="K86" s="113">
        <f>SUM(K87,K92,K98,K106,K115,K119,K125,K131)</f>
        <v>0</v>
      </c>
      <c r="L86" s="114">
        <f t="shared" si="7"/>
        <v>379</v>
      </c>
      <c r="M86" s="303">
        <f>SUM(M87,M92,M98,M106,M115,M119,M125,M131)</f>
        <v>0</v>
      </c>
      <c r="N86" s="304">
        <f>SUM(N87,N92,N98,N106,N115,N119,N125,N131)</f>
        <v>0</v>
      </c>
      <c r="O86" s="305">
        <f t="shared" si="8"/>
        <v>0</v>
      </c>
      <c r="P86" s="306"/>
      <c r="R86" s="53"/>
      <c r="S86" s="53"/>
      <c r="T86" s="53"/>
    </row>
    <row r="87" spans="1:20" ht="24" x14ac:dyDescent="0.25">
      <c r="A87" s="254">
        <v>2210</v>
      </c>
      <c r="B87" s="179" t="s">
        <v>103</v>
      </c>
      <c r="C87" s="191">
        <f t="shared" si="4"/>
        <v>776</v>
      </c>
      <c r="D87" s="255">
        <f>SUM(D88:D91)</f>
        <v>771</v>
      </c>
      <c r="E87" s="256">
        <f>SUM(E88:E91)</f>
        <v>0</v>
      </c>
      <c r="F87" s="257">
        <f t="shared" si="5"/>
        <v>771</v>
      </c>
      <c r="G87" s="255">
        <f>SUM(G88:G91)</f>
        <v>0</v>
      </c>
      <c r="H87" s="258">
        <f>SUM(H88:H91)</f>
        <v>0</v>
      </c>
      <c r="I87" s="259">
        <f t="shared" si="6"/>
        <v>0</v>
      </c>
      <c r="J87" s="255">
        <f>SUM(J88:J91)</f>
        <v>5</v>
      </c>
      <c r="K87" s="258">
        <f>SUM(K88:K91)</f>
        <v>0</v>
      </c>
      <c r="L87" s="259">
        <f t="shared" si="7"/>
        <v>5</v>
      </c>
      <c r="M87" s="260">
        <f>SUM(M88:M91)</f>
        <v>0</v>
      </c>
      <c r="N87" s="261">
        <f>SUM(N88:N91)</f>
        <v>0</v>
      </c>
      <c r="O87" s="259">
        <f t="shared" si="8"/>
        <v>0</v>
      </c>
      <c r="P87" s="189"/>
      <c r="R87" s="53"/>
      <c r="S87" s="53"/>
      <c r="T87" s="53"/>
    </row>
    <row r="88" spans="1:20" ht="24" hidden="1" x14ac:dyDescent="0.25">
      <c r="A88" s="66">
        <v>2211</v>
      </c>
      <c r="B88" s="116" t="s">
        <v>104</v>
      </c>
      <c r="C88" s="128">
        <f t="shared" si="4"/>
        <v>0</v>
      </c>
      <c r="D88" s="123"/>
      <c r="E88" s="262"/>
      <c r="F88" s="263">
        <f t="shared" si="5"/>
        <v>0</v>
      </c>
      <c r="G88" s="123"/>
      <c r="H88" s="124"/>
      <c r="I88" s="125">
        <f t="shared" si="6"/>
        <v>0</v>
      </c>
      <c r="J88" s="123"/>
      <c r="K88" s="124"/>
      <c r="L88" s="125">
        <f t="shared" si="7"/>
        <v>0</v>
      </c>
      <c r="M88" s="264"/>
      <c r="N88" s="262"/>
      <c r="O88" s="125">
        <f t="shared" si="8"/>
        <v>0</v>
      </c>
      <c r="P88" s="74"/>
      <c r="R88" s="53"/>
      <c r="S88" s="53"/>
      <c r="T88" s="53"/>
    </row>
    <row r="89" spans="1:20" ht="36" x14ac:dyDescent="0.25">
      <c r="A89" s="76">
        <v>2212</v>
      </c>
      <c r="B89" s="127" t="s">
        <v>105</v>
      </c>
      <c r="C89" s="128">
        <f t="shared" si="4"/>
        <v>670</v>
      </c>
      <c r="D89" s="134">
        <v>670</v>
      </c>
      <c r="E89" s="283"/>
      <c r="F89" s="279">
        <f t="shared" si="5"/>
        <v>670</v>
      </c>
      <c r="G89" s="134"/>
      <c r="H89" s="135"/>
      <c r="I89" s="136">
        <f t="shared" si="6"/>
        <v>0</v>
      </c>
      <c r="J89" s="134"/>
      <c r="K89" s="135"/>
      <c r="L89" s="136">
        <f t="shared" si="7"/>
        <v>0</v>
      </c>
      <c r="M89" s="284"/>
      <c r="N89" s="285"/>
      <c r="O89" s="136">
        <f t="shared" si="8"/>
        <v>0</v>
      </c>
      <c r="P89" s="85"/>
      <c r="R89" s="53"/>
      <c r="S89" s="53"/>
      <c r="T89" s="53"/>
    </row>
    <row r="90" spans="1:20" ht="24" x14ac:dyDescent="0.25">
      <c r="A90" s="265">
        <v>2214</v>
      </c>
      <c r="B90" s="266" t="s">
        <v>106</v>
      </c>
      <c r="C90" s="267">
        <f t="shared" si="4"/>
        <v>84</v>
      </c>
      <c r="D90" s="268">
        <v>79</v>
      </c>
      <c r="E90" s="269"/>
      <c r="F90" s="270">
        <f t="shared" si="5"/>
        <v>79</v>
      </c>
      <c r="G90" s="268"/>
      <c r="H90" s="271"/>
      <c r="I90" s="272">
        <f t="shared" si="6"/>
        <v>0</v>
      </c>
      <c r="J90" s="268">
        <v>5</v>
      </c>
      <c r="K90" s="271"/>
      <c r="L90" s="272">
        <f t="shared" si="7"/>
        <v>5</v>
      </c>
      <c r="M90" s="273"/>
      <c r="N90" s="274"/>
      <c r="O90" s="272">
        <f t="shared" si="8"/>
        <v>0</v>
      </c>
      <c r="P90" s="275"/>
      <c r="R90" s="53"/>
      <c r="S90" s="53"/>
      <c r="T90" s="53"/>
    </row>
    <row r="91" spans="1:20" x14ac:dyDescent="0.25">
      <c r="A91" s="76">
        <v>2219</v>
      </c>
      <c r="B91" s="127" t="s">
        <v>107</v>
      </c>
      <c r="C91" s="128">
        <f t="shared" si="4"/>
        <v>22</v>
      </c>
      <c r="D91" s="134">
        <v>22</v>
      </c>
      <c r="E91" s="283"/>
      <c r="F91" s="279">
        <f t="shared" si="5"/>
        <v>22</v>
      </c>
      <c r="G91" s="134"/>
      <c r="H91" s="135"/>
      <c r="I91" s="136">
        <f t="shared" si="6"/>
        <v>0</v>
      </c>
      <c r="J91" s="134"/>
      <c r="K91" s="135"/>
      <c r="L91" s="136">
        <f t="shared" si="7"/>
        <v>0</v>
      </c>
      <c r="M91" s="284"/>
      <c r="N91" s="285"/>
      <c r="O91" s="136">
        <f t="shared" si="8"/>
        <v>0</v>
      </c>
      <c r="P91" s="85"/>
      <c r="R91" s="53"/>
      <c r="S91" s="53"/>
      <c r="T91" s="53"/>
    </row>
    <row r="92" spans="1:20" ht="24" x14ac:dyDescent="0.25">
      <c r="A92" s="276">
        <v>2220</v>
      </c>
      <c r="B92" s="127" t="s">
        <v>108</v>
      </c>
      <c r="C92" s="128">
        <f t="shared" si="4"/>
        <v>26629</v>
      </c>
      <c r="D92" s="277">
        <f>SUM(D93:D97)</f>
        <v>26629</v>
      </c>
      <c r="E92" s="278">
        <f>SUM(E93:E97)</f>
        <v>0</v>
      </c>
      <c r="F92" s="279">
        <f t="shared" si="5"/>
        <v>26629</v>
      </c>
      <c r="G92" s="277">
        <f>SUM(G93:G97)</f>
        <v>0</v>
      </c>
      <c r="H92" s="280">
        <f>SUM(H93:H97)</f>
        <v>0</v>
      </c>
      <c r="I92" s="136">
        <f t="shared" si="6"/>
        <v>0</v>
      </c>
      <c r="J92" s="277">
        <f>SUM(J93:J97)</f>
        <v>0</v>
      </c>
      <c r="K92" s="280">
        <f>SUM(K93:K97)</f>
        <v>0</v>
      </c>
      <c r="L92" s="136">
        <f t="shared" si="7"/>
        <v>0</v>
      </c>
      <c r="M92" s="281">
        <f>SUM(M93:M97)</f>
        <v>0</v>
      </c>
      <c r="N92" s="282">
        <f>SUM(N93:N97)</f>
        <v>0</v>
      </c>
      <c r="O92" s="136">
        <f t="shared" si="8"/>
        <v>0</v>
      </c>
      <c r="P92" s="85"/>
      <c r="R92" s="53"/>
      <c r="S92" s="53"/>
      <c r="T92" s="53"/>
    </row>
    <row r="93" spans="1:20" hidden="1" x14ac:dyDescent="0.25">
      <c r="A93" s="76">
        <v>2221</v>
      </c>
      <c r="B93" s="127" t="s">
        <v>109</v>
      </c>
      <c r="C93" s="128">
        <f t="shared" si="4"/>
        <v>0</v>
      </c>
      <c r="D93" s="134"/>
      <c r="E93" s="285"/>
      <c r="F93" s="286">
        <f t="shared" si="5"/>
        <v>0</v>
      </c>
      <c r="G93" s="134"/>
      <c r="H93" s="135"/>
      <c r="I93" s="136">
        <f t="shared" si="6"/>
        <v>0</v>
      </c>
      <c r="J93" s="134"/>
      <c r="K93" s="135"/>
      <c r="L93" s="136">
        <f t="shared" si="7"/>
        <v>0</v>
      </c>
      <c r="M93" s="284"/>
      <c r="N93" s="285"/>
      <c r="O93" s="136">
        <f t="shared" si="8"/>
        <v>0</v>
      </c>
      <c r="R93" s="53"/>
      <c r="S93" s="53"/>
      <c r="T93" s="53"/>
    </row>
    <row r="94" spans="1:20" hidden="1" x14ac:dyDescent="0.25">
      <c r="A94" s="76">
        <v>2222</v>
      </c>
      <c r="B94" s="127" t="s">
        <v>110</v>
      </c>
      <c r="C94" s="128">
        <f t="shared" si="4"/>
        <v>0</v>
      </c>
      <c r="D94" s="134"/>
      <c r="E94" s="285"/>
      <c r="F94" s="286">
        <f t="shared" si="5"/>
        <v>0</v>
      </c>
      <c r="G94" s="134"/>
      <c r="H94" s="135"/>
      <c r="I94" s="136">
        <f t="shared" si="6"/>
        <v>0</v>
      </c>
      <c r="J94" s="134"/>
      <c r="K94" s="135"/>
      <c r="L94" s="136">
        <f t="shared" si="7"/>
        <v>0</v>
      </c>
      <c r="M94" s="284"/>
      <c r="N94" s="285"/>
      <c r="O94" s="136">
        <f t="shared" si="8"/>
        <v>0</v>
      </c>
      <c r="P94" s="928"/>
      <c r="R94" s="53"/>
      <c r="S94" s="53"/>
      <c r="T94" s="53"/>
    </row>
    <row r="95" spans="1:20" x14ac:dyDescent="0.25">
      <c r="A95" s="76">
        <v>2223</v>
      </c>
      <c r="B95" s="127" t="s">
        <v>111</v>
      </c>
      <c r="C95" s="128">
        <f t="shared" si="4"/>
        <v>26256</v>
      </c>
      <c r="D95" s="134">
        <v>26256</v>
      </c>
      <c r="E95" s="283"/>
      <c r="F95" s="279">
        <f t="shared" si="5"/>
        <v>26256</v>
      </c>
      <c r="G95" s="134"/>
      <c r="H95" s="135"/>
      <c r="I95" s="136">
        <f t="shared" si="6"/>
        <v>0</v>
      </c>
      <c r="J95" s="134"/>
      <c r="K95" s="135"/>
      <c r="L95" s="136">
        <f t="shared" si="7"/>
        <v>0</v>
      </c>
      <c r="M95" s="284"/>
      <c r="N95" s="285"/>
      <c r="O95" s="136">
        <f t="shared" si="8"/>
        <v>0</v>
      </c>
      <c r="P95" s="928"/>
      <c r="R95" s="53"/>
      <c r="S95" s="53"/>
      <c r="T95" s="53"/>
    </row>
    <row r="96" spans="1:20" ht="48" x14ac:dyDescent="0.25">
      <c r="A96" s="76">
        <v>2224</v>
      </c>
      <c r="B96" s="127" t="s">
        <v>112</v>
      </c>
      <c r="C96" s="128">
        <f t="shared" si="4"/>
        <v>373</v>
      </c>
      <c r="D96" s="134">
        <v>373</v>
      </c>
      <c r="E96" s="283"/>
      <c r="F96" s="279">
        <f t="shared" si="5"/>
        <v>373</v>
      </c>
      <c r="G96" s="134"/>
      <c r="H96" s="135"/>
      <c r="I96" s="136">
        <f t="shared" si="6"/>
        <v>0</v>
      </c>
      <c r="J96" s="134"/>
      <c r="K96" s="135"/>
      <c r="L96" s="136">
        <f t="shared" si="7"/>
        <v>0</v>
      </c>
      <c r="M96" s="284"/>
      <c r="N96" s="285"/>
      <c r="O96" s="136">
        <f t="shared" si="8"/>
        <v>0</v>
      </c>
      <c r="P96" s="85"/>
      <c r="R96" s="53"/>
      <c r="S96" s="53"/>
      <c r="T96" s="53"/>
    </row>
    <row r="97" spans="1:20" ht="24" hidden="1" x14ac:dyDescent="0.25">
      <c r="A97" s="76">
        <v>2229</v>
      </c>
      <c r="B97" s="127" t="s">
        <v>113</v>
      </c>
      <c r="C97" s="128">
        <f t="shared" si="4"/>
        <v>0</v>
      </c>
      <c r="D97" s="134"/>
      <c r="E97" s="285"/>
      <c r="F97" s="286">
        <f t="shared" si="5"/>
        <v>0</v>
      </c>
      <c r="G97" s="134"/>
      <c r="H97" s="135"/>
      <c r="I97" s="136">
        <f t="shared" si="6"/>
        <v>0</v>
      </c>
      <c r="J97" s="134"/>
      <c r="K97" s="135"/>
      <c r="L97" s="136">
        <f t="shared" si="7"/>
        <v>0</v>
      </c>
      <c r="M97" s="284"/>
      <c r="N97" s="285"/>
      <c r="O97" s="136">
        <f t="shared" si="8"/>
        <v>0</v>
      </c>
      <c r="P97" s="85"/>
      <c r="R97" s="53"/>
      <c r="S97" s="53"/>
      <c r="T97" s="53"/>
    </row>
    <row r="98" spans="1:20" ht="36" x14ac:dyDescent="0.25">
      <c r="A98" s="276">
        <v>2230</v>
      </c>
      <c r="B98" s="127" t="s">
        <v>114</v>
      </c>
      <c r="C98" s="128">
        <f t="shared" si="4"/>
        <v>906</v>
      </c>
      <c r="D98" s="277">
        <f>SUM(D99:D105)</f>
        <v>906</v>
      </c>
      <c r="E98" s="278">
        <f>SUM(E99:E105)</f>
        <v>0</v>
      </c>
      <c r="F98" s="279">
        <f t="shared" si="5"/>
        <v>906</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c r="R98" s="53"/>
      <c r="S98" s="53"/>
      <c r="T98" s="53"/>
    </row>
    <row r="99" spans="1:20" ht="24" hidden="1" x14ac:dyDescent="0.25">
      <c r="A99" s="76">
        <v>2231</v>
      </c>
      <c r="B99" s="127" t="s">
        <v>115</v>
      </c>
      <c r="C99" s="128">
        <f t="shared" si="4"/>
        <v>0</v>
      </c>
      <c r="D99" s="134"/>
      <c r="E99" s="285"/>
      <c r="F99" s="286">
        <f t="shared" si="5"/>
        <v>0</v>
      </c>
      <c r="G99" s="134"/>
      <c r="H99" s="135"/>
      <c r="I99" s="136">
        <f t="shared" si="6"/>
        <v>0</v>
      </c>
      <c r="J99" s="134"/>
      <c r="K99" s="135"/>
      <c r="L99" s="136">
        <f t="shared" si="7"/>
        <v>0</v>
      </c>
      <c r="M99" s="284"/>
      <c r="N99" s="285"/>
      <c r="O99" s="136">
        <f t="shared" si="8"/>
        <v>0</v>
      </c>
      <c r="P99" s="85"/>
      <c r="R99" s="53"/>
      <c r="S99" s="53"/>
      <c r="T99" s="53"/>
    </row>
    <row r="100" spans="1:20" ht="36" hidden="1" x14ac:dyDescent="0.25">
      <c r="A100" s="76">
        <v>2232</v>
      </c>
      <c r="B100" s="127" t="s">
        <v>116</v>
      </c>
      <c r="C100" s="128">
        <f t="shared" si="4"/>
        <v>0</v>
      </c>
      <c r="D100" s="134"/>
      <c r="E100" s="285"/>
      <c r="F100" s="286">
        <f t="shared" si="5"/>
        <v>0</v>
      </c>
      <c r="G100" s="134"/>
      <c r="H100" s="135"/>
      <c r="I100" s="136">
        <f t="shared" si="6"/>
        <v>0</v>
      </c>
      <c r="J100" s="134"/>
      <c r="K100" s="135"/>
      <c r="L100" s="136">
        <f t="shared" si="7"/>
        <v>0</v>
      </c>
      <c r="M100" s="284"/>
      <c r="N100" s="285"/>
      <c r="O100" s="136">
        <f t="shared" si="8"/>
        <v>0</v>
      </c>
      <c r="P100" s="85"/>
      <c r="R100" s="53"/>
      <c r="S100" s="53"/>
      <c r="T100" s="53"/>
    </row>
    <row r="101" spans="1:20" ht="24" hidden="1" x14ac:dyDescent="0.25">
      <c r="A101" s="66">
        <v>2233</v>
      </c>
      <c r="B101" s="116" t="s">
        <v>117</v>
      </c>
      <c r="C101" s="128">
        <f t="shared" si="4"/>
        <v>0</v>
      </c>
      <c r="D101" s="123"/>
      <c r="E101" s="262"/>
      <c r="F101" s="263">
        <f t="shared" si="5"/>
        <v>0</v>
      </c>
      <c r="G101" s="123"/>
      <c r="H101" s="124"/>
      <c r="I101" s="125">
        <f t="shared" si="6"/>
        <v>0</v>
      </c>
      <c r="J101" s="123"/>
      <c r="K101" s="124"/>
      <c r="L101" s="125">
        <f t="shared" si="7"/>
        <v>0</v>
      </c>
      <c r="M101" s="264"/>
      <c r="N101" s="262"/>
      <c r="O101" s="125">
        <f t="shared" si="8"/>
        <v>0</v>
      </c>
      <c r="P101" s="74"/>
      <c r="R101" s="53"/>
      <c r="S101" s="53"/>
      <c r="T101" s="53"/>
    </row>
    <row r="102" spans="1:20" ht="36" hidden="1" x14ac:dyDescent="0.25">
      <c r="A102" s="76">
        <v>2234</v>
      </c>
      <c r="B102" s="127" t="s">
        <v>118</v>
      </c>
      <c r="C102" s="128">
        <f t="shared" si="4"/>
        <v>0</v>
      </c>
      <c r="D102" s="134"/>
      <c r="E102" s="285"/>
      <c r="F102" s="286">
        <f t="shared" si="5"/>
        <v>0</v>
      </c>
      <c r="G102" s="134"/>
      <c r="H102" s="135"/>
      <c r="I102" s="136">
        <f t="shared" si="6"/>
        <v>0</v>
      </c>
      <c r="J102" s="134"/>
      <c r="K102" s="135"/>
      <c r="L102" s="136">
        <f t="shared" si="7"/>
        <v>0</v>
      </c>
      <c r="M102" s="284"/>
      <c r="N102" s="285"/>
      <c r="O102" s="136">
        <f t="shared" si="8"/>
        <v>0</v>
      </c>
      <c r="P102" s="85"/>
      <c r="R102" s="53"/>
      <c r="S102" s="53"/>
      <c r="T102" s="53"/>
    </row>
    <row r="103" spans="1:20" ht="24" hidden="1" x14ac:dyDescent="0.25">
      <c r="A103" s="76">
        <v>2235</v>
      </c>
      <c r="B103" s="127" t="s">
        <v>119</v>
      </c>
      <c r="C103" s="128">
        <f t="shared" si="4"/>
        <v>0</v>
      </c>
      <c r="D103" s="134"/>
      <c r="E103" s="285"/>
      <c r="F103" s="286">
        <f t="shared" si="5"/>
        <v>0</v>
      </c>
      <c r="G103" s="134"/>
      <c r="H103" s="135"/>
      <c r="I103" s="136">
        <f t="shared" si="6"/>
        <v>0</v>
      </c>
      <c r="J103" s="134"/>
      <c r="K103" s="135"/>
      <c r="L103" s="136">
        <f t="shared" si="7"/>
        <v>0</v>
      </c>
      <c r="M103" s="284"/>
      <c r="N103" s="285"/>
      <c r="O103" s="136">
        <f t="shared" si="8"/>
        <v>0</v>
      </c>
      <c r="P103" s="85"/>
      <c r="R103" s="53"/>
      <c r="S103" s="53"/>
      <c r="T103" s="53"/>
    </row>
    <row r="104" spans="1:20" hidden="1" x14ac:dyDescent="0.25">
      <c r="A104" s="76">
        <v>2236</v>
      </c>
      <c r="B104" s="127" t="s">
        <v>120</v>
      </c>
      <c r="C104" s="128">
        <f t="shared" si="4"/>
        <v>0</v>
      </c>
      <c r="D104" s="134"/>
      <c r="E104" s="285"/>
      <c r="F104" s="286">
        <f t="shared" si="5"/>
        <v>0</v>
      </c>
      <c r="G104" s="134"/>
      <c r="H104" s="135"/>
      <c r="I104" s="136">
        <f t="shared" si="6"/>
        <v>0</v>
      </c>
      <c r="J104" s="134"/>
      <c r="K104" s="135"/>
      <c r="L104" s="136">
        <f t="shared" si="7"/>
        <v>0</v>
      </c>
      <c r="M104" s="284"/>
      <c r="N104" s="285"/>
      <c r="O104" s="136">
        <f t="shared" si="8"/>
        <v>0</v>
      </c>
      <c r="P104" s="85"/>
      <c r="R104" s="53"/>
      <c r="S104" s="53"/>
      <c r="T104" s="53"/>
    </row>
    <row r="105" spans="1:20" ht="24" x14ac:dyDescent="0.25">
      <c r="A105" s="76">
        <v>2239</v>
      </c>
      <c r="B105" s="127" t="s">
        <v>121</v>
      </c>
      <c r="C105" s="128">
        <f t="shared" si="4"/>
        <v>906</v>
      </c>
      <c r="D105" s="134">
        <v>906</v>
      </c>
      <c r="E105" s="283"/>
      <c r="F105" s="279">
        <f t="shared" si="5"/>
        <v>906</v>
      </c>
      <c r="G105" s="134"/>
      <c r="H105" s="135"/>
      <c r="I105" s="136">
        <f t="shared" si="6"/>
        <v>0</v>
      </c>
      <c r="J105" s="134"/>
      <c r="K105" s="135"/>
      <c r="L105" s="136">
        <f t="shared" si="7"/>
        <v>0</v>
      </c>
      <c r="M105" s="284"/>
      <c r="N105" s="285"/>
      <c r="O105" s="136">
        <f t="shared" si="8"/>
        <v>0</v>
      </c>
      <c r="P105" s="85"/>
      <c r="R105" s="53"/>
      <c r="S105" s="53"/>
      <c r="T105" s="53"/>
    </row>
    <row r="106" spans="1:20" ht="36" x14ac:dyDescent="0.25">
      <c r="A106" s="276">
        <v>2240</v>
      </c>
      <c r="B106" s="127" t="s">
        <v>122</v>
      </c>
      <c r="C106" s="128">
        <f t="shared" si="4"/>
        <v>10039</v>
      </c>
      <c r="D106" s="277">
        <f>SUM(D107:D114)</f>
        <v>10039</v>
      </c>
      <c r="E106" s="278">
        <f>SUM(E107:E114)</f>
        <v>0</v>
      </c>
      <c r="F106" s="279">
        <f t="shared" si="5"/>
        <v>10039</v>
      </c>
      <c r="G106" s="277">
        <f>SUM(G107:G114)</f>
        <v>0</v>
      </c>
      <c r="H106" s="280">
        <f>SUM(H107:H114)</f>
        <v>0</v>
      </c>
      <c r="I106" s="136">
        <f t="shared" si="6"/>
        <v>0</v>
      </c>
      <c r="J106" s="277">
        <f>SUM(J107:J114)</f>
        <v>0</v>
      </c>
      <c r="K106" s="280">
        <f>SUM(K107:K114)</f>
        <v>0</v>
      </c>
      <c r="L106" s="136">
        <f t="shared" si="7"/>
        <v>0</v>
      </c>
      <c r="M106" s="281">
        <f>SUM(M107:M114)</f>
        <v>0</v>
      </c>
      <c r="N106" s="282">
        <f>SUM(N107:N114)</f>
        <v>0</v>
      </c>
      <c r="O106" s="136">
        <f t="shared" si="8"/>
        <v>0</v>
      </c>
      <c r="P106" s="85"/>
      <c r="R106" s="53"/>
      <c r="S106" s="53"/>
      <c r="T106" s="53"/>
    </row>
    <row r="107" spans="1:20" hidden="1" x14ac:dyDescent="0.25">
      <c r="A107" s="76">
        <v>2241</v>
      </c>
      <c r="B107" s="127" t="s">
        <v>123</v>
      </c>
      <c r="C107" s="128">
        <f t="shared" si="4"/>
        <v>0</v>
      </c>
      <c r="D107" s="134"/>
      <c r="E107" s="285"/>
      <c r="F107" s="286">
        <f t="shared" si="5"/>
        <v>0</v>
      </c>
      <c r="G107" s="134"/>
      <c r="H107" s="135"/>
      <c r="I107" s="136">
        <f t="shared" si="6"/>
        <v>0</v>
      </c>
      <c r="J107" s="134"/>
      <c r="K107" s="135"/>
      <c r="L107" s="136">
        <f t="shared" si="7"/>
        <v>0</v>
      </c>
      <c r="M107" s="284"/>
      <c r="N107" s="285"/>
      <c r="O107" s="136">
        <f t="shared" si="8"/>
        <v>0</v>
      </c>
      <c r="P107" s="85"/>
      <c r="R107" s="53"/>
      <c r="S107" s="53"/>
      <c r="T107" s="53"/>
    </row>
    <row r="108" spans="1:20" ht="24" hidden="1" x14ac:dyDescent="0.25">
      <c r="A108" s="76">
        <v>2242</v>
      </c>
      <c r="B108" s="127" t="s">
        <v>124</v>
      </c>
      <c r="C108" s="128">
        <f t="shared" si="4"/>
        <v>0</v>
      </c>
      <c r="D108" s="134"/>
      <c r="E108" s="285"/>
      <c r="F108" s="286">
        <f t="shared" si="5"/>
        <v>0</v>
      </c>
      <c r="G108" s="134"/>
      <c r="H108" s="135"/>
      <c r="I108" s="136">
        <f t="shared" si="6"/>
        <v>0</v>
      </c>
      <c r="J108" s="134"/>
      <c r="K108" s="135"/>
      <c r="L108" s="136">
        <f t="shared" si="7"/>
        <v>0</v>
      </c>
      <c r="M108" s="284"/>
      <c r="N108" s="285"/>
      <c r="O108" s="136">
        <f t="shared" si="8"/>
        <v>0</v>
      </c>
      <c r="P108" s="85"/>
      <c r="R108" s="53"/>
      <c r="S108" s="53"/>
      <c r="T108" s="53"/>
    </row>
    <row r="109" spans="1:20" s="307" customFormat="1" ht="24" x14ac:dyDescent="0.25">
      <c r="A109" s="265">
        <v>2243</v>
      </c>
      <c r="B109" s="266" t="s">
        <v>125</v>
      </c>
      <c r="C109" s="267">
        <f t="shared" si="4"/>
        <v>490</v>
      </c>
      <c r="D109" s="268">
        <v>490</v>
      </c>
      <c r="E109" s="269"/>
      <c r="F109" s="270">
        <f t="shared" si="5"/>
        <v>490</v>
      </c>
      <c r="G109" s="268"/>
      <c r="H109" s="271"/>
      <c r="I109" s="272">
        <f t="shared" si="6"/>
        <v>0</v>
      </c>
      <c r="J109" s="268"/>
      <c r="K109" s="271"/>
      <c r="L109" s="272">
        <f t="shared" si="7"/>
        <v>0</v>
      </c>
      <c r="M109" s="273"/>
      <c r="N109" s="274"/>
      <c r="O109" s="272">
        <f t="shared" si="8"/>
        <v>0</v>
      </c>
      <c r="P109" s="275"/>
      <c r="R109" s="53"/>
      <c r="S109" s="53"/>
      <c r="T109" s="53"/>
    </row>
    <row r="110" spans="1:20" x14ac:dyDescent="0.25">
      <c r="A110" s="265">
        <v>2244</v>
      </c>
      <c r="B110" s="266" t="s">
        <v>126</v>
      </c>
      <c r="C110" s="267">
        <f t="shared" si="4"/>
        <v>9549</v>
      </c>
      <c r="D110" s="268">
        <v>9549</v>
      </c>
      <c r="E110" s="269"/>
      <c r="F110" s="270">
        <f t="shared" si="5"/>
        <v>9549</v>
      </c>
      <c r="G110" s="268"/>
      <c r="H110" s="271"/>
      <c r="I110" s="272">
        <f t="shared" si="6"/>
        <v>0</v>
      </c>
      <c r="J110" s="268"/>
      <c r="K110" s="271"/>
      <c r="L110" s="272">
        <f t="shared" si="7"/>
        <v>0</v>
      </c>
      <c r="M110" s="273"/>
      <c r="N110" s="274"/>
      <c r="O110" s="272">
        <f t="shared" si="8"/>
        <v>0</v>
      </c>
      <c r="P110" s="275"/>
      <c r="R110" s="53"/>
      <c r="S110" s="53"/>
      <c r="T110" s="53"/>
    </row>
    <row r="111" spans="1:20" ht="24" hidden="1" x14ac:dyDescent="0.25">
      <c r="A111" s="76">
        <v>2246</v>
      </c>
      <c r="B111" s="127" t="s">
        <v>127</v>
      </c>
      <c r="C111" s="128">
        <f t="shared" si="4"/>
        <v>0</v>
      </c>
      <c r="D111" s="134"/>
      <c r="E111" s="285"/>
      <c r="F111" s="286">
        <f t="shared" si="5"/>
        <v>0</v>
      </c>
      <c r="G111" s="134"/>
      <c r="H111" s="135"/>
      <c r="I111" s="136">
        <f t="shared" si="6"/>
        <v>0</v>
      </c>
      <c r="J111" s="134"/>
      <c r="K111" s="135"/>
      <c r="L111" s="136">
        <f t="shared" si="7"/>
        <v>0</v>
      </c>
      <c r="M111" s="284"/>
      <c r="N111" s="285"/>
      <c r="O111" s="136">
        <f t="shared" si="8"/>
        <v>0</v>
      </c>
      <c r="P111" s="85"/>
      <c r="R111" s="53"/>
      <c r="S111" s="53"/>
      <c r="T111" s="53"/>
    </row>
    <row r="112" spans="1:20" hidden="1" x14ac:dyDescent="0.25">
      <c r="A112" s="76">
        <v>2247</v>
      </c>
      <c r="B112" s="127" t="s">
        <v>128</v>
      </c>
      <c r="C112" s="128">
        <f t="shared" si="4"/>
        <v>0</v>
      </c>
      <c r="D112" s="134"/>
      <c r="E112" s="285"/>
      <c r="F112" s="286">
        <f t="shared" si="5"/>
        <v>0</v>
      </c>
      <c r="G112" s="134"/>
      <c r="H112" s="135"/>
      <c r="I112" s="136">
        <f t="shared" si="6"/>
        <v>0</v>
      </c>
      <c r="J112" s="134"/>
      <c r="K112" s="135"/>
      <c r="L112" s="136">
        <f t="shared" si="7"/>
        <v>0</v>
      </c>
      <c r="M112" s="284"/>
      <c r="N112" s="285"/>
      <c r="O112" s="136">
        <f t="shared" si="8"/>
        <v>0</v>
      </c>
      <c r="P112" s="85"/>
      <c r="R112" s="53"/>
      <c r="S112" s="53"/>
      <c r="T112" s="53"/>
    </row>
    <row r="113" spans="1:20" ht="24" hidden="1" x14ac:dyDescent="0.25">
      <c r="A113" s="76">
        <v>2248</v>
      </c>
      <c r="B113" s="127" t="s">
        <v>129</v>
      </c>
      <c r="C113" s="128">
        <f t="shared" si="4"/>
        <v>0</v>
      </c>
      <c r="D113" s="134"/>
      <c r="E113" s="285"/>
      <c r="F113" s="286">
        <f t="shared" si="5"/>
        <v>0</v>
      </c>
      <c r="G113" s="134"/>
      <c r="H113" s="135"/>
      <c r="I113" s="136">
        <f t="shared" si="6"/>
        <v>0</v>
      </c>
      <c r="J113" s="134"/>
      <c r="K113" s="135"/>
      <c r="L113" s="136">
        <f t="shared" si="7"/>
        <v>0</v>
      </c>
      <c r="M113" s="284"/>
      <c r="N113" s="285"/>
      <c r="O113" s="136">
        <f t="shared" si="8"/>
        <v>0</v>
      </c>
      <c r="P113" s="85"/>
      <c r="R113" s="53"/>
      <c r="S113" s="53"/>
      <c r="T113" s="53"/>
    </row>
    <row r="114" spans="1:20" ht="24" hidden="1" x14ac:dyDescent="0.25">
      <c r="A114" s="76">
        <v>2249</v>
      </c>
      <c r="B114" s="127" t="s">
        <v>130</v>
      </c>
      <c r="C114" s="128">
        <f t="shared" si="4"/>
        <v>0</v>
      </c>
      <c r="D114" s="134"/>
      <c r="E114" s="285"/>
      <c r="F114" s="286">
        <f t="shared" si="5"/>
        <v>0</v>
      </c>
      <c r="G114" s="134"/>
      <c r="H114" s="135"/>
      <c r="I114" s="136">
        <f t="shared" si="6"/>
        <v>0</v>
      </c>
      <c r="J114" s="134"/>
      <c r="K114" s="135"/>
      <c r="L114" s="136">
        <f t="shared" si="7"/>
        <v>0</v>
      </c>
      <c r="M114" s="284"/>
      <c r="N114" s="285"/>
      <c r="O114" s="136">
        <f t="shared" si="8"/>
        <v>0</v>
      </c>
      <c r="P114" s="85"/>
      <c r="R114" s="53"/>
      <c r="S114" s="53"/>
      <c r="T114" s="53"/>
    </row>
    <row r="115" spans="1:20" x14ac:dyDescent="0.25">
      <c r="A115" s="276">
        <v>2250</v>
      </c>
      <c r="B115" s="127" t="s">
        <v>131</v>
      </c>
      <c r="C115" s="128">
        <f t="shared" si="4"/>
        <v>223</v>
      </c>
      <c r="D115" s="277">
        <f>SUM(D116:D118)</f>
        <v>223</v>
      </c>
      <c r="E115" s="278">
        <f>SUM(E116:E118)</f>
        <v>0</v>
      </c>
      <c r="F115" s="279">
        <f t="shared" si="5"/>
        <v>223</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c r="R115" s="53"/>
      <c r="S115" s="53"/>
      <c r="T115" s="53"/>
    </row>
    <row r="116" spans="1:20" x14ac:dyDescent="0.25">
      <c r="A116" s="265">
        <v>2251</v>
      </c>
      <c r="B116" s="266" t="s">
        <v>132</v>
      </c>
      <c r="C116" s="267">
        <f t="shared" si="4"/>
        <v>133</v>
      </c>
      <c r="D116" s="268">
        <v>133</v>
      </c>
      <c r="E116" s="269"/>
      <c r="F116" s="270">
        <f t="shared" si="5"/>
        <v>133</v>
      </c>
      <c r="G116" s="268"/>
      <c r="H116" s="271"/>
      <c r="I116" s="272">
        <f t="shared" si="6"/>
        <v>0</v>
      </c>
      <c r="J116" s="268"/>
      <c r="K116" s="271"/>
      <c r="L116" s="272">
        <f t="shared" si="7"/>
        <v>0</v>
      </c>
      <c r="M116" s="273"/>
      <c r="N116" s="274"/>
      <c r="O116" s="272">
        <f t="shared" si="8"/>
        <v>0</v>
      </c>
      <c r="P116" s="275"/>
      <c r="R116" s="53"/>
      <c r="S116" s="53"/>
      <c r="T116" s="53"/>
    </row>
    <row r="117" spans="1:20" ht="24" hidden="1" x14ac:dyDescent="0.25">
      <c r="A117" s="76">
        <v>2252</v>
      </c>
      <c r="B117" s="127" t="s">
        <v>133</v>
      </c>
      <c r="C117" s="128">
        <f t="shared" ref="C117:C181" si="9">F117+I117+L117+O117</f>
        <v>0</v>
      </c>
      <c r="D117" s="134"/>
      <c r="E117" s="285"/>
      <c r="F117" s="286">
        <f t="shared" si="5"/>
        <v>0</v>
      </c>
      <c r="G117" s="134"/>
      <c r="H117" s="135"/>
      <c r="I117" s="136">
        <f t="shared" si="6"/>
        <v>0</v>
      </c>
      <c r="J117" s="134"/>
      <c r="K117" s="135"/>
      <c r="L117" s="136">
        <f t="shared" si="7"/>
        <v>0</v>
      </c>
      <c r="M117" s="284"/>
      <c r="N117" s="285"/>
      <c r="O117" s="136">
        <f t="shared" si="8"/>
        <v>0</v>
      </c>
      <c r="P117" s="85"/>
      <c r="R117" s="53"/>
      <c r="S117" s="53"/>
      <c r="T117" s="53"/>
    </row>
    <row r="118" spans="1:20" ht="24" x14ac:dyDescent="0.25">
      <c r="A118" s="265">
        <v>2259</v>
      </c>
      <c r="B118" s="266" t="s">
        <v>134</v>
      </c>
      <c r="C118" s="267">
        <f t="shared" si="9"/>
        <v>90</v>
      </c>
      <c r="D118" s="268">
        <v>90</v>
      </c>
      <c r="E118" s="269"/>
      <c r="F118" s="270">
        <f t="shared" ref="F118:F182" si="10">D118+E118</f>
        <v>90</v>
      </c>
      <c r="G118" s="268"/>
      <c r="H118" s="271"/>
      <c r="I118" s="272">
        <f t="shared" ref="I118:I182" si="11">G118+H118</f>
        <v>0</v>
      </c>
      <c r="J118" s="268"/>
      <c r="K118" s="271"/>
      <c r="L118" s="272">
        <f t="shared" ref="L118:L182" si="12">J118+K118</f>
        <v>0</v>
      </c>
      <c r="M118" s="273"/>
      <c r="N118" s="274"/>
      <c r="O118" s="272">
        <f t="shared" ref="O118:O182" si="13">M118+N118</f>
        <v>0</v>
      </c>
      <c r="P118" s="275"/>
      <c r="R118" s="53"/>
      <c r="S118" s="53"/>
      <c r="T118" s="53"/>
    </row>
    <row r="119" spans="1:20" x14ac:dyDescent="0.25">
      <c r="A119" s="276">
        <v>2260</v>
      </c>
      <c r="B119" s="127" t="s">
        <v>135</v>
      </c>
      <c r="C119" s="128">
        <f t="shared" si="9"/>
        <v>24</v>
      </c>
      <c r="D119" s="277">
        <f>SUM(D120:D124)</f>
        <v>24</v>
      </c>
      <c r="E119" s="278">
        <f>SUM(E120:E124)</f>
        <v>0</v>
      </c>
      <c r="F119" s="279">
        <f t="shared" si="10"/>
        <v>24</v>
      </c>
      <c r="G119" s="277">
        <f>SUM(G120:G124)</f>
        <v>0</v>
      </c>
      <c r="H119" s="280">
        <f>SUM(H120:H124)</f>
        <v>0</v>
      </c>
      <c r="I119" s="136">
        <f t="shared" si="11"/>
        <v>0</v>
      </c>
      <c r="J119" s="277">
        <f>SUM(J120:J124)</f>
        <v>0</v>
      </c>
      <c r="K119" s="280">
        <f>SUM(K120:K124)</f>
        <v>0</v>
      </c>
      <c r="L119" s="136">
        <f t="shared" si="12"/>
        <v>0</v>
      </c>
      <c r="M119" s="281">
        <f>SUM(M120:M124)</f>
        <v>0</v>
      </c>
      <c r="N119" s="282">
        <f>SUM(N120:N124)</f>
        <v>0</v>
      </c>
      <c r="O119" s="136">
        <f t="shared" si="13"/>
        <v>0</v>
      </c>
      <c r="P119" s="85"/>
      <c r="R119" s="53"/>
      <c r="S119" s="53"/>
      <c r="T119" s="53"/>
    </row>
    <row r="120" spans="1:20" hidden="1" x14ac:dyDescent="0.25">
      <c r="A120" s="76">
        <v>2261</v>
      </c>
      <c r="B120" s="127" t="s">
        <v>136</v>
      </c>
      <c r="C120" s="128">
        <f t="shared" si="9"/>
        <v>0</v>
      </c>
      <c r="D120" s="134"/>
      <c r="E120" s="285"/>
      <c r="F120" s="286">
        <f t="shared" si="10"/>
        <v>0</v>
      </c>
      <c r="G120" s="134"/>
      <c r="H120" s="135"/>
      <c r="I120" s="136">
        <f t="shared" si="11"/>
        <v>0</v>
      </c>
      <c r="J120" s="134"/>
      <c r="K120" s="135"/>
      <c r="L120" s="136">
        <f t="shared" si="12"/>
        <v>0</v>
      </c>
      <c r="M120" s="284"/>
      <c r="N120" s="285"/>
      <c r="O120" s="136">
        <f t="shared" si="13"/>
        <v>0</v>
      </c>
      <c r="P120" s="85"/>
      <c r="R120" s="53"/>
      <c r="S120" s="53"/>
      <c r="T120" s="53"/>
    </row>
    <row r="121" spans="1:20" hidden="1" x14ac:dyDescent="0.25">
      <c r="A121" s="76">
        <v>2262</v>
      </c>
      <c r="B121" s="127" t="s">
        <v>137</v>
      </c>
      <c r="C121" s="128">
        <f t="shared" si="9"/>
        <v>0</v>
      </c>
      <c r="D121" s="134"/>
      <c r="E121" s="285"/>
      <c r="F121" s="286">
        <f t="shared" si="10"/>
        <v>0</v>
      </c>
      <c r="G121" s="134"/>
      <c r="H121" s="135"/>
      <c r="I121" s="136">
        <f t="shared" si="11"/>
        <v>0</v>
      </c>
      <c r="J121" s="134"/>
      <c r="K121" s="135"/>
      <c r="L121" s="136">
        <f t="shared" si="12"/>
        <v>0</v>
      </c>
      <c r="M121" s="284"/>
      <c r="N121" s="285"/>
      <c r="O121" s="136">
        <f t="shared" si="13"/>
        <v>0</v>
      </c>
      <c r="P121" s="85"/>
      <c r="R121" s="53"/>
      <c r="S121" s="53"/>
      <c r="T121" s="53"/>
    </row>
    <row r="122" spans="1:20" hidden="1" x14ac:dyDescent="0.25">
      <c r="A122" s="76">
        <v>2263</v>
      </c>
      <c r="B122" s="127" t="s">
        <v>138</v>
      </c>
      <c r="C122" s="128">
        <f t="shared" si="9"/>
        <v>0</v>
      </c>
      <c r="D122" s="134"/>
      <c r="E122" s="285"/>
      <c r="F122" s="286">
        <f t="shared" si="10"/>
        <v>0</v>
      </c>
      <c r="G122" s="134"/>
      <c r="H122" s="135"/>
      <c r="I122" s="136">
        <f t="shared" si="11"/>
        <v>0</v>
      </c>
      <c r="J122" s="134"/>
      <c r="K122" s="135"/>
      <c r="L122" s="136">
        <f t="shared" si="12"/>
        <v>0</v>
      </c>
      <c r="M122" s="284"/>
      <c r="N122" s="285"/>
      <c r="O122" s="136">
        <f t="shared" si="13"/>
        <v>0</v>
      </c>
      <c r="P122" s="85"/>
      <c r="R122" s="53"/>
      <c r="S122" s="53"/>
      <c r="T122" s="53"/>
    </row>
    <row r="123" spans="1:20" ht="24" hidden="1" x14ac:dyDescent="0.25">
      <c r="A123" s="76">
        <v>2264</v>
      </c>
      <c r="B123" s="127" t="s">
        <v>139</v>
      </c>
      <c r="C123" s="128">
        <f t="shared" si="9"/>
        <v>0</v>
      </c>
      <c r="D123" s="134"/>
      <c r="E123" s="285"/>
      <c r="F123" s="286">
        <f t="shared" si="10"/>
        <v>0</v>
      </c>
      <c r="G123" s="134"/>
      <c r="H123" s="135"/>
      <c r="I123" s="136">
        <f t="shared" si="11"/>
        <v>0</v>
      </c>
      <c r="J123" s="134"/>
      <c r="K123" s="135"/>
      <c r="L123" s="136">
        <f t="shared" si="12"/>
        <v>0</v>
      </c>
      <c r="M123" s="284"/>
      <c r="N123" s="285"/>
      <c r="O123" s="136">
        <f t="shared" si="13"/>
        <v>0</v>
      </c>
      <c r="P123" s="85"/>
      <c r="R123" s="53"/>
      <c r="S123" s="53"/>
      <c r="T123" s="53"/>
    </row>
    <row r="124" spans="1:20" x14ac:dyDescent="0.25">
      <c r="A124" s="76">
        <v>2269</v>
      </c>
      <c r="B124" s="127" t="s">
        <v>140</v>
      </c>
      <c r="C124" s="128">
        <f t="shared" si="9"/>
        <v>24</v>
      </c>
      <c r="D124" s="134">
        <v>24</v>
      </c>
      <c r="E124" s="283"/>
      <c r="F124" s="279">
        <f t="shared" si="10"/>
        <v>24</v>
      </c>
      <c r="G124" s="134"/>
      <c r="H124" s="135"/>
      <c r="I124" s="136">
        <f t="shared" si="11"/>
        <v>0</v>
      </c>
      <c r="J124" s="134"/>
      <c r="K124" s="135"/>
      <c r="L124" s="136">
        <f t="shared" si="12"/>
        <v>0</v>
      </c>
      <c r="M124" s="284"/>
      <c r="N124" s="285"/>
      <c r="O124" s="136">
        <f t="shared" si="13"/>
        <v>0</v>
      </c>
      <c r="P124" s="85"/>
      <c r="R124" s="53"/>
      <c r="S124" s="53"/>
      <c r="T124" s="53"/>
    </row>
    <row r="125" spans="1:20" x14ac:dyDescent="0.25">
      <c r="A125" s="276">
        <v>2270</v>
      </c>
      <c r="B125" s="127" t="s">
        <v>141</v>
      </c>
      <c r="C125" s="128">
        <f t="shared" si="9"/>
        <v>850</v>
      </c>
      <c r="D125" s="277">
        <f>SUM(D126:D130)</f>
        <v>476</v>
      </c>
      <c r="E125" s="278">
        <f>SUM(E126:E130)</f>
        <v>0</v>
      </c>
      <c r="F125" s="279">
        <f t="shared" si="10"/>
        <v>476</v>
      </c>
      <c r="G125" s="277">
        <f>SUM(G126:G130)</f>
        <v>0</v>
      </c>
      <c r="H125" s="280">
        <f>SUM(H126:H130)</f>
        <v>0</v>
      </c>
      <c r="I125" s="136">
        <f t="shared" si="11"/>
        <v>0</v>
      </c>
      <c r="J125" s="277">
        <f>SUM(J126:J130)</f>
        <v>374</v>
      </c>
      <c r="K125" s="280">
        <f>SUM(K126:K130)</f>
        <v>0</v>
      </c>
      <c r="L125" s="136">
        <f t="shared" si="12"/>
        <v>374</v>
      </c>
      <c r="M125" s="281">
        <f>SUM(M126:M130)</f>
        <v>0</v>
      </c>
      <c r="N125" s="282">
        <f>SUM(N126:N130)</f>
        <v>0</v>
      </c>
      <c r="O125" s="136">
        <f t="shared" si="13"/>
        <v>0</v>
      </c>
      <c r="P125" s="85"/>
      <c r="R125" s="53"/>
      <c r="S125" s="53"/>
      <c r="T125" s="53"/>
    </row>
    <row r="126" spans="1:20" hidden="1" x14ac:dyDescent="0.25">
      <c r="A126" s="76">
        <v>2272</v>
      </c>
      <c r="B126" s="5" t="s">
        <v>142</v>
      </c>
      <c r="C126" s="128">
        <f t="shared" si="9"/>
        <v>0</v>
      </c>
      <c r="D126" s="134"/>
      <c r="E126" s="285"/>
      <c r="F126" s="286">
        <f t="shared" si="10"/>
        <v>0</v>
      </c>
      <c r="G126" s="134"/>
      <c r="H126" s="135"/>
      <c r="I126" s="136">
        <f t="shared" si="11"/>
        <v>0</v>
      </c>
      <c r="J126" s="134"/>
      <c r="K126" s="135"/>
      <c r="L126" s="136">
        <f t="shared" si="12"/>
        <v>0</v>
      </c>
      <c r="M126" s="284"/>
      <c r="N126" s="285"/>
      <c r="O126" s="136">
        <f t="shared" si="13"/>
        <v>0</v>
      </c>
      <c r="P126" s="85"/>
      <c r="R126" s="53"/>
      <c r="S126" s="53"/>
      <c r="T126" s="53"/>
    </row>
    <row r="127" spans="1:20" ht="24" hidden="1" x14ac:dyDescent="0.25">
      <c r="A127" s="76">
        <v>2275</v>
      </c>
      <c r="B127" s="127" t="s">
        <v>143</v>
      </c>
      <c r="C127" s="128">
        <f t="shared" si="9"/>
        <v>0</v>
      </c>
      <c r="D127" s="134"/>
      <c r="E127" s="285"/>
      <c r="F127" s="286">
        <f t="shared" si="10"/>
        <v>0</v>
      </c>
      <c r="G127" s="134"/>
      <c r="H127" s="135"/>
      <c r="I127" s="136">
        <f t="shared" si="11"/>
        <v>0</v>
      </c>
      <c r="J127" s="134"/>
      <c r="K127" s="135"/>
      <c r="L127" s="136">
        <f t="shared" si="12"/>
        <v>0</v>
      </c>
      <c r="M127" s="284"/>
      <c r="N127" s="285"/>
      <c r="O127" s="136">
        <f t="shared" si="13"/>
        <v>0</v>
      </c>
      <c r="P127" s="85"/>
      <c r="R127" s="53"/>
      <c r="S127" s="53"/>
      <c r="T127" s="53"/>
    </row>
    <row r="128" spans="1:20" ht="36" hidden="1" x14ac:dyDescent="0.25">
      <c r="A128" s="76">
        <v>2276</v>
      </c>
      <c r="B128" s="127" t="s">
        <v>144</v>
      </c>
      <c r="C128" s="128">
        <f t="shared" si="9"/>
        <v>0</v>
      </c>
      <c r="D128" s="134"/>
      <c r="E128" s="285"/>
      <c r="F128" s="286">
        <f t="shared" si="10"/>
        <v>0</v>
      </c>
      <c r="G128" s="134"/>
      <c r="H128" s="135"/>
      <c r="I128" s="136">
        <f t="shared" si="11"/>
        <v>0</v>
      </c>
      <c r="J128" s="134"/>
      <c r="K128" s="135"/>
      <c r="L128" s="136">
        <f t="shared" si="12"/>
        <v>0</v>
      </c>
      <c r="M128" s="284"/>
      <c r="N128" s="285"/>
      <c r="O128" s="136">
        <f t="shared" si="13"/>
        <v>0</v>
      </c>
      <c r="P128" s="85"/>
      <c r="R128" s="53"/>
      <c r="S128" s="53"/>
      <c r="T128" s="53"/>
    </row>
    <row r="129" spans="1:20" ht="24" hidden="1" x14ac:dyDescent="0.25">
      <c r="A129" s="76">
        <v>2278</v>
      </c>
      <c r="B129" s="127" t="s">
        <v>145</v>
      </c>
      <c r="C129" s="128">
        <f t="shared" si="9"/>
        <v>0</v>
      </c>
      <c r="D129" s="134"/>
      <c r="E129" s="285"/>
      <c r="F129" s="286">
        <f t="shared" si="10"/>
        <v>0</v>
      </c>
      <c r="G129" s="134"/>
      <c r="H129" s="135"/>
      <c r="I129" s="136">
        <f t="shared" si="11"/>
        <v>0</v>
      </c>
      <c r="J129" s="134"/>
      <c r="K129" s="135"/>
      <c r="L129" s="136">
        <f t="shared" si="12"/>
        <v>0</v>
      </c>
      <c r="M129" s="284"/>
      <c r="N129" s="285"/>
      <c r="O129" s="136">
        <f t="shared" si="13"/>
        <v>0</v>
      </c>
      <c r="P129" s="85"/>
      <c r="R129" s="53"/>
      <c r="S129" s="53"/>
      <c r="T129" s="53"/>
    </row>
    <row r="130" spans="1:20" ht="24" x14ac:dyDescent="0.25">
      <c r="A130" s="76">
        <v>2279</v>
      </c>
      <c r="B130" s="127" t="s">
        <v>146</v>
      </c>
      <c r="C130" s="128">
        <f t="shared" si="9"/>
        <v>850</v>
      </c>
      <c r="D130" s="134">
        <v>476</v>
      </c>
      <c r="E130" s="283"/>
      <c r="F130" s="279">
        <f t="shared" si="10"/>
        <v>476</v>
      </c>
      <c r="G130" s="134"/>
      <c r="H130" s="135"/>
      <c r="I130" s="136">
        <f t="shared" si="11"/>
        <v>0</v>
      </c>
      <c r="J130" s="134">
        <v>374</v>
      </c>
      <c r="K130" s="135"/>
      <c r="L130" s="136">
        <f t="shared" si="12"/>
        <v>374</v>
      </c>
      <c r="M130" s="284"/>
      <c r="N130" s="285"/>
      <c r="O130" s="136">
        <f t="shared" si="13"/>
        <v>0</v>
      </c>
      <c r="P130" s="85"/>
      <c r="R130" s="53"/>
      <c r="S130" s="53"/>
      <c r="T130" s="53"/>
    </row>
    <row r="131" spans="1:20" ht="24" hidden="1" x14ac:dyDescent="0.25">
      <c r="A131" s="656">
        <v>2280</v>
      </c>
      <c r="B131" s="116" t="s">
        <v>147</v>
      </c>
      <c r="C131" s="128">
        <f t="shared" si="9"/>
        <v>0</v>
      </c>
      <c r="D131" s="297">
        <f t="shared" ref="D131:N131" si="14">SUM(D132)</f>
        <v>0</v>
      </c>
      <c r="E131" s="301">
        <f t="shared" si="14"/>
        <v>0</v>
      </c>
      <c r="F131" s="263">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c r="R131" s="53"/>
      <c r="S131" s="53"/>
      <c r="T131" s="53"/>
    </row>
    <row r="132" spans="1:20" ht="24" hidden="1" x14ac:dyDescent="0.25">
      <c r="A132" s="76">
        <v>2283</v>
      </c>
      <c r="B132" s="127" t="s">
        <v>148</v>
      </c>
      <c r="C132" s="128">
        <f t="shared" si="9"/>
        <v>0</v>
      </c>
      <c r="D132" s="134"/>
      <c r="E132" s="285"/>
      <c r="F132" s="286">
        <f t="shared" si="10"/>
        <v>0</v>
      </c>
      <c r="G132" s="134"/>
      <c r="H132" s="135"/>
      <c r="I132" s="136">
        <f t="shared" si="11"/>
        <v>0</v>
      </c>
      <c r="J132" s="134"/>
      <c r="K132" s="135"/>
      <c r="L132" s="136">
        <f t="shared" si="12"/>
        <v>0</v>
      </c>
      <c r="M132" s="284"/>
      <c r="N132" s="285"/>
      <c r="O132" s="136">
        <f t="shared" si="13"/>
        <v>0</v>
      </c>
      <c r="P132" s="85"/>
      <c r="R132" s="53"/>
      <c r="S132" s="53"/>
      <c r="T132" s="53"/>
    </row>
    <row r="133" spans="1:20" ht="36" x14ac:dyDescent="0.25">
      <c r="A133" s="99">
        <v>2300</v>
      </c>
      <c r="B133" s="247" t="s">
        <v>149</v>
      </c>
      <c r="C133" s="100">
        <f t="shared" si="9"/>
        <v>5679</v>
      </c>
      <c r="D133" s="112">
        <f>SUM(D134,D139,D143,D144,D147,D154,D162,D163,D166)</f>
        <v>5186</v>
      </c>
      <c r="E133" s="248">
        <f>SUM(E134,E139,E143,E144,E147,E154,E162,E163,E166)</f>
        <v>0</v>
      </c>
      <c r="F133" s="249">
        <f t="shared" si="10"/>
        <v>5186</v>
      </c>
      <c r="G133" s="112">
        <f>SUM(G134,G139,G143,G144,G147,G154,G162,G163,G166)</f>
        <v>437</v>
      </c>
      <c r="H133" s="113">
        <f>SUM(H134,H139,H143,H144,H147,H154,H162,H163,H166)</f>
        <v>0</v>
      </c>
      <c r="I133" s="114">
        <f t="shared" si="11"/>
        <v>437</v>
      </c>
      <c r="J133" s="112">
        <f>SUM(J134,J139,J143,J144,J147,J154,J162,J163,J166)</f>
        <v>56</v>
      </c>
      <c r="K133" s="113">
        <f>SUM(K134,K139,K143,K144,K147,K154,K162,K163,K166)</f>
        <v>0</v>
      </c>
      <c r="L133" s="114">
        <f t="shared" si="12"/>
        <v>56</v>
      </c>
      <c r="M133" s="292">
        <f>SUM(M134,M139,M143,M144,M147,M154,M162,M163,M166)</f>
        <v>0</v>
      </c>
      <c r="N133" s="293">
        <f>SUM(N134,N139,N143,N144,N147,N154,N162,N163,N166)</f>
        <v>0</v>
      </c>
      <c r="O133" s="114">
        <f t="shared" si="13"/>
        <v>0</v>
      </c>
      <c r="P133" s="109"/>
      <c r="R133" s="53"/>
      <c r="S133" s="53"/>
      <c r="T133" s="53"/>
    </row>
    <row r="134" spans="1:20" ht="24" x14ac:dyDescent="0.25">
      <c r="A134" s="656">
        <v>2310</v>
      </c>
      <c r="B134" s="116" t="s">
        <v>150</v>
      </c>
      <c r="C134" s="117">
        <f t="shared" si="9"/>
        <v>1464</v>
      </c>
      <c r="D134" s="308">
        <f>SUM(D135:D138)</f>
        <v>1464</v>
      </c>
      <c r="E134" s="300">
        <f>SUM(E135:E138)</f>
        <v>0</v>
      </c>
      <c r="F134" s="296">
        <f t="shared" si="10"/>
        <v>1464</v>
      </c>
      <c r="G134" s="297">
        <f>SUM(G135:G138)</f>
        <v>0</v>
      </c>
      <c r="H134" s="299">
        <f>SUM(H135:H138)</f>
        <v>0</v>
      </c>
      <c r="I134" s="125">
        <f t="shared" si="11"/>
        <v>0</v>
      </c>
      <c r="J134" s="297">
        <f>SUM(J135:J138)</f>
        <v>0</v>
      </c>
      <c r="K134" s="299">
        <f>SUM(K135:K138)</f>
        <v>0</v>
      </c>
      <c r="L134" s="125">
        <f t="shared" si="12"/>
        <v>0</v>
      </c>
      <c r="M134" s="300">
        <f>SUM(M135:M138)</f>
        <v>0</v>
      </c>
      <c r="N134" s="301">
        <f>SUM(N135:N138)</f>
        <v>0</v>
      </c>
      <c r="O134" s="125">
        <f t="shared" si="13"/>
        <v>0</v>
      </c>
      <c r="P134" s="74"/>
      <c r="R134" s="53"/>
      <c r="S134" s="53"/>
      <c r="T134" s="53"/>
    </row>
    <row r="135" spans="1:20" x14ac:dyDescent="0.25">
      <c r="A135" s="76">
        <v>2311</v>
      </c>
      <c r="B135" s="127" t="s">
        <v>151</v>
      </c>
      <c r="C135" s="128">
        <f t="shared" si="9"/>
        <v>924</v>
      </c>
      <c r="D135" s="134">
        <v>924</v>
      </c>
      <c r="E135" s="283"/>
      <c r="F135" s="279">
        <f t="shared" si="10"/>
        <v>924</v>
      </c>
      <c r="G135" s="134"/>
      <c r="H135" s="135"/>
      <c r="I135" s="136">
        <f t="shared" si="11"/>
        <v>0</v>
      </c>
      <c r="J135" s="134"/>
      <c r="K135" s="135"/>
      <c r="L135" s="136">
        <f t="shared" si="12"/>
        <v>0</v>
      </c>
      <c r="M135" s="284"/>
      <c r="N135" s="285"/>
      <c r="O135" s="136">
        <f t="shared" si="13"/>
        <v>0</v>
      </c>
      <c r="P135" s="85"/>
      <c r="R135" s="53"/>
      <c r="S135" s="53"/>
      <c r="T135" s="53"/>
    </row>
    <row r="136" spans="1:20" x14ac:dyDescent="0.25">
      <c r="A136" s="76">
        <v>2312</v>
      </c>
      <c r="B136" s="127" t="s">
        <v>152</v>
      </c>
      <c r="C136" s="128">
        <f t="shared" si="9"/>
        <v>490</v>
      </c>
      <c r="D136" s="134">
        <v>490</v>
      </c>
      <c r="E136" s="283"/>
      <c r="F136" s="279">
        <f t="shared" si="10"/>
        <v>490</v>
      </c>
      <c r="G136" s="134"/>
      <c r="H136" s="135"/>
      <c r="I136" s="136">
        <f t="shared" si="11"/>
        <v>0</v>
      </c>
      <c r="J136" s="134"/>
      <c r="K136" s="135"/>
      <c r="L136" s="136">
        <f t="shared" si="12"/>
        <v>0</v>
      </c>
      <c r="M136" s="284"/>
      <c r="N136" s="285"/>
      <c r="O136" s="136">
        <f t="shared" si="13"/>
        <v>0</v>
      </c>
      <c r="P136" s="85"/>
      <c r="R136" s="53"/>
      <c r="S136" s="53"/>
      <c r="T136" s="53"/>
    </row>
    <row r="137" spans="1:20" x14ac:dyDescent="0.25">
      <c r="A137" s="76">
        <v>2313</v>
      </c>
      <c r="B137" s="127" t="s">
        <v>153</v>
      </c>
      <c r="C137" s="128">
        <f t="shared" si="9"/>
        <v>50</v>
      </c>
      <c r="D137" s="134">
        <v>50</v>
      </c>
      <c r="E137" s="283"/>
      <c r="F137" s="279">
        <f t="shared" si="10"/>
        <v>50</v>
      </c>
      <c r="G137" s="134"/>
      <c r="H137" s="135"/>
      <c r="I137" s="136">
        <f t="shared" si="11"/>
        <v>0</v>
      </c>
      <c r="J137" s="134"/>
      <c r="K137" s="135"/>
      <c r="L137" s="136">
        <f t="shared" si="12"/>
        <v>0</v>
      </c>
      <c r="M137" s="284"/>
      <c r="N137" s="285"/>
      <c r="O137" s="136">
        <f t="shared" si="13"/>
        <v>0</v>
      </c>
      <c r="P137" s="85"/>
      <c r="R137" s="53"/>
      <c r="S137" s="53"/>
      <c r="T137" s="53"/>
    </row>
    <row r="138" spans="1:20" ht="36" hidden="1" x14ac:dyDescent="0.25">
      <c r="A138" s="265">
        <v>2314</v>
      </c>
      <c r="B138" s="266" t="s">
        <v>154</v>
      </c>
      <c r="C138" s="267">
        <f t="shared" si="9"/>
        <v>0</v>
      </c>
      <c r="D138" s="268">
        <v>0</v>
      </c>
      <c r="E138" s="274"/>
      <c r="F138" s="940">
        <f t="shared" si="10"/>
        <v>0</v>
      </c>
      <c r="G138" s="268"/>
      <c r="H138" s="271"/>
      <c r="I138" s="272">
        <f t="shared" si="11"/>
        <v>0</v>
      </c>
      <c r="J138" s="268"/>
      <c r="K138" s="271"/>
      <c r="L138" s="272">
        <f t="shared" si="12"/>
        <v>0</v>
      </c>
      <c r="M138" s="273"/>
      <c r="N138" s="274"/>
      <c r="O138" s="272">
        <f t="shared" si="13"/>
        <v>0</v>
      </c>
      <c r="P138" s="275"/>
      <c r="R138" s="53"/>
      <c r="S138" s="53"/>
      <c r="T138" s="53"/>
    </row>
    <row r="139" spans="1:20" x14ac:dyDescent="0.25">
      <c r="A139" s="276">
        <v>2320</v>
      </c>
      <c r="B139" s="127" t="s">
        <v>155</v>
      </c>
      <c r="C139" s="128">
        <f t="shared" si="9"/>
        <v>136</v>
      </c>
      <c r="D139" s="277">
        <f>SUM(D140:D142)</f>
        <v>80</v>
      </c>
      <c r="E139" s="278">
        <f>SUM(E140:E142)</f>
        <v>0</v>
      </c>
      <c r="F139" s="279">
        <f t="shared" si="10"/>
        <v>80</v>
      </c>
      <c r="G139" s="277">
        <f>SUM(G140:G142)</f>
        <v>0</v>
      </c>
      <c r="H139" s="280">
        <f>SUM(H140:H142)</f>
        <v>0</v>
      </c>
      <c r="I139" s="136">
        <f t="shared" si="11"/>
        <v>0</v>
      </c>
      <c r="J139" s="277">
        <f>SUM(J140:J142)</f>
        <v>56</v>
      </c>
      <c r="K139" s="280">
        <f>SUM(K140:K142)</f>
        <v>0</v>
      </c>
      <c r="L139" s="136">
        <f t="shared" si="12"/>
        <v>56</v>
      </c>
      <c r="M139" s="281">
        <f>SUM(M140:M142)</f>
        <v>0</v>
      </c>
      <c r="N139" s="282">
        <f>SUM(N140:N142)</f>
        <v>0</v>
      </c>
      <c r="O139" s="136">
        <f t="shared" si="13"/>
        <v>0</v>
      </c>
      <c r="P139" s="85"/>
      <c r="R139" s="53"/>
      <c r="S139" s="53"/>
      <c r="T139" s="53"/>
    </row>
    <row r="140" spans="1:20" hidden="1" x14ac:dyDescent="0.25">
      <c r="A140" s="76">
        <v>2321</v>
      </c>
      <c r="B140" s="127" t="s">
        <v>156</v>
      </c>
      <c r="C140" s="128">
        <f t="shared" si="9"/>
        <v>0</v>
      </c>
      <c r="D140" s="134"/>
      <c r="E140" s="285"/>
      <c r="F140" s="286">
        <f t="shared" si="10"/>
        <v>0</v>
      </c>
      <c r="G140" s="134"/>
      <c r="H140" s="135"/>
      <c r="I140" s="136">
        <f t="shared" si="11"/>
        <v>0</v>
      </c>
      <c r="J140" s="134"/>
      <c r="K140" s="135"/>
      <c r="L140" s="136">
        <f t="shared" si="12"/>
        <v>0</v>
      </c>
      <c r="M140" s="284"/>
      <c r="N140" s="285"/>
      <c r="O140" s="136">
        <f t="shared" si="13"/>
        <v>0</v>
      </c>
      <c r="P140" s="85"/>
      <c r="R140" s="53"/>
      <c r="S140" s="53"/>
      <c r="T140" s="53"/>
    </row>
    <row r="141" spans="1:20" x14ac:dyDescent="0.25">
      <c r="A141" s="265">
        <v>2322</v>
      </c>
      <c r="B141" s="266" t="s">
        <v>157</v>
      </c>
      <c r="C141" s="267">
        <f t="shared" si="9"/>
        <v>136</v>
      </c>
      <c r="D141" s="268">
        <v>80</v>
      </c>
      <c r="E141" s="269"/>
      <c r="F141" s="270">
        <f t="shared" si="10"/>
        <v>80</v>
      </c>
      <c r="G141" s="268"/>
      <c r="H141" s="271"/>
      <c r="I141" s="272">
        <f t="shared" si="11"/>
        <v>0</v>
      </c>
      <c r="J141" s="268">
        <v>56</v>
      </c>
      <c r="K141" s="271"/>
      <c r="L141" s="272">
        <f t="shared" si="12"/>
        <v>56</v>
      </c>
      <c r="M141" s="273"/>
      <c r="N141" s="274"/>
      <c r="O141" s="272">
        <f t="shared" si="13"/>
        <v>0</v>
      </c>
      <c r="P141" s="275"/>
      <c r="R141" s="53"/>
      <c r="S141" s="53"/>
      <c r="T141" s="53"/>
    </row>
    <row r="142" spans="1:20" hidden="1" x14ac:dyDescent="0.25">
      <c r="A142" s="76">
        <v>2329</v>
      </c>
      <c r="B142" s="127" t="s">
        <v>158</v>
      </c>
      <c r="C142" s="128">
        <f t="shared" si="9"/>
        <v>0</v>
      </c>
      <c r="D142" s="134"/>
      <c r="E142" s="285"/>
      <c r="F142" s="286">
        <f t="shared" si="10"/>
        <v>0</v>
      </c>
      <c r="G142" s="134"/>
      <c r="H142" s="135"/>
      <c r="I142" s="136">
        <f t="shared" si="11"/>
        <v>0</v>
      </c>
      <c r="J142" s="134"/>
      <c r="K142" s="135"/>
      <c r="L142" s="136">
        <f t="shared" si="12"/>
        <v>0</v>
      </c>
      <c r="M142" s="284"/>
      <c r="N142" s="285"/>
      <c r="O142" s="136">
        <f t="shared" si="13"/>
        <v>0</v>
      </c>
      <c r="P142" s="85"/>
      <c r="R142" s="53"/>
      <c r="S142" s="53"/>
      <c r="T142" s="53"/>
    </row>
    <row r="143" spans="1:20" hidden="1" x14ac:dyDescent="0.25">
      <c r="A143" s="276">
        <v>2330</v>
      </c>
      <c r="B143" s="127" t="s">
        <v>159</v>
      </c>
      <c r="C143" s="128">
        <f t="shared" si="9"/>
        <v>0</v>
      </c>
      <c r="D143" s="134"/>
      <c r="E143" s="285"/>
      <c r="F143" s="286">
        <f t="shared" si="10"/>
        <v>0</v>
      </c>
      <c r="G143" s="134"/>
      <c r="H143" s="135"/>
      <c r="I143" s="136">
        <f t="shared" si="11"/>
        <v>0</v>
      </c>
      <c r="J143" s="134"/>
      <c r="K143" s="135"/>
      <c r="L143" s="136">
        <f t="shared" si="12"/>
        <v>0</v>
      </c>
      <c r="M143" s="284"/>
      <c r="N143" s="285"/>
      <c r="O143" s="136">
        <f t="shared" si="13"/>
        <v>0</v>
      </c>
      <c r="P143" s="85"/>
      <c r="R143" s="53"/>
      <c r="S143" s="53"/>
      <c r="T143" s="53"/>
    </row>
    <row r="144" spans="1:20" ht="48" x14ac:dyDescent="0.25">
      <c r="A144" s="276">
        <v>2340</v>
      </c>
      <c r="B144" s="127" t="s">
        <v>160</v>
      </c>
      <c r="C144" s="128">
        <f t="shared" si="9"/>
        <v>150</v>
      </c>
      <c r="D144" s="277">
        <f>SUM(D145:D146)</f>
        <v>150</v>
      </c>
      <c r="E144" s="278">
        <f>SUM(E145:E146)</f>
        <v>0</v>
      </c>
      <c r="F144" s="279">
        <f t="shared" si="10"/>
        <v>150</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c r="R144" s="53"/>
      <c r="S144" s="53"/>
      <c r="T144" s="53"/>
    </row>
    <row r="145" spans="1:20" x14ac:dyDescent="0.25">
      <c r="A145" s="76">
        <v>2341</v>
      </c>
      <c r="B145" s="127" t="s">
        <v>161</v>
      </c>
      <c r="C145" s="128">
        <f t="shared" si="9"/>
        <v>150</v>
      </c>
      <c r="D145" s="134">
        <v>150</v>
      </c>
      <c r="E145" s="283"/>
      <c r="F145" s="279">
        <f t="shared" si="10"/>
        <v>150</v>
      </c>
      <c r="G145" s="134"/>
      <c r="H145" s="135"/>
      <c r="I145" s="136">
        <f t="shared" si="11"/>
        <v>0</v>
      </c>
      <c r="J145" s="134"/>
      <c r="K145" s="135"/>
      <c r="L145" s="136">
        <f t="shared" si="12"/>
        <v>0</v>
      </c>
      <c r="M145" s="284"/>
      <c r="N145" s="285"/>
      <c r="O145" s="136">
        <f t="shared" si="13"/>
        <v>0</v>
      </c>
      <c r="P145" s="85"/>
      <c r="R145" s="53"/>
      <c r="S145" s="53"/>
      <c r="T145" s="53"/>
    </row>
    <row r="146" spans="1:20" ht="24" hidden="1" x14ac:dyDescent="0.25">
      <c r="A146" s="76">
        <v>2344</v>
      </c>
      <c r="B146" s="127" t="s">
        <v>162</v>
      </c>
      <c r="C146" s="128">
        <f t="shared" si="9"/>
        <v>0</v>
      </c>
      <c r="D146" s="134"/>
      <c r="E146" s="285"/>
      <c r="F146" s="286">
        <f t="shared" si="10"/>
        <v>0</v>
      </c>
      <c r="G146" s="134"/>
      <c r="H146" s="135"/>
      <c r="I146" s="136">
        <f t="shared" si="11"/>
        <v>0</v>
      </c>
      <c r="J146" s="134"/>
      <c r="K146" s="135"/>
      <c r="L146" s="136">
        <f t="shared" si="12"/>
        <v>0</v>
      </c>
      <c r="M146" s="284"/>
      <c r="N146" s="285"/>
      <c r="O146" s="136">
        <f t="shared" si="13"/>
        <v>0</v>
      </c>
      <c r="P146" s="85"/>
      <c r="R146" s="53"/>
      <c r="S146" s="53"/>
      <c r="T146" s="53"/>
    </row>
    <row r="147" spans="1:20" ht="24" x14ac:dyDescent="0.25">
      <c r="A147" s="254">
        <v>2350</v>
      </c>
      <c r="B147" s="179" t="s">
        <v>163</v>
      </c>
      <c r="C147" s="128">
        <f t="shared" si="9"/>
        <v>2654</v>
      </c>
      <c r="D147" s="255">
        <f>SUM(D148:D153)</f>
        <v>2654</v>
      </c>
      <c r="E147" s="256">
        <f>SUM(E148:E153)</f>
        <v>0</v>
      </c>
      <c r="F147" s="257">
        <f t="shared" si="10"/>
        <v>2654</v>
      </c>
      <c r="G147" s="255">
        <f>SUM(G148:G153)</f>
        <v>0</v>
      </c>
      <c r="H147" s="258">
        <f>SUM(H148:H153)</f>
        <v>0</v>
      </c>
      <c r="I147" s="259">
        <f t="shared" si="11"/>
        <v>0</v>
      </c>
      <c r="J147" s="255">
        <f>SUM(J148:J153)</f>
        <v>0</v>
      </c>
      <c r="K147" s="258">
        <f>SUM(K148:K153)</f>
        <v>0</v>
      </c>
      <c r="L147" s="259">
        <f t="shared" si="12"/>
        <v>0</v>
      </c>
      <c r="M147" s="260">
        <f>SUM(M148:M153)</f>
        <v>0</v>
      </c>
      <c r="N147" s="261">
        <f>SUM(N148:N153)</f>
        <v>0</v>
      </c>
      <c r="O147" s="259">
        <f t="shared" si="13"/>
        <v>0</v>
      </c>
      <c r="P147" s="189"/>
      <c r="R147" s="53"/>
      <c r="S147" s="53"/>
      <c r="T147" s="53"/>
    </row>
    <row r="148" spans="1:20" x14ac:dyDescent="0.25">
      <c r="A148" s="951">
        <v>2351</v>
      </c>
      <c r="B148" s="952" t="s">
        <v>164</v>
      </c>
      <c r="C148" s="267">
        <f t="shared" si="9"/>
        <v>327</v>
      </c>
      <c r="D148" s="480">
        <v>327</v>
      </c>
      <c r="E148" s="481"/>
      <c r="F148" s="803">
        <f t="shared" si="10"/>
        <v>327</v>
      </c>
      <c r="G148" s="480"/>
      <c r="H148" s="804"/>
      <c r="I148" s="805">
        <f t="shared" si="11"/>
        <v>0</v>
      </c>
      <c r="J148" s="480"/>
      <c r="K148" s="804"/>
      <c r="L148" s="805">
        <f t="shared" si="12"/>
        <v>0</v>
      </c>
      <c r="M148" s="806"/>
      <c r="N148" s="807"/>
      <c r="O148" s="805">
        <f t="shared" si="13"/>
        <v>0</v>
      </c>
      <c r="P148" s="808"/>
      <c r="R148" s="53"/>
      <c r="S148" s="53"/>
      <c r="T148" s="53"/>
    </row>
    <row r="149" spans="1:20" x14ac:dyDescent="0.25">
      <c r="A149" s="265">
        <v>2352</v>
      </c>
      <c r="B149" s="266" t="s">
        <v>165</v>
      </c>
      <c r="C149" s="267">
        <f t="shared" si="9"/>
        <v>2327</v>
      </c>
      <c r="D149" s="268">
        <v>2327</v>
      </c>
      <c r="E149" s="269"/>
      <c r="F149" s="270">
        <f t="shared" si="10"/>
        <v>2327</v>
      </c>
      <c r="G149" s="268"/>
      <c r="H149" s="271"/>
      <c r="I149" s="272">
        <f t="shared" si="11"/>
        <v>0</v>
      </c>
      <c r="J149" s="268"/>
      <c r="K149" s="271"/>
      <c r="L149" s="272">
        <f t="shared" si="12"/>
        <v>0</v>
      </c>
      <c r="M149" s="273"/>
      <c r="N149" s="274"/>
      <c r="O149" s="272">
        <f t="shared" si="13"/>
        <v>0</v>
      </c>
      <c r="P149" s="275"/>
      <c r="R149" s="53"/>
      <c r="S149" s="53"/>
      <c r="T149" s="53"/>
    </row>
    <row r="150" spans="1:20" ht="24" hidden="1" x14ac:dyDescent="0.25">
      <c r="A150" s="76">
        <v>2353</v>
      </c>
      <c r="B150" s="127" t="s">
        <v>166</v>
      </c>
      <c r="C150" s="128">
        <f t="shared" si="9"/>
        <v>0</v>
      </c>
      <c r="D150" s="134"/>
      <c r="E150" s="285"/>
      <c r="F150" s="286">
        <f t="shared" si="10"/>
        <v>0</v>
      </c>
      <c r="G150" s="134"/>
      <c r="H150" s="135"/>
      <c r="I150" s="136">
        <f t="shared" si="11"/>
        <v>0</v>
      </c>
      <c r="J150" s="134"/>
      <c r="K150" s="135"/>
      <c r="L150" s="136">
        <f t="shared" si="12"/>
        <v>0</v>
      </c>
      <c r="M150" s="284"/>
      <c r="N150" s="285"/>
      <c r="O150" s="136">
        <f t="shared" si="13"/>
        <v>0</v>
      </c>
      <c r="P150" s="85"/>
      <c r="R150" s="53"/>
      <c r="S150" s="53"/>
      <c r="T150" s="53"/>
    </row>
    <row r="151" spans="1:20" ht="24" hidden="1" x14ac:dyDescent="0.25">
      <c r="A151" s="76">
        <v>2354</v>
      </c>
      <c r="B151" s="127" t="s">
        <v>167</v>
      </c>
      <c r="C151" s="128">
        <f t="shared" si="9"/>
        <v>0</v>
      </c>
      <c r="D151" s="134"/>
      <c r="E151" s="285"/>
      <c r="F151" s="286">
        <f t="shared" si="10"/>
        <v>0</v>
      </c>
      <c r="G151" s="134"/>
      <c r="H151" s="135"/>
      <c r="I151" s="136">
        <f t="shared" si="11"/>
        <v>0</v>
      </c>
      <c r="J151" s="134"/>
      <c r="K151" s="135"/>
      <c r="L151" s="136">
        <f t="shared" si="12"/>
        <v>0</v>
      </c>
      <c r="M151" s="284"/>
      <c r="N151" s="285"/>
      <c r="O151" s="136">
        <f t="shared" si="13"/>
        <v>0</v>
      </c>
      <c r="P151" s="85"/>
      <c r="R151" s="53"/>
      <c r="S151" s="53"/>
      <c r="T151" s="53"/>
    </row>
    <row r="152" spans="1:20" ht="24" hidden="1" x14ac:dyDescent="0.25">
      <c r="A152" s="76">
        <v>2355</v>
      </c>
      <c r="B152" s="127" t="s">
        <v>168</v>
      </c>
      <c r="C152" s="128">
        <f t="shared" si="9"/>
        <v>0</v>
      </c>
      <c r="D152" s="134"/>
      <c r="E152" s="285"/>
      <c r="F152" s="286">
        <f t="shared" si="10"/>
        <v>0</v>
      </c>
      <c r="G152" s="134"/>
      <c r="H152" s="135"/>
      <c r="I152" s="136">
        <f t="shared" si="11"/>
        <v>0</v>
      </c>
      <c r="J152" s="134"/>
      <c r="K152" s="135"/>
      <c r="L152" s="136">
        <f t="shared" si="12"/>
        <v>0</v>
      </c>
      <c r="M152" s="284"/>
      <c r="N152" s="285"/>
      <c r="O152" s="136">
        <f t="shared" si="13"/>
        <v>0</v>
      </c>
      <c r="P152" s="85"/>
      <c r="R152" s="53"/>
      <c r="S152" s="53"/>
      <c r="T152" s="53"/>
    </row>
    <row r="153" spans="1:20" ht="24" hidden="1" x14ac:dyDescent="0.25">
      <c r="A153" s="76">
        <v>2359</v>
      </c>
      <c r="B153" s="127" t="s">
        <v>169</v>
      </c>
      <c r="C153" s="128">
        <f t="shared" si="9"/>
        <v>0</v>
      </c>
      <c r="D153" s="134"/>
      <c r="E153" s="285"/>
      <c r="F153" s="286">
        <f t="shared" si="10"/>
        <v>0</v>
      </c>
      <c r="G153" s="134"/>
      <c r="H153" s="135"/>
      <c r="I153" s="136">
        <f t="shared" si="11"/>
        <v>0</v>
      </c>
      <c r="J153" s="134"/>
      <c r="K153" s="135"/>
      <c r="L153" s="136">
        <f t="shared" si="12"/>
        <v>0</v>
      </c>
      <c r="M153" s="284"/>
      <c r="N153" s="285"/>
      <c r="O153" s="136">
        <f t="shared" si="13"/>
        <v>0</v>
      </c>
      <c r="P153" s="85"/>
      <c r="R153" s="53"/>
      <c r="S153" s="53"/>
      <c r="T153" s="53"/>
    </row>
    <row r="154" spans="1:20" ht="24" x14ac:dyDescent="0.25">
      <c r="A154" s="276">
        <v>2360</v>
      </c>
      <c r="B154" s="127" t="s">
        <v>170</v>
      </c>
      <c r="C154" s="128">
        <f t="shared" si="9"/>
        <v>150</v>
      </c>
      <c r="D154" s="277">
        <f>SUM(D155:D161)</f>
        <v>150</v>
      </c>
      <c r="E154" s="278">
        <f>SUM(E155:E161)</f>
        <v>0</v>
      </c>
      <c r="F154" s="279">
        <f t="shared" si="10"/>
        <v>150</v>
      </c>
      <c r="G154" s="277">
        <f>SUM(G155:G161)</f>
        <v>0</v>
      </c>
      <c r="H154" s="280">
        <f>SUM(H155:H161)</f>
        <v>0</v>
      </c>
      <c r="I154" s="136">
        <f t="shared" si="11"/>
        <v>0</v>
      </c>
      <c r="J154" s="277">
        <f>SUM(J155:J161)</f>
        <v>0</v>
      </c>
      <c r="K154" s="280">
        <f>SUM(K155:K161)</f>
        <v>0</v>
      </c>
      <c r="L154" s="136">
        <f t="shared" si="12"/>
        <v>0</v>
      </c>
      <c r="M154" s="281">
        <f>SUM(M155:M161)</f>
        <v>0</v>
      </c>
      <c r="N154" s="282">
        <f>SUM(N155:N161)</f>
        <v>0</v>
      </c>
      <c r="O154" s="136">
        <f t="shared" si="13"/>
        <v>0</v>
      </c>
      <c r="P154" s="85"/>
      <c r="R154" s="53"/>
      <c r="S154" s="53"/>
      <c r="T154" s="53"/>
    </row>
    <row r="155" spans="1:20" hidden="1" x14ac:dyDescent="0.25">
      <c r="A155" s="75">
        <v>2361</v>
      </c>
      <c r="B155" s="127" t="s">
        <v>171</v>
      </c>
      <c r="C155" s="128">
        <f t="shared" si="9"/>
        <v>0</v>
      </c>
      <c r="D155" s="134"/>
      <c r="E155" s="285"/>
      <c r="F155" s="286">
        <f t="shared" si="10"/>
        <v>0</v>
      </c>
      <c r="G155" s="134"/>
      <c r="H155" s="135"/>
      <c r="I155" s="136">
        <f t="shared" si="11"/>
        <v>0</v>
      </c>
      <c r="J155" s="134"/>
      <c r="K155" s="135"/>
      <c r="L155" s="136">
        <f t="shared" si="12"/>
        <v>0</v>
      </c>
      <c r="M155" s="284"/>
      <c r="N155" s="285"/>
      <c r="O155" s="136">
        <f t="shared" si="13"/>
        <v>0</v>
      </c>
      <c r="P155" s="85"/>
      <c r="R155" s="53"/>
      <c r="S155" s="53"/>
      <c r="T155" s="53"/>
    </row>
    <row r="156" spans="1:20" ht="24" x14ac:dyDescent="0.25">
      <c r="A156" s="75">
        <v>2362</v>
      </c>
      <c r="B156" s="127" t="s">
        <v>172</v>
      </c>
      <c r="C156" s="128">
        <f t="shared" si="9"/>
        <v>150</v>
      </c>
      <c r="D156" s="134">
        <v>150</v>
      </c>
      <c r="E156" s="283"/>
      <c r="F156" s="279">
        <f t="shared" si="10"/>
        <v>150</v>
      </c>
      <c r="G156" s="134"/>
      <c r="H156" s="135"/>
      <c r="I156" s="136">
        <f t="shared" si="11"/>
        <v>0</v>
      </c>
      <c r="J156" s="134"/>
      <c r="K156" s="135"/>
      <c r="L156" s="136">
        <f t="shared" si="12"/>
        <v>0</v>
      </c>
      <c r="M156" s="284"/>
      <c r="N156" s="285"/>
      <c r="O156" s="136">
        <f t="shared" si="13"/>
        <v>0</v>
      </c>
      <c r="P156" s="85"/>
      <c r="R156" s="53"/>
      <c r="S156" s="53"/>
      <c r="T156" s="53"/>
    </row>
    <row r="157" spans="1:20" hidden="1" x14ac:dyDescent="0.25">
      <c r="A157" s="75">
        <v>2363</v>
      </c>
      <c r="B157" s="127" t="s">
        <v>173</v>
      </c>
      <c r="C157" s="128">
        <f t="shared" si="9"/>
        <v>0</v>
      </c>
      <c r="D157" s="134"/>
      <c r="E157" s="285"/>
      <c r="F157" s="286">
        <f t="shared" si="10"/>
        <v>0</v>
      </c>
      <c r="G157" s="134"/>
      <c r="H157" s="135"/>
      <c r="I157" s="136">
        <f t="shared" si="11"/>
        <v>0</v>
      </c>
      <c r="J157" s="953"/>
      <c r="K157" s="135"/>
      <c r="L157" s="136">
        <f t="shared" si="12"/>
        <v>0</v>
      </c>
      <c r="M157" s="284"/>
      <c r="N157" s="285"/>
      <c r="O157" s="136">
        <f t="shared" si="13"/>
        <v>0</v>
      </c>
      <c r="P157" s="275"/>
      <c r="R157" s="53"/>
      <c r="S157" s="53"/>
      <c r="T157" s="53"/>
    </row>
    <row r="158" spans="1:20" hidden="1" x14ac:dyDescent="0.25">
      <c r="A158" s="75">
        <v>2364</v>
      </c>
      <c r="B158" s="127" t="s">
        <v>174</v>
      </c>
      <c r="C158" s="128">
        <f t="shared" si="9"/>
        <v>0</v>
      </c>
      <c r="D158" s="134"/>
      <c r="E158" s="285"/>
      <c r="F158" s="286">
        <f t="shared" si="10"/>
        <v>0</v>
      </c>
      <c r="G158" s="134"/>
      <c r="H158" s="135"/>
      <c r="I158" s="136">
        <f t="shared" si="11"/>
        <v>0</v>
      </c>
      <c r="J158" s="134"/>
      <c r="K158" s="135"/>
      <c r="L158" s="136">
        <f t="shared" si="12"/>
        <v>0</v>
      </c>
      <c r="M158" s="284"/>
      <c r="N158" s="285"/>
      <c r="O158" s="136">
        <f t="shared" si="13"/>
        <v>0</v>
      </c>
      <c r="P158" s="85"/>
      <c r="R158" s="53"/>
      <c r="S158" s="53"/>
      <c r="T158" s="53"/>
    </row>
    <row r="159" spans="1:20" hidden="1" x14ac:dyDescent="0.25">
      <c r="A159" s="75">
        <v>2365</v>
      </c>
      <c r="B159" s="127" t="s">
        <v>175</v>
      </c>
      <c r="C159" s="128">
        <f t="shared" si="9"/>
        <v>0</v>
      </c>
      <c r="D159" s="134"/>
      <c r="E159" s="285"/>
      <c r="F159" s="286">
        <f t="shared" si="10"/>
        <v>0</v>
      </c>
      <c r="G159" s="134"/>
      <c r="H159" s="135"/>
      <c r="I159" s="136">
        <f t="shared" si="11"/>
        <v>0</v>
      </c>
      <c r="J159" s="134"/>
      <c r="K159" s="135"/>
      <c r="L159" s="136">
        <f t="shared" si="12"/>
        <v>0</v>
      </c>
      <c r="M159" s="284"/>
      <c r="N159" s="285"/>
      <c r="O159" s="136">
        <f t="shared" si="13"/>
        <v>0</v>
      </c>
      <c r="P159" s="85"/>
      <c r="R159" s="53"/>
      <c r="S159" s="53"/>
      <c r="T159" s="53"/>
    </row>
    <row r="160" spans="1:20" ht="36" hidden="1" x14ac:dyDescent="0.25">
      <c r="A160" s="75">
        <v>2366</v>
      </c>
      <c r="B160" s="127" t="s">
        <v>176</v>
      </c>
      <c r="C160" s="128">
        <f t="shared" si="9"/>
        <v>0</v>
      </c>
      <c r="D160" s="134"/>
      <c r="E160" s="285"/>
      <c r="F160" s="286">
        <f t="shared" si="10"/>
        <v>0</v>
      </c>
      <c r="G160" s="134"/>
      <c r="H160" s="135"/>
      <c r="I160" s="136">
        <f t="shared" si="11"/>
        <v>0</v>
      </c>
      <c r="J160" s="134"/>
      <c r="K160" s="135"/>
      <c r="L160" s="136">
        <f t="shared" si="12"/>
        <v>0</v>
      </c>
      <c r="M160" s="284"/>
      <c r="N160" s="285"/>
      <c r="O160" s="136">
        <f t="shared" si="13"/>
        <v>0</v>
      </c>
      <c r="P160" s="85"/>
      <c r="R160" s="53"/>
      <c r="S160" s="53"/>
      <c r="T160" s="53"/>
    </row>
    <row r="161" spans="1:20" ht="48" hidden="1" x14ac:dyDescent="0.25">
      <c r="A161" s="75">
        <v>2369</v>
      </c>
      <c r="B161" s="127" t="s">
        <v>177</v>
      </c>
      <c r="C161" s="128">
        <f t="shared" si="9"/>
        <v>0</v>
      </c>
      <c r="D161" s="134"/>
      <c r="E161" s="285"/>
      <c r="F161" s="286">
        <f t="shared" si="10"/>
        <v>0</v>
      </c>
      <c r="G161" s="134"/>
      <c r="H161" s="135"/>
      <c r="I161" s="136">
        <f t="shared" si="11"/>
        <v>0</v>
      </c>
      <c r="J161" s="134"/>
      <c r="K161" s="135"/>
      <c r="L161" s="136">
        <f t="shared" si="12"/>
        <v>0</v>
      </c>
      <c r="M161" s="284"/>
      <c r="N161" s="285"/>
      <c r="O161" s="136">
        <f t="shared" si="13"/>
        <v>0</v>
      </c>
      <c r="P161" s="85"/>
      <c r="R161" s="53"/>
      <c r="S161" s="53"/>
      <c r="T161" s="53"/>
    </row>
    <row r="162" spans="1:20" x14ac:dyDescent="0.25">
      <c r="A162" s="254">
        <v>2370</v>
      </c>
      <c r="B162" s="179" t="s">
        <v>178</v>
      </c>
      <c r="C162" s="128">
        <f t="shared" si="9"/>
        <v>1125</v>
      </c>
      <c r="D162" s="287">
        <v>688</v>
      </c>
      <c r="E162" s="288"/>
      <c r="F162" s="257">
        <f t="shared" si="10"/>
        <v>688</v>
      </c>
      <c r="G162" s="287">
        <v>437</v>
      </c>
      <c r="H162" s="289"/>
      <c r="I162" s="259">
        <f t="shared" si="11"/>
        <v>437</v>
      </c>
      <c r="J162" s="287"/>
      <c r="K162" s="289"/>
      <c r="L162" s="259">
        <f t="shared" si="12"/>
        <v>0</v>
      </c>
      <c r="M162" s="290"/>
      <c r="N162" s="291"/>
      <c r="O162" s="259">
        <f t="shared" si="13"/>
        <v>0</v>
      </c>
      <c r="P162" s="189"/>
      <c r="R162" s="53"/>
      <c r="S162" s="53"/>
      <c r="T162" s="53"/>
    </row>
    <row r="163" spans="1:20" hidden="1" x14ac:dyDescent="0.25">
      <c r="A163" s="254">
        <v>2380</v>
      </c>
      <c r="B163" s="179" t="s">
        <v>179</v>
      </c>
      <c r="C163" s="128">
        <f t="shared" si="9"/>
        <v>0</v>
      </c>
      <c r="D163" s="255">
        <f>SUM(D164:D165)</f>
        <v>0</v>
      </c>
      <c r="E163" s="261">
        <f>SUM(E164:E165)</f>
        <v>0</v>
      </c>
      <c r="F163" s="310">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c r="S163" s="53"/>
      <c r="T163" s="53"/>
    </row>
    <row r="164" spans="1:20" hidden="1" x14ac:dyDescent="0.25">
      <c r="A164" s="65">
        <v>2381</v>
      </c>
      <c r="B164" s="116" t="s">
        <v>180</v>
      </c>
      <c r="C164" s="128">
        <f t="shared" si="9"/>
        <v>0</v>
      </c>
      <c r="D164" s="123"/>
      <c r="E164" s="262"/>
      <c r="F164" s="263">
        <f t="shared" si="10"/>
        <v>0</v>
      </c>
      <c r="G164" s="123"/>
      <c r="H164" s="124"/>
      <c r="I164" s="125">
        <f t="shared" si="11"/>
        <v>0</v>
      </c>
      <c r="J164" s="123"/>
      <c r="K164" s="124"/>
      <c r="L164" s="125">
        <f t="shared" si="12"/>
        <v>0</v>
      </c>
      <c r="M164" s="264"/>
      <c r="N164" s="262"/>
      <c r="O164" s="125">
        <f t="shared" si="13"/>
        <v>0</v>
      </c>
      <c r="P164" s="74"/>
      <c r="R164" s="53"/>
      <c r="S164" s="53"/>
      <c r="T164" s="53"/>
    </row>
    <row r="165" spans="1:20" ht="24" hidden="1" x14ac:dyDescent="0.25">
      <c r="A165" s="75">
        <v>2389</v>
      </c>
      <c r="B165" s="127" t="s">
        <v>181</v>
      </c>
      <c r="C165" s="128">
        <f t="shared" si="9"/>
        <v>0</v>
      </c>
      <c r="D165" s="134"/>
      <c r="E165" s="285"/>
      <c r="F165" s="286">
        <f t="shared" si="10"/>
        <v>0</v>
      </c>
      <c r="G165" s="134"/>
      <c r="H165" s="135"/>
      <c r="I165" s="136">
        <f t="shared" si="11"/>
        <v>0</v>
      </c>
      <c r="J165" s="134"/>
      <c r="K165" s="135"/>
      <c r="L165" s="136">
        <f t="shared" si="12"/>
        <v>0</v>
      </c>
      <c r="M165" s="284"/>
      <c r="N165" s="285"/>
      <c r="O165" s="136">
        <f t="shared" si="13"/>
        <v>0</v>
      </c>
      <c r="P165" s="85"/>
      <c r="R165" s="53"/>
      <c r="S165" s="53"/>
      <c r="T165" s="53"/>
    </row>
    <row r="166" spans="1:20" hidden="1" x14ac:dyDescent="0.25">
      <c r="A166" s="254">
        <v>2390</v>
      </c>
      <c r="B166" s="179" t="s">
        <v>182</v>
      </c>
      <c r="C166" s="128">
        <f t="shared" si="9"/>
        <v>0</v>
      </c>
      <c r="D166" s="287"/>
      <c r="E166" s="291"/>
      <c r="F166" s="310">
        <f t="shared" si="10"/>
        <v>0</v>
      </c>
      <c r="G166" s="287"/>
      <c r="H166" s="289"/>
      <c r="I166" s="259">
        <f t="shared" si="11"/>
        <v>0</v>
      </c>
      <c r="J166" s="287"/>
      <c r="K166" s="289"/>
      <c r="L166" s="259">
        <f t="shared" si="12"/>
        <v>0</v>
      </c>
      <c r="M166" s="290"/>
      <c r="N166" s="291"/>
      <c r="O166" s="259">
        <f t="shared" si="13"/>
        <v>0</v>
      </c>
      <c r="P166" s="189"/>
      <c r="R166" s="53"/>
      <c r="S166" s="53"/>
      <c r="T166" s="53"/>
    </row>
    <row r="167" spans="1:20" hidden="1" x14ac:dyDescent="0.25">
      <c r="A167" s="99">
        <v>2400</v>
      </c>
      <c r="B167" s="247" t="s">
        <v>183</v>
      </c>
      <c r="C167" s="100">
        <f t="shared" si="9"/>
        <v>0</v>
      </c>
      <c r="D167" s="311"/>
      <c r="E167" s="312"/>
      <c r="F167" s="313">
        <f t="shared" si="10"/>
        <v>0</v>
      </c>
      <c r="G167" s="311"/>
      <c r="H167" s="314"/>
      <c r="I167" s="114">
        <f t="shared" si="11"/>
        <v>0</v>
      </c>
      <c r="J167" s="311"/>
      <c r="K167" s="314"/>
      <c r="L167" s="114">
        <f t="shared" si="12"/>
        <v>0</v>
      </c>
      <c r="M167" s="315"/>
      <c r="N167" s="312"/>
      <c r="O167" s="114">
        <f t="shared" si="13"/>
        <v>0</v>
      </c>
      <c r="P167" s="109"/>
      <c r="R167" s="53"/>
      <c r="S167" s="53"/>
      <c r="T167" s="53"/>
    </row>
    <row r="168" spans="1:20" ht="24" x14ac:dyDescent="0.25">
      <c r="A168" s="99">
        <v>2500</v>
      </c>
      <c r="B168" s="247" t="s">
        <v>184</v>
      </c>
      <c r="C168" s="100">
        <f t="shared" si="9"/>
        <v>72</v>
      </c>
      <c r="D168" s="112">
        <f>SUM(D169,D174)</f>
        <v>72</v>
      </c>
      <c r="E168" s="248">
        <f>SUM(E169,E174)</f>
        <v>0</v>
      </c>
      <c r="F168" s="249">
        <f t="shared" si="10"/>
        <v>72</v>
      </c>
      <c r="G168" s="112">
        <f>SUM(G169,G174)</f>
        <v>0</v>
      </c>
      <c r="H168" s="113">
        <f t="shared" ref="H168" si="17">SUM(H169,H174)</f>
        <v>0</v>
      </c>
      <c r="I168" s="114">
        <f t="shared" si="11"/>
        <v>0</v>
      </c>
      <c r="J168" s="112">
        <f>SUM(J169,J174)</f>
        <v>0</v>
      </c>
      <c r="K168" s="113">
        <f t="shared" ref="K168" si="18">SUM(K169,K174)</f>
        <v>0</v>
      </c>
      <c r="L168" s="114">
        <f t="shared" si="12"/>
        <v>0</v>
      </c>
      <c r="M168" s="250">
        <f t="shared" ref="M168:N168" si="19">SUM(M169,M174)</f>
        <v>0</v>
      </c>
      <c r="N168" s="251">
        <f t="shared" si="19"/>
        <v>0</v>
      </c>
      <c r="O168" s="252">
        <f t="shared" si="13"/>
        <v>0</v>
      </c>
      <c r="P168" s="253"/>
      <c r="R168" s="53"/>
      <c r="S168" s="53"/>
      <c r="T168" s="53"/>
    </row>
    <row r="169" spans="1:20" x14ac:dyDescent="0.25">
      <c r="A169" s="656">
        <v>2510</v>
      </c>
      <c r="B169" s="116" t="s">
        <v>185</v>
      </c>
      <c r="C169" s="117">
        <f t="shared" si="9"/>
        <v>72</v>
      </c>
      <c r="D169" s="297">
        <f>SUM(D170:D173)</f>
        <v>72</v>
      </c>
      <c r="E169" s="298">
        <f>SUM(E170:E173)</f>
        <v>0</v>
      </c>
      <c r="F169" s="296">
        <f t="shared" si="10"/>
        <v>72</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c r="R169" s="53"/>
      <c r="S169" s="53"/>
      <c r="T169" s="53"/>
    </row>
    <row r="170" spans="1:20" ht="24" hidden="1" x14ac:dyDescent="0.25">
      <c r="A170" s="76">
        <v>2512</v>
      </c>
      <c r="B170" s="127" t="s">
        <v>186</v>
      </c>
      <c r="C170" s="128">
        <f t="shared" si="9"/>
        <v>0</v>
      </c>
      <c r="D170" s="134"/>
      <c r="E170" s="285"/>
      <c r="F170" s="286">
        <f t="shared" si="10"/>
        <v>0</v>
      </c>
      <c r="G170" s="134"/>
      <c r="H170" s="135"/>
      <c r="I170" s="136">
        <f t="shared" si="11"/>
        <v>0</v>
      </c>
      <c r="J170" s="134"/>
      <c r="K170" s="135"/>
      <c r="L170" s="136">
        <f t="shared" si="12"/>
        <v>0</v>
      </c>
      <c r="M170" s="284"/>
      <c r="N170" s="285"/>
      <c r="O170" s="136">
        <f t="shared" si="13"/>
        <v>0</v>
      </c>
      <c r="P170" s="85"/>
      <c r="R170" s="53"/>
      <c r="S170" s="53"/>
      <c r="T170" s="53"/>
    </row>
    <row r="171" spans="1:20" ht="36" hidden="1" x14ac:dyDescent="0.25">
      <c r="A171" s="76">
        <v>2513</v>
      </c>
      <c r="B171" s="127" t="s">
        <v>187</v>
      </c>
      <c r="C171" s="128">
        <f t="shared" si="9"/>
        <v>0</v>
      </c>
      <c r="D171" s="134"/>
      <c r="E171" s="285"/>
      <c r="F171" s="286">
        <f t="shared" si="10"/>
        <v>0</v>
      </c>
      <c r="G171" s="134"/>
      <c r="H171" s="135"/>
      <c r="I171" s="136">
        <f t="shared" si="11"/>
        <v>0</v>
      </c>
      <c r="J171" s="134"/>
      <c r="K171" s="135"/>
      <c r="L171" s="136">
        <f t="shared" si="12"/>
        <v>0</v>
      </c>
      <c r="M171" s="284"/>
      <c r="N171" s="285"/>
      <c r="O171" s="136">
        <f t="shared" si="13"/>
        <v>0</v>
      </c>
      <c r="P171" s="85"/>
      <c r="R171" s="53"/>
      <c r="S171" s="53"/>
      <c r="T171" s="53"/>
    </row>
    <row r="172" spans="1:20" ht="24" x14ac:dyDescent="0.25">
      <c r="A172" s="76">
        <v>2515</v>
      </c>
      <c r="B172" s="127" t="s">
        <v>188</v>
      </c>
      <c r="C172" s="128">
        <f t="shared" si="9"/>
        <v>72</v>
      </c>
      <c r="D172" s="134">
        <v>72</v>
      </c>
      <c r="E172" s="283"/>
      <c r="F172" s="279">
        <f t="shared" si="10"/>
        <v>72</v>
      </c>
      <c r="G172" s="134"/>
      <c r="H172" s="135"/>
      <c r="I172" s="136">
        <f t="shared" si="11"/>
        <v>0</v>
      </c>
      <c r="J172" s="134"/>
      <c r="K172" s="135"/>
      <c r="L172" s="136">
        <f t="shared" si="12"/>
        <v>0</v>
      </c>
      <c r="M172" s="284"/>
      <c r="N172" s="285"/>
      <c r="O172" s="136">
        <f t="shared" si="13"/>
        <v>0</v>
      </c>
      <c r="P172" s="85"/>
      <c r="R172" s="53"/>
      <c r="S172" s="53"/>
      <c r="T172" s="53"/>
    </row>
    <row r="173" spans="1:20" ht="24" hidden="1" x14ac:dyDescent="0.25">
      <c r="A173" s="76">
        <v>2519</v>
      </c>
      <c r="B173" s="127" t="s">
        <v>189</v>
      </c>
      <c r="C173" s="128">
        <f t="shared" si="9"/>
        <v>0</v>
      </c>
      <c r="D173" s="134"/>
      <c r="E173" s="285"/>
      <c r="F173" s="286">
        <f t="shared" si="10"/>
        <v>0</v>
      </c>
      <c r="G173" s="134"/>
      <c r="H173" s="135"/>
      <c r="I173" s="136">
        <f t="shared" si="11"/>
        <v>0</v>
      </c>
      <c r="J173" s="134"/>
      <c r="K173" s="135"/>
      <c r="L173" s="136">
        <f t="shared" si="12"/>
        <v>0</v>
      </c>
      <c r="M173" s="284"/>
      <c r="N173" s="285"/>
      <c r="O173" s="136">
        <f t="shared" si="13"/>
        <v>0</v>
      </c>
      <c r="P173" s="85"/>
      <c r="R173" s="53"/>
      <c r="S173" s="53"/>
      <c r="T173" s="53"/>
    </row>
    <row r="174" spans="1:20" ht="24" hidden="1" x14ac:dyDescent="0.25">
      <c r="A174" s="276">
        <v>2520</v>
      </c>
      <c r="B174" s="127" t="s">
        <v>190</v>
      </c>
      <c r="C174" s="128">
        <f t="shared" si="9"/>
        <v>0</v>
      </c>
      <c r="D174" s="134"/>
      <c r="E174" s="285"/>
      <c r="F174" s="286">
        <f t="shared" si="10"/>
        <v>0</v>
      </c>
      <c r="G174" s="134"/>
      <c r="H174" s="135"/>
      <c r="I174" s="136">
        <f t="shared" si="11"/>
        <v>0</v>
      </c>
      <c r="J174" s="134"/>
      <c r="K174" s="135"/>
      <c r="L174" s="136">
        <f t="shared" si="12"/>
        <v>0</v>
      </c>
      <c r="M174" s="284"/>
      <c r="N174" s="285"/>
      <c r="O174" s="136">
        <f t="shared" si="13"/>
        <v>0</v>
      </c>
      <c r="P174" s="85"/>
      <c r="R174" s="53"/>
      <c r="S174" s="53"/>
      <c r="T174" s="53"/>
    </row>
    <row r="175" spans="1:20" s="319" customFormat="1" ht="48" hidden="1" x14ac:dyDescent="0.25">
      <c r="A175" s="31">
        <v>2800</v>
      </c>
      <c r="B175" s="116" t="s">
        <v>191</v>
      </c>
      <c r="C175" s="117">
        <f t="shared" si="9"/>
        <v>0</v>
      </c>
      <c r="D175" s="68"/>
      <c r="E175" s="69"/>
      <c r="F175" s="70">
        <f t="shared" si="10"/>
        <v>0</v>
      </c>
      <c r="G175" s="68"/>
      <c r="H175" s="71"/>
      <c r="I175" s="72">
        <f t="shared" si="11"/>
        <v>0</v>
      </c>
      <c r="J175" s="68"/>
      <c r="K175" s="71"/>
      <c r="L175" s="72">
        <f t="shared" si="12"/>
        <v>0</v>
      </c>
      <c r="M175" s="73"/>
      <c r="N175" s="69"/>
      <c r="O175" s="72">
        <f t="shared" si="13"/>
        <v>0</v>
      </c>
      <c r="P175" s="74"/>
      <c r="R175" s="53"/>
      <c r="S175" s="53"/>
      <c r="T175" s="53"/>
    </row>
    <row r="176" spans="1:20" hidden="1" x14ac:dyDescent="0.25">
      <c r="A176" s="237">
        <v>3000</v>
      </c>
      <c r="B176" s="237" t="s">
        <v>192</v>
      </c>
      <c r="C176" s="238">
        <f t="shared" si="9"/>
        <v>0</v>
      </c>
      <c r="D176" s="239">
        <f>SUM(D177,D187)</f>
        <v>0</v>
      </c>
      <c r="E176" s="245">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c r="S176" s="53"/>
      <c r="T176" s="53"/>
    </row>
    <row r="177" spans="1:20" ht="24" hidden="1" x14ac:dyDescent="0.25">
      <c r="A177" s="99">
        <v>3200</v>
      </c>
      <c r="B177" s="321" t="s">
        <v>193</v>
      </c>
      <c r="C177" s="100">
        <f t="shared" si="9"/>
        <v>0</v>
      </c>
      <c r="D177" s="112">
        <f>SUM(D178,D182)</f>
        <v>0</v>
      </c>
      <c r="E177" s="293">
        <f>SUM(E178,E182)</f>
        <v>0</v>
      </c>
      <c r="F177" s="313">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c r="R177" s="53"/>
      <c r="S177" s="53"/>
      <c r="T177" s="53"/>
    </row>
    <row r="178" spans="1:20" ht="36" hidden="1" x14ac:dyDescent="0.25">
      <c r="A178" s="656">
        <v>3260</v>
      </c>
      <c r="B178" s="116" t="s">
        <v>194</v>
      </c>
      <c r="C178" s="117">
        <f t="shared" si="9"/>
        <v>0</v>
      </c>
      <c r="D178" s="297">
        <f>SUM(D179:D181)</f>
        <v>0</v>
      </c>
      <c r="E178" s="301">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c r="S178" s="53"/>
      <c r="T178" s="53"/>
    </row>
    <row r="179" spans="1:20" ht="24" hidden="1" x14ac:dyDescent="0.25">
      <c r="A179" s="76">
        <v>3261</v>
      </c>
      <c r="B179" s="127" t="s">
        <v>195</v>
      </c>
      <c r="C179" s="128">
        <f t="shared" si="9"/>
        <v>0</v>
      </c>
      <c r="D179" s="134"/>
      <c r="E179" s="285"/>
      <c r="F179" s="286">
        <f t="shared" si="10"/>
        <v>0</v>
      </c>
      <c r="G179" s="134"/>
      <c r="H179" s="135"/>
      <c r="I179" s="136">
        <f t="shared" si="11"/>
        <v>0</v>
      </c>
      <c r="J179" s="134"/>
      <c r="K179" s="135"/>
      <c r="L179" s="136">
        <f t="shared" si="12"/>
        <v>0</v>
      </c>
      <c r="M179" s="284"/>
      <c r="N179" s="285"/>
      <c r="O179" s="136">
        <f t="shared" si="13"/>
        <v>0</v>
      </c>
      <c r="P179" s="85"/>
      <c r="R179" s="53"/>
      <c r="S179" s="53"/>
      <c r="T179" s="53"/>
    </row>
    <row r="180" spans="1:20" ht="36" hidden="1" x14ac:dyDescent="0.25">
      <c r="A180" s="76">
        <v>3262</v>
      </c>
      <c r="B180" s="127" t="s">
        <v>196</v>
      </c>
      <c r="C180" s="128">
        <f t="shared" si="9"/>
        <v>0</v>
      </c>
      <c r="D180" s="134"/>
      <c r="E180" s="285"/>
      <c r="F180" s="286">
        <f t="shared" si="10"/>
        <v>0</v>
      </c>
      <c r="G180" s="134"/>
      <c r="H180" s="135"/>
      <c r="I180" s="136">
        <f t="shared" si="11"/>
        <v>0</v>
      </c>
      <c r="J180" s="134"/>
      <c r="K180" s="135"/>
      <c r="L180" s="136">
        <f t="shared" si="12"/>
        <v>0</v>
      </c>
      <c r="M180" s="284"/>
      <c r="N180" s="285"/>
      <c r="O180" s="136">
        <f t="shared" si="13"/>
        <v>0</v>
      </c>
      <c r="P180" s="85"/>
      <c r="R180" s="53"/>
      <c r="S180" s="53"/>
      <c r="T180" s="53"/>
    </row>
    <row r="181" spans="1:20" ht="24" hidden="1" x14ac:dyDescent="0.25">
      <c r="A181" s="76">
        <v>3263</v>
      </c>
      <c r="B181" s="127" t="s">
        <v>197</v>
      </c>
      <c r="C181" s="128">
        <f t="shared" si="9"/>
        <v>0</v>
      </c>
      <c r="D181" s="134"/>
      <c r="E181" s="285"/>
      <c r="F181" s="286">
        <f t="shared" si="10"/>
        <v>0</v>
      </c>
      <c r="G181" s="134"/>
      <c r="H181" s="135"/>
      <c r="I181" s="136">
        <f t="shared" si="11"/>
        <v>0</v>
      </c>
      <c r="J181" s="134"/>
      <c r="K181" s="135"/>
      <c r="L181" s="136">
        <f t="shared" si="12"/>
        <v>0</v>
      </c>
      <c r="M181" s="284"/>
      <c r="N181" s="285"/>
      <c r="O181" s="136">
        <f t="shared" si="13"/>
        <v>0</v>
      </c>
      <c r="P181" s="85"/>
      <c r="R181" s="53"/>
      <c r="S181" s="53"/>
      <c r="T181" s="53"/>
    </row>
    <row r="182" spans="1:20" ht="84" hidden="1" x14ac:dyDescent="0.25">
      <c r="A182" s="656">
        <v>3290</v>
      </c>
      <c r="B182" s="116" t="s">
        <v>198</v>
      </c>
      <c r="C182" s="128">
        <f t="shared" ref="C182:C258" si="26">F182+I182+L182+O182</f>
        <v>0</v>
      </c>
      <c r="D182" s="297">
        <f>SUM(D183:D186)</f>
        <v>0</v>
      </c>
      <c r="E182" s="301">
        <f>SUM(E183:E186)</f>
        <v>0</v>
      </c>
      <c r="F182" s="263">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c r="R182" s="53"/>
      <c r="S182" s="53"/>
      <c r="T182" s="53"/>
    </row>
    <row r="183" spans="1:20" ht="72" hidden="1" x14ac:dyDescent="0.25">
      <c r="A183" s="76">
        <v>3291</v>
      </c>
      <c r="B183" s="127" t="s">
        <v>199</v>
      </c>
      <c r="C183" s="128">
        <f t="shared" si="26"/>
        <v>0</v>
      </c>
      <c r="D183" s="134"/>
      <c r="E183" s="285"/>
      <c r="F183" s="286">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c r="R183" s="53"/>
      <c r="S183" s="53"/>
      <c r="T183" s="53"/>
    </row>
    <row r="184" spans="1:20" ht="72" hidden="1" x14ac:dyDescent="0.25">
      <c r="A184" s="76">
        <v>3292</v>
      </c>
      <c r="B184" s="127" t="s">
        <v>200</v>
      </c>
      <c r="C184" s="128">
        <f t="shared" si="26"/>
        <v>0</v>
      </c>
      <c r="D184" s="134"/>
      <c r="E184" s="285"/>
      <c r="F184" s="286">
        <f t="shared" si="30"/>
        <v>0</v>
      </c>
      <c r="G184" s="134"/>
      <c r="H184" s="135"/>
      <c r="I184" s="136">
        <f t="shared" si="31"/>
        <v>0</v>
      </c>
      <c r="J184" s="134"/>
      <c r="K184" s="135"/>
      <c r="L184" s="136">
        <f t="shared" si="32"/>
        <v>0</v>
      </c>
      <c r="M184" s="284"/>
      <c r="N184" s="285"/>
      <c r="O184" s="136">
        <f t="shared" si="33"/>
        <v>0</v>
      </c>
      <c r="P184" s="85"/>
      <c r="R184" s="53"/>
      <c r="S184" s="53"/>
      <c r="T184" s="53"/>
    </row>
    <row r="185" spans="1:20" ht="72" hidden="1" x14ac:dyDescent="0.25">
      <c r="A185" s="76">
        <v>3293</v>
      </c>
      <c r="B185" s="127" t="s">
        <v>201</v>
      </c>
      <c r="C185" s="128">
        <f t="shared" si="26"/>
        <v>0</v>
      </c>
      <c r="D185" s="134"/>
      <c r="E185" s="285"/>
      <c r="F185" s="286">
        <f t="shared" si="30"/>
        <v>0</v>
      </c>
      <c r="G185" s="134"/>
      <c r="H185" s="135"/>
      <c r="I185" s="136">
        <f t="shared" si="31"/>
        <v>0</v>
      </c>
      <c r="J185" s="134"/>
      <c r="K185" s="135"/>
      <c r="L185" s="136">
        <f t="shared" si="32"/>
        <v>0</v>
      </c>
      <c r="M185" s="284"/>
      <c r="N185" s="285"/>
      <c r="O185" s="136">
        <f t="shared" si="33"/>
        <v>0</v>
      </c>
      <c r="P185" s="85"/>
      <c r="R185" s="53"/>
      <c r="S185" s="53"/>
      <c r="T185" s="53"/>
    </row>
    <row r="186" spans="1:20" ht="60" hidden="1" x14ac:dyDescent="0.25">
      <c r="A186" s="326">
        <v>3294</v>
      </c>
      <c r="B186" s="127" t="s">
        <v>202</v>
      </c>
      <c r="C186" s="327">
        <f t="shared" si="26"/>
        <v>0</v>
      </c>
      <c r="D186" s="328"/>
      <c r="E186" s="329"/>
      <c r="F186" s="330">
        <f t="shared" si="30"/>
        <v>0</v>
      </c>
      <c r="G186" s="328"/>
      <c r="H186" s="331"/>
      <c r="I186" s="324">
        <f t="shared" si="31"/>
        <v>0</v>
      </c>
      <c r="J186" s="328"/>
      <c r="K186" s="331"/>
      <c r="L186" s="324">
        <f t="shared" si="32"/>
        <v>0</v>
      </c>
      <c r="M186" s="332"/>
      <c r="N186" s="329"/>
      <c r="O186" s="324">
        <f t="shared" si="33"/>
        <v>0</v>
      </c>
      <c r="P186" s="325"/>
      <c r="R186" s="53"/>
      <c r="S186" s="53"/>
      <c r="T186" s="53"/>
    </row>
    <row r="187" spans="1:20" ht="48" hidden="1" x14ac:dyDescent="0.25">
      <c r="A187" s="160">
        <v>3300</v>
      </c>
      <c r="B187" s="321" t="s">
        <v>203</v>
      </c>
      <c r="C187" s="333">
        <f t="shared" si="26"/>
        <v>0</v>
      </c>
      <c r="D187" s="334">
        <f>SUM(D188:D189)</f>
        <v>0</v>
      </c>
      <c r="E187" s="251">
        <f>SUM(E188:E189)</f>
        <v>0</v>
      </c>
      <c r="F187" s="335">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c r="R187" s="53"/>
      <c r="S187" s="53"/>
      <c r="T187" s="53"/>
    </row>
    <row r="188" spans="1:20" ht="48" hidden="1" x14ac:dyDescent="0.25">
      <c r="A188" s="178">
        <v>3310</v>
      </c>
      <c r="B188" s="179" t="s">
        <v>204</v>
      </c>
      <c r="C188" s="191">
        <f t="shared" si="26"/>
        <v>0</v>
      </c>
      <c r="D188" s="287"/>
      <c r="E188" s="291"/>
      <c r="F188" s="310">
        <f t="shared" si="30"/>
        <v>0</v>
      </c>
      <c r="G188" s="287"/>
      <c r="H188" s="289"/>
      <c r="I188" s="259">
        <f t="shared" si="31"/>
        <v>0</v>
      </c>
      <c r="J188" s="287"/>
      <c r="K188" s="289"/>
      <c r="L188" s="259">
        <f t="shared" si="32"/>
        <v>0</v>
      </c>
      <c r="M188" s="290"/>
      <c r="N188" s="291"/>
      <c r="O188" s="259">
        <f t="shared" si="33"/>
        <v>0</v>
      </c>
      <c r="P188" s="189"/>
      <c r="R188" s="53"/>
      <c r="S188" s="53"/>
      <c r="T188" s="53"/>
    </row>
    <row r="189" spans="1:20" ht="60" hidden="1" x14ac:dyDescent="0.25">
      <c r="A189" s="66">
        <v>3320</v>
      </c>
      <c r="B189" s="116" t="s">
        <v>205</v>
      </c>
      <c r="C189" s="117">
        <f t="shared" si="26"/>
        <v>0</v>
      </c>
      <c r="D189" s="123"/>
      <c r="E189" s="262"/>
      <c r="F189" s="263">
        <f t="shared" si="30"/>
        <v>0</v>
      </c>
      <c r="G189" s="123"/>
      <c r="H189" s="124"/>
      <c r="I189" s="125">
        <f t="shared" si="31"/>
        <v>0</v>
      </c>
      <c r="J189" s="123"/>
      <c r="K189" s="124"/>
      <c r="L189" s="125">
        <f t="shared" si="32"/>
        <v>0</v>
      </c>
      <c r="M189" s="264"/>
      <c r="N189" s="262"/>
      <c r="O189" s="125">
        <f t="shared" si="33"/>
        <v>0</v>
      </c>
      <c r="P189" s="74"/>
      <c r="R189" s="53"/>
      <c r="S189" s="53"/>
      <c r="T189" s="53"/>
    </row>
    <row r="190" spans="1:20" hidden="1" x14ac:dyDescent="0.25">
      <c r="A190" s="337">
        <v>4000</v>
      </c>
      <c r="B190" s="237" t="s">
        <v>206</v>
      </c>
      <c r="C190" s="238">
        <f t="shared" si="26"/>
        <v>0</v>
      </c>
      <c r="D190" s="239">
        <f>SUM(D191,D194)</f>
        <v>0</v>
      </c>
      <c r="E190" s="245">
        <f>SUM(E191,E194)</f>
        <v>0</v>
      </c>
      <c r="F190" s="320">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c r="R190" s="53"/>
      <c r="S190" s="53"/>
      <c r="T190" s="53"/>
    </row>
    <row r="191" spans="1:20" ht="24" hidden="1" x14ac:dyDescent="0.25">
      <c r="A191" s="338">
        <v>4200</v>
      </c>
      <c r="B191" s="247" t="s">
        <v>207</v>
      </c>
      <c r="C191" s="100">
        <f t="shared" si="26"/>
        <v>0</v>
      </c>
      <c r="D191" s="112">
        <f>SUM(D192,D193)</f>
        <v>0</v>
      </c>
      <c r="E191" s="293">
        <f>SUM(E192,E193)</f>
        <v>0</v>
      </c>
      <c r="F191" s="313">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c r="R191" s="53"/>
      <c r="S191" s="53"/>
      <c r="T191" s="53"/>
    </row>
    <row r="192" spans="1:20" ht="36" hidden="1" x14ac:dyDescent="0.25">
      <c r="A192" s="656">
        <v>4240</v>
      </c>
      <c r="B192" s="116" t="s">
        <v>208</v>
      </c>
      <c r="C192" s="117">
        <f t="shared" si="26"/>
        <v>0</v>
      </c>
      <c r="D192" s="123"/>
      <c r="E192" s="262"/>
      <c r="F192" s="263">
        <f t="shared" si="30"/>
        <v>0</v>
      </c>
      <c r="G192" s="123"/>
      <c r="H192" s="124"/>
      <c r="I192" s="125">
        <f t="shared" si="31"/>
        <v>0</v>
      </c>
      <c r="J192" s="123"/>
      <c r="K192" s="124"/>
      <c r="L192" s="125">
        <f t="shared" si="32"/>
        <v>0</v>
      </c>
      <c r="M192" s="264"/>
      <c r="N192" s="262"/>
      <c r="O192" s="125">
        <f t="shared" si="33"/>
        <v>0</v>
      </c>
      <c r="P192" s="74"/>
      <c r="R192" s="53"/>
      <c r="S192" s="53"/>
      <c r="T192" s="53"/>
    </row>
    <row r="193" spans="1:20" ht="24" hidden="1" x14ac:dyDescent="0.25">
      <c r="A193" s="276">
        <v>4250</v>
      </c>
      <c r="B193" s="127" t="s">
        <v>209</v>
      </c>
      <c r="C193" s="128">
        <f t="shared" si="26"/>
        <v>0</v>
      </c>
      <c r="D193" s="134"/>
      <c r="E193" s="285"/>
      <c r="F193" s="286">
        <f t="shared" si="30"/>
        <v>0</v>
      </c>
      <c r="G193" s="134"/>
      <c r="H193" s="135"/>
      <c r="I193" s="136">
        <f t="shared" si="31"/>
        <v>0</v>
      </c>
      <c r="J193" s="134"/>
      <c r="K193" s="135"/>
      <c r="L193" s="136">
        <f t="shared" si="32"/>
        <v>0</v>
      </c>
      <c r="M193" s="284"/>
      <c r="N193" s="285"/>
      <c r="O193" s="136">
        <f t="shared" si="33"/>
        <v>0</v>
      </c>
      <c r="P193" s="85"/>
      <c r="R193" s="53"/>
      <c r="S193" s="53"/>
      <c r="T193" s="53"/>
    </row>
    <row r="194" spans="1:20" hidden="1" x14ac:dyDescent="0.25">
      <c r="A194" s="99">
        <v>4300</v>
      </c>
      <c r="B194" s="247" t="s">
        <v>210</v>
      </c>
      <c r="C194" s="100">
        <f t="shared" si="26"/>
        <v>0</v>
      </c>
      <c r="D194" s="112">
        <f>SUM(D195)</f>
        <v>0</v>
      </c>
      <c r="E194" s="293">
        <f>SUM(E195)</f>
        <v>0</v>
      </c>
      <c r="F194" s="313">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c r="R194" s="53"/>
      <c r="S194" s="53"/>
      <c r="T194" s="53"/>
    </row>
    <row r="195" spans="1:20" ht="24" hidden="1" x14ac:dyDescent="0.25">
      <c r="A195" s="656">
        <v>4310</v>
      </c>
      <c r="B195" s="116" t="s">
        <v>211</v>
      </c>
      <c r="C195" s="117">
        <f t="shared" si="26"/>
        <v>0</v>
      </c>
      <c r="D195" s="297">
        <f>SUM(D196:D196)</f>
        <v>0</v>
      </c>
      <c r="E195" s="301">
        <f>SUM(E196:E196)</f>
        <v>0</v>
      </c>
      <c r="F195" s="263">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c r="R195" s="53"/>
      <c r="S195" s="53"/>
      <c r="T195" s="53"/>
    </row>
    <row r="196" spans="1:20" ht="36" hidden="1" x14ac:dyDescent="0.25">
      <c r="A196" s="76">
        <v>4311</v>
      </c>
      <c r="B196" s="127" t="s">
        <v>212</v>
      </c>
      <c r="C196" s="128">
        <f t="shared" si="26"/>
        <v>0</v>
      </c>
      <c r="D196" s="134"/>
      <c r="E196" s="285"/>
      <c r="F196" s="286">
        <f t="shared" si="30"/>
        <v>0</v>
      </c>
      <c r="G196" s="134"/>
      <c r="H196" s="135"/>
      <c r="I196" s="136">
        <f t="shared" si="31"/>
        <v>0</v>
      </c>
      <c r="J196" s="134"/>
      <c r="K196" s="135"/>
      <c r="L196" s="136">
        <f t="shared" si="32"/>
        <v>0</v>
      </c>
      <c r="M196" s="284"/>
      <c r="N196" s="285"/>
      <c r="O196" s="136">
        <f t="shared" si="33"/>
        <v>0</v>
      </c>
      <c r="P196" s="85"/>
      <c r="R196" s="53"/>
      <c r="S196" s="53"/>
      <c r="T196" s="53"/>
    </row>
    <row r="197" spans="1:20" s="41" customFormat="1" ht="24" x14ac:dyDescent="0.25">
      <c r="A197" s="339"/>
      <c r="B197" s="31" t="s">
        <v>213</v>
      </c>
      <c r="C197" s="229">
        <f t="shared" si="26"/>
        <v>1251</v>
      </c>
      <c r="D197" s="230">
        <f>SUM(D198,D233,D271)</f>
        <v>1064</v>
      </c>
      <c r="E197" s="231">
        <f>SUM(E198,E233,E271)</f>
        <v>0</v>
      </c>
      <c r="F197" s="232">
        <f t="shared" si="30"/>
        <v>1064</v>
      </c>
      <c r="G197" s="230">
        <f>SUM(G198,G233,G271)</f>
        <v>150</v>
      </c>
      <c r="H197" s="233">
        <f>SUM(H198,H233,H271)</f>
        <v>0</v>
      </c>
      <c r="I197" s="234">
        <f t="shared" si="31"/>
        <v>150</v>
      </c>
      <c r="J197" s="230">
        <f>SUM(J198,J233,J271)</f>
        <v>37</v>
      </c>
      <c r="K197" s="233">
        <f>SUM(K198,K233,K271)</f>
        <v>0</v>
      </c>
      <c r="L197" s="234">
        <f t="shared" si="32"/>
        <v>37</v>
      </c>
      <c r="M197" s="340">
        <f>SUM(M198,M233,M271)</f>
        <v>0</v>
      </c>
      <c r="N197" s="341">
        <f>SUM(N198,N233,N271)</f>
        <v>0</v>
      </c>
      <c r="O197" s="342">
        <f t="shared" si="33"/>
        <v>0</v>
      </c>
      <c r="P197" s="343"/>
      <c r="R197" s="53"/>
      <c r="S197" s="53"/>
      <c r="T197" s="53"/>
    </row>
    <row r="198" spans="1:20" x14ac:dyDescent="0.25">
      <c r="A198" s="237">
        <v>5000</v>
      </c>
      <c r="B198" s="237" t="s">
        <v>214</v>
      </c>
      <c r="C198" s="238">
        <f>F198+I198+L198+O198</f>
        <v>1214</v>
      </c>
      <c r="D198" s="239">
        <f>D199+D207</f>
        <v>1064</v>
      </c>
      <c r="E198" s="240">
        <f>E199+E207</f>
        <v>0</v>
      </c>
      <c r="F198" s="241">
        <f t="shared" si="30"/>
        <v>1064</v>
      </c>
      <c r="G198" s="239">
        <f>G199+G207</f>
        <v>150</v>
      </c>
      <c r="H198" s="242">
        <f>H199+H207</f>
        <v>0</v>
      </c>
      <c r="I198" s="243">
        <f t="shared" si="31"/>
        <v>150</v>
      </c>
      <c r="J198" s="239">
        <f>J199+J207</f>
        <v>0</v>
      </c>
      <c r="K198" s="242">
        <f>K199+K207</f>
        <v>0</v>
      </c>
      <c r="L198" s="243">
        <f t="shared" si="32"/>
        <v>0</v>
      </c>
      <c r="M198" s="244">
        <f>M199+M207</f>
        <v>0</v>
      </c>
      <c r="N198" s="245">
        <f>N199+N207</f>
        <v>0</v>
      </c>
      <c r="O198" s="243">
        <f t="shared" si="33"/>
        <v>0</v>
      </c>
      <c r="P198" s="246"/>
      <c r="R198" s="53"/>
      <c r="S198" s="53"/>
      <c r="T198" s="53"/>
    </row>
    <row r="199" spans="1:20" hidden="1" x14ac:dyDescent="0.25">
      <c r="A199" s="99">
        <v>5100</v>
      </c>
      <c r="B199" s="247" t="s">
        <v>215</v>
      </c>
      <c r="C199" s="100">
        <f t="shared" si="26"/>
        <v>0</v>
      </c>
      <c r="D199" s="112">
        <f>D200+D201+D204+D205+D206</f>
        <v>0</v>
      </c>
      <c r="E199" s="293">
        <f>E200+E201+E204+E205+E206</f>
        <v>0</v>
      </c>
      <c r="F199" s="313">
        <f t="shared" si="30"/>
        <v>0</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c r="R199" s="53"/>
      <c r="S199" s="53"/>
      <c r="T199" s="53"/>
    </row>
    <row r="200" spans="1:20" hidden="1" x14ac:dyDescent="0.25">
      <c r="A200" s="656">
        <v>5110</v>
      </c>
      <c r="B200" s="116" t="s">
        <v>216</v>
      </c>
      <c r="C200" s="117">
        <f t="shared" si="26"/>
        <v>0</v>
      </c>
      <c r="D200" s="123"/>
      <c r="E200" s="262"/>
      <c r="F200" s="263">
        <f t="shared" si="30"/>
        <v>0</v>
      </c>
      <c r="G200" s="123"/>
      <c r="H200" s="124"/>
      <c r="I200" s="125">
        <f t="shared" si="31"/>
        <v>0</v>
      </c>
      <c r="J200" s="123"/>
      <c r="K200" s="124"/>
      <c r="L200" s="125">
        <f t="shared" si="32"/>
        <v>0</v>
      </c>
      <c r="M200" s="264"/>
      <c r="N200" s="262"/>
      <c r="O200" s="125">
        <f t="shared" si="33"/>
        <v>0</v>
      </c>
      <c r="P200" s="74"/>
      <c r="R200" s="53"/>
      <c r="S200" s="53"/>
      <c r="T200" s="53"/>
    </row>
    <row r="201" spans="1:20" ht="24" hidden="1" x14ac:dyDescent="0.25">
      <c r="A201" s="276">
        <v>5120</v>
      </c>
      <c r="B201" s="127" t="s">
        <v>217</v>
      </c>
      <c r="C201" s="128">
        <f t="shared" si="26"/>
        <v>0</v>
      </c>
      <c r="D201" s="277">
        <f>D202+D203</f>
        <v>0</v>
      </c>
      <c r="E201" s="282">
        <f>E202+E203</f>
        <v>0</v>
      </c>
      <c r="F201" s="286">
        <f t="shared" si="30"/>
        <v>0</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c r="R201" s="53"/>
      <c r="S201" s="53"/>
      <c r="T201" s="53"/>
    </row>
    <row r="202" spans="1:20" hidden="1" x14ac:dyDescent="0.25">
      <c r="A202" s="76">
        <v>5121</v>
      </c>
      <c r="B202" s="127" t="s">
        <v>218</v>
      </c>
      <c r="C202" s="128">
        <f t="shared" si="26"/>
        <v>0</v>
      </c>
      <c r="D202" s="134"/>
      <c r="E202" s="285"/>
      <c r="F202" s="286">
        <f t="shared" si="30"/>
        <v>0</v>
      </c>
      <c r="G202" s="134"/>
      <c r="H202" s="135"/>
      <c r="I202" s="136">
        <f t="shared" si="31"/>
        <v>0</v>
      </c>
      <c r="J202" s="134"/>
      <c r="K202" s="135"/>
      <c r="L202" s="136">
        <f t="shared" si="32"/>
        <v>0</v>
      </c>
      <c r="M202" s="284"/>
      <c r="N202" s="285"/>
      <c r="O202" s="136">
        <f t="shared" si="33"/>
        <v>0</v>
      </c>
      <c r="P202" s="85"/>
      <c r="R202" s="53"/>
      <c r="S202" s="53"/>
      <c r="T202" s="53"/>
    </row>
    <row r="203" spans="1:20" ht="24" hidden="1" x14ac:dyDescent="0.25">
      <c r="A203" s="76">
        <v>5129</v>
      </c>
      <c r="B203" s="127" t="s">
        <v>219</v>
      </c>
      <c r="C203" s="128">
        <f t="shared" si="26"/>
        <v>0</v>
      </c>
      <c r="D203" s="134"/>
      <c r="E203" s="285"/>
      <c r="F203" s="286">
        <f t="shared" si="30"/>
        <v>0</v>
      </c>
      <c r="G203" s="134"/>
      <c r="H203" s="135"/>
      <c r="I203" s="136">
        <f t="shared" si="31"/>
        <v>0</v>
      </c>
      <c r="J203" s="134"/>
      <c r="K203" s="135"/>
      <c r="L203" s="136">
        <f t="shared" si="32"/>
        <v>0</v>
      </c>
      <c r="M203" s="284"/>
      <c r="N203" s="285"/>
      <c r="O203" s="136">
        <f t="shared" si="33"/>
        <v>0</v>
      </c>
      <c r="P203" s="85"/>
      <c r="R203" s="53"/>
      <c r="S203" s="53"/>
      <c r="T203" s="53"/>
    </row>
    <row r="204" spans="1:20" hidden="1" x14ac:dyDescent="0.25">
      <c r="A204" s="276">
        <v>5130</v>
      </c>
      <c r="B204" s="127" t="s">
        <v>220</v>
      </c>
      <c r="C204" s="128">
        <f t="shared" si="26"/>
        <v>0</v>
      </c>
      <c r="D204" s="134"/>
      <c r="E204" s="285"/>
      <c r="F204" s="286">
        <f t="shared" si="30"/>
        <v>0</v>
      </c>
      <c r="G204" s="134"/>
      <c r="H204" s="135"/>
      <c r="I204" s="136">
        <f t="shared" si="31"/>
        <v>0</v>
      </c>
      <c r="J204" s="134"/>
      <c r="K204" s="135"/>
      <c r="L204" s="136">
        <f t="shared" si="32"/>
        <v>0</v>
      </c>
      <c r="M204" s="284"/>
      <c r="N204" s="285"/>
      <c r="O204" s="136">
        <f t="shared" si="33"/>
        <v>0</v>
      </c>
      <c r="P204" s="85"/>
      <c r="R204" s="53"/>
      <c r="S204" s="53"/>
      <c r="T204" s="53"/>
    </row>
    <row r="205" spans="1:20" hidden="1" x14ac:dyDescent="0.25">
      <c r="A205" s="276">
        <v>5140</v>
      </c>
      <c r="B205" s="127" t="s">
        <v>221</v>
      </c>
      <c r="C205" s="128">
        <f t="shared" si="26"/>
        <v>0</v>
      </c>
      <c r="D205" s="134"/>
      <c r="E205" s="285"/>
      <c r="F205" s="286">
        <f t="shared" si="30"/>
        <v>0</v>
      </c>
      <c r="G205" s="134"/>
      <c r="H205" s="135"/>
      <c r="I205" s="136">
        <f t="shared" si="31"/>
        <v>0</v>
      </c>
      <c r="J205" s="134"/>
      <c r="K205" s="135"/>
      <c r="L205" s="136">
        <f t="shared" si="32"/>
        <v>0</v>
      </c>
      <c r="M205" s="284"/>
      <c r="N205" s="285"/>
      <c r="O205" s="136">
        <f t="shared" si="33"/>
        <v>0</v>
      </c>
      <c r="P205" s="85"/>
      <c r="R205" s="53"/>
      <c r="S205" s="53"/>
      <c r="T205" s="53"/>
    </row>
    <row r="206" spans="1:20" ht="24" hidden="1" x14ac:dyDescent="0.25">
      <c r="A206" s="276">
        <v>5170</v>
      </c>
      <c r="B206" s="127" t="s">
        <v>222</v>
      </c>
      <c r="C206" s="128">
        <f t="shared" si="26"/>
        <v>0</v>
      </c>
      <c r="D206" s="134"/>
      <c r="E206" s="285"/>
      <c r="F206" s="286">
        <f t="shared" si="30"/>
        <v>0</v>
      </c>
      <c r="G206" s="134"/>
      <c r="H206" s="135"/>
      <c r="I206" s="136">
        <f t="shared" si="31"/>
        <v>0</v>
      </c>
      <c r="J206" s="134"/>
      <c r="K206" s="135"/>
      <c r="L206" s="136">
        <f t="shared" si="32"/>
        <v>0</v>
      </c>
      <c r="M206" s="284"/>
      <c r="N206" s="285"/>
      <c r="O206" s="136">
        <f t="shared" si="33"/>
        <v>0</v>
      </c>
      <c r="P206" s="85"/>
      <c r="R206" s="53"/>
      <c r="S206" s="53"/>
      <c r="T206" s="53"/>
    </row>
    <row r="207" spans="1:20" x14ac:dyDescent="0.25">
      <c r="A207" s="99">
        <v>5200</v>
      </c>
      <c r="B207" s="247" t="s">
        <v>223</v>
      </c>
      <c r="C207" s="100">
        <f t="shared" si="26"/>
        <v>1214</v>
      </c>
      <c r="D207" s="112">
        <f>D208+D218+D219+D228+D229+D230+D232</f>
        <v>1064</v>
      </c>
      <c r="E207" s="248">
        <f>E208+E218+E219+E228+E229+E230+E232</f>
        <v>0</v>
      </c>
      <c r="F207" s="249">
        <f t="shared" si="30"/>
        <v>1064</v>
      </c>
      <c r="G207" s="112">
        <f>G208+G218+G219+G228+G229+G230+G232</f>
        <v>150</v>
      </c>
      <c r="H207" s="113">
        <f>H208+H218+H219+H228+H229+H230+H232</f>
        <v>0</v>
      </c>
      <c r="I207" s="114">
        <f t="shared" si="31"/>
        <v>150</v>
      </c>
      <c r="J207" s="112">
        <f>J208+J218+J219+J228+J229+J230+J232</f>
        <v>0</v>
      </c>
      <c r="K207" s="113">
        <f>K208+K218+K219+K228+K229+K230+K232</f>
        <v>0</v>
      </c>
      <c r="L207" s="114">
        <f t="shared" si="32"/>
        <v>0</v>
      </c>
      <c r="M207" s="292">
        <f>M208+M218+M219+M228+M229+M230+M232</f>
        <v>0</v>
      </c>
      <c r="N207" s="293">
        <f>N208+N218+N219+N228+N229+N230+N232</f>
        <v>0</v>
      </c>
      <c r="O207" s="114">
        <f t="shared" si="33"/>
        <v>0</v>
      </c>
      <c r="P207" s="109"/>
      <c r="R207" s="53"/>
      <c r="S207" s="53"/>
      <c r="T207" s="53"/>
    </row>
    <row r="208" spans="1:20" hidden="1" x14ac:dyDescent="0.25">
      <c r="A208" s="254">
        <v>5210</v>
      </c>
      <c r="B208" s="179" t="s">
        <v>224</v>
      </c>
      <c r="C208" s="191">
        <f t="shared" si="26"/>
        <v>0</v>
      </c>
      <c r="D208" s="255">
        <f>SUM(D209:D217)</f>
        <v>0</v>
      </c>
      <c r="E208" s="261">
        <f>SUM(E209:E217)</f>
        <v>0</v>
      </c>
      <c r="F208" s="310">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c r="R208" s="53"/>
      <c r="S208" s="53"/>
      <c r="T208" s="53"/>
    </row>
    <row r="209" spans="1:20" hidden="1" x14ac:dyDescent="0.25">
      <c r="A209" s="66">
        <v>5211</v>
      </c>
      <c r="B209" s="116" t="s">
        <v>225</v>
      </c>
      <c r="C209" s="279">
        <f t="shared" si="26"/>
        <v>0</v>
      </c>
      <c r="D209" s="123"/>
      <c r="E209" s="262"/>
      <c r="F209" s="263">
        <f t="shared" si="30"/>
        <v>0</v>
      </c>
      <c r="G209" s="123"/>
      <c r="H209" s="124"/>
      <c r="I209" s="125">
        <f t="shared" si="31"/>
        <v>0</v>
      </c>
      <c r="J209" s="123"/>
      <c r="K209" s="124"/>
      <c r="L209" s="125">
        <f t="shared" si="32"/>
        <v>0</v>
      </c>
      <c r="M209" s="264"/>
      <c r="N209" s="262"/>
      <c r="O209" s="125">
        <f t="shared" si="33"/>
        <v>0</v>
      </c>
      <c r="P209" s="74"/>
      <c r="R209" s="53"/>
      <c r="S209" s="53"/>
      <c r="T209" s="53"/>
    </row>
    <row r="210" spans="1:20" hidden="1" x14ac:dyDescent="0.25">
      <c r="A210" s="76">
        <v>5212</v>
      </c>
      <c r="B210" s="127" t="s">
        <v>226</v>
      </c>
      <c r="C210" s="279">
        <f t="shared" si="26"/>
        <v>0</v>
      </c>
      <c r="D210" s="134"/>
      <c r="E210" s="285"/>
      <c r="F210" s="286">
        <f t="shared" si="30"/>
        <v>0</v>
      </c>
      <c r="G210" s="134"/>
      <c r="H210" s="135"/>
      <c r="I210" s="136">
        <f t="shared" si="31"/>
        <v>0</v>
      </c>
      <c r="J210" s="134"/>
      <c r="K210" s="135"/>
      <c r="L210" s="136">
        <f t="shared" si="32"/>
        <v>0</v>
      </c>
      <c r="M210" s="284"/>
      <c r="N210" s="285"/>
      <c r="O210" s="136">
        <f t="shared" si="33"/>
        <v>0</v>
      </c>
      <c r="P210" s="85"/>
      <c r="R210" s="53"/>
      <c r="S210" s="53"/>
      <c r="T210" s="53"/>
    </row>
    <row r="211" spans="1:20" hidden="1" x14ac:dyDescent="0.25">
      <c r="A211" s="76">
        <v>5213</v>
      </c>
      <c r="B211" s="127" t="s">
        <v>227</v>
      </c>
      <c r="C211" s="279">
        <f t="shared" si="26"/>
        <v>0</v>
      </c>
      <c r="D211" s="134"/>
      <c r="E211" s="285"/>
      <c r="F211" s="286">
        <f t="shared" si="30"/>
        <v>0</v>
      </c>
      <c r="G211" s="134"/>
      <c r="H211" s="135"/>
      <c r="I211" s="136">
        <f t="shared" si="31"/>
        <v>0</v>
      </c>
      <c r="J211" s="134"/>
      <c r="K211" s="135"/>
      <c r="L211" s="136">
        <f t="shared" si="32"/>
        <v>0</v>
      </c>
      <c r="M211" s="284"/>
      <c r="N211" s="285"/>
      <c r="O211" s="136">
        <f t="shared" si="33"/>
        <v>0</v>
      </c>
      <c r="P211" s="85"/>
      <c r="R211" s="53"/>
      <c r="S211" s="53"/>
      <c r="T211" s="53"/>
    </row>
    <row r="212" spans="1:20" hidden="1" x14ac:dyDescent="0.25">
      <c r="A212" s="76">
        <v>5214</v>
      </c>
      <c r="B212" s="127" t="s">
        <v>228</v>
      </c>
      <c r="C212" s="279">
        <f t="shared" si="26"/>
        <v>0</v>
      </c>
      <c r="D212" s="134"/>
      <c r="E212" s="285"/>
      <c r="F212" s="286">
        <f t="shared" si="30"/>
        <v>0</v>
      </c>
      <c r="G212" s="134"/>
      <c r="H212" s="135"/>
      <c r="I212" s="136">
        <f t="shared" si="31"/>
        <v>0</v>
      </c>
      <c r="J212" s="134"/>
      <c r="K212" s="135"/>
      <c r="L212" s="136">
        <f t="shared" si="32"/>
        <v>0</v>
      </c>
      <c r="M212" s="284"/>
      <c r="N212" s="285"/>
      <c r="O212" s="136">
        <f t="shared" si="33"/>
        <v>0</v>
      </c>
      <c r="P212" s="85"/>
      <c r="R212" s="53"/>
      <c r="S212" s="53"/>
      <c r="T212" s="53"/>
    </row>
    <row r="213" spans="1:20" hidden="1" x14ac:dyDescent="0.25">
      <c r="A213" s="76">
        <v>5215</v>
      </c>
      <c r="B213" s="127" t="s">
        <v>229</v>
      </c>
      <c r="C213" s="279">
        <f t="shared" si="26"/>
        <v>0</v>
      </c>
      <c r="D213" s="134"/>
      <c r="E213" s="285"/>
      <c r="F213" s="286">
        <f t="shared" si="30"/>
        <v>0</v>
      </c>
      <c r="G213" s="134"/>
      <c r="H213" s="135"/>
      <c r="I213" s="136">
        <f t="shared" si="31"/>
        <v>0</v>
      </c>
      <c r="J213" s="134"/>
      <c r="K213" s="135"/>
      <c r="L213" s="136">
        <f t="shared" si="32"/>
        <v>0</v>
      </c>
      <c r="M213" s="284"/>
      <c r="N213" s="285"/>
      <c r="O213" s="136">
        <f t="shared" si="33"/>
        <v>0</v>
      </c>
      <c r="P213" s="85"/>
      <c r="R213" s="53"/>
      <c r="S213" s="53"/>
      <c r="T213" s="53"/>
    </row>
    <row r="214" spans="1:20" ht="24" hidden="1" x14ac:dyDescent="0.25">
      <c r="A214" s="76">
        <v>5216</v>
      </c>
      <c r="B214" s="127" t="s">
        <v>230</v>
      </c>
      <c r="C214" s="279">
        <f t="shared" si="26"/>
        <v>0</v>
      </c>
      <c r="D214" s="134"/>
      <c r="E214" s="285"/>
      <c r="F214" s="286">
        <f t="shared" si="30"/>
        <v>0</v>
      </c>
      <c r="G214" s="134"/>
      <c r="H214" s="135"/>
      <c r="I214" s="136">
        <f t="shared" si="31"/>
        <v>0</v>
      </c>
      <c r="J214" s="134"/>
      <c r="K214" s="135"/>
      <c r="L214" s="136">
        <f t="shared" si="32"/>
        <v>0</v>
      </c>
      <c r="M214" s="284"/>
      <c r="N214" s="285"/>
      <c r="O214" s="136">
        <f t="shared" si="33"/>
        <v>0</v>
      </c>
      <c r="P214" s="85"/>
      <c r="R214" s="53"/>
      <c r="S214" s="53"/>
      <c r="T214" s="53"/>
    </row>
    <row r="215" spans="1:20" hidden="1" x14ac:dyDescent="0.25">
      <c r="A215" s="76">
        <v>5217</v>
      </c>
      <c r="B215" s="127" t="s">
        <v>231</v>
      </c>
      <c r="C215" s="279">
        <f t="shared" si="26"/>
        <v>0</v>
      </c>
      <c r="D215" s="134"/>
      <c r="E215" s="285"/>
      <c r="F215" s="286">
        <f t="shared" si="30"/>
        <v>0</v>
      </c>
      <c r="G215" s="134"/>
      <c r="H215" s="135"/>
      <c r="I215" s="136">
        <f t="shared" si="31"/>
        <v>0</v>
      </c>
      <c r="J215" s="134"/>
      <c r="K215" s="135"/>
      <c r="L215" s="136">
        <f t="shared" si="32"/>
        <v>0</v>
      </c>
      <c r="M215" s="284"/>
      <c r="N215" s="285"/>
      <c r="O215" s="136">
        <f t="shared" si="33"/>
        <v>0</v>
      </c>
      <c r="P215" s="85"/>
      <c r="R215" s="53"/>
      <c r="S215" s="53"/>
      <c r="T215" s="53"/>
    </row>
    <row r="216" spans="1:20" hidden="1" x14ac:dyDescent="0.25">
      <c r="A216" s="76">
        <v>5218</v>
      </c>
      <c r="B216" s="127" t="s">
        <v>232</v>
      </c>
      <c r="C216" s="279">
        <f t="shared" si="26"/>
        <v>0</v>
      </c>
      <c r="D216" s="134"/>
      <c r="E216" s="285"/>
      <c r="F216" s="286">
        <f t="shared" si="30"/>
        <v>0</v>
      </c>
      <c r="G216" s="134"/>
      <c r="H216" s="135"/>
      <c r="I216" s="136">
        <f t="shared" si="31"/>
        <v>0</v>
      </c>
      <c r="J216" s="134"/>
      <c r="K216" s="135"/>
      <c r="L216" s="136">
        <f t="shared" si="32"/>
        <v>0</v>
      </c>
      <c r="M216" s="284"/>
      <c r="N216" s="285"/>
      <c r="O216" s="136">
        <f t="shared" si="33"/>
        <v>0</v>
      </c>
      <c r="P216" s="85"/>
      <c r="R216" s="53"/>
      <c r="S216" s="53"/>
      <c r="T216" s="53"/>
    </row>
    <row r="217" spans="1:20" hidden="1" x14ac:dyDescent="0.25">
      <c r="A217" s="76">
        <v>5219</v>
      </c>
      <c r="B217" s="127" t="s">
        <v>233</v>
      </c>
      <c r="C217" s="279">
        <f t="shared" si="26"/>
        <v>0</v>
      </c>
      <c r="D217" s="134"/>
      <c r="E217" s="285"/>
      <c r="F217" s="286">
        <f t="shared" si="30"/>
        <v>0</v>
      </c>
      <c r="G217" s="134"/>
      <c r="H217" s="135"/>
      <c r="I217" s="136">
        <f t="shared" si="31"/>
        <v>0</v>
      </c>
      <c r="J217" s="134"/>
      <c r="K217" s="135"/>
      <c r="L217" s="136">
        <f t="shared" si="32"/>
        <v>0</v>
      </c>
      <c r="M217" s="284"/>
      <c r="N217" s="285"/>
      <c r="O217" s="136">
        <f t="shared" si="33"/>
        <v>0</v>
      </c>
      <c r="P217" s="85"/>
      <c r="R217" s="53"/>
      <c r="S217" s="53"/>
      <c r="T217" s="53"/>
    </row>
    <row r="218" spans="1:20" hidden="1" x14ac:dyDescent="0.25">
      <c r="A218" s="276">
        <v>5220</v>
      </c>
      <c r="B218" s="127" t="s">
        <v>234</v>
      </c>
      <c r="C218" s="279">
        <f t="shared" si="26"/>
        <v>0</v>
      </c>
      <c r="D218" s="134"/>
      <c r="E218" s="285"/>
      <c r="F218" s="286">
        <f t="shared" si="30"/>
        <v>0</v>
      </c>
      <c r="G218" s="134"/>
      <c r="H218" s="135"/>
      <c r="I218" s="136">
        <f t="shared" si="31"/>
        <v>0</v>
      </c>
      <c r="J218" s="134"/>
      <c r="K218" s="135"/>
      <c r="L218" s="136">
        <f t="shared" si="32"/>
        <v>0</v>
      </c>
      <c r="M218" s="284"/>
      <c r="N218" s="285"/>
      <c r="O218" s="136">
        <f t="shared" si="33"/>
        <v>0</v>
      </c>
      <c r="P218" s="85"/>
      <c r="R218" s="53"/>
      <c r="S218" s="53"/>
      <c r="T218" s="53"/>
    </row>
    <row r="219" spans="1:20" x14ac:dyDescent="0.25">
      <c r="A219" s="276">
        <v>5230</v>
      </c>
      <c r="B219" s="127" t="s">
        <v>235</v>
      </c>
      <c r="C219" s="279">
        <f t="shared" si="26"/>
        <v>300</v>
      </c>
      <c r="D219" s="277">
        <f>SUM(D220:D227)</f>
        <v>150</v>
      </c>
      <c r="E219" s="278">
        <f>SUM(E220:E227)</f>
        <v>0</v>
      </c>
      <c r="F219" s="279">
        <f t="shared" si="30"/>
        <v>150</v>
      </c>
      <c r="G219" s="277">
        <f>SUM(G220:G227)</f>
        <v>150</v>
      </c>
      <c r="H219" s="280">
        <f>SUM(H220:H227)</f>
        <v>0</v>
      </c>
      <c r="I219" s="136">
        <f t="shared" si="31"/>
        <v>150</v>
      </c>
      <c r="J219" s="277">
        <f>SUM(J220:J227)</f>
        <v>0</v>
      </c>
      <c r="K219" s="280">
        <f>SUM(K220:K227)</f>
        <v>0</v>
      </c>
      <c r="L219" s="136">
        <f t="shared" si="32"/>
        <v>0</v>
      </c>
      <c r="M219" s="281">
        <f>SUM(M220:M227)</f>
        <v>0</v>
      </c>
      <c r="N219" s="282">
        <f>SUM(N220:N227)</f>
        <v>0</v>
      </c>
      <c r="O219" s="136">
        <f t="shared" si="33"/>
        <v>0</v>
      </c>
      <c r="P219" s="85"/>
      <c r="R219" s="53"/>
      <c r="S219" s="53"/>
      <c r="T219" s="53"/>
    </row>
    <row r="220" spans="1:20" hidden="1" x14ac:dyDescent="0.25">
      <c r="A220" s="76">
        <v>5231</v>
      </c>
      <c r="B220" s="127" t="s">
        <v>236</v>
      </c>
      <c r="C220" s="279">
        <f t="shared" si="26"/>
        <v>0</v>
      </c>
      <c r="D220" s="134"/>
      <c r="E220" s="285"/>
      <c r="F220" s="286">
        <f t="shared" si="30"/>
        <v>0</v>
      </c>
      <c r="G220" s="134"/>
      <c r="H220" s="135"/>
      <c r="I220" s="136">
        <f t="shared" si="31"/>
        <v>0</v>
      </c>
      <c r="J220" s="134"/>
      <c r="K220" s="135"/>
      <c r="L220" s="136">
        <f t="shared" si="32"/>
        <v>0</v>
      </c>
      <c r="M220" s="284"/>
      <c r="N220" s="285"/>
      <c r="O220" s="136">
        <f t="shared" si="33"/>
        <v>0</v>
      </c>
      <c r="P220" s="85"/>
      <c r="R220" s="53"/>
      <c r="S220" s="53"/>
      <c r="T220" s="53"/>
    </row>
    <row r="221" spans="1:20" hidden="1" x14ac:dyDescent="0.25">
      <c r="A221" s="76">
        <v>5232</v>
      </c>
      <c r="B221" s="127" t="s">
        <v>237</v>
      </c>
      <c r="C221" s="279">
        <f t="shared" si="26"/>
        <v>0</v>
      </c>
      <c r="D221" s="134"/>
      <c r="E221" s="285"/>
      <c r="F221" s="286">
        <f t="shared" si="30"/>
        <v>0</v>
      </c>
      <c r="G221" s="134"/>
      <c r="H221" s="135"/>
      <c r="I221" s="136">
        <f t="shared" si="31"/>
        <v>0</v>
      </c>
      <c r="J221" s="134"/>
      <c r="K221" s="135"/>
      <c r="L221" s="136">
        <f t="shared" si="32"/>
        <v>0</v>
      </c>
      <c r="M221" s="284"/>
      <c r="N221" s="285"/>
      <c r="O221" s="136">
        <f t="shared" si="33"/>
        <v>0</v>
      </c>
      <c r="P221" s="85"/>
      <c r="R221" s="53"/>
      <c r="S221" s="53"/>
      <c r="T221" s="53"/>
    </row>
    <row r="222" spans="1:20" x14ac:dyDescent="0.25">
      <c r="A222" s="76">
        <v>5233</v>
      </c>
      <c r="B222" s="127" t="s">
        <v>238</v>
      </c>
      <c r="C222" s="279">
        <f t="shared" si="26"/>
        <v>300</v>
      </c>
      <c r="D222" s="134">
        <v>150</v>
      </c>
      <c r="E222" s="283"/>
      <c r="F222" s="279">
        <f t="shared" si="30"/>
        <v>150</v>
      </c>
      <c r="G222" s="134">
        <v>150</v>
      </c>
      <c r="H222" s="135"/>
      <c r="I222" s="136">
        <f t="shared" si="31"/>
        <v>150</v>
      </c>
      <c r="J222" s="134"/>
      <c r="K222" s="135"/>
      <c r="L222" s="136">
        <f t="shared" si="32"/>
        <v>0</v>
      </c>
      <c r="M222" s="284"/>
      <c r="N222" s="285"/>
      <c r="O222" s="136">
        <f t="shared" si="33"/>
        <v>0</v>
      </c>
      <c r="P222" s="85"/>
      <c r="R222" s="53"/>
      <c r="S222" s="53"/>
      <c r="T222" s="53"/>
    </row>
    <row r="223" spans="1:20" ht="24" hidden="1" x14ac:dyDescent="0.25">
      <c r="A223" s="76">
        <v>5234</v>
      </c>
      <c r="B223" s="127" t="s">
        <v>239</v>
      </c>
      <c r="C223" s="279">
        <f t="shared" si="26"/>
        <v>0</v>
      </c>
      <c r="D223" s="134"/>
      <c r="E223" s="285"/>
      <c r="F223" s="286">
        <f t="shared" si="30"/>
        <v>0</v>
      </c>
      <c r="G223" s="134"/>
      <c r="H223" s="135"/>
      <c r="I223" s="136">
        <f t="shared" si="31"/>
        <v>0</v>
      </c>
      <c r="J223" s="134"/>
      <c r="K223" s="135"/>
      <c r="L223" s="136">
        <f t="shared" si="32"/>
        <v>0</v>
      </c>
      <c r="M223" s="284"/>
      <c r="N223" s="285"/>
      <c r="O223" s="136">
        <f t="shared" si="33"/>
        <v>0</v>
      </c>
      <c r="P223" s="85"/>
      <c r="R223" s="53"/>
      <c r="S223" s="53"/>
      <c r="T223" s="53"/>
    </row>
    <row r="224" spans="1:20" hidden="1" x14ac:dyDescent="0.25">
      <c r="A224" s="76">
        <v>5236</v>
      </c>
      <c r="B224" s="127" t="s">
        <v>240</v>
      </c>
      <c r="C224" s="279">
        <f t="shared" si="26"/>
        <v>0</v>
      </c>
      <c r="D224" s="134"/>
      <c r="E224" s="285"/>
      <c r="F224" s="286">
        <f t="shared" si="30"/>
        <v>0</v>
      </c>
      <c r="G224" s="134"/>
      <c r="H224" s="135"/>
      <c r="I224" s="136">
        <f t="shared" si="31"/>
        <v>0</v>
      </c>
      <c r="J224" s="134"/>
      <c r="K224" s="135"/>
      <c r="L224" s="136">
        <f t="shared" si="32"/>
        <v>0</v>
      </c>
      <c r="M224" s="284"/>
      <c r="N224" s="285"/>
      <c r="O224" s="136">
        <f t="shared" si="33"/>
        <v>0</v>
      </c>
      <c r="P224" s="85"/>
      <c r="R224" s="53"/>
      <c r="S224" s="53"/>
      <c r="T224" s="53"/>
    </row>
    <row r="225" spans="1:20" hidden="1" x14ac:dyDescent="0.25">
      <c r="A225" s="76">
        <v>5237</v>
      </c>
      <c r="B225" s="127" t="s">
        <v>241</v>
      </c>
      <c r="C225" s="279">
        <f t="shared" si="26"/>
        <v>0</v>
      </c>
      <c r="D225" s="134"/>
      <c r="E225" s="285"/>
      <c r="F225" s="286">
        <f t="shared" si="30"/>
        <v>0</v>
      </c>
      <c r="G225" s="134"/>
      <c r="H225" s="135"/>
      <c r="I225" s="136">
        <f t="shared" si="31"/>
        <v>0</v>
      </c>
      <c r="J225" s="134"/>
      <c r="K225" s="135"/>
      <c r="L225" s="136">
        <f t="shared" si="32"/>
        <v>0</v>
      </c>
      <c r="M225" s="284"/>
      <c r="N225" s="285"/>
      <c r="O225" s="136">
        <f t="shared" si="33"/>
        <v>0</v>
      </c>
      <c r="P225" s="85"/>
      <c r="R225" s="53"/>
      <c r="S225" s="53"/>
      <c r="T225" s="53"/>
    </row>
    <row r="226" spans="1:20" ht="24" hidden="1" x14ac:dyDescent="0.25">
      <c r="A226" s="76">
        <v>5238</v>
      </c>
      <c r="B226" s="127" t="s">
        <v>242</v>
      </c>
      <c r="C226" s="279">
        <f t="shared" si="26"/>
        <v>0</v>
      </c>
      <c r="D226" s="134"/>
      <c r="E226" s="285"/>
      <c r="F226" s="286">
        <f t="shared" si="30"/>
        <v>0</v>
      </c>
      <c r="G226" s="134"/>
      <c r="H226" s="135"/>
      <c r="I226" s="136">
        <f t="shared" si="31"/>
        <v>0</v>
      </c>
      <c r="J226" s="134"/>
      <c r="K226" s="135"/>
      <c r="L226" s="136">
        <f t="shared" si="32"/>
        <v>0</v>
      </c>
      <c r="M226" s="284"/>
      <c r="N226" s="285"/>
      <c r="O226" s="136">
        <f t="shared" si="33"/>
        <v>0</v>
      </c>
      <c r="P226" s="85"/>
      <c r="R226" s="53"/>
      <c r="S226" s="53"/>
      <c r="T226" s="53"/>
    </row>
    <row r="227" spans="1:20" ht="24" hidden="1" x14ac:dyDescent="0.25">
      <c r="A227" s="76">
        <v>5239</v>
      </c>
      <c r="B227" s="127" t="s">
        <v>243</v>
      </c>
      <c r="C227" s="279">
        <f t="shared" si="26"/>
        <v>0</v>
      </c>
      <c r="D227" s="134"/>
      <c r="E227" s="285"/>
      <c r="F227" s="286">
        <f t="shared" si="30"/>
        <v>0</v>
      </c>
      <c r="G227" s="134"/>
      <c r="H227" s="135"/>
      <c r="I227" s="136">
        <f t="shared" si="31"/>
        <v>0</v>
      </c>
      <c r="J227" s="134"/>
      <c r="K227" s="135"/>
      <c r="L227" s="136">
        <f t="shared" si="32"/>
        <v>0</v>
      </c>
      <c r="M227" s="284"/>
      <c r="N227" s="285"/>
      <c r="O227" s="136">
        <f t="shared" si="33"/>
        <v>0</v>
      </c>
      <c r="P227" s="85"/>
      <c r="R227" s="53"/>
      <c r="S227" s="53"/>
      <c r="T227" s="53"/>
    </row>
    <row r="228" spans="1:20" ht="24" hidden="1" x14ac:dyDescent="0.25">
      <c r="A228" s="276">
        <v>5240</v>
      </c>
      <c r="B228" s="127" t="s">
        <v>244</v>
      </c>
      <c r="C228" s="279">
        <f t="shared" si="26"/>
        <v>0</v>
      </c>
      <c r="D228" s="134"/>
      <c r="E228" s="285"/>
      <c r="F228" s="286">
        <f t="shared" si="30"/>
        <v>0</v>
      </c>
      <c r="G228" s="134"/>
      <c r="H228" s="135"/>
      <c r="I228" s="136">
        <f t="shared" si="31"/>
        <v>0</v>
      </c>
      <c r="J228" s="134"/>
      <c r="K228" s="135"/>
      <c r="L228" s="136">
        <f t="shared" si="32"/>
        <v>0</v>
      </c>
      <c r="M228" s="284"/>
      <c r="N228" s="285"/>
      <c r="O228" s="136">
        <f t="shared" si="33"/>
        <v>0</v>
      </c>
      <c r="P228" s="85"/>
      <c r="R228" s="53"/>
      <c r="S228" s="53"/>
      <c r="T228" s="53"/>
    </row>
    <row r="229" spans="1:20" x14ac:dyDescent="0.25">
      <c r="A229" s="276">
        <v>5250</v>
      </c>
      <c r="B229" s="127" t="s">
        <v>245</v>
      </c>
      <c r="C229" s="279">
        <f t="shared" si="26"/>
        <v>914</v>
      </c>
      <c r="D229" s="134">
        <v>914</v>
      </c>
      <c r="E229" s="283"/>
      <c r="F229" s="279">
        <f t="shared" si="30"/>
        <v>914</v>
      </c>
      <c r="G229" s="134"/>
      <c r="H229" s="135"/>
      <c r="I229" s="136">
        <f t="shared" si="31"/>
        <v>0</v>
      </c>
      <c r="J229" s="134"/>
      <c r="K229" s="135"/>
      <c r="L229" s="136">
        <f t="shared" si="32"/>
        <v>0</v>
      </c>
      <c r="M229" s="284"/>
      <c r="N229" s="285"/>
      <c r="O229" s="136">
        <f t="shared" si="33"/>
        <v>0</v>
      </c>
      <c r="P229" s="85"/>
      <c r="R229" s="53"/>
      <c r="S229" s="53"/>
      <c r="T229" s="53"/>
    </row>
    <row r="230" spans="1:20" hidden="1" x14ac:dyDescent="0.25">
      <c r="A230" s="276">
        <v>5260</v>
      </c>
      <c r="B230" s="127" t="s">
        <v>246</v>
      </c>
      <c r="C230" s="279">
        <f t="shared" si="26"/>
        <v>0</v>
      </c>
      <c r="D230" s="277">
        <f>SUM(D231)</f>
        <v>0</v>
      </c>
      <c r="E230" s="282">
        <f>SUM(E231)</f>
        <v>0</v>
      </c>
      <c r="F230" s="286">
        <f t="shared" si="30"/>
        <v>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c r="R230" s="53"/>
      <c r="S230" s="53"/>
      <c r="T230" s="53"/>
    </row>
    <row r="231" spans="1:20" ht="24" hidden="1" x14ac:dyDescent="0.25">
      <c r="A231" s="76">
        <v>5269</v>
      </c>
      <c r="B231" s="127" t="s">
        <v>247</v>
      </c>
      <c r="C231" s="279">
        <f t="shared" si="26"/>
        <v>0</v>
      </c>
      <c r="D231" s="134"/>
      <c r="E231" s="285"/>
      <c r="F231" s="286">
        <f t="shared" si="30"/>
        <v>0</v>
      </c>
      <c r="G231" s="134"/>
      <c r="H231" s="135"/>
      <c r="I231" s="136">
        <f t="shared" si="31"/>
        <v>0</v>
      </c>
      <c r="J231" s="134"/>
      <c r="K231" s="135"/>
      <c r="L231" s="136">
        <f t="shared" si="32"/>
        <v>0</v>
      </c>
      <c r="M231" s="284"/>
      <c r="N231" s="285"/>
      <c r="O231" s="136">
        <f t="shared" si="33"/>
        <v>0</v>
      </c>
      <c r="P231" s="85"/>
      <c r="R231" s="53"/>
      <c r="S231" s="53"/>
      <c r="T231" s="53"/>
    </row>
    <row r="232" spans="1:20" ht="24" hidden="1" x14ac:dyDescent="0.25">
      <c r="A232" s="254">
        <v>5270</v>
      </c>
      <c r="B232" s="179" t="s">
        <v>248</v>
      </c>
      <c r="C232" s="302">
        <f t="shared" si="26"/>
        <v>0</v>
      </c>
      <c r="D232" s="287"/>
      <c r="E232" s="291"/>
      <c r="F232" s="310">
        <f t="shared" si="30"/>
        <v>0</v>
      </c>
      <c r="G232" s="287"/>
      <c r="H232" s="289"/>
      <c r="I232" s="259">
        <f t="shared" si="31"/>
        <v>0</v>
      </c>
      <c r="J232" s="287"/>
      <c r="K232" s="289"/>
      <c r="L232" s="259">
        <f t="shared" si="32"/>
        <v>0</v>
      </c>
      <c r="M232" s="290"/>
      <c r="N232" s="291"/>
      <c r="O232" s="259">
        <f t="shared" si="33"/>
        <v>0</v>
      </c>
      <c r="P232" s="189"/>
      <c r="R232" s="53"/>
      <c r="S232" s="53"/>
      <c r="T232" s="53"/>
    </row>
    <row r="233" spans="1:20" hidden="1" x14ac:dyDescent="0.25">
      <c r="A233" s="237">
        <v>6000</v>
      </c>
      <c r="B233" s="237" t="s">
        <v>249</v>
      </c>
      <c r="C233" s="238">
        <f t="shared" si="26"/>
        <v>0</v>
      </c>
      <c r="D233" s="239">
        <f>D234+D254+D261</f>
        <v>0</v>
      </c>
      <c r="E233" s="245">
        <f>E234+E254+E261</f>
        <v>0</v>
      </c>
      <c r="F233" s="320">
        <f t="shared" si="30"/>
        <v>0</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c r="R233" s="53"/>
      <c r="S233" s="53"/>
      <c r="T233" s="53"/>
    </row>
    <row r="234" spans="1:20"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c r="R234" s="53"/>
      <c r="S234" s="53"/>
      <c r="T234" s="53"/>
    </row>
    <row r="235" spans="1:20" ht="24" hidden="1" x14ac:dyDescent="0.25">
      <c r="A235" s="656">
        <v>6220</v>
      </c>
      <c r="B235" s="116" t="s">
        <v>251</v>
      </c>
      <c r="C235" s="298">
        <f t="shared" si="26"/>
        <v>0</v>
      </c>
      <c r="D235" s="123"/>
      <c r="E235" s="262"/>
      <c r="F235" s="263">
        <f t="shared" si="30"/>
        <v>0</v>
      </c>
      <c r="G235" s="123"/>
      <c r="H235" s="124"/>
      <c r="I235" s="125">
        <f t="shared" si="31"/>
        <v>0</v>
      </c>
      <c r="J235" s="123"/>
      <c r="K235" s="124"/>
      <c r="L235" s="125">
        <f t="shared" si="32"/>
        <v>0</v>
      </c>
      <c r="M235" s="264"/>
      <c r="N235" s="262"/>
      <c r="O235" s="125">
        <f t="shared" si="33"/>
        <v>0</v>
      </c>
      <c r="P235" s="74"/>
      <c r="R235" s="53"/>
      <c r="S235" s="53"/>
      <c r="T235" s="53"/>
    </row>
    <row r="236" spans="1:20" hidden="1" x14ac:dyDescent="0.25">
      <c r="A236" s="276">
        <v>6230</v>
      </c>
      <c r="B236" s="127" t="s">
        <v>252</v>
      </c>
      <c r="C236" s="278">
        <f t="shared" si="26"/>
        <v>0</v>
      </c>
      <c r="D236" s="277">
        <f>SUM(D237)</f>
        <v>0</v>
      </c>
      <c r="E236" s="280">
        <f>SUM(E237)</f>
        <v>0</v>
      </c>
      <c r="F236" s="28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c r="R236" s="53"/>
      <c r="S236" s="53"/>
      <c r="T236" s="53"/>
    </row>
    <row r="237" spans="1:20" ht="24" hidden="1" x14ac:dyDescent="0.25">
      <c r="A237" s="76">
        <v>6239</v>
      </c>
      <c r="B237" s="116" t="s">
        <v>253</v>
      </c>
      <c r="C237" s="278">
        <f t="shared" si="26"/>
        <v>0</v>
      </c>
      <c r="D237" s="134"/>
      <c r="E237" s="285"/>
      <c r="F237" s="286">
        <f t="shared" si="30"/>
        <v>0</v>
      </c>
      <c r="G237" s="134"/>
      <c r="H237" s="135"/>
      <c r="I237" s="136">
        <f t="shared" si="31"/>
        <v>0</v>
      </c>
      <c r="J237" s="134"/>
      <c r="K237" s="135"/>
      <c r="L237" s="136">
        <f t="shared" si="32"/>
        <v>0</v>
      </c>
      <c r="M237" s="284"/>
      <c r="N237" s="285"/>
      <c r="O237" s="136">
        <f t="shared" si="33"/>
        <v>0</v>
      </c>
      <c r="P237" s="85"/>
      <c r="R237" s="53"/>
      <c r="S237" s="53"/>
      <c r="T237" s="53"/>
    </row>
    <row r="238" spans="1:20" ht="24" hidden="1" x14ac:dyDescent="0.25">
      <c r="A238" s="276">
        <v>6240</v>
      </c>
      <c r="B238" s="127" t="s">
        <v>254</v>
      </c>
      <c r="C238" s="278">
        <f t="shared" si="26"/>
        <v>0</v>
      </c>
      <c r="D238" s="277">
        <f>SUM(D239:D240)</f>
        <v>0</v>
      </c>
      <c r="E238" s="282">
        <f>SUM(E239:E240)</f>
        <v>0</v>
      </c>
      <c r="F238" s="28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c r="R238" s="53"/>
      <c r="S238" s="53"/>
      <c r="T238" s="53"/>
    </row>
    <row r="239" spans="1:20" hidden="1" x14ac:dyDescent="0.25">
      <c r="A239" s="76">
        <v>6241</v>
      </c>
      <c r="B239" s="127" t="s">
        <v>255</v>
      </c>
      <c r="C239" s="278">
        <f t="shared" si="26"/>
        <v>0</v>
      </c>
      <c r="D239" s="134"/>
      <c r="E239" s="285"/>
      <c r="F239" s="286">
        <f t="shared" si="30"/>
        <v>0</v>
      </c>
      <c r="G239" s="134"/>
      <c r="H239" s="135"/>
      <c r="I239" s="136">
        <f t="shared" si="31"/>
        <v>0</v>
      </c>
      <c r="J239" s="134"/>
      <c r="K239" s="135"/>
      <c r="L239" s="136">
        <f t="shared" si="32"/>
        <v>0</v>
      </c>
      <c r="M239" s="284"/>
      <c r="N239" s="285"/>
      <c r="O239" s="136">
        <f t="shared" si="33"/>
        <v>0</v>
      </c>
      <c r="P239" s="85"/>
      <c r="R239" s="53"/>
      <c r="S239" s="53"/>
      <c r="T239" s="53"/>
    </row>
    <row r="240" spans="1:20" hidden="1" x14ac:dyDescent="0.25">
      <c r="A240" s="76">
        <v>6242</v>
      </c>
      <c r="B240" s="127" t="s">
        <v>256</v>
      </c>
      <c r="C240" s="278">
        <f t="shared" si="26"/>
        <v>0</v>
      </c>
      <c r="D240" s="134"/>
      <c r="E240" s="285"/>
      <c r="F240" s="286">
        <f t="shared" si="30"/>
        <v>0</v>
      </c>
      <c r="G240" s="134"/>
      <c r="H240" s="135"/>
      <c r="I240" s="136">
        <f t="shared" si="31"/>
        <v>0</v>
      </c>
      <c r="J240" s="134"/>
      <c r="K240" s="135"/>
      <c r="L240" s="136">
        <f t="shared" si="32"/>
        <v>0</v>
      </c>
      <c r="M240" s="284"/>
      <c r="N240" s="285"/>
      <c r="O240" s="136">
        <f t="shared" si="33"/>
        <v>0</v>
      </c>
      <c r="P240" s="85"/>
      <c r="R240" s="53"/>
      <c r="S240" s="53"/>
      <c r="T240" s="53"/>
    </row>
    <row r="241" spans="1:20" ht="24" hidden="1" x14ac:dyDescent="0.25">
      <c r="A241" s="276">
        <v>6250</v>
      </c>
      <c r="B241" s="127" t="s">
        <v>257</v>
      </c>
      <c r="C241" s="278">
        <f t="shared" si="26"/>
        <v>0</v>
      </c>
      <c r="D241" s="277">
        <f>SUM(D242:D246)</f>
        <v>0</v>
      </c>
      <c r="E241" s="282">
        <f>SUM(E242:E246)</f>
        <v>0</v>
      </c>
      <c r="F241" s="28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c r="R241" s="53"/>
      <c r="S241" s="53"/>
      <c r="T241" s="53"/>
    </row>
    <row r="242" spans="1:20" hidden="1" x14ac:dyDescent="0.25">
      <c r="A242" s="76">
        <v>6252</v>
      </c>
      <c r="B242" s="127" t="s">
        <v>258</v>
      </c>
      <c r="C242" s="278">
        <f t="shared" si="26"/>
        <v>0</v>
      </c>
      <c r="D242" s="134"/>
      <c r="E242" s="285"/>
      <c r="F242" s="286">
        <f t="shared" si="30"/>
        <v>0</v>
      </c>
      <c r="G242" s="134"/>
      <c r="H242" s="135"/>
      <c r="I242" s="136">
        <f t="shared" si="31"/>
        <v>0</v>
      </c>
      <c r="J242" s="134"/>
      <c r="K242" s="135"/>
      <c r="L242" s="136">
        <f t="shared" si="32"/>
        <v>0</v>
      </c>
      <c r="M242" s="284"/>
      <c r="N242" s="285"/>
      <c r="O242" s="136">
        <f t="shared" si="33"/>
        <v>0</v>
      </c>
      <c r="P242" s="85"/>
      <c r="R242" s="53"/>
      <c r="S242" s="53"/>
      <c r="T242" s="53"/>
    </row>
    <row r="243" spans="1:20" hidden="1" x14ac:dyDescent="0.25">
      <c r="A243" s="76">
        <v>6253</v>
      </c>
      <c r="B243" s="127" t="s">
        <v>259</v>
      </c>
      <c r="C243" s="278">
        <f t="shared" si="26"/>
        <v>0</v>
      </c>
      <c r="D243" s="134"/>
      <c r="E243" s="285"/>
      <c r="F243" s="286">
        <f t="shared" si="30"/>
        <v>0</v>
      </c>
      <c r="G243" s="134"/>
      <c r="H243" s="135"/>
      <c r="I243" s="136">
        <f t="shared" si="31"/>
        <v>0</v>
      </c>
      <c r="J243" s="134"/>
      <c r="K243" s="135"/>
      <c r="L243" s="136">
        <f t="shared" si="32"/>
        <v>0</v>
      </c>
      <c r="M243" s="284"/>
      <c r="N243" s="285"/>
      <c r="O243" s="136">
        <f t="shared" si="33"/>
        <v>0</v>
      </c>
      <c r="P243" s="85"/>
      <c r="R243" s="53"/>
      <c r="S243" s="53"/>
      <c r="T243" s="53"/>
    </row>
    <row r="244" spans="1:20" ht="24" hidden="1" x14ac:dyDescent="0.25">
      <c r="A244" s="76">
        <v>6254</v>
      </c>
      <c r="B244" s="127" t="s">
        <v>260</v>
      </c>
      <c r="C244" s="278">
        <f t="shared" si="26"/>
        <v>0</v>
      </c>
      <c r="D244" s="134"/>
      <c r="E244" s="285"/>
      <c r="F244" s="286">
        <f t="shared" si="30"/>
        <v>0</v>
      </c>
      <c r="G244" s="134"/>
      <c r="H244" s="135"/>
      <c r="I244" s="136">
        <f t="shared" si="31"/>
        <v>0</v>
      </c>
      <c r="J244" s="134"/>
      <c r="K244" s="135"/>
      <c r="L244" s="136">
        <f t="shared" si="32"/>
        <v>0</v>
      </c>
      <c r="M244" s="284"/>
      <c r="N244" s="285"/>
      <c r="O244" s="136">
        <f t="shared" si="33"/>
        <v>0</v>
      </c>
      <c r="P244" s="85"/>
      <c r="R244" s="53"/>
      <c r="S244" s="53"/>
      <c r="T244" s="53"/>
    </row>
    <row r="245" spans="1:20" ht="24" hidden="1" x14ac:dyDescent="0.25">
      <c r="A245" s="76">
        <v>6255</v>
      </c>
      <c r="B245" s="127" t="s">
        <v>261</v>
      </c>
      <c r="C245" s="278">
        <f t="shared" si="26"/>
        <v>0</v>
      </c>
      <c r="D245" s="134"/>
      <c r="E245" s="285"/>
      <c r="F245" s="286">
        <f t="shared" si="30"/>
        <v>0</v>
      </c>
      <c r="G245" s="134"/>
      <c r="H245" s="135"/>
      <c r="I245" s="136">
        <f t="shared" si="31"/>
        <v>0</v>
      </c>
      <c r="J245" s="134"/>
      <c r="K245" s="135"/>
      <c r="L245" s="136">
        <f t="shared" si="32"/>
        <v>0</v>
      </c>
      <c r="M245" s="284"/>
      <c r="N245" s="285"/>
      <c r="O245" s="136">
        <f t="shared" si="33"/>
        <v>0</v>
      </c>
      <c r="P245" s="85"/>
      <c r="R245" s="53"/>
      <c r="S245" s="53"/>
      <c r="T245" s="53"/>
    </row>
    <row r="246" spans="1:20" hidden="1" x14ac:dyDescent="0.25">
      <c r="A246" s="76">
        <v>6259</v>
      </c>
      <c r="B246" s="127" t="s">
        <v>262</v>
      </c>
      <c r="C246" s="278">
        <f t="shared" si="26"/>
        <v>0</v>
      </c>
      <c r="D246" s="134"/>
      <c r="E246" s="285"/>
      <c r="F246" s="286">
        <f t="shared" si="30"/>
        <v>0</v>
      </c>
      <c r="G246" s="134"/>
      <c r="H246" s="135"/>
      <c r="I246" s="136">
        <f t="shared" si="31"/>
        <v>0</v>
      </c>
      <c r="J246" s="134"/>
      <c r="K246" s="135"/>
      <c r="L246" s="136">
        <f t="shared" si="32"/>
        <v>0</v>
      </c>
      <c r="M246" s="284"/>
      <c r="N246" s="285"/>
      <c r="O246" s="136">
        <f t="shared" si="33"/>
        <v>0</v>
      </c>
      <c r="P246" s="85"/>
      <c r="R246" s="53"/>
      <c r="S246" s="53"/>
      <c r="T246" s="53"/>
    </row>
    <row r="247" spans="1:20" ht="24" hidden="1" x14ac:dyDescent="0.25">
      <c r="A247" s="276">
        <v>6260</v>
      </c>
      <c r="B247" s="127" t="s">
        <v>263</v>
      </c>
      <c r="C247" s="278">
        <f t="shared" si="26"/>
        <v>0</v>
      </c>
      <c r="D247" s="134"/>
      <c r="E247" s="285"/>
      <c r="F247" s="286">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c r="R247" s="53"/>
      <c r="S247" s="53"/>
      <c r="T247" s="53"/>
    </row>
    <row r="248" spans="1:20" hidden="1" x14ac:dyDescent="0.25">
      <c r="A248" s="276">
        <v>6270</v>
      </c>
      <c r="B248" s="127" t="s">
        <v>264</v>
      </c>
      <c r="C248" s="278">
        <f t="shared" si="26"/>
        <v>0</v>
      </c>
      <c r="D248" s="134"/>
      <c r="E248" s="285"/>
      <c r="F248" s="286">
        <f t="shared" si="37"/>
        <v>0</v>
      </c>
      <c r="G248" s="134"/>
      <c r="H248" s="135"/>
      <c r="I248" s="136">
        <f t="shared" si="38"/>
        <v>0</v>
      </c>
      <c r="J248" s="134"/>
      <c r="K248" s="135"/>
      <c r="L248" s="136">
        <f t="shared" si="39"/>
        <v>0</v>
      </c>
      <c r="M248" s="284"/>
      <c r="N248" s="285"/>
      <c r="O248" s="136">
        <f t="shared" si="40"/>
        <v>0</v>
      </c>
      <c r="P248" s="85"/>
      <c r="R248" s="53"/>
      <c r="S248" s="53"/>
      <c r="T248" s="53"/>
    </row>
    <row r="249" spans="1:20" ht="24" hidden="1" x14ac:dyDescent="0.25">
      <c r="A249" s="656">
        <v>6290</v>
      </c>
      <c r="B249" s="116" t="s">
        <v>265</v>
      </c>
      <c r="C249" s="278">
        <f t="shared" si="26"/>
        <v>0</v>
      </c>
      <c r="D249" s="297">
        <f>SUM(D250:D253)</f>
        <v>0</v>
      </c>
      <c r="E249" s="301">
        <f>SUM(E250:E253)</f>
        <v>0</v>
      </c>
      <c r="F249" s="263">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c r="R249" s="53"/>
      <c r="S249" s="53"/>
      <c r="T249" s="53"/>
    </row>
    <row r="250" spans="1:20" hidden="1" x14ac:dyDescent="0.25">
      <c r="A250" s="76">
        <v>6291</v>
      </c>
      <c r="B250" s="127" t="s">
        <v>266</v>
      </c>
      <c r="C250" s="278">
        <f t="shared" si="26"/>
        <v>0</v>
      </c>
      <c r="D250" s="134"/>
      <c r="E250" s="285"/>
      <c r="F250" s="286">
        <f t="shared" si="37"/>
        <v>0</v>
      </c>
      <c r="G250" s="134"/>
      <c r="H250" s="135"/>
      <c r="I250" s="136">
        <f t="shared" si="38"/>
        <v>0</v>
      </c>
      <c r="J250" s="134"/>
      <c r="K250" s="135"/>
      <c r="L250" s="136">
        <f t="shared" si="39"/>
        <v>0</v>
      </c>
      <c r="M250" s="284"/>
      <c r="N250" s="285"/>
      <c r="O250" s="136">
        <f t="shared" si="40"/>
        <v>0</v>
      </c>
      <c r="P250" s="85"/>
      <c r="R250" s="53"/>
      <c r="S250" s="53"/>
      <c r="T250" s="53"/>
    </row>
    <row r="251" spans="1:20" hidden="1" x14ac:dyDescent="0.25">
      <c r="A251" s="76">
        <v>6292</v>
      </c>
      <c r="B251" s="127" t="s">
        <v>267</v>
      </c>
      <c r="C251" s="278">
        <f t="shared" si="26"/>
        <v>0</v>
      </c>
      <c r="D251" s="134"/>
      <c r="E251" s="285"/>
      <c r="F251" s="286">
        <f t="shared" si="37"/>
        <v>0</v>
      </c>
      <c r="G251" s="134"/>
      <c r="H251" s="135"/>
      <c r="I251" s="136">
        <f t="shared" si="38"/>
        <v>0</v>
      </c>
      <c r="J251" s="134"/>
      <c r="K251" s="135"/>
      <c r="L251" s="136">
        <f t="shared" si="39"/>
        <v>0</v>
      </c>
      <c r="M251" s="284"/>
      <c r="N251" s="285"/>
      <c r="O251" s="136">
        <f t="shared" si="40"/>
        <v>0</v>
      </c>
      <c r="P251" s="85"/>
      <c r="R251" s="53"/>
      <c r="S251" s="53"/>
      <c r="T251" s="53"/>
    </row>
    <row r="252" spans="1:20" ht="72" hidden="1" x14ac:dyDescent="0.25">
      <c r="A252" s="76">
        <v>6296</v>
      </c>
      <c r="B252" s="127" t="s">
        <v>268</v>
      </c>
      <c r="C252" s="278">
        <f t="shared" si="26"/>
        <v>0</v>
      </c>
      <c r="D252" s="134"/>
      <c r="E252" s="285"/>
      <c r="F252" s="286">
        <f t="shared" si="37"/>
        <v>0</v>
      </c>
      <c r="G252" s="134"/>
      <c r="H252" s="135"/>
      <c r="I252" s="136">
        <f t="shared" si="38"/>
        <v>0</v>
      </c>
      <c r="J252" s="134"/>
      <c r="K252" s="135"/>
      <c r="L252" s="136">
        <f t="shared" si="39"/>
        <v>0</v>
      </c>
      <c r="M252" s="284"/>
      <c r="N252" s="285"/>
      <c r="O252" s="136">
        <f t="shared" si="40"/>
        <v>0</v>
      </c>
      <c r="P252" s="85"/>
      <c r="R252" s="53"/>
      <c r="S252" s="53"/>
      <c r="T252" s="53"/>
    </row>
    <row r="253" spans="1:20" ht="36" hidden="1" x14ac:dyDescent="0.25">
      <c r="A253" s="76">
        <v>6299</v>
      </c>
      <c r="B253" s="127" t="s">
        <v>269</v>
      </c>
      <c r="C253" s="278">
        <f t="shared" si="26"/>
        <v>0</v>
      </c>
      <c r="D253" s="134"/>
      <c r="E253" s="285"/>
      <c r="F253" s="286">
        <f t="shared" si="37"/>
        <v>0</v>
      </c>
      <c r="G253" s="134"/>
      <c r="H253" s="135"/>
      <c r="I253" s="136">
        <f t="shared" si="38"/>
        <v>0</v>
      </c>
      <c r="J253" s="134"/>
      <c r="K253" s="135"/>
      <c r="L253" s="136">
        <f t="shared" si="39"/>
        <v>0</v>
      </c>
      <c r="M253" s="284"/>
      <c r="N253" s="285"/>
      <c r="O253" s="136">
        <f t="shared" si="40"/>
        <v>0</v>
      </c>
      <c r="P253" s="85"/>
      <c r="R253" s="53"/>
      <c r="S253" s="53"/>
      <c r="T253" s="53"/>
    </row>
    <row r="254" spans="1:20" hidden="1" x14ac:dyDescent="0.25">
      <c r="A254" s="99">
        <v>6300</v>
      </c>
      <c r="B254" s="247" t="s">
        <v>270</v>
      </c>
      <c r="C254" s="100">
        <f t="shared" si="26"/>
        <v>0</v>
      </c>
      <c r="D254" s="112">
        <f>SUM(D255,D259,D260)</f>
        <v>0</v>
      </c>
      <c r="E254" s="293">
        <f>SUM(E255,E259,E260)</f>
        <v>0</v>
      </c>
      <c r="F254" s="313">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c r="R254" s="53"/>
      <c r="S254" s="53"/>
      <c r="T254" s="53"/>
    </row>
    <row r="255" spans="1:20" ht="24" hidden="1" x14ac:dyDescent="0.25">
      <c r="A255" s="656">
        <v>6320</v>
      </c>
      <c r="B255" s="116" t="s">
        <v>271</v>
      </c>
      <c r="C255" s="322">
        <f t="shared" si="26"/>
        <v>0</v>
      </c>
      <c r="D255" s="297">
        <f>SUM(D256:D258)</f>
        <v>0</v>
      </c>
      <c r="E255" s="301">
        <f>SUM(E256:E258)</f>
        <v>0</v>
      </c>
      <c r="F255" s="263">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c r="R255" s="53"/>
      <c r="S255" s="53"/>
      <c r="T255" s="53"/>
    </row>
    <row r="256" spans="1:20" hidden="1" x14ac:dyDescent="0.25">
      <c r="A256" s="76">
        <v>6322</v>
      </c>
      <c r="B256" s="127" t="s">
        <v>272</v>
      </c>
      <c r="C256" s="281">
        <f t="shared" si="26"/>
        <v>0</v>
      </c>
      <c r="D256" s="134"/>
      <c r="E256" s="285"/>
      <c r="F256" s="286">
        <f t="shared" si="37"/>
        <v>0</v>
      </c>
      <c r="G256" s="134"/>
      <c r="H256" s="135"/>
      <c r="I256" s="136">
        <f t="shared" si="38"/>
        <v>0</v>
      </c>
      <c r="J256" s="134"/>
      <c r="K256" s="135"/>
      <c r="L256" s="136">
        <f t="shared" si="39"/>
        <v>0</v>
      </c>
      <c r="M256" s="284"/>
      <c r="N256" s="285"/>
      <c r="O256" s="136">
        <f t="shared" si="40"/>
        <v>0</v>
      </c>
      <c r="P256" s="85"/>
      <c r="R256" s="53"/>
      <c r="S256" s="53"/>
      <c r="T256" s="53"/>
    </row>
    <row r="257" spans="1:20" ht="24" hidden="1" x14ac:dyDescent="0.25">
      <c r="A257" s="76">
        <v>6323</v>
      </c>
      <c r="B257" s="127" t="s">
        <v>273</v>
      </c>
      <c r="C257" s="281">
        <f t="shared" si="26"/>
        <v>0</v>
      </c>
      <c r="D257" s="134"/>
      <c r="E257" s="285"/>
      <c r="F257" s="286">
        <f t="shared" si="37"/>
        <v>0</v>
      </c>
      <c r="G257" s="134"/>
      <c r="H257" s="135"/>
      <c r="I257" s="136">
        <f t="shared" si="38"/>
        <v>0</v>
      </c>
      <c r="J257" s="134"/>
      <c r="K257" s="135"/>
      <c r="L257" s="136">
        <f t="shared" si="39"/>
        <v>0</v>
      </c>
      <c r="M257" s="284"/>
      <c r="N257" s="285"/>
      <c r="O257" s="136">
        <f t="shared" si="40"/>
        <v>0</v>
      </c>
      <c r="P257" s="85"/>
      <c r="R257" s="53"/>
      <c r="S257" s="53"/>
      <c r="T257" s="53"/>
    </row>
    <row r="258" spans="1:20" ht="24" hidden="1" x14ac:dyDescent="0.25">
      <c r="A258" s="66">
        <v>6324</v>
      </c>
      <c r="B258" s="116" t="s">
        <v>274</v>
      </c>
      <c r="C258" s="281">
        <f t="shared" si="26"/>
        <v>0</v>
      </c>
      <c r="D258" s="123"/>
      <c r="E258" s="262"/>
      <c r="F258" s="263">
        <f t="shared" si="37"/>
        <v>0</v>
      </c>
      <c r="G258" s="123"/>
      <c r="H258" s="124"/>
      <c r="I258" s="125">
        <f t="shared" si="38"/>
        <v>0</v>
      </c>
      <c r="J258" s="123"/>
      <c r="K258" s="124"/>
      <c r="L258" s="125">
        <f t="shared" si="39"/>
        <v>0</v>
      </c>
      <c r="M258" s="264"/>
      <c r="N258" s="262"/>
      <c r="O258" s="125">
        <f t="shared" si="40"/>
        <v>0</v>
      </c>
      <c r="P258" s="74"/>
      <c r="R258" s="53"/>
      <c r="S258" s="53"/>
      <c r="T258" s="53"/>
    </row>
    <row r="259" spans="1:20" ht="24" hidden="1" x14ac:dyDescent="0.25">
      <c r="A259" s="344">
        <v>6330</v>
      </c>
      <c r="B259" s="345" t="s">
        <v>275</v>
      </c>
      <c r="C259" s="281">
        <f t="shared" ref="C259:C286" si="50">F259+I259+L259+O259</f>
        <v>0</v>
      </c>
      <c r="D259" s="328"/>
      <c r="E259" s="329"/>
      <c r="F259" s="330">
        <f t="shared" si="37"/>
        <v>0</v>
      </c>
      <c r="G259" s="328"/>
      <c r="H259" s="331"/>
      <c r="I259" s="324">
        <f t="shared" si="38"/>
        <v>0</v>
      </c>
      <c r="J259" s="328"/>
      <c r="K259" s="331"/>
      <c r="L259" s="324">
        <f t="shared" si="39"/>
        <v>0</v>
      </c>
      <c r="M259" s="332"/>
      <c r="N259" s="329"/>
      <c r="O259" s="324">
        <f t="shared" si="40"/>
        <v>0</v>
      </c>
      <c r="P259" s="325"/>
      <c r="R259" s="53"/>
      <c r="S259" s="53"/>
      <c r="T259" s="53"/>
    </row>
    <row r="260" spans="1:20" hidden="1" x14ac:dyDescent="0.25">
      <c r="A260" s="276">
        <v>6360</v>
      </c>
      <c r="B260" s="127" t="s">
        <v>276</v>
      </c>
      <c r="C260" s="281">
        <f t="shared" si="50"/>
        <v>0</v>
      </c>
      <c r="D260" s="134"/>
      <c r="E260" s="285"/>
      <c r="F260" s="286">
        <f t="shared" si="37"/>
        <v>0</v>
      </c>
      <c r="G260" s="134"/>
      <c r="H260" s="135"/>
      <c r="I260" s="136">
        <f t="shared" si="38"/>
        <v>0</v>
      </c>
      <c r="J260" s="134"/>
      <c r="K260" s="135"/>
      <c r="L260" s="136">
        <f t="shared" si="39"/>
        <v>0</v>
      </c>
      <c r="M260" s="284"/>
      <c r="N260" s="285"/>
      <c r="O260" s="136">
        <f t="shared" si="40"/>
        <v>0</v>
      </c>
      <c r="P260" s="85"/>
      <c r="R260" s="53"/>
      <c r="S260" s="53"/>
      <c r="T260" s="53"/>
    </row>
    <row r="261" spans="1:20" ht="36" hidden="1" x14ac:dyDescent="0.25">
      <c r="A261" s="99">
        <v>6400</v>
      </c>
      <c r="B261" s="247" t="s">
        <v>277</v>
      </c>
      <c r="C261" s="100">
        <f t="shared" si="50"/>
        <v>0</v>
      </c>
      <c r="D261" s="112">
        <f>SUM(D262,D266)</f>
        <v>0</v>
      </c>
      <c r="E261" s="293">
        <f>SUM(E262,E266)</f>
        <v>0</v>
      </c>
      <c r="F261" s="313">
        <f t="shared" si="37"/>
        <v>0</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c r="R261" s="53"/>
      <c r="S261" s="53"/>
      <c r="T261" s="53"/>
    </row>
    <row r="262" spans="1:20" ht="24" hidden="1" x14ac:dyDescent="0.25">
      <c r="A262" s="656">
        <v>6410</v>
      </c>
      <c r="B262" s="116" t="s">
        <v>278</v>
      </c>
      <c r="C262" s="300">
        <f t="shared" si="50"/>
        <v>0</v>
      </c>
      <c r="D262" s="297">
        <f>SUM(D263:D265)</f>
        <v>0</v>
      </c>
      <c r="E262" s="301">
        <f>SUM(E263:E265)</f>
        <v>0</v>
      </c>
      <c r="F262" s="263">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c r="R262" s="53"/>
      <c r="S262" s="53"/>
      <c r="T262" s="53"/>
    </row>
    <row r="263" spans="1:20" hidden="1" x14ac:dyDescent="0.25">
      <c r="A263" s="76">
        <v>6411</v>
      </c>
      <c r="B263" s="346" t="s">
        <v>279</v>
      </c>
      <c r="C263" s="278">
        <f t="shared" si="50"/>
        <v>0</v>
      </c>
      <c r="D263" s="134"/>
      <c r="E263" s="285"/>
      <c r="F263" s="286">
        <f t="shared" si="37"/>
        <v>0</v>
      </c>
      <c r="G263" s="134"/>
      <c r="H263" s="135"/>
      <c r="I263" s="136">
        <f t="shared" si="38"/>
        <v>0</v>
      </c>
      <c r="J263" s="134"/>
      <c r="K263" s="135"/>
      <c r="L263" s="136">
        <f t="shared" si="39"/>
        <v>0</v>
      </c>
      <c r="M263" s="284"/>
      <c r="N263" s="285"/>
      <c r="O263" s="136">
        <f t="shared" si="40"/>
        <v>0</v>
      </c>
      <c r="P263" s="85"/>
      <c r="R263" s="53"/>
      <c r="S263" s="53"/>
      <c r="T263" s="53"/>
    </row>
    <row r="264" spans="1:20" ht="36" hidden="1" x14ac:dyDescent="0.25">
      <c r="A264" s="76">
        <v>6412</v>
      </c>
      <c r="B264" s="127" t="s">
        <v>280</v>
      </c>
      <c r="C264" s="278">
        <f t="shared" si="50"/>
        <v>0</v>
      </c>
      <c r="D264" s="134"/>
      <c r="E264" s="285"/>
      <c r="F264" s="286">
        <f t="shared" si="37"/>
        <v>0</v>
      </c>
      <c r="G264" s="134"/>
      <c r="H264" s="135"/>
      <c r="I264" s="136">
        <f t="shared" si="38"/>
        <v>0</v>
      </c>
      <c r="J264" s="134"/>
      <c r="K264" s="135"/>
      <c r="L264" s="136">
        <f t="shared" si="39"/>
        <v>0</v>
      </c>
      <c r="M264" s="284"/>
      <c r="N264" s="285"/>
      <c r="O264" s="136">
        <f t="shared" si="40"/>
        <v>0</v>
      </c>
      <c r="P264" s="85"/>
      <c r="R264" s="53"/>
      <c r="S264" s="53"/>
      <c r="T264" s="53"/>
    </row>
    <row r="265" spans="1:20" ht="36" hidden="1" x14ac:dyDescent="0.25">
      <c r="A265" s="76">
        <v>6419</v>
      </c>
      <c r="B265" s="127" t="s">
        <v>281</v>
      </c>
      <c r="C265" s="278">
        <f t="shared" si="50"/>
        <v>0</v>
      </c>
      <c r="D265" s="134"/>
      <c r="E265" s="285"/>
      <c r="F265" s="286">
        <f t="shared" si="37"/>
        <v>0</v>
      </c>
      <c r="G265" s="134"/>
      <c r="H265" s="135"/>
      <c r="I265" s="136">
        <f t="shared" si="38"/>
        <v>0</v>
      </c>
      <c r="J265" s="134"/>
      <c r="K265" s="135"/>
      <c r="L265" s="136">
        <f t="shared" si="39"/>
        <v>0</v>
      </c>
      <c r="M265" s="284"/>
      <c r="N265" s="285"/>
      <c r="O265" s="136">
        <f t="shared" si="40"/>
        <v>0</v>
      </c>
      <c r="P265" s="85"/>
      <c r="R265" s="53"/>
      <c r="S265" s="53"/>
      <c r="T265" s="53"/>
    </row>
    <row r="266" spans="1:20" ht="36" hidden="1" x14ac:dyDescent="0.25">
      <c r="A266" s="276">
        <v>6420</v>
      </c>
      <c r="B266" s="127" t="s">
        <v>282</v>
      </c>
      <c r="C266" s="278">
        <f t="shared" si="50"/>
        <v>0</v>
      </c>
      <c r="D266" s="277">
        <f>SUM(D267:D270)</f>
        <v>0</v>
      </c>
      <c r="E266" s="282">
        <f>SUM(E267:E270)</f>
        <v>0</v>
      </c>
      <c r="F266" s="286">
        <f t="shared" si="37"/>
        <v>0</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c r="R266" s="53"/>
      <c r="S266" s="53"/>
      <c r="T266" s="53"/>
    </row>
    <row r="267" spans="1:20" hidden="1" x14ac:dyDescent="0.25">
      <c r="A267" s="76">
        <v>6421</v>
      </c>
      <c r="B267" s="127" t="s">
        <v>283</v>
      </c>
      <c r="C267" s="278">
        <f t="shared" si="50"/>
        <v>0</v>
      </c>
      <c r="D267" s="134"/>
      <c r="E267" s="285"/>
      <c r="F267" s="286">
        <f t="shared" si="37"/>
        <v>0</v>
      </c>
      <c r="G267" s="134"/>
      <c r="H267" s="135"/>
      <c r="I267" s="136">
        <f t="shared" si="38"/>
        <v>0</v>
      </c>
      <c r="J267" s="134"/>
      <c r="K267" s="135"/>
      <c r="L267" s="136">
        <f t="shared" si="39"/>
        <v>0</v>
      </c>
      <c r="M267" s="284"/>
      <c r="N267" s="285"/>
      <c r="O267" s="136">
        <f t="shared" si="40"/>
        <v>0</v>
      </c>
      <c r="P267" s="85"/>
      <c r="R267" s="53"/>
      <c r="S267" s="53"/>
      <c r="T267" s="53"/>
    </row>
    <row r="268" spans="1:20" hidden="1" x14ac:dyDescent="0.25">
      <c r="A268" s="76">
        <v>6422</v>
      </c>
      <c r="B268" s="127" t="s">
        <v>284</v>
      </c>
      <c r="C268" s="278">
        <f t="shared" si="50"/>
        <v>0</v>
      </c>
      <c r="D268" s="134"/>
      <c r="E268" s="285"/>
      <c r="F268" s="286">
        <f t="shared" si="37"/>
        <v>0</v>
      </c>
      <c r="G268" s="134"/>
      <c r="H268" s="135"/>
      <c r="I268" s="136">
        <f t="shared" si="38"/>
        <v>0</v>
      </c>
      <c r="J268" s="134"/>
      <c r="K268" s="135"/>
      <c r="L268" s="136">
        <f t="shared" si="39"/>
        <v>0</v>
      </c>
      <c r="M268" s="284"/>
      <c r="N268" s="285"/>
      <c r="O268" s="136">
        <f t="shared" si="40"/>
        <v>0</v>
      </c>
      <c r="P268" s="85"/>
      <c r="R268" s="53"/>
      <c r="S268" s="53"/>
      <c r="T268" s="53"/>
    </row>
    <row r="269" spans="1:20" ht="24" hidden="1" x14ac:dyDescent="0.25">
      <c r="A269" s="76">
        <v>6423</v>
      </c>
      <c r="B269" s="127" t="s">
        <v>285</v>
      </c>
      <c r="C269" s="278">
        <f t="shared" si="50"/>
        <v>0</v>
      </c>
      <c r="D269" s="134"/>
      <c r="E269" s="285"/>
      <c r="F269" s="286">
        <f t="shared" si="37"/>
        <v>0</v>
      </c>
      <c r="G269" s="134"/>
      <c r="H269" s="135"/>
      <c r="I269" s="136">
        <f t="shared" si="38"/>
        <v>0</v>
      </c>
      <c r="J269" s="134"/>
      <c r="K269" s="135"/>
      <c r="L269" s="136">
        <f t="shared" si="39"/>
        <v>0</v>
      </c>
      <c r="M269" s="284"/>
      <c r="N269" s="285"/>
      <c r="O269" s="136">
        <f t="shared" si="40"/>
        <v>0</v>
      </c>
      <c r="P269" s="85"/>
      <c r="R269" s="53"/>
      <c r="S269" s="53"/>
      <c r="T269" s="53"/>
    </row>
    <row r="270" spans="1:20" ht="36" hidden="1" x14ac:dyDescent="0.25">
      <c r="A270" s="76">
        <v>6424</v>
      </c>
      <c r="B270" s="127" t="s">
        <v>286</v>
      </c>
      <c r="C270" s="278">
        <f t="shared" si="50"/>
        <v>0</v>
      </c>
      <c r="D270" s="134"/>
      <c r="E270" s="285"/>
      <c r="F270" s="286">
        <f t="shared" si="37"/>
        <v>0</v>
      </c>
      <c r="G270" s="134"/>
      <c r="H270" s="135"/>
      <c r="I270" s="136">
        <f t="shared" si="38"/>
        <v>0</v>
      </c>
      <c r="J270" s="134"/>
      <c r="K270" s="135"/>
      <c r="L270" s="136">
        <f t="shared" si="39"/>
        <v>0</v>
      </c>
      <c r="M270" s="284"/>
      <c r="N270" s="285"/>
      <c r="O270" s="136">
        <f t="shared" si="40"/>
        <v>0</v>
      </c>
      <c r="P270" s="85"/>
      <c r="R270" s="53"/>
      <c r="S270" s="53"/>
      <c r="T270" s="53"/>
    </row>
    <row r="271" spans="1:20" ht="36" x14ac:dyDescent="0.25">
      <c r="A271" s="347">
        <v>7000</v>
      </c>
      <c r="B271" s="347" t="s">
        <v>287</v>
      </c>
      <c r="C271" s="348">
        <f t="shared" si="50"/>
        <v>37</v>
      </c>
      <c r="D271" s="349">
        <f>SUM(D272,D282)</f>
        <v>0</v>
      </c>
      <c r="E271" s="350">
        <f>SUM(E272,E282)</f>
        <v>0</v>
      </c>
      <c r="F271" s="351">
        <f t="shared" si="37"/>
        <v>0</v>
      </c>
      <c r="G271" s="349">
        <f>SUM(G272,G282)</f>
        <v>0</v>
      </c>
      <c r="H271" s="352">
        <f>SUM(H272,H282)</f>
        <v>0</v>
      </c>
      <c r="I271" s="353">
        <f t="shared" si="38"/>
        <v>0</v>
      </c>
      <c r="J271" s="349">
        <f>SUM(J272,J282)</f>
        <v>37</v>
      </c>
      <c r="K271" s="352">
        <f>SUM(K272,K282)</f>
        <v>0</v>
      </c>
      <c r="L271" s="353">
        <f t="shared" si="39"/>
        <v>37</v>
      </c>
      <c r="M271" s="354">
        <f>SUM(M272,M282)</f>
        <v>0</v>
      </c>
      <c r="N271" s="355">
        <f>SUM(N272,N282)</f>
        <v>0</v>
      </c>
      <c r="O271" s="356">
        <f t="shared" si="40"/>
        <v>0</v>
      </c>
      <c r="P271" s="357"/>
      <c r="R271" s="53"/>
      <c r="S271" s="53"/>
      <c r="T271" s="53"/>
    </row>
    <row r="272" spans="1:20" ht="24" x14ac:dyDescent="0.25">
      <c r="A272" s="99">
        <v>7200</v>
      </c>
      <c r="B272" s="247" t="s">
        <v>288</v>
      </c>
      <c r="C272" s="100">
        <f t="shared" si="50"/>
        <v>37</v>
      </c>
      <c r="D272" s="112">
        <f>SUM(D273,D274,D277,D278,D281)</f>
        <v>0</v>
      </c>
      <c r="E272" s="248">
        <f>SUM(E273,E274,E277,E278,E281)</f>
        <v>0</v>
      </c>
      <c r="F272" s="249">
        <f t="shared" si="37"/>
        <v>0</v>
      </c>
      <c r="G272" s="112">
        <f>SUM(G273,G274,G277,G278,G281)</f>
        <v>0</v>
      </c>
      <c r="H272" s="113">
        <f>SUM(H273,H274,H277,H278,H281)</f>
        <v>0</v>
      </c>
      <c r="I272" s="114">
        <f t="shared" si="38"/>
        <v>0</v>
      </c>
      <c r="J272" s="112">
        <f>SUM(J273,J274,J277,J278,J281)</f>
        <v>37</v>
      </c>
      <c r="K272" s="113">
        <f>SUM(K273,K274,K277,K278,K281)</f>
        <v>0</v>
      </c>
      <c r="L272" s="114">
        <f t="shared" si="39"/>
        <v>37</v>
      </c>
      <c r="M272" s="250">
        <f>SUM(M273,M274,M277,M278,M281)</f>
        <v>0</v>
      </c>
      <c r="N272" s="251">
        <f>SUM(N273,N274,N277,N278,N281)</f>
        <v>0</v>
      </c>
      <c r="O272" s="252">
        <f t="shared" si="40"/>
        <v>0</v>
      </c>
      <c r="P272" s="253"/>
      <c r="R272" s="53"/>
      <c r="S272" s="53"/>
      <c r="T272" s="53"/>
    </row>
    <row r="273" spans="1:20" ht="24" hidden="1" x14ac:dyDescent="0.25">
      <c r="A273" s="656">
        <v>7210</v>
      </c>
      <c r="B273" s="116" t="s">
        <v>289</v>
      </c>
      <c r="C273" s="117">
        <f t="shared" si="50"/>
        <v>0</v>
      </c>
      <c r="D273" s="123"/>
      <c r="E273" s="262"/>
      <c r="F273" s="263">
        <f t="shared" si="37"/>
        <v>0</v>
      </c>
      <c r="G273" s="123"/>
      <c r="H273" s="124"/>
      <c r="I273" s="125">
        <f t="shared" si="38"/>
        <v>0</v>
      </c>
      <c r="J273" s="123"/>
      <c r="K273" s="124"/>
      <c r="L273" s="125">
        <f t="shared" si="39"/>
        <v>0</v>
      </c>
      <c r="M273" s="264"/>
      <c r="N273" s="262"/>
      <c r="O273" s="125">
        <f t="shared" si="40"/>
        <v>0</v>
      </c>
      <c r="P273" s="74"/>
      <c r="R273" s="53"/>
      <c r="S273" s="53"/>
      <c r="T273" s="53"/>
    </row>
    <row r="274" spans="1:20" s="358" customFormat="1" ht="36" hidden="1" x14ac:dyDescent="0.25">
      <c r="A274" s="276">
        <v>7220</v>
      </c>
      <c r="B274" s="127" t="s">
        <v>290</v>
      </c>
      <c r="C274" s="128">
        <f t="shared" si="50"/>
        <v>0</v>
      </c>
      <c r="D274" s="277">
        <f>SUM(D275:D276)</f>
        <v>0</v>
      </c>
      <c r="E274" s="282">
        <f>SUM(E275:E276)</f>
        <v>0</v>
      </c>
      <c r="F274" s="28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c r="R274" s="53"/>
      <c r="S274" s="53"/>
      <c r="T274" s="53"/>
    </row>
    <row r="275" spans="1:20" s="358" customFormat="1" ht="36" hidden="1" x14ac:dyDescent="0.25">
      <c r="A275" s="76">
        <v>7221</v>
      </c>
      <c r="B275" s="127" t="s">
        <v>291</v>
      </c>
      <c r="C275" s="128">
        <f t="shared" si="50"/>
        <v>0</v>
      </c>
      <c r="D275" s="134"/>
      <c r="E275" s="285"/>
      <c r="F275" s="286">
        <f t="shared" si="37"/>
        <v>0</v>
      </c>
      <c r="G275" s="134"/>
      <c r="H275" s="135"/>
      <c r="I275" s="136">
        <f t="shared" si="38"/>
        <v>0</v>
      </c>
      <c r="J275" s="134"/>
      <c r="K275" s="135"/>
      <c r="L275" s="136">
        <f t="shared" si="39"/>
        <v>0</v>
      </c>
      <c r="M275" s="284"/>
      <c r="N275" s="285"/>
      <c r="O275" s="136">
        <f t="shared" si="40"/>
        <v>0</v>
      </c>
      <c r="P275" s="85"/>
      <c r="R275" s="53"/>
      <c r="S275" s="53"/>
      <c r="T275" s="53"/>
    </row>
    <row r="276" spans="1:20" s="358" customFormat="1" ht="36" hidden="1" x14ac:dyDescent="0.25">
      <c r="A276" s="76">
        <v>7222</v>
      </c>
      <c r="B276" s="127" t="s">
        <v>292</v>
      </c>
      <c r="C276" s="128">
        <f t="shared" si="50"/>
        <v>0</v>
      </c>
      <c r="D276" s="134"/>
      <c r="E276" s="285"/>
      <c r="F276" s="286">
        <f t="shared" si="37"/>
        <v>0</v>
      </c>
      <c r="G276" s="134"/>
      <c r="H276" s="135"/>
      <c r="I276" s="136">
        <f t="shared" si="38"/>
        <v>0</v>
      </c>
      <c r="J276" s="134"/>
      <c r="K276" s="135"/>
      <c r="L276" s="136">
        <f t="shared" si="39"/>
        <v>0</v>
      </c>
      <c r="M276" s="284"/>
      <c r="N276" s="285"/>
      <c r="O276" s="136">
        <f t="shared" si="40"/>
        <v>0</v>
      </c>
      <c r="P276" s="85"/>
      <c r="R276" s="53"/>
      <c r="S276" s="53"/>
      <c r="T276" s="53"/>
    </row>
    <row r="277" spans="1:20" s="358" customFormat="1" ht="24" x14ac:dyDescent="0.25">
      <c r="A277" s="276">
        <v>7230</v>
      </c>
      <c r="B277" s="127" t="s">
        <v>293</v>
      </c>
      <c r="C277" s="128">
        <f t="shared" si="50"/>
        <v>37</v>
      </c>
      <c r="D277" s="134"/>
      <c r="E277" s="283"/>
      <c r="F277" s="279">
        <f t="shared" si="37"/>
        <v>0</v>
      </c>
      <c r="G277" s="134"/>
      <c r="H277" s="135"/>
      <c r="I277" s="136">
        <f t="shared" si="38"/>
        <v>0</v>
      </c>
      <c r="J277" s="134">
        <v>37</v>
      </c>
      <c r="K277" s="135"/>
      <c r="L277" s="136">
        <f t="shared" si="39"/>
        <v>37</v>
      </c>
      <c r="M277" s="284"/>
      <c r="N277" s="285"/>
      <c r="O277" s="136">
        <f>M277+N277</f>
        <v>0</v>
      </c>
      <c r="P277" s="85"/>
      <c r="R277" s="53"/>
      <c r="S277" s="53"/>
      <c r="T277" s="53"/>
    </row>
    <row r="278" spans="1:20" ht="24" hidden="1" x14ac:dyDescent="0.25">
      <c r="A278" s="276">
        <v>7240</v>
      </c>
      <c r="B278" s="127" t="s">
        <v>294</v>
      </c>
      <c r="C278" s="128">
        <f t="shared" si="50"/>
        <v>0</v>
      </c>
      <c r="D278" s="277">
        <f>SUM(D279:D280)</f>
        <v>0</v>
      </c>
      <c r="E278" s="282">
        <f>SUM(E279:E280)</f>
        <v>0</v>
      </c>
      <c r="F278" s="28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c r="R278" s="53"/>
      <c r="S278" s="53"/>
      <c r="T278" s="53"/>
    </row>
    <row r="279" spans="1:20" ht="48" hidden="1" x14ac:dyDescent="0.25">
      <c r="A279" s="76">
        <v>7245</v>
      </c>
      <c r="B279" s="127" t="s">
        <v>295</v>
      </c>
      <c r="C279" s="128">
        <f t="shared" si="50"/>
        <v>0</v>
      </c>
      <c r="D279" s="134"/>
      <c r="E279" s="285"/>
      <c r="F279" s="286">
        <f t="shared" si="37"/>
        <v>0</v>
      </c>
      <c r="G279" s="134"/>
      <c r="H279" s="135"/>
      <c r="I279" s="136">
        <f t="shared" si="38"/>
        <v>0</v>
      </c>
      <c r="J279" s="134"/>
      <c r="K279" s="135"/>
      <c r="L279" s="136">
        <f t="shared" si="39"/>
        <v>0</v>
      </c>
      <c r="M279" s="284"/>
      <c r="N279" s="285"/>
      <c r="O279" s="136">
        <f t="shared" ref="O279:O282" si="57">M279+N279</f>
        <v>0</v>
      </c>
      <c r="P279" s="85"/>
      <c r="R279" s="53"/>
      <c r="S279" s="53"/>
      <c r="T279" s="53"/>
    </row>
    <row r="280" spans="1:20" ht="96" hidden="1" x14ac:dyDescent="0.25">
      <c r="A280" s="76">
        <v>7246</v>
      </c>
      <c r="B280" s="127" t="s">
        <v>296</v>
      </c>
      <c r="C280" s="128">
        <f t="shared" si="50"/>
        <v>0</v>
      </c>
      <c r="D280" s="134"/>
      <c r="E280" s="285"/>
      <c r="F280" s="286">
        <f t="shared" si="37"/>
        <v>0</v>
      </c>
      <c r="G280" s="134"/>
      <c r="H280" s="135"/>
      <c r="I280" s="136">
        <f t="shared" si="38"/>
        <v>0</v>
      </c>
      <c r="J280" s="134"/>
      <c r="K280" s="135"/>
      <c r="L280" s="136">
        <f t="shared" si="39"/>
        <v>0</v>
      </c>
      <c r="M280" s="284"/>
      <c r="N280" s="285"/>
      <c r="O280" s="136">
        <f t="shared" si="57"/>
        <v>0</v>
      </c>
      <c r="P280" s="85"/>
      <c r="R280" s="53"/>
      <c r="S280" s="53"/>
      <c r="T280" s="53"/>
    </row>
    <row r="281" spans="1:20" ht="24" hidden="1" x14ac:dyDescent="0.25">
      <c r="A281" s="276">
        <v>7260</v>
      </c>
      <c r="B281" s="127" t="s">
        <v>297</v>
      </c>
      <c r="C281" s="128">
        <f t="shared" si="50"/>
        <v>0</v>
      </c>
      <c r="D281" s="123"/>
      <c r="E281" s="262"/>
      <c r="F281" s="263">
        <f t="shared" si="37"/>
        <v>0</v>
      </c>
      <c r="G281" s="123"/>
      <c r="H281" s="124"/>
      <c r="I281" s="125">
        <f t="shared" si="38"/>
        <v>0</v>
      </c>
      <c r="J281" s="123"/>
      <c r="K281" s="124"/>
      <c r="L281" s="125">
        <f t="shared" si="39"/>
        <v>0</v>
      </c>
      <c r="M281" s="264"/>
      <c r="N281" s="262"/>
      <c r="O281" s="125">
        <f t="shared" si="57"/>
        <v>0</v>
      </c>
      <c r="P281" s="74"/>
      <c r="R281" s="53"/>
      <c r="S281" s="53"/>
      <c r="T281" s="53"/>
    </row>
    <row r="282" spans="1:20" hidden="1" x14ac:dyDescent="0.25">
      <c r="A282" s="99">
        <v>7700</v>
      </c>
      <c r="B282" s="247" t="s">
        <v>298</v>
      </c>
      <c r="C282" s="359">
        <f t="shared" si="50"/>
        <v>0</v>
      </c>
      <c r="D282" s="360">
        <f>D283</f>
        <v>0</v>
      </c>
      <c r="E282" s="304">
        <f>SUM(E283)</f>
        <v>0</v>
      </c>
      <c r="F282" s="316">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c r="R282" s="53"/>
      <c r="S282" s="53"/>
      <c r="T282" s="53"/>
    </row>
    <row r="283" spans="1:20" hidden="1" x14ac:dyDescent="0.25">
      <c r="A283" s="141">
        <v>7720</v>
      </c>
      <c r="B283" s="142" t="s">
        <v>299</v>
      </c>
      <c r="C283" s="362">
        <f t="shared" si="50"/>
        <v>0</v>
      </c>
      <c r="D283" s="149"/>
      <c r="E283" s="363"/>
      <c r="F283" s="364">
        <f t="shared" si="37"/>
        <v>0</v>
      </c>
      <c r="G283" s="149"/>
      <c r="H283" s="150"/>
      <c r="I283" s="151">
        <f t="shared" si="38"/>
        <v>0</v>
      </c>
      <c r="J283" s="149"/>
      <c r="K283" s="150"/>
      <c r="L283" s="151">
        <f t="shared" si="39"/>
        <v>0</v>
      </c>
      <c r="M283" s="365"/>
      <c r="N283" s="363"/>
      <c r="O283" s="151">
        <f>M283+N283</f>
        <v>0</v>
      </c>
      <c r="P283" s="153"/>
      <c r="R283" s="53"/>
      <c r="S283" s="53"/>
      <c r="T283" s="53"/>
    </row>
    <row r="284" spans="1:20" x14ac:dyDescent="0.25">
      <c r="A284" s="366"/>
      <c r="B284" s="179" t="s">
        <v>300</v>
      </c>
      <c r="C284" s="117">
        <f t="shared" si="50"/>
        <v>199</v>
      </c>
      <c r="D284" s="255">
        <f>SUM(D285:D286)</f>
        <v>0</v>
      </c>
      <c r="E284" s="256">
        <f>SUM(E285:E286)</f>
        <v>0</v>
      </c>
      <c r="F284" s="257">
        <f t="shared" si="37"/>
        <v>0</v>
      </c>
      <c r="G284" s="255">
        <f>SUM(G285:G286)</f>
        <v>0</v>
      </c>
      <c r="H284" s="258">
        <f>SUM(H285:H286)</f>
        <v>0</v>
      </c>
      <c r="I284" s="259">
        <f t="shared" si="38"/>
        <v>0</v>
      </c>
      <c r="J284" s="255">
        <f>SUM(J285:J286)</f>
        <v>199</v>
      </c>
      <c r="K284" s="258">
        <f>SUM(K285:K286)</f>
        <v>0</v>
      </c>
      <c r="L284" s="259">
        <f t="shared" si="39"/>
        <v>199</v>
      </c>
      <c r="M284" s="260">
        <f>SUM(M285:M286)</f>
        <v>0</v>
      </c>
      <c r="N284" s="261">
        <f>SUM(N285:N286)</f>
        <v>0</v>
      </c>
      <c r="O284" s="259">
        <f t="shared" ref="O284:O299" si="58">M284+N284</f>
        <v>0</v>
      </c>
      <c r="P284" s="189"/>
      <c r="R284" s="53"/>
      <c r="S284" s="53"/>
      <c r="T284" s="53"/>
    </row>
    <row r="285" spans="1:20" hidden="1" x14ac:dyDescent="0.25">
      <c r="A285" s="346" t="s">
        <v>301</v>
      </c>
      <c r="B285" s="76" t="s">
        <v>302</v>
      </c>
      <c r="C285" s="279">
        <f t="shared" si="50"/>
        <v>0</v>
      </c>
      <c r="D285" s="134"/>
      <c r="E285" s="285"/>
      <c r="F285" s="286">
        <f t="shared" si="37"/>
        <v>0</v>
      </c>
      <c r="G285" s="134"/>
      <c r="H285" s="135"/>
      <c r="I285" s="136">
        <f t="shared" si="38"/>
        <v>0</v>
      </c>
      <c r="J285" s="134"/>
      <c r="K285" s="135"/>
      <c r="L285" s="136">
        <f t="shared" si="39"/>
        <v>0</v>
      </c>
      <c r="M285" s="284"/>
      <c r="N285" s="285"/>
      <c r="O285" s="136">
        <f t="shared" si="58"/>
        <v>0</v>
      </c>
      <c r="P285" s="85"/>
      <c r="R285" s="53"/>
      <c r="S285" s="53"/>
      <c r="T285" s="53"/>
    </row>
    <row r="286" spans="1:20" ht="24" x14ac:dyDescent="0.25">
      <c r="A286" s="346" t="s">
        <v>303</v>
      </c>
      <c r="B286" s="367" t="s">
        <v>304</v>
      </c>
      <c r="C286" s="117">
        <f t="shared" si="50"/>
        <v>199</v>
      </c>
      <c r="D286" s="123"/>
      <c r="E286" s="295"/>
      <c r="F286" s="296">
        <f t="shared" si="37"/>
        <v>0</v>
      </c>
      <c r="G286" s="123"/>
      <c r="H286" s="124"/>
      <c r="I286" s="125">
        <f t="shared" si="38"/>
        <v>0</v>
      </c>
      <c r="J286" s="123">
        <v>199</v>
      </c>
      <c r="K286" s="124"/>
      <c r="L286" s="125">
        <f t="shared" si="39"/>
        <v>199</v>
      </c>
      <c r="M286" s="264"/>
      <c r="N286" s="262"/>
      <c r="O286" s="125">
        <f t="shared" si="58"/>
        <v>0</v>
      </c>
      <c r="P286" s="74"/>
      <c r="R286" s="53"/>
      <c r="S286" s="53"/>
      <c r="T286" s="53"/>
    </row>
    <row r="287" spans="1:20" x14ac:dyDescent="0.25">
      <c r="A287" s="368"/>
      <c r="B287" s="369" t="s">
        <v>305</v>
      </c>
      <c r="C287" s="370">
        <f>SUM(C284,C271,C233,C198,C190,C176,C78,C56)</f>
        <v>321647</v>
      </c>
      <c r="D287" s="371">
        <f>SUM(D284,D271,D233,D198,D190,D176,D78,D56)</f>
        <v>300455</v>
      </c>
      <c r="E287" s="372">
        <f>SUM(E284,E271,E233,E198,E190,E176,E78,E56)</f>
        <v>0</v>
      </c>
      <c r="F287" s="373">
        <f t="shared" si="37"/>
        <v>300455</v>
      </c>
      <c r="G287" s="371">
        <f>SUM(G284,G271,G233,G198,G190,G176,G78,G56)</f>
        <v>20521</v>
      </c>
      <c r="H287" s="374">
        <f>SUM(H284,H271,H233,H198,H190,H176,H78,H56)</f>
        <v>0</v>
      </c>
      <c r="I287" s="375">
        <f t="shared" si="38"/>
        <v>20521</v>
      </c>
      <c r="J287" s="371">
        <f>SUM(J284,J271,J233,J198,J190,J176,J78,J56)</f>
        <v>671</v>
      </c>
      <c r="K287" s="374">
        <f>SUM(K284,K271,K233,K198,K190,K176,K78,K56)</f>
        <v>0</v>
      </c>
      <c r="L287" s="375">
        <f t="shared" si="39"/>
        <v>671</v>
      </c>
      <c r="M287" s="250">
        <f>SUM(M284,M271,M233,M198,M190,M176,M78,M56)</f>
        <v>0</v>
      </c>
      <c r="N287" s="251">
        <f>SUM(N284,N271,N233,N198,N190,N176,N78,N56)</f>
        <v>0</v>
      </c>
      <c r="O287" s="252">
        <f t="shared" si="58"/>
        <v>0</v>
      </c>
      <c r="P287" s="253"/>
      <c r="R287" s="53"/>
      <c r="S287" s="53"/>
      <c r="T287" s="53"/>
    </row>
    <row r="288" spans="1:20" x14ac:dyDescent="0.25">
      <c r="A288" s="376" t="s">
        <v>306</v>
      </c>
      <c r="B288" s="377"/>
      <c r="C288" s="378">
        <f t="shared" ref="C288" si="59">F288+I288+L288+O288</f>
        <v>-212</v>
      </c>
      <c r="D288" s="379">
        <f>SUM(D28,D29,D45)-D54</f>
        <v>0</v>
      </c>
      <c r="E288" s="380">
        <f>SUM(E28,E29,E45)-E54</f>
        <v>0</v>
      </c>
      <c r="F288" s="381">
        <f t="shared" si="37"/>
        <v>0</v>
      </c>
      <c r="G288" s="379">
        <f>SUM(G28,G29,G45)-G54</f>
        <v>0</v>
      </c>
      <c r="H288" s="382">
        <f>SUM(H28,H29,H45)-H54</f>
        <v>0</v>
      </c>
      <c r="I288" s="383">
        <f t="shared" si="38"/>
        <v>0</v>
      </c>
      <c r="J288" s="379">
        <f>(J30+J46)-J54</f>
        <v>-212</v>
      </c>
      <c r="K288" s="382">
        <f>(K30+K46)-K54</f>
        <v>0</v>
      </c>
      <c r="L288" s="383">
        <f t="shared" si="39"/>
        <v>-212</v>
      </c>
      <c r="M288" s="378">
        <f>M48-M54</f>
        <v>0</v>
      </c>
      <c r="N288" s="384">
        <f>N48-N54</f>
        <v>0</v>
      </c>
      <c r="O288" s="383">
        <f t="shared" si="58"/>
        <v>0</v>
      </c>
      <c r="P288" s="385"/>
      <c r="R288" s="53"/>
      <c r="S288" s="53"/>
      <c r="T288" s="53"/>
    </row>
    <row r="289" spans="1:20" s="41" customFormat="1" x14ac:dyDescent="0.25">
      <c r="A289" s="376" t="s">
        <v>307</v>
      </c>
      <c r="B289" s="377"/>
      <c r="C289" s="380">
        <f>SUM(C290,C291)-C298+C299</f>
        <v>212</v>
      </c>
      <c r="D289" s="379">
        <f>SUM(D290,D291)-D298+D299</f>
        <v>0</v>
      </c>
      <c r="E289" s="380">
        <f>SUM(E290,E291)-E298+E299</f>
        <v>0</v>
      </c>
      <c r="F289" s="381">
        <f t="shared" si="37"/>
        <v>0</v>
      </c>
      <c r="G289" s="379">
        <f>SUM(G290,G291)-G298+G299</f>
        <v>0</v>
      </c>
      <c r="H289" s="382">
        <f>SUM(H290,H291)-H298+H299</f>
        <v>0</v>
      </c>
      <c r="I289" s="383">
        <f t="shared" si="38"/>
        <v>0</v>
      </c>
      <c r="J289" s="379">
        <f>SUM(J290,J291)-J298+J299</f>
        <v>212</v>
      </c>
      <c r="K289" s="382">
        <f>SUM(K290,K291)-K298+K299</f>
        <v>0</v>
      </c>
      <c r="L289" s="383">
        <f t="shared" si="39"/>
        <v>212</v>
      </c>
      <c r="M289" s="378">
        <f>SUM(M290,M291)-M298+M299</f>
        <v>0</v>
      </c>
      <c r="N289" s="384">
        <f>SUM(N290,N291)-N298+N299</f>
        <v>0</v>
      </c>
      <c r="O289" s="383">
        <f t="shared" si="58"/>
        <v>0</v>
      </c>
      <c r="P289" s="385"/>
      <c r="R289" s="53"/>
      <c r="S289" s="53"/>
      <c r="T289" s="53"/>
    </row>
    <row r="290" spans="1:20" s="41" customFormat="1" x14ac:dyDescent="0.25">
      <c r="A290" s="386" t="s">
        <v>308</v>
      </c>
      <c r="B290" s="386" t="s">
        <v>309</v>
      </c>
      <c r="C290" s="380">
        <f>C25-C284</f>
        <v>212</v>
      </c>
      <c r="D290" s="379">
        <f>D25-D284</f>
        <v>0</v>
      </c>
      <c r="E290" s="380">
        <f>E25-E284</f>
        <v>0</v>
      </c>
      <c r="F290" s="381">
        <f t="shared" si="37"/>
        <v>0</v>
      </c>
      <c r="G290" s="379">
        <f>G25-G284</f>
        <v>0</v>
      </c>
      <c r="H290" s="382">
        <f>H25-H284</f>
        <v>0</v>
      </c>
      <c r="I290" s="383">
        <f t="shared" si="38"/>
        <v>0</v>
      </c>
      <c r="J290" s="379">
        <f>J25-J284</f>
        <v>212</v>
      </c>
      <c r="K290" s="382">
        <f>K25-K284</f>
        <v>0</v>
      </c>
      <c r="L290" s="383">
        <f t="shared" si="39"/>
        <v>212</v>
      </c>
      <c r="M290" s="378">
        <f>M25-M284</f>
        <v>0</v>
      </c>
      <c r="N290" s="384">
        <f>N25-N284</f>
        <v>0</v>
      </c>
      <c r="O290" s="383">
        <f t="shared" si="58"/>
        <v>0</v>
      </c>
      <c r="P290" s="385"/>
      <c r="R290" s="53"/>
      <c r="S290" s="53"/>
      <c r="T290" s="53"/>
    </row>
    <row r="291" spans="1:20" s="41" customFormat="1" hidden="1" x14ac:dyDescent="0.25">
      <c r="A291" s="387" t="s">
        <v>310</v>
      </c>
      <c r="B291" s="387" t="s">
        <v>311</v>
      </c>
      <c r="C291" s="380">
        <f>SUM(C292,C294,C296)-SUM(C293,C295,C297)</f>
        <v>0</v>
      </c>
      <c r="D291" s="379">
        <f t="shared" ref="D291:E291" si="60">SUM(D292,D294,D296)-SUM(D293,D295,D297)</f>
        <v>0</v>
      </c>
      <c r="E291" s="384">
        <f t="shared" si="60"/>
        <v>0</v>
      </c>
      <c r="F291" s="388">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c r="R291" s="53"/>
      <c r="S291" s="53"/>
      <c r="T291" s="53"/>
    </row>
    <row r="292" spans="1:20" s="41" customFormat="1" hidden="1" x14ac:dyDescent="0.25">
      <c r="A292" s="366" t="s">
        <v>312</v>
      </c>
      <c r="B292" s="190" t="s">
        <v>313</v>
      </c>
      <c r="C292" s="143">
        <f t="shared" ref="C292:C299" si="64">F292+I292+L292+O292</f>
        <v>0</v>
      </c>
      <c r="D292" s="149"/>
      <c r="E292" s="363"/>
      <c r="F292" s="364">
        <f t="shared" si="37"/>
        <v>0</v>
      </c>
      <c r="G292" s="149"/>
      <c r="H292" s="150"/>
      <c r="I292" s="151">
        <f t="shared" si="38"/>
        <v>0</v>
      </c>
      <c r="J292" s="149"/>
      <c r="K292" s="150"/>
      <c r="L292" s="151">
        <f t="shared" si="39"/>
        <v>0</v>
      </c>
      <c r="M292" s="365"/>
      <c r="N292" s="363"/>
      <c r="O292" s="151">
        <f t="shared" si="58"/>
        <v>0</v>
      </c>
      <c r="P292" s="153"/>
      <c r="R292" s="53"/>
      <c r="S292" s="53"/>
      <c r="T292" s="53"/>
    </row>
    <row r="293" spans="1:20" ht="24" hidden="1" x14ac:dyDescent="0.25">
      <c r="A293" s="346" t="s">
        <v>314</v>
      </c>
      <c r="B293" s="75" t="s">
        <v>315</v>
      </c>
      <c r="C293" s="128">
        <f t="shared" si="64"/>
        <v>0</v>
      </c>
      <c r="D293" s="134"/>
      <c r="E293" s="285"/>
      <c r="F293" s="286">
        <f t="shared" si="37"/>
        <v>0</v>
      </c>
      <c r="G293" s="134"/>
      <c r="H293" s="135"/>
      <c r="I293" s="136">
        <f t="shared" si="38"/>
        <v>0</v>
      </c>
      <c r="J293" s="134"/>
      <c r="K293" s="135"/>
      <c r="L293" s="136">
        <f t="shared" si="39"/>
        <v>0</v>
      </c>
      <c r="M293" s="284"/>
      <c r="N293" s="285"/>
      <c r="O293" s="136">
        <f t="shared" si="58"/>
        <v>0</v>
      </c>
      <c r="P293" s="85"/>
      <c r="R293" s="53"/>
      <c r="S293" s="53"/>
      <c r="T293" s="53"/>
    </row>
    <row r="294" spans="1:20" hidden="1" x14ac:dyDescent="0.25">
      <c r="A294" s="346" t="s">
        <v>316</v>
      </c>
      <c r="B294" s="75" t="s">
        <v>317</v>
      </c>
      <c r="C294" s="128">
        <f t="shared" si="64"/>
        <v>0</v>
      </c>
      <c r="D294" s="134"/>
      <c r="E294" s="285"/>
      <c r="F294" s="286">
        <f t="shared" si="37"/>
        <v>0</v>
      </c>
      <c r="G294" s="134"/>
      <c r="H294" s="135"/>
      <c r="I294" s="136">
        <f t="shared" si="38"/>
        <v>0</v>
      </c>
      <c r="J294" s="134"/>
      <c r="K294" s="135"/>
      <c r="L294" s="136">
        <f t="shared" si="39"/>
        <v>0</v>
      </c>
      <c r="M294" s="284"/>
      <c r="N294" s="285"/>
      <c r="O294" s="136">
        <f t="shared" si="58"/>
        <v>0</v>
      </c>
      <c r="P294" s="85"/>
      <c r="R294" s="53"/>
      <c r="S294" s="53"/>
      <c r="T294" s="53"/>
    </row>
    <row r="295" spans="1:20" ht="24" hidden="1" x14ac:dyDescent="0.25">
      <c r="A295" s="346" t="s">
        <v>318</v>
      </c>
      <c r="B295" s="75" t="s">
        <v>319</v>
      </c>
      <c r="C295" s="128">
        <f t="shared" si="64"/>
        <v>0</v>
      </c>
      <c r="D295" s="134"/>
      <c r="E295" s="285"/>
      <c r="F295" s="286">
        <f t="shared" si="37"/>
        <v>0</v>
      </c>
      <c r="G295" s="134"/>
      <c r="H295" s="135"/>
      <c r="I295" s="136">
        <f t="shared" si="38"/>
        <v>0</v>
      </c>
      <c r="J295" s="134"/>
      <c r="K295" s="135"/>
      <c r="L295" s="136">
        <f t="shared" si="39"/>
        <v>0</v>
      </c>
      <c r="M295" s="284"/>
      <c r="N295" s="285"/>
      <c r="O295" s="136">
        <f t="shared" si="58"/>
        <v>0</v>
      </c>
      <c r="P295" s="85"/>
      <c r="R295" s="53"/>
      <c r="S295" s="53"/>
      <c r="T295" s="53"/>
    </row>
    <row r="296" spans="1:20" hidden="1" x14ac:dyDescent="0.25">
      <c r="A296" s="346" t="s">
        <v>320</v>
      </c>
      <c r="B296" s="75" t="s">
        <v>321</v>
      </c>
      <c r="C296" s="128">
        <f t="shared" si="64"/>
        <v>0</v>
      </c>
      <c r="D296" s="134"/>
      <c r="E296" s="285"/>
      <c r="F296" s="286">
        <f t="shared" si="37"/>
        <v>0</v>
      </c>
      <c r="G296" s="134"/>
      <c r="H296" s="135"/>
      <c r="I296" s="136">
        <f t="shared" si="38"/>
        <v>0</v>
      </c>
      <c r="J296" s="134"/>
      <c r="K296" s="135"/>
      <c r="L296" s="136">
        <f t="shared" si="39"/>
        <v>0</v>
      </c>
      <c r="M296" s="284"/>
      <c r="N296" s="285"/>
      <c r="O296" s="136">
        <f t="shared" si="58"/>
        <v>0</v>
      </c>
      <c r="P296" s="85"/>
      <c r="R296" s="53"/>
      <c r="S296" s="53"/>
      <c r="T296" s="53"/>
    </row>
    <row r="297" spans="1:20" ht="24" hidden="1" x14ac:dyDescent="0.25">
      <c r="A297" s="389" t="s">
        <v>322</v>
      </c>
      <c r="B297" s="390" t="s">
        <v>323</v>
      </c>
      <c r="C297" s="327">
        <f t="shared" si="64"/>
        <v>0</v>
      </c>
      <c r="D297" s="328"/>
      <c r="E297" s="329"/>
      <c r="F297" s="330">
        <f t="shared" si="37"/>
        <v>0</v>
      </c>
      <c r="G297" s="328"/>
      <c r="H297" s="331"/>
      <c r="I297" s="324">
        <f t="shared" si="38"/>
        <v>0</v>
      </c>
      <c r="J297" s="328"/>
      <c r="K297" s="331"/>
      <c r="L297" s="324">
        <f t="shared" si="39"/>
        <v>0</v>
      </c>
      <c r="M297" s="332"/>
      <c r="N297" s="329"/>
      <c r="O297" s="324">
        <f t="shared" si="58"/>
        <v>0</v>
      </c>
      <c r="P297" s="325"/>
      <c r="R297" s="53"/>
      <c r="S297" s="53"/>
      <c r="T297" s="53"/>
    </row>
    <row r="298" spans="1:20" hidden="1" x14ac:dyDescent="0.25">
      <c r="A298" s="387" t="s">
        <v>324</v>
      </c>
      <c r="B298" s="387" t="s">
        <v>325</v>
      </c>
      <c r="C298" s="391">
        <f t="shared" si="64"/>
        <v>0</v>
      </c>
      <c r="D298" s="392"/>
      <c r="E298" s="393"/>
      <c r="F298" s="388">
        <f t="shared" si="37"/>
        <v>0</v>
      </c>
      <c r="G298" s="392"/>
      <c r="H298" s="394"/>
      <c r="I298" s="383">
        <f t="shared" si="38"/>
        <v>0</v>
      </c>
      <c r="J298" s="392"/>
      <c r="K298" s="394"/>
      <c r="L298" s="383">
        <f t="shared" si="39"/>
        <v>0</v>
      </c>
      <c r="M298" s="395"/>
      <c r="N298" s="393"/>
      <c r="O298" s="383">
        <f t="shared" si="58"/>
        <v>0</v>
      </c>
      <c r="P298" s="385"/>
      <c r="R298" s="53"/>
      <c r="S298" s="53"/>
      <c r="T298" s="53"/>
    </row>
    <row r="299" spans="1:20" s="41" customFormat="1" ht="48" hidden="1" x14ac:dyDescent="0.25">
      <c r="A299" s="387" t="s">
        <v>326</v>
      </c>
      <c r="B299" s="396" t="s">
        <v>327</v>
      </c>
      <c r="C299" s="397">
        <f t="shared" si="64"/>
        <v>0</v>
      </c>
      <c r="D299" s="398"/>
      <c r="E299" s="399"/>
      <c r="F299" s="400">
        <f t="shared" si="37"/>
        <v>0</v>
      </c>
      <c r="G299" s="392"/>
      <c r="H299" s="394"/>
      <c r="I299" s="383">
        <f t="shared" si="38"/>
        <v>0</v>
      </c>
      <c r="J299" s="392"/>
      <c r="K299" s="394"/>
      <c r="L299" s="383">
        <f t="shared" si="39"/>
        <v>0</v>
      </c>
      <c r="M299" s="395"/>
      <c r="N299" s="393"/>
      <c r="O299" s="383">
        <f t="shared" si="58"/>
        <v>0</v>
      </c>
      <c r="P299" s="385"/>
      <c r="R299" s="53"/>
      <c r="S299" s="53"/>
      <c r="T299" s="53"/>
    </row>
    <row r="300" spans="1:20"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20" ht="12.75" thickBot="1" x14ac:dyDescent="0.3">
      <c r="A301" s="404"/>
      <c r="B301" s="405"/>
      <c r="C301" s="405"/>
      <c r="D301" s="405"/>
      <c r="E301" s="405"/>
      <c r="F301" s="405"/>
      <c r="G301" s="405"/>
      <c r="H301" s="405"/>
      <c r="I301" s="405"/>
      <c r="J301" s="405"/>
      <c r="K301" s="405"/>
      <c r="L301" s="405"/>
      <c r="M301" s="405"/>
      <c r="N301" s="405"/>
      <c r="O301" s="405"/>
      <c r="P301" s="406"/>
      <c r="Q301" s="7"/>
    </row>
    <row r="302" spans="1:20" x14ac:dyDescent="0.25">
      <c r="A302" s="5"/>
      <c r="B302" s="5"/>
      <c r="C302" s="5"/>
      <c r="D302" s="5"/>
      <c r="E302" s="5"/>
      <c r="F302" s="5"/>
      <c r="G302" s="5"/>
      <c r="H302" s="5"/>
      <c r="I302" s="5"/>
      <c r="J302" s="5"/>
      <c r="K302" s="5"/>
      <c r="L302" s="5"/>
      <c r="M302" s="5"/>
      <c r="N302" s="5"/>
      <c r="O302" s="5"/>
    </row>
    <row r="303" spans="1:20" x14ac:dyDescent="0.25">
      <c r="A303" s="5"/>
      <c r="B303" s="5"/>
      <c r="C303" s="5"/>
      <c r="D303" s="5"/>
      <c r="E303" s="5"/>
      <c r="F303" s="5"/>
      <c r="G303" s="5"/>
      <c r="H303" s="5"/>
      <c r="I303" s="5"/>
      <c r="J303" s="5"/>
      <c r="K303" s="5"/>
      <c r="L303" s="5"/>
      <c r="M303" s="5"/>
      <c r="N303" s="5"/>
      <c r="O303" s="5"/>
    </row>
    <row r="304" spans="1:20"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Vq7xQ0n3pdUz3LCJ9pgCv4WtLYWMMgyvjYkjBT56sCUg5Hbvq3Kih7lhtPAQ4fsZNNrfElL5+krOfAcx0E5XQ==" saltValue="ptgazhHsFOcORt+le4HiTQ==" spinCount="100000" sheet="1" objects="1" scenarios="1" selectLockedCells="1" selectUnlockedCells="1"/>
  <autoFilter ref="A22:P300">
    <filterColumn colId="2">
      <filters blank="1">
        <filter val="1 062"/>
        <filter val="1 125"/>
        <filter val="1 214"/>
        <filter val="1 251"/>
        <filter val="1 464"/>
        <filter val="1 865"/>
        <filter val="10 039"/>
        <filter val="12 893"/>
        <filter val="133"/>
        <filter val="136"/>
        <filter val="14 582"/>
        <filter val="150"/>
        <filter val="186 068"/>
        <filter val="199"/>
        <filter val="2 327"/>
        <filter val="2 489"/>
        <filter val="2 654"/>
        <filter val="209 047"/>
        <filter val="21 917"/>
        <filter val="212"/>
        <filter val="-212"/>
        <filter val="22"/>
        <filter val="223"/>
        <filter val="24"/>
        <filter val="255"/>
        <filter val="26 256"/>
        <filter val="26 629"/>
        <filter val="274 903"/>
        <filter val="3 748"/>
        <filter val="300"/>
        <filter val="320 197"/>
        <filter val="320 976"/>
        <filter val="321 448"/>
        <filter val="321 647"/>
        <filter val="327"/>
        <filter val="37"/>
        <filter val="373"/>
        <filter val="39 447"/>
        <filter val="411"/>
        <filter val="45 294"/>
        <filter val="490"/>
        <filter val="5"/>
        <filter val="5 679"/>
        <filter val="5 977"/>
        <filter val="50"/>
        <filter val="51 274"/>
        <filter val="56"/>
        <filter val="641"/>
        <filter val="65 856"/>
        <filter val="670"/>
        <filter val="7 964"/>
        <filter val="72"/>
        <filter val="776"/>
        <filter val="84"/>
        <filter val="850"/>
        <filter val="9 549"/>
        <filter val="90"/>
        <filter val="906"/>
        <filter val="914"/>
        <filter val="922"/>
        <filter val="924"/>
        <filter val="96"/>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93.pielikums Jūrmalas pilsētas domes
2017.gada 30.janvāra saistošajiem noteikumiem Nr.10
(Protokols Nr.4, 1.punkts)
 </firstHeader>
    <firstFooter>&amp;L&amp;9&amp;D; &amp;T&amp;R&amp;9&amp;P (&amp;N)</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1"/>
  <sheetViews>
    <sheetView view="pageLayout" zoomScaleNormal="100" workbookViewId="0">
      <selection activeCell="R7" sqref="R7"/>
    </sheetView>
  </sheetViews>
  <sheetFormatPr defaultRowHeight="12" outlineLevelCol="1" x14ac:dyDescent="0.25"/>
  <cols>
    <col min="1" max="1" width="10.85546875" style="1" customWidth="1"/>
    <col min="2" max="2" width="28" style="1" customWidth="1"/>
    <col min="3" max="3" width="8.7109375" style="1" customWidth="1"/>
    <col min="4" max="4" width="8.7109375" style="1" hidden="1" customWidth="1" outlineLevel="1"/>
    <col min="5" max="5" width="9.4257812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1125</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7"/>
    </row>
    <row r="4" spans="1:17" ht="15.75"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1126</v>
      </c>
      <c r="D6" s="1555"/>
      <c r="E6" s="1555"/>
      <c r="F6" s="1555"/>
      <c r="G6" s="1555"/>
      <c r="H6" s="1555"/>
      <c r="I6" s="1555"/>
      <c r="J6" s="1555"/>
      <c r="K6" s="1555"/>
      <c r="L6" s="1555"/>
      <c r="M6" s="1555"/>
      <c r="N6" s="1555"/>
      <c r="O6" s="1555"/>
      <c r="P6" s="1556"/>
      <c r="Q6" s="7"/>
    </row>
    <row r="7" spans="1:17" ht="12.75" x14ac:dyDescent="0.25">
      <c r="A7" s="13" t="s">
        <v>4</v>
      </c>
      <c r="B7" s="14"/>
      <c r="C7" s="1555" t="s">
        <v>1127</v>
      </c>
      <c r="D7" s="1555"/>
      <c r="E7" s="1555"/>
      <c r="F7" s="1555"/>
      <c r="G7" s="1555"/>
      <c r="H7" s="1555"/>
      <c r="I7" s="1555"/>
      <c r="J7" s="1555"/>
      <c r="K7" s="1555"/>
      <c r="L7" s="1555"/>
      <c r="M7" s="1555"/>
      <c r="N7" s="1555"/>
      <c r="O7" s="1555"/>
      <c r="P7" s="1556"/>
      <c r="Q7" s="7"/>
    </row>
    <row r="8" spans="1:17" x14ac:dyDescent="0.25">
      <c r="A8" s="8" t="s">
        <v>6</v>
      </c>
      <c r="B8" s="9"/>
      <c r="C8" s="1553" t="s">
        <v>1128</v>
      </c>
      <c r="D8" s="1553"/>
      <c r="E8" s="1553"/>
      <c r="F8" s="1553"/>
      <c r="G8" s="1553"/>
      <c r="H8" s="1553"/>
      <c r="I8" s="1553"/>
      <c r="J8" s="1553"/>
      <c r="K8" s="1553"/>
      <c r="L8" s="1553"/>
      <c r="M8" s="1553"/>
      <c r="N8" s="1553"/>
      <c r="O8" s="1553"/>
      <c r="P8" s="1554"/>
      <c r="Q8" s="7"/>
    </row>
    <row r="9" spans="1:17" x14ac:dyDescent="0.25">
      <c r="A9" s="8" t="s">
        <v>8</v>
      </c>
      <c r="B9" s="9"/>
      <c r="C9" s="1553" t="s">
        <v>9</v>
      </c>
      <c r="D9" s="1553"/>
      <c r="E9" s="1553"/>
      <c r="F9" s="1553"/>
      <c r="G9" s="1553"/>
      <c r="H9" s="1553"/>
      <c r="I9" s="1553"/>
      <c r="J9" s="1553"/>
      <c r="K9" s="1553"/>
      <c r="L9" s="1553"/>
      <c r="M9" s="1553"/>
      <c r="N9" s="1553"/>
      <c r="O9" s="1553"/>
      <c r="P9" s="1554"/>
      <c r="Q9" s="7"/>
    </row>
    <row r="10" spans="1:17" ht="24" customHeight="1" x14ac:dyDescent="0.25">
      <c r="A10" s="8" t="s">
        <v>10</v>
      </c>
      <c r="B10" s="9"/>
      <c r="C10" s="1555" t="s">
        <v>11</v>
      </c>
      <c r="D10" s="1555"/>
      <c r="E10" s="1555"/>
      <c r="F10" s="1555"/>
      <c r="G10" s="1555"/>
      <c r="H10" s="1555"/>
      <c r="I10" s="1555"/>
      <c r="J10" s="1555"/>
      <c r="K10" s="1555"/>
      <c r="L10" s="1555"/>
      <c r="M10" s="1555"/>
      <c r="N10" s="1555"/>
      <c r="O10" s="1555"/>
      <c r="P10" s="1556"/>
      <c r="Q10" s="7"/>
    </row>
    <row r="11" spans="1:17" x14ac:dyDescent="0.25">
      <c r="A11" s="8" t="s">
        <v>12</v>
      </c>
      <c r="B11" s="9"/>
      <c r="C11" s="1555" t="s">
        <v>13</v>
      </c>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1129</v>
      </c>
      <c r="D13" s="1553"/>
      <c r="E13" s="1553"/>
      <c r="F13" s="1553"/>
      <c r="G13" s="1553"/>
      <c r="H13" s="1553"/>
      <c r="I13" s="1553"/>
      <c r="J13" s="1553"/>
      <c r="K13" s="1553"/>
      <c r="L13" s="1553"/>
      <c r="M13" s="1553"/>
      <c r="N13" s="1553"/>
      <c r="O13" s="1553"/>
      <c r="P13" s="1554"/>
      <c r="Q13" s="7"/>
    </row>
    <row r="14" spans="1:17" x14ac:dyDescent="0.25">
      <c r="A14" s="8"/>
      <c r="B14" s="9" t="s">
        <v>17</v>
      </c>
      <c r="C14" s="1553" t="s">
        <v>1130</v>
      </c>
      <c r="D14" s="1553"/>
      <c r="E14" s="1553"/>
      <c r="F14" s="1553"/>
      <c r="G14" s="1553"/>
      <c r="H14" s="1553"/>
      <c r="I14" s="1553"/>
      <c r="J14" s="1553"/>
      <c r="K14" s="1553"/>
      <c r="L14" s="1553"/>
      <c r="M14" s="1553"/>
      <c r="N14" s="1553"/>
      <c r="O14" s="1553"/>
      <c r="P14" s="1554"/>
      <c r="Q14" s="7"/>
    </row>
    <row r="15" spans="1:17" x14ac:dyDescent="0.25">
      <c r="A15" s="8"/>
      <c r="B15" s="9" t="s">
        <v>19</v>
      </c>
      <c r="C15" s="1553"/>
      <c r="D15" s="1553"/>
      <c r="E15" s="1553"/>
      <c r="F15" s="1553"/>
      <c r="G15" s="1553"/>
      <c r="H15" s="1553"/>
      <c r="I15" s="1553"/>
      <c r="J15" s="1553"/>
      <c r="K15" s="1553"/>
      <c r="L15" s="1553"/>
      <c r="M15" s="1553"/>
      <c r="N15" s="1553"/>
      <c r="O15" s="1553"/>
      <c r="P15" s="1554"/>
      <c r="Q15" s="7"/>
    </row>
    <row r="16" spans="1:17" x14ac:dyDescent="0.25">
      <c r="A16" s="8"/>
      <c r="B16" s="9" t="s">
        <v>20</v>
      </c>
      <c r="C16" s="1553" t="s">
        <v>1131</v>
      </c>
      <c r="D16" s="1553"/>
      <c r="E16" s="1553"/>
      <c r="F16" s="1553"/>
      <c r="G16" s="1553"/>
      <c r="H16" s="1553"/>
      <c r="I16" s="1553"/>
      <c r="J16" s="1553"/>
      <c r="K16" s="1553"/>
      <c r="L16" s="1553"/>
      <c r="M16" s="1553"/>
      <c r="N16" s="1553"/>
      <c r="O16" s="1553"/>
      <c r="P16" s="1554"/>
      <c r="Q16" s="7"/>
    </row>
    <row r="17" spans="1:20" x14ac:dyDescent="0.25">
      <c r="A17" s="8"/>
      <c r="B17" s="9" t="s">
        <v>22</v>
      </c>
      <c r="C17" s="1553"/>
      <c r="D17" s="1553"/>
      <c r="E17" s="1553"/>
      <c r="F17" s="1553"/>
      <c r="G17" s="1553"/>
      <c r="H17" s="1553"/>
      <c r="I17" s="1553"/>
      <c r="J17" s="1553"/>
      <c r="K17" s="1553"/>
      <c r="L17" s="1553"/>
      <c r="M17" s="1553"/>
      <c r="N17" s="1553"/>
      <c r="O17" s="1553"/>
      <c r="P17" s="1554"/>
      <c r="Q17" s="7"/>
    </row>
    <row r="18" spans="1:20" x14ac:dyDescent="0.25">
      <c r="A18" s="18"/>
      <c r="B18" s="19"/>
      <c r="C18" s="1569"/>
      <c r="D18" s="1569"/>
      <c r="E18" s="1569"/>
      <c r="F18" s="1569"/>
      <c r="G18" s="1569"/>
      <c r="H18" s="1569"/>
      <c r="I18" s="1569"/>
      <c r="J18" s="1569"/>
      <c r="K18" s="1569"/>
      <c r="L18" s="1569"/>
      <c r="M18" s="1569"/>
      <c r="N18" s="1569"/>
      <c r="O18" s="1569"/>
      <c r="P18" s="1570"/>
      <c r="Q18" s="7"/>
    </row>
    <row r="19" spans="1:20"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0"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20" s="21" customFormat="1" ht="70.5" customHeight="1" thickBot="1" x14ac:dyDescent="0.3">
      <c r="A21" s="1573"/>
      <c r="B21" s="1576"/>
      <c r="C21" s="1581"/>
      <c r="D21" s="1566"/>
      <c r="E21" s="1568"/>
      <c r="F21" s="1564"/>
      <c r="G21" s="1566"/>
      <c r="H21" s="1568"/>
      <c r="I21" s="1564"/>
      <c r="J21" s="1566"/>
      <c r="K21" s="1568"/>
      <c r="L21" s="1564"/>
      <c r="M21" s="1566"/>
      <c r="N21" s="1568"/>
      <c r="O21" s="1564"/>
      <c r="P21" s="1576"/>
    </row>
    <row r="22" spans="1:20"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0" s="41" customFormat="1" x14ac:dyDescent="0.25">
      <c r="A23" s="30"/>
      <c r="B23" s="31" t="s">
        <v>41</v>
      </c>
      <c r="C23" s="32"/>
      <c r="D23" s="33"/>
      <c r="E23" s="34"/>
      <c r="F23" s="35"/>
      <c r="G23" s="33"/>
      <c r="H23" s="36"/>
      <c r="I23" s="37"/>
      <c r="J23" s="33"/>
      <c r="K23" s="38"/>
      <c r="L23" s="37"/>
      <c r="M23" s="38"/>
      <c r="N23" s="39"/>
      <c r="O23" s="37"/>
      <c r="P23" s="40"/>
    </row>
    <row r="24" spans="1:20" s="41" customFormat="1" ht="12.75" thickBot="1" x14ac:dyDescent="0.3">
      <c r="A24" s="42"/>
      <c r="B24" s="43" t="s">
        <v>42</v>
      </c>
      <c r="C24" s="44">
        <f>F24+I24+L24+O24</f>
        <v>321647</v>
      </c>
      <c r="D24" s="45">
        <f>SUM(D25,D28,D29,D45,D46)</f>
        <v>300455</v>
      </c>
      <c r="E24" s="46">
        <f>SUM(E25,E28,E29,E45,E46)</f>
        <v>0</v>
      </c>
      <c r="F24" s="47">
        <f t="shared" ref="F24:F29" si="0">D24+E24</f>
        <v>300455</v>
      </c>
      <c r="G24" s="45">
        <f>SUM(G25,G28,G46)</f>
        <v>20521</v>
      </c>
      <c r="H24" s="48">
        <f>SUM(H25,H28,H46)</f>
        <v>0</v>
      </c>
      <c r="I24" s="49">
        <f>G24+H24</f>
        <v>20521</v>
      </c>
      <c r="J24" s="45">
        <f>SUM(J25,J30,J46)</f>
        <v>671</v>
      </c>
      <c r="K24" s="48">
        <f>SUM(K25,K30,K46)</f>
        <v>0</v>
      </c>
      <c r="L24" s="49">
        <f>J24+K24</f>
        <v>671</v>
      </c>
      <c r="M24" s="50">
        <f>SUM(M25,M48)</f>
        <v>0</v>
      </c>
      <c r="N24" s="51">
        <f>SUM(N25,N48)</f>
        <v>0</v>
      </c>
      <c r="O24" s="49">
        <f>M24+N24</f>
        <v>0</v>
      </c>
      <c r="P24" s="52"/>
      <c r="R24" s="53"/>
      <c r="S24" s="53"/>
      <c r="T24" s="53"/>
    </row>
    <row r="25" spans="1:20" ht="12.75" thickTop="1" x14ac:dyDescent="0.25">
      <c r="A25" s="54"/>
      <c r="B25" s="55" t="s">
        <v>43</v>
      </c>
      <c r="C25" s="56">
        <f>F25+I25+L25+O25</f>
        <v>411</v>
      </c>
      <c r="D25" s="57">
        <f>SUM(D26:D27)</f>
        <v>0</v>
      </c>
      <c r="E25" s="58">
        <f>SUM(E26:E27)</f>
        <v>0</v>
      </c>
      <c r="F25" s="59">
        <f t="shared" si="0"/>
        <v>0</v>
      </c>
      <c r="G25" s="57">
        <f>SUM(G26:G27)</f>
        <v>0</v>
      </c>
      <c r="H25" s="60">
        <f>SUM(H26:H27)</f>
        <v>0</v>
      </c>
      <c r="I25" s="61">
        <f>G25+H25</f>
        <v>0</v>
      </c>
      <c r="J25" s="57">
        <f>SUM(J26:J27)</f>
        <v>411</v>
      </c>
      <c r="K25" s="60">
        <f>SUM(K26:K27)</f>
        <v>0</v>
      </c>
      <c r="L25" s="61">
        <f>J25+K25</f>
        <v>411</v>
      </c>
      <c r="M25" s="62">
        <f>SUM(M26:M27)</f>
        <v>0</v>
      </c>
      <c r="N25" s="63">
        <f>SUM(N26:N27)</f>
        <v>0</v>
      </c>
      <c r="O25" s="61">
        <f>M25+N25</f>
        <v>0</v>
      </c>
      <c r="P25" s="64"/>
      <c r="R25" s="53"/>
      <c r="S25" s="53"/>
      <c r="T25" s="53"/>
    </row>
    <row r="26" spans="1:20" hidden="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c r="R26" s="53"/>
      <c r="S26" s="53"/>
      <c r="T26" s="53"/>
    </row>
    <row r="27" spans="1:20" x14ac:dyDescent="0.25">
      <c r="A27" s="75"/>
      <c r="B27" s="76" t="s">
        <v>45</v>
      </c>
      <c r="C27" s="77">
        <f>F27+I27+L27+O27</f>
        <v>411</v>
      </c>
      <c r="D27" s="78"/>
      <c r="E27" s="79"/>
      <c r="F27" s="80">
        <f t="shared" si="0"/>
        <v>0</v>
      </c>
      <c r="G27" s="78"/>
      <c r="H27" s="81"/>
      <c r="I27" s="82">
        <f>G27+H27</f>
        <v>0</v>
      </c>
      <c r="J27" s="78">
        <v>411</v>
      </c>
      <c r="K27" s="81"/>
      <c r="L27" s="82">
        <f>J27+K27</f>
        <v>411</v>
      </c>
      <c r="M27" s="83"/>
      <c r="N27" s="84"/>
      <c r="O27" s="82">
        <f>M27+N27</f>
        <v>0</v>
      </c>
      <c r="P27" s="85"/>
      <c r="R27" s="53"/>
      <c r="S27" s="53"/>
      <c r="T27" s="53"/>
    </row>
    <row r="28" spans="1:20" s="41" customFormat="1" ht="24.75" thickBot="1" x14ac:dyDescent="0.3">
      <c r="A28" s="86">
        <v>19300</v>
      </c>
      <c r="B28" s="86" t="s">
        <v>46</v>
      </c>
      <c r="C28" s="87">
        <f>SUM(F28,I28)</f>
        <v>320976</v>
      </c>
      <c r="D28" s="88">
        <v>300455</v>
      </c>
      <c r="E28" s="89"/>
      <c r="F28" s="90">
        <f t="shared" si="0"/>
        <v>300455</v>
      </c>
      <c r="G28" s="88">
        <v>20521</v>
      </c>
      <c r="H28" s="91"/>
      <c r="I28" s="92">
        <f>G28+H28</f>
        <v>20521</v>
      </c>
      <c r="J28" s="93" t="s">
        <v>47</v>
      </c>
      <c r="K28" s="94" t="s">
        <v>47</v>
      </c>
      <c r="L28" s="95" t="s">
        <v>47</v>
      </c>
      <c r="M28" s="96" t="s">
        <v>47</v>
      </c>
      <c r="N28" s="97" t="s">
        <v>47</v>
      </c>
      <c r="O28" s="95" t="s">
        <v>47</v>
      </c>
      <c r="P28" s="98"/>
      <c r="R28" s="53"/>
      <c r="S28" s="53"/>
      <c r="T28" s="53"/>
    </row>
    <row r="29" spans="1:20" s="41" customFormat="1" ht="24.75" hidden="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c r="R29" s="53"/>
      <c r="S29" s="53"/>
      <c r="T29" s="53"/>
    </row>
    <row r="30" spans="1:20" s="41" customFormat="1" ht="36.75" thickTop="1" x14ac:dyDescent="0.25">
      <c r="A30" s="99">
        <v>21300</v>
      </c>
      <c r="B30" s="99" t="s">
        <v>49</v>
      </c>
      <c r="C30" s="100">
        <f t="shared" ref="C30:C44" si="1">L30</f>
        <v>255</v>
      </c>
      <c r="D30" s="104" t="s">
        <v>47</v>
      </c>
      <c r="E30" s="110" t="s">
        <v>47</v>
      </c>
      <c r="F30" s="111" t="s">
        <v>47</v>
      </c>
      <c r="G30" s="104" t="s">
        <v>47</v>
      </c>
      <c r="H30" s="105" t="s">
        <v>47</v>
      </c>
      <c r="I30" s="106" t="s">
        <v>47</v>
      </c>
      <c r="J30" s="112">
        <f>SUM(J31,J35,J37,J40)</f>
        <v>255</v>
      </c>
      <c r="K30" s="113">
        <f>SUM(K31,K35,K37,K40)</f>
        <v>0</v>
      </c>
      <c r="L30" s="114">
        <f t="shared" ref="L30:L44" si="2">J30+K30</f>
        <v>255</v>
      </c>
      <c r="M30" s="107" t="s">
        <v>47</v>
      </c>
      <c r="N30" s="108" t="s">
        <v>47</v>
      </c>
      <c r="O30" s="106" t="s">
        <v>47</v>
      </c>
      <c r="P30" s="109"/>
      <c r="R30" s="53"/>
      <c r="S30" s="53"/>
      <c r="T30" s="53"/>
    </row>
    <row r="31" spans="1:20" s="41" customFormat="1" ht="24" x14ac:dyDescent="0.25">
      <c r="A31" s="115">
        <v>21350</v>
      </c>
      <c r="B31" s="99" t="s">
        <v>50</v>
      </c>
      <c r="C31" s="100">
        <f t="shared" si="1"/>
        <v>199</v>
      </c>
      <c r="D31" s="104" t="s">
        <v>47</v>
      </c>
      <c r="E31" s="110" t="s">
        <v>47</v>
      </c>
      <c r="F31" s="111" t="s">
        <v>47</v>
      </c>
      <c r="G31" s="104" t="s">
        <v>47</v>
      </c>
      <c r="H31" s="105" t="s">
        <v>47</v>
      </c>
      <c r="I31" s="106" t="s">
        <v>47</v>
      </c>
      <c r="J31" s="112">
        <f>SUM(J32:J34)</f>
        <v>199</v>
      </c>
      <c r="K31" s="113">
        <f>SUM(K32:K34)</f>
        <v>0</v>
      </c>
      <c r="L31" s="114">
        <f t="shared" si="2"/>
        <v>199</v>
      </c>
      <c r="M31" s="107" t="s">
        <v>47</v>
      </c>
      <c r="N31" s="108" t="s">
        <v>47</v>
      </c>
      <c r="O31" s="106" t="s">
        <v>47</v>
      </c>
      <c r="P31" s="109"/>
      <c r="R31" s="53"/>
      <c r="S31" s="53"/>
      <c r="T31" s="53"/>
    </row>
    <row r="32" spans="1:20" hidden="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c r="R32" s="53"/>
      <c r="S32" s="53"/>
      <c r="T32" s="53"/>
    </row>
    <row r="33" spans="1:20" x14ac:dyDescent="0.25">
      <c r="A33" s="75">
        <v>21352</v>
      </c>
      <c r="B33" s="127" t="s">
        <v>52</v>
      </c>
      <c r="C33" s="128">
        <f t="shared" si="1"/>
        <v>199</v>
      </c>
      <c r="D33" s="129" t="s">
        <v>47</v>
      </c>
      <c r="E33" s="130" t="s">
        <v>47</v>
      </c>
      <c r="F33" s="131" t="s">
        <v>47</v>
      </c>
      <c r="G33" s="129" t="s">
        <v>47</v>
      </c>
      <c r="H33" s="132" t="s">
        <v>47</v>
      </c>
      <c r="I33" s="133" t="s">
        <v>47</v>
      </c>
      <c r="J33" s="134">
        <v>199</v>
      </c>
      <c r="K33" s="135"/>
      <c r="L33" s="136">
        <f t="shared" si="2"/>
        <v>199</v>
      </c>
      <c r="M33" s="137" t="s">
        <v>47</v>
      </c>
      <c r="N33" s="138" t="s">
        <v>47</v>
      </c>
      <c r="O33" s="133" t="s">
        <v>47</v>
      </c>
      <c r="P33" s="85"/>
      <c r="R33" s="53"/>
      <c r="S33" s="53"/>
      <c r="T33" s="53"/>
    </row>
    <row r="34" spans="1:20" ht="24" hidden="1" x14ac:dyDescent="0.25">
      <c r="A34" s="75">
        <v>21359</v>
      </c>
      <c r="B34" s="127" t="s">
        <v>53</v>
      </c>
      <c r="C34" s="128">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c r="R34" s="53"/>
      <c r="S34" s="53"/>
      <c r="T34" s="53"/>
    </row>
    <row r="35" spans="1:20" s="41" customFormat="1" ht="36" hidden="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c r="R35" s="53"/>
      <c r="S35" s="53"/>
      <c r="T35" s="53"/>
    </row>
    <row r="36" spans="1:20" ht="36" hidden="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c r="R36" s="53"/>
      <c r="S36" s="53"/>
      <c r="T36" s="53"/>
    </row>
    <row r="37" spans="1:20" s="41" customFormat="1" hidden="1" x14ac:dyDescent="0.25">
      <c r="A37" s="115">
        <v>21380</v>
      </c>
      <c r="B37" s="99" t="s">
        <v>56</v>
      </c>
      <c r="C37" s="100">
        <f t="shared" si="1"/>
        <v>0</v>
      </c>
      <c r="D37" s="104" t="s">
        <v>47</v>
      </c>
      <c r="E37" s="108" t="s">
        <v>47</v>
      </c>
      <c r="F37" s="140" t="s">
        <v>47</v>
      </c>
      <c r="G37" s="104" t="s">
        <v>47</v>
      </c>
      <c r="H37" s="105" t="s">
        <v>47</v>
      </c>
      <c r="I37" s="106" t="s">
        <v>47</v>
      </c>
      <c r="J37" s="112">
        <f>SUM(J38:J39)</f>
        <v>0</v>
      </c>
      <c r="K37" s="113">
        <f>SUM(K38:K39)</f>
        <v>0</v>
      </c>
      <c r="L37" s="114">
        <f t="shared" si="2"/>
        <v>0</v>
      </c>
      <c r="M37" s="107" t="s">
        <v>47</v>
      </c>
      <c r="N37" s="108" t="s">
        <v>47</v>
      </c>
      <c r="O37" s="106" t="s">
        <v>47</v>
      </c>
      <c r="P37" s="109"/>
      <c r="R37" s="53"/>
      <c r="S37" s="53"/>
      <c r="T37" s="53"/>
    </row>
    <row r="38" spans="1:20" hidden="1" x14ac:dyDescent="0.25">
      <c r="A38" s="66">
        <v>21381</v>
      </c>
      <c r="B38" s="116" t="s">
        <v>57</v>
      </c>
      <c r="C38" s="117">
        <f t="shared" si="1"/>
        <v>0</v>
      </c>
      <c r="D38" s="118" t="s">
        <v>47</v>
      </c>
      <c r="E38" s="119" t="s">
        <v>47</v>
      </c>
      <c r="F38" s="120" t="s">
        <v>47</v>
      </c>
      <c r="G38" s="118" t="s">
        <v>47</v>
      </c>
      <c r="H38" s="121" t="s">
        <v>47</v>
      </c>
      <c r="I38" s="122" t="s">
        <v>47</v>
      </c>
      <c r="J38" s="123"/>
      <c r="K38" s="124"/>
      <c r="L38" s="125">
        <f t="shared" si="2"/>
        <v>0</v>
      </c>
      <c r="M38" s="126" t="s">
        <v>47</v>
      </c>
      <c r="N38" s="119" t="s">
        <v>47</v>
      </c>
      <c r="O38" s="122" t="s">
        <v>47</v>
      </c>
      <c r="P38" s="928"/>
      <c r="R38" s="53"/>
      <c r="S38" s="53"/>
      <c r="T38" s="53"/>
    </row>
    <row r="39" spans="1:20" ht="24" hidden="1" x14ac:dyDescent="0.25">
      <c r="A39" s="76">
        <v>21383</v>
      </c>
      <c r="B39" s="127" t="s">
        <v>58</v>
      </c>
      <c r="C39" s="128">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c r="R39" s="53"/>
      <c r="S39" s="53"/>
      <c r="T39" s="53"/>
    </row>
    <row r="40" spans="1:20" s="41" customFormat="1" ht="24" x14ac:dyDescent="0.25">
      <c r="A40" s="115">
        <v>21390</v>
      </c>
      <c r="B40" s="99" t="s">
        <v>59</v>
      </c>
      <c r="C40" s="100">
        <f t="shared" si="1"/>
        <v>56</v>
      </c>
      <c r="D40" s="104" t="s">
        <v>47</v>
      </c>
      <c r="E40" s="110" t="s">
        <v>47</v>
      </c>
      <c r="F40" s="111" t="s">
        <v>47</v>
      </c>
      <c r="G40" s="104" t="s">
        <v>47</v>
      </c>
      <c r="H40" s="105" t="s">
        <v>47</v>
      </c>
      <c r="I40" s="106" t="s">
        <v>47</v>
      </c>
      <c r="J40" s="112">
        <f>SUM(J41:J44)</f>
        <v>56</v>
      </c>
      <c r="K40" s="113">
        <f>SUM(K41:K44)</f>
        <v>0</v>
      </c>
      <c r="L40" s="114">
        <f t="shared" si="2"/>
        <v>56</v>
      </c>
      <c r="M40" s="107" t="s">
        <v>47</v>
      </c>
      <c r="N40" s="108" t="s">
        <v>47</v>
      </c>
      <c r="O40" s="106" t="s">
        <v>47</v>
      </c>
      <c r="P40" s="109"/>
      <c r="R40" s="53"/>
      <c r="S40" s="53"/>
      <c r="T40" s="53"/>
    </row>
    <row r="41" spans="1:20" ht="24" hidden="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c r="R41" s="53"/>
      <c r="S41" s="53"/>
      <c r="T41" s="53"/>
    </row>
    <row r="42" spans="1:20" hidden="1" x14ac:dyDescent="0.25">
      <c r="A42" s="76">
        <v>21393</v>
      </c>
      <c r="B42" s="127" t="s">
        <v>61</v>
      </c>
      <c r="C42" s="128">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c r="R42" s="53"/>
      <c r="S42" s="53"/>
      <c r="T42" s="53"/>
    </row>
    <row r="43" spans="1:20" hidden="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c r="R43" s="53"/>
      <c r="S43" s="53"/>
      <c r="T43" s="53"/>
    </row>
    <row r="44" spans="1:20" ht="24" x14ac:dyDescent="0.25">
      <c r="A44" s="265">
        <v>21399</v>
      </c>
      <c r="B44" s="266" t="s">
        <v>63</v>
      </c>
      <c r="C44" s="942">
        <f t="shared" si="1"/>
        <v>56</v>
      </c>
      <c r="D44" s="782" t="s">
        <v>47</v>
      </c>
      <c r="E44" s="783" t="s">
        <v>47</v>
      </c>
      <c r="F44" s="943" t="s">
        <v>47</v>
      </c>
      <c r="G44" s="782" t="s">
        <v>47</v>
      </c>
      <c r="H44" s="785" t="s">
        <v>47</v>
      </c>
      <c r="I44" s="944" t="s">
        <v>47</v>
      </c>
      <c r="J44" s="268">
        <v>56</v>
      </c>
      <c r="K44" s="271"/>
      <c r="L44" s="945">
        <f t="shared" si="2"/>
        <v>56</v>
      </c>
      <c r="M44" s="787" t="s">
        <v>47</v>
      </c>
      <c r="N44" s="788" t="s">
        <v>47</v>
      </c>
      <c r="O44" s="944" t="s">
        <v>47</v>
      </c>
      <c r="P44" s="275"/>
      <c r="R44" s="53"/>
      <c r="S44" s="53"/>
      <c r="T44" s="53"/>
    </row>
    <row r="45" spans="1:20" s="41" customFormat="1" ht="24" hidden="1" x14ac:dyDescent="0.25">
      <c r="A45" s="115">
        <v>21420</v>
      </c>
      <c r="B45" s="99" t="s">
        <v>64</v>
      </c>
      <c r="C45" s="156">
        <f>F45</f>
        <v>0</v>
      </c>
      <c r="D45" s="157"/>
      <c r="E45" s="158"/>
      <c r="F45" s="103">
        <f>D45+E45</f>
        <v>0</v>
      </c>
      <c r="G45" s="104" t="s">
        <v>47</v>
      </c>
      <c r="H45" s="105" t="s">
        <v>47</v>
      </c>
      <c r="I45" s="106" t="s">
        <v>47</v>
      </c>
      <c r="J45" s="104" t="s">
        <v>47</v>
      </c>
      <c r="K45" s="105" t="s">
        <v>47</v>
      </c>
      <c r="L45" s="106" t="s">
        <v>47</v>
      </c>
      <c r="M45" s="107" t="s">
        <v>47</v>
      </c>
      <c r="N45" s="108" t="s">
        <v>47</v>
      </c>
      <c r="O45" s="106" t="s">
        <v>47</v>
      </c>
      <c r="P45" s="109"/>
      <c r="R45" s="53"/>
      <c r="S45" s="53"/>
      <c r="T45" s="53"/>
    </row>
    <row r="46" spans="1:20" s="41" customFormat="1" ht="24" x14ac:dyDescent="0.25">
      <c r="A46" s="159">
        <v>21490</v>
      </c>
      <c r="B46" s="160" t="s">
        <v>65</v>
      </c>
      <c r="C46" s="156">
        <f>F46+I46+L46</f>
        <v>5</v>
      </c>
      <c r="D46" s="161">
        <f>D47</f>
        <v>0</v>
      </c>
      <c r="E46" s="672">
        <f>E47</f>
        <v>0</v>
      </c>
      <c r="F46" s="946">
        <f>D46+E46</f>
        <v>0</v>
      </c>
      <c r="G46" s="161">
        <f>G47</f>
        <v>0</v>
      </c>
      <c r="H46" s="164">
        <f t="shared" ref="H46:K46" si="3">H47</f>
        <v>0</v>
      </c>
      <c r="I46" s="947">
        <f>G46+H46</f>
        <v>0</v>
      </c>
      <c r="J46" s="161">
        <f>J47</f>
        <v>5</v>
      </c>
      <c r="K46" s="164">
        <f t="shared" si="3"/>
        <v>0</v>
      </c>
      <c r="L46" s="947">
        <f>J46+K46</f>
        <v>5</v>
      </c>
      <c r="M46" s="107" t="s">
        <v>47</v>
      </c>
      <c r="N46" s="108" t="s">
        <v>47</v>
      </c>
      <c r="O46" s="106" t="s">
        <v>47</v>
      </c>
      <c r="P46" s="109"/>
      <c r="R46" s="53"/>
      <c r="S46" s="53"/>
      <c r="T46" s="53"/>
    </row>
    <row r="47" spans="1:20" s="41" customFormat="1" ht="24" x14ac:dyDescent="0.25">
      <c r="A47" s="265">
        <v>21499</v>
      </c>
      <c r="B47" s="266" t="s">
        <v>66</v>
      </c>
      <c r="C47" s="929">
        <f>F47+I47+L47</f>
        <v>5</v>
      </c>
      <c r="D47" s="930"/>
      <c r="E47" s="948"/>
      <c r="F47" s="949">
        <f>D47+E47</f>
        <v>0</v>
      </c>
      <c r="G47" s="933"/>
      <c r="H47" s="934"/>
      <c r="I47" s="950">
        <f>G47+H47</f>
        <v>0</v>
      </c>
      <c r="J47" s="930">
        <v>5</v>
      </c>
      <c r="K47" s="934"/>
      <c r="L47" s="950">
        <f>J47+K47</f>
        <v>5</v>
      </c>
      <c r="M47" s="936" t="s">
        <v>47</v>
      </c>
      <c r="N47" s="937" t="s">
        <v>47</v>
      </c>
      <c r="O47" s="938" t="s">
        <v>47</v>
      </c>
      <c r="P47" s="939"/>
      <c r="R47" s="53"/>
      <c r="S47" s="53"/>
      <c r="T47" s="53"/>
    </row>
    <row r="48" spans="1:20" ht="24" hidden="1" x14ac:dyDescent="0.25">
      <c r="A48" s="168">
        <v>23000</v>
      </c>
      <c r="B48" s="169" t="s">
        <v>67</v>
      </c>
      <c r="C48" s="156">
        <f>O48</f>
        <v>0</v>
      </c>
      <c r="D48" s="170" t="s">
        <v>47</v>
      </c>
      <c r="E48" s="171" t="s">
        <v>47</v>
      </c>
      <c r="F48" s="172" t="s">
        <v>47</v>
      </c>
      <c r="G48" s="170" t="s">
        <v>47</v>
      </c>
      <c r="H48" s="173" t="s">
        <v>47</v>
      </c>
      <c r="I48" s="174" t="s">
        <v>47</v>
      </c>
      <c r="J48" s="170" t="s">
        <v>47</v>
      </c>
      <c r="K48" s="173" t="s">
        <v>47</v>
      </c>
      <c r="L48" s="174" t="s">
        <v>47</v>
      </c>
      <c r="M48" s="175">
        <f>SUM(M49:M50)</f>
        <v>0</v>
      </c>
      <c r="N48" s="176">
        <f>SUM(N49:N50)</f>
        <v>0</v>
      </c>
      <c r="O48" s="177">
        <f>M48+N48</f>
        <v>0</v>
      </c>
      <c r="P48" s="109"/>
      <c r="R48" s="53"/>
      <c r="S48" s="53"/>
      <c r="T48" s="53"/>
    </row>
    <row r="49" spans="1:20" ht="24" hidden="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c r="R49" s="53"/>
      <c r="S49" s="53"/>
      <c r="T49" s="53"/>
    </row>
    <row r="50" spans="1:20" ht="24" hidden="1" x14ac:dyDescent="0.25">
      <c r="A50" s="178">
        <v>23510</v>
      </c>
      <c r="B50" s="179" t="s">
        <v>69</v>
      </c>
      <c r="C50" s="180">
        <f>O50</f>
        <v>0</v>
      </c>
      <c r="D50" s="181" t="s">
        <v>47</v>
      </c>
      <c r="E50" s="182" t="s">
        <v>47</v>
      </c>
      <c r="F50" s="183" t="s">
        <v>47</v>
      </c>
      <c r="G50" s="181" t="s">
        <v>47</v>
      </c>
      <c r="H50" s="184" t="s">
        <v>47</v>
      </c>
      <c r="I50" s="185" t="s">
        <v>47</v>
      </c>
      <c r="J50" s="181" t="s">
        <v>47</v>
      </c>
      <c r="K50" s="184" t="s">
        <v>47</v>
      </c>
      <c r="L50" s="185" t="s">
        <v>47</v>
      </c>
      <c r="M50" s="186"/>
      <c r="N50" s="187"/>
      <c r="O50" s="188">
        <f>M50+N50</f>
        <v>0</v>
      </c>
      <c r="P50" s="189"/>
      <c r="R50" s="53"/>
      <c r="S50" s="53"/>
      <c r="T50" s="53"/>
    </row>
    <row r="51" spans="1:20" x14ac:dyDescent="0.25">
      <c r="A51" s="190"/>
      <c r="B51" s="179"/>
      <c r="C51" s="191"/>
      <c r="D51" s="192"/>
      <c r="E51" s="193"/>
      <c r="F51" s="194"/>
      <c r="G51" s="192"/>
      <c r="H51" s="195"/>
      <c r="I51" s="185"/>
      <c r="J51" s="196"/>
      <c r="K51" s="197"/>
      <c r="L51" s="188"/>
      <c r="M51" s="186"/>
      <c r="N51" s="187"/>
      <c r="O51" s="188"/>
      <c r="P51" s="189"/>
      <c r="R51" s="53"/>
      <c r="S51" s="53"/>
      <c r="T51" s="53"/>
    </row>
    <row r="52" spans="1:20" s="41" customFormat="1" x14ac:dyDescent="0.25">
      <c r="A52" s="198"/>
      <c r="B52" s="199" t="s">
        <v>70</v>
      </c>
      <c r="C52" s="200"/>
      <c r="D52" s="201"/>
      <c r="E52" s="202"/>
      <c r="F52" s="203"/>
      <c r="G52" s="201"/>
      <c r="H52" s="204"/>
      <c r="I52" s="205"/>
      <c r="J52" s="201"/>
      <c r="K52" s="204"/>
      <c r="L52" s="205"/>
      <c r="M52" s="206"/>
      <c r="N52" s="207"/>
      <c r="O52" s="205"/>
      <c r="P52" s="208"/>
      <c r="R52" s="53"/>
      <c r="S52" s="53"/>
      <c r="T52" s="53"/>
    </row>
    <row r="53" spans="1:20" s="41" customFormat="1" ht="12.75" thickBot="1" x14ac:dyDescent="0.3">
      <c r="A53" s="209"/>
      <c r="B53" s="42" t="s">
        <v>71</v>
      </c>
      <c r="C53" s="210">
        <f t="shared" ref="C53:C116" si="4">F53+I53+L53+O53</f>
        <v>321647</v>
      </c>
      <c r="D53" s="211">
        <f>SUM(D54,D284)</f>
        <v>300455</v>
      </c>
      <c r="E53" s="212">
        <f>SUM(E54,E284)</f>
        <v>0</v>
      </c>
      <c r="F53" s="213">
        <f t="shared" ref="F53:F117" si="5">D53+E53</f>
        <v>300455</v>
      </c>
      <c r="G53" s="211">
        <f>SUM(G54,G284)</f>
        <v>20521</v>
      </c>
      <c r="H53" s="214">
        <f>SUM(H54,H284)</f>
        <v>0</v>
      </c>
      <c r="I53" s="215">
        <f t="shared" ref="I53:I117" si="6">G53+H53</f>
        <v>20521</v>
      </c>
      <c r="J53" s="211">
        <f>SUM(J54,J284)</f>
        <v>671</v>
      </c>
      <c r="K53" s="214">
        <f>SUM(K54,K284)</f>
        <v>0</v>
      </c>
      <c r="L53" s="215">
        <f t="shared" ref="L53:L117" si="7">J53+K53</f>
        <v>671</v>
      </c>
      <c r="M53" s="216">
        <f>SUM(M54,M284)</f>
        <v>0</v>
      </c>
      <c r="N53" s="217">
        <f>SUM(N54,N284)</f>
        <v>0</v>
      </c>
      <c r="O53" s="215">
        <f t="shared" ref="O53:O117" si="8">M53+N53</f>
        <v>0</v>
      </c>
      <c r="P53" s="52"/>
      <c r="R53" s="53"/>
      <c r="S53" s="53"/>
      <c r="T53" s="53"/>
    </row>
    <row r="54" spans="1:20" s="41" customFormat="1" ht="36.75" thickTop="1" x14ac:dyDescent="0.25">
      <c r="A54" s="218"/>
      <c r="B54" s="219" t="s">
        <v>72</v>
      </c>
      <c r="C54" s="220">
        <f t="shared" si="4"/>
        <v>321448</v>
      </c>
      <c r="D54" s="221">
        <f>SUM(D55,D197)</f>
        <v>300455</v>
      </c>
      <c r="E54" s="222">
        <f>SUM(E55,E197)</f>
        <v>0</v>
      </c>
      <c r="F54" s="223">
        <f t="shared" si="5"/>
        <v>300455</v>
      </c>
      <c r="G54" s="221">
        <f>SUM(G55,G197)</f>
        <v>20521</v>
      </c>
      <c r="H54" s="224">
        <f>SUM(H55,H197)</f>
        <v>0</v>
      </c>
      <c r="I54" s="225">
        <f t="shared" si="6"/>
        <v>20521</v>
      </c>
      <c r="J54" s="221">
        <f>SUM(J55,J197)</f>
        <v>472</v>
      </c>
      <c r="K54" s="224">
        <f>SUM(K55,K197)</f>
        <v>0</v>
      </c>
      <c r="L54" s="225">
        <f t="shared" si="7"/>
        <v>472</v>
      </c>
      <c r="M54" s="226">
        <f>SUM(M55,M197)</f>
        <v>0</v>
      </c>
      <c r="N54" s="227">
        <f>SUM(N55,N197)</f>
        <v>0</v>
      </c>
      <c r="O54" s="225">
        <f t="shared" si="8"/>
        <v>0</v>
      </c>
      <c r="P54" s="228"/>
      <c r="R54" s="53"/>
      <c r="S54" s="53"/>
      <c r="T54" s="53"/>
    </row>
    <row r="55" spans="1:20" s="41" customFormat="1" ht="24" x14ac:dyDescent="0.25">
      <c r="A55" s="35"/>
      <c r="B55" s="30" t="s">
        <v>73</v>
      </c>
      <c r="C55" s="229">
        <f t="shared" si="4"/>
        <v>320197</v>
      </c>
      <c r="D55" s="230">
        <f>SUM(D56,D78,D176,D190)</f>
        <v>299391</v>
      </c>
      <c r="E55" s="231">
        <f>SUM(E56,E78,E176,E190)</f>
        <v>0</v>
      </c>
      <c r="F55" s="232">
        <f t="shared" si="5"/>
        <v>299391</v>
      </c>
      <c r="G55" s="230">
        <f>SUM(G56,G78,G176,G190)</f>
        <v>20371</v>
      </c>
      <c r="H55" s="233">
        <f>SUM(H56,H78,H176,H190)</f>
        <v>0</v>
      </c>
      <c r="I55" s="234">
        <f t="shared" si="6"/>
        <v>20371</v>
      </c>
      <c r="J55" s="230">
        <f>SUM(J56,J78,J176,J190)</f>
        <v>435</v>
      </c>
      <c r="K55" s="233">
        <f>SUM(K56,K78,K176,K190)</f>
        <v>0</v>
      </c>
      <c r="L55" s="234">
        <f t="shared" si="7"/>
        <v>435</v>
      </c>
      <c r="M55" s="53">
        <f>SUM(M56,M78,M176,M190)</f>
        <v>0</v>
      </c>
      <c r="N55" s="235">
        <f>SUM(N56,N78,N176,N190)</f>
        <v>0</v>
      </c>
      <c r="O55" s="234">
        <f t="shared" si="8"/>
        <v>0</v>
      </c>
      <c r="P55" s="236"/>
      <c r="R55" s="53"/>
      <c r="S55" s="53"/>
      <c r="T55" s="53"/>
    </row>
    <row r="56" spans="1:20" s="41" customFormat="1" x14ac:dyDescent="0.25">
      <c r="A56" s="237">
        <v>1000</v>
      </c>
      <c r="B56" s="237" t="s">
        <v>74</v>
      </c>
      <c r="C56" s="238">
        <f t="shared" si="4"/>
        <v>274903</v>
      </c>
      <c r="D56" s="239">
        <f>SUM(D57,D70)</f>
        <v>254969</v>
      </c>
      <c r="E56" s="240">
        <f>SUM(E57,E70)</f>
        <v>0</v>
      </c>
      <c r="F56" s="241">
        <f t="shared" si="5"/>
        <v>254969</v>
      </c>
      <c r="G56" s="239">
        <f>SUM(G57,G70)</f>
        <v>19934</v>
      </c>
      <c r="H56" s="242">
        <f>SUM(H57,H70)</f>
        <v>0</v>
      </c>
      <c r="I56" s="243">
        <f t="shared" si="6"/>
        <v>19934</v>
      </c>
      <c r="J56" s="239">
        <f>SUM(J57,J70)</f>
        <v>0</v>
      </c>
      <c r="K56" s="242">
        <f>SUM(K57,K70)</f>
        <v>0</v>
      </c>
      <c r="L56" s="243">
        <f t="shared" si="7"/>
        <v>0</v>
      </c>
      <c r="M56" s="244">
        <f>SUM(M57,M70)</f>
        <v>0</v>
      </c>
      <c r="N56" s="245">
        <f>SUM(N57,N70)</f>
        <v>0</v>
      </c>
      <c r="O56" s="243">
        <f t="shared" si="8"/>
        <v>0</v>
      </c>
      <c r="P56" s="246"/>
      <c r="R56" s="53"/>
      <c r="S56" s="53"/>
      <c r="T56" s="53"/>
    </row>
    <row r="57" spans="1:20" x14ac:dyDescent="0.25">
      <c r="A57" s="99">
        <v>1100</v>
      </c>
      <c r="B57" s="247" t="s">
        <v>75</v>
      </c>
      <c r="C57" s="100">
        <f t="shared" si="4"/>
        <v>209047</v>
      </c>
      <c r="D57" s="112">
        <f>SUM(D58,D61,D69)</f>
        <v>192919</v>
      </c>
      <c r="E57" s="248">
        <f>SUM(E58,E61,E69)</f>
        <v>0</v>
      </c>
      <c r="F57" s="249">
        <f t="shared" si="5"/>
        <v>192919</v>
      </c>
      <c r="G57" s="112">
        <f>SUM(G58,G61,G69)</f>
        <v>16128</v>
      </c>
      <c r="H57" s="113">
        <f>SUM(H58,H61,H69)</f>
        <v>0</v>
      </c>
      <c r="I57" s="114">
        <f t="shared" si="6"/>
        <v>16128</v>
      </c>
      <c r="J57" s="112">
        <f>SUM(J58,J61,J69)</f>
        <v>0</v>
      </c>
      <c r="K57" s="113">
        <f>SUM(K58,K61,K69)</f>
        <v>0</v>
      </c>
      <c r="L57" s="114">
        <f t="shared" si="7"/>
        <v>0</v>
      </c>
      <c r="M57" s="250">
        <f>SUM(M58,M61,M69)</f>
        <v>0</v>
      </c>
      <c r="N57" s="251">
        <f>SUM(N58,N61,N69)</f>
        <v>0</v>
      </c>
      <c r="O57" s="252">
        <f t="shared" si="8"/>
        <v>0</v>
      </c>
      <c r="P57" s="253"/>
      <c r="R57" s="53"/>
      <c r="S57" s="53"/>
      <c r="T57" s="53"/>
    </row>
    <row r="58" spans="1:20" x14ac:dyDescent="0.25">
      <c r="A58" s="254">
        <v>1110</v>
      </c>
      <c r="B58" s="179" t="s">
        <v>76</v>
      </c>
      <c r="C58" s="191">
        <f t="shared" si="4"/>
        <v>186068</v>
      </c>
      <c r="D58" s="255">
        <f>SUM(D59:D60)</f>
        <v>171162</v>
      </c>
      <c r="E58" s="256">
        <f>SUM(E59:E60)</f>
        <v>0</v>
      </c>
      <c r="F58" s="257">
        <f t="shared" si="5"/>
        <v>171162</v>
      </c>
      <c r="G58" s="255">
        <f>SUM(G59:G60)</f>
        <v>14906</v>
      </c>
      <c r="H58" s="258">
        <f>SUM(H59:H60)</f>
        <v>0</v>
      </c>
      <c r="I58" s="259">
        <f t="shared" si="6"/>
        <v>14906</v>
      </c>
      <c r="J58" s="255">
        <f>SUM(J59:J60)</f>
        <v>0</v>
      </c>
      <c r="K58" s="258">
        <f>SUM(K59:K60)</f>
        <v>0</v>
      </c>
      <c r="L58" s="259">
        <f t="shared" si="7"/>
        <v>0</v>
      </c>
      <c r="M58" s="260">
        <f>SUM(M59:M60)</f>
        <v>0</v>
      </c>
      <c r="N58" s="261">
        <f>SUM(N59:N60)</f>
        <v>0</v>
      </c>
      <c r="O58" s="259">
        <f t="shared" si="8"/>
        <v>0</v>
      </c>
      <c r="P58" s="189"/>
      <c r="R58" s="53"/>
      <c r="S58" s="53"/>
      <c r="T58" s="53"/>
    </row>
    <row r="59" spans="1:20" hidden="1" x14ac:dyDescent="0.25">
      <c r="A59" s="66">
        <v>1111</v>
      </c>
      <c r="B59" s="116" t="s">
        <v>77</v>
      </c>
      <c r="C59" s="117">
        <f t="shared" si="4"/>
        <v>0</v>
      </c>
      <c r="D59" s="123"/>
      <c r="E59" s="262"/>
      <c r="F59" s="263">
        <f t="shared" si="5"/>
        <v>0</v>
      </c>
      <c r="G59" s="123"/>
      <c r="H59" s="124"/>
      <c r="I59" s="125">
        <f t="shared" si="6"/>
        <v>0</v>
      </c>
      <c r="J59" s="123"/>
      <c r="K59" s="124"/>
      <c r="L59" s="125">
        <f t="shared" si="7"/>
        <v>0</v>
      </c>
      <c r="M59" s="264"/>
      <c r="N59" s="262"/>
      <c r="O59" s="125">
        <f t="shared" si="8"/>
        <v>0</v>
      </c>
      <c r="P59" s="74"/>
      <c r="R59" s="53"/>
      <c r="S59" s="53"/>
      <c r="T59" s="53"/>
    </row>
    <row r="60" spans="1:20" ht="24" x14ac:dyDescent="0.25">
      <c r="A60" s="76">
        <v>1119</v>
      </c>
      <c r="B60" s="127" t="s">
        <v>78</v>
      </c>
      <c r="C60" s="128">
        <f t="shared" si="4"/>
        <v>186068</v>
      </c>
      <c r="D60" s="134">
        <v>171162</v>
      </c>
      <c r="E60" s="283"/>
      <c r="F60" s="279">
        <f t="shared" si="5"/>
        <v>171162</v>
      </c>
      <c r="G60" s="134">
        <f>14164+742</f>
        <v>14906</v>
      </c>
      <c r="H60" s="135"/>
      <c r="I60" s="136">
        <f t="shared" si="6"/>
        <v>14906</v>
      </c>
      <c r="J60" s="134"/>
      <c r="K60" s="135"/>
      <c r="L60" s="136">
        <f t="shared" si="7"/>
        <v>0</v>
      </c>
      <c r="M60" s="284"/>
      <c r="N60" s="285"/>
      <c r="O60" s="136">
        <f t="shared" si="8"/>
        <v>0</v>
      </c>
      <c r="P60" s="85"/>
      <c r="R60" s="53"/>
      <c r="S60" s="53"/>
      <c r="T60" s="53"/>
    </row>
    <row r="61" spans="1:20" ht="24" x14ac:dyDescent="0.25">
      <c r="A61" s="276">
        <v>1140</v>
      </c>
      <c r="B61" s="127" t="s">
        <v>79</v>
      </c>
      <c r="C61" s="128">
        <f t="shared" si="4"/>
        <v>21917</v>
      </c>
      <c r="D61" s="277">
        <f>SUM(D62:D68)</f>
        <v>20695</v>
      </c>
      <c r="E61" s="278">
        <f>SUM(E62:E68)</f>
        <v>0</v>
      </c>
      <c r="F61" s="279">
        <f>D61+E61</f>
        <v>20695</v>
      </c>
      <c r="G61" s="277">
        <f>SUM(G62:G68)</f>
        <v>1222</v>
      </c>
      <c r="H61" s="280">
        <f>SUM(H62:H68)</f>
        <v>0</v>
      </c>
      <c r="I61" s="136">
        <f t="shared" si="6"/>
        <v>1222</v>
      </c>
      <c r="J61" s="277">
        <f>SUM(J62:J68)</f>
        <v>0</v>
      </c>
      <c r="K61" s="280">
        <f>SUM(K62:K68)</f>
        <v>0</v>
      </c>
      <c r="L61" s="136">
        <f t="shared" si="7"/>
        <v>0</v>
      </c>
      <c r="M61" s="281">
        <f>SUM(M62:M68)</f>
        <v>0</v>
      </c>
      <c r="N61" s="282">
        <f>SUM(N62:N68)</f>
        <v>0</v>
      </c>
      <c r="O61" s="136">
        <f t="shared" si="8"/>
        <v>0</v>
      </c>
      <c r="P61" s="85"/>
      <c r="R61" s="53"/>
      <c r="S61" s="53"/>
      <c r="T61" s="53"/>
    </row>
    <row r="62" spans="1:20" x14ac:dyDescent="0.25">
      <c r="A62" s="76">
        <v>1141</v>
      </c>
      <c r="B62" s="127" t="s">
        <v>80</v>
      </c>
      <c r="C62" s="128">
        <f t="shared" si="4"/>
        <v>3748</v>
      </c>
      <c r="D62" s="134">
        <v>3748</v>
      </c>
      <c r="E62" s="283"/>
      <c r="F62" s="279">
        <f t="shared" si="5"/>
        <v>3748</v>
      </c>
      <c r="G62" s="134"/>
      <c r="H62" s="135"/>
      <c r="I62" s="136">
        <f t="shared" si="6"/>
        <v>0</v>
      </c>
      <c r="J62" s="134"/>
      <c r="K62" s="135"/>
      <c r="L62" s="136">
        <f t="shared" si="7"/>
        <v>0</v>
      </c>
      <c r="M62" s="284"/>
      <c r="N62" s="285"/>
      <c r="O62" s="136">
        <f t="shared" si="8"/>
        <v>0</v>
      </c>
      <c r="P62" s="85"/>
      <c r="R62" s="53"/>
      <c r="S62" s="53"/>
      <c r="T62" s="53"/>
    </row>
    <row r="63" spans="1:20" ht="24" x14ac:dyDescent="0.25">
      <c r="A63" s="76">
        <v>1142</v>
      </c>
      <c r="B63" s="127" t="s">
        <v>81</v>
      </c>
      <c r="C63" s="128">
        <f t="shared" si="4"/>
        <v>922</v>
      </c>
      <c r="D63" s="134">
        <v>922</v>
      </c>
      <c r="E63" s="283"/>
      <c r="F63" s="279">
        <f t="shared" si="5"/>
        <v>922</v>
      </c>
      <c r="G63" s="134"/>
      <c r="H63" s="135"/>
      <c r="I63" s="136">
        <f t="shared" si="6"/>
        <v>0</v>
      </c>
      <c r="J63" s="134"/>
      <c r="K63" s="135"/>
      <c r="L63" s="136">
        <f t="shared" si="7"/>
        <v>0</v>
      </c>
      <c r="M63" s="284"/>
      <c r="N63" s="285"/>
      <c r="O63" s="136">
        <f t="shared" si="8"/>
        <v>0</v>
      </c>
      <c r="P63" s="85"/>
      <c r="R63" s="53"/>
      <c r="S63" s="53"/>
      <c r="T63" s="53"/>
    </row>
    <row r="64" spans="1:20" ht="24" hidden="1" x14ac:dyDescent="0.25">
      <c r="A64" s="76">
        <v>1145</v>
      </c>
      <c r="B64" s="127" t="s">
        <v>82</v>
      </c>
      <c r="C64" s="128">
        <f t="shared" si="4"/>
        <v>0</v>
      </c>
      <c r="D64" s="134"/>
      <c r="E64" s="285"/>
      <c r="F64" s="286">
        <f t="shared" si="5"/>
        <v>0</v>
      </c>
      <c r="G64" s="134"/>
      <c r="H64" s="135"/>
      <c r="I64" s="136">
        <f t="shared" si="6"/>
        <v>0</v>
      </c>
      <c r="J64" s="134"/>
      <c r="K64" s="135"/>
      <c r="L64" s="136">
        <f t="shared" si="7"/>
        <v>0</v>
      </c>
      <c r="M64" s="284"/>
      <c r="N64" s="285"/>
      <c r="O64" s="136">
        <f t="shared" si="8"/>
        <v>0</v>
      </c>
      <c r="P64" s="85"/>
      <c r="R64" s="53"/>
      <c r="S64" s="53"/>
      <c r="T64" s="53"/>
    </row>
    <row r="65" spans="1:20" ht="24" hidden="1" x14ac:dyDescent="0.25">
      <c r="A65" s="76">
        <v>1146</v>
      </c>
      <c r="B65" s="127" t="s">
        <v>83</v>
      </c>
      <c r="C65" s="128">
        <f t="shared" si="4"/>
        <v>0</v>
      </c>
      <c r="D65" s="134"/>
      <c r="E65" s="285"/>
      <c r="F65" s="286">
        <f t="shared" si="5"/>
        <v>0</v>
      </c>
      <c r="G65" s="134"/>
      <c r="H65" s="135"/>
      <c r="I65" s="136">
        <f t="shared" si="6"/>
        <v>0</v>
      </c>
      <c r="J65" s="134"/>
      <c r="K65" s="135"/>
      <c r="L65" s="136">
        <f t="shared" si="7"/>
        <v>0</v>
      </c>
      <c r="M65" s="284"/>
      <c r="N65" s="285"/>
      <c r="O65" s="136">
        <f t="shared" si="8"/>
        <v>0</v>
      </c>
      <c r="P65" s="85"/>
      <c r="R65" s="53"/>
      <c r="S65" s="53"/>
      <c r="T65" s="53"/>
    </row>
    <row r="66" spans="1:20" x14ac:dyDescent="0.25">
      <c r="A66" s="76">
        <v>1147</v>
      </c>
      <c r="B66" s="127" t="s">
        <v>84</v>
      </c>
      <c r="C66" s="128">
        <f t="shared" si="4"/>
        <v>1865</v>
      </c>
      <c r="D66" s="134">
        <v>1865</v>
      </c>
      <c r="E66" s="283"/>
      <c r="F66" s="279">
        <f t="shared" si="5"/>
        <v>1865</v>
      </c>
      <c r="G66" s="134"/>
      <c r="H66" s="135"/>
      <c r="I66" s="136">
        <f t="shared" si="6"/>
        <v>0</v>
      </c>
      <c r="J66" s="134"/>
      <c r="K66" s="135"/>
      <c r="L66" s="136">
        <f t="shared" si="7"/>
        <v>0</v>
      </c>
      <c r="M66" s="284"/>
      <c r="N66" s="285"/>
      <c r="O66" s="136">
        <f t="shared" si="8"/>
        <v>0</v>
      </c>
      <c r="P66" s="85"/>
      <c r="R66" s="53"/>
      <c r="S66" s="53"/>
      <c r="T66" s="53"/>
    </row>
    <row r="67" spans="1:20" x14ac:dyDescent="0.25">
      <c r="A67" s="76">
        <v>1148</v>
      </c>
      <c r="B67" s="127" t="s">
        <v>85</v>
      </c>
      <c r="C67" s="128">
        <f t="shared" si="4"/>
        <v>12893</v>
      </c>
      <c r="D67" s="134">
        <v>12893</v>
      </c>
      <c r="E67" s="283"/>
      <c r="F67" s="279">
        <f t="shared" si="5"/>
        <v>12893</v>
      </c>
      <c r="G67" s="134"/>
      <c r="H67" s="135"/>
      <c r="I67" s="136">
        <f t="shared" si="6"/>
        <v>0</v>
      </c>
      <c r="J67" s="134"/>
      <c r="K67" s="135"/>
      <c r="L67" s="136">
        <f t="shared" si="7"/>
        <v>0</v>
      </c>
      <c r="M67" s="284"/>
      <c r="N67" s="285"/>
      <c r="O67" s="136">
        <f t="shared" si="8"/>
        <v>0</v>
      </c>
      <c r="P67" s="85"/>
      <c r="R67" s="53"/>
      <c r="S67" s="53"/>
      <c r="T67" s="53"/>
    </row>
    <row r="68" spans="1:20" ht="36" x14ac:dyDescent="0.25">
      <c r="A68" s="76">
        <v>1149</v>
      </c>
      <c r="B68" s="127" t="s">
        <v>86</v>
      </c>
      <c r="C68" s="128">
        <f t="shared" si="4"/>
        <v>2489</v>
      </c>
      <c r="D68" s="134">
        <v>1267</v>
      </c>
      <c r="E68" s="283"/>
      <c r="F68" s="279">
        <f t="shared" si="5"/>
        <v>1267</v>
      </c>
      <c r="G68" s="134">
        <f>1864-642</f>
        <v>1222</v>
      </c>
      <c r="H68" s="135"/>
      <c r="I68" s="136">
        <f t="shared" si="6"/>
        <v>1222</v>
      </c>
      <c r="J68" s="134"/>
      <c r="K68" s="135"/>
      <c r="L68" s="136">
        <f t="shared" si="7"/>
        <v>0</v>
      </c>
      <c r="M68" s="284"/>
      <c r="N68" s="285"/>
      <c r="O68" s="136">
        <f t="shared" si="8"/>
        <v>0</v>
      </c>
      <c r="P68" s="85"/>
      <c r="R68" s="53"/>
      <c r="S68" s="53"/>
      <c r="T68" s="53"/>
    </row>
    <row r="69" spans="1:20" ht="36" x14ac:dyDescent="0.25">
      <c r="A69" s="254">
        <v>1150</v>
      </c>
      <c r="B69" s="179" t="s">
        <v>87</v>
      </c>
      <c r="C69" s="128">
        <f t="shared" si="4"/>
        <v>1062</v>
      </c>
      <c r="D69" s="287">
        <v>1062</v>
      </c>
      <c r="E69" s="288"/>
      <c r="F69" s="257">
        <f t="shared" si="5"/>
        <v>1062</v>
      </c>
      <c r="G69" s="287"/>
      <c r="H69" s="289"/>
      <c r="I69" s="259">
        <f t="shared" si="6"/>
        <v>0</v>
      </c>
      <c r="J69" s="287"/>
      <c r="K69" s="289"/>
      <c r="L69" s="259">
        <f t="shared" si="7"/>
        <v>0</v>
      </c>
      <c r="M69" s="290"/>
      <c r="N69" s="291"/>
      <c r="O69" s="259">
        <f t="shared" si="8"/>
        <v>0</v>
      </c>
      <c r="P69" s="189"/>
      <c r="R69" s="53"/>
      <c r="S69" s="53"/>
      <c r="T69" s="53"/>
    </row>
    <row r="70" spans="1:20" ht="36" x14ac:dyDescent="0.25">
      <c r="A70" s="99">
        <v>1200</v>
      </c>
      <c r="B70" s="247" t="s">
        <v>88</v>
      </c>
      <c r="C70" s="100">
        <f t="shared" si="4"/>
        <v>65856</v>
      </c>
      <c r="D70" s="112">
        <f>SUM(D71:D72)</f>
        <v>62050</v>
      </c>
      <c r="E70" s="248">
        <f>SUM(E71:E72)</f>
        <v>0</v>
      </c>
      <c r="F70" s="249">
        <f>D70+E70</f>
        <v>62050</v>
      </c>
      <c r="G70" s="112">
        <f>SUM(G71:G72)</f>
        <v>3806</v>
      </c>
      <c r="H70" s="113">
        <f>SUM(H71:H72)</f>
        <v>0</v>
      </c>
      <c r="I70" s="114">
        <f t="shared" si="6"/>
        <v>3806</v>
      </c>
      <c r="J70" s="112">
        <f>SUM(J71:J72)</f>
        <v>0</v>
      </c>
      <c r="K70" s="113">
        <f>SUM(K71:K72)</f>
        <v>0</v>
      </c>
      <c r="L70" s="114">
        <f t="shared" si="7"/>
        <v>0</v>
      </c>
      <c r="M70" s="292">
        <f>SUM(M71:M72)</f>
        <v>0</v>
      </c>
      <c r="N70" s="293">
        <f>SUM(N71:N72)</f>
        <v>0</v>
      </c>
      <c r="O70" s="114">
        <f t="shared" si="8"/>
        <v>0</v>
      </c>
      <c r="P70" s="109"/>
      <c r="R70" s="53"/>
      <c r="S70" s="53"/>
      <c r="T70" s="53"/>
    </row>
    <row r="71" spans="1:20" ht="24" x14ac:dyDescent="0.25">
      <c r="A71" s="656">
        <v>1210</v>
      </c>
      <c r="B71" s="116" t="s">
        <v>89</v>
      </c>
      <c r="C71" s="117">
        <f t="shared" si="4"/>
        <v>51274</v>
      </c>
      <c r="D71" s="123">
        <v>47468</v>
      </c>
      <c r="E71" s="295"/>
      <c r="F71" s="296">
        <f t="shared" si="5"/>
        <v>47468</v>
      </c>
      <c r="G71" s="123">
        <v>3806</v>
      </c>
      <c r="H71" s="124"/>
      <c r="I71" s="125">
        <f t="shared" si="6"/>
        <v>3806</v>
      </c>
      <c r="J71" s="123"/>
      <c r="K71" s="124"/>
      <c r="L71" s="125">
        <f t="shared" si="7"/>
        <v>0</v>
      </c>
      <c r="M71" s="264"/>
      <c r="N71" s="262"/>
      <c r="O71" s="125">
        <f t="shared" si="8"/>
        <v>0</v>
      </c>
      <c r="P71" s="74"/>
      <c r="R71" s="53"/>
      <c r="S71" s="53"/>
      <c r="T71" s="53"/>
    </row>
    <row r="72" spans="1:20" ht="24" x14ac:dyDescent="0.25">
      <c r="A72" s="276">
        <v>1220</v>
      </c>
      <c r="B72" s="127" t="s">
        <v>90</v>
      </c>
      <c r="C72" s="128">
        <f t="shared" si="4"/>
        <v>14582</v>
      </c>
      <c r="D72" s="277">
        <f>SUM(D73:D77)</f>
        <v>14582</v>
      </c>
      <c r="E72" s="278">
        <f>SUM(E73:E77)</f>
        <v>0</v>
      </c>
      <c r="F72" s="279">
        <f t="shared" si="5"/>
        <v>14582</v>
      </c>
      <c r="G72" s="277">
        <f>SUM(G73:G77)</f>
        <v>0</v>
      </c>
      <c r="H72" s="280">
        <f>SUM(H73:H77)</f>
        <v>0</v>
      </c>
      <c r="I72" s="136">
        <f t="shared" si="6"/>
        <v>0</v>
      </c>
      <c r="J72" s="277">
        <f>SUM(J73:J77)</f>
        <v>0</v>
      </c>
      <c r="K72" s="280">
        <f>SUM(K73:K77)</f>
        <v>0</v>
      </c>
      <c r="L72" s="136">
        <f t="shared" si="7"/>
        <v>0</v>
      </c>
      <c r="M72" s="281">
        <f>SUM(M73:M77)</f>
        <v>0</v>
      </c>
      <c r="N72" s="282">
        <f>SUM(N73:N77)</f>
        <v>0</v>
      </c>
      <c r="O72" s="136">
        <f t="shared" si="8"/>
        <v>0</v>
      </c>
      <c r="P72" s="85"/>
      <c r="R72" s="53"/>
      <c r="S72" s="53"/>
      <c r="T72" s="53"/>
    </row>
    <row r="73" spans="1:20" ht="60" x14ac:dyDescent="0.25">
      <c r="A73" s="76">
        <v>1221</v>
      </c>
      <c r="B73" s="127" t="s">
        <v>91</v>
      </c>
      <c r="C73" s="128">
        <f t="shared" si="4"/>
        <v>7752</v>
      </c>
      <c r="D73" s="134">
        <v>7964</v>
      </c>
      <c r="E73" s="283">
        <v>-212</v>
      </c>
      <c r="F73" s="279">
        <f t="shared" si="5"/>
        <v>7752</v>
      </c>
      <c r="G73" s="134">
        <v>0</v>
      </c>
      <c r="H73" s="135"/>
      <c r="I73" s="136">
        <f t="shared" si="6"/>
        <v>0</v>
      </c>
      <c r="J73" s="134"/>
      <c r="K73" s="135"/>
      <c r="L73" s="136">
        <f t="shared" si="7"/>
        <v>0</v>
      </c>
      <c r="M73" s="284"/>
      <c r="N73" s="285"/>
      <c r="O73" s="136">
        <f t="shared" si="8"/>
        <v>0</v>
      </c>
      <c r="P73" s="85"/>
      <c r="R73" s="53"/>
      <c r="S73" s="53"/>
      <c r="T73" s="53"/>
    </row>
    <row r="74" spans="1:20" hidden="1" x14ac:dyDescent="0.25">
      <c r="A74" s="76">
        <v>1223</v>
      </c>
      <c r="B74" s="127" t="s">
        <v>92</v>
      </c>
      <c r="C74" s="128">
        <f t="shared" si="4"/>
        <v>0</v>
      </c>
      <c r="D74" s="134"/>
      <c r="E74" s="285"/>
      <c r="F74" s="286">
        <f t="shared" si="5"/>
        <v>0</v>
      </c>
      <c r="G74" s="134"/>
      <c r="H74" s="135"/>
      <c r="I74" s="136">
        <f t="shared" si="6"/>
        <v>0</v>
      </c>
      <c r="J74" s="134"/>
      <c r="K74" s="135"/>
      <c r="L74" s="136">
        <f t="shared" si="7"/>
        <v>0</v>
      </c>
      <c r="M74" s="284"/>
      <c r="N74" s="285"/>
      <c r="O74" s="136">
        <f t="shared" si="8"/>
        <v>0</v>
      </c>
      <c r="P74" s="85"/>
      <c r="R74" s="53"/>
      <c r="S74" s="53"/>
      <c r="T74" s="53"/>
    </row>
    <row r="75" spans="1:20" hidden="1" x14ac:dyDescent="0.25">
      <c r="A75" s="76">
        <v>1225</v>
      </c>
      <c r="B75" s="127" t="s">
        <v>93</v>
      </c>
      <c r="C75" s="128">
        <f t="shared" si="4"/>
        <v>0</v>
      </c>
      <c r="D75" s="134"/>
      <c r="E75" s="285"/>
      <c r="F75" s="286">
        <f t="shared" si="5"/>
        <v>0</v>
      </c>
      <c r="G75" s="134"/>
      <c r="H75" s="135"/>
      <c r="I75" s="136">
        <f t="shared" si="6"/>
        <v>0</v>
      </c>
      <c r="J75" s="134"/>
      <c r="K75" s="135"/>
      <c r="L75" s="136">
        <f t="shared" si="7"/>
        <v>0</v>
      </c>
      <c r="M75" s="284"/>
      <c r="N75" s="285"/>
      <c r="O75" s="136">
        <f t="shared" si="8"/>
        <v>0</v>
      </c>
      <c r="P75" s="85"/>
      <c r="R75" s="53"/>
      <c r="S75" s="53"/>
      <c r="T75" s="53"/>
    </row>
    <row r="76" spans="1:20" ht="36" x14ac:dyDescent="0.25">
      <c r="A76" s="76">
        <v>1227</v>
      </c>
      <c r="B76" s="127" t="s">
        <v>94</v>
      </c>
      <c r="C76" s="128">
        <f t="shared" si="4"/>
        <v>5977</v>
      </c>
      <c r="D76" s="134">
        <v>5977</v>
      </c>
      <c r="E76" s="283"/>
      <c r="F76" s="279">
        <f t="shared" si="5"/>
        <v>5977</v>
      </c>
      <c r="G76" s="134"/>
      <c r="H76" s="135"/>
      <c r="I76" s="136">
        <f t="shared" si="6"/>
        <v>0</v>
      </c>
      <c r="J76" s="134"/>
      <c r="K76" s="135"/>
      <c r="L76" s="136">
        <f t="shared" si="7"/>
        <v>0</v>
      </c>
      <c r="M76" s="284"/>
      <c r="N76" s="285"/>
      <c r="O76" s="136">
        <f t="shared" si="8"/>
        <v>0</v>
      </c>
      <c r="P76" s="85"/>
      <c r="R76" s="53"/>
      <c r="S76" s="53"/>
      <c r="T76" s="53"/>
    </row>
    <row r="77" spans="1:20" ht="60" x14ac:dyDescent="0.25">
      <c r="A77" s="265">
        <v>1228</v>
      </c>
      <c r="B77" s="266" t="s">
        <v>95</v>
      </c>
      <c r="C77" s="267">
        <f t="shared" si="4"/>
        <v>853</v>
      </c>
      <c r="D77" s="268">
        <v>641</v>
      </c>
      <c r="E77" s="269">
        <v>212</v>
      </c>
      <c r="F77" s="270">
        <f t="shared" si="5"/>
        <v>853</v>
      </c>
      <c r="G77" s="268"/>
      <c r="H77" s="271"/>
      <c r="I77" s="272">
        <f t="shared" si="6"/>
        <v>0</v>
      </c>
      <c r="J77" s="268"/>
      <c r="K77" s="271"/>
      <c r="L77" s="272">
        <f t="shared" si="7"/>
        <v>0</v>
      </c>
      <c r="M77" s="273"/>
      <c r="N77" s="274"/>
      <c r="O77" s="272">
        <f t="shared" si="8"/>
        <v>0</v>
      </c>
      <c r="P77" s="275"/>
      <c r="R77" s="53"/>
      <c r="S77" s="53"/>
      <c r="T77" s="53"/>
    </row>
    <row r="78" spans="1:20" x14ac:dyDescent="0.25">
      <c r="A78" s="237">
        <v>2000</v>
      </c>
      <c r="B78" s="237" t="s">
        <v>96</v>
      </c>
      <c r="C78" s="238">
        <f t="shared" si="4"/>
        <v>45294</v>
      </c>
      <c r="D78" s="239">
        <f>SUM(D79,D86,D133,D167,D168,D175)</f>
        <v>44422</v>
      </c>
      <c r="E78" s="240">
        <f>SUM(E79,E86,E133,E167,E168,E175)</f>
        <v>0</v>
      </c>
      <c r="F78" s="241">
        <f t="shared" si="5"/>
        <v>44422</v>
      </c>
      <c r="G78" s="239">
        <f>SUM(G79,G86,G133,G167,G168,G175)</f>
        <v>437</v>
      </c>
      <c r="H78" s="242">
        <f>SUM(H79,H86,H133,H167,H168,H175)</f>
        <v>0</v>
      </c>
      <c r="I78" s="243">
        <f t="shared" si="6"/>
        <v>437</v>
      </c>
      <c r="J78" s="239">
        <f>SUM(J79,J86,J133,J167,J168,J175)</f>
        <v>435</v>
      </c>
      <c r="K78" s="242">
        <f>SUM(K79,K86,K133,K167,K168,K175)</f>
        <v>0</v>
      </c>
      <c r="L78" s="243">
        <f t="shared" si="7"/>
        <v>435</v>
      </c>
      <c r="M78" s="244">
        <f>SUM(M79,M86,M133,M167,M168,M175)</f>
        <v>0</v>
      </c>
      <c r="N78" s="245">
        <f>SUM(N79,N86,N133,N167,N168,N175)</f>
        <v>0</v>
      </c>
      <c r="O78" s="243">
        <f t="shared" si="8"/>
        <v>0</v>
      </c>
      <c r="P78" s="246"/>
      <c r="R78" s="53"/>
      <c r="S78" s="53"/>
      <c r="T78" s="53"/>
    </row>
    <row r="79" spans="1:20" ht="24" x14ac:dyDescent="0.25">
      <c r="A79" s="99">
        <v>2100</v>
      </c>
      <c r="B79" s="247" t="s">
        <v>97</v>
      </c>
      <c r="C79" s="100">
        <f t="shared" si="4"/>
        <v>96</v>
      </c>
      <c r="D79" s="112">
        <f>SUM(D80,D83)</f>
        <v>96</v>
      </c>
      <c r="E79" s="248">
        <f>SUM(E80,E83)</f>
        <v>0</v>
      </c>
      <c r="F79" s="249">
        <f t="shared" si="5"/>
        <v>96</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c r="R79" s="53"/>
      <c r="S79" s="53"/>
      <c r="T79" s="53"/>
    </row>
    <row r="80" spans="1:20" ht="24" x14ac:dyDescent="0.25">
      <c r="A80" s="656">
        <v>2110</v>
      </c>
      <c r="B80" s="116" t="s">
        <v>98</v>
      </c>
      <c r="C80" s="117">
        <f t="shared" si="4"/>
        <v>96</v>
      </c>
      <c r="D80" s="297">
        <f>SUM(D81:D82)</f>
        <v>96</v>
      </c>
      <c r="E80" s="298">
        <f>SUM(E81:E82)</f>
        <v>0</v>
      </c>
      <c r="F80" s="296">
        <f t="shared" si="5"/>
        <v>96</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c r="R80" s="53"/>
      <c r="S80" s="53"/>
      <c r="T80" s="53"/>
    </row>
    <row r="81" spans="1:20" hidden="1" x14ac:dyDescent="0.25">
      <c r="A81" s="76">
        <v>2111</v>
      </c>
      <c r="B81" s="127" t="s">
        <v>99</v>
      </c>
      <c r="C81" s="128">
        <f t="shared" si="4"/>
        <v>0</v>
      </c>
      <c r="D81" s="134"/>
      <c r="E81" s="285"/>
      <c r="F81" s="286">
        <f t="shared" si="5"/>
        <v>0</v>
      </c>
      <c r="G81" s="134"/>
      <c r="H81" s="135"/>
      <c r="I81" s="136">
        <f t="shared" si="6"/>
        <v>0</v>
      </c>
      <c r="J81" s="134"/>
      <c r="K81" s="135"/>
      <c r="L81" s="136">
        <f t="shared" si="7"/>
        <v>0</v>
      </c>
      <c r="M81" s="284"/>
      <c r="N81" s="285"/>
      <c r="O81" s="136">
        <f t="shared" si="8"/>
        <v>0</v>
      </c>
      <c r="P81" s="85"/>
      <c r="R81" s="53"/>
      <c r="S81" s="53"/>
      <c r="T81" s="53"/>
    </row>
    <row r="82" spans="1:20" ht="24" x14ac:dyDescent="0.25">
      <c r="A82" s="76">
        <v>2112</v>
      </c>
      <c r="B82" s="127" t="s">
        <v>100</v>
      </c>
      <c r="C82" s="128">
        <f t="shared" si="4"/>
        <v>96</v>
      </c>
      <c r="D82" s="134">
        <v>96</v>
      </c>
      <c r="E82" s="283"/>
      <c r="F82" s="279">
        <f t="shared" si="5"/>
        <v>96</v>
      </c>
      <c r="G82" s="134"/>
      <c r="H82" s="135"/>
      <c r="I82" s="136">
        <f t="shared" si="6"/>
        <v>0</v>
      </c>
      <c r="J82" s="134"/>
      <c r="K82" s="135"/>
      <c r="L82" s="136">
        <f t="shared" si="7"/>
        <v>0</v>
      </c>
      <c r="M82" s="284"/>
      <c r="N82" s="285"/>
      <c r="O82" s="136">
        <f t="shared" si="8"/>
        <v>0</v>
      </c>
      <c r="P82" s="85"/>
      <c r="R82" s="53"/>
      <c r="S82" s="53"/>
      <c r="T82" s="53"/>
    </row>
    <row r="83" spans="1:20" ht="24" hidden="1" x14ac:dyDescent="0.25">
      <c r="A83" s="276">
        <v>2120</v>
      </c>
      <c r="B83" s="127" t="s">
        <v>101</v>
      </c>
      <c r="C83" s="128">
        <f t="shared" si="4"/>
        <v>0</v>
      </c>
      <c r="D83" s="277">
        <f>SUM(D84:D85)</f>
        <v>0</v>
      </c>
      <c r="E83" s="282">
        <f>SUM(E84:E85)</f>
        <v>0</v>
      </c>
      <c r="F83" s="28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c r="R83" s="53"/>
      <c r="S83" s="53"/>
      <c r="T83" s="53"/>
    </row>
    <row r="84" spans="1:20" hidden="1" x14ac:dyDescent="0.25">
      <c r="A84" s="76">
        <v>2121</v>
      </c>
      <c r="B84" s="127" t="s">
        <v>99</v>
      </c>
      <c r="C84" s="128">
        <f t="shared" si="4"/>
        <v>0</v>
      </c>
      <c r="D84" s="134"/>
      <c r="E84" s="285"/>
      <c r="F84" s="286">
        <f t="shared" si="5"/>
        <v>0</v>
      </c>
      <c r="G84" s="134"/>
      <c r="H84" s="135"/>
      <c r="I84" s="136">
        <f t="shared" si="6"/>
        <v>0</v>
      </c>
      <c r="J84" s="134"/>
      <c r="K84" s="135"/>
      <c r="L84" s="136">
        <f t="shared" si="7"/>
        <v>0</v>
      </c>
      <c r="M84" s="284"/>
      <c r="N84" s="285"/>
      <c r="O84" s="136">
        <f t="shared" si="8"/>
        <v>0</v>
      </c>
      <c r="P84" s="85"/>
      <c r="R84" s="53"/>
      <c r="S84" s="53"/>
      <c r="T84" s="53"/>
    </row>
    <row r="85" spans="1:20" ht="24" hidden="1" x14ac:dyDescent="0.25">
      <c r="A85" s="76">
        <v>2122</v>
      </c>
      <c r="B85" s="127" t="s">
        <v>100</v>
      </c>
      <c r="C85" s="128">
        <f t="shared" si="4"/>
        <v>0</v>
      </c>
      <c r="D85" s="134"/>
      <c r="E85" s="285"/>
      <c r="F85" s="286">
        <f t="shared" si="5"/>
        <v>0</v>
      </c>
      <c r="G85" s="134"/>
      <c r="H85" s="135"/>
      <c r="I85" s="136">
        <f t="shared" si="6"/>
        <v>0</v>
      </c>
      <c r="J85" s="134"/>
      <c r="K85" s="135"/>
      <c r="L85" s="136">
        <f t="shared" si="7"/>
        <v>0</v>
      </c>
      <c r="M85" s="284"/>
      <c r="N85" s="285"/>
      <c r="O85" s="136">
        <f t="shared" si="8"/>
        <v>0</v>
      </c>
      <c r="P85" s="85"/>
      <c r="R85" s="53"/>
      <c r="S85" s="53"/>
      <c r="T85" s="53"/>
    </row>
    <row r="86" spans="1:20" x14ac:dyDescent="0.25">
      <c r="A86" s="99">
        <v>2200</v>
      </c>
      <c r="B86" s="247" t="s">
        <v>102</v>
      </c>
      <c r="C86" s="302">
        <f t="shared" si="4"/>
        <v>39447</v>
      </c>
      <c r="D86" s="112">
        <f>SUM(D87,D92,D98,D106,D115,D119,D125,D131)</f>
        <v>39068</v>
      </c>
      <c r="E86" s="248">
        <f>SUM(E87,E92,E98,E106,E115,E119,E125,E131)</f>
        <v>0</v>
      </c>
      <c r="F86" s="249">
        <f t="shared" si="5"/>
        <v>39068</v>
      </c>
      <c r="G86" s="112">
        <f>SUM(G87,G92,G98,G106,G115,G119,G125,G131)</f>
        <v>0</v>
      </c>
      <c r="H86" s="113">
        <f>SUM(H87,H92,H98,H106,H115,H119,H125,H131)</f>
        <v>0</v>
      </c>
      <c r="I86" s="114">
        <f t="shared" si="6"/>
        <v>0</v>
      </c>
      <c r="J86" s="112">
        <f>SUM(J87,J92,J98,J106,J115,J119,J125,J131)</f>
        <v>379</v>
      </c>
      <c r="K86" s="113">
        <f>SUM(K87,K92,K98,K106,K115,K119,K125,K131)</f>
        <v>0</v>
      </c>
      <c r="L86" s="114">
        <f t="shared" si="7"/>
        <v>379</v>
      </c>
      <c r="M86" s="303">
        <f>SUM(M87,M92,M98,M106,M115,M119,M125,M131)</f>
        <v>0</v>
      </c>
      <c r="N86" s="304">
        <f>SUM(N87,N92,N98,N106,N115,N119,N125,N131)</f>
        <v>0</v>
      </c>
      <c r="O86" s="305">
        <f t="shared" si="8"/>
        <v>0</v>
      </c>
      <c r="P86" s="306"/>
      <c r="R86" s="53"/>
      <c r="S86" s="53"/>
      <c r="T86" s="53"/>
    </row>
    <row r="87" spans="1:20" ht="24" x14ac:dyDescent="0.25">
      <c r="A87" s="254">
        <v>2210</v>
      </c>
      <c r="B87" s="179" t="s">
        <v>103</v>
      </c>
      <c r="C87" s="191">
        <f t="shared" si="4"/>
        <v>776</v>
      </c>
      <c r="D87" s="255">
        <f>SUM(D88:D91)</f>
        <v>771</v>
      </c>
      <c r="E87" s="256">
        <f>SUM(E88:E91)</f>
        <v>0</v>
      </c>
      <c r="F87" s="257">
        <f t="shared" si="5"/>
        <v>771</v>
      </c>
      <c r="G87" s="255">
        <f>SUM(G88:G91)</f>
        <v>0</v>
      </c>
      <c r="H87" s="258">
        <f>SUM(H88:H91)</f>
        <v>0</v>
      </c>
      <c r="I87" s="259">
        <f t="shared" si="6"/>
        <v>0</v>
      </c>
      <c r="J87" s="255">
        <f>SUM(J88:J91)</f>
        <v>5</v>
      </c>
      <c r="K87" s="258">
        <f>SUM(K88:K91)</f>
        <v>0</v>
      </c>
      <c r="L87" s="259">
        <f t="shared" si="7"/>
        <v>5</v>
      </c>
      <c r="M87" s="260">
        <f>SUM(M88:M91)</f>
        <v>0</v>
      </c>
      <c r="N87" s="261">
        <f>SUM(N88:N91)</f>
        <v>0</v>
      </c>
      <c r="O87" s="259">
        <f t="shared" si="8"/>
        <v>0</v>
      </c>
      <c r="P87" s="189"/>
      <c r="R87" s="53"/>
      <c r="S87" s="53"/>
      <c r="T87" s="53"/>
    </row>
    <row r="88" spans="1:20" ht="24" hidden="1" x14ac:dyDescent="0.25">
      <c r="A88" s="66">
        <v>2211</v>
      </c>
      <c r="B88" s="116" t="s">
        <v>104</v>
      </c>
      <c r="C88" s="128">
        <f t="shared" si="4"/>
        <v>0</v>
      </c>
      <c r="D88" s="123"/>
      <c r="E88" s="262"/>
      <c r="F88" s="263">
        <f t="shared" si="5"/>
        <v>0</v>
      </c>
      <c r="G88" s="123"/>
      <c r="H88" s="124"/>
      <c r="I88" s="125">
        <f t="shared" si="6"/>
        <v>0</v>
      </c>
      <c r="J88" s="123"/>
      <c r="K88" s="124"/>
      <c r="L88" s="125">
        <f t="shared" si="7"/>
        <v>0</v>
      </c>
      <c r="M88" s="264"/>
      <c r="N88" s="262"/>
      <c r="O88" s="125">
        <f t="shared" si="8"/>
        <v>0</v>
      </c>
      <c r="P88" s="74"/>
      <c r="R88" s="53"/>
      <c r="S88" s="53"/>
      <c r="T88" s="53"/>
    </row>
    <row r="89" spans="1:20" ht="36" x14ac:dyDescent="0.25">
      <c r="A89" s="76">
        <v>2212</v>
      </c>
      <c r="B89" s="127" t="s">
        <v>105</v>
      </c>
      <c r="C89" s="128">
        <f t="shared" si="4"/>
        <v>670</v>
      </c>
      <c r="D89" s="134">
        <v>670</v>
      </c>
      <c r="E89" s="283"/>
      <c r="F89" s="279">
        <f t="shared" si="5"/>
        <v>670</v>
      </c>
      <c r="G89" s="134"/>
      <c r="H89" s="135"/>
      <c r="I89" s="136">
        <f t="shared" si="6"/>
        <v>0</v>
      </c>
      <c r="J89" s="134"/>
      <c r="K89" s="135"/>
      <c r="L89" s="136">
        <f t="shared" si="7"/>
        <v>0</v>
      </c>
      <c r="M89" s="284"/>
      <c r="N89" s="285"/>
      <c r="O89" s="136">
        <f t="shared" si="8"/>
        <v>0</v>
      </c>
      <c r="P89" s="85"/>
      <c r="R89" s="53"/>
      <c r="S89" s="53"/>
      <c r="T89" s="53"/>
    </row>
    <row r="90" spans="1:20" ht="24" x14ac:dyDescent="0.25">
      <c r="A90" s="265">
        <v>2214</v>
      </c>
      <c r="B90" s="266" t="s">
        <v>106</v>
      </c>
      <c r="C90" s="267">
        <f t="shared" si="4"/>
        <v>84</v>
      </c>
      <c r="D90" s="268">
        <v>79</v>
      </c>
      <c r="E90" s="269"/>
      <c r="F90" s="270">
        <f t="shared" si="5"/>
        <v>79</v>
      </c>
      <c r="G90" s="268"/>
      <c r="H90" s="271"/>
      <c r="I90" s="272">
        <f t="shared" si="6"/>
        <v>0</v>
      </c>
      <c r="J90" s="268">
        <v>5</v>
      </c>
      <c r="K90" s="271"/>
      <c r="L90" s="272">
        <f t="shared" si="7"/>
        <v>5</v>
      </c>
      <c r="M90" s="273"/>
      <c r="N90" s="274"/>
      <c r="O90" s="272">
        <f t="shared" si="8"/>
        <v>0</v>
      </c>
      <c r="P90" s="275"/>
      <c r="R90" s="53"/>
      <c r="S90" s="53"/>
      <c r="T90" s="53"/>
    </row>
    <row r="91" spans="1:20" x14ac:dyDescent="0.25">
      <c r="A91" s="76">
        <v>2219</v>
      </c>
      <c r="B91" s="127" t="s">
        <v>107</v>
      </c>
      <c r="C91" s="128">
        <f t="shared" si="4"/>
        <v>22</v>
      </c>
      <c r="D91" s="134">
        <v>22</v>
      </c>
      <c r="E91" s="283"/>
      <c r="F91" s="279">
        <f t="shared" si="5"/>
        <v>22</v>
      </c>
      <c r="G91" s="134"/>
      <c r="H91" s="135"/>
      <c r="I91" s="136">
        <f t="shared" si="6"/>
        <v>0</v>
      </c>
      <c r="J91" s="134"/>
      <c r="K91" s="135"/>
      <c r="L91" s="136">
        <f t="shared" si="7"/>
        <v>0</v>
      </c>
      <c r="M91" s="284"/>
      <c r="N91" s="285"/>
      <c r="O91" s="136">
        <f t="shared" si="8"/>
        <v>0</v>
      </c>
      <c r="P91" s="85"/>
      <c r="R91" s="53"/>
      <c r="S91" s="53"/>
      <c r="T91" s="53"/>
    </row>
    <row r="92" spans="1:20" ht="24" x14ac:dyDescent="0.25">
      <c r="A92" s="276">
        <v>2220</v>
      </c>
      <c r="B92" s="127" t="s">
        <v>108</v>
      </c>
      <c r="C92" s="128">
        <f t="shared" si="4"/>
        <v>26629</v>
      </c>
      <c r="D92" s="277">
        <f>SUM(D93:D97)</f>
        <v>26629</v>
      </c>
      <c r="E92" s="278">
        <f>SUM(E93:E97)</f>
        <v>0</v>
      </c>
      <c r="F92" s="279">
        <f t="shared" si="5"/>
        <v>26629</v>
      </c>
      <c r="G92" s="277">
        <f>SUM(G93:G97)</f>
        <v>0</v>
      </c>
      <c r="H92" s="280">
        <f>SUM(H93:H97)</f>
        <v>0</v>
      </c>
      <c r="I92" s="136">
        <f t="shared" si="6"/>
        <v>0</v>
      </c>
      <c r="J92" s="277">
        <f>SUM(J93:J97)</f>
        <v>0</v>
      </c>
      <c r="K92" s="280">
        <f>SUM(K93:K97)</f>
        <v>0</v>
      </c>
      <c r="L92" s="136">
        <f t="shared" si="7"/>
        <v>0</v>
      </c>
      <c r="M92" s="281">
        <f>SUM(M93:M97)</f>
        <v>0</v>
      </c>
      <c r="N92" s="282">
        <f>SUM(N93:N97)</f>
        <v>0</v>
      </c>
      <c r="O92" s="136">
        <f t="shared" si="8"/>
        <v>0</v>
      </c>
      <c r="P92" s="85"/>
      <c r="R92" s="53"/>
      <c r="S92" s="53"/>
      <c r="T92" s="53"/>
    </row>
    <row r="93" spans="1:20" hidden="1" x14ac:dyDescent="0.25">
      <c r="A93" s="76">
        <v>2221</v>
      </c>
      <c r="B93" s="127" t="s">
        <v>109</v>
      </c>
      <c r="C93" s="128">
        <f t="shared" si="4"/>
        <v>0</v>
      </c>
      <c r="D93" s="134"/>
      <c r="E93" s="285"/>
      <c r="F93" s="286">
        <f t="shared" si="5"/>
        <v>0</v>
      </c>
      <c r="G93" s="134"/>
      <c r="H93" s="135"/>
      <c r="I93" s="136">
        <f t="shared" si="6"/>
        <v>0</v>
      </c>
      <c r="J93" s="134"/>
      <c r="K93" s="135"/>
      <c r="L93" s="136">
        <f t="shared" si="7"/>
        <v>0</v>
      </c>
      <c r="M93" s="284"/>
      <c r="N93" s="285"/>
      <c r="O93" s="136">
        <f t="shared" si="8"/>
        <v>0</v>
      </c>
      <c r="R93" s="53"/>
      <c r="S93" s="53"/>
      <c r="T93" s="53"/>
    </row>
    <row r="94" spans="1:20" hidden="1" x14ac:dyDescent="0.25">
      <c r="A94" s="76">
        <v>2222</v>
      </c>
      <c r="B94" s="127" t="s">
        <v>110</v>
      </c>
      <c r="C94" s="128">
        <f t="shared" si="4"/>
        <v>0</v>
      </c>
      <c r="D94" s="134"/>
      <c r="E94" s="285"/>
      <c r="F94" s="286">
        <f t="shared" si="5"/>
        <v>0</v>
      </c>
      <c r="G94" s="134"/>
      <c r="H94" s="135"/>
      <c r="I94" s="136">
        <f t="shared" si="6"/>
        <v>0</v>
      </c>
      <c r="J94" s="134"/>
      <c r="K94" s="135"/>
      <c r="L94" s="136">
        <f t="shared" si="7"/>
        <v>0</v>
      </c>
      <c r="M94" s="284"/>
      <c r="N94" s="285"/>
      <c r="O94" s="136">
        <f t="shared" si="8"/>
        <v>0</v>
      </c>
      <c r="P94" s="928"/>
      <c r="R94" s="53"/>
      <c r="S94" s="53"/>
      <c r="T94" s="53"/>
    </row>
    <row r="95" spans="1:20" x14ac:dyDescent="0.25">
      <c r="A95" s="76">
        <v>2223</v>
      </c>
      <c r="B95" s="127" t="s">
        <v>111</v>
      </c>
      <c r="C95" s="128">
        <f t="shared" si="4"/>
        <v>26256</v>
      </c>
      <c r="D95" s="134">
        <v>26256</v>
      </c>
      <c r="E95" s="283"/>
      <c r="F95" s="279">
        <f t="shared" si="5"/>
        <v>26256</v>
      </c>
      <c r="G95" s="134"/>
      <c r="H95" s="135"/>
      <c r="I95" s="136">
        <f t="shared" si="6"/>
        <v>0</v>
      </c>
      <c r="J95" s="134"/>
      <c r="K95" s="135"/>
      <c r="L95" s="136">
        <f t="shared" si="7"/>
        <v>0</v>
      </c>
      <c r="M95" s="284"/>
      <c r="N95" s="285"/>
      <c r="O95" s="136">
        <f t="shared" si="8"/>
        <v>0</v>
      </c>
      <c r="P95" s="928"/>
      <c r="R95" s="53"/>
      <c r="S95" s="53"/>
      <c r="T95" s="53"/>
    </row>
    <row r="96" spans="1:20" ht="48" x14ac:dyDescent="0.25">
      <c r="A96" s="76">
        <v>2224</v>
      </c>
      <c r="B96" s="127" t="s">
        <v>112</v>
      </c>
      <c r="C96" s="128">
        <f t="shared" si="4"/>
        <v>373</v>
      </c>
      <c r="D96" s="134">
        <v>373</v>
      </c>
      <c r="E96" s="283"/>
      <c r="F96" s="279">
        <f t="shared" si="5"/>
        <v>373</v>
      </c>
      <c r="G96" s="134"/>
      <c r="H96" s="135"/>
      <c r="I96" s="136">
        <f t="shared" si="6"/>
        <v>0</v>
      </c>
      <c r="J96" s="134"/>
      <c r="K96" s="135"/>
      <c r="L96" s="136">
        <f t="shared" si="7"/>
        <v>0</v>
      </c>
      <c r="M96" s="284"/>
      <c r="N96" s="285"/>
      <c r="O96" s="136">
        <f t="shared" si="8"/>
        <v>0</v>
      </c>
      <c r="P96" s="85"/>
      <c r="R96" s="53"/>
      <c r="S96" s="53"/>
      <c r="T96" s="53"/>
    </row>
    <row r="97" spans="1:20" ht="24" hidden="1" x14ac:dyDescent="0.25">
      <c r="A97" s="76">
        <v>2229</v>
      </c>
      <c r="B97" s="127" t="s">
        <v>113</v>
      </c>
      <c r="C97" s="128">
        <f t="shared" si="4"/>
        <v>0</v>
      </c>
      <c r="D97" s="134"/>
      <c r="E97" s="285"/>
      <c r="F97" s="286">
        <f t="shared" si="5"/>
        <v>0</v>
      </c>
      <c r="G97" s="134"/>
      <c r="H97" s="135"/>
      <c r="I97" s="136">
        <f t="shared" si="6"/>
        <v>0</v>
      </c>
      <c r="J97" s="134"/>
      <c r="K97" s="135"/>
      <c r="L97" s="136">
        <f t="shared" si="7"/>
        <v>0</v>
      </c>
      <c r="M97" s="284"/>
      <c r="N97" s="285"/>
      <c r="O97" s="136">
        <f t="shared" si="8"/>
        <v>0</v>
      </c>
      <c r="P97" s="85"/>
      <c r="R97" s="53"/>
      <c r="S97" s="53"/>
      <c r="T97" s="53"/>
    </row>
    <row r="98" spans="1:20" ht="36" x14ac:dyDescent="0.25">
      <c r="A98" s="276">
        <v>2230</v>
      </c>
      <c r="B98" s="127" t="s">
        <v>114</v>
      </c>
      <c r="C98" s="128">
        <f t="shared" si="4"/>
        <v>906</v>
      </c>
      <c r="D98" s="277">
        <f>SUM(D99:D105)</f>
        <v>906</v>
      </c>
      <c r="E98" s="278">
        <f>SUM(E99:E105)</f>
        <v>0</v>
      </c>
      <c r="F98" s="279">
        <f t="shared" si="5"/>
        <v>906</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c r="R98" s="53"/>
      <c r="S98" s="53"/>
      <c r="T98" s="53"/>
    </row>
    <row r="99" spans="1:20" ht="24" hidden="1" x14ac:dyDescent="0.25">
      <c r="A99" s="76">
        <v>2231</v>
      </c>
      <c r="B99" s="127" t="s">
        <v>115</v>
      </c>
      <c r="C99" s="128">
        <f t="shared" si="4"/>
        <v>0</v>
      </c>
      <c r="D99" s="134"/>
      <c r="E99" s="285"/>
      <c r="F99" s="286">
        <f t="shared" si="5"/>
        <v>0</v>
      </c>
      <c r="G99" s="134"/>
      <c r="H99" s="135"/>
      <c r="I99" s="136">
        <f t="shared" si="6"/>
        <v>0</v>
      </c>
      <c r="J99" s="134"/>
      <c r="K99" s="135"/>
      <c r="L99" s="136">
        <f t="shared" si="7"/>
        <v>0</v>
      </c>
      <c r="M99" s="284"/>
      <c r="N99" s="285"/>
      <c r="O99" s="136">
        <f t="shared" si="8"/>
        <v>0</v>
      </c>
      <c r="P99" s="85"/>
      <c r="R99" s="53"/>
      <c r="S99" s="53"/>
      <c r="T99" s="53"/>
    </row>
    <row r="100" spans="1:20" ht="36" hidden="1" x14ac:dyDescent="0.25">
      <c r="A100" s="76">
        <v>2232</v>
      </c>
      <c r="B100" s="127" t="s">
        <v>116</v>
      </c>
      <c r="C100" s="128">
        <f t="shared" si="4"/>
        <v>0</v>
      </c>
      <c r="D100" s="134"/>
      <c r="E100" s="285"/>
      <c r="F100" s="286">
        <f t="shared" si="5"/>
        <v>0</v>
      </c>
      <c r="G100" s="134"/>
      <c r="H100" s="135"/>
      <c r="I100" s="136">
        <f t="shared" si="6"/>
        <v>0</v>
      </c>
      <c r="J100" s="134"/>
      <c r="K100" s="135"/>
      <c r="L100" s="136">
        <f t="shared" si="7"/>
        <v>0</v>
      </c>
      <c r="M100" s="284"/>
      <c r="N100" s="285"/>
      <c r="O100" s="136">
        <f t="shared" si="8"/>
        <v>0</v>
      </c>
      <c r="P100" s="85"/>
      <c r="R100" s="53"/>
      <c r="S100" s="53"/>
      <c r="T100" s="53"/>
    </row>
    <row r="101" spans="1:20" ht="24" hidden="1" x14ac:dyDescent="0.25">
      <c r="A101" s="66">
        <v>2233</v>
      </c>
      <c r="B101" s="116" t="s">
        <v>117</v>
      </c>
      <c r="C101" s="128">
        <f t="shared" si="4"/>
        <v>0</v>
      </c>
      <c r="D101" s="123"/>
      <c r="E101" s="262"/>
      <c r="F101" s="263">
        <f t="shared" si="5"/>
        <v>0</v>
      </c>
      <c r="G101" s="123"/>
      <c r="H101" s="124"/>
      <c r="I101" s="125">
        <f t="shared" si="6"/>
        <v>0</v>
      </c>
      <c r="J101" s="123"/>
      <c r="K101" s="124"/>
      <c r="L101" s="125">
        <f t="shared" si="7"/>
        <v>0</v>
      </c>
      <c r="M101" s="264"/>
      <c r="N101" s="262"/>
      <c r="O101" s="125">
        <f t="shared" si="8"/>
        <v>0</v>
      </c>
      <c r="P101" s="74"/>
      <c r="R101" s="53"/>
      <c r="S101" s="53"/>
      <c r="T101" s="53"/>
    </row>
    <row r="102" spans="1:20" ht="36" hidden="1" x14ac:dyDescent="0.25">
      <c r="A102" s="76">
        <v>2234</v>
      </c>
      <c r="B102" s="127" t="s">
        <v>118</v>
      </c>
      <c r="C102" s="128">
        <f t="shared" si="4"/>
        <v>0</v>
      </c>
      <c r="D102" s="134"/>
      <c r="E102" s="285"/>
      <c r="F102" s="286">
        <f t="shared" si="5"/>
        <v>0</v>
      </c>
      <c r="G102" s="134"/>
      <c r="H102" s="135"/>
      <c r="I102" s="136">
        <f t="shared" si="6"/>
        <v>0</v>
      </c>
      <c r="J102" s="134"/>
      <c r="K102" s="135"/>
      <c r="L102" s="136">
        <f t="shared" si="7"/>
        <v>0</v>
      </c>
      <c r="M102" s="284"/>
      <c r="N102" s="285"/>
      <c r="O102" s="136">
        <f t="shared" si="8"/>
        <v>0</v>
      </c>
      <c r="P102" s="85"/>
      <c r="R102" s="53"/>
      <c r="S102" s="53"/>
      <c r="T102" s="53"/>
    </row>
    <row r="103" spans="1:20" ht="24" hidden="1" x14ac:dyDescent="0.25">
      <c r="A103" s="76">
        <v>2235</v>
      </c>
      <c r="B103" s="127" t="s">
        <v>119</v>
      </c>
      <c r="C103" s="128">
        <f t="shared" si="4"/>
        <v>0</v>
      </c>
      <c r="D103" s="134"/>
      <c r="E103" s="285"/>
      <c r="F103" s="286">
        <f t="shared" si="5"/>
        <v>0</v>
      </c>
      <c r="G103" s="134"/>
      <c r="H103" s="135"/>
      <c r="I103" s="136">
        <f t="shared" si="6"/>
        <v>0</v>
      </c>
      <c r="J103" s="134"/>
      <c r="K103" s="135"/>
      <c r="L103" s="136">
        <f t="shared" si="7"/>
        <v>0</v>
      </c>
      <c r="M103" s="284"/>
      <c r="N103" s="285"/>
      <c r="O103" s="136">
        <f t="shared" si="8"/>
        <v>0</v>
      </c>
      <c r="P103" s="85"/>
      <c r="R103" s="53"/>
      <c r="S103" s="53"/>
      <c r="T103" s="53"/>
    </row>
    <row r="104" spans="1:20" hidden="1" x14ac:dyDescent="0.25">
      <c r="A104" s="76">
        <v>2236</v>
      </c>
      <c r="B104" s="127" t="s">
        <v>120</v>
      </c>
      <c r="C104" s="128">
        <f t="shared" si="4"/>
        <v>0</v>
      </c>
      <c r="D104" s="134"/>
      <c r="E104" s="285"/>
      <c r="F104" s="286">
        <f t="shared" si="5"/>
        <v>0</v>
      </c>
      <c r="G104" s="134"/>
      <c r="H104" s="135"/>
      <c r="I104" s="136">
        <f t="shared" si="6"/>
        <v>0</v>
      </c>
      <c r="J104" s="134"/>
      <c r="K104" s="135"/>
      <c r="L104" s="136">
        <f t="shared" si="7"/>
        <v>0</v>
      </c>
      <c r="M104" s="284"/>
      <c r="N104" s="285"/>
      <c r="O104" s="136">
        <f t="shared" si="8"/>
        <v>0</v>
      </c>
      <c r="P104" s="85"/>
      <c r="R104" s="53"/>
      <c r="S104" s="53"/>
      <c r="T104" s="53"/>
    </row>
    <row r="105" spans="1:20" ht="24" x14ac:dyDescent="0.25">
      <c r="A105" s="76">
        <v>2239</v>
      </c>
      <c r="B105" s="127" t="s">
        <v>121</v>
      </c>
      <c r="C105" s="128">
        <f t="shared" si="4"/>
        <v>906</v>
      </c>
      <c r="D105" s="134">
        <v>906</v>
      </c>
      <c r="E105" s="283"/>
      <c r="F105" s="279">
        <f t="shared" si="5"/>
        <v>906</v>
      </c>
      <c r="G105" s="134"/>
      <c r="H105" s="135"/>
      <c r="I105" s="136">
        <f t="shared" si="6"/>
        <v>0</v>
      </c>
      <c r="J105" s="134"/>
      <c r="K105" s="135"/>
      <c r="L105" s="136">
        <f t="shared" si="7"/>
        <v>0</v>
      </c>
      <c r="M105" s="284"/>
      <c r="N105" s="285"/>
      <c r="O105" s="136">
        <f t="shared" si="8"/>
        <v>0</v>
      </c>
      <c r="P105" s="85"/>
      <c r="R105" s="53"/>
      <c r="S105" s="53"/>
      <c r="T105" s="53"/>
    </row>
    <row r="106" spans="1:20" ht="36" x14ac:dyDescent="0.25">
      <c r="A106" s="276">
        <v>2240</v>
      </c>
      <c r="B106" s="127" t="s">
        <v>122</v>
      </c>
      <c r="C106" s="128">
        <f t="shared" si="4"/>
        <v>10039</v>
      </c>
      <c r="D106" s="277">
        <f>SUM(D107:D114)</f>
        <v>10039</v>
      </c>
      <c r="E106" s="278">
        <f>SUM(E107:E114)</f>
        <v>0</v>
      </c>
      <c r="F106" s="279">
        <f t="shared" si="5"/>
        <v>10039</v>
      </c>
      <c r="G106" s="277">
        <f>SUM(G107:G114)</f>
        <v>0</v>
      </c>
      <c r="H106" s="280">
        <f>SUM(H107:H114)</f>
        <v>0</v>
      </c>
      <c r="I106" s="136">
        <f t="shared" si="6"/>
        <v>0</v>
      </c>
      <c r="J106" s="277">
        <f>SUM(J107:J114)</f>
        <v>0</v>
      </c>
      <c r="K106" s="280">
        <f>SUM(K107:K114)</f>
        <v>0</v>
      </c>
      <c r="L106" s="136">
        <f t="shared" si="7"/>
        <v>0</v>
      </c>
      <c r="M106" s="281">
        <f>SUM(M107:M114)</f>
        <v>0</v>
      </c>
      <c r="N106" s="282">
        <f>SUM(N107:N114)</f>
        <v>0</v>
      </c>
      <c r="O106" s="136">
        <f t="shared" si="8"/>
        <v>0</v>
      </c>
      <c r="P106" s="85"/>
      <c r="R106" s="53"/>
      <c r="S106" s="53"/>
      <c r="T106" s="53"/>
    </row>
    <row r="107" spans="1:20" hidden="1" x14ac:dyDescent="0.25">
      <c r="A107" s="76">
        <v>2241</v>
      </c>
      <c r="B107" s="127" t="s">
        <v>123</v>
      </c>
      <c r="C107" s="128">
        <f t="shared" si="4"/>
        <v>0</v>
      </c>
      <c r="D107" s="134"/>
      <c r="E107" s="285"/>
      <c r="F107" s="286">
        <f t="shared" si="5"/>
        <v>0</v>
      </c>
      <c r="G107" s="134"/>
      <c r="H107" s="135"/>
      <c r="I107" s="136">
        <f t="shared" si="6"/>
        <v>0</v>
      </c>
      <c r="J107" s="134"/>
      <c r="K107" s="135"/>
      <c r="L107" s="136">
        <f t="shared" si="7"/>
        <v>0</v>
      </c>
      <c r="M107" s="284"/>
      <c r="N107" s="285"/>
      <c r="O107" s="136">
        <f t="shared" si="8"/>
        <v>0</v>
      </c>
      <c r="P107" s="85"/>
      <c r="R107" s="53"/>
      <c r="S107" s="53"/>
      <c r="T107" s="53"/>
    </row>
    <row r="108" spans="1:20" ht="24" hidden="1" x14ac:dyDescent="0.25">
      <c r="A108" s="76">
        <v>2242</v>
      </c>
      <c r="B108" s="127" t="s">
        <v>124</v>
      </c>
      <c r="C108" s="128">
        <f t="shared" si="4"/>
        <v>0</v>
      </c>
      <c r="D108" s="134"/>
      <c r="E108" s="285"/>
      <c r="F108" s="286">
        <f t="shared" si="5"/>
        <v>0</v>
      </c>
      <c r="G108" s="134"/>
      <c r="H108" s="135"/>
      <c r="I108" s="136">
        <f t="shared" si="6"/>
        <v>0</v>
      </c>
      <c r="J108" s="134"/>
      <c r="K108" s="135"/>
      <c r="L108" s="136">
        <f t="shared" si="7"/>
        <v>0</v>
      </c>
      <c r="M108" s="284"/>
      <c r="N108" s="285"/>
      <c r="O108" s="136">
        <f t="shared" si="8"/>
        <v>0</v>
      </c>
      <c r="P108" s="85"/>
      <c r="R108" s="53"/>
      <c r="S108" s="53"/>
      <c r="T108" s="53"/>
    </row>
    <row r="109" spans="1:20" s="307" customFormat="1" ht="24" x14ac:dyDescent="0.25">
      <c r="A109" s="265">
        <v>2243</v>
      </c>
      <c r="B109" s="266" t="s">
        <v>125</v>
      </c>
      <c r="C109" s="267">
        <f t="shared" si="4"/>
        <v>490</v>
      </c>
      <c r="D109" s="268">
        <v>490</v>
      </c>
      <c r="E109" s="269"/>
      <c r="F109" s="270">
        <f t="shared" si="5"/>
        <v>490</v>
      </c>
      <c r="G109" s="268"/>
      <c r="H109" s="271"/>
      <c r="I109" s="272">
        <f t="shared" si="6"/>
        <v>0</v>
      </c>
      <c r="J109" s="268"/>
      <c r="K109" s="271"/>
      <c r="L109" s="272">
        <f t="shared" si="7"/>
        <v>0</v>
      </c>
      <c r="M109" s="273"/>
      <c r="N109" s="274"/>
      <c r="O109" s="272">
        <f t="shared" si="8"/>
        <v>0</v>
      </c>
      <c r="P109" s="275"/>
      <c r="R109" s="53"/>
      <c r="S109" s="53"/>
      <c r="T109" s="53"/>
    </row>
    <row r="110" spans="1:20" x14ac:dyDescent="0.25">
      <c r="A110" s="265">
        <v>2244</v>
      </c>
      <c r="B110" s="266" t="s">
        <v>126</v>
      </c>
      <c r="C110" s="267">
        <f t="shared" si="4"/>
        <v>9549</v>
      </c>
      <c r="D110" s="268">
        <v>9549</v>
      </c>
      <c r="E110" s="269"/>
      <c r="F110" s="270">
        <f t="shared" si="5"/>
        <v>9549</v>
      </c>
      <c r="G110" s="268"/>
      <c r="H110" s="271"/>
      <c r="I110" s="272">
        <f t="shared" si="6"/>
        <v>0</v>
      </c>
      <c r="J110" s="268"/>
      <c r="K110" s="271"/>
      <c r="L110" s="272">
        <f t="shared" si="7"/>
        <v>0</v>
      </c>
      <c r="M110" s="273"/>
      <c r="N110" s="274"/>
      <c r="O110" s="272">
        <f t="shared" si="8"/>
        <v>0</v>
      </c>
      <c r="P110" s="275"/>
      <c r="R110" s="53"/>
      <c r="S110" s="53"/>
      <c r="T110" s="53"/>
    </row>
    <row r="111" spans="1:20" ht="24" hidden="1" x14ac:dyDescent="0.25">
      <c r="A111" s="76">
        <v>2246</v>
      </c>
      <c r="B111" s="127" t="s">
        <v>127</v>
      </c>
      <c r="C111" s="128">
        <f t="shared" si="4"/>
        <v>0</v>
      </c>
      <c r="D111" s="134"/>
      <c r="E111" s="285"/>
      <c r="F111" s="286">
        <f t="shared" si="5"/>
        <v>0</v>
      </c>
      <c r="G111" s="134"/>
      <c r="H111" s="135"/>
      <c r="I111" s="136">
        <f t="shared" si="6"/>
        <v>0</v>
      </c>
      <c r="J111" s="134"/>
      <c r="K111" s="135"/>
      <c r="L111" s="136">
        <f t="shared" si="7"/>
        <v>0</v>
      </c>
      <c r="M111" s="284"/>
      <c r="N111" s="285"/>
      <c r="O111" s="136">
        <f t="shared" si="8"/>
        <v>0</v>
      </c>
      <c r="P111" s="85"/>
      <c r="R111" s="53"/>
      <c r="S111" s="53"/>
      <c r="T111" s="53"/>
    </row>
    <row r="112" spans="1:20" hidden="1" x14ac:dyDescent="0.25">
      <c r="A112" s="76">
        <v>2247</v>
      </c>
      <c r="B112" s="127" t="s">
        <v>128</v>
      </c>
      <c r="C112" s="128">
        <f t="shared" si="4"/>
        <v>0</v>
      </c>
      <c r="D112" s="134"/>
      <c r="E112" s="285"/>
      <c r="F112" s="286">
        <f t="shared" si="5"/>
        <v>0</v>
      </c>
      <c r="G112" s="134"/>
      <c r="H112" s="135"/>
      <c r="I112" s="136">
        <f t="shared" si="6"/>
        <v>0</v>
      </c>
      <c r="J112" s="134"/>
      <c r="K112" s="135"/>
      <c r="L112" s="136">
        <f t="shared" si="7"/>
        <v>0</v>
      </c>
      <c r="M112" s="284"/>
      <c r="N112" s="285"/>
      <c r="O112" s="136">
        <f t="shared" si="8"/>
        <v>0</v>
      </c>
      <c r="P112" s="85"/>
      <c r="R112" s="53"/>
      <c r="S112" s="53"/>
      <c r="T112" s="53"/>
    </row>
    <row r="113" spans="1:20" ht="24" hidden="1" x14ac:dyDescent="0.25">
      <c r="A113" s="76">
        <v>2248</v>
      </c>
      <c r="B113" s="127" t="s">
        <v>129</v>
      </c>
      <c r="C113" s="128">
        <f t="shared" si="4"/>
        <v>0</v>
      </c>
      <c r="D113" s="134"/>
      <c r="E113" s="285"/>
      <c r="F113" s="286">
        <f t="shared" si="5"/>
        <v>0</v>
      </c>
      <c r="G113" s="134"/>
      <c r="H113" s="135"/>
      <c r="I113" s="136">
        <f t="shared" si="6"/>
        <v>0</v>
      </c>
      <c r="J113" s="134"/>
      <c r="K113" s="135"/>
      <c r="L113" s="136">
        <f t="shared" si="7"/>
        <v>0</v>
      </c>
      <c r="M113" s="284"/>
      <c r="N113" s="285"/>
      <c r="O113" s="136">
        <f t="shared" si="8"/>
        <v>0</v>
      </c>
      <c r="P113" s="85"/>
      <c r="R113" s="53"/>
      <c r="S113" s="53"/>
      <c r="T113" s="53"/>
    </row>
    <row r="114" spans="1:20" ht="24" hidden="1" x14ac:dyDescent="0.25">
      <c r="A114" s="76">
        <v>2249</v>
      </c>
      <c r="B114" s="127" t="s">
        <v>130</v>
      </c>
      <c r="C114" s="128">
        <f t="shared" si="4"/>
        <v>0</v>
      </c>
      <c r="D114" s="134"/>
      <c r="E114" s="285"/>
      <c r="F114" s="286">
        <f t="shared" si="5"/>
        <v>0</v>
      </c>
      <c r="G114" s="134"/>
      <c r="H114" s="135"/>
      <c r="I114" s="136">
        <f t="shared" si="6"/>
        <v>0</v>
      </c>
      <c r="J114" s="134"/>
      <c r="K114" s="135"/>
      <c r="L114" s="136">
        <f t="shared" si="7"/>
        <v>0</v>
      </c>
      <c r="M114" s="284"/>
      <c r="N114" s="285"/>
      <c r="O114" s="136">
        <f t="shared" si="8"/>
        <v>0</v>
      </c>
      <c r="P114" s="85"/>
      <c r="R114" s="53"/>
      <c r="S114" s="53"/>
      <c r="T114" s="53"/>
    </row>
    <row r="115" spans="1:20" x14ac:dyDescent="0.25">
      <c r="A115" s="276">
        <v>2250</v>
      </c>
      <c r="B115" s="127" t="s">
        <v>131</v>
      </c>
      <c r="C115" s="128">
        <f t="shared" si="4"/>
        <v>223</v>
      </c>
      <c r="D115" s="277">
        <f>SUM(D116:D118)</f>
        <v>223</v>
      </c>
      <c r="E115" s="278">
        <f>SUM(E116:E118)</f>
        <v>0</v>
      </c>
      <c r="F115" s="279">
        <f t="shared" si="5"/>
        <v>223</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c r="R115" s="53"/>
      <c r="S115" s="53"/>
      <c r="T115" s="53"/>
    </row>
    <row r="116" spans="1:20" x14ac:dyDescent="0.25">
      <c r="A116" s="265">
        <v>2251</v>
      </c>
      <c r="B116" s="266" t="s">
        <v>132</v>
      </c>
      <c r="C116" s="267">
        <f t="shared" si="4"/>
        <v>133</v>
      </c>
      <c r="D116" s="268">
        <v>133</v>
      </c>
      <c r="E116" s="269"/>
      <c r="F116" s="270">
        <f t="shared" si="5"/>
        <v>133</v>
      </c>
      <c r="G116" s="268"/>
      <c r="H116" s="271"/>
      <c r="I116" s="272">
        <f t="shared" si="6"/>
        <v>0</v>
      </c>
      <c r="J116" s="268"/>
      <c r="K116" s="271"/>
      <c r="L116" s="272">
        <f t="shared" si="7"/>
        <v>0</v>
      </c>
      <c r="M116" s="273"/>
      <c r="N116" s="274"/>
      <c r="O116" s="272">
        <f t="shared" si="8"/>
        <v>0</v>
      </c>
      <c r="P116" s="275"/>
      <c r="R116" s="53"/>
      <c r="S116" s="53"/>
      <c r="T116" s="53"/>
    </row>
    <row r="117" spans="1:20" ht="24" hidden="1" x14ac:dyDescent="0.25">
      <c r="A117" s="76">
        <v>2252</v>
      </c>
      <c r="B117" s="127" t="s">
        <v>133</v>
      </c>
      <c r="C117" s="128">
        <f t="shared" ref="C117:C181" si="9">F117+I117+L117+O117</f>
        <v>0</v>
      </c>
      <c r="D117" s="134"/>
      <c r="E117" s="285"/>
      <c r="F117" s="286">
        <f t="shared" si="5"/>
        <v>0</v>
      </c>
      <c r="G117" s="134"/>
      <c r="H117" s="135"/>
      <c r="I117" s="136">
        <f t="shared" si="6"/>
        <v>0</v>
      </c>
      <c r="J117" s="134"/>
      <c r="K117" s="135"/>
      <c r="L117" s="136">
        <f t="shared" si="7"/>
        <v>0</v>
      </c>
      <c r="M117" s="284"/>
      <c r="N117" s="285"/>
      <c r="O117" s="136">
        <f t="shared" si="8"/>
        <v>0</v>
      </c>
      <c r="P117" s="85"/>
      <c r="R117" s="53"/>
      <c r="S117" s="53"/>
      <c r="T117" s="53"/>
    </row>
    <row r="118" spans="1:20" ht="24" x14ac:dyDescent="0.25">
      <c r="A118" s="265">
        <v>2259</v>
      </c>
      <c r="B118" s="266" t="s">
        <v>134</v>
      </c>
      <c r="C118" s="267">
        <f t="shared" si="9"/>
        <v>90</v>
      </c>
      <c r="D118" s="268">
        <v>90</v>
      </c>
      <c r="E118" s="269"/>
      <c r="F118" s="270">
        <f t="shared" ref="F118:F182" si="10">D118+E118</f>
        <v>90</v>
      </c>
      <c r="G118" s="268"/>
      <c r="H118" s="271"/>
      <c r="I118" s="272">
        <f t="shared" ref="I118:I182" si="11">G118+H118</f>
        <v>0</v>
      </c>
      <c r="J118" s="268"/>
      <c r="K118" s="271"/>
      <c r="L118" s="272">
        <f t="shared" ref="L118:L182" si="12">J118+K118</f>
        <v>0</v>
      </c>
      <c r="M118" s="273"/>
      <c r="N118" s="274"/>
      <c r="O118" s="272">
        <f t="shared" ref="O118:O182" si="13">M118+N118</f>
        <v>0</v>
      </c>
      <c r="P118" s="275"/>
      <c r="R118" s="53"/>
      <c r="S118" s="53"/>
      <c r="T118" s="53"/>
    </row>
    <row r="119" spans="1:20" x14ac:dyDescent="0.25">
      <c r="A119" s="276">
        <v>2260</v>
      </c>
      <c r="B119" s="127" t="s">
        <v>135</v>
      </c>
      <c r="C119" s="128">
        <f t="shared" si="9"/>
        <v>24</v>
      </c>
      <c r="D119" s="277">
        <f>SUM(D120:D124)</f>
        <v>24</v>
      </c>
      <c r="E119" s="278">
        <f>SUM(E120:E124)</f>
        <v>0</v>
      </c>
      <c r="F119" s="279">
        <f t="shared" si="10"/>
        <v>24</v>
      </c>
      <c r="G119" s="277">
        <f>SUM(G120:G124)</f>
        <v>0</v>
      </c>
      <c r="H119" s="280">
        <f>SUM(H120:H124)</f>
        <v>0</v>
      </c>
      <c r="I119" s="136">
        <f t="shared" si="11"/>
        <v>0</v>
      </c>
      <c r="J119" s="277">
        <f>SUM(J120:J124)</f>
        <v>0</v>
      </c>
      <c r="K119" s="280">
        <f>SUM(K120:K124)</f>
        <v>0</v>
      </c>
      <c r="L119" s="136">
        <f t="shared" si="12"/>
        <v>0</v>
      </c>
      <c r="M119" s="281">
        <f>SUM(M120:M124)</f>
        <v>0</v>
      </c>
      <c r="N119" s="282">
        <f>SUM(N120:N124)</f>
        <v>0</v>
      </c>
      <c r="O119" s="136">
        <f t="shared" si="13"/>
        <v>0</v>
      </c>
      <c r="P119" s="85"/>
      <c r="R119" s="53"/>
      <c r="S119" s="53"/>
      <c r="T119" s="53"/>
    </row>
    <row r="120" spans="1:20" hidden="1" x14ac:dyDescent="0.25">
      <c r="A120" s="76">
        <v>2261</v>
      </c>
      <c r="B120" s="127" t="s">
        <v>136</v>
      </c>
      <c r="C120" s="128">
        <f t="shared" si="9"/>
        <v>0</v>
      </c>
      <c r="D120" s="134"/>
      <c r="E120" s="285"/>
      <c r="F120" s="286">
        <f t="shared" si="10"/>
        <v>0</v>
      </c>
      <c r="G120" s="134"/>
      <c r="H120" s="135"/>
      <c r="I120" s="136">
        <f t="shared" si="11"/>
        <v>0</v>
      </c>
      <c r="J120" s="134"/>
      <c r="K120" s="135"/>
      <c r="L120" s="136">
        <f t="shared" si="12"/>
        <v>0</v>
      </c>
      <c r="M120" s="284"/>
      <c r="N120" s="285"/>
      <c r="O120" s="136">
        <f t="shared" si="13"/>
        <v>0</v>
      </c>
      <c r="P120" s="85"/>
      <c r="R120" s="53"/>
      <c r="S120" s="53"/>
      <c r="T120" s="53"/>
    </row>
    <row r="121" spans="1:20" hidden="1" x14ac:dyDescent="0.25">
      <c r="A121" s="76">
        <v>2262</v>
      </c>
      <c r="B121" s="127" t="s">
        <v>137</v>
      </c>
      <c r="C121" s="128">
        <f t="shared" si="9"/>
        <v>0</v>
      </c>
      <c r="D121" s="134"/>
      <c r="E121" s="285"/>
      <c r="F121" s="286">
        <f t="shared" si="10"/>
        <v>0</v>
      </c>
      <c r="G121" s="134"/>
      <c r="H121" s="135"/>
      <c r="I121" s="136">
        <f t="shared" si="11"/>
        <v>0</v>
      </c>
      <c r="J121" s="134"/>
      <c r="K121" s="135"/>
      <c r="L121" s="136">
        <f t="shared" si="12"/>
        <v>0</v>
      </c>
      <c r="M121" s="284"/>
      <c r="N121" s="285"/>
      <c r="O121" s="136">
        <f t="shared" si="13"/>
        <v>0</v>
      </c>
      <c r="P121" s="85"/>
      <c r="R121" s="53"/>
      <c r="S121" s="53"/>
      <c r="T121" s="53"/>
    </row>
    <row r="122" spans="1:20" hidden="1" x14ac:dyDescent="0.25">
      <c r="A122" s="76">
        <v>2263</v>
      </c>
      <c r="B122" s="127" t="s">
        <v>138</v>
      </c>
      <c r="C122" s="128">
        <f t="shared" si="9"/>
        <v>0</v>
      </c>
      <c r="D122" s="134"/>
      <c r="E122" s="285"/>
      <c r="F122" s="286">
        <f t="shared" si="10"/>
        <v>0</v>
      </c>
      <c r="G122" s="134"/>
      <c r="H122" s="135"/>
      <c r="I122" s="136">
        <f t="shared" si="11"/>
        <v>0</v>
      </c>
      <c r="J122" s="134"/>
      <c r="K122" s="135"/>
      <c r="L122" s="136">
        <f t="shared" si="12"/>
        <v>0</v>
      </c>
      <c r="M122" s="284"/>
      <c r="N122" s="285"/>
      <c r="O122" s="136">
        <f t="shared" si="13"/>
        <v>0</v>
      </c>
      <c r="P122" s="85"/>
      <c r="R122" s="53"/>
      <c r="S122" s="53"/>
      <c r="T122" s="53"/>
    </row>
    <row r="123" spans="1:20" ht="24" hidden="1" x14ac:dyDescent="0.25">
      <c r="A123" s="76">
        <v>2264</v>
      </c>
      <c r="B123" s="127" t="s">
        <v>139</v>
      </c>
      <c r="C123" s="128">
        <f t="shared" si="9"/>
        <v>0</v>
      </c>
      <c r="D123" s="134"/>
      <c r="E123" s="285"/>
      <c r="F123" s="286">
        <f t="shared" si="10"/>
        <v>0</v>
      </c>
      <c r="G123" s="134"/>
      <c r="H123" s="135"/>
      <c r="I123" s="136">
        <f t="shared" si="11"/>
        <v>0</v>
      </c>
      <c r="J123" s="134"/>
      <c r="K123" s="135"/>
      <c r="L123" s="136">
        <f t="shared" si="12"/>
        <v>0</v>
      </c>
      <c r="M123" s="284"/>
      <c r="N123" s="285"/>
      <c r="O123" s="136">
        <f t="shared" si="13"/>
        <v>0</v>
      </c>
      <c r="P123" s="85"/>
      <c r="R123" s="53"/>
      <c r="S123" s="53"/>
      <c r="T123" s="53"/>
    </row>
    <row r="124" spans="1:20" x14ac:dyDescent="0.25">
      <c r="A124" s="76">
        <v>2269</v>
      </c>
      <c r="B124" s="127" t="s">
        <v>140</v>
      </c>
      <c r="C124" s="128">
        <f t="shared" si="9"/>
        <v>24</v>
      </c>
      <c r="D124" s="134">
        <v>24</v>
      </c>
      <c r="E124" s="283"/>
      <c r="F124" s="279">
        <f t="shared" si="10"/>
        <v>24</v>
      </c>
      <c r="G124" s="134"/>
      <c r="H124" s="135"/>
      <c r="I124" s="136">
        <f t="shared" si="11"/>
        <v>0</v>
      </c>
      <c r="J124" s="134"/>
      <c r="K124" s="135"/>
      <c r="L124" s="136">
        <f t="shared" si="12"/>
        <v>0</v>
      </c>
      <c r="M124" s="284"/>
      <c r="N124" s="285"/>
      <c r="O124" s="136">
        <f t="shared" si="13"/>
        <v>0</v>
      </c>
      <c r="P124" s="85"/>
      <c r="R124" s="53"/>
      <c r="S124" s="53"/>
      <c r="T124" s="53"/>
    </row>
    <row r="125" spans="1:20" x14ac:dyDescent="0.25">
      <c r="A125" s="276">
        <v>2270</v>
      </c>
      <c r="B125" s="127" t="s">
        <v>141</v>
      </c>
      <c r="C125" s="128">
        <f t="shared" si="9"/>
        <v>850</v>
      </c>
      <c r="D125" s="277">
        <f>SUM(D126:D130)</f>
        <v>476</v>
      </c>
      <c r="E125" s="278">
        <f>SUM(E126:E130)</f>
        <v>0</v>
      </c>
      <c r="F125" s="279">
        <f t="shared" si="10"/>
        <v>476</v>
      </c>
      <c r="G125" s="277">
        <f>SUM(G126:G130)</f>
        <v>0</v>
      </c>
      <c r="H125" s="280">
        <f>SUM(H126:H130)</f>
        <v>0</v>
      </c>
      <c r="I125" s="136">
        <f t="shared" si="11"/>
        <v>0</v>
      </c>
      <c r="J125" s="277">
        <f>SUM(J126:J130)</f>
        <v>374</v>
      </c>
      <c r="K125" s="280">
        <f>SUM(K126:K130)</f>
        <v>0</v>
      </c>
      <c r="L125" s="136">
        <f t="shared" si="12"/>
        <v>374</v>
      </c>
      <c r="M125" s="281">
        <f>SUM(M126:M130)</f>
        <v>0</v>
      </c>
      <c r="N125" s="282">
        <f>SUM(N126:N130)</f>
        <v>0</v>
      </c>
      <c r="O125" s="136">
        <f t="shared" si="13"/>
        <v>0</v>
      </c>
      <c r="P125" s="85"/>
      <c r="R125" s="53"/>
      <c r="S125" s="53"/>
      <c r="T125" s="53"/>
    </row>
    <row r="126" spans="1:20" hidden="1" x14ac:dyDescent="0.25">
      <c r="A126" s="76">
        <v>2272</v>
      </c>
      <c r="B126" s="5" t="s">
        <v>142</v>
      </c>
      <c r="C126" s="128">
        <f t="shared" si="9"/>
        <v>0</v>
      </c>
      <c r="D126" s="134"/>
      <c r="E126" s="285"/>
      <c r="F126" s="286">
        <f t="shared" si="10"/>
        <v>0</v>
      </c>
      <c r="G126" s="134"/>
      <c r="H126" s="135"/>
      <c r="I126" s="136">
        <f t="shared" si="11"/>
        <v>0</v>
      </c>
      <c r="J126" s="134"/>
      <c r="K126" s="135"/>
      <c r="L126" s="136">
        <f t="shared" si="12"/>
        <v>0</v>
      </c>
      <c r="M126" s="284"/>
      <c r="N126" s="285"/>
      <c r="O126" s="136">
        <f t="shared" si="13"/>
        <v>0</v>
      </c>
      <c r="P126" s="85"/>
      <c r="R126" s="53"/>
      <c r="S126" s="53"/>
      <c r="T126" s="53"/>
    </row>
    <row r="127" spans="1:20" ht="24" hidden="1" x14ac:dyDescent="0.25">
      <c r="A127" s="76">
        <v>2275</v>
      </c>
      <c r="B127" s="127" t="s">
        <v>143</v>
      </c>
      <c r="C127" s="128">
        <f t="shared" si="9"/>
        <v>0</v>
      </c>
      <c r="D127" s="134"/>
      <c r="E127" s="285"/>
      <c r="F127" s="286">
        <f t="shared" si="10"/>
        <v>0</v>
      </c>
      <c r="G127" s="134"/>
      <c r="H127" s="135"/>
      <c r="I127" s="136">
        <f t="shared" si="11"/>
        <v>0</v>
      </c>
      <c r="J127" s="134"/>
      <c r="K127" s="135"/>
      <c r="L127" s="136">
        <f t="shared" si="12"/>
        <v>0</v>
      </c>
      <c r="M127" s="284"/>
      <c r="N127" s="285"/>
      <c r="O127" s="136">
        <f t="shared" si="13"/>
        <v>0</v>
      </c>
      <c r="P127" s="85"/>
      <c r="R127" s="53"/>
      <c r="S127" s="53"/>
      <c r="T127" s="53"/>
    </row>
    <row r="128" spans="1:20" ht="36" hidden="1" x14ac:dyDescent="0.25">
      <c r="A128" s="76">
        <v>2276</v>
      </c>
      <c r="B128" s="127" t="s">
        <v>144</v>
      </c>
      <c r="C128" s="128">
        <f t="shared" si="9"/>
        <v>0</v>
      </c>
      <c r="D128" s="134"/>
      <c r="E128" s="285"/>
      <c r="F128" s="286">
        <f t="shared" si="10"/>
        <v>0</v>
      </c>
      <c r="G128" s="134"/>
      <c r="H128" s="135"/>
      <c r="I128" s="136">
        <f t="shared" si="11"/>
        <v>0</v>
      </c>
      <c r="J128" s="134"/>
      <c r="K128" s="135"/>
      <c r="L128" s="136">
        <f t="shared" si="12"/>
        <v>0</v>
      </c>
      <c r="M128" s="284"/>
      <c r="N128" s="285"/>
      <c r="O128" s="136">
        <f t="shared" si="13"/>
        <v>0</v>
      </c>
      <c r="P128" s="85"/>
      <c r="R128" s="53"/>
      <c r="S128" s="53"/>
      <c r="T128" s="53"/>
    </row>
    <row r="129" spans="1:20" ht="24" hidden="1" x14ac:dyDescent="0.25">
      <c r="A129" s="76">
        <v>2278</v>
      </c>
      <c r="B129" s="127" t="s">
        <v>145</v>
      </c>
      <c r="C129" s="128">
        <f t="shared" si="9"/>
        <v>0</v>
      </c>
      <c r="D129" s="134"/>
      <c r="E129" s="285"/>
      <c r="F129" s="286">
        <f t="shared" si="10"/>
        <v>0</v>
      </c>
      <c r="G129" s="134"/>
      <c r="H129" s="135"/>
      <c r="I129" s="136">
        <f t="shared" si="11"/>
        <v>0</v>
      </c>
      <c r="J129" s="134"/>
      <c r="K129" s="135"/>
      <c r="L129" s="136">
        <f t="shared" si="12"/>
        <v>0</v>
      </c>
      <c r="M129" s="284"/>
      <c r="N129" s="285"/>
      <c r="O129" s="136">
        <f t="shared" si="13"/>
        <v>0</v>
      </c>
      <c r="P129" s="85"/>
      <c r="R129" s="53"/>
      <c r="S129" s="53"/>
      <c r="T129" s="53"/>
    </row>
    <row r="130" spans="1:20" ht="24" x14ac:dyDescent="0.25">
      <c r="A130" s="76">
        <v>2279</v>
      </c>
      <c r="B130" s="127" t="s">
        <v>146</v>
      </c>
      <c r="C130" s="128">
        <f t="shared" si="9"/>
        <v>850</v>
      </c>
      <c r="D130" s="134">
        <v>476</v>
      </c>
      <c r="E130" s="283"/>
      <c r="F130" s="279">
        <f t="shared" si="10"/>
        <v>476</v>
      </c>
      <c r="G130" s="134"/>
      <c r="H130" s="135"/>
      <c r="I130" s="136">
        <f t="shared" si="11"/>
        <v>0</v>
      </c>
      <c r="J130" s="134">
        <v>374</v>
      </c>
      <c r="K130" s="135"/>
      <c r="L130" s="136">
        <f t="shared" si="12"/>
        <v>374</v>
      </c>
      <c r="M130" s="284"/>
      <c r="N130" s="285"/>
      <c r="O130" s="136">
        <f t="shared" si="13"/>
        <v>0</v>
      </c>
      <c r="P130" s="85"/>
      <c r="R130" s="53"/>
      <c r="S130" s="53"/>
      <c r="T130" s="53"/>
    </row>
    <row r="131" spans="1:20" ht="24" hidden="1" x14ac:dyDescent="0.25">
      <c r="A131" s="656">
        <v>2280</v>
      </c>
      <c r="B131" s="116" t="s">
        <v>147</v>
      </c>
      <c r="C131" s="128">
        <f t="shared" si="9"/>
        <v>0</v>
      </c>
      <c r="D131" s="297">
        <f t="shared" ref="D131:N131" si="14">SUM(D132)</f>
        <v>0</v>
      </c>
      <c r="E131" s="301">
        <f t="shared" si="14"/>
        <v>0</v>
      </c>
      <c r="F131" s="263">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c r="R131" s="53"/>
      <c r="S131" s="53"/>
      <c r="T131" s="53"/>
    </row>
    <row r="132" spans="1:20" ht="24" hidden="1" x14ac:dyDescent="0.25">
      <c r="A132" s="76">
        <v>2283</v>
      </c>
      <c r="B132" s="127" t="s">
        <v>148</v>
      </c>
      <c r="C132" s="128">
        <f t="shared" si="9"/>
        <v>0</v>
      </c>
      <c r="D132" s="134"/>
      <c r="E132" s="285"/>
      <c r="F132" s="286">
        <f t="shared" si="10"/>
        <v>0</v>
      </c>
      <c r="G132" s="134"/>
      <c r="H132" s="135"/>
      <c r="I132" s="136">
        <f t="shared" si="11"/>
        <v>0</v>
      </c>
      <c r="J132" s="134"/>
      <c r="K132" s="135"/>
      <c r="L132" s="136">
        <f t="shared" si="12"/>
        <v>0</v>
      </c>
      <c r="M132" s="284"/>
      <c r="N132" s="285"/>
      <c r="O132" s="136">
        <f t="shared" si="13"/>
        <v>0</v>
      </c>
      <c r="P132" s="85"/>
      <c r="R132" s="53"/>
      <c r="S132" s="53"/>
      <c r="T132" s="53"/>
    </row>
    <row r="133" spans="1:20" ht="36" x14ac:dyDescent="0.25">
      <c r="A133" s="99">
        <v>2300</v>
      </c>
      <c r="B133" s="247" t="s">
        <v>149</v>
      </c>
      <c r="C133" s="100">
        <f t="shared" si="9"/>
        <v>5679</v>
      </c>
      <c r="D133" s="112">
        <f>SUM(D134,D139,D143,D144,D147,D154,D162,D163,D166)</f>
        <v>5186</v>
      </c>
      <c r="E133" s="248">
        <f>SUM(E134,E139,E143,E144,E147,E154,E162,E163,E166)</f>
        <v>0</v>
      </c>
      <c r="F133" s="249">
        <f t="shared" si="10"/>
        <v>5186</v>
      </c>
      <c r="G133" s="112">
        <f>SUM(G134,G139,G143,G144,G147,G154,G162,G163,G166)</f>
        <v>437</v>
      </c>
      <c r="H133" s="113">
        <f>SUM(H134,H139,H143,H144,H147,H154,H162,H163,H166)</f>
        <v>0</v>
      </c>
      <c r="I133" s="114">
        <f t="shared" si="11"/>
        <v>437</v>
      </c>
      <c r="J133" s="112">
        <f>SUM(J134,J139,J143,J144,J147,J154,J162,J163,J166)</f>
        <v>56</v>
      </c>
      <c r="K133" s="113">
        <f>SUM(K134,K139,K143,K144,K147,K154,K162,K163,K166)</f>
        <v>0</v>
      </c>
      <c r="L133" s="114">
        <f t="shared" si="12"/>
        <v>56</v>
      </c>
      <c r="M133" s="292">
        <f>SUM(M134,M139,M143,M144,M147,M154,M162,M163,M166)</f>
        <v>0</v>
      </c>
      <c r="N133" s="293">
        <f>SUM(N134,N139,N143,N144,N147,N154,N162,N163,N166)</f>
        <v>0</v>
      </c>
      <c r="O133" s="114">
        <f t="shared" si="13"/>
        <v>0</v>
      </c>
      <c r="P133" s="109"/>
      <c r="R133" s="53"/>
      <c r="S133" s="53"/>
      <c r="T133" s="53"/>
    </row>
    <row r="134" spans="1:20" ht="24" x14ac:dyDescent="0.25">
      <c r="A134" s="656">
        <v>2310</v>
      </c>
      <c r="B134" s="116" t="s">
        <v>150</v>
      </c>
      <c r="C134" s="117">
        <f t="shared" si="9"/>
        <v>1464</v>
      </c>
      <c r="D134" s="308">
        <f>SUM(D135:D138)</f>
        <v>1464</v>
      </c>
      <c r="E134" s="300">
        <f>SUM(E135:E138)</f>
        <v>0</v>
      </c>
      <c r="F134" s="296">
        <f t="shared" si="10"/>
        <v>1464</v>
      </c>
      <c r="G134" s="297">
        <f>SUM(G135:G138)</f>
        <v>0</v>
      </c>
      <c r="H134" s="299">
        <f>SUM(H135:H138)</f>
        <v>0</v>
      </c>
      <c r="I134" s="125">
        <f t="shared" si="11"/>
        <v>0</v>
      </c>
      <c r="J134" s="297">
        <f>SUM(J135:J138)</f>
        <v>0</v>
      </c>
      <c r="K134" s="299">
        <f>SUM(K135:K138)</f>
        <v>0</v>
      </c>
      <c r="L134" s="125">
        <f t="shared" si="12"/>
        <v>0</v>
      </c>
      <c r="M134" s="300">
        <f>SUM(M135:M138)</f>
        <v>0</v>
      </c>
      <c r="N134" s="301">
        <f>SUM(N135:N138)</f>
        <v>0</v>
      </c>
      <c r="O134" s="125">
        <f t="shared" si="13"/>
        <v>0</v>
      </c>
      <c r="P134" s="74"/>
      <c r="R134" s="53"/>
      <c r="S134" s="53"/>
      <c r="T134" s="53"/>
    </row>
    <row r="135" spans="1:20" x14ac:dyDescent="0.25">
      <c r="A135" s="76">
        <v>2311</v>
      </c>
      <c r="B135" s="127" t="s">
        <v>151</v>
      </c>
      <c r="C135" s="128">
        <f t="shared" si="9"/>
        <v>924</v>
      </c>
      <c r="D135" s="134">
        <v>924</v>
      </c>
      <c r="E135" s="283"/>
      <c r="F135" s="279">
        <f t="shared" si="10"/>
        <v>924</v>
      </c>
      <c r="G135" s="134"/>
      <c r="H135" s="135"/>
      <c r="I135" s="136">
        <f t="shared" si="11"/>
        <v>0</v>
      </c>
      <c r="J135" s="134"/>
      <c r="K135" s="135"/>
      <c r="L135" s="136">
        <f t="shared" si="12"/>
        <v>0</v>
      </c>
      <c r="M135" s="284"/>
      <c r="N135" s="285"/>
      <c r="O135" s="136">
        <f t="shared" si="13"/>
        <v>0</v>
      </c>
      <c r="P135" s="85"/>
      <c r="R135" s="53"/>
      <c r="S135" s="53"/>
      <c r="T135" s="53"/>
    </row>
    <row r="136" spans="1:20" x14ac:dyDescent="0.25">
      <c r="A136" s="76">
        <v>2312</v>
      </c>
      <c r="B136" s="127" t="s">
        <v>152</v>
      </c>
      <c r="C136" s="128">
        <f t="shared" si="9"/>
        <v>490</v>
      </c>
      <c r="D136" s="134">
        <v>490</v>
      </c>
      <c r="E136" s="283"/>
      <c r="F136" s="279">
        <f t="shared" si="10"/>
        <v>490</v>
      </c>
      <c r="G136" s="134"/>
      <c r="H136" s="135"/>
      <c r="I136" s="136">
        <f t="shared" si="11"/>
        <v>0</v>
      </c>
      <c r="J136" s="134"/>
      <c r="K136" s="135"/>
      <c r="L136" s="136">
        <f t="shared" si="12"/>
        <v>0</v>
      </c>
      <c r="M136" s="284"/>
      <c r="N136" s="285"/>
      <c r="O136" s="136">
        <f t="shared" si="13"/>
        <v>0</v>
      </c>
      <c r="P136" s="85"/>
      <c r="R136" s="53"/>
      <c r="S136" s="53"/>
      <c r="T136" s="53"/>
    </row>
    <row r="137" spans="1:20" x14ac:dyDescent="0.25">
      <c r="A137" s="76">
        <v>2313</v>
      </c>
      <c r="B137" s="127" t="s">
        <v>153</v>
      </c>
      <c r="C137" s="128">
        <f t="shared" si="9"/>
        <v>50</v>
      </c>
      <c r="D137" s="134">
        <v>50</v>
      </c>
      <c r="E137" s="283"/>
      <c r="F137" s="279">
        <f t="shared" si="10"/>
        <v>50</v>
      </c>
      <c r="G137" s="134"/>
      <c r="H137" s="135"/>
      <c r="I137" s="136">
        <f t="shared" si="11"/>
        <v>0</v>
      </c>
      <c r="J137" s="134"/>
      <c r="K137" s="135"/>
      <c r="L137" s="136">
        <f t="shared" si="12"/>
        <v>0</v>
      </c>
      <c r="M137" s="284"/>
      <c r="N137" s="285"/>
      <c r="O137" s="136">
        <f t="shared" si="13"/>
        <v>0</v>
      </c>
      <c r="P137" s="85"/>
      <c r="R137" s="53"/>
      <c r="S137" s="53"/>
      <c r="T137" s="53"/>
    </row>
    <row r="138" spans="1:20" ht="36" hidden="1" x14ac:dyDescent="0.25">
      <c r="A138" s="265">
        <v>2314</v>
      </c>
      <c r="B138" s="266" t="s">
        <v>154</v>
      </c>
      <c r="C138" s="267">
        <f t="shared" si="9"/>
        <v>0</v>
      </c>
      <c r="D138" s="268">
        <v>0</v>
      </c>
      <c r="E138" s="274"/>
      <c r="F138" s="940">
        <f t="shared" si="10"/>
        <v>0</v>
      </c>
      <c r="G138" s="268"/>
      <c r="H138" s="271"/>
      <c r="I138" s="272">
        <f t="shared" si="11"/>
        <v>0</v>
      </c>
      <c r="J138" s="268"/>
      <c r="K138" s="271"/>
      <c r="L138" s="272">
        <f t="shared" si="12"/>
        <v>0</v>
      </c>
      <c r="M138" s="273"/>
      <c r="N138" s="274"/>
      <c r="O138" s="272">
        <f t="shared" si="13"/>
        <v>0</v>
      </c>
      <c r="P138" s="275"/>
      <c r="R138" s="53"/>
      <c r="S138" s="53"/>
      <c r="T138" s="53"/>
    </row>
    <row r="139" spans="1:20" x14ac:dyDescent="0.25">
      <c r="A139" s="276">
        <v>2320</v>
      </c>
      <c r="B139" s="127" t="s">
        <v>155</v>
      </c>
      <c r="C139" s="128">
        <f t="shared" si="9"/>
        <v>136</v>
      </c>
      <c r="D139" s="277">
        <f>SUM(D140:D142)</f>
        <v>80</v>
      </c>
      <c r="E139" s="278">
        <f>SUM(E140:E142)</f>
        <v>0</v>
      </c>
      <c r="F139" s="279">
        <f t="shared" si="10"/>
        <v>80</v>
      </c>
      <c r="G139" s="277">
        <f>SUM(G140:G142)</f>
        <v>0</v>
      </c>
      <c r="H139" s="280">
        <f>SUM(H140:H142)</f>
        <v>0</v>
      </c>
      <c r="I139" s="136">
        <f t="shared" si="11"/>
        <v>0</v>
      </c>
      <c r="J139" s="277">
        <f>SUM(J140:J142)</f>
        <v>56</v>
      </c>
      <c r="K139" s="280">
        <f>SUM(K140:K142)</f>
        <v>0</v>
      </c>
      <c r="L139" s="136">
        <f t="shared" si="12"/>
        <v>56</v>
      </c>
      <c r="M139" s="281">
        <f>SUM(M140:M142)</f>
        <v>0</v>
      </c>
      <c r="N139" s="282">
        <f>SUM(N140:N142)</f>
        <v>0</v>
      </c>
      <c r="O139" s="136">
        <f t="shared" si="13"/>
        <v>0</v>
      </c>
      <c r="P139" s="85"/>
      <c r="R139" s="53"/>
      <c r="S139" s="53"/>
      <c r="T139" s="53"/>
    </row>
    <row r="140" spans="1:20" hidden="1" x14ac:dyDescent="0.25">
      <c r="A140" s="76">
        <v>2321</v>
      </c>
      <c r="B140" s="127" t="s">
        <v>156</v>
      </c>
      <c r="C140" s="128">
        <f t="shared" si="9"/>
        <v>0</v>
      </c>
      <c r="D140" s="134"/>
      <c r="E140" s="285"/>
      <c r="F140" s="286">
        <f t="shared" si="10"/>
        <v>0</v>
      </c>
      <c r="G140" s="134"/>
      <c r="H140" s="135"/>
      <c r="I140" s="136">
        <f t="shared" si="11"/>
        <v>0</v>
      </c>
      <c r="J140" s="134"/>
      <c r="K140" s="135"/>
      <c r="L140" s="136">
        <f t="shared" si="12"/>
        <v>0</v>
      </c>
      <c r="M140" s="284"/>
      <c r="N140" s="285"/>
      <c r="O140" s="136">
        <f t="shared" si="13"/>
        <v>0</v>
      </c>
      <c r="P140" s="85"/>
      <c r="R140" s="53"/>
      <c r="S140" s="53"/>
      <c r="T140" s="53"/>
    </row>
    <row r="141" spans="1:20" x14ac:dyDescent="0.25">
      <c r="A141" s="265">
        <v>2322</v>
      </c>
      <c r="B141" s="266" t="s">
        <v>157</v>
      </c>
      <c r="C141" s="267">
        <f t="shared" si="9"/>
        <v>136</v>
      </c>
      <c r="D141" s="268">
        <v>80</v>
      </c>
      <c r="E141" s="269"/>
      <c r="F141" s="270">
        <f t="shared" si="10"/>
        <v>80</v>
      </c>
      <c r="G141" s="268"/>
      <c r="H141" s="271"/>
      <c r="I141" s="272">
        <f t="shared" si="11"/>
        <v>0</v>
      </c>
      <c r="J141" s="268">
        <v>56</v>
      </c>
      <c r="K141" s="271"/>
      <c r="L141" s="272">
        <f t="shared" si="12"/>
        <v>56</v>
      </c>
      <c r="M141" s="273"/>
      <c r="N141" s="274"/>
      <c r="O141" s="272">
        <f t="shared" si="13"/>
        <v>0</v>
      </c>
      <c r="P141" s="275"/>
      <c r="R141" s="53"/>
      <c r="S141" s="53"/>
      <c r="T141" s="53"/>
    </row>
    <row r="142" spans="1:20" hidden="1" x14ac:dyDescent="0.25">
      <c r="A142" s="76">
        <v>2329</v>
      </c>
      <c r="B142" s="127" t="s">
        <v>158</v>
      </c>
      <c r="C142" s="128">
        <f t="shared" si="9"/>
        <v>0</v>
      </c>
      <c r="D142" s="134"/>
      <c r="E142" s="285"/>
      <c r="F142" s="286">
        <f t="shared" si="10"/>
        <v>0</v>
      </c>
      <c r="G142" s="134"/>
      <c r="H142" s="135"/>
      <c r="I142" s="136">
        <f t="shared" si="11"/>
        <v>0</v>
      </c>
      <c r="J142" s="134"/>
      <c r="K142" s="135"/>
      <c r="L142" s="136">
        <f t="shared" si="12"/>
        <v>0</v>
      </c>
      <c r="M142" s="284"/>
      <c r="N142" s="285"/>
      <c r="O142" s="136">
        <f t="shared" si="13"/>
        <v>0</v>
      </c>
      <c r="P142" s="85"/>
      <c r="R142" s="53"/>
      <c r="S142" s="53"/>
      <c r="T142" s="53"/>
    </row>
    <row r="143" spans="1:20" hidden="1" x14ac:dyDescent="0.25">
      <c r="A143" s="276">
        <v>2330</v>
      </c>
      <c r="B143" s="127" t="s">
        <v>159</v>
      </c>
      <c r="C143" s="128">
        <f t="shared" si="9"/>
        <v>0</v>
      </c>
      <c r="D143" s="134"/>
      <c r="E143" s="285"/>
      <c r="F143" s="286">
        <f t="shared" si="10"/>
        <v>0</v>
      </c>
      <c r="G143" s="134"/>
      <c r="H143" s="135"/>
      <c r="I143" s="136">
        <f t="shared" si="11"/>
        <v>0</v>
      </c>
      <c r="J143" s="134"/>
      <c r="K143" s="135"/>
      <c r="L143" s="136">
        <f t="shared" si="12"/>
        <v>0</v>
      </c>
      <c r="M143" s="284"/>
      <c r="N143" s="285"/>
      <c r="O143" s="136">
        <f t="shared" si="13"/>
        <v>0</v>
      </c>
      <c r="P143" s="85"/>
      <c r="R143" s="53"/>
      <c r="S143" s="53"/>
      <c r="T143" s="53"/>
    </row>
    <row r="144" spans="1:20" ht="48" x14ac:dyDescent="0.25">
      <c r="A144" s="276">
        <v>2340</v>
      </c>
      <c r="B144" s="127" t="s">
        <v>160</v>
      </c>
      <c r="C144" s="128">
        <f t="shared" si="9"/>
        <v>150</v>
      </c>
      <c r="D144" s="277">
        <f>SUM(D145:D146)</f>
        <v>150</v>
      </c>
      <c r="E144" s="278">
        <f>SUM(E145:E146)</f>
        <v>0</v>
      </c>
      <c r="F144" s="279">
        <f t="shared" si="10"/>
        <v>150</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c r="R144" s="53"/>
      <c r="S144" s="53"/>
      <c r="T144" s="53"/>
    </row>
    <row r="145" spans="1:20" x14ac:dyDescent="0.25">
      <c r="A145" s="76">
        <v>2341</v>
      </c>
      <c r="B145" s="127" t="s">
        <v>161</v>
      </c>
      <c r="C145" s="128">
        <f t="shared" si="9"/>
        <v>150</v>
      </c>
      <c r="D145" s="134">
        <v>150</v>
      </c>
      <c r="E145" s="283"/>
      <c r="F145" s="279">
        <f t="shared" si="10"/>
        <v>150</v>
      </c>
      <c r="G145" s="134"/>
      <c r="H145" s="135"/>
      <c r="I145" s="136">
        <f t="shared" si="11"/>
        <v>0</v>
      </c>
      <c r="J145" s="134"/>
      <c r="K145" s="135"/>
      <c r="L145" s="136">
        <f t="shared" si="12"/>
        <v>0</v>
      </c>
      <c r="M145" s="284"/>
      <c r="N145" s="285"/>
      <c r="O145" s="136">
        <f t="shared" si="13"/>
        <v>0</v>
      </c>
      <c r="P145" s="85"/>
      <c r="R145" s="53"/>
      <c r="S145" s="53"/>
      <c r="T145" s="53"/>
    </row>
    <row r="146" spans="1:20" ht="24" hidden="1" x14ac:dyDescent="0.25">
      <c r="A146" s="76">
        <v>2344</v>
      </c>
      <c r="B146" s="127" t="s">
        <v>162</v>
      </c>
      <c r="C146" s="128">
        <f t="shared" si="9"/>
        <v>0</v>
      </c>
      <c r="D146" s="134"/>
      <c r="E146" s="285"/>
      <c r="F146" s="286">
        <f t="shared" si="10"/>
        <v>0</v>
      </c>
      <c r="G146" s="134"/>
      <c r="H146" s="135"/>
      <c r="I146" s="136">
        <f t="shared" si="11"/>
        <v>0</v>
      </c>
      <c r="J146" s="134"/>
      <c r="K146" s="135"/>
      <c r="L146" s="136">
        <f t="shared" si="12"/>
        <v>0</v>
      </c>
      <c r="M146" s="284"/>
      <c r="N146" s="285"/>
      <c r="O146" s="136">
        <f t="shared" si="13"/>
        <v>0</v>
      </c>
      <c r="P146" s="85"/>
      <c r="R146" s="53"/>
      <c r="S146" s="53"/>
      <c r="T146" s="53"/>
    </row>
    <row r="147" spans="1:20" ht="24" x14ac:dyDescent="0.25">
      <c r="A147" s="254">
        <v>2350</v>
      </c>
      <c r="B147" s="179" t="s">
        <v>163</v>
      </c>
      <c r="C147" s="128">
        <f t="shared" si="9"/>
        <v>2654</v>
      </c>
      <c r="D147" s="255">
        <f>SUM(D148:D153)</f>
        <v>2654</v>
      </c>
      <c r="E147" s="256">
        <f>SUM(E148:E153)</f>
        <v>0</v>
      </c>
      <c r="F147" s="257">
        <f t="shared" si="10"/>
        <v>2654</v>
      </c>
      <c r="G147" s="255">
        <f>SUM(G148:G153)</f>
        <v>0</v>
      </c>
      <c r="H147" s="258">
        <f>SUM(H148:H153)</f>
        <v>0</v>
      </c>
      <c r="I147" s="259">
        <f t="shared" si="11"/>
        <v>0</v>
      </c>
      <c r="J147" s="255">
        <f>SUM(J148:J153)</f>
        <v>0</v>
      </c>
      <c r="K147" s="258">
        <f>SUM(K148:K153)</f>
        <v>0</v>
      </c>
      <c r="L147" s="259">
        <f t="shared" si="12"/>
        <v>0</v>
      </c>
      <c r="M147" s="260">
        <f>SUM(M148:M153)</f>
        <v>0</v>
      </c>
      <c r="N147" s="261">
        <f>SUM(N148:N153)</f>
        <v>0</v>
      </c>
      <c r="O147" s="259">
        <f t="shared" si="13"/>
        <v>0</v>
      </c>
      <c r="P147" s="189"/>
      <c r="R147" s="53"/>
      <c r="S147" s="53"/>
      <c r="T147" s="53"/>
    </row>
    <row r="148" spans="1:20" x14ac:dyDescent="0.25">
      <c r="A148" s="951">
        <v>2351</v>
      </c>
      <c r="B148" s="952" t="s">
        <v>164</v>
      </c>
      <c r="C148" s="267">
        <f t="shared" si="9"/>
        <v>327</v>
      </c>
      <c r="D148" s="480">
        <v>327</v>
      </c>
      <c r="E148" s="481"/>
      <c r="F148" s="803">
        <f t="shared" si="10"/>
        <v>327</v>
      </c>
      <c r="G148" s="480"/>
      <c r="H148" s="804"/>
      <c r="I148" s="805">
        <f t="shared" si="11"/>
        <v>0</v>
      </c>
      <c r="J148" s="480"/>
      <c r="K148" s="804"/>
      <c r="L148" s="805">
        <f t="shared" si="12"/>
        <v>0</v>
      </c>
      <c r="M148" s="806"/>
      <c r="N148" s="807"/>
      <c r="O148" s="805">
        <f t="shared" si="13"/>
        <v>0</v>
      </c>
      <c r="P148" s="808"/>
      <c r="R148" s="53"/>
      <c r="S148" s="53"/>
      <c r="T148" s="53"/>
    </row>
    <row r="149" spans="1:20" x14ac:dyDescent="0.25">
      <c r="A149" s="265">
        <v>2352</v>
      </c>
      <c r="B149" s="266" t="s">
        <v>165</v>
      </c>
      <c r="C149" s="267">
        <f t="shared" si="9"/>
        <v>2327</v>
      </c>
      <c r="D149" s="268">
        <v>2327</v>
      </c>
      <c r="E149" s="269"/>
      <c r="F149" s="270">
        <f t="shared" si="10"/>
        <v>2327</v>
      </c>
      <c r="G149" s="268"/>
      <c r="H149" s="271"/>
      <c r="I149" s="272">
        <f t="shared" si="11"/>
        <v>0</v>
      </c>
      <c r="J149" s="268"/>
      <c r="K149" s="271"/>
      <c r="L149" s="272">
        <f t="shared" si="12"/>
        <v>0</v>
      </c>
      <c r="M149" s="273"/>
      <c r="N149" s="274"/>
      <c r="O149" s="272">
        <f t="shared" si="13"/>
        <v>0</v>
      </c>
      <c r="P149" s="275"/>
      <c r="R149" s="53"/>
      <c r="S149" s="53"/>
      <c r="T149" s="53"/>
    </row>
    <row r="150" spans="1:20" ht="24" hidden="1" x14ac:dyDescent="0.25">
      <c r="A150" s="76">
        <v>2353</v>
      </c>
      <c r="B150" s="127" t="s">
        <v>166</v>
      </c>
      <c r="C150" s="128">
        <f t="shared" si="9"/>
        <v>0</v>
      </c>
      <c r="D150" s="134"/>
      <c r="E150" s="285"/>
      <c r="F150" s="286">
        <f t="shared" si="10"/>
        <v>0</v>
      </c>
      <c r="G150" s="134"/>
      <c r="H150" s="135"/>
      <c r="I150" s="136">
        <f t="shared" si="11"/>
        <v>0</v>
      </c>
      <c r="J150" s="134"/>
      <c r="K150" s="135"/>
      <c r="L150" s="136">
        <f t="shared" si="12"/>
        <v>0</v>
      </c>
      <c r="M150" s="284"/>
      <c r="N150" s="285"/>
      <c r="O150" s="136">
        <f t="shared" si="13"/>
        <v>0</v>
      </c>
      <c r="P150" s="85"/>
      <c r="R150" s="53"/>
      <c r="S150" s="53"/>
      <c r="T150" s="53"/>
    </row>
    <row r="151" spans="1:20" ht="24" hidden="1" x14ac:dyDescent="0.25">
      <c r="A151" s="76">
        <v>2354</v>
      </c>
      <c r="B151" s="127" t="s">
        <v>167</v>
      </c>
      <c r="C151" s="128">
        <f t="shared" si="9"/>
        <v>0</v>
      </c>
      <c r="D151" s="134"/>
      <c r="E151" s="285"/>
      <c r="F151" s="286">
        <f t="shared" si="10"/>
        <v>0</v>
      </c>
      <c r="G151" s="134"/>
      <c r="H151" s="135"/>
      <c r="I151" s="136">
        <f t="shared" si="11"/>
        <v>0</v>
      </c>
      <c r="J151" s="134"/>
      <c r="K151" s="135"/>
      <c r="L151" s="136">
        <f t="shared" si="12"/>
        <v>0</v>
      </c>
      <c r="M151" s="284"/>
      <c r="N151" s="285"/>
      <c r="O151" s="136">
        <f t="shared" si="13"/>
        <v>0</v>
      </c>
      <c r="P151" s="85"/>
      <c r="R151" s="53"/>
      <c r="S151" s="53"/>
      <c r="T151" s="53"/>
    </row>
    <row r="152" spans="1:20" ht="24" hidden="1" x14ac:dyDescent="0.25">
      <c r="A152" s="76">
        <v>2355</v>
      </c>
      <c r="B152" s="127" t="s">
        <v>168</v>
      </c>
      <c r="C152" s="128">
        <f t="shared" si="9"/>
        <v>0</v>
      </c>
      <c r="D152" s="134"/>
      <c r="E152" s="285"/>
      <c r="F152" s="286">
        <f t="shared" si="10"/>
        <v>0</v>
      </c>
      <c r="G152" s="134"/>
      <c r="H152" s="135"/>
      <c r="I152" s="136">
        <f t="shared" si="11"/>
        <v>0</v>
      </c>
      <c r="J152" s="134"/>
      <c r="K152" s="135"/>
      <c r="L152" s="136">
        <f t="shared" si="12"/>
        <v>0</v>
      </c>
      <c r="M152" s="284"/>
      <c r="N152" s="285"/>
      <c r="O152" s="136">
        <f t="shared" si="13"/>
        <v>0</v>
      </c>
      <c r="P152" s="85"/>
      <c r="R152" s="53"/>
      <c r="S152" s="53"/>
      <c r="T152" s="53"/>
    </row>
    <row r="153" spans="1:20" ht="24" hidden="1" x14ac:dyDescent="0.25">
      <c r="A153" s="76">
        <v>2359</v>
      </c>
      <c r="B153" s="127" t="s">
        <v>169</v>
      </c>
      <c r="C153" s="128">
        <f t="shared" si="9"/>
        <v>0</v>
      </c>
      <c r="D153" s="134"/>
      <c r="E153" s="285"/>
      <c r="F153" s="286">
        <f t="shared" si="10"/>
        <v>0</v>
      </c>
      <c r="G153" s="134"/>
      <c r="H153" s="135"/>
      <c r="I153" s="136">
        <f t="shared" si="11"/>
        <v>0</v>
      </c>
      <c r="J153" s="134"/>
      <c r="K153" s="135"/>
      <c r="L153" s="136">
        <f t="shared" si="12"/>
        <v>0</v>
      </c>
      <c r="M153" s="284"/>
      <c r="N153" s="285"/>
      <c r="O153" s="136">
        <f t="shared" si="13"/>
        <v>0</v>
      </c>
      <c r="P153" s="85"/>
      <c r="R153" s="53"/>
      <c r="S153" s="53"/>
      <c r="T153" s="53"/>
    </row>
    <row r="154" spans="1:20" ht="24" x14ac:dyDescent="0.25">
      <c r="A154" s="276">
        <v>2360</v>
      </c>
      <c r="B154" s="127" t="s">
        <v>170</v>
      </c>
      <c r="C154" s="128">
        <f t="shared" si="9"/>
        <v>150</v>
      </c>
      <c r="D154" s="277">
        <f>SUM(D155:D161)</f>
        <v>150</v>
      </c>
      <c r="E154" s="278">
        <f>SUM(E155:E161)</f>
        <v>0</v>
      </c>
      <c r="F154" s="279">
        <f t="shared" si="10"/>
        <v>150</v>
      </c>
      <c r="G154" s="277">
        <f>SUM(G155:G161)</f>
        <v>0</v>
      </c>
      <c r="H154" s="280">
        <f>SUM(H155:H161)</f>
        <v>0</v>
      </c>
      <c r="I154" s="136">
        <f t="shared" si="11"/>
        <v>0</v>
      </c>
      <c r="J154" s="277">
        <f>SUM(J155:J161)</f>
        <v>0</v>
      </c>
      <c r="K154" s="280">
        <f>SUM(K155:K161)</f>
        <v>0</v>
      </c>
      <c r="L154" s="136">
        <f t="shared" si="12"/>
        <v>0</v>
      </c>
      <c r="M154" s="281">
        <f>SUM(M155:M161)</f>
        <v>0</v>
      </c>
      <c r="N154" s="282">
        <f>SUM(N155:N161)</f>
        <v>0</v>
      </c>
      <c r="O154" s="136">
        <f t="shared" si="13"/>
        <v>0</v>
      </c>
      <c r="P154" s="85"/>
      <c r="R154" s="53"/>
      <c r="S154" s="53"/>
      <c r="T154" s="53"/>
    </row>
    <row r="155" spans="1:20" hidden="1" x14ac:dyDescent="0.25">
      <c r="A155" s="75">
        <v>2361</v>
      </c>
      <c r="B155" s="127" t="s">
        <v>171</v>
      </c>
      <c r="C155" s="128">
        <f t="shared" si="9"/>
        <v>0</v>
      </c>
      <c r="D155" s="134"/>
      <c r="E155" s="285"/>
      <c r="F155" s="286">
        <f t="shared" si="10"/>
        <v>0</v>
      </c>
      <c r="G155" s="134"/>
      <c r="H155" s="135"/>
      <c r="I155" s="136">
        <f t="shared" si="11"/>
        <v>0</v>
      </c>
      <c r="J155" s="134"/>
      <c r="K155" s="135"/>
      <c r="L155" s="136">
        <f t="shared" si="12"/>
        <v>0</v>
      </c>
      <c r="M155" s="284"/>
      <c r="N155" s="285"/>
      <c r="O155" s="136">
        <f t="shared" si="13"/>
        <v>0</v>
      </c>
      <c r="P155" s="85"/>
      <c r="R155" s="53"/>
      <c r="S155" s="53"/>
      <c r="T155" s="53"/>
    </row>
    <row r="156" spans="1:20" ht="24" x14ac:dyDescent="0.25">
      <c r="A156" s="75">
        <v>2362</v>
      </c>
      <c r="B156" s="127" t="s">
        <v>172</v>
      </c>
      <c r="C156" s="128">
        <f t="shared" si="9"/>
        <v>150</v>
      </c>
      <c r="D156" s="134">
        <v>150</v>
      </c>
      <c r="E156" s="283"/>
      <c r="F156" s="279">
        <f t="shared" si="10"/>
        <v>150</v>
      </c>
      <c r="G156" s="134"/>
      <c r="H156" s="135"/>
      <c r="I156" s="136">
        <f t="shared" si="11"/>
        <v>0</v>
      </c>
      <c r="J156" s="134"/>
      <c r="K156" s="135"/>
      <c r="L156" s="136">
        <f t="shared" si="12"/>
        <v>0</v>
      </c>
      <c r="M156" s="284"/>
      <c r="N156" s="285"/>
      <c r="O156" s="136">
        <f t="shared" si="13"/>
        <v>0</v>
      </c>
      <c r="P156" s="85"/>
      <c r="R156" s="53"/>
      <c r="S156" s="53"/>
      <c r="T156" s="53"/>
    </row>
    <row r="157" spans="1:20" hidden="1" x14ac:dyDescent="0.25">
      <c r="A157" s="75">
        <v>2363</v>
      </c>
      <c r="B157" s="127" t="s">
        <v>173</v>
      </c>
      <c r="C157" s="128">
        <f t="shared" si="9"/>
        <v>0</v>
      </c>
      <c r="D157" s="134"/>
      <c r="E157" s="285"/>
      <c r="F157" s="286">
        <f t="shared" si="10"/>
        <v>0</v>
      </c>
      <c r="G157" s="134"/>
      <c r="H157" s="135"/>
      <c r="I157" s="136">
        <f t="shared" si="11"/>
        <v>0</v>
      </c>
      <c r="J157" s="953"/>
      <c r="K157" s="135"/>
      <c r="L157" s="136">
        <f t="shared" si="12"/>
        <v>0</v>
      </c>
      <c r="M157" s="284"/>
      <c r="N157" s="285"/>
      <c r="O157" s="136">
        <f t="shared" si="13"/>
        <v>0</v>
      </c>
      <c r="P157" s="275"/>
      <c r="R157" s="53"/>
      <c r="S157" s="53"/>
      <c r="T157" s="53"/>
    </row>
    <row r="158" spans="1:20" hidden="1" x14ac:dyDescent="0.25">
      <c r="A158" s="75">
        <v>2364</v>
      </c>
      <c r="B158" s="127" t="s">
        <v>174</v>
      </c>
      <c r="C158" s="128">
        <f t="shared" si="9"/>
        <v>0</v>
      </c>
      <c r="D158" s="134"/>
      <c r="E158" s="285"/>
      <c r="F158" s="286">
        <f t="shared" si="10"/>
        <v>0</v>
      </c>
      <c r="G158" s="134"/>
      <c r="H158" s="135"/>
      <c r="I158" s="136">
        <f t="shared" si="11"/>
        <v>0</v>
      </c>
      <c r="J158" s="134"/>
      <c r="K158" s="135"/>
      <c r="L158" s="136">
        <f t="shared" si="12"/>
        <v>0</v>
      </c>
      <c r="M158" s="284"/>
      <c r="N158" s="285"/>
      <c r="O158" s="136">
        <f t="shared" si="13"/>
        <v>0</v>
      </c>
      <c r="P158" s="85"/>
      <c r="R158" s="53"/>
      <c r="S158" s="53"/>
      <c r="T158" s="53"/>
    </row>
    <row r="159" spans="1:20" hidden="1" x14ac:dyDescent="0.25">
      <c r="A159" s="75">
        <v>2365</v>
      </c>
      <c r="B159" s="127" t="s">
        <v>175</v>
      </c>
      <c r="C159" s="128">
        <f t="shared" si="9"/>
        <v>0</v>
      </c>
      <c r="D159" s="134"/>
      <c r="E159" s="285"/>
      <c r="F159" s="286">
        <f t="shared" si="10"/>
        <v>0</v>
      </c>
      <c r="G159" s="134"/>
      <c r="H159" s="135"/>
      <c r="I159" s="136">
        <f t="shared" si="11"/>
        <v>0</v>
      </c>
      <c r="J159" s="134"/>
      <c r="K159" s="135"/>
      <c r="L159" s="136">
        <f t="shared" si="12"/>
        <v>0</v>
      </c>
      <c r="M159" s="284"/>
      <c r="N159" s="285"/>
      <c r="O159" s="136">
        <f t="shared" si="13"/>
        <v>0</v>
      </c>
      <c r="P159" s="85"/>
      <c r="R159" s="53"/>
      <c r="S159" s="53"/>
      <c r="T159" s="53"/>
    </row>
    <row r="160" spans="1:20" ht="36" hidden="1" x14ac:dyDescent="0.25">
      <c r="A160" s="75">
        <v>2366</v>
      </c>
      <c r="B160" s="127" t="s">
        <v>176</v>
      </c>
      <c r="C160" s="128">
        <f t="shared" si="9"/>
        <v>0</v>
      </c>
      <c r="D160" s="134"/>
      <c r="E160" s="285"/>
      <c r="F160" s="286">
        <f t="shared" si="10"/>
        <v>0</v>
      </c>
      <c r="G160" s="134"/>
      <c r="H160" s="135"/>
      <c r="I160" s="136">
        <f t="shared" si="11"/>
        <v>0</v>
      </c>
      <c r="J160" s="134"/>
      <c r="K160" s="135"/>
      <c r="L160" s="136">
        <f t="shared" si="12"/>
        <v>0</v>
      </c>
      <c r="M160" s="284"/>
      <c r="N160" s="285"/>
      <c r="O160" s="136">
        <f t="shared" si="13"/>
        <v>0</v>
      </c>
      <c r="P160" s="85"/>
      <c r="R160" s="53"/>
      <c r="S160" s="53"/>
      <c r="T160" s="53"/>
    </row>
    <row r="161" spans="1:20" ht="48" hidden="1" x14ac:dyDescent="0.25">
      <c r="A161" s="75">
        <v>2369</v>
      </c>
      <c r="B161" s="127" t="s">
        <v>177</v>
      </c>
      <c r="C161" s="128">
        <f t="shared" si="9"/>
        <v>0</v>
      </c>
      <c r="D161" s="134"/>
      <c r="E161" s="285"/>
      <c r="F161" s="286">
        <f t="shared" si="10"/>
        <v>0</v>
      </c>
      <c r="G161" s="134"/>
      <c r="H161" s="135"/>
      <c r="I161" s="136">
        <f t="shared" si="11"/>
        <v>0</v>
      </c>
      <c r="J161" s="134"/>
      <c r="K161" s="135"/>
      <c r="L161" s="136">
        <f t="shared" si="12"/>
        <v>0</v>
      </c>
      <c r="M161" s="284"/>
      <c r="N161" s="285"/>
      <c r="O161" s="136">
        <f t="shared" si="13"/>
        <v>0</v>
      </c>
      <c r="P161" s="85"/>
      <c r="R161" s="53"/>
      <c r="S161" s="53"/>
      <c r="T161" s="53"/>
    </row>
    <row r="162" spans="1:20" x14ac:dyDescent="0.25">
      <c r="A162" s="254">
        <v>2370</v>
      </c>
      <c r="B162" s="179" t="s">
        <v>178</v>
      </c>
      <c r="C162" s="128">
        <f t="shared" si="9"/>
        <v>1125</v>
      </c>
      <c r="D162" s="287">
        <v>688</v>
      </c>
      <c r="E162" s="288"/>
      <c r="F162" s="257">
        <f t="shared" si="10"/>
        <v>688</v>
      </c>
      <c r="G162" s="287">
        <v>437</v>
      </c>
      <c r="H162" s="289"/>
      <c r="I162" s="259">
        <f t="shared" si="11"/>
        <v>437</v>
      </c>
      <c r="J162" s="287"/>
      <c r="K162" s="289"/>
      <c r="L162" s="259">
        <f t="shared" si="12"/>
        <v>0</v>
      </c>
      <c r="M162" s="290"/>
      <c r="N162" s="291"/>
      <c r="O162" s="259">
        <f t="shared" si="13"/>
        <v>0</v>
      </c>
      <c r="P162" s="189"/>
      <c r="R162" s="53"/>
      <c r="S162" s="53"/>
      <c r="T162" s="53"/>
    </row>
    <row r="163" spans="1:20" hidden="1" x14ac:dyDescent="0.25">
      <c r="A163" s="254">
        <v>2380</v>
      </c>
      <c r="B163" s="179" t="s">
        <v>179</v>
      </c>
      <c r="C163" s="128">
        <f t="shared" si="9"/>
        <v>0</v>
      </c>
      <c r="D163" s="255">
        <f>SUM(D164:D165)</f>
        <v>0</v>
      </c>
      <c r="E163" s="261">
        <f>SUM(E164:E165)</f>
        <v>0</v>
      </c>
      <c r="F163" s="310">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c r="S163" s="53"/>
      <c r="T163" s="53"/>
    </row>
    <row r="164" spans="1:20" hidden="1" x14ac:dyDescent="0.25">
      <c r="A164" s="65">
        <v>2381</v>
      </c>
      <c r="B164" s="116" t="s">
        <v>180</v>
      </c>
      <c r="C164" s="128">
        <f t="shared" si="9"/>
        <v>0</v>
      </c>
      <c r="D164" s="123"/>
      <c r="E164" s="262"/>
      <c r="F164" s="263">
        <f t="shared" si="10"/>
        <v>0</v>
      </c>
      <c r="G164" s="123"/>
      <c r="H164" s="124"/>
      <c r="I164" s="125">
        <f t="shared" si="11"/>
        <v>0</v>
      </c>
      <c r="J164" s="123"/>
      <c r="K164" s="124"/>
      <c r="L164" s="125">
        <f t="shared" si="12"/>
        <v>0</v>
      </c>
      <c r="M164" s="264"/>
      <c r="N164" s="262"/>
      <c r="O164" s="125">
        <f t="shared" si="13"/>
        <v>0</v>
      </c>
      <c r="P164" s="74"/>
      <c r="R164" s="53"/>
      <c r="S164" s="53"/>
      <c r="T164" s="53"/>
    </row>
    <row r="165" spans="1:20" ht="24" hidden="1" x14ac:dyDescent="0.25">
      <c r="A165" s="75">
        <v>2389</v>
      </c>
      <c r="B165" s="127" t="s">
        <v>181</v>
      </c>
      <c r="C165" s="128">
        <f t="shared" si="9"/>
        <v>0</v>
      </c>
      <c r="D165" s="134"/>
      <c r="E165" s="285"/>
      <c r="F165" s="286">
        <f t="shared" si="10"/>
        <v>0</v>
      </c>
      <c r="G165" s="134"/>
      <c r="H165" s="135"/>
      <c r="I165" s="136">
        <f t="shared" si="11"/>
        <v>0</v>
      </c>
      <c r="J165" s="134"/>
      <c r="K165" s="135"/>
      <c r="L165" s="136">
        <f t="shared" si="12"/>
        <v>0</v>
      </c>
      <c r="M165" s="284"/>
      <c r="N165" s="285"/>
      <c r="O165" s="136">
        <f t="shared" si="13"/>
        <v>0</v>
      </c>
      <c r="P165" s="85"/>
      <c r="R165" s="53"/>
      <c r="S165" s="53"/>
      <c r="T165" s="53"/>
    </row>
    <row r="166" spans="1:20" hidden="1" x14ac:dyDescent="0.25">
      <c r="A166" s="254">
        <v>2390</v>
      </c>
      <c r="B166" s="179" t="s">
        <v>182</v>
      </c>
      <c r="C166" s="128">
        <f t="shared" si="9"/>
        <v>0</v>
      </c>
      <c r="D166" s="287"/>
      <c r="E166" s="291"/>
      <c r="F166" s="310">
        <f t="shared" si="10"/>
        <v>0</v>
      </c>
      <c r="G166" s="287"/>
      <c r="H166" s="289"/>
      <c r="I166" s="259">
        <f t="shared" si="11"/>
        <v>0</v>
      </c>
      <c r="J166" s="287"/>
      <c r="K166" s="289"/>
      <c r="L166" s="259">
        <f t="shared" si="12"/>
        <v>0</v>
      </c>
      <c r="M166" s="290"/>
      <c r="N166" s="291"/>
      <c r="O166" s="259">
        <f t="shared" si="13"/>
        <v>0</v>
      </c>
      <c r="P166" s="189"/>
      <c r="R166" s="53"/>
      <c r="S166" s="53"/>
      <c r="T166" s="53"/>
    </row>
    <row r="167" spans="1:20" hidden="1" x14ac:dyDescent="0.25">
      <c r="A167" s="99">
        <v>2400</v>
      </c>
      <c r="B167" s="247" t="s">
        <v>183</v>
      </c>
      <c r="C167" s="100">
        <f t="shared" si="9"/>
        <v>0</v>
      </c>
      <c r="D167" s="311"/>
      <c r="E167" s="312"/>
      <c r="F167" s="313">
        <f t="shared" si="10"/>
        <v>0</v>
      </c>
      <c r="G167" s="311"/>
      <c r="H167" s="314"/>
      <c r="I167" s="114">
        <f t="shared" si="11"/>
        <v>0</v>
      </c>
      <c r="J167" s="311"/>
      <c r="K167" s="314"/>
      <c r="L167" s="114">
        <f t="shared" si="12"/>
        <v>0</v>
      </c>
      <c r="M167" s="315"/>
      <c r="N167" s="312"/>
      <c r="O167" s="125">
        <f t="shared" si="13"/>
        <v>0</v>
      </c>
      <c r="P167" s="109"/>
      <c r="R167" s="53"/>
      <c r="S167" s="53"/>
      <c r="T167" s="53"/>
    </row>
    <row r="168" spans="1:20" ht="24" x14ac:dyDescent="0.25">
      <c r="A168" s="99">
        <v>2500</v>
      </c>
      <c r="B168" s="247" t="s">
        <v>184</v>
      </c>
      <c r="C168" s="100">
        <f t="shared" si="9"/>
        <v>72</v>
      </c>
      <c r="D168" s="112">
        <f>SUM(D169,D174)</f>
        <v>72</v>
      </c>
      <c r="E168" s="248">
        <f>SUM(E169,E174)</f>
        <v>0</v>
      </c>
      <c r="F168" s="249">
        <f t="shared" si="10"/>
        <v>72</v>
      </c>
      <c r="G168" s="112">
        <f>SUM(G169,G174)</f>
        <v>0</v>
      </c>
      <c r="H168" s="113">
        <f t="shared" ref="H168" si="17">SUM(H169,H174)</f>
        <v>0</v>
      </c>
      <c r="I168" s="114">
        <f t="shared" si="11"/>
        <v>0</v>
      </c>
      <c r="J168" s="112">
        <f>SUM(J169,J174)</f>
        <v>0</v>
      </c>
      <c r="K168" s="113">
        <f t="shared" ref="K168" si="18">SUM(K169,K174)</f>
        <v>0</v>
      </c>
      <c r="L168" s="114">
        <f t="shared" si="12"/>
        <v>0</v>
      </c>
      <c r="M168" s="250">
        <f t="shared" ref="M168:N168" si="19">SUM(M169,M174)</f>
        <v>0</v>
      </c>
      <c r="N168" s="251">
        <f t="shared" si="19"/>
        <v>0</v>
      </c>
      <c r="O168" s="316">
        <f t="shared" si="13"/>
        <v>0</v>
      </c>
      <c r="P168" s="253"/>
      <c r="R168" s="53"/>
      <c r="S168" s="53"/>
      <c r="T168" s="53"/>
    </row>
    <row r="169" spans="1:20" x14ac:dyDescent="0.25">
      <c r="A169" s="656">
        <v>2510</v>
      </c>
      <c r="B169" s="116" t="s">
        <v>185</v>
      </c>
      <c r="C169" s="117">
        <f t="shared" si="9"/>
        <v>72</v>
      </c>
      <c r="D169" s="297">
        <f>SUM(D170:D173)</f>
        <v>72</v>
      </c>
      <c r="E169" s="298">
        <f>SUM(E170:E173)</f>
        <v>0</v>
      </c>
      <c r="F169" s="296">
        <f t="shared" si="10"/>
        <v>72</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c r="R169" s="53"/>
      <c r="S169" s="53"/>
      <c r="T169" s="53"/>
    </row>
    <row r="170" spans="1:20" ht="24" hidden="1" x14ac:dyDescent="0.25">
      <c r="A170" s="76">
        <v>2512</v>
      </c>
      <c r="B170" s="127" t="s">
        <v>186</v>
      </c>
      <c r="C170" s="128">
        <f t="shared" si="9"/>
        <v>0</v>
      </c>
      <c r="D170" s="134"/>
      <c r="E170" s="285"/>
      <c r="F170" s="286">
        <f t="shared" si="10"/>
        <v>0</v>
      </c>
      <c r="G170" s="134"/>
      <c r="H170" s="135"/>
      <c r="I170" s="136">
        <f t="shared" si="11"/>
        <v>0</v>
      </c>
      <c r="J170" s="134"/>
      <c r="K170" s="135"/>
      <c r="L170" s="136">
        <f t="shared" si="12"/>
        <v>0</v>
      </c>
      <c r="M170" s="284"/>
      <c r="N170" s="285"/>
      <c r="O170" s="136">
        <f t="shared" si="13"/>
        <v>0</v>
      </c>
      <c r="P170" s="85"/>
      <c r="R170" s="53"/>
      <c r="S170" s="53"/>
      <c r="T170" s="53"/>
    </row>
    <row r="171" spans="1:20" ht="36" hidden="1" x14ac:dyDescent="0.25">
      <c r="A171" s="76">
        <v>2513</v>
      </c>
      <c r="B171" s="127" t="s">
        <v>187</v>
      </c>
      <c r="C171" s="128">
        <f t="shared" si="9"/>
        <v>0</v>
      </c>
      <c r="D171" s="134"/>
      <c r="E171" s="285"/>
      <c r="F171" s="286">
        <f t="shared" si="10"/>
        <v>0</v>
      </c>
      <c r="G171" s="134"/>
      <c r="H171" s="135"/>
      <c r="I171" s="136">
        <f t="shared" si="11"/>
        <v>0</v>
      </c>
      <c r="J171" s="134"/>
      <c r="K171" s="135"/>
      <c r="L171" s="136">
        <f t="shared" si="12"/>
        <v>0</v>
      </c>
      <c r="M171" s="284"/>
      <c r="N171" s="285"/>
      <c r="O171" s="136">
        <f t="shared" si="13"/>
        <v>0</v>
      </c>
      <c r="P171" s="85"/>
      <c r="R171" s="53"/>
      <c r="S171" s="53"/>
      <c r="T171" s="53"/>
    </row>
    <row r="172" spans="1:20" ht="24" x14ac:dyDescent="0.25">
      <c r="A172" s="76">
        <v>2515</v>
      </c>
      <c r="B172" s="127" t="s">
        <v>188</v>
      </c>
      <c r="C172" s="128">
        <f t="shared" si="9"/>
        <v>72</v>
      </c>
      <c r="D172" s="134">
        <v>72</v>
      </c>
      <c r="E172" s="283"/>
      <c r="F172" s="279">
        <f t="shared" si="10"/>
        <v>72</v>
      </c>
      <c r="G172" s="134"/>
      <c r="H172" s="135"/>
      <c r="I172" s="136">
        <f t="shared" si="11"/>
        <v>0</v>
      </c>
      <c r="J172" s="134"/>
      <c r="K172" s="135"/>
      <c r="L172" s="136">
        <f t="shared" si="12"/>
        <v>0</v>
      </c>
      <c r="M172" s="284"/>
      <c r="N172" s="285"/>
      <c r="O172" s="136">
        <f t="shared" si="13"/>
        <v>0</v>
      </c>
      <c r="P172" s="85"/>
      <c r="R172" s="53"/>
      <c r="S172" s="53"/>
      <c r="T172" s="53"/>
    </row>
    <row r="173" spans="1:20" ht="24" hidden="1" x14ac:dyDescent="0.25">
      <c r="A173" s="76">
        <v>2519</v>
      </c>
      <c r="B173" s="127" t="s">
        <v>189</v>
      </c>
      <c r="C173" s="128">
        <f t="shared" si="9"/>
        <v>0</v>
      </c>
      <c r="D173" s="134"/>
      <c r="E173" s="285"/>
      <c r="F173" s="286">
        <f t="shared" si="10"/>
        <v>0</v>
      </c>
      <c r="G173" s="134"/>
      <c r="H173" s="135"/>
      <c r="I173" s="136">
        <f t="shared" si="11"/>
        <v>0</v>
      </c>
      <c r="J173" s="134"/>
      <c r="K173" s="135"/>
      <c r="L173" s="136">
        <f t="shared" si="12"/>
        <v>0</v>
      </c>
      <c r="M173" s="284"/>
      <c r="N173" s="285"/>
      <c r="O173" s="136">
        <f t="shared" si="13"/>
        <v>0</v>
      </c>
      <c r="P173" s="85"/>
      <c r="R173" s="53"/>
      <c r="S173" s="53"/>
      <c r="T173" s="53"/>
    </row>
    <row r="174" spans="1:20" ht="24" hidden="1" x14ac:dyDescent="0.25">
      <c r="A174" s="276">
        <v>2520</v>
      </c>
      <c r="B174" s="127" t="s">
        <v>190</v>
      </c>
      <c r="C174" s="128">
        <f t="shared" si="9"/>
        <v>0</v>
      </c>
      <c r="D174" s="134"/>
      <c r="E174" s="285"/>
      <c r="F174" s="286">
        <f t="shared" si="10"/>
        <v>0</v>
      </c>
      <c r="G174" s="134"/>
      <c r="H174" s="135"/>
      <c r="I174" s="136">
        <f t="shared" si="11"/>
        <v>0</v>
      </c>
      <c r="J174" s="134"/>
      <c r="K174" s="135"/>
      <c r="L174" s="136">
        <f t="shared" si="12"/>
        <v>0</v>
      </c>
      <c r="M174" s="284"/>
      <c r="N174" s="285"/>
      <c r="O174" s="136">
        <f t="shared" si="13"/>
        <v>0</v>
      </c>
      <c r="P174" s="85"/>
      <c r="R174" s="53"/>
      <c r="S174" s="53"/>
      <c r="T174" s="53"/>
    </row>
    <row r="175" spans="1:20" s="319" customFormat="1" ht="48" hidden="1" x14ac:dyDescent="0.25">
      <c r="A175" s="31">
        <v>2800</v>
      </c>
      <c r="B175" s="116" t="s">
        <v>191</v>
      </c>
      <c r="C175" s="117">
        <f t="shared" si="9"/>
        <v>0</v>
      </c>
      <c r="D175" s="68"/>
      <c r="E175" s="69"/>
      <c r="F175" s="70">
        <f t="shared" si="10"/>
        <v>0</v>
      </c>
      <c r="G175" s="68"/>
      <c r="H175" s="71"/>
      <c r="I175" s="72">
        <f t="shared" si="11"/>
        <v>0</v>
      </c>
      <c r="J175" s="68"/>
      <c r="K175" s="71"/>
      <c r="L175" s="72">
        <f t="shared" si="12"/>
        <v>0</v>
      </c>
      <c r="M175" s="73"/>
      <c r="N175" s="69"/>
      <c r="O175" s="72">
        <f t="shared" si="13"/>
        <v>0</v>
      </c>
      <c r="P175" s="74"/>
      <c r="R175" s="53"/>
      <c r="S175" s="53"/>
      <c r="T175" s="53"/>
    </row>
    <row r="176" spans="1:20" hidden="1" x14ac:dyDescent="0.25">
      <c r="A176" s="237">
        <v>3000</v>
      </c>
      <c r="B176" s="237" t="s">
        <v>192</v>
      </c>
      <c r="C176" s="238">
        <f t="shared" si="9"/>
        <v>0</v>
      </c>
      <c r="D176" s="239">
        <f>SUM(D177,D187)</f>
        <v>0</v>
      </c>
      <c r="E176" s="245">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c r="S176" s="53"/>
      <c r="T176" s="53"/>
    </row>
    <row r="177" spans="1:20" ht="24" hidden="1" x14ac:dyDescent="0.25">
      <c r="A177" s="99">
        <v>3200</v>
      </c>
      <c r="B177" s="321" t="s">
        <v>193</v>
      </c>
      <c r="C177" s="100">
        <f t="shared" si="9"/>
        <v>0</v>
      </c>
      <c r="D177" s="112">
        <f>SUM(D178,D182)</f>
        <v>0</v>
      </c>
      <c r="E177" s="293">
        <f>SUM(E178,E182)</f>
        <v>0</v>
      </c>
      <c r="F177" s="313">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c r="R177" s="53"/>
      <c r="S177" s="53"/>
      <c r="T177" s="53"/>
    </row>
    <row r="178" spans="1:20" ht="36" hidden="1" x14ac:dyDescent="0.25">
      <c r="A178" s="656">
        <v>3260</v>
      </c>
      <c r="B178" s="116" t="s">
        <v>194</v>
      </c>
      <c r="C178" s="117">
        <f t="shared" si="9"/>
        <v>0</v>
      </c>
      <c r="D178" s="297">
        <f>SUM(D179:D181)</f>
        <v>0</v>
      </c>
      <c r="E178" s="301">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c r="S178" s="53"/>
      <c r="T178" s="53"/>
    </row>
    <row r="179" spans="1:20" ht="24" hidden="1" x14ac:dyDescent="0.25">
      <c r="A179" s="76">
        <v>3261</v>
      </c>
      <c r="B179" s="127" t="s">
        <v>195</v>
      </c>
      <c r="C179" s="128">
        <f t="shared" si="9"/>
        <v>0</v>
      </c>
      <c r="D179" s="134"/>
      <c r="E179" s="285"/>
      <c r="F179" s="286">
        <f t="shared" si="10"/>
        <v>0</v>
      </c>
      <c r="G179" s="134"/>
      <c r="H179" s="135"/>
      <c r="I179" s="136">
        <f t="shared" si="11"/>
        <v>0</v>
      </c>
      <c r="J179" s="134"/>
      <c r="K179" s="135"/>
      <c r="L179" s="136">
        <f t="shared" si="12"/>
        <v>0</v>
      </c>
      <c r="M179" s="284"/>
      <c r="N179" s="285"/>
      <c r="O179" s="136">
        <f t="shared" si="13"/>
        <v>0</v>
      </c>
      <c r="P179" s="85"/>
      <c r="R179" s="53"/>
      <c r="S179" s="53"/>
      <c r="T179" s="53"/>
    </row>
    <row r="180" spans="1:20" ht="36" hidden="1" x14ac:dyDescent="0.25">
      <c r="A180" s="76">
        <v>3262</v>
      </c>
      <c r="B180" s="127" t="s">
        <v>196</v>
      </c>
      <c r="C180" s="128">
        <f t="shared" si="9"/>
        <v>0</v>
      </c>
      <c r="D180" s="134"/>
      <c r="E180" s="285"/>
      <c r="F180" s="286">
        <f t="shared" si="10"/>
        <v>0</v>
      </c>
      <c r="G180" s="134"/>
      <c r="H180" s="135"/>
      <c r="I180" s="136">
        <f t="shared" si="11"/>
        <v>0</v>
      </c>
      <c r="J180" s="134"/>
      <c r="K180" s="135"/>
      <c r="L180" s="136">
        <f t="shared" si="12"/>
        <v>0</v>
      </c>
      <c r="M180" s="284"/>
      <c r="N180" s="285"/>
      <c r="O180" s="136">
        <f t="shared" si="13"/>
        <v>0</v>
      </c>
      <c r="P180" s="85"/>
      <c r="R180" s="53"/>
      <c r="S180" s="53"/>
      <c r="T180" s="53"/>
    </row>
    <row r="181" spans="1:20" ht="24" hidden="1" x14ac:dyDescent="0.25">
      <c r="A181" s="76">
        <v>3263</v>
      </c>
      <c r="B181" s="127" t="s">
        <v>197</v>
      </c>
      <c r="C181" s="128">
        <f t="shared" si="9"/>
        <v>0</v>
      </c>
      <c r="D181" s="134"/>
      <c r="E181" s="285"/>
      <c r="F181" s="286">
        <f t="shared" si="10"/>
        <v>0</v>
      </c>
      <c r="G181" s="134"/>
      <c r="H181" s="135"/>
      <c r="I181" s="136">
        <f t="shared" si="11"/>
        <v>0</v>
      </c>
      <c r="J181" s="134"/>
      <c r="K181" s="135"/>
      <c r="L181" s="136">
        <f t="shared" si="12"/>
        <v>0</v>
      </c>
      <c r="M181" s="284"/>
      <c r="N181" s="285"/>
      <c r="O181" s="136">
        <f t="shared" si="13"/>
        <v>0</v>
      </c>
      <c r="P181" s="85"/>
      <c r="R181" s="53"/>
      <c r="S181" s="53"/>
      <c r="T181" s="53"/>
    </row>
    <row r="182" spans="1:20" ht="84" hidden="1" x14ac:dyDescent="0.25">
      <c r="A182" s="656">
        <v>3290</v>
      </c>
      <c r="B182" s="116" t="s">
        <v>198</v>
      </c>
      <c r="C182" s="128">
        <f t="shared" ref="C182:C258" si="26">F182+I182+L182+O182</f>
        <v>0</v>
      </c>
      <c r="D182" s="297">
        <f>SUM(D183:D186)</f>
        <v>0</v>
      </c>
      <c r="E182" s="301">
        <f>SUM(E183:E186)</f>
        <v>0</v>
      </c>
      <c r="F182" s="263">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c r="R182" s="53"/>
      <c r="S182" s="53"/>
      <c r="T182" s="53"/>
    </row>
    <row r="183" spans="1:20" ht="72" hidden="1" x14ac:dyDescent="0.25">
      <c r="A183" s="76">
        <v>3291</v>
      </c>
      <c r="B183" s="127" t="s">
        <v>199</v>
      </c>
      <c r="C183" s="128">
        <f t="shared" si="26"/>
        <v>0</v>
      </c>
      <c r="D183" s="134"/>
      <c r="E183" s="285"/>
      <c r="F183" s="286">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c r="R183" s="53"/>
      <c r="S183" s="53"/>
      <c r="T183" s="53"/>
    </row>
    <row r="184" spans="1:20" ht="72" hidden="1" x14ac:dyDescent="0.25">
      <c r="A184" s="76">
        <v>3292</v>
      </c>
      <c r="B184" s="127" t="s">
        <v>200</v>
      </c>
      <c r="C184" s="128">
        <f t="shared" si="26"/>
        <v>0</v>
      </c>
      <c r="D184" s="134"/>
      <c r="E184" s="285"/>
      <c r="F184" s="286">
        <f t="shared" si="30"/>
        <v>0</v>
      </c>
      <c r="G184" s="134"/>
      <c r="H184" s="135"/>
      <c r="I184" s="136">
        <f t="shared" si="31"/>
        <v>0</v>
      </c>
      <c r="J184" s="134"/>
      <c r="K184" s="135"/>
      <c r="L184" s="136">
        <f t="shared" si="32"/>
        <v>0</v>
      </c>
      <c r="M184" s="284"/>
      <c r="N184" s="285"/>
      <c r="O184" s="136">
        <f t="shared" si="33"/>
        <v>0</v>
      </c>
      <c r="P184" s="85"/>
      <c r="R184" s="53"/>
      <c r="S184" s="53"/>
      <c r="T184" s="53"/>
    </row>
    <row r="185" spans="1:20" ht="72" hidden="1" x14ac:dyDescent="0.25">
      <c r="A185" s="76">
        <v>3293</v>
      </c>
      <c r="B185" s="127" t="s">
        <v>201</v>
      </c>
      <c r="C185" s="128">
        <f t="shared" si="26"/>
        <v>0</v>
      </c>
      <c r="D185" s="134"/>
      <c r="E185" s="285"/>
      <c r="F185" s="286">
        <f t="shared" si="30"/>
        <v>0</v>
      </c>
      <c r="G185" s="134"/>
      <c r="H185" s="135"/>
      <c r="I185" s="136">
        <f t="shared" si="31"/>
        <v>0</v>
      </c>
      <c r="J185" s="134"/>
      <c r="K185" s="135"/>
      <c r="L185" s="136">
        <f t="shared" si="32"/>
        <v>0</v>
      </c>
      <c r="M185" s="284"/>
      <c r="N185" s="285"/>
      <c r="O185" s="136">
        <f t="shared" si="33"/>
        <v>0</v>
      </c>
      <c r="P185" s="85"/>
      <c r="R185" s="53"/>
      <c r="S185" s="53"/>
      <c r="T185" s="53"/>
    </row>
    <row r="186" spans="1:20" ht="60" hidden="1" x14ac:dyDescent="0.25">
      <c r="A186" s="326">
        <v>3294</v>
      </c>
      <c r="B186" s="127" t="s">
        <v>202</v>
      </c>
      <c r="C186" s="327">
        <f t="shared" si="26"/>
        <v>0</v>
      </c>
      <c r="D186" s="328"/>
      <c r="E186" s="329"/>
      <c r="F186" s="330">
        <f t="shared" si="30"/>
        <v>0</v>
      </c>
      <c r="G186" s="328"/>
      <c r="H186" s="331"/>
      <c r="I186" s="324">
        <f t="shared" si="31"/>
        <v>0</v>
      </c>
      <c r="J186" s="328"/>
      <c r="K186" s="331"/>
      <c r="L186" s="324">
        <f t="shared" si="32"/>
        <v>0</v>
      </c>
      <c r="M186" s="332"/>
      <c r="N186" s="329"/>
      <c r="O186" s="324">
        <f t="shared" si="33"/>
        <v>0</v>
      </c>
      <c r="P186" s="325"/>
      <c r="R186" s="53"/>
      <c r="S186" s="53"/>
      <c r="T186" s="53"/>
    </row>
    <row r="187" spans="1:20" ht="48" hidden="1" x14ac:dyDescent="0.25">
      <c r="A187" s="160">
        <v>3300</v>
      </c>
      <c r="B187" s="321" t="s">
        <v>203</v>
      </c>
      <c r="C187" s="333">
        <f t="shared" si="26"/>
        <v>0</v>
      </c>
      <c r="D187" s="334">
        <f>SUM(D188:D189)</f>
        <v>0</v>
      </c>
      <c r="E187" s="251">
        <f>SUM(E188:E189)</f>
        <v>0</v>
      </c>
      <c r="F187" s="335">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c r="R187" s="53"/>
      <c r="S187" s="53"/>
      <c r="T187" s="53"/>
    </row>
    <row r="188" spans="1:20" ht="48" hidden="1" x14ac:dyDescent="0.25">
      <c r="A188" s="178">
        <v>3310</v>
      </c>
      <c r="B188" s="179" t="s">
        <v>204</v>
      </c>
      <c r="C188" s="191">
        <f t="shared" si="26"/>
        <v>0</v>
      </c>
      <c r="D188" s="287"/>
      <c r="E188" s="291"/>
      <c r="F188" s="310">
        <f t="shared" si="30"/>
        <v>0</v>
      </c>
      <c r="G188" s="287"/>
      <c r="H188" s="289"/>
      <c r="I188" s="259">
        <f t="shared" si="31"/>
        <v>0</v>
      </c>
      <c r="J188" s="287"/>
      <c r="K188" s="289"/>
      <c r="L188" s="259">
        <f t="shared" si="32"/>
        <v>0</v>
      </c>
      <c r="M188" s="290"/>
      <c r="N188" s="291"/>
      <c r="O188" s="259">
        <f t="shared" si="33"/>
        <v>0</v>
      </c>
      <c r="P188" s="189"/>
      <c r="R188" s="53"/>
      <c r="S188" s="53"/>
      <c r="T188" s="53"/>
    </row>
    <row r="189" spans="1:20" ht="60" hidden="1" x14ac:dyDescent="0.25">
      <c r="A189" s="66">
        <v>3320</v>
      </c>
      <c r="B189" s="116" t="s">
        <v>205</v>
      </c>
      <c r="C189" s="117">
        <f t="shared" si="26"/>
        <v>0</v>
      </c>
      <c r="D189" s="123"/>
      <c r="E189" s="262"/>
      <c r="F189" s="263">
        <f t="shared" si="30"/>
        <v>0</v>
      </c>
      <c r="G189" s="123"/>
      <c r="H189" s="124"/>
      <c r="I189" s="125">
        <f t="shared" si="31"/>
        <v>0</v>
      </c>
      <c r="J189" s="123"/>
      <c r="K189" s="124"/>
      <c r="L189" s="125">
        <f t="shared" si="32"/>
        <v>0</v>
      </c>
      <c r="M189" s="264"/>
      <c r="N189" s="262"/>
      <c r="O189" s="125">
        <f t="shared" si="33"/>
        <v>0</v>
      </c>
      <c r="P189" s="74"/>
      <c r="R189" s="53"/>
      <c r="S189" s="53"/>
      <c r="T189" s="53"/>
    </row>
    <row r="190" spans="1:20" hidden="1" x14ac:dyDescent="0.25">
      <c r="A190" s="337">
        <v>4000</v>
      </c>
      <c r="B190" s="237" t="s">
        <v>206</v>
      </c>
      <c r="C190" s="238">
        <f t="shared" si="26"/>
        <v>0</v>
      </c>
      <c r="D190" s="239">
        <f>SUM(D191,D194)</f>
        <v>0</v>
      </c>
      <c r="E190" s="245">
        <f>SUM(E191,E194)</f>
        <v>0</v>
      </c>
      <c r="F190" s="320">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c r="R190" s="53"/>
      <c r="S190" s="53"/>
      <c r="T190" s="53"/>
    </row>
    <row r="191" spans="1:20" ht="24" hidden="1" x14ac:dyDescent="0.25">
      <c r="A191" s="338">
        <v>4200</v>
      </c>
      <c r="B191" s="247" t="s">
        <v>207</v>
      </c>
      <c r="C191" s="100">
        <f t="shared" si="26"/>
        <v>0</v>
      </c>
      <c r="D191" s="112">
        <f>SUM(D192,D193)</f>
        <v>0</v>
      </c>
      <c r="E191" s="293">
        <f>SUM(E192,E193)</f>
        <v>0</v>
      </c>
      <c r="F191" s="313">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c r="R191" s="53"/>
      <c r="S191" s="53"/>
      <c r="T191" s="53"/>
    </row>
    <row r="192" spans="1:20" ht="36" hidden="1" x14ac:dyDescent="0.25">
      <c r="A192" s="656">
        <v>4240</v>
      </c>
      <c r="B192" s="116" t="s">
        <v>208</v>
      </c>
      <c r="C192" s="117">
        <f t="shared" si="26"/>
        <v>0</v>
      </c>
      <c r="D192" s="123"/>
      <c r="E192" s="262"/>
      <c r="F192" s="263">
        <f t="shared" si="30"/>
        <v>0</v>
      </c>
      <c r="G192" s="123"/>
      <c r="H192" s="124"/>
      <c r="I192" s="125">
        <f t="shared" si="31"/>
        <v>0</v>
      </c>
      <c r="J192" s="123"/>
      <c r="K192" s="124"/>
      <c r="L192" s="125">
        <f t="shared" si="32"/>
        <v>0</v>
      </c>
      <c r="M192" s="264"/>
      <c r="N192" s="262"/>
      <c r="O192" s="125">
        <f t="shared" si="33"/>
        <v>0</v>
      </c>
      <c r="P192" s="74"/>
      <c r="R192" s="53"/>
      <c r="S192" s="53"/>
      <c r="T192" s="53"/>
    </row>
    <row r="193" spans="1:20" ht="24" hidden="1" x14ac:dyDescent="0.25">
      <c r="A193" s="276">
        <v>4250</v>
      </c>
      <c r="B193" s="127" t="s">
        <v>209</v>
      </c>
      <c r="C193" s="128">
        <f t="shared" si="26"/>
        <v>0</v>
      </c>
      <c r="D193" s="134"/>
      <c r="E193" s="285"/>
      <c r="F193" s="286">
        <f t="shared" si="30"/>
        <v>0</v>
      </c>
      <c r="G193" s="134"/>
      <c r="H193" s="135"/>
      <c r="I193" s="136">
        <f t="shared" si="31"/>
        <v>0</v>
      </c>
      <c r="J193" s="134"/>
      <c r="K193" s="135"/>
      <c r="L193" s="136">
        <f t="shared" si="32"/>
        <v>0</v>
      </c>
      <c r="M193" s="284"/>
      <c r="N193" s="285"/>
      <c r="O193" s="136">
        <f t="shared" si="33"/>
        <v>0</v>
      </c>
      <c r="P193" s="85"/>
      <c r="R193" s="53"/>
      <c r="S193" s="53"/>
      <c r="T193" s="53"/>
    </row>
    <row r="194" spans="1:20" hidden="1" x14ac:dyDescent="0.25">
      <c r="A194" s="99">
        <v>4300</v>
      </c>
      <c r="B194" s="247" t="s">
        <v>210</v>
      </c>
      <c r="C194" s="100">
        <f t="shared" si="26"/>
        <v>0</v>
      </c>
      <c r="D194" s="112">
        <f>SUM(D195)</f>
        <v>0</v>
      </c>
      <c r="E194" s="293">
        <f>SUM(E195)</f>
        <v>0</v>
      </c>
      <c r="F194" s="313">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c r="R194" s="53"/>
      <c r="S194" s="53"/>
      <c r="T194" s="53"/>
    </row>
    <row r="195" spans="1:20" ht="24" hidden="1" x14ac:dyDescent="0.25">
      <c r="A195" s="656">
        <v>4310</v>
      </c>
      <c r="B195" s="116" t="s">
        <v>211</v>
      </c>
      <c r="C195" s="117">
        <f t="shared" si="26"/>
        <v>0</v>
      </c>
      <c r="D195" s="297">
        <f>SUM(D196:D196)</f>
        <v>0</v>
      </c>
      <c r="E195" s="301">
        <f>SUM(E196:E196)</f>
        <v>0</v>
      </c>
      <c r="F195" s="263">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c r="R195" s="53"/>
      <c r="S195" s="53"/>
      <c r="T195" s="53"/>
    </row>
    <row r="196" spans="1:20" ht="36" hidden="1" x14ac:dyDescent="0.25">
      <c r="A196" s="76">
        <v>4311</v>
      </c>
      <c r="B196" s="127" t="s">
        <v>212</v>
      </c>
      <c r="C196" s="128">
        <f t="shared" si="26"/>
        <v>0</v>
      </c>
      <c r="D196" s="134"/>
      <c r="E196" s="285"/>
      <c r="F196" s="286">
        <f t="shared" si="30"/>
        <v>0</v>
      </c>
      <c r="G196" s="134"/>
      <c r="H196" s="135"/>
      <c r="I196" s="136">
        <f t="shared" si="31"/>
        <v>0</v>
      </c>
      <c r="J196" s="134"/>
      <c r="K196" s="135"/>
      <c r="L196" s="136">
        <f t="shared" si="32"/>
        <v>0</v>
      </c>
      <c r="M196" s="284"/>
      <c r="N196" s="285"/>
      <c r="O196" s="136">
        <f t="shared" si="33"/>
        <v>0</v>
      </c>
      <c r="P196" s="85"/>
      <c r="R196" s="53"/>
      <c r="S196" s="53"/>
      <c r="T196" s="53"/>
    </row>
    <row r="197" spans="1:20" s="41" customFormat="1" ht="24" x14ac:dyDescent="0.25">
      <c r="A197" s="339"/>
      <c r="B197" s="31" t="s">
        <v>213</v>
      </c>
      <c r="C197" s="229">
        <f t="shared" si="26"/>
        <v>1251</v>
      </c>
      <c r="D197" s="230">
        <f>SUM(D198,D233,D271)</f>
        <v>1064</v>
      </c>
      <c r="E197" s="231">
        <f>SUM(E198,E233,E271)</f>
        <v>0</v>
      </c>
      <c r="F197" s="232">
        <f t="shared" si="30"/>
        <v>1064</v>
      </c>
      <c r="G197" s="230">
        <f>SUM(G198,G233,G271)</f>
        <v>150</v>
      </c>
      <c r="H197" s="233">
        <f>SUM(H198,H233,H271)</f>
        <v>0</v>
      </c>
      <c r="I197" s="234">
        <f t="shared" si="31"/>
        <v>150</v>
      </c>
      <c r="J197" s="230">
        <f>SUM(J198,J233,J271)</f>
        <v>37</v>
      </c>
      <c r="K197" s="233">
        <f>SUM(K198,K233,K271)</f>
        <v>0</v>
      </c>
      <c r="L197" s="234">
        <f t="shared" si="32"/>
        <v>37</v>
      </c>
      <c r="M197" s="340">
        <f>SUM(M198,M233,M271)</f>
        <v>0</v>
      </c>
      <c r="N197" s="341">
        <f>SUM(N198,N233,N271)</f>
        <v>0</v>
      </c>
      <c r="O197" s="342">
        <f t="shared" si="33"/>
        <v>0</v>
      </c>
      <c r="P197" s="343"/>
      <c r="R197" s="53"/>
      <c r="S197" s="53"/>
      <c r="T197" s="53"/>
    </row>
    <row r="198" spans="1:20" x14ac:dyDescent="0.25">
      <c r="A198" s="237">
        <v>5000</v>
      </c>
      <c r="B198" s="237" t="s">
        <v>214</v>
      </c>
      <c r="C198" s="238">
        <f>F198+I198+L198+O198</f>
        <v>1214</v>
      </c>
      <c r="D198" s="239">
        <f>D199+D207</f>
        <v>1064</v>
      </c>
      <c r="E198" s="240">
        <f>E199+E207</f>
        <v>0</v>
      </c>
      <c r="F198" s="241">
        <f t="shared" si="30"/>
        <v>1064</v>
      </c>
      <c r="G198" s="239">
        <f>G199+G207</f>
        <v>150</v>
      </c>
      <c r="H198" s="242">
        <f>H199+H207</f>
        <v>0</v>
      </c>
      <c r="I198" s="243">
        <f t="shared" si="31"/>
        <v>150</v>
      </c>
      <c r="J198" s="239">
        <f>J199+J207</f>
        <v>0</v>
      </c>
      <c r="K198" s="242">
        <f>K199+K207</f>
        <v>0</v>
      </c>
      <c r="L198" s="243">
        <f t="shared" si="32"/>
        <v>0</v>
      </c>
      <c r="M198" s="244">
        <f>M199+M207</f>
        <v>0</v>
      </c>
      <c r="N198" s="245">
        <f>N199+N207</f>
        <v>0</v>
      </c>
      <c r="O198" s="243">
        <f t="shared" si="33"/>
        <v>0</v>
      </c>
      <c r="P198" s="246"/>
      <c r="R198" s="53"/>
      <c r="S198" s="53"/>
      <c r="T198" s="53"/>
    </row>
    <row r="199" spans="1:20" hidden="1" x14ac:dyDescent="0.25">
      <c r="A199" s="99">
        <v>5100</v>
      </c>
      <c r="B199" s="247" t="s">
        <v>215</v>
      </c>
      <c r="C199" s="100">
        <f t="shared" si="26"/>
        <v>0</v>
      </c>
      <c r="D199" s="112">
        <f>D200+D201+D204+D205+D206</f>
        <v>0</v>
      </c>
      <c r="E199" s="293">
        <f>E200+E201+E204+E205+E206</f>
        <v>0</v>
      </c>
      <c r="F199" s="313">
        <f t="shared" si="30"/>
        <v>0</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c r="R199" s="53"/>
      <c r="S199" s="53"/>
      <c r="T199" s="53"/>
    </row>
    <row r="200" spans="1:20" hidden="1" x14ac:dyDescent="0.25">
      <c r="A200" s="656">
        <v>5110</v>
      </c>
      <c r="B200" s="116" t="s">
        <v>216</v>
      </c>
      <c r="C200" s="117">
        <f t="shared" si="26"/>
        <v>0</v>
      </c>
      <c r="D200" s="123"/>
      <c r="E200" s="262"/>
      <c r="F200" s="263">
        <f t="shared" si="30"/>
        <v>0</v>
      </c>
      <c r="G200" s="123"/>
      <c r="H200" s="124"/>
      <c r="I200" s="125">
        <f t="shared" si="31"/>
        <v>0</v>
      </c>
      <c r="J200" s="123"/>
      <c r="K200" s="124"/>
      <c r="L200" s="125">
        <f t="shared" si="32"/>
        <v>0</v>
      </c>
      <c r="M200" s="264"/>
      <c r="N200" s="262"/>
      <c r="O200" s="125">
        <f t="shared" si="33"/>
        <v>0</v>
      </c>
      <c r="P200" s="74"/>
      <c r="R200" s="53"/>
      <c r="S200" s="53"/>
      <c r="T200" s="53"/>
    </row>
    <row r="201" spans="1:20" ht="24" hidden="1" x14ac:dyDescent="0.25">
      <c r="A201" s="276">
        <v>5120</v>
      </c>
      <c r="B201" s="127" t="s">
        <v>217</v>
      </c>
      <c r="C201" s="128">
        <f t="shared" si="26"/>
        <v>0</v>
      </c>
      <c r="D201" s="277">
        <f>D202+D203</f>
        <v>0</v>
      </c>
      <c r="E201" s="282">
        <f>E202+E203</f>
        <v>0</v>
      </c>
      <c r="F201" s="286">
        <f t="shared" si="30"/>
        <v>0</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c r="R201" s="53"/>
      <c r="S201" s="53"/>
      <c r="T201" s="53"/>
    </row>
    <row r="202" spans="1:20" hidden="1" x14ac:dyDescent="0.25">
      <c r="A202" s="76">
        <v>5121</v>
      </c>
      <c r="B202" s="127" t="s">
        <v>218</v>
      </c>
      <c r="C202" s="128">
        <f t="shared" si="26"/>
        <v>0</v>
      </c>
      <c r="D202" s="134"/>
      <c r="E202" s="285"/>
      <c r="F202" s="286">
        <f t="shared" si="30"/>
        <v>0</v>
      </c>
      <c r="G202" s="134"/>
      <c r="H202" s="135"/>
      <c r="I202" s="136">
        <f t="shared" si="31"/>
        <v>0</v>
      </c>
      <c r="J202" s="134"/>
      <c r="K202" s="135"/>
      <c r="L202" s="136">
        <f t="shared" si="32"/>
        <v>0</v>
      </c>
      <c r="M202" s="284"/>
      <c r="N202" s="285"/>
      <c r="O202" s="136">
        <f t="shared" si="33"/>
        <v>0</v>
      </c>
      <c r="P202" s="85"/>
      <c r="R202" s="53"/>
      <c r="S202" s="53"/>
      <c r="T202" s="53"/>
    </row>
    <row r="203" spans="1:20" ht="24" hidden="1" x14ac:dyDescent="0.25">
      <c r="A203" s="76">
        <v>5129</v>
      </c>
      <c r="B203" s="127" t="s">
        <v>219</v>
      </c>
      <c r="C203" s="128">
        <f t="shared" si="26"/>
        <v>0</v>
      </c>
      <c r="D203" s="134"/>
      <c r="E203" s="285"/>
      <c r="F203" s="286">
        <f t="shared" si="30"/>
        <v>0</v>
      </c>
      <c r="G203" s="134"/>
      <c r="H203" s="135"/>
      <c r="I203" s="136">
        <f t="shared" si="31"/>
        <v>0</v>
      </c>
      <c r="J203" s="134"/>
      <c r="K203" s="135"/>
      <c r="L203" s="136">
        <f t="shared" si="32"/>
        <v>0</v>
      </c>
      <c r="M203" s="284"/>
      <c r="N203" s="285"/>
      <c r="O203" s="136">
        <f t="shared" si="33"/>
        <v>0</v>
      </c>
      <c r="P203" s="85"/>
      <c r="R203" s="53"/>
      <c r="S203" s="53"/>
      <c r="T203" s="53"/>
    </row>
    <row r="204" spans="1:20" hidden="1" x14ac:dyDescent="0.25">
      <c r="A204" s="276">
        <v>5130</v>
      </c>
      <c r="B204" s="127" t="s">
        <v>220</v>
      </c>
      <c r="C204" s="128">
        <f t="shared" si="26"/>
        <v>0</v>
      </c>
      <c r="D204" s="134"/>
      <c r="E204" s="285"/>
      <c r="F204" s="286">
        <f t="shared" si="30"/>
        <v>0</v>
      </c>
      <c r="G204" s="134"/>
      <c r="H204" s="135"/>
      <c r="I204" s="136">
        <f t="shared" si="31"/>
        <v>0</v>
      </c>
      <c r="J204" s="134"/>
      <c r="K204" s="135"/>
      <c r="L204" s="136">
        <f t="shared" si="32"/>
        <v>0</v>
      </c>
      <c r="M204" s="284"/>
      <c r="N204" s="285"/>
      <c r="O204" s="136">
        <f t="shared" si="33"/>
        <v>0</v>
      </c>
      <c r="P204" s="85"/>
      <c r="R204" s="53"/>
      <c r="S204" s="53"/>
      <c r="T204" s="53"/>
    </row>
    <row r="205" spans="1:20" hidden="1" x14ac:dyDescent="0.25">
      <c r="A205" s="276">
        <v>5140</v>
      </c>
      <c r="B205" s="127" t="s">
        <v>221</v>
      </c>
      <c r="C205" s="128">
        <f t="shared" si="26"/>
        <v>0</v>
      </c>
      <c r="D205" s="134"/>
      <c r="E205" s="285"/>
      <c r="F205" s="286">
        <f t="shared" si="30"/>
        <v>0</v>
      </c>
      <c r="G205" s="134"/>
      <c r="H205" s="135"/>
      <c r="I205" s="136">
        <f t="shared" si="31"/>
        <v>0</v>
      </c>
      <c r="J205" s="134"/>
      <c r="K205" s="135"/>
      <c r="L205" s="136">
        <f t="shared" si="32"/>
        <v>0</v>
      </c>
      <c r="M205" s="284"/>
      <c r="N205" s="285"/>
      <c r="O205" s="136">
        <f t="shared" si="33"/>
        <v>0</v>
      </c>
      <c r="P205" s="85"/>
      <c r="R205" s="53"/>
      <c r="S205" s="53"/>
      <c r="T205" s="53"/>
    </row>
    <row r="206" spans="1:20" ht="24" hidden="1" x14ac:dyDescent="0.25">
      <c r="A206" s="276">
        <v>5170</v>
      </c>
      <c r="B206" s="127" t="s">
        <v>222</v>
      </c>
      <c r="C206" s="128">
        <f t="shared" si="26"/>
        <v>0</v>
      </c>
      <c r="D206" s="134"/>
      <c r="E206" s="285"/>
      <c r="F206" s="286">
        <f t="shared" si="30"/>
        <v>0</v>
      </c>
      <c r="G206" s="134"/>
      <c r="H206" s="135"/>
      <c r="I206" s="136">
        <f t="shared" si="31"/>
        <v>0</v>
      </c>
      <c r="J206" s="134"/>
      <c r="K206" s="135"/>
      <c r="L206" s="136">
        <f t="shared" si="32"/>
        <v>0</v>
      </c>
      <c r="M206" s="284"/>
      <c r="N206" s="285"/>
      <c r="O206" s="136">
        <f t="shared" si="33"/>
        <v>0</v>
      </c>
      <c r="P206" s="85"/>
      <c r="R206" s="53"/>
      <c r="S206" s="53"/>
      <c r="T206" s="53"/>
    </row>
    <row r="207" spans="1:20" x14ac:dyDescent="0.25">
      <c r="A207" s="99">
        <v>5200</v>
      </c>
      <c r="B207" s="247" t="s">
        <v>223</v>
      </c>
      <c r="C207" s="100">
        <f t="shared" si="26"/>
        <v>1214</v>
      </c>
      <c r="D207" s="112">
        <f>D208+D218+D219+D228+D229+D230+D232</f>
        <v>1064</v>
      </c>
      <c r="E207" s="248">
        <f>E208+E218+E219+E228+E229+E230+E232</f>
        <v>0</v>
      </c>
      <c r="F207" s="249">
        <f t="shared" si="30"/>
        <v>1064</v>
      </c>
      <c r="G207" s="112">
        <f>G208+G218+G219+G228+G229+G230+G232</f>
        <v>150</v>
      </c>
      <c r="H207" s="113">
        <f>H208+H218+H219+H228+H229+H230+H232</f>
        <v>0</v>
      </c>
      <c r="I207" s="114">
        <f t="shared" si="31"/>
        <v>150</v>
      </c>
      <c r="J207" s="112">
        <f>J208+J218+J219+J228+J229+J230+J232</f>
        <v>0</v>
      </c>
      <c r="K207" s="113">
        <f>K208+K218+K219+K228+K229+K230+K232</f>
        <v>0</v>
      </c>
      <c r="L207" s="114">
        <f t="shared" si="32"/>
        <v>0</v>
      </c>
      <c r="M207" s="292">
        <f>M208+M218+M219+M228+M229+M230+M232</f>
        <v>0</v>
      </c>
      <c r="N207" s="293">
        <f>N208+N218+N219+N228+N229+N230+N232</f>
        <v>0</v>
      </c>
      <c r="O207" s="114">
        <f t="shared" si="33"/>
        <v>0</v>
      </c>
      <c r="P207" s="109"/>
      <c r="R207" s="53"/>
      <c r="S207" s="53"/>
      <c r="T207" s="53"/>
    </row>
    <row r="208" spans="1:20" hidden="1" x14ac:dyDescent="0.25">
      <c r="A208" s="254">
        <v>5210</v>
      </c>
      <c r="B208" s="179" t="s">
        <v>224</v>
      </c>
      <c r="C208" s="191">
        <f t="shared" si="26"/>
        <v>0</v>
      </c>
      <c r="D208" s="255">
        <f>SUM(D209:D217)</f>
        <v>0</v>
      </c>
      <c r="E208" s="261">
        <f>SUM(E209:E217)</f>
        <v>0</v>
      </c>
      <c r="F208" s="310">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c r="R208" s="53"/>
      <c r="S208" s="53"/>
      <c r="T208" s="53"/>
    </row>
    <row r="209" spans="1:20" hidden="1" x14ac:dyDescent="0.25">
      <c r="A209" s="66">
        <v>5211</v>
      </c>
      <c r="B209" s="116" t="s">
        <v>225</v>
      </c>
      <c r="C209" s="279">
        <f t="shared" si="26"/>
        <v>0</v>
      </c>
      <c r="D209" s="123"/>
      <c r="E209" s="262"/>
      <c r="F209" s="263">
        <f t="shared" si="30"/>
        <v>0</v>
      </c>
      <c r="G209" s="123"/>
      <c r="H209" s="124"/>
      <c r="I209" s="125">
        <f t="shared" si="31"/>
        <v>0</v>
      </c>
      <c r="J209" s="123"/>
      <c r="K209" s="124"/>
      <c r="L209" s="125">
        <f t="shared" si="32"/>
        <v>0</v>
      </c>
      <c r="M209" s="264"/>
      <c r="N209" s="262"/>
      <c r="O209" s="125">
        <f t="shared" si="33"/>
        <v>0</v>
      </c>
      <c r="P209" s="74"/>
      <c r="R209" s="53"/>
      <c r="S209" s="53"/>
      <c r="T209" s="53"/>
    </row>
    <row r="210" spans="1:20" hidden="1" x14ac:dyDescent="0.25">
      <c r="A210" s="76">
        <v>5212</v>
      </c>
      <c r="B210" s="127" t="s">
        <v>226</v>
      </c>
      <c r="C210" s="279">
        <f t="shared" si="26"/>
        <v>0</v>
      </c>
      <c r="D210" s="134"/>
      <c r="E210" s="285"/>
      <c r="F210" s="286">
        <f t="shared" si="30"/>
        <v>0</v>
      </c>
      <c r="G210" s="134"/>
      <c r="H210" s="135"/>
      <c r="I210" s="136">
        <f t="shared" si="31"/>
        <v>0</v>
      </c>
      <c r="J210" s="134"/>
      <c r="K210" s="135"/>
      <c r="L210" s="136">
        <f t="shared" si="32"/>
        <v>0</v>
      </c>
      <c r="M210" s="284"/>
      <c r="N210" s="285"/>
      <c r="O210" s="136">
        <f t="shared" si="33"/>
        <v>0</v>
      </c>
      <c r="P210" s="85"/>
      <c r="R210" s="53"/>
      <c r="S210" s="53"/>
      <c r="T210" s="53"/>
    </row>
    <row r="211" spans="1:20" hidden="1" x14ac:dyDescent="0.25">
      <c r="A211" s="76">
        <v>5213</v>
      </c>
      <c r="B211" s="127" t="s">
        <v>227</v>
      </c>
      <c r="C211" s="279">
        <f t="shared" si="26"/>
        <v>0</v>
      </c>
      <c r="D211" s="134"/>
      <c r="E211" s="285"/>
      <c r="F211" s="286">
        <f t="shared" si="30"/>
        <v>0</v>
      </c>
      <c r="G211" s="134"/>
      <c r="H211" s="135"/>
      <c r="I211" s="136">
        <f t="shared" si="31"/>
        <v>0</v>
      </c>
      <c r="J211" s="134"/>
      <c r="K211" s="135"/>
      <c r="L211" s="136">
        <f t="shared" si="32"/>
        <v>0</v>
      </c>
      <c r="M211" s="284"/>
      <c r="N211" s="285"/>
      <c r="O211" s="136">
        <f t="shared" si="33"/>
        <v>0</v>
      </c>
      <c r="P211" s="85"/>
      <c r="R211" s="53"/>
      <c r="S211" s="53"/>
      <c r="T211" s="53"/>
    </row>
    <row r="212" spans="1:20" hidden="1" x14ac:dyDescent="0.25">
      <c r="A212" s="76">
        <v>5214</v>
      </c>
      <c r="B212" s="127" t="s">
        <v>228</v>
      </c>
      <c r="C212" s="279">
        <f t="shared" si="26"/>
        <v>0</v>
      </c>
      <c r="D212" s="134"/>
      <c r="E212" s="285"/>
      <c r="F212" s="286">
        <f t="shared" si="30"/>
        <v>0</v>
      </c>
      <c r="G212" s="134"/>
      <c r="H212" s="135"/>
      <c r="I212" s="136">
        <f t="shared" si="31"/>
        <v>0</v>
      </c>
      <c r="J212" s="134"/>
      <c r="K212" s="135"/>
      <c r="L212" s="136">
        <f t="shared" si="32"/>
        <v>0</v>
      </c>
      <c r="M212" s="284"/>
      <c r="N212" s="285"/>
      <c r="O212" s="136">
        <f t="shared" si="33"/>
        <v>0</v>
      </c>
      <c r="P212" s="85"/>
      <c r="R212" s="53"/>
      <c r="S212" s="53"/>
      <c r="T212" s="53"/>
    </row>
    <row r="213" spans="1:20" hidden="1" x14ac:dyDescent="0.25">
      <c r="A213" s="76">
        <v>5215</v>
      </c>
      <c r="B213" s="127" t="s">
        <v>229</v>
      </c>
      <c r="C213" s="279">
        <f t="shared" si="26"/>
        <v>0</v>
      </c>
      <c r="D213" s="134"/>
      <c r="E213" s="285"/>
      <c r="F213" s="286">
        <f t="shared" si="30"/>
        <v>0</v>
      </c>
      <c r="G213" s="134"/>
      <c r="H213" s="135"/>
      <c r="I213" s="136">
        <f t="shared" si="31"/>
        <v>0</v>
      </c>
      <c r="J213" s="134"/>
      <c r="K213" s="135"/>
      <c r="L213" s="136">
        <f t="shared" si="32"/>
        <v>0</v>
      </c>
      <c r="M213" s="284"/>
      <c r="N213" s="285"/>
      <c r="O213" s="136">
        <f t="shared" si="33"/>
        <v>0</v>
      </c>
      <c r="P213" s="85"/>
      <c r="R213" s="53"/>
      <c r="S213" s="53"/>
      <c r="T213" s="53"/>
    </row>
    <row r="214" spans="1:20" ht="24" hidden="1" x14ac:dyDescent="0.25">
      <c r="A214" s="76">
        <v>5216</v>
      </c>
      <c r="B214" s="127" t="s">
        <v>230</v>
      </c>
      <c r="C214" s="279">
        <f t="shared" si="26"/>
        <v>0</v>
      </c>
      <c r="D214" s="134"/>
      <c r="E214" s="285"/>
      <c r="F214" s="286">
        <f t="shared" si="30"/>
        <v>0</v>
      </c>
      <c r="G214" s="134"/>
      <c r="H214" s="135"/>
      <c r="I214" s="136">
        <f t="shared" si="31"/>
        <v>0</v>
      </c>
      <c r="J214" s="134"/>
      <c r="K214" s="135"/>
      <c r="L214" s="136">
        <f t="shared" si="32"/>
        <v>0</v>
      </c>
      <c r="M214" s="284"/>
      <c r="N214" s="285"/>
      <c r="O214" s="136">
        <f t="shared" si="33"/>
        <v>0</v>
      </c>
      <c r="P214" s="85"/>
      <c r="R214" s="53"/>
      <c r="S214" s="53"/>
      <c r="T214" s="53"/>
    </row>
    <row r="215" spans="1:20" hidden="1" x14ac:dyDescent="0.25">
      <c r="A215" s="76">
        <v>5217</v>
      </c>
      <c r="B215" s="127" t="s">
        <v>231</v>
      </c>
      <c r="C215" s="279">
        <f t="shared" si="26"/>
        <v>0</v>
      </c>
      <c r="D215" s="134"/>
      <c r="E215" s="285"/>
      <c r="F215" s="286">
        <f t="shared" si="30"/>
        <v>0</v>
      </c>
      <c r="G215" s="134"/>
      <c r="H215" s="135"/>
      <c r="I215" s="136">
        <f t="shared" si="31"/>
        <v>0</v>
      </c>
      <c r="J215" s="134"/>
      <c r="K215" s="135"/>
      <c r="L215" s="136">
        <f t="shared" si="32"/>
        <v>0</v>
      </c>
      <c r="M215" s="284"/>
      <c r="N215" s="285"/>
      <c r="O215" s="136">
        <f t="shared" si="33"/>
        <v>0</v>
      </c>
      <c r="P215" s="85"/>
      <c r="R215" s="53"/>
      <c r="S215" s="53"/>
      <c r="T215" s="53"/>
    </row>
    <row r="216" spans="1:20" hidden="1" x14ac:dyDescent="0.25">
      <c r="A216" s="76">
        <v>5218</v>
      </c>
      <c r="B216" s="127" t="s">
        <v>232</v>
      </c>
      <c r="C216" s="279">
        <f t="shared" si="26"/>
        <v>0</v>
      </c>
      <c r="D216" s="134"/>
      <c r="E216" s="285"/>
      <c r="F216" s="286">
        <f t="shared" si="30"/>
        <v>0</v>
      </c>
      <c r="G216" s="134"/>
      <c r="H216" s="135"/>
      <c r="I216" s="136">
        <f t="shared" si="31"/>
        <v>0</v>
      </c>
      <c r="J216" s="134"/>
      <c r="K216" s="135"/>
      <c r="L216" s="136">
        <f t="shared" si="32"/>
        <v>0</v>
      </c>
      <c r="M216" s="284"/>
      <c r="N216" s="285"/>
      <c r="O216" s="136">
        <f t="shared" si="33"/>
        <v>0</v>
      </c>
      <c r="P216" s="85"/>
      <c r="R216" s="53"/>
      <c r="S216" s="53"/>
      <c r="T216" s="53"/>
    </row>
    <row r="217" spans="1:20" hidden="1" x14ac:dyDescent="0.25">
      <c r="A217" s="76">
        <v>5219</v>
      </c>
      <c r="B217" s="127" t="s">
        <v>233</v>
      </c>
      <c r="C217" s="279">
        <f t="shared" si="26"/>
        <v>0</v>
      </c>
      <c r="D217" s="134"/>
      <c r="E217" s="285"/>
      <c r="F217" s="286">
        <f t="shared" si="30"/>
        <v>0</v>
      </c>
      <c r="G217" s="134"/>
      <c r="H217" s="135"/>
      <c r="I217" s="136">
        <f t="shared" si="31"/>
        <v>0</v>
      </c>
      <c r="J217" s="134"/>
      <c r="K217" s="135"/>
      <c r="L217" s="136">
        <f t="shared" si="32"/>
        <v>0</v>
      </c>
      <c r="M217" s="284"/>
      <c r="N217" s="285"/>
      <c r="O217" s="136">
        <f t="shared" si="33"/>
        <v>0</v>
      </c>
      <c r="P217" s="85"/>
      <c r="R217" s="53"/>
      <c r="S217" s="53"/>
      <c r="T217" s="53"/>
    </row>
    <row r="218" spans="1:20" hidden="1" x14ac:dyDescent="0.25">
      <c r="A218" s="276">
        <v>5220</v>
      </c>
      <c r="B218" s="127" t="s">
        <v>234</v>
      </c>
      <c r="C218" s="279">
        <f t="shared" si="26"/>
        <v>0</v>
      </c>
      <c r="D218" s="134"/>
      <c r="E218" s="285"/>
      <c r="F218" s="286">
        <f t="shared" si="30"/>
        <v>0</v>
      </c>
      <c r="G218" s="134"/>
      <c r="H218" s="135"/>
      <c r="I218" s="136">
        <f t="shared" si="31"/>
        <v>0</v>
      </c>
      <c r="J218" s="134"/>
      <c r="K218" s="135"/>
      <c r="L218" s="136">
        <f t="shared" si="32"/>
        <v>0</v>
      </c>
      <c r="M218" s="284"/>
      <c r="N218" s="285"/>
      <c r="O218" s="136">
        <f t="shared" si="33"/>
        <v>0</v>
      </c>
      <c r="P218" s="85"/>
      <c r="R218" s="53"/>
      <c r="S218" s="53"/>
      <c r="T218" s="53"/>
    </row>
    <row r="219" spans="1:20" x14ac:dyDescent="0.25">
      <c r="A219" s="276">
        <v>5230</v>
      </c>
      <c r="B219" s="127" t="s">
        <v>235</v>
      </c>
      <c r="C219" s="279">
        <f t="shared" si="26"/>
        <v>300</v>
      </c>
      <c r="D219" s="277">
        <f>SUM(D220:D227)</f>
        <v>150</v>
      </c>
      <c r="E219" s="278">
        <f>SUM(E220:E227)</f>
        <v>0</v>
      </c>
      <c r="F219" s="279">
        <f t="shared" si="30"/>
        <v>150</v>
      </c>
      <c r="G219" s="277">
        <f>SUM(G220:G227)</f>
        <v>150</v>
      </c>
      <c r="H219" s="280">
        <f>SUM(H220:H227)</f>
        <v>0</v>
      </c>
      <c r="I219" s="136">
        <f t="shared" si="31"/>
        <v>150</v>
      </c>
      <c r="J219" s="277">
        <f>SUM(J220:J227)</f>
        <v>0</v>
      </c>
      <c r="K219" s="280">
        <f>SUM(K220:K227)</f>
        <v>0</v>
      </c>
      <c r="L219" s="136">
        <f t="shared" si="32"/>
        <v>0</v>
      </c>
      <c r="M219" s="281">
        <f>SUM(M220:M227)</f>
        <v>0</v>
      </c>
      <c r="N219" s="282">
        <f>SUM(N220:N227)</f>
        <v>0</v>
      </c>
      <c r="O219" s="136">
        <f t="shared" si="33"/>
        <v>0</v>
      </c>
      <c r="P219" s="85"/>
      <c r="R219" s="53"/>
      <c r="S219" s="53"/>
      <c r="T219" s="53"/>
    </row>
    <row r="220" spans="1:20" hidden="1" x14ac:dyDescent="0.25">
      <c r="A220" s="76">
        <v>5231</v>
      </c>
      <c r="B220" s="127" t="s">
        <v>236</v>
      </c>
      <c r="C220" s="279">
        <f t="shared" si="26"/>
        <v>0</v>
      </c>
      <c r="D220" s="134"/>
      <c r="E220" s="285"/>
      <c r="F220" s="286">
        <f t="shared" si="30"/>
        <v>0</v>
      </c>
      <c r="G220" s="134"/>
      <c r="H220" s="135"/>
      <c r="I220" s="136">
        <f t="shared" si="31"/>
        <v>0</v>
      </c>
      <c r="J220" s="134"/>
      <c r="K220" s="135"/>
      <c r="L220" s="136">
        <f t="shared" si="32"/>
        <v>0</v>
      </c>
      <c r="M220" s="284"/>
      <c r="N220" s="285"/>
      <c r="O220" s="136">
        <f t="shared" si="33"/>
        <v>0</v>
      </c>
      <c r="P220" s="85"/>
      <c r="R220" s="53"/>
      <c r="S220" s="53"/>
      <c r="T220" s="53"/>
    </row>
    <row r="221" spans="1:20" hidden="1" x14ac:dyDescent="0.25">
      <c r="A221" s="76">
        <v>5232</v>
      </c>
      <c r="B221" s="127" t="s">
        <v>237</v>
      </c>
      <c r="C221" s="279">
        <f t="shared" si="26"/>
        <v>0</v>
      </c>
      <c r="D221" s="134"/>
      <c r="E221" s="285"/>
      <c r="F221" s="286">
        <f t="shared" si="30"/>
        <v>0</v>
      </c>
      <c r="G221" s="134"/>
      <c r="H221" s="135"/>
      <c r="I221" s="136">
        <f t="shared" si="31"/>
        <v>0</v>
      </c>
      <c r="J221" s="134"/>
      <c r="K221" s="135"/>
      <c r="L221" s="136">
        <f t="shared" si="32"/>
        <v>0</v>
      </c>
      <c r="M221" s="284"/>
      <c r="N221" s="285"/>
      <c r="O221" s="136">
        <f t="shared" si="33"/>
        <v>0</v>
      </c>
      <c r="P221" s="85"/>
      <c r="R221" s="53"/>
      <c r="S221" s="53"/>
      <c r="T221" s="53"/>
    </row>
    <row r="222" spans="1:20" x14ac:dyDescent="0.25">
      <c r="A222" s="76">
        <v>5233</v>
      </c>
      <c r="B222" s="127" t="s">
        <v>238</v>
      </c>
      <c r="C222" s="279">
        <f t="shared" si="26"/>
        <v>300</v>
      </c>
      <c r="D222" s="134">
        <v>150</v>
      </c>
      <c r="E222" s="283"/>
      <c r="F222" s="279">
        <f t="shared" si="30"/>
        <v>150</v>
      </c>
      <c r="G222" s="134">
        <v>150</v>
      </c>
      <c r="H222" s="135"/>
      <c r="I222" s="136">
        <f t="shared" si="31"/>
        <v>150</v>
      </c>
      <c r="J222" s="134"/>
      <c r="K222" s="135"/>
      <c r="L222" s="136">
        <f t="shared" si="32"/>
        <v>0</v>
      </c>
      <c r="M222" s="284"/>
      <c r="N222" s="285"/>
      <c r="O222" s="136">
        <f t="shared" si="33"/>
        <v>0</v>
      </c>
      <c r="P222" s="85"/>
      <c r="R222" s="53"/>
      <c r="S222" s="53"/>
      <c r="T222" s="53"/>
    </row>
    <row r="223" spans="1:20" ht="24" hidden="1" x14ac:dyDescent="0.25">
      <c r="A223" s="76">
        <v>5234</v>
      </c>
      <c r="B223" s="127" t="s">
        <v>239</v>
      </c>
      <c r="C223" s="279">
        <f t="shared" si="26"/>
        <v>0</v>
      </c>
      <c r="D223" s="134"/>
      <c r="E223" s="285"/>
      <c r="F223" s="286">
        <f t="shared" si="30"/>
        <v>0</v>
      </c>
      <c r="G223" s="134"/>
      <c r="H223" s="135"/>
      <c r="I223" s="136">
        <f t="shared" si="31"/>
        <v>0</v>
      </c>
      <c r="J223" s="134"/>
      <c r="K223" s="135"/>
      <c r="L223" s="136">
        <f t="shared" si="32"/>
        <v>0</v>
      </c>
      <c r="M223" s="284"/>
      <c r="N223" s="285"/>
      <c r="O223" s="136">
        <f t="shared" si="33"/>
        <v>0</v>
      </c>
      <c r="P223" s="85"/>
      <c r="R223" s="53"/>
      <c r="S223" s="53"/>
      <c r="T223" s="53"/>
    </row>
    <row r="224" spans="1:20" hidden="1" x14ac:dyDescent="0.25">
      <c r="A224" s="76">
        <v>5236</v>
      </c>
      <c r="B224" s="127" t="s">
        <v>240</v>
      </c>
      <c r="C224" s="279">
        <f t="shared" si="26"/>
        <v>0</v>
      </c>
      <c r="D224" s="134"/>
      <c r="E224" s="285"/>
      <c r="F224" s="286">
        <f t="shared" si="30"/>
        <v>0</v>
      </c>
      <c r="G224" s="134"/>
      <c r="H224" s="135"/>
      <c r="I224" s="136">
        <f t="shared" si="31"/>
        <v>0</v>
      </c>
      <c r="J224" s="134"/>
      <c r="K224" s="135"/>
      <c r="L224" s="136">
        <f t="shared" si="32"/>
        <v>0</v>
      </c>
      <c r="M224" s="284"/>
      <c r="N224" s="285"/>
      <c r="O224" s="136">
        <f t="shared" si="33"/>
        <v>0</v>
      </c>
      <c r="P224" s="85"/>
      <c r="R224" s="53"/>
      <c r="S224" s="53"/>
      <c r="T224" s="53"/>
    </row>
    <row r="225" spans="1:20" hidden="1" x14ac:dyDescent="0.25">
      <c r="A225" s="76">
        <v>5237</v>
      </c>
      <c r="B225" s="127" t="s">
        <v>241</v>
      </c>
      <c r="C225" s="279">
        <f t="shared" si="26"/>
        <v>0</v>
      </c>
      <c r="D225" s="134"/>
      <c r="E225" s="285"/>
      <c r="F225" s="286">
        <f t="shared" si="30"/>
        <v>0</v>
      </c>
      <c r="G225" s="134"/>
      <c r="H225" s="135"/>
      <c r="I225" s="136">
        <f t="shared" si="31"/>
        <v>0</v>
      </c>
      <c r="J225" s="134"/>
      <c r="K225" s="135"/>
      <c r="L225" s="136">
        <f t="shared" si="32"/>
        <v>0</v>
      </c>
      <c r="M225" s="284"/>
      <c r="N225" s="285"/>
      <c r="O225" s="136">
        <f t="shared" si="33"/>
        <v>0</v>
      </c>
      <c r="P225" s="85"/>
      <c r="R225" s="53"/>
      <c r="S225" s="53"/>
      <c r="T225" s="53"/>
    </row>
    <row r="226" spans="1:20" ht="24" hidden="1" x14ac:dyDescent="0.25">
      <c r="A226" s="76">
        <v>5238</v>
      </c>
      <c r="B226" s="127" t="s">
        <v>242</v>
      </c>
      <c r="C226" s="279">
        <f t="shared" si="26"/>
        <v>0</v>
      </c>
      <c r="D226" s="134"/>
      <c r="E226" s="285"/>
      <c r="F226" s="286">
        <f t="shared" si="30"/>
        <v>0</v>
      </c>
      <c r="G226" s="134"/>
      <c r="H226" s="135"/>
      <c r="I226" s="136">
        <f t="shared" si="31"/>
        <v>0</v>
      </c>
      <c r="J226" s="134"/>
      <c r="K226" s="135"/>
      <c r="L226" s="136">
        <f t="shared" si="32"/>
        <v>0</v>
      </c>
      <c r="M226" s="284"/>
      <c r="N226" s="285"/>
      <c r="O226" s="136">
        <f t="shared" si="33"/>
        <v>0</v>
      </c>
      <c r="P226" s="85"/>
      <c r="R226" s="53"/>
      <c r="S226" s="53"/>
      <c r="T226" s="53"/>
    </row>
    <row r="227" spans="1:20" ht="24" hidden="1" x14ac:dyDescent="0.25">
      <c r="A227" s="76">
        <v>5239</v>
      </c>
      <c r="B227" s="127" t="s">
        <v>243</v>
      </c>
      <c r="C227" s="279">
        <f t="shared" si="26"/>
        <v>0</v>
      </c>
      <c r="D227" s="134"/>
      <c r="E227" s="285"/>
      <c r="F227" s="286">
        <f t="shared" si="30"/>
        <v>0</v>
      </c>
      <c r="G227" s="134"/>
      <c r="H227" s="135"/>
      <c r="I227" s="136">
        <f t="shared" si="31"/>
        <v>0</v>
      </c>
      <c r="J227" s="134"/>
      <c r="K227" s="135"/>
      <c r="L227" s="136">
        <f t="shared" si="32"/>
        <v>0</v>
      </c>
      <c r="M227" s="284"/>
      <c r="N227" s="285"/>
      <c r="O227" s="136">
        <f t="shared" si="33"/>
        <v>0</v>
      </c>
      <c r="P227" s="85"/>
      <c r="R227" s="53"/>
      <c r="S227" s="53"/>
      <c r="T227" s="53"/>
    </row>
    <row r="228" spans="1:20" ht="24" hidden="1" x14ac:dyDescent="0.25">
      <c r="A228" s="276">
        <v>5240</v>
      </c>
      <c r="B228" s="127" t="s">
        <v>244</v>
      </c>
      <c r="C228" s="279">
        <f t="shared" si="26"/>
        <v>0</v>
      </c>
      <c r="D228" s="134"/>
      <c r="E228" s="285"/>
      <c r="F228" s="286">
        <f t="shared" si="30"/>
        <v>0</v>
      </c>
      <c r="G228" s="134"/>
      <c r="H228" s="135"/>
      <c r="I228" s="136">
        <f t="shared" si="31"/>
        <v>0</v>
      </c>
      <c r="J228" s="134"/>
      <c r="K228" s="135"/>
      <c r="L228" s="136">
        <f t="shared" si="32"/>
        <v>0</v>
      </c>
      <c r="M228" s="284"/>
      <c r="N228" s="285"/>
      <c r="O228" s="136">
        <f t="shared" si="33"/>
        <v>0</v>
      </c>
      <c r="P228" s="85"/>
      <c r="R228" s="53"/>
      <c r="S228" s="53"/>
      <c r="T228" s="53"/>
    </row>
    <row r="229" spans="1:20" x14ac:dyDescent="0.25">
      <c r="A229" s="276">
        <v>5250</v>
      </c>
      <c r="B229" s="127" t="s">
        <v>245</v>
      </c>
      <c r="C229" s="279">
        <f t="shared" si="26"/>
        <v>914</v>
      </c>
      <c r="D229" s="134">
        <v>914</v>
      </c>
      <c r="E229" s="283"/>
      <c r="F229" s="279">
        <f t="shared" si="30"/>
        <v>914</v>
      </c>
      <c r="G229" s="134"/>
      <c r="H229" s="135"/>
      <c r="I229" s="136">
        <f t="shared" si="31"/>
        <v>0</v>
      </c>
      <c r="J229" s="134"/>
      <c r="K229" s="135"/>
      <c r="L229" s="136">
        <f t="shared" si="32"/>
        <v>0</v>
      </c>
      <c r="M229" s="284"/>
      <c r="N229" s="285"/>
      <c r="O229" s="136">
        <f t="shared" si="33"/>
        <v>0</v>
      </c>
      <c r="P229" s="85"/>
      <c r="R229" s="53"/>
      <c r="S229" s="53"/>
      <c r="T229" s="53"/>
    </row>
    <row r="230" spans="1:20" hidden="1" x14ac:dyDescent="0.25">
      <c r="A230" s="276">
        <v>5260</v>
      </c>
      <c r="B230" s="127" t="s">
        <v>246</v>
      </c>
      <c r="C230" s="279">
        <f t="shared" si="26"/>
        <v>0</v>
      </c>
      <c r="D230" s="277">
        <f>SUM(D231)</f>
        <v>0</v>
      </c>
      <c r="E230" s="282">
        <f>SUM(E231)</f>
        <v>0</v>
      </c>
      <c r="F230" s="286">
        <f t="shared" si="30"/>
        <v>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c r="R230" s="53"/>
      <c r="S230" s="53"/>
      <c r="T230" s="53"/>
    </row>
    <row r="231" spans="1:20" ht="24" hidden="1" x14ac:dyDescent="0.25">
      <c r="A231" s="76">
        <v>5269</v>
      </c>
      <c r="B231" s="127" t="s">
        <v>247</v>
      </c>
      <c r="C231" s="279">
        <f t="shared" si="26"/>
        <v>0</v>
      </c>
      <c r="D231" s="134"/>
      <c r="E231" s="285"/>
      <c r="F231" s="286">
        <f t="shared" si="30"/>
        <v>0</v>
      </c>
      <c r="G231" s="134"/>
      <c r="H231" s="135"/>
      <c r="I231" s="136">
        <f t="shared" si="31"/>
        <v>0</v>
      </c>
      <c r="J231" s="134"/>
      <c r="K231" s="135"/>
      <c r="L231" s="136">
        <f t="shared" si="32"/>
        <v>0</v>
      </c>
      <c r="M231" s="284"/>
      <c r="N231" s="285"/>
      <c r="O231" s="136">
        <f t="shared" si="33"/>
        <v>0</v>
      </c>
      <c r="P231" s="85"/>
      <c r="R231" s="53"/>
      <c r="S231" s="53"/>
      <c r="T231" s="53"/>
    </row>
    <row r="232" spans="1:20" ht="24" hidden="1" x14ac:dyDescent="0.25">
      <c r="A232" s="254">
        <v>5270</v>
      </c>
      <c r="B232" s="179" t="s">
        <v>248</v>
      </c>
      <c r="C232" s="302">
        <f t="shared" si="26"/>
        <v>0</v>
      </c>
      <c r="D232" s="287"/>
      <c r="E232" s="291"/>
      <c r="F232" s="310">
        <f t="shared" si="30"/>
        <v>0</v>
      </c>
      <c r="G232" s="287"/>
      <c r="H232" s="289"/>
      <c r="I232" s="259">
        <f t="shared" si="31"/>
        <v>0</v>
      </c>
      <c r="J232" s="287"/>
      <c r="K232" s="289"/>
      <c r="L232" s="259">
        <f t="shared" si="32"/>
        <v>0</v>
      </c>
      <c r="M232" s="290"/>
      <c r="N232" s="291"/>
      <c r="O232" s="259">
        <f t="shared" si="33"/>
        <v>0</v>
      </c>
      <c r="P232" s="189"/>
      <c r="R232" s="53"/>
      <c r="S232" s="53"/>
      <c r="T232" s="53"/>
    </row>
    <row r="233" spans="1:20" hidden="1" x14ac:dyDescent="0.25">
      <c r="A233" s="237">
        <v>6000</v>
      </c>
      <c r="B233" s="237" t="s">
        <v>249</v>
      </c>
      <c r="C233" s="238">
        <f t="shared" si="26"/>
        <v>0</v>
      </c>
      <c r="D233" s="239">
        <f>D234+D254+D261</f>
        <v>0</v>
      </c>
      <c r="E233" s="245">
        <f>E234+E254+E261</f>
        <v>0</v>
      </c>
      <c r="F233" s="320">
        <f t="shared" si="30"/>
        <v>0</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c r="R233" s="53"/>
      <c r="S233" s="53"/>
      <c r="T233" s="53"/>
    </row>
    <row r="234" spans="1:20"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c r="R234" s="53"/>
      <c r="S234" s="53"/>
      <c r="T234" s="53"/>
    </row>
    <row r="235" spans="1:20" ht="24" hidden="1" x14ac:dyDescent="0.25">
      <c r="A235" s="656">
        <v>6220</v>
      </c>
      <c r="B235" s="116" t="s">
        <v>251</v>
      </c>
      <c r="C235" s="298">
        <f t="shared" si="26"/>
        <v>0</v>
      </c>
      <c r="D235" s="123"/>
      <c r="E235" s="262"/>
      <c r="F235" s="263">
        <f t="shared" si="30"/>
        <v>0</v>
      </c>
      <c r="G235" s="123"/>
      <c r="H235" s="124"/>
      <c r="I235" s="125">
        <f t="shared" si="31"/>
        <v>0</v>
      </c>
      <c r="J235" s="123"/>
      <c r="K235" s="124"/>
      <c r="L235" s="125">
        <f t="shared" si="32"/>
        <v>0</v>
      </c>
      <c r="M235" s="264"/>
      <c r="N235" s="262"/>
      <c r="O235" s="125">
        <f t="shared" si="33"/>
        <v>0</v>
      </c>
      <c r="P235" s="74"/>
      <c r="R235" s="53"/>
      <c r="S235" s="53"/>
      <c r="T235" s="53"/>
    </row>
    <row r="236" spans="1:20" hidden="1" x14ac:dyDescent="0.25">
      <c r="A236" s="276">
        <v>6230</v>
      </c>
      <c r="B236" s="127" t="s">
        <v>252</v>
      </c>
      <c r="C236" s="278">
        <f t="shared" si="26"/>
        <v>0</v>
      </c>
      <c r="D236" s="277">
        <f>SUM(D237)</f>
        <v>0</v>
      </c>
      <c r="E236" s="280">
        <f>SUM(E237)</f>
        <v>0</v>
      </c>
      <c r="F236" s="28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c r="R236" s="53"/>
      <c r="S236" s="53"/>
      <c r="T236" s="53"/>
    </row>
    <row r="237" spans="1:20" ht="24" hidden="1" x14ac:dyDescent="0.25">
      <c r="A237" s="76">
        <v>6239</v>
      </c>
      <c r="B237" s="116" t="s">
        <v>253</v>
      </c>
      <c r="C237" s="278">
        <f t="shared" si="26"/>
        <v>0</v>
      </c>
      <c r="D237" s="134"/>
      <c r="E237" s="285"/>
      <c r="F237" s="286">
        <f t="shared" si="30"/>
        <v>0</v>
      </c>
      <c r="G237" s="134"/>
      <c r="H237" s="135"/>
      <c r="I237" s="136">
        <f t="shared" si="31"/>
        <v>0</v>
      </c>
      <c r="J237" s="134"/>
      <c r="K237" s="135"/>
      <c r="L237" s="136">
        <f t="shared" si="32"/>
        <v>0</v>
      </c>
      <c r="M237" s="284"/>
      <c r="N237" s="285"/>
      <c r="O237" s="136">
        <f t="shared" si="33"/>
        <v>0</v>
      </c>
      <c r="P237" s="85"/>
      <c r="R237" s="53"/>
      <c r="S237" s="53"/>
      <c r="T237" s="53"/>
    </row>
    <row r="238" spans="1:20" ht="24" hidden="1" x14ac:dyDescent="0.25">
      <c r="A238" s="276">
        <v>6240</v>
      </c>
      <c r="B238" s="127" t="s">
        <v>254</v>
      </c>
      <c r="C238" s="278">
        <f t="shared" si="26"/>
        <v>0</v>
      </c>
      <c r="D238" s="277">
        <f>SUM(D239:D240)</f>
        <v>0</v>
      </c>
      <c r="E238" s="282">
        <f>SUM(E239:E240)</f>
        <v>0</v>
      </c>
      <c r="F238" s="28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c r="R238" s="53"/>
      <c r="S238" s="53"/>
      <c r="T238" s="53"/>
    </row>
    <row r="239" spans="1:20" hidden="1" x14ac:dyDescent="0.25">
      <c r="A239" s="76">
        <v>6241</v>
      </c>
      <c r="B239" s="127" t="s">
        <v>255</v>
      </c>
      <c r="C239" s="278">
        <f t="shared" si="26"/>
        <v>0</v>
      </c>
      <c r="D239" s="134"/>
      <c r="E239" s="285"/>
      <c r="F239" s="286">
        <f t="shared" si="30"/>
        <v>0</v>
      </c>
      <c r="G239" s="134"/>
      <c r="H239" s="135"/>
      <c r="I239" s="136">
        <f t="shared" si="31"/>
        <v>0</v>
      </c>
      <c r="J239" s="134"/>
      <c r="K239" s="135"/>
      <c r="L239" s="136">
        <f t="shared" si="32"/>
        <v>0</v>
      </c>
      <c r="M239" s="284"/>
      <c r="N239" s="285"/>
      <c r="O239" s="136">
        <f t="shared" si="33"/>
        <v>0</v>
      </c>
      <c r="P239" s="85"/>
      <c r="R239" s="53"/>
      <c r="S239" s="53"/>
      <c r="T239" s="53"/>
    </row>
    <row r="240" spans="1:20" hidden="1" x14ac:dyDescent="0.25">
      <c r="A240" s="76">
        <v>6242</v>
      </c>
      <c r="B240" s="127" t="s">
        <v>256</v>
      </c>
      <c r="C240" s="278">
        <f t="shared" si="26"/>
        <v>0</v>
      </c>
      <c r="D240" s="134"/>
      <c r="E240" s="285"/>
      <c r="F240" s="286">
        <f t="shared" si="30"/>
        <v>0</v>
      </c>
      <c r="G240" s="134"/>
      <c r="H240" s="135"/>
      <c r="I240" s="136">
        <f t="shared" si="31"/>
        <v>0</v>
      </c>
      <c r="J240" s="134"/>
      <c r="K240" s="135"/>
      <c r="L240" s="136">
        <f t="shared" si="32"/>
        <v>0</v>
      </c>
      <c r="M240" s="284"/>
      <c r="N240" s="285"/>
      <c r="O240" s="136">
        <f t="shared" si="33"/>
        <v>0</v>
      </c>
      <c r="P240" s="85"/>
      <c r="R240" s="53"/>
      <c r="S240" s="53"/>
      <c r="T240" s="53"/>
    </row>
    <row r="241" spans="1:20" ht="24" hidden="1" x14ac:dyDescent="0.25">
      <c r="A241" s="276">
        <v>6250</v>
      </c>
      <c r="B241" s="127" t="s">
        <v>257</v>
      </c>
      <c r="C241" s="278">
        <f t="shared" si="26"/>
        <v>0</v>
      </c>
      <c r="D241" s="277">
        <f>SUM(D242:D246)</f>
        <v>0</v>
      </c>
      <c r="E241" s="282">
        <f>SUM(E242:E246)</f>
        <v>0</v>
      </c>
      <c r="F241" s="28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c r="R241" s="53"/>
      <c r="S241" s="53"/>
      <c r="T241" s="53"/>
    </row>
    <row r="242" spans="1:20" hidden="1" x14ac:dyDescent="0.25">
      <c r="A242" s="76">
        <v>6252</v>
      </c>
      <c r="B242" s="127" t="s">
        <v>258</v>
      </c>
      <c r="C242" s="278">
        <f t="shared" si="26"/>
        <v>0</v>
      </c>
      <c r="D242" s="134"/>
      <c r="E242" s="285"/>
      <c r="F242" s="286">
        <f t="shared" si="30"/>
        <v>0</v>
      </c>
      <c r="G242" s="134"/>
      <c r="H242" s="135"/>
      <c r="I242" s="136">
        <f t="shared" si="31"/>
        <v>0</v>
      </c>
      <c r="J242" s="134"/>
      <c r="K242" s="135"/>
      <c r="L242" s="136">
        <f t="shared" si="32"/>
        <v>0</v>
      </c>
      <c r="M242" s="284"/>
      <c r="N242" s="285"/>
      <c r="O242" s="136">
        <f t="shared" si="33"/>
        <v>0</v>
      </c>
      <c r="P242" s="85"/>
      <c r="R242" s="53"/>
      <c r="S242" s="53"/>
      <c r="T242" s="53"/>
    </row>
    <row r="243" spans="1:20" hidden="1" x14ac:dyDescent="0.25">
      <c r="A243" s="76">
        <v>6253</v>
      </c>
      <c r="B243" s="127" t="s">
        <v>259</v>
      </c>
      <c r="C243" s="278">
        <f t="shared" si="26"/>
        <v>0</v>
      </c>
      <c r="D243" s="134"/>
      <c r="E243" s="285"/>
      <c r="F243" s="286">
        <f t="shared" si="30"/>
        <v>0</v>
      </c>
      <c r="G243" s="134"/>
      <c r="H243" s="135"/>
      <c r="I243" s="136">
        <f t="shared" si="31"/>
        <v>0</v>
      </c>
      <c r="J243" s="134"/>
      <c r="K243" s="135"/>
      <c r="L243" s="136">
        <f t="shared" si="32"/>
        <v>0</v>
      </c>
      <c r="M243" s="284"/>
      <c r="N243" s="285"/>
      <c r="O243" s="136">
        <f t="shared" si="33"/>
        <v>0</v>
      </c>
      <c r="P243" s="85"/>
      <c r="R243" s="53"/>
      <c r="S243" s="53"/>
      <c r="T243" s="53"/>
    </row>
    <row r="244" spans="1:20" ht="24" hidden="1" x14ac:dyDescent="0.25">
      <c r="A244" s="76">
        <v>6254</v>
      </c>
      <c r="B244" s="127" t="s">
        <v>260</v>
      </c>
      <c r="C244" s="278">
        <f t="shared" si="26"/>
        <v>0</v>
      </c>
      <c r="D244" s="134"/>
      <c r="E244" s="285"/>
      <c r="F244" s="286">
        <f t="shared" si="30"/>
        <v>0</v>
      </c>
      <c r="G244" s="134"/>
      <c r="H244" s="135"/>
      <c r="I244" s="136">
        <f t="shared" si="31"/>
        <v>0</v>
      </c>
      <c r="J244" s="134"/>
      <c r="K244" s="135"/>
      <c r="L244" s="136">
        <f t="shared" si="32"/>
        <v>0</v>
      </c>
      <c r="M244" s="284"/>
      <c r="N244" s="285"/>
      <c r="O244" s="136">
        <f t="shared" si="33"/>
        <v>0</v>
      </c>
      <c r="P244" s="85"/>
      <c r="R244" s="53"/>
      <c r="S244" s="53"/>
      <c r="T244" s="53"/>
    </row>
    <row r="245" spans="1:20" ht="24" hidden="1" x14ac:dyDescent="0.25">
      <c r="A245" s="76">
        <v>6255</v>
      </c>
      <c r="B245" s="127" t="s">
        <v>261</v>
      </c>
      <c r="C245" s="278">
        <f t="shared" si="26"/>
        <v>0</v>
      </c>
      <c r="D245" s="134"/>
      <c r="E245" s="285"/>
      <c r="F245" s="286">
        <f t="shared" si="30"/>
        <v>0</v>
      </c>
      <c r="G245" s="134"/>
      <c r="H245" s="135"/>
      <c r="I245" s="136">
        <f t="shared" si="31"/>
        <v>0</v>
      </c>
      <c r="J245" s="134"/>
      <c r="K245" s="135"/>
      <c r="L245" s="136">
        <f t="shared" si="32"/>
        <v>0</v>
      </c>
      <c r="M245" s="284"/>
      <c r="N245" s="285"/>
      <c r="O245" s="136">
        <f t="shared" si="33"/>
        <v>0</v>
      </c>
      <c r="P245" s="85"/>
      <c r="R245" s="53"/>
      <c r="S245" s="53"/>
      <c r="T245" s="53"/>
    </row>
    <row r="246" spans="1:20" hidden="1" x14ac:dyDescent="0.25">
      <c r="A246" s="76">
        <v>6259</v>
      </c>
      <c r="B246" s="127" t="s">
        <v>262</v>
      </c>
      <c r="C246" s="278">
        <f t="shared" si="26"/>
        <v>0</v>
      </c>
      <c r="D246" s="134"/>
      <c r="E246" s="285"/>
      <c r="F246" s="286">
        <f t="shared" si="30"/>
        <v>0</v>
      </c>
      <c r="G246" s="134"/>
      <c r="H246" s="135"/>
      <c r="I246" s="136">
        <f t="shared" si="31"/>
        <v>0</v>
      </c>
      <c r="J246" s="134"/>
      <c r="K246" s="135"/>
      <c r="L246" s="136">
        <f t="shared" si="32"/>
        <v>0</v>
      </c>
      <c r="M246" s="284"/>
      <c r="N246" s="285"/>
      <c r="O246" s="136">
        <f t="shared" si="33"/>
        <v>0</v>
      </c>
      <c r="P246" s="85"/>
      <c r="R246" s="53"/>
      <c r="S246" s="53"/>
      <c r="T246" s="53"/>
    </row>
    <row r="247" spans="1:20" ht="24" hidden="1" x14ac:dyDescent="0.25">
      <c r="A247" s="276">
        <v>6260</v>
      </c>
      <c r="B247" s="127" t="s">
        <v>263</v>
      </c>
      <c r="C247" s="278">
        <f t="shared" si="26"/>
        <v>0</v>
      </c>
      <c r="D247" s="134"/>
      <c r="E247" s="285"/>
      <c r="F247" s="286">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c r="R247" s="53"/>
      <c r="S247" s="53"/>
      <c r="T247" s="53"/>
    </row>
    <row r="248" spans="1:20" hidden="1" x14ac:dyDescent="0.25">
      <c r="A248" s="276">
        <v>6270</v>
      </c>
      <c r="B248" s="127" t="s">
        <v>264</v>
      </c>
      <c r="C248" s="278">
        <f t="shared" si="26"/>
        <v>0</v>
      </c>
      <c r="D248" s="134"/>
      <c r="E248" s="285"/>
      <c r="F248" s="286">
        <f t="shared" si="37"/>
        <v>0</v>
      </c>
      <c r="G248" s="134"/>
      <c r="H248" s="135"/>
      <c r="I248" s="136">
        <f t="shared" si="38"/>
        <v>0</v>
      </c>
      <c r="J248" s="134"/>
      <c r="K248" s="135"/>
      <c r="L248" s="136">
        <f t="shared" si="39"/>
        <v>0</v>
      </c>
      <c r="M248" s="284"/>
      <c r="N248" s="285"/>
      <c r="O248" s="136">
        <f t="shared" si="40"/>
        <v>0</v>
      </c>
      <c r="P248" s="85"/>
      <c r="R248" s="53"/>
      <c r="S248" s="53"/>
      <c r="T248" s="53"/>
    </row>
    <row r="249" spans="1:20" ht="24" hidden="1" x14ac:dyDescent="0.25">
      <c r="A249" s="656">
        <v>6290</v>
      </c>
      <c r="B249" s="116" t="s">
        <v>265</v>
      </c>
      <c r="C249" s="278">
        <f t="shared" si="26"/>
        <v>0</v>
      </c>
      <c r="D249" s="297">
        <f>SUM(D250:D253)</f>
        <v>0</v>
      </c>
      <c r="E249" s="301">
        <f>SUM(E250:E253)</f>
        <v>0</v>
      </c>
      <c r="F249" s="263">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c r="R249" s="53"/>
      <c r="S249" s="53"/>
      <c r="T249" s="53"/>
    </row>
    <row r="250" spans="1:20" hidden="1" x14ac:dyDescent="0.25">
      <c r="A250" s="76">
        <v>6291</v>
      </c>
      <c r="B250" s="127" t="s">
        <v>266</v>
      </c>
      <c r="C250" s="278">
        <f t="shared" si="26"/>
        <v>0</v>
      </c>
      <c r="D250" s="134"/>
      <c r="E250" s="285"/>
      <c r="F250" s="286">
        <f t="shared" si="37"/>
        <v>0</v>
      </c>
      <c r="G250" s="134"/>
      <c r="H250" s="135"/>
      <c r="I250" s="136">
        <f t="shared" si="38"/>
        <v>0</v>
      </c>
      <c r="J250" s="134"/>
      <c r="K250" s="135"/>
      <c r="L250" s="136">
        <f t="shared" si="39"/>
        <v>0</v>
      </c>
      <c r="M250" s="284"/>
      <c r="N250" s="285"/>
      <c r="O250" s="136">
        <f t="shared" si="40"/>
        <v>0</v>
      </c>
      <c r="P250" s="85"/>
      <c r="R250" s="53"/>
      <c r="S250" s="53"/>
      <c r="T250" s="53"/>
    </row>
    <row r="251" spans="1:20" hidden="1" x14ac:dyDescent="0.25">
      <c r="A251" s="76">
        <v>6292</v>
      </c>
      <c r="B251" s="127" t="s">
        <v>267</v>
      </c>
      <c r="C251" s="278">
        <f t="shared" si="26"/>
        <v>0</v>
      </c>
      <c r="D251" s="134"/>
      <c r="E251" s="285"/>
      <c r="F251" s="286">
        <f t="shared" si="37"/>
        <v>0</v>
      </c>
      <c r="G251" s="134"/>
      <c r="H251" s="135"/>
      <c r="I251" s="136">
        <f t="shared" si="38"/>
        <v>0</v>
      </c>
      <c r="J251" s="134"/>
      <c r="K251" s="135"/>
      <c r="L251" s="136">
        <f t="shared" si="39"/>
        <v>0</v>
      </c>
      <c r="M251" s="284"/>
      <c r="N251" s="285"/>
      <c r="O251" s="136">
        <f t="shared" si="40"/>
        <v>0</v>
      </c>
      <c r="P251" s="85"/>
      <c r="R251" s="53"/>
      <c r="S251" s="53"/>
      <c r="T251" s="53"/>
    </row>
    <row r="252" spans="1:20" ht="72" hidden="1" x14ac:dyDescent="0.25">
      <c r="A252" s="76">
        <v>6296</v>
      </c>
      <c r="B252" s="127" t="s">
        <v>268</v>
      </c>
      <c r="C252" s="278">
        <f t="shared" si="26"/>
        <v>0</v>
      </c>
      <c r="D252" s="134"/>
      <c r="E252" s="285"/>
      <c r="F252" s="286">
        <f t="shared" si="37"/>
        <v>0</v>
      </c>
      <c r="G252" s="134"/>
      <c r="H252" s="135"/>
      <c r="I252" s="136">
        <f t="shared" si="38"/>
        <v>0</v>
      </c>
      <c r="J252" s="134"/>
      <c r="K252" s="135"/>
      <c r="L252" s="136">
        <f t="shared" si="39"/>
        <v>0</v>
      </c>
      <c r="M252" s="284"/>
      <c r="N252" s="285"/>
      <c r="O252" s="136">
        <f t="shared" si="40"/>
        <v>0</v>
      </c>
      <c r="P252" s="85"/>
      <c r="R252" s="53"/>
      <c r="S252" s="53"/>
      <c r="T252" s="53"/>
    </row>
    <row r="253" spans="1:20" ht="36" hidden="1" x14ac:dyDescent="0.25">
      <c r="A253" s="76">
        <v>6299</v>
      </c>
      <c r="B253" s="127" t="s">
        <v>269</v>
      </c>
      <c r="C253" s="278">
        <f t="shared" si="26"/>
        <v>0</v>
      </c>
      <c r="D253" s="134"/>
      <c r="E253" s="285"/>
      <c r="F253" s="286">
        <f t="shared" si="37"/>
        <v>0</v>
      </c>
      <c r="G253" s="134"/>
      <c r="H253" s="135"/>
      <c r="I253" s="136">
        <f t="shared" si="38"/>
        <v>0</v>
      </c>
      <c r="J253" s="134"/>
      <c r="K253" s="135"/>
      <c r="L253" s="136">
        <f t="shared" si="39"/>
        <v>0</v>
      </c>
      <c r="M253" s="284"/>
      <c r="N253" s="285"/>
      <c r="O253" s="136">
        <f t="shared" si="40"/>
        <v>0</v>
      </c>
      <c r="P253" s="85"/>
      <c r="R253" s="53"/>
      <c r="S253" s="53"/>
      <c r="T253" s="53"/>
    </row>
    <row r="254" spans="1:20" hidden="1" x14ac:dyDescent="0.25">
      <c r="A254" s="99">
        <v>6300</v>
      </c>
      <c r="B254" s="247" t="s">
        <v>270</v>
      </c>
      <c r="C254" s="100">
        <f t="shared" si="26"/>
        <v>0</v>
      </c>
      <c r="D254" s="112">
        <f>SUM(D255,D259,D260)</f>
        <v>0</v>
      </c>
      <c r="E254" s="293">
        <f>SUM(E255,E259,E260)</f>
        <v>0</v>
      </c>
      <c r="F254" s="313">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c r="R254" s="53"/>
      <c r="S254" s="53"/>
      <c r="T254" s="53"/>
    </row>
    <row r="255" spans="1:20" ht="24" hidden="1" x14ac:dyDescent="0.25">
      <c r="A255" s="656">
        <v>6320</v>
      </c>
      <c r="B255" s="116" t="s">
        <v>271</v>
      </c>
      <c r="C255" s="322">
        <f t="shared" si="26"/>
        <v>0</v>
      </c>
      <c r="D255" s="297">
        <f>SUM(D256:D258)</f>
        <v>0</v>
      </c>
      <c r="E255" s="301">
        <f>SUM(E256:E258)</f>
        <v>0</v>
      </c>
      <c r="F255" s="263">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c r="R255" s="53"/>
      <c r="S255" s="53"/>
      <c r="T255" s="53"/>
    </row>
    <row r="256" spans="1:20" hidden="1" x14ac:dyDescent="0.25">
      <c r="A256" s="76">
        <v>6322</v>
      </c>
      <c r="B256" s="127" t="s">
        <v>272</v>
      </c>
      <c r="C256" s="281">
        <f t="shared" si="26"/>
        <v>0</v>
      </c>
      <c r="D256" s="134"/>
      <c r="E256" s="285"/>
      <c r="F256" s="286">
        <f t="shared" si="37"/>
        <v>0</v>
      </c>
      <c r="G256" s="134"/>
      <c r="H256" s="135"/>
      <c r="I256" s="136">
        <f t="shared" si="38"/>
        <v>0</v>
      </c>
      <c r="J256" s="134"/>
      <c r="K256" s="135"/>
      <c r="L256" s="136">
        <f t="shared" si="39"/>
        <v>0</v>
      </c>
      <c r="M256" s="284"/>
      <c r="N256" s="285"/>
      <c r="O256" s="136">
        <f t="shared" si="40"/>
        <v>0</v>
      </c>
      <c r="P256" s="85"/>
      <c r="R256" s="53"/>
      <c r="S256" s="53"/>
      <c r="T256" s="53"/>
    </row>
    <row r="257" spans="1:20" ht="24" hidden="1" x14ac:dyDescent="0.25">
      <c r="A257" s="76">
        <v>6323</v>
      </c>
      <c r="B257" s="127" t="s">
        <v>273</v>
      </c>
      <c r="C257" s="281">
        <f t="shared" si="26"/>
        <v>0</v>
      </c>
      <c r="D257" s="134"/>
      <c r="E257" s="285"/>
      <c r="F257" s="286">
        <f t="shared" si="37"/>
        <v>0</v>
      </c>
      <c r="G257" s="134"/>
      <c r="H257" s="135"/>
      <c r="I257" s="136">
        <f t="shared" si="38"/>
        <v>0</v>
      </c>
      <c r="J257" s="134"/>
      <c r="K257" s="135"/>
      <c r="L257" s="136">
        <f t="shared" si="39"/>
        <v>0</v>
      </c>
      <c r="M257" s="284"/>
      <c r="N257" s="285"/>
      <c r="O257" s="136">
        <f t="shared" si="40"/>
        <v>0</v>
      </c>
      <c r="P257" s="85"/>
      <c r="R257" s="53"/>
      <c r="S257" s="53"/>
      <c r="T257" s="53"/>
    </row>
    <row r="258" spans="1:20" ht="24" hidden="1" x14ac:dyDescent="0.25">
      <c r="A258" s="66">
        <v>6324</v>
      </c>
      <c r="B258" s="116" t="s">
        <v>274</v>
      </c>
      <c r="C258" s="281">
        <f t="shared" si="26"/>
        <v>0</v>
      </c>
      <c r="D258" s="123"/>
      <c r="E258" s="262"/>
      <c r="F258" s="263">
        <f t="shared" si="37"/>
        <v>0</v>
      </c>
      <c r="G258" s="123"/>
      <c r="H258" s="124"/>
      <c r="I258" s="125">
        <f t="shared" si="38"/>
        <v>0</v>
      </c>
      <c r="J258" s="123"/>
      <c r="K258" s="124"/>
      <c r="L258" s="125">
        <f t="shared" si="39"/>
        <v>0</v>
      </c>
      <c r="M258" s="264"/>
      <c r="N258" s="262"/>
      <c r="O258" s="125">
        <f t="shared" si="40"/>
        <v>0</v>
      </c>
      <c r="P258" s="74"/>
      <c r="R258" s="53"/>
      <c r="S258" s="53"/>
      <c r="T258" s="53"/>
    </row>
    <row r="259" spans="1:20" ht="24" hidden="1" x14ac:dyDescent="0.25">
      <c r="A259" s="344">
        <v>6330</v>
      </c>
      <c r="B259" s="345" t="s">
        <v>275</v>
      </c>
      <c r="C259" s="281">
        <f t="shared" ref="C259:C286" si="50">F259+I259+L259+O259</f>
        <v>0</v>
      </c>
      <c r="D259" s="328"/>
      <c r="E259" s="329"/>
      <c r="F259" s="330">
        <f t="shared" si="37"/>
        <v>0</v>
      </c>
      <c r="G259" s="328"/>
      <c r="H259" s="331"/>
      <c r="I259" s="324">
        <f t="shared" si="38"/>
        <v>0</v>
      </c>
      <c r="J259" s="328"/>
      <c r="K259" s="331"/>
      <c r="L259" s="324">
        <f t="shared" si="39"/>
        <v>0</v>
      </c>
      <c r="M259" s="332"/>
      <c r="N259" s="329"/>
      <c r="O259" s="324">
        <f t="shared" si="40"/>
        <v>0</v>
      </c>
      <c r="P259" s="325"/>
      <c r="R259" s="53"/>
      <c r="S259" s="53"/>
      <c r="T259" s="53"/>
    </row>
    <row r="260" spans="1:20" hidden="1" x14ac:dyDescent="0.25">
      <c r="A260" s="276">
        <v>6360</v>
      </c>
      <c r="B260" s="127" t="s">
        <v>276</v>
      </c>
      <c r="C260" s="281">
        <f t="shared" si="50"/>
        <v>0</v>
      </c>
      <c r="D260" s="134"/>
      <c r="E260" s="285"/>
      <c r="F260" s="286">
        <f t="shared" si="37"/>
        <v>0</v>
      </c>
      <c r="G260" s="134"/>
      <c r="H260" s="135"/>
      <c r="I260" s="136">
        <f t="shared" si="38"/>
        <v>0</v>
      </c>
      <c r="J260" s="134"/>
      <c r="K260" s="135"/>
      <c r="L260" s="136">
        <f t="shared" si="39"/>
        <v>0</v>
      </c>
      <c r="M260" s="284"/>
      <c r="N260" s="285"/>
      <c r="O260" s="136">
        <f t="shared" si="40"/>
        <v>0</v>
      </c>
      <c r="P260" s="85"/>
      <c r="R260" s="53"/>
      <c r="S260" s="53"/>
      <c r="T260" s="53"/>
    </row>
    <row r="261" spans="1:20" ht="36" hidden="1" x14ac:dyDescent="0.25">
      <c r="A261" s="99">
        <v>6400</v>
      </c>
      <c r="B261" s="247" t="s">
        <v>277</v>
      </c>
      <c r="C261" s="100">
        <f t="shared" si="50"/>
        <v>0</v>
      </c>
      <c r="D261" s="112">
        <f>SUM(D262,D266)</f>
        <v>0</v>
      </c>
      <c r="E261" s="293">
        <f>SUM(E262,E266)</f>
        <v>0</v>
      </c>
      <c r="F261" s="313">
        <f t="shared" si="37"/>
        <v>0</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c r="R261" s="53"/>
      <c r="S261" s="53"/>
      <c r="T261" s="53"/>
    </row>
    <row r="262" spans="1:20" ht="24" hidden="1" x14ac:dyDescent="0.25">
      <c r="A262" s="656">
        <v>6410</v>
      </c>
      <c r="B262" s="116" t="s">
        <v>278</v>
      </c>
      <c r="C262" s="300">
        <f t="shared" si="50"/>
        <v>0</v>
      </c>
      <c r="D262" s="297">
        <f>SUM(D263:D265)</f>
        <v>0</v>
      </c>
      <c r="E262" s="301">
        <f>SUM(E263:E265)</f>
        <v>0</v>
      </c>
      <c r="F262" s="263">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c r="R262" s="53"/>
      <c r="S262" s="53"/>
      <c r="T262" s="53"/>
    </row>
    <row r="263" spans="1:20" hidden="1" x14ac:dyDescent="0.25">
      <c r="A263" s="76">
        <v>6411</v>
      </c>
      <c r="B263" s="346" t="s">
        <v>279</v>
      </c>
      <c r="C263" s="278">
        <f t="shared" si="50"/>
        <v>0</v>
      </c>
      <c r="D263" s="134"/>
      <c r="E263" s="285"/>
      <c r="F263" s="286">
        <f t="shared" si="37"/>
        <v>0</v>
      </c>
      <c r="G263" s="134"/>
      <c r="H263" s="135"/>
      <c r="I263" s="136">
        <f t="shared" si="38"/>
        <v>0</v>
      </c>
      <c r="J263" s="134"/>
      <c r="K263" s="135"/>
      <c r="L263" s="136">
        <f t="shared" si="39"/>
        <v>0</v>
      </c>
      <c r="M263" s="284"/>
      <c r="N263" s="285"/>
      <c r="O263" s="136">
        <f t="shared" si="40"/>
        <v>0</v>
      </c>
      <c r="P263" s="85"/>
      <c r="R263" s="53"/>
      <c r="S263" s="53"/>
      <c r="T263" s="53"/>
    </row>
    <row r="264" spans="1:20" ht="36" hidden="1" x14ac:dyDescent="0.25">
      <c r="A264" s="76">
        <v>6412</v>
      </c>
      <c r="B264" s="127" t="s">
        <v>280</v>
      </c>
      <c r="C264" s="278">
        <f t="shared" si="50"/>
        <v>0</v>
      </c>
      <c r="D264" s="134"/>
      <c r="E264" s="285"/>
      <c r="F264" s="286">
        <f t="shared" si="37"/>
        <v>0</v>
      </c>
      <c r="G264" s="134"/>
      <c r="H264" s="135"/>
      <c r="I264" s="136">
        <f t="shared" si="38"/>
        <v>0</v>
      </c>
      <c r="J264" s="134"/>
      <c r="K264" s="135"/>
      <c r="L264" s="136">
        <f t="shared" si="39"/>
        <v>0</v>
      </c>
      <c r="M264" s="284"/>
      <c r="N264" s="285"/>
      <c r="O264" s="136">
        <f t="shared" si="40"/>
        <v>0</v>
      </c>
      <c r="P264" s="85"/>
      <c r="R264" s="53"/>
      <c r="S264" s="53"/>
      <c r="T264" s="53"/>
    </row>
    <row r="265" spans="1:20" ht="36" hidden="1" x14ac:dyDescent="0.25">
      <c r="A265" s="76">
        <v>6419</v>
      </c>
      <c r="B265" s="127" t="s">
        <v>281</v>
      </c>
      <c r="C265" s="278">
        <f t="shared" si="50"/>
        <v>0</v>
      </c>
      <c r="D265" s="134"/>
      <c r="E265" s="285"/>
      <c r="F265" s="286">
        <f t="shared" si="37"/>
        <v>0</v>
      </c>
      <c r="G265" s="134"/>
      <c r="H265" s="135"/>
      <c r="I265" s="136">
        <f t="shared" si="38"/>
        <v>0</v>
      </c>
      <c r="J265" s="134"/>
      <c r="K265" s="135"/>
      <c r="L265" s="136">
        <f t="shared" si="39"/>
        <v>0</v>
      </c>
      <c r="M265" s="284"/>
      <c r="N265" s="285"/>
      <c r="O265" s="136">
        <f t="shared" si="40"/>
        <v>0</v>
      </c>
      <c r="P265" s="85"/>
      <c r="R265" s="53"/>
      <c r="S265" s="53"/>
      <c r="T265" s="53"/>
    </row>
    <row r="266" spans="1:20" ht="36" hidden="1" x14ac:dyDescent="0.25">
      <c r="A266" s="276">
        <v>6420</v>
      </c>
      <c r="B266" s="127" t="s">
        <v>282</v>
      </c>
      <c r="C266" s="278">
        <f t="shared" si="50"/>
        <v>0</v>
      </c>
      <c r="D266" s="277">
        <f>SUM(D267:D270)</f>
        <v>0</v>
      </c>
      <c r="E266" s="282">
        <f>SUM(E267:E270)</f>
        <v>0</v>
      </c>
      <c r="F266" s="286">
        <f t="shared" si="37"/>
        <v>0</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c r="R266" s="53"/>
      <c r="S266" s="53"/>
      <c r="T266" s="53"/>
    </row>
    <row r="267" spans="1:20" hidden="1" x14ac:dyDescent="0.25">
      <c r="A267" s="76">
        <v>6421</v>
      </c>
      <c r="B267" s="127" t="s">
        <v>283</v>
      </c>
      <c r="C267" s="278">
        <f t="shared" si="50"/>
        <v>0</v>
      </c>
      <c r="D267" s="134"/>
      <c r="E267" s="285"/>
      <c r="F267" s="286">
        <f t="shared" si="37"/>
        <v>0</v>
      </c>
      <c r="G267" s="134"/>
      <c r="H267" s="135"/>
      <c r="I267" s="136">
        <f t="shared" si="38"/>
        <v>0</v>
      </c>
      <c r="J267" s="134"/>
      <c r="K267" s="135"/>
      <c r="L267" s="136">
        <f t="shared" si="39"/>
        <v>0</v>
      </c>
      <c r="M267" s="284"/>
      <c r="N267" s="285"/>
      <c r="O267" s="136">
        <f t="shared" si="40"/>
        <v>0</v>
      </c>
      <c r="P267" s="85"/>
      <c r="R267" s="53"/>
      <c r="S267" s="53"/>
      <c r="T267" s="53"/>
    </row>
    <row r="268" spans="1:20" hidden="1" x14ac:dyDescent="0.25">
      <c r="A268" s="76">
        <v>6422</v>
      </c>
      <c r="B268" s="127" t="s">
        <v>284</v>
      </c>
      <c r="C268" s="278">
        <f t="shared" si="50"/>
        <v>0</v>
      </c>
      <c r="D268" s="134"/>
      <c r="E268" s="285"/>
      <c r="F268" s="286">
        <f t="shared" si="37"/>
        <v>0</v>
      </c>
      <c r="G268" s="134"/>
      <c r="H268" s="135"/>
      <c r="I268" s="136">
        <f t="shared" si="38"/>
        <v>0</v>
      </c>
      <c r="J268" s="134"/>
      <c r="K268" s="135"/>
      <c r="L268" s="136">
        <f t="shared" si="39"/>
        <v>0</v>
      </c>
      <c r="M268" s="284"/>
      <c r="N268" s="285"/>
      <c r="O268" s="136">
        <f t="shared" si="40"/>
        <v>0</v>
      </c>
      <c r="P268" s="85"/>
      <c r="R268" s="53"/>
      <c r="S268" s="53"/>
      <c r="T268" s="53"/>
    </row>
    <row r="269" spans="1:20" ht="24" hidden="1" x14ac:dyDescent="0.25">
      <c r="A269" s="76">
        <v>6423</v>
      </c>
      <c r="B269" s="127" t="s">
        <v>285</v>
      </c>
      <c r="C269" s="278">
        <f t="shared" si="50"/>
        <v>0</v>
      </c>
      <c r="D269" s="134"/>
      <c r="E269" s="285"/>
      <c r="F269" s="286">
        <f t="shared" si="37"/>
        <v>0</v>
      </c>
      <c r="G269" s="134"/>
      <c r="H269" s="135"/>
      <c r="I269" s="136">
        <f t="shared" si="38"/>
        <v>0</v>
      </c>
      <c r="J269" s="134"/>
      <c r="K269" s="135"/>
      <c r="L269" s="136">
        <f t="shared" si="39"/>
        <v>0</v>
      </c>
      <c r="M269" s="284"/>
      <c r="N269" s="285"/>
      <c r="O269" s="136">
        <f t="shared" si="40"/>
        <v>0</v>
      </c>
      <c r="P269" s="85"/>
      <c r="R269" s="53"/>
      <c r="S269" s="53"/>
      <c r="T269" s="53"/>
    </row>
    <row r="270" spans="1:20" ht="36" hidden="1" x14ac:dyDescent="0.25">
      <c r="A270" s="76">
        <v>6424</v>
      </c>
      <c r="B270" s="127" t="s">
        <v>286</v>
      </c>
      <c r="C270" s="278">
        <f t="shared" si="50"/>
        <v>0</v>
      </c>
      <c r="D270" s="134"/>
      <c r="E270" s="285"/>
      <c r="F270" s="286">
        <f t="shared" si="37"/>
        <v>0</v>
      </c>
      <c r="G270" s="134"/>
      <c r="H270" s="135"/>
      <c r="I270" s="136">
        <f t="shared" si="38"/>
        <v>0</v>
      </c>
      <c r="J270" s="134"/>
      <c r="K270" s="135"/>
      <c r="L270" s="136">
        <f t="shared" si="39"/>
        <v>0</v>
      </c>
      <c r="M270" s="284"/>
      <c r="N270" s="285"/>
      <c r="O270" s="136">
        <f t="shared" si="40"/>
        <v>0</v>
      </c>
      <c r="P270" s="85"/>
      <c r="R270" s="53"/>
      <c r="S270" s="53"/>
      <c r="T270" s="53"/>
    </row>
    <row r="271" spans="1:20" ht="36" x14ac:dyDescent="0.25">
      <c r="A271" s="347">
        <v>7000</v>
      </c>
      <c r="B271" s="347" t="s">
        <v>287</v>
      </c>
      <c r="C271" s="348">
        <f t="shared" si="50"/>
        <v>37</v>
      </c>
      <c r="D271" s="349">
        <f>SUM(D272,D282)</f>
        <v>0</v>
      </c>
      <c r="E271" s="350">
        <f>SUM(E272,E282)</f>
        <v>0</v>
      </c>
      <c r="F271" s="351">
        <f t="shared" si="37"/>
        <v>0</v>
      </c>
      <c r="G271" s="349">
        <f>SUM(G272,G282)</f>
        <v>0</v>
      </c>
      <c r="H271" s="352">
        <f>SUM(H272,H282)</f>
        <v>0</v>
      </c>
      <c r="I271" s="353">
        <f t="shared" si="38"/>
        <v>0</v>
      </c>
      <c r="J271" s="349">
        <f>SUM(J272,J282)</f>
        <v>37</v>
      </c>
      <c r="K271" s="352">
        <f>SUM(K272,K282)</f>
        <v>0</v>
      </c>
      <c r="L271" s="353">
        <f t="shared" si="39"/>
        <v>37</v>
      </c>
      <c r="M271" s="354">
        <f>SUM(M272,M282)</f>
        <v>0</v>
      </c>
      <c r="N271" s="355">
        <f>SUM(N272,N282)</f>
        <v>0</v>
      </c>
      <c r="O271" s="356">
        <f t="shared" si="40"/>
        <v>0</v>
      </c>
      <c r="P271" s="357"/>
      <c r="R271" s="53"/>
      <c r="S271" s="53"/>
      <c r="T271" s="53"/>
    </row>
    <row r="272" spans="1:20" ht="24" x14ac:dyDescent="0.25">
      <c r="A272" s="99">
        <v>7200</v>
      </c>
      <c r="B272" s="247" t="s">
        <v>288</v>
      </c>
      <c r="C272" s="100">
        <f t="shared" si="50"/>
        <v>37</v>
      </c>
      <c r="D272" s="112">
        <f>SUM(D273,D274,D277,D278,D281)</f>
        <v>0</v>
      </c>
      <c r="E272" s="248">
        <f>SUM(E273,E274,E277,E278,E281)</f>
        <v>0</v>
      </c>
      <c r="F272" s="249">
        <f t="shared" si="37"/>
        <v>0</v>
      </c>
      <c r="G272" s="112">
        <f>SUM(G273,G274,G277,G278,G281)</f>
        <v>0</v>
      </c>
      <c r="H272" s="113">
        <f>SUM(H273,H274,H277,H278,H281)</f>
        <v>0</v>
      </c>
      <c r="I272" s="114">
        <f t="shared" si="38"/>
        <v>0</v>
      </c>
      <c r="J272" s="112">
        <f>SUM(J273,J274,J277,J278,J281)</f>
        <v>37</v>
      </c>
      <c r="K272" s="113">
        <f>SUM(K273,K274,K277,K278,K281)</f>
        <v>0</v>
      </c>
      <c r="L272" s="114">
        <f t="shared" si="39"/>
        <v>37</v>
      </c>
      <c r="M272" s="250">
        <f>SUM(M273,M274,M277,M278,M281)</f>
        <v>0</v>
      </c>
      <c r="N272" s="251">
        <f>SUM(N273,N274,N277,N278,N281)</f>
        <v>0</v>
      </c>
      <c r="O272" s="252">
        <f t="shared" si="40"/>
        <v>0</v>
      </c>
      <c r="P272" s="253"/>
      <c r="R272" s="53"/>
      <c r="S272" s="53"/>
      <c r="T272" s="53"/>
    </row>
    <row r="273" spans="1:20" ht="24" hidden="1" x14ac:dyDescent="0.25">
      <c r="A273" s="656">
        <v>7210</v>
      </c>
      <c r="B273" s="116" t="s">
        <v>289</v>
      </c>
      <c r="C273" s="117">
        <f t="shared" si="50"/>
        <v>0</v>
      </c>
      <c r="D273" s="123"/>
      <c r="E273" s="262"/>
      <c r="F273" s="263">
        <f t="shared" si="37"/>
        <v>0</v>
      </c>
      <c r="G273" s="123"/>
      <c r="H273" s="124"/>
      <c r="I273" s="125">
        <f t="shared" si="38"/>
        <v>0</v>
      </c>
      <c r="J273" s="123"/>
      <c r="K273" s="124"/>
      <c r="L273" s="125">
        <f t="shared" si="39"/>
        <v>0</v>
      </c>
      <c r="M273" s="264"/>
      <c r="N273" s="262"/>
      <c r="O273" s="125">
        <f t="shared" si="40"/>
        <v>0</v>
      </c>
      <c r="P273" s="74"/>
      <c r="R273" s="53"/>
      <c r="S273" s="53"/>
      <c r="T273" s="53"/>
    </row>
    <row r="274" spans="1:20" s="358" customFormat="1" ht="36" hidden="1" x14ac:dyDescent="0.25">
      <c r="A274" s="276">
        <v>7220</v>
      </c>
      <c r="B274" s="127" t="s">
        <v>290</v>
      </c>
      <c r="C274" s="128">
        <f t="shared" si="50"/>
        <v>0</v>
      </c>
      <c r="D274" s="277">
        <f>SUM(D275:D276)</f>
        <v>0</v>
      </c>
      <c r="E274" s="282">
        <f>SUM(E275:E276)</f>
        <v>0</v>
      </c>
      <c r="F274" s="28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c r="R274" s="53"/>
      <c r="S274" s="53"/>
      <c r="T274" s="53"/>
    </row>
    <row r="275" spans="1:20" s="358" customFormat="1" ht="36" hidden="1" x14ac:dyDescent="0.25">
      <c r="A275" s="76">
        <v>7221</v>
      </c>
      <c r="B275" s="127" t="s">
        <v>291</v>
      </c>
      <c r="C275" s="128">
        <f t="shared" si="50"/>
        <v>0</v>
      </c>
      <c r="D275" s="134"/>
      <c r="E275" s="285"/>
      <c r="F275" s="286">
        <f t="shared" si="37"/>
        <v>0</v>
      </c>
      <c r="G275" s="134"/>
      <c r="H275" s="135"/>
      <c r="I275" s="136">
        <f t="shared" si="38"/>
        <v>0</v>
      </c>
      <c r="J275" s="134"/>
      <c r="K275" s="135"/>
      <c r="L275" s="136">
        <f t="shared" si="39"/>
        <v>0</v>
      </c>
      <c r="M275" s="284"/>
      <c r="N275" s="285"/>
      <c r="O275" s="136">
        <f t="shared" si="40"/>
        <v>0</v>
      </c>
      <c r="P275" s="85"/>
      <c r="R275" s="53"/>
      <c r="S275" s="53"/>
      <c r="T275" s="53"/>
    </row>
    <row r="276" spans="1:20" s="358" customFormat="1" ht="36" hidden="1" x14ac:dyDescent="0.25">
      <c r="A276" s="76">
        <v>7222</v>
      </c>
      <c r="B276" s="127" t="s">
        <v>292</v>
      </c>
      <c r="C276" s="128">
        <f t="shared" si="50"/>
        <v>0</v>
      </c>
      <c r="D276" s="134"/>
      <c r="E276" s="285"/>
      <c r="F276" s="286">
        <f t="shared" si="37"/>
        <v>0</v>
      </c>
      <c r="G276" s="134"/>
      <c r="H276" s="135"/>
      <c r="I276" s="136">
        <f t="shared" si="38"/>
        <v>0</v>
      </c>
      <c r="J276" s="134"/>
      <c r="K276" s="135"/>
      <c r="L276" s="136">
        <f t="shared" si="39"/>
        <v>0</v>
      </c>
      <c r="M276" s="284"/>
      <c r="N276" s="285"/>
      <c r="O276" s="136">
        <f t="shared" si="40"/>
        <v>0</v>
      </c>
      <c r="P276" s="85"/>
      <c r="R276" s="53"/>
      <c r="S276" s="53"/>
      <c r="T276" s="53"/>
    </row>
    <row r="277" spans="1:20" s="358" customFormat="1" ht="24" x14ac:dyDescent="0.25">
      <c r="A277" s="276">
        <v>7230</v>
      </c>
      <c r="B277" s="127" t="s">
        <v>293</v>
      </c>
      <c r="C277" s="128">
        <f t="shared" si="50"/>
        <v>37</v>
      </c>
      <c r="D277" s="134"/>
      <c r="E277" s="283"/>
      <c r="F277" s="279">
        <f t="shared" si="37"/>
        <v>0</v>
      </c>
      <c r="G277" s="134"/>
      <c r="H277" s="135"/>
      <c r="I277" s="136">
        <f t="shared" si="38"/>
        <v>0</v>
      </c>
      <c r="J277" s="134">
        <v>37</v>
      </c>
      <c r="K277" s="135"/>
      <c r="L277" s="136">
        <f t="shared" si="39"/>
        <v>37</v>
      </c>
      <c r="M277" s="284"/>
      <c r="N277" s="285"/>
      <c r="O277" s="136">
        <f>M277+N277</f>
        <v>0</v>
      </c>
      <c r="P277" s="85"/>
      <c r="R277" s="53"/>
      <c r="S277" s="53"/>
      <c r="T277" s="53"/>
    </row>
    <row r="278" spans="1:20" ht="24" hidden="1" x14ac:dyDescent="0.25">
      <c r="A278" s="276">
        <v>7240</v>
      </c>
      <c r="B278" s="127" t="s">
        <v>294</v>
      </c>
      <c r="C278" s="128">
        <f t="shared" si="50"/>
        <v>0</v>
      </c>
      <c r="D278" s="277">
        <f>SUM(D279:D280)</f>
        <v>0</v>
      </c>
      <c r="E278" s="282">
        <f>SUM(E279:E280)</f>
        <v>0</v>
      </c>
      <c r="F278" s="28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c r="R278" s="53"/>
      <c r="S278" s="53"/>
      <c r="T278" s="53"/>
    </row>
    <row r="279" spans="1:20" ht="48" hidden="1" x14ac:dyDescent="0.25">
      <c r="A279" s="76">
        <v>7245</v>
      </c>
      <c r="B279" s="127" t="s">
        <v>295</v>
      </c>
      <c r="C279" s="128">
        <f t="shared" si="50"/>
        <v>0</v>
      </c>
      <c r="D279" s="134"/>
      <c r="E279" s="285"/>
      <c r="F279" s="286">
        <f t="shared" si="37"/>
        <v>0</v>
      </c>
      <c r="G279" s="134"/>
      <c r="H279" s="135"/>
      <c r="I279" s="136">
        <f t="shared" si="38"/>
        <v>0</v>
      </c>
      <c r="J279" s="134"/>
      <c r="K279" s="135"/>
      <c r="L279" s="136">
        <f t="shared" si="39"/>
        <v>0</v>
      </c>
      <c r="M279" s="284"/>
      <c r="N279" s="285"/>
      <c r="O279" s="136">
        <f t="shared" ref="O279:O282" si="57">M279+N279</f>
        <v>0</v>
      </c>
      <c r="P279" s="85"/>
      <c r="R279" s="53"/>
      <c r="S279" s="53"/>
      <c r="T279" s="53"/>
    </row>
    <row r="280" spans="1:20" ht="96" hidden="1" x14ac:dyDescent="0.25">
      <c r="A280" s="76">
        <v>7246</v>
      </c>
      <c r="B280" s="127" t="s">
        <v>296</v>
      </c>
      <c r="C280" s="128">
        <f t="shared" si="50"/>
        <v>0</v>
      </c>
      <c r="D280" s="134"/>
      <c r="E280" s="285"/>
      <c r="F280" s="286">
        <f t="shared" si="37"/>
        <v>0</v>
      </c>
      <c r="G280" s="134"/>
      <c r="H280" s="135"/>
      <c r="I280" s="136">
        <f t="shared" si="38"/>
        <v>0</v>
      </c>
      <c r="J280" s="134"/>
      <c r="K280" s="135"/>
      <c r="L280" s="136">
        <f t="shared" si="39"/>
        <v>0</v>
      </c>
      <c r="M280" s="284"/>
      <c r="N280" s="285"/>
      <c r="O280" s="136">
        <f t="shared" si="57"/>
        <v>0</v>
      </c>
      <c r="P280" s="85"/>
      <c r="R280" s="53"/>
      <c r="S280" s="53"/>
      <c r="T280" s="53"/>
    </row>
    <row r="281" spans="1:20" ht="24" hidden="1" x14ac:dyDescent="0.25">
      <c r="A281" s="276">
        <v>7260</v>
      </c>
      <c r="B281" s="127" t="s">
        <v>297</v>
      </c>
      <c r="C281" s="128">
        <f t="shared" si="50"/>
        <v>0</v>
      </c>
      <c r="D281" s="123"/>
      <c r="E281" s="262"/>
      <c r="F281" s="263">
        <f t="shared" si="37"/>
        <v>0</v>
      </c>
      <c r="G281" s="123"/>
      <c r="H281" s="124"/>
      <c r="I281" s="125">
        <f t="shared" si="38"/>
        <v>0</v>
      </c>
      <c r="J281" s="123"/>
      <c r="K281" s="124"/>
      <c r="L281" s="125">
        <f t="shared" si="39"/>
        <v>0</v>
      </c>
      <c r="M281" s="264"/>
      <c r="N281" s="262"/>
      <c r="O281" s="125">
        <f t="shared" si="57"/>
        <v>0</v>
      </c>
      <c r="P281" s="74"/>
      <c r="R281" s="53"/>
      <c r="S281" s="53"/>
      <c r="T281" s="53"/>
    </row>
    <row r="282" spans="1:20" hidden="1" x14ac:dyDescent="0.25">
      <c r="A282" s="99">
        <v>7700</v>
      </c>
      <c r="B282" s="247" t="s">
        <v>298</v>
      </c>
      <c r="C282" s="359">
        <f t="shared" si="50"/>
        <v>0</v>
      </c>
      <c r="D282" s="360">
        <f>D283</f>
        <v>0</v>
      </c>
      <c r="E282" s="304">
        <f>SUM(E283)</f>
        <v>0</v>
      </c>
      <c r="F282" s="316">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c r="R282" s="53"/>
      <c r="S282" s="53"/>
      <c r="T282" s="53"/>
    </row>
    <row r="283" spans="1:20" hidden="1" x14ac:dyDescent="0.25">
      <c r="A283" s="141">
        <v>7720</v>
      </c>
      <c r="B283" s="142" t="s">
        <v>299</v>
      </c>
      <c r="C283" s="362">
        <f t="shared" si="50"/>
        <v>0</v>
      </c>
      <c r="D283" s="149"/>
      <c r="E283" s="363"/>
      <c r="F283" s="364">
        <f t="shared" si="37"/>
        <v>0</v>
      </c>
      <c r="G283" s="149"/>
      <c r="H283" s="150"/>
      <c r="I283" s="151">
        <f t="shared" si="38"/>
        <v>0</v>
      </c>
      <c r="J283" s="149"/>
      <c r="K283" s="150"/>
      <c r="L283" s="151">
        <f t="shared" si="39"/>
        <v>0</v>
      </c>
      <c r="M283" s="365"/>
      <c r="N283" s="363"/>
      <c r="O283" s="151">
        <f>M283+N283</f>
        <v>0</v>
      </c>
      <c r="P283" s="153"/>
      <c r="R283" s="53"/>
      <c r="S283" s="53"/>
      <c r="T283" s="53"/>
    </row>
    <row r="284" spans="1:20" x14ac:dyDescent="0.25">
      <c r="A284" s="366"/>
      <c r="B284" s="179" t="s">
        <v>300</v>
      </c>
      <c r="C284" s="117">
        <f t="shared" si="50"/>
        <v>199</v>
      </c>
      <c r="D284" s="255">
        <f>SUM(D285:D286)</f>
        <v>0</v>
      </c>
      <c r="E284" s="256">
        <f>SUM(E285:E286)</f>
        <v>0</v>
      </c>
      <c r="F284" s="257">
        <f t="shared" si="37"/>
        <v>0</v>
      </c>
      <c r="G284" s="255">
        <f>SUM(G285:G286)</f>
        <v>0</v>
      </c>
      <c r="H284" s="258">
        <f>SUM(H285:H286)</f>
        <v>0</v>
      </c>
      <c r="I284" s="259">
        <f t="shared" si="38"/>
        <v>0</v>
      </c>
      <c r="J284" s="255">
        <f>SUM(J285:J286)</f>
        <v>199</v>
      </c>
      <c r="K284" s="258">
        <f>SUM(K285:K286)</f>
        <v>0</v>
      </c>
      <c r="L284" s="259">
        <f t="shared" si="39"/>
        <v>199</v>
      </c>
      <c r="M284" s="260">
        <f>SUM(M285:M286)</f>
        <v>0</v>
      </c>
      <c r="N284" s="261">
        <f>SUM(N285:N286)</f>
        <v>0</v>
      </c>
      <c r="O284" s="259">
        <f t="shared" ref="O284:O299" si="58">M284+N284</f>
        <v>0</v>
      </c>
      <c r="P284" s="189"/>
      <c r="R284" s="53"/>
      <c r="S284" s="53"/>
      <c r="T284" s="53"/>
    </row>
    <row r="285" spans="1:20" hidden="1" x14ac:dyDescent="0.25">
      <c r="A285" s="346" t="s">
        <v>301</v>
      </c>
      <c r="B285" s="76" t="s">
        <v>302</v>
      </c>
      <c r="C285" s="279">
        <f t="shared" si="50"/>
        <v>0</v>
      </c>
      <c r="D285" s="134"/>
      <c r="E285" s="285"/>
      <c r="F285" s="286">
        <f t="shared" si="37"/>
        <v>0</v>
      </c>
      <c r="G285" s="134"/>
      <c r="H285" s="135"/>
      <c r="I285" s="136">
        <f t="shared" si="38"/>
        <v>0</v>
      </c>
      <c r="J285" s="134"/>
      <c r="K285" s="135"/>
      <c r="L285" s="136">
        <f t="shared" si="39"/>
        <v>0</v>
      </c>
      <c r="M285" s="284"/>
      <c r="N285" s="285"/>
      <c r="O285" s="136">
        <f t="shared" si="58"/>
        <v>0</v>
      </c>
      <c r="P285" s="85"/>
      <c r="R285" s="53"/>
      <c r="S285" s="53"/>
      <c r="T285" s="53"/>
    </row>
    <row r="286" spans="1:20" ht="24" x14ac:dyDescent="0.25">
      <c r="A286" s="346" t="s">
        <v>303</v>
      </c>
      <c r="B286" s="367" t="s">
        <v>304</v>
      </c>
      <c r="C286" s="117">
        <f t="shared" si="50"/>
        <v>199</v>
      </c>
      <c r="D286" s="123"/>
      <c r="E286" s="295"/>
      <c r="F286" s="296">
        <f t="shared" si="37"/>
        <v>0</v>
      </c>
      <c r="G286" s="123"/>
      <c r="H286" s="124"/>
      <c r="I286" s="125">
        <f t="shared" si="38"/>
        <v>0</v>
      </c>
      <c r="J286" s="123">
        <v>199</v>
      </c>
      <c r="K286" s="124"/>
      <c r="L286" s="125">
        <f t="shared" si="39"/>
        <v>199</v>
      </c>
      <c r="M286" s="264"/>
      <c r="N286" s="262"/>
      <c r="O286" s="125">
        <f t="shared" si="58"/>
        <v>0</v>
      </c>
      <c r="P286" s="74"/>
      <c r="R286" s="53"/>
      <c r="S286" s="53"/>
      <c r="T286" s="53"/>
    </row>
    <row r="287" spans="1:20" x14ac:dyDescent="0.25">
      <c r="A287" s="368"/>
      <c r="B287" s="369" t="s">
        <v>305</v>
      </c>
      <c r="C287" s="370">
        <f>SUM(C284,C271,C233,C198,C190,C176,C78,C56)</f>
        <v>321647</v>
      </c>
      <c r="D287" s="371">
        <f>SUM(D284,D271,D233,D198,D190,D176,D78,D56)</f>
        <v>300455</v>
      </c>
      <c r="E287" s="372">
        <f>SUM(E284,E271,E233,E198,E190,E176,E78,E56)</f>
        <v>0</v>
      </c>
      <c r="F287" s="373">
        <f t="shared" si="37"/>
        <v>300455</v>
      </c>
      <c r="G287" s="371">
        <f>SUM(G284,G271,G233,G198,G190,G176,G78,G56)</f>
        <v>20521</v>
      </c>
      <c r="H287" s="374">
        <f>SUM(H284,H271,H233,H198,H190,H176,H78,H56)</f>
        <v>0</v>
      </c>
      <c r="I287" s="375">
        <f t="shared" si="38"/>
        <v>20521</v>
      </c>
      <c r="J287" s="371">
        <f>SUM(J284,J271,J233,J198,J190,J176,J78,J56)</f>
        <v>671</v>
      </c>
      <c r="K287" s="374">
        <f>SUM(K284,K271,K233,K198,K190,K176,K78,K56)</f>
        <v>0</v>
      </c>
      <c r="L287" s="375">
        <f t="shared" si="39"/>
        <v>671</v>
      </c>
      <c r="M287" s="250">
        <f>SUM(M284,M271,M233,M198,M190,M176,M78,M56)</f>
        <v>0</v>
      </c>
      <c r="N287" s="251">
        <f>SUM(N284,N271,N233,N198,N190,N176,N78,N56)</f>
        <v>0</v>
      </c>
      <c r="O287" s="252">
        <f t="shared" si="58"/>
        <v>0</v>
      </c>
      <c r="P287" s="253"/>
      <c r="R287" s="53"/>
      <c r="S287" s="53"/>
      <c r="T287" s="53"/>
    </row>
    <row r="288" spans="1:20" x14ac:dyDescent="0.25">
      <c r="A288" s="376" t="s">
        <v>306</v>
      </c>
      <c r="B288" s="377"/>
      <c r="C288" s="378">
        <f t="shared" ref="C288" si="59">F288+I288+L288+O288</f>
        <v>-212</v>
      </c>
      <c r="D288" s="379">
        <f>SUM(D28,D29,D45)-D54</f>
        <v>0</v>
      </c>
      <c r="E288" s="380">
        <f>SUM(E28,E29,E45)-E54</f>
        <v>0</v>
      </c>
      <c r="F288" s="381">
        <f t="shared" si="37"/>
        <v>0</v>
      </c>
      <c r="G288" s="379">
        <f>SUM(G28,G29,G45)-G54</f>
        <v>0</v>
      </c>
      <c r="H288" s="382">
        <f>SUM(H28,H29,H45)-H54</f>
        <v>0</v>
      </c>
      <c r="I288" s="383">
        <f t="shared" si="38"/>
        <v>0</v>
      </c>
      <c r="J288" s="379">
        <f>(J30+J46)-J54</f>
        <v>-212</v>
      </c>
      <c r="K288" s="382">
        <f>(K30+K46)-K54</f>
        <v>0</v>
      </c>
      <c r="L288" s="383">
        <f t="shared" si="39"/>
        <v>-212</v>
      </c>
      <c r="M288" s="378">
        <f>M48-M54</f>
        <v>0</v>
      </c>
      <c r="N288" s="384">
        <f>N48-N54</f>
        <v>0</v>
      </c>
      <c r="O288" s="383">
        <f t="shared" si="58"/>
        <v>0</v>
      </c>
      <c r="P288" s="385"/>
      <c r="R288" s="53"/>
      <c r="S288" s="53"/>
      <c r="T288" s="53"/>
    </row>
    <row r="289" spans="1:20" s="41" customFormat="1" x14ac:dyDescent="0.25">
      <c r="A289" s="376" t="s">
        <v>307</v>
      </c>
      <c r="B289" s="377"/>
      <c r="C289" s="380">
        <f>SUM(C290,C291)-C298+C299</f>
        <v>212</v>
      </c>
      <c r="D289" s="379">
        <f>SUM(D290,D291)-D298+D299</f>
        <v>0</v>
      </c>
      <c r="E289" s="380">
        <f>SUM(E290,E291)-E298+E299</f>
        <v>0</v>
      </c>
      <c r="F289" s="381">
        <f t="shared" si="37"/>
        <v>0</v>
      </c>
      <c r="G289" s="379">
        <f>SUM(G290,G291)-G298+G299</f>
        <v>0</v>
      </c>
      <c r="H289" s="382">
        <f>SUM(H290,H291)-H298+H299</f>
        <v>0</v>
      </c>
      <c r="I289" s="383">
        <f t="shared" si="38"/>
        <v>0</v>
      </c>
      <c r="J289" s="379">
        <f>SUM(J290,J291)-J298+J299</f>
        <v>212</v>
      </c>
      <c r="K289" s="382">
        <f>SUM(K290,K291)-K298+K299</f>
        <v>0</v>
      </c>
      <c r="L289" s="383">
        <f t="shared" si="39"/>
        <v>212</v>
      </c>
      <c r="M289" s="378">
        <f>SUM(M290,M291)-M298+M299</f>
        <v>0</v>
      </c>
      <c r="N289" s="384">
        <f>SUM(N290,N291)-N298+N299</f>
        <v>0</v>
      </c>
      <c r="O289" s="383">
        <f t="shared" si="58"/>
        <v>0</v>
      </c>
      <c r="P289" s="385"/>
      <c r="R289" s="53"/>
      <c r="S289" s="53"/>
      <c r="T289" s="53"/>
    </row>
    <row r="290" spans="1:20" s="41" customFormat="1" x14ac:dyDescent="0.25">
      <c r="A290" s="386" t="s">
        <v>308</v>
      </c>
      <c r="B290" s="386" t="s">
        <v>309</v>
      </c>
      <c r="C290" s="380">
        <f>C25-C284</f>
        <v>212</v>
      </c>
      <c r="D290" s="379">
        <f>D25-D284</f>
        <v>0</v>
      </c>
      <c r="E290" s="380">
        <f>E25-E284</f>
        <v>0</v>
      </c>
      <c r="F290" s="381">
        <f t="shared" si="37"/>
        <v>0</v>
      </c>
      <c r="G290" s="379">
        <f>G25-G284</f>
        <v>0</v>
      </c>
      <c r="H290" s="382">
        <f>H25-H284</f>
        <v>0</v>
      </c>
      <c r="I290" s="383">
        <f t="shared" si="38"/>
        <v>0</v>
      </c>
      <c r="J290" s="379">
        <f>J25-J284</f>
        <v>212</v>
      </c>
      <c r="K290" s="382">
        <f>K25-K284</f>
        <v>0</v>
      </c>
      <c r="L290" s="383">
        <f t="shared" si="39"/>
        <v>212</v>
      </c>
      <c r="M290" s="378">
        <f>M25-M284</f>
        <v>0</v>
      </c>
      <c r="N290" s="384">
        <f>N25-N284</f>
        <v>0</v>
      </c>
      <c r="O290" s="383">
        <f t="shared" si="58"/>
        <v>0</v>
      </c>
      <c r="P290" s="385"/>
      <c r="R290" s="53"/>
      <c r="S290" s="53"/>
      <c r="T290" s="53"/>
    </row>
    <row r="291" spans="1:20" s="41" customFormat="1" hidden="1" x14ac:dyDescent="0.25">
      <c r="A291" s="387" t="s">
        <v>310</v>
      </c>
      <c r="B291" s="387" t="s">
        <v>311</v>
      </c>
      <c r="C291" s="380">
        <f>SUM(C292,C294,C296)-SUM(C293,C295,C297)</f>
        <v>0</v>
      </c>
      <c r="D291" s="379">
        <f t="shared" ref="D291:E291" si="60">SUM(D292,D294,D296)-SUM(D293,D295,D297)</f>
        <v>0</v>
      </c>
      <c r="E291" s="384">
        <f t="shared" si="60"/>
        <v>0</v>
      </c>
      <c r="F291" s="388">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c r="R291" s="53"/>
      <c r="S291" s="53"/>
      <c r="T291" s="53"/>
    </row>
    <row r="292" spans="1:20" s="41" customFormat="1" hidden="1" x14ac:dyDescent="0.25">
      <c r="A292" s="366" t="s">
        <v>312</v>
      </c>
      <c r="B292" s="190" t="s">
        <v>313</v>
      </c>
      <c r="C292" s="143">
        <f t="shared" ref="C292:C299" si="64">F292+I292+L292+O292</f>
        <v>0</v>
      </c>
      <c r="D292" s="149"/>
      <c r="E292" s="363"/>
      <c r="F292" s="364">
        <f t="shared" si="37"/>
        <v>0</v>
      </c>
      <c r="G292" s="149"/>
      <c r="H292" s="150"/>
      <c r="I292" s="151">
        <f t="shared" si="38"/>
        <v>0</v>
      </c>
      <c r="J292" s="149"/>
      <c r="K292" s="150"/>
      <c r="L292" s="151">
        <f t="shared" si="39"/>
        <v>0</v>
      </c>
      <c r="M292" s="365"/>
      <c r="N292" s="363"/>
      <c r="O292" s="151">
        <f t="shared" si="58"/>
        <v>0</v>
      </c>
      <c r="P292" s="153"/>
      <c r="R292" s="53"/>
      <c r="S292" s="53"/>
      <c r="T292" s="53"/>
    </row>
    <row r="293" spans="1:20" ht="24" hidden="1" x14ac:dyDescent="0.25">
      <c r="A293" s="346" t="s">
        <v>314</v>
      </c>
      <c r="B293" s="75" t="s">
        <v>315</v>
      </c>
      <c r="C293" s="128">
        <f t="shared" si="64"/>
        <v>0</v>
      </c>
      <c r="D293" s="134"/>
      <c r="E293" s="285"/>
      <c r="F293" s="286">
        <f t="shared" si="37"/>
        <v>0</v>
      </c>
      <c r="G293" s="134"/>
      <c r="H293" s="135"/>
      <c r="I293" s="136">
        <f t="shared" si="38"/>
        <v>0</v>
      </c>
      <c r="J293" s="134"/>
      <c r="K293" s="135"/>
      <c r="L293" s="136">
        <f t="shared" si="39"/>
        <v>0</v>
      </c>
      <c r="M293" s="284"/>
      <c r="N293" s="285"/>
      <c r="O293" s="136">
        <f t="shared" si="58"/>
        <v>0</v>
      </c>
      <c r="P293" s="85"/>
      <c r="R293" s="53"/>
      <c r="S293" s="53"/>
      <c r="T293" s="53"/>
    </row>
    <row r="294" spans="1:20" hidden="1" x14ac:dyDescent="0.25">
      <c r="A294" s="346" t="s">
        <v>316</v>
      </c>
      <c r="B294" s="75" t="s">
        <v>317</v>
      </c>
      <c r="C294" s="128">
        <f t="shared" si="64"/>
        <v>0</v>
      </c>
      <c r="D294" s="134"/>
      <c r="E294" s="285"/>
      <c r="F294" s="286">
        <f t="shared" si="37"/>
        <v>0</v>
      </c>
      <c r="G294" s="134"/>
      <c r="H294" s="135"/>
      <c r="I294" s="136">
        <f t="shared" si="38"/>
        <v>0</v>
      </c>
      <c r="J294" s="134"/>
      <c r="K294" s="135"/>
      <c r="L294" s="136">
        <f t="shared" si="39"/>
        <v>0</v>
      </c>
      <c r="M294" s="284"/>
      <c r="N294" s="285"/>
      <c r="O294" s="136">
        <f t="shared" si="58"/>
        <v>0</v>
      </c>
      <c r="P294" s="85"/>
      <c r="R294" s="53"/>
      <c r="S294" s="53"/>
      <c r="T294" s="53"/>
    </row>
    <row r="295" spans="1:20" ht="24" hidden="1" x14ac:dyDescent="0.25">
      <c r="A295" s="346" t="s">
        <v>318</v>
      </c>
      <c r="B295" s="75" t="s">
        <v>319</v>
      </c>
      <c r="C295" s="128">
        <f t="shared" si="64"/>
        <v>0</v>
      </c>
      <c r="D295" s="134"/>
      <c r="E295" s="285"/>
      <c r="F295" s="286">
        <f t="shared" si="37"/>
        <v>0</v>
      </c>
      <c r="G295" s="134"/>
      <c r="H295" s="135"/>
      <c r="I295" s="136">
        <f t="shared" si="38"/>
        <v>0</v>
      </c>
      <c r="J295" s="134"/>
      <c r="K295" s="135"/>
      <c r="L295" s="136">
        <f t="shared" si="39"/>
        <v>0</v>
      </c>
      <c r="M295" s="284"/>
      <c r="N295" s="285"/>
      <c r="O295" s="136">
        <f t="shared" si="58"/>
        <v>0</v>
      </c>
      <c r="P295" s="85"/>
      <c r="R295" s="53"/>
      <c r="S295" s="53"/>
      <c r="T295" s="53"/>
    </row>
    <row r="296" spans="1:20" hidden="1" x14ac:dyDescent="0.25">
      <c r="A296" s="346" t="s">
        <v>320</v>
      </c>
      <c r="B296" s="75" t="s">
        <v>321</v>
      </c>
      <c r="C296" s="128">
        <f t="shared" si="64"/>
        <v>0</v>
      </c>
      <c r="D296" s="134"/>
      <c r="E296" s="285"/>
      <c r="F296" s="286">
        <f t="shared" si="37"/>
        <v>0</v>
      </c>
      <c r="G296" s="134"/>
      <c r="H296" s="135"/>
      <c r="I296" s="136">
        <f t="shared" si="38"/>
        <v>0</v>
      </c>
      <c r="J296" s="134"/>
      <c r="K296" s="135"/>
      <c r="L296" s="136">
        <f t="shared" si="39"/>
        <v>0</v>
      </c>
      <c r="M296" s="284"/>
      <c r="N296" s="285"/>
      <c r="O296" s="136">
        <f t="shared" si="58"/>
        <v>0</v>
      </c>
      <c r="P296" s="85"/>
      <c r="R296" s="53"/>
      <c r="S296" s="53"/>
      <c r="T296" s="53"/>
    </row>
    <row r="297" spans="1:20" ht="24" hidden="1" x14ac:dyDescent="0.25">
      <c r="A297" s="389" t="s">
        <v>322</v>
      </c>
      <c r="B297" s="390" t="s">
        <v>323</v>
      </c>
      <c r="C297" s="327">
        <f t="shared" si="64"/>
        <v>0</v>
      </c>
      <c r="D297" s="328"/>
      <c r="E297" s="329"/>
      <c r="F297" s="330">
        <f t="shared" si="37"/>
        <v>0</v>
      </c>
      <c r="G297" s="328"/>
      <c r="H297" s="331"/>
      <c r="I297" s="324">
        <f t="shared" si="38"/>
        <v>0</v>
      </c>
      <c r="J297" s="328"/>
      <c r="K297" s="331"/>
      <c r="L297" s="324">
        <f t="shared" si="39"/>
        <v>0</v>
      </c>
      <c r="M297" s="332"/>
      <c r="N297" s="329"/>
      <c r="O297" s="324">
        <f t="shared" si="58"/>
        <v>0</v>
      </c>
      <c r="P297" s="325"/>
      <c r="R297" s="53"/>
      <c r="S297" s="53"/>
      <c r="T297" s="53"/>
    </row>
    <row r="298" spans="1:20" hidden="1" x14ac:dyDescent="0.25">
      <c r="A298" s="387" t="s">
        <v>324</v>
      </c>
      <c r="B298" s="387" t="s">
        <v>325</v>
      </c>
      <c r="C298" s="391">
        <f t="shared" si="64"/>
        <v>0</v>
      </c>
      <c r="D298" s="392"/>
      <c r="E298" s="393"/>
      <c r="F298" s="388">
        <f t="shared" si="37"/>
        <v>0</v>
      </c>
      <c r="G298" s="392"/>
      <c r="H298" s="394"/>
      <c r="I298" s="383">
        <f t="shared" si="38"/>
        <v>0</v>
      </c>
      <c r="J298" s="392"/>
      <c r="K298" s="394"/>
      <c r="L298" s="383">
        <f t="shared" si="39"/>
        <v>0</v>
      </c>
      <c r="M298" s="395"/>
      <c r="N298" s="393"/>
      <c r="O298" s="383">
        <f t="shared" si="58"/>
        <v>0</v>
      </c>
      <c r="P298" s="385"/>
      <c r="R298" s="53"/>
      <c r="S298" s="53"/>
      <c r="T298" s="53"/>
    </row>
    <row r="299" spans="1:20" s="41" customFormat="1" ht="48" hidden="1" x14ac:dyDescent="0.25">
      <c r="A299" s="387" t="s">
        <v>326</v>
      </c>
      <c r="B299" s="396" t="s">
        <v>327</v>
      </c>
      <c r="C299" s="397">
        <f t="shared" si="64"/>
        <v>0</v>
      </c>
      <c r="D299" s="398"/>
      <c r="E299" s="399"/>
      <c r="F299" s="400">
        <f t="shared" si="37"/>
        <v>0</v>
      </c>
      <c r="G299" s="392"/>
      <c r="H299" s="394"/>
      <c r="I299" s="383">
        <f t="shared" si="38"/>
        <v>0</v>
      </c>
      <c r="J299" s="392"/>
      <c r="K299" s="394"/>
      <c r="L299" s="383">
        <f t="shared" si="39"/>
        <v>0</v>
      </c>
      <c r="M299" s="395"/>
      <c r="N299" s="393"/>
      <c r="O299" s="383">
        <f t="shared" si="58"/>
        <v>0</v>
      </c>
      <c r="P299" s="385"/>
      <c r="R299" s="53"/>
      <c r="S299" s="53"/>
      <c r="T299" s="53"/>
    </row>
    <row r="300" spans="1:20"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20" ht="12.75" thickBot="1" x14ac:dyDescent="0.3">
      <c r="A301" s="404"/>
      <c r="B301" s="405"/>
      <c r="C301" s="405"/>
      <c r="D301" s="405"/>
      <c r="E301" s="405"/>
      <c r="F301" s="405"/>
      <c r="G301" s="405"/>
      <c r="H301" s="405"/>
      <c r="I301" s="405"/>
      <c r="J301" s="405"/>
      <c r="K301" s="405"/>
      <c r="L301" s="405"/>
      <c r="M301" s="405"/>
      <c r="N301" s="405"/>
      <c r="O301" s="405"/>
      <c r="P301" s="406"/>
      <c r="Q301" s="7"/>
    </row>
    <row r="302" spans="1:20" x14ac:dyDescent="0.25">
      <c r="A302" s="5"/>
      <c r="B302" s="5"/>
      <c r="C302" s="5"/>
      <c r="D302" s="5"/>
      <c r="E302" s="5"/>
      <c r="F302" s="5"/>
      <c r="G302" s="5"/>
      <c r="H302" s="5"/>
      <c r="I302" s="5"/>
      <c r="J302" s="5"/>
      <c r="K302" s="5"/>
      <c r="L302" s="5"/>
      <c r="M302" s="5"/>
      <c r="N302" s="5"/>
      <c r="O302" s="5"/>
    </row>
    <row r="303" spans="1:20" x14ac:dyDescent="0.25">
      <c r="A303" s="5"/>
      <c r="B303" s="5"/>
      <c r="C303" s="5"/>
      <c r="D303" s="5"/>
      <c r="E303" s="5"/>
      <c r="F303" s="5"/>
      <c r="G303" s="5"/>
      <c r="H303" s="5"/>
      <c r="I303" s="5"/>
      <c r="J303" s="5"/>
      <c r="K303" s="5"/>
      <c r="L303" s="5"/>
      <c r="M303" s="5"/>
      <c r="N303" s="5"/>
      <c r="O303" s="5"/>
    </row>
    <row r="304" spans="1:20"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tSRp6cCn3Zn8U8fihv1eX0CQaxQkbDPdh5Q2zLDOPoqgH++p/xXfYVeg2856P2erEeEcPfhOjceGX9g3K64eQg==" saltValue="dbcJsqVXQfaoYNcQRpq56g==" spinCount="100000" sheet="1" objects="1" scenarios="1" selectLockedCells="1" selectUnlockedCells="1"/>
  <autoFilter ref="A22:P300">
    <filterColumn colId="2">
      <filters blank="1">
        <filter val="1 062"/>
        <filter val="1 125"/>
        <filter val="1 214"/>
        <filter val="1 251"/>
        <filter val="1 464"/>
        <filter val="1 865"/>
        <filter val="10 039"/>
        <filter val="12 893"/>
        <filter val="133"/>
        <filter val="136"/>
        <filter val="14 582"/>
        <filter val="150"/>
        <filter val="186 068"/>
        <filter val="199"/>
        <filter val="2 327"/>
        <filter val="2 489"/>
        <filter val="2 654"/>
        <filter val="209 047"/>
        <filter val="21 917"/>
        <filter val="212"/>
        <filter val="-212"/>
        <filter val="22"/>
        <filter val="223"/>
        <filter val="24"/>
        <filter val="255"/>
        <filter val="26 256"/>
        <filter val="26 629"/>
        <filter val="274 903"/>
        <filter val="3 748"/>
        <filter val="300"/>
        <filter val="320 197"/>
        <filter val="320 976"/>
        <filter val="321 448"/>
        <filter val="321 647"/>
        <filter val="327"/>
        <filter val="37"/>
        <filter val="373"/>
        <filter val="39 447"/>
        <filter val="411"/>
        <filter val="45 294"/>
        <filter val="490"/>
        <filter val="5"/>
        <filter val="5 679"/>
        <filter val="5 977"/>
        <filter val="50"/>
        <filter val="51 274"/>
        <filter val="56"/>
        <filter val="65 856"/>
        <filter val="670"/>
        <filter val="7 752"/>
        <filter val="72"/>
        <filter val="776"/>
        <filter val="84"/>
        <filter val="850"/>
        <filter val="853"/>
        <filter val="9 549"/>
        <filter val="90"/>
        <filter val="906"/>
        <filter val="914"/>
        <filter val="922"/>
        <filter val="924"/>
        <filter val="96"/>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94.pielikums Jūrmalas pilsētas domes
2017.gada 30.janvāra saistošajiem noteikumiem Nr.10
(Protokols Nr.4, 1.punkts) 
 </firstHeader>
    <firstFooter>&amp;L&amp;9&amp;D; &amp;T&amp;R&amp;9&amp;P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1"/>
  <sheetViews>
    <sheetView view="pageLayout" zoomScaleNormal="90" workbookViewId="0">
      <selection activeCell="S12" sqref="S12"/>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891</v>
      </c>
    </row>
    <row r="2" spans="1:17" ht="3.75" customHeight="1" x14ac:dyDescent="0.25">
      <c r="A2" s="6"/>
      <c r="B2" s="6"/>
      <c r="C2" s="6"/>
      <c r="D2" s="6"/>
      <c r="E2" s="6"/>
      <c r="F2" s="6"/>
      <c r="G2" s="6"/>
      <c r="H2" s="6"/>
      <c r="I2" s="6"/>
      <c r="J2" s="6"/>
      <c r="K2" s="6"/>
      <c r="L2" s="6"/>
      <c r="M2" s="6"/>
      <c r="N2" s="6"/>
      <c r="O2" s="6"/>
      <c r="P2" s="6"/>
    </row>
    <row r="3" spans="1:17" ht="6.75" customHeight="1" x14ac:dyDescent="0.25">
      <c r="A3" s="1557"/>
      <c r="B3" s="1558"/>
      <c r="C3" s="1558"/>
      <c r="D3" s="1558"/>
      <c r="E3" s="1558"/>
      <c r="F3" s="1558"/>
      <c r="G3" s="1558"/>
      <c r="H3" s="1558"/>
      <c r="I3" s="1558"/>
      <c r="J3" s="1558"/>
      <c r="K3" s="1558"/>
      <c r="L3" s="1558"/>
      <c r="M3" s="1558"/>
      <c r="N3" s="1558"/>
      <c r="O3" s="1558"/>
      <c r="P3" s="1559"/>
      <c r="Q3" s="7"/>
    </row>
    <row r="4" spans="1:17" ht="10.5" customHeight="1"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892</v>
      </c>
      <c r="D6" s="1555"/>
      <c r="E6" s="1555"/>
      <c r="F6" s="1555"/>
      <c r="G6" s="1555"/>
      <c r="H6" s="1555"/>
      <c r="I6" s="1555"/>
      <c r="J6" s="1555"/>
      <c r="K6" s="1555"/>
      <c r="L6" s="1555"/>
      <c r="M6" s="1555"/>
      <c r="N6" s="1555"/>
      <c r="O6" s="1555"/>
      <c r="P6" s="1556"/>
      <c r="Q6" s="7"/>
    </row>
    <row r="7" spans="1:17" ht="12.75" x14ac:dyDescent="0.25">
      <c r="A7" s="13" t="s">
        <v>4</v>
      </c>
      <c r="B7" s="14"/>
      <c r="C7" s="1555" t="s">
        <v>5</v>
      </c>
      <c r="D7" s="1555"/>
      <c r="E7" s="1555"/>
      <c r="F7" s="1555"/>
      <c r="G7" s="1555"/>
      <c r="H7" s="1555"/>
      <c r="I7" s="1555"/>
      <c r="J7" s="1555"/>
      <c r="K7" s="1555"/>
      <c r="L7" s="1555"/>
      <c r="M7" s="1555"/>
      <c r="N7" s="1555"/>
      <c r="O7" s="1555"/>
      <c r="P7" s="1556"/>
      <c r="Q7" s="7"/>
    </row>
    <row r="8" spans="1:17" x14ac:dyDescent="0.25">
      <c r="A8" s="8" t="s">
        <v>6</v>
      </c>
      <c r="B8" s="9"/>
      <c r="C8" s="1553" t="s">
        <v>893</v>
      </c>
      <c r="D8" s="1553"/>
      <c r="E8" s="1553"/>
      <c r="F8" s="1553"/>
      <c r="G8" s="1553"/>
      <c r="H8" s="1553"/>
      <c r="I8" s="1553"/>
      <c r="J8" s="1553"/>
      <c r="K8" s="1553"/>
      <c r="L8" s="1553"/>
      <c r="M8" s="1553"/>
      <c r="N8" s="1553"/>
      <c r="O8" s="1553"/>
      <c r="P8" s="1554"/>
      <c r="Q8" s="7"/>
    </row>
    <row r="9" spans="1:17" x14ac:dyDescent="0.25">
      <c r="A9" s="8" t="s">
        <v>8</v>
      </c>
      <c r="B9" s="9"/>
      <c r="C9" s="1553" t="s">
        <v>9</v>
      </c>
      <c r="D9" s="1553"/>
      <c r="E9" s="1553"/>
      <c r="F9" s="1553"/>
      <c r="G9" s="1553"/>
      <c r="H9" s="1553"/>
      <c r="I9" s="1553"/>
      <c r="J9" s="1553"/>
      <c r="K9" s="1553"/>
      <c r="L9" s="1553"/>
      <c r="M9" s="1553"/>
      <c r="N9" s="1553"/>
      <c r="O9" s="1553"/>
      <c r="P9" s="1554"/>
      <c r="Q9" s="7"/>
    </row>
    <row r="10" spans="1:17" x14ac:dyDescent="0.25">
      <c r="A10" s="8" t="s">
        <v>10</v>
      </c>
      <c r="B10" s="9"/>
      <c r="C10" s="1555" t="s">
        <v>11</v>
      </c>
      <c r="D10" s="1555"/>
      <c r="E10" s="1555"/>
      <c r="F10" s="1555"/>
      <c r="G10" s="1555"/>
      <c r="H10" s="1555"/>
      <c r="I10" s="1555"/>
      <c r="J10" s="1555"/>
      <c r="K10" s="1555"/>
      <c r="L10" s="1555"/>
      <c r="M10" s="1555"/>
      <c r="N10" s="1555"/>
      <c r="O10" s="1555"/>
      <c r="P10" s="1556"/>
      <c r="Q10" s="7"/>
    </row>
    <row r="11" spans="1:17" x14ac:dyDescent="0.25">
      <c r="A11" s="8" t="s">
        <v>12</v>
      </c>
      <c r="B11" s="9"/>
      <c r="C11" s="1555" t="s">
        <v>13</v>
      </c>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894</v>
      </c>
      <c r="D13" s="1553"/>
      <c r="E13" s="1553"/>
      <c r="F13" s="1553"/>
      <c r="G13" s="1553"/>
      <c r="H13" s="1553"/>
      <c r="I13" s="1553"/>
      <c r="J13" s="1553"/>
      <c r="K13" s="1553"/>
      <c r="L13" s="1553"/>
      <c r="M13" s="1553"/>
      <c r="N13" s="1553"/>
      <c r="O13" s="1553"/>
      <c r="P13" s="1554"/>
      <c r="Q13" s="7"/>
    </row>
    <row r="14" spans="1:17" x14ac:dyDescent="0.25">
      <c r="A14" s="8"/>
      <c r="B14" s="9" t="s">
        <v>17</v>
      </c>
      <c r="C14" s="1553" t="s">
        <v>895</v>
      </c>
      <c r="D14" s="1553"/>
      <c r="E14" s="1553"/>
      <c r="F14" s="1553"/>
      <c r="G14" s="1553"/>
      <c r="H14" s="1553"/>
      <c r="I14" s="1553"/>
      <c r="J14" s="1553"/>
      <c r="K14" s="1553"/>
      <c r="L14" s="1553"/>
      <c r="M14" s="1553"/>
      <c r="N14" s="1553"/>
      <c r="O14" s="1553"/>
      <c r="P14" s="1554"/>
      <c r="Q14" s="7"/>
    </row>
    <row r="15" spans="1:17" x14ac:dyDescent="0.25">
      <c r="A15" s="8"/>
      <c r="B15" s="9" t="s">
        <v>19</v>
      </c>
      <c r="C15" s="1553"/>
      <c r="D15" s="1553"/>
      <c r="E15" s="1553"/>
      <c r="F15" s="1553"/>
      <c r="G15" s="1553"/>
      <c r="H15" s="1553"/>
      <c r="I15" s="1553"/>
      <c r="J15" s="1553"/>
      <c r="K15" s="1553"/>
      <c r="L15" s="1553"/>
      <c r="M15" s="1553"/>
      <c r="N15" s="1553"/>
      <c r="O15" s="1553"/>
      <c r="P15" s="1554"/>
      <c r="Q15" s="7"/>
    </row>
    <row r="16" spans="1:17" x14ac:dyDescent="0.25">
      <c r="A16" s="8"/>
      <c r="B16" s="9" t="s">
        <v>20</v>
      </c>
      <c r="C16" s="1553" t="s">
        <v>896</v>
      </c>
      <c r="D16" s="1553"/>
      <c r="E16" s="1553"/>
      <c r="F16" s="1553"/>
      <c r="G16" s="1553"/>
      <c r="H16" s="1553"/>
      <c r="I16" s="1553"/>
      <c r="J16" s="1553"/>
      <c r="K16" s="1553"/>
      <c r="L16" s="1553"/>
      <c r="M16" s="1553"/>
      <c r="N16" s="1553"/>
      <c r="O16" s="1553"/>
      <c r="P16" s="1554"/>
      <c r="Q16" s="7"/>
    </row>
    <row r="17" spans="1:20" x14ac:dyDescent="0.25">
      <c r="A17" s="8"/>
      <c r="B17" s="9" t="s">
        <v>22</v>
      </c>
      <c r="C17" s="1553"/>
      <c r="D17" s="1553"/>
      <c r="E17" s="1553"/>
      <c r="F17" s="1553"/>
      <c r="G17" s="1553"/>
      <c r="H17" s="1553"/>
      <c r="I17" s="1553"/>
      <c r="J17" s="1553"/>
      <c r="K17" s="1553"/>
      <c r="L17" s="1553"/>
      <c r="M17" s="1553"/>
      <c r="N17" s="1553"/>
      <c r="O17" s="1553"/>
      <c r="P17" s="1554"/>
      <c r="Q17" s="7"/>
    </row>
    <row r="18" spans="1:20" ht="4.5" customHeight="1" x14ac:dyDescent="0.25">
      <c r="A18" s="18"/>
      <c r="B18" s="19"/>
      <c r="C18" s="1569"/>
      <c r="D18" s="1569"/>
      <c r="E18" s="1569"/>
      <c r="F18" s="1569"/>
      <c r="G18" s="1569"/>
      <c r="H18" s="1569"/>
      <c r="I18" s="1569"/>
      <c r="J18" s="1569"/>
      <c r="K18" s="1569"/>
      <c r="L18" s="1569"/>
      <c r="M18" s="1569"/>
      <c r="N18" s="1569"/>
      <c r="O18" s="1569"/>
      <c r="P18" s="1570"/>
      <c r="Q18" s="7"/>
    </row>
    <row r="19" spans="1:20"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0"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20" s="21" customFormat="1" ht="66" customHeight="1" thickBot="1" x14ac:dyDescent="0.3">
      <c r="A21" s="1573"/>
      <c r="B21" s="1576"/>
      <c r="C21" s="1581"/>
      <c r="D21" s="1566"/>
      <c r="E21" s="1568"/>
      <c r="F21" s="1564"/>
      <c r="G21" s="1566"/>
      <c r="H21" s="1568"/>
      <c r="I21" s="1564"/>
      <c r="J21" s="1566"/>
      <c r="K21" s="1568"/>
      <c r="L21" s="1564"/>
      <c r="M21" s="1566"/>
      <c r="N21" s="1568"/>
      <c r="O21" s="1564"/>
      <c r="P21" s="1576"/>
    </row>
    <row r="22" spans="1:20"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0" s="41" customFormat="1" x14ac:dyDescent="0.25">
      <c r="A23" s="30"/>
      <c r="B23" s="31" t="s">
        <v>41</v>
      </c>
      <c r="C23" s="32"/>
      <c r="D23" s="33"/>
      <c r="E23" s="34"/>
      <c r="F23" s="35"/>
      <c r="G23" s="33"/>
      <c r="H23" s="36"/>
      <c r="I23" s="37"/>
      <c r="J23" s="33"/>
      <c r="K23" s="38"/>
      <c r="L23" s="37"/>
      <c r="M23" s="38"/>
      <c r="N23" s="39"/>
      <c r="O23" s="37"/>
      <c r="P23" s="40"/>
    </row>
    <row r="24" spans="1:20" s="41" customFormat="1" ht="12.75" thickBot="1" x14ac:dyDescent="0.3">
      <c r="A24" s="42"/>
      <c r="B24" s="43" t="s">
        <v>42</v>
      </c>
      <c r="C24" s="44">
        <f>F24+I24+L24+O24</f>
        <v>558600</v>
      </c>
      <c r="D24" s="45">
        <f>SUM(D25,D28,D29,D45,D46)</f>
        <v>510798</v>
      </c>
      <c r="E24" s="46">
        <f>SUM(E25,E28,E29,E45,E46)</f>
        <v>0</v>
      </c>
      <c r="F24" s="47">
        <f t="shared" ref="F24:F29" si="0">D24+E24</f>
        <v>510798</v>
      </c>
      <c r="G24" s="45">
        <f>SUM(G25,G28,G46)</f>
        <v>42256</v>
      </c>
      <c r="H24" s="48">
        <f>SUM(H25,H28,H46)</f>
        <v>0</v>
      </c>
      <c r="I24" s="49">
        <f>G24+H24</f>
        <v>42256</v>
      </c>
      <c r="J24" s="45">
        <f>SUM(J25,J30,J46)</f>
        <v>5546</v>
      </c>
      <c r="K24" s="48">
        <f>SUM(K25,K30,K46)</f>
        <v>0</v>
      </c>
      <c r="L24" s="49">
        <f>J24+K24</f>
        <v>5546</v>
      </c>
      <c r="M24" s="50">
        <f>SUM(M25,M48)</f>
        <v>0</v>
      </c>
      <c r="N24" s="51">
        <f>SUM(N25,N48)</f>
        <v>0</v>
      </c>
      <c r="O24" s="49">
        <f>M24+N24</f>
        <v>0</v>
      </c>
      <c r="P24" s="52"/>
      <c r="R24" s="53"/>
      <c r="S24" s="53"/>
      <c r="T24" s="53"/>
    </row>
    <row r="25" spans="1:20" ht="12.75" thickTop="1" x14ac:dyDescent="0.25">
      <c r="A25" s="54"/>
      <c r="B25" s="55" t="s">
        <v>43</v>
      </c>
      <c r="C25" s="56">
        <f>F25+I25+L25+O25</f>
        <v>1141</v>
      </c>
      <c r="D25" s="57">
        <f>SUM(D26:D27)</f>
        <v>0</v>
      </c>
      <c r="E25" s="58">
        <f>SUM(E26:E27)</f>
        <v>0</v>
      </c>
      <c r="F25" s="59">
        <f t="shared" si="0"/>
        <v>0</v>
      </c>
      <c r="G25" s="57">
        <f>SUM(G26:G27)</f>
        <v>0</v>
      </c>
      <c r="H25" s="60">
        <f>SUM(H26:H27)</f>
        <v>0</v>
      </c>
      <c r="I25" s="61">
        <f>G25+H25</f>
        <v>0</v>
      </c>
      <c r="J25" s="57">
        <f>SUM(J26:J27)</f>
        <v>1141</v>
      </c>
      <c r="K25" s="60">
        <f>SUM(K26:K27)</f>
        <v>0</v>
      </c>
      <c r="L25" s="61">
        <f>J25+K25</f>
        <v>1141</v>
      </c>
      <c r="M25" s="62">
        <f>SUM(M26:M27)</f>
        <v>0</v>
      </c>
      <c r="N25" s="63">
        <f>SUM(N26:N27)</f>
        <v>0</v>
      </c>
      <c r="O25" s="61">
        <f>M25+N25</f>
        <v>0</v>
      </c>
      <c r="P25" s="64"/>
      <c r="R25" s="53"/>
      <c r="S25" s="53"/>
      <c r="T25" s="53"/>
    </row>
    <row r="26" spans="1:20" hidden="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c r="R26" s="53"/>
      <c r="S26" s="53"/>
      <c r="T26" s="53"/>
    </row>
    <row r="27" spans="1:20" x14ac:dyDescent="0.25">
      <c r="A27" s="75"/>
      <c r="B27" s="76" t="s">
        <v>45</v>
      </c>
      <c r="C27" s="77">
        <f>F27+I27+L27+O27</f>
        <v>1141</v>
      </c>
      <c r="D27" s="78"/>
      <c r="E27" s="79"/>
      <c r="F27" s="80">
        <f t="shared" si="0"/>
        <v>0</v>
      </c>
      <c r="G27" s="78"/>
      <c r="H27" s="81"/>
      <c r="I27" s="82">
        <f>G27+H27</f>
        <v>0</v>
      </c>
      <c r="J27" s="78">
        <v>1141</v>
      </c>
      <c r="K27" s="81"/>
      <c r="L27" s="82">
        <f>J27+K27</f>
        <v>1141</v>
      </c>
      <c r="M27" s="83"/>
      <c r="N27" s="84"/>
      <c r="O27" s="82">
        <f>M27+N27</f>
        <v>0</v>
      </c>
      <c r="P27" s="85"/>
      <c r="R27" s="53"/>
      <c r="S27" s="53"/>
      <c r="T27" s="53"/>
    </row>
    <row r="28" spans="1:20" s="41" customFormat="1" ht="24.75" thickBot="1" x14ac:dyDescent="0.3">
      <c r="A28" s="86">
        <v>19300</v>
      </c>
      <c r="B28" s="86" t="s">
        <v>46</v>
      </c>
      <c r="C28" s="87">
        <f>SUM(F28,I28)</f>
        <v>553054</v>
      </c>
      <c r="D28" s="88">
        <v>510798</v>
      </c>
      <c r="E28" s="89"/>
      <c r="F28" s="90">
        <f t="shared" si="0"/>
        <v>510798</v>
      </c>
      <c r="G28" s="88">
        <v>42256</v>
      </c>
      <c r="H28" s="91"/>
      <c r="I28" s="92">
        <f>G28+H28</f>
        <v>42256</v>
      </c>
      <c r="J28" s="93" t="s">
        <v>47</v>
      </c>
      <c r="K28" s="94" t="s">
        <v>47</v>
      </c>
      <c r="L28" s="95" t="s">
        <v>47</v>
      </c>
      <c r="M28" s="96" t="s">
        <v>47</v>
      </c>
      <c r="N28" s="97" t="s">
        <v>47</v>
      </c>
      <c r="O28" s="95" t="s">
        <v>47</v>
      </c>
      <c r="P28" s="98"/>
      <c r="R28" s="53"/>
      <c r="S28" s="53"/>
      <c r="T28" s="53"/>
    </row>
    <row r="29" spans="1:20" s="41" customFormat="1" ht="24.75" hidden="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c r="R29" s="53"/>
      <c r="S29" s="53"/>
      <c r="T29" s="53"/>
    </row>
    <row r="30" spans="1:20" s="41" customFormat="1" ht="36.75" thickTop="1" x14ac:dyDescent="0.25">
      <c r="A30" s="99">
        <v>21300</v>
      </c>
      <c r="B30" s="99" t="s">
        <v>49</v>
      </c>
      <c r="C30" s="100">
        <f t="shared" ref="C30:C44" si="1">L30</f>
        <v>4405</v>
      </c>
      <c r="D30" s="104" t="s">
        <v>47</v>
      </c>
      <c r="E30" s="110" t="s">
        <v>47</v>
      </c>
      <c r="F30" s="111" t="s">
        <v>47</v>
      </c>
      <c r="G30" s="104" t="s">
        <v>47</v>
      </c>
      <c r="H30" s="105" t="s">
        <v>47</v>
      </c>
      <c r="I30" s="106" t="s">
        <v>47</v>
      </c>
      <c r="J30" s="112">
        <f>SUM(J31,J35,J37,J40)</f>
        <v>4405</v>
      </c>
      <c r="K30" s="113">
        <f>SUM(K31,K35,K37,K40)</f>
        <v>0</v>
      </c>
      <c r="L30" s="114">
        <f t="shared" ref="L30:L44" si="2">J30+K30</f>
        <v>4405</v>
      </c>
      <c r="M30" s="107" t="s">
        <v>47</v>
      </c>
      <c r="N30" s="108" t="s">
        <v>47</v>
      </c>
      <c r="O30" s="106" t="s">
        <v>47</v>
      </c>
      <c r="P30" s="109"/>
      <c r="R30" s="53"/>
      <c r="S30" s="53"/>
      <c r="T30" s="53"/>
    </row>
    <row r="31" spans="1:20" s="41" customFormat="1" ht="24" x14ac:dyDescent="0.25">
      <c r="A31" s="115">
        <v>21350</v>
      </c>
      <c r="B31" s="99" t="s">
        <v>50</v>
      </c>
      <c r="C31" s="100">
        <f t="shared" si="1"/>
        <v>372</v>
      </c>
      <c r="D31" s="104" t="s">
        <v>47</v>
      </c>
      <c r="E31" s="110" t="s">
        <v>47</v>
      </c>
      <c r="F31" s="111" t="s">
        <v>47</v>
      </c>
      <c r="G31" s="104" t="s">
        <v>47</v>
      </c>
      <c r="H31" s="105" t="s">
        <v>47</v>
      </c>
      <c r="I31" s="106" t="s">
        <v>47</v>
      </c>
      <c r="J31" s="112">
        <f>SUM(J32:J34)</f>
        <v>372</v>
      </c>
      <c r="K31" s="113">
        <f>SUM(K32:K34)</f>
        <v>0</v>
      </c>
      <c r="L31" s="114">
        <f t="shared" si="2"/>
        <v>372</v>
      </c>
      <c r="M31" s="107" t="s">
        <v>47</v>
      </c>
      <c r="N31" s="108" t="s">
        <v>47</v>
      </c>
      <c r="O31" s="106" t="s">
        <v>47</v>
      </c>
      <c r="P31" s="109"/>
      <c r="R31" s="53"/>
      <c r="S31" s="53"/>
      <c r="T31" s="53"/>
    </row>
    <row r="32" spans="1:20" hidden="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c r="R32" s="53"/>
      <c r="S32" s="53"/>
      <c r="T32" s="53"/>
    </row>
    <row r="33" spans="1:20" x14ac:dyDescent="0.25">
      <c r="A33" s="781">
        <v>21352</v>
      </c>
      <c r="B33" s="266" t="s">
        <v>52</v>
      </c>
      <c r="C33" s="267">
        <f t="shared" si="1"/>
        <v>372</v>
      </c>
      <c r="D33" s="782" t="s">
        <v>47</v>
      </c>
      <c r="E33" s="783" t="s">
        <v>47</v>
      </c>
      <c r="F33" s="784" t="s">
        <v>47</v>
      </c>
      <c r="G33" s="782" t="s">
        <v>47</v>
      </c>
      <c r="H33" s="785" t="s">
        <v>47</v>
      </c>
      <c r="I33" s="786" t="s">
        <v>47</v>
      </c>
      <c r="J33" s="268">
        <v>372</v>
      </c>
      <c r="K33" s="271"/>
      <c r="L33" s="272">
        <f t="shared" si="2"/>
        <v>372</v>
      </c>
      <c r="M33" s="787" t="s">
        <v>47</v>
      </c>
      <c r="N33" s="788" t="s">
        <v>47</v>
      </c>
      <c r="O33" s="786" t="s">
        <v>47</v>
      </c>
      <c r="P33" s="275"/>
      <c r="R33" s="53"/>
      <c r="S33" s="53"/>
      <c r="T33" s="53"/>
    </row>
    <row r="34" spans="1:20" ht="24" hidden="1" x14ac:dyDescent="0.25">
      <c r="A34" s="75">
        <v>21359</v>
      </c>
      <c r="B34" s="127" t="s">
        <v>53</v>
      </c>
      <c r="C34" s="128">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c r="R34" s="53"/>
      <c r="S34" s="53"/>
      <c r="T34" s="53"/>
    </row>
    <row r="35" spans="1:20" s="41" customFormat="1" ht="36" hidden="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c r="R35" s="53"/>
      <c r="S35" s="53"/>
      <c r="T35" s="53"/>
    </row>
    <row r="36" spans="1:20" ht="36" hidden="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c r="R36" s="53"/>
      <c r="S36" s="53"/>
      <c r="T36" s="53"/>
    </row>
    <row r="37" spans="1:20" s="41" customFormat="1" x14ac:dyDescent="0.25">
      <c r="A37" s="115">
        <v>21380</v>
      </c>
      <c r="B37" s="99" t="s">
        <v>56</v>
      </c>
      <c r="C37" s="100">
        <f t="shared" si="1"/>
        <v>350</v>
      </c>
      <c r="D37" s="104" t="s">
        <v>47</v>
      </c>
      <c r="E37" s="110" t="s">
        <v>47</v>
      </c>
      <c r="F37" s="111" t="s">
        <v>47</v>
      </c>
      <c r="G37" s="104" t="s">
        <v>47</v>
      </c>
      <c r="H37" s="105" t="s">
        <v>47</v>
      </c>
      <c r="I37" s="106" t="s">
        <v>47</v>
      </c>
      <c r="J37" s="112">
        <f>SUM(J38:J39)</f>
        <v>350</v>
      </c>
      <c r="K37" s="113">
        <f>SUM(K38:K39)</f>
        <v>0</v>
      </c>
      <c r="L37" s="114">
        <f t="shared" si="2"/>
        <v>350</v>
      </c>
      <c r="M37" s="107" t="s">
        <v>47</v>
      </c>
      <c r="N37" s="108" t="s">
        <v>47</v>
      </c>
      <c r="O37" s="106" t="s">
        <v>47</v>
      </c>
      <c r="P37" s="109"/>
      <c r="R37" s="53"/>
      <c r="S37" s="53"/>
      <c r="T37" s="53"/>
    </row>
    <row r="38" spans="1:20" x14ac:dyDescent="0.25">
      <c r="A38" s="66">
        <v>21381</v>
      </c>
      <c r="B38" s="116" t="s">
        <v>57</v>
      </c>
      <c r="C38" s="117">
        <f t="shared" si="1"/>
        <v>350</v>
      </c>
      <c r="D38" s="118" t="s">
        <v>47</v>
      </c>
      <c r="E38" s="154" t="s">
        <v>47</v>
      </c>
      <c r="F38" s="155" t="s">
        <v>47</v>
      </c>
      <c r="G38" s="118" t="s">
        <v>47</v>
      </c>
      <c r="H38" s="121" t="s">
        <v>47</v>
      </c>
      <c r="I38" s="122" t="s">
        <v>47</v>
      </c>
      <c r="J38" s="123">
        <v>350</v>
      </c>
      <c r="K38" s="124"/>
      <c r="L38" s="125">
        <f t="shared" si="2"/>
        <v>350</v>
      </c>
      <c r="M38" s="126" t="s">
        <v>47</v>
      </c>
      <c r="N38" s="119" t="s">
        <v>47</v>
      </c>
      <c r="O38" s="122" t="s">
        <v>47</v>
      </c>
      <c r="P38" s="74"/>
      <c r="R38" s="53"/>
      <c r="S38" s="53"/>
      <c r="T38" s="53"/>
    </row>
    <row r="39" spans="1:20" ht="24" hidden="1" x14ac:dyDescent="0.25">
      <c r="A39" s="76">
        <v>21383</v>
      </c>
      <c r="B39" s="127" t="s">
        <v>58</v>
      </c>
      <c r="C39" s="128">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c r="R39" s="53"/>
      <c r="S39" s="53"/>
      <c r="T39" s="53"/>
    </row>
    <row r="40" spans="1:20" s="41" customFormat="1" ht="24" x14ac:dyDescent="0.25">
      <c r="A40" s="115">
        <v>21390</v>
      </c>
      <c r="B40" s="99" t="s">
        <v>59</v>
      </c>
      <c r="C40" s="100">
        <f t="shared" si="1"/>
        <v>3683</v>
      </c>
      <c r="D40" s="104" t="s">
        <v>47</v>
      </c>
      <c r="E40" s="110" t="s">
        <v>47</v>
      </c>
      <c r="F40" s="111" t="s">
        <v>47</v>
      </c>
      <c r="G40" s="104" t="s">
        <v>47</v>
      </c>
      <c r="H40" s="105" t="s">
        <v>47</v>
      </c>
      <c r="I40" s="106" t="s">
        <v>47</v>
      </c>
      <c r="J40" s="112">
        <f>SUM(J41:J44)</f>
        <v>3683</v>
      </c>
      <c r="K40" s="113">
        <f>SUM(K41:K44)</f>
        <v>0</v>
      </c>
      <c r="L40" s="114">
        <f t="shared" si="2"/>
        <v>3683</v>
      </c>
      <c r="M40" s="107" t="s">
        <v>47</v>
      </c>
      <c r="N40" s="108" t="s">
        <v>47</v>
      </c>
      <c r="O40" s="106" t="s">
        <v>47</v>
      </c>
      <c r="P40" s="109"/>
      <c r="R40" s="53"/>
      <c r="S40" s="53"/>
      <c r="T40" s="53"/>
    </row>
    <row r="41" spans="1:20" ht="24" hidden="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c r="R41" s="53"/>
      <c r="S41" s="53"/>
      <c r="T41" s="53"/>
    </row>
    <row r="42" spans="1:20" hidden="1" x14ac:dyDescent="0.25">
      <c r="A42" s="76">
        <v>21393</v>
      </c>
      <c r="B42" s="127" t="s">
        <v>61</v>
      </c>
      <c r="C42" s="128">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c r="R42" s="53"/>
      <c r="S42" s="53"/>
      <c r="T42" s="53"/>
    </row>
    <row r="43" spans="1:20" hidden="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c r="R43" s="53"/>
      <c r="S43" s="53"/>
      <c r="T43" s="53"/>
    </row>
    <row r="44" spans="1:20" ht="24" x14ac:dyDescent="0.25">
      <c r="A44" s="76">
        <v>21399</v>
      </c>
      <c r="B44" s="127" t="s">
        <v>63</v>
      </c>
      <c r="C44" s="128">
        <f t="shared" si="1"/>
        <v>3683</v>
      </c>
      <c r="D44" s="129" t="s">
        <v>47</v>
      </c>
      <c r="E44" s="130" t="s">
        <v>47</v>
      </c>
      <c r="F44" s="131" t="s">
        <v>47</v>
      </c>
      <c r="G44" s="129" t="s">
        <v>47</v>
      </c>
      <c r="H44" s="132" t="s">
        <v>47</v>
      </c>
      <c r="I44" s="133" t="s">
        <v>47</v>
      </c>
      <c r="J44" s="134">
        <v>3683</v>
      </c>
      <c r="K44" s="135"/>
      <c r="L44" s="136">
        <f t="shared" si="2"/>
        <v>3683</v>
      </c>
      <c r="M44" s="137" t="s">
        <v>47</v>
      </c>
      <c r="N44" s="138" t="s">
        <v>47</v>
      </c>
      <c r="O44" s="133" t="s">
        <v>47</v>
      </c>
      <c r="P44" s="85"/>
      <c r="R44" s="53"/>
      <c r="S44" s="53"/>
      <c r="T44" s="53"/>
    </row>
    <row r="45" spans="1:20" s="41" customFormat="1" ht="24" hidden="1" x14ac:dyDescent="0.25">
      <c r="A45" s="115">
        <v>21420</v>
      </c>
      <c r="B45" s="99" t="s">
        <v>64</v>
      </c>
      <c r="C45" s="156">
        <f>F45</f>
        <v>0</v>
      </c>
      <c r="D45" s="157"/>
      <c r="E45" s="158"/>
      <c r="F45" s="103">
        <f>D45+E45</f>
        <v>0</v>
      </c>
      <c r="G45" s="104" t="s">
        <v>47</v>
      </c>
      <c r="H45" s="105" t="s">
        <v>47</v>
      </c>
      <c r="I45" s="106" t="s">
        <v>47</v>
      </c>
      <c r="J45" s="104" t="s">
        <v>47</v>
      </c>
      <c r="K45" s="105" t="s">
        <v>47</v>
      </c>
      <c r="L45" s="106" t="s">
        <v>47</v>
      </c>
      <c r="M45" s="107" t="s">
        <v>47</v>
      </c>
      <c r="N45" s="108" t="s">
        <v>47</v>
      </c>
      <c r="O45" s="106" t="s">
        <v>47</v>
      </c>
      <c r="P45" s="109"/>
      <c r="R45" s="53"/>
      <c r="S45" s="53"/>
      <c r="T45" s="53"/>
    </row>
    <row r="46" spans="1:20" s="41" customFormat="1" ht="24" hidden="1" x14ac:dyDescent="0.25">
      <c r="A46" s="159">
        <v>21490</v>
      </c>
      <c r="B46" s="160" t="s">
        <v>65</v>
      </c>
      <c r="C46" s="156">
        <f>F46+I46+L46</f>
        <v>0</v>
      </c>
      <c r="D46" s="161">
        <f>D47</f>
        <v>0</v>
      </c>
      <c r="E46" s="162">
        <f>E47</f>
        <v>0</v>
      </c>
      <c r="F46" s="163">
        <f>D46+E46</f>
        <v>0</v>
      </c>
      <c r="G46" s="161">
        <f>G47</f>
        <v>0</v>
      </c>
      <c r="H46" s="164">
        <f t="shared" ref="H46:K46" si="3">H47</f>
        <v>0</v>
      </c>
      <c r="I46" s="165">
        <f>G46+H46</f>
        <v>0</v>
      </c>
      <c r="J46" s="161">
        <f>J47</f>
        <v>0</v>
      </c>
      <c r="K46" s="164">
        <f t="shared" si="3"/>
        <v>0</v>
      </c>
      <c r="L46" s="165">
        <f>J46+K46</f>
        <v>0</v>
      </c>
      <c r="M46" s="107" t="s">
        <v>47</v>
      </c>
      <c r="N46" s="108" t="s">
        <v>47</v>
      </c>
      <c r="O46" s="106" t="s">
        <v>47</v>
      </c>
      <c r="P46" s="109"/>
      <c r="R46" s="53"/>
      <c r="S46" s="53"/>
      <c r="T46" s="53"/>
    </row>
    <row r="47" spans="1:20" s="41" customFormat="1" ht="24" hidden="1" x14ac:dyDescent="0.25">
      <c r="A47" s="76">
        <v>21499</v>
      </c>
      <c r="B47" s="127" t="s">
        <v>66</v>
      </c>
      <c r="C47" s="166">
        <f>F47+I47+L47</f>
        <v>0</v>
      </c>
      <c r="D47" s="68"/>
      <c r="E47" s="69"/>
      <c r="F47" s="70">
        <f>D47+E47</f>
        <v>0</v>
      </c>
      <c r="G47" s="167"/>
      <c r="H47" s="71"/>
      <c r="I47" s="72">
        <f>G47+H47</f>
        <v>0</v>
      </c>
      <c r="J47" s="68"/>
      <c r="K47" s="71"/>
      <c r="L47" s="72">
        <f>J47+K47</f>
        <v>0</v>
      </c>
      <c r="M47" s="152" t="s">
        <v>47</v>
      </c>
      <c r="N47" s="145" t="s">
        <v>47</v>
      </c>
      <c r="O47" s="148" t="s">
        <v>47</v>
      </c>
      <c r="P47" s="153"/>
      <c r="R47" s="53"/>
      <c r="S47" s="53"/>
      <c r="T47" s="53"/>
    </row>
    <row r="48" spans="1:20" ht="24" hidden="1" x14ac:dyDescent="0.25">
      <c r="A48" s="168">
        <v>23000</v>
      </c>
      <c r="B48" s="169" t="s">
        <v>67</v>
      </c>
      <c r="C48" s="156">
        <f>O48</f>
        <v>0</v>
      </c>
      <c r="D48" s="170" t="s">
        <v>47</v>
      </c>
      <c r="E48" s="171" t="s">
        <v>47</v>
      </c>
      <c r="F48" s="172" t="s">
        <v>47</v>
      </c>
      <c r="G48" s="170" t="s">
        <v>47</v>
      </c>
      <c r="H48" s="173" t="s">
        <v>47</v>
      </c>
      <c r="I48" s="174" t="s">
        <v>47</v>
      </c>
      <c r="J48" s="170" t="s">
        <v>47</v>
      </c>
      <c r="K48" s="173" t="s">
        <v>47</v>
      </c>
      <c r="L48" s="174" t="s">
        <v>47</v>
      </c>
      <c r="M48" s="175">
        <f>SUM(M49:M50)</f>
        <v>0</v>
      </c>
      <c r="N48" s="176">
        <f>SUM(N49:N50)</f>
        <v>0</v>
      </c>
      <c r="O48" s="177">
        <f>M48+N48</f>
        <v>0</v>
      </c>
      <c r="P48" s="109"/>
      <c r="R48" s="53"/>
      <c r="S48" s="53"/>
      <c r="T48" s="53"/>
    </row>
    <row r="49" spans="1:20" ht="24" hidden="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c r="R49" s="53"/>
      <c r="S49" s="53"/>
      <c r="T49" s="53"/>
    </row>
    <row r="50" spans="1:20" ht="24" hidden="1" x14ac:dyDescent="0.25">
      <c r="A50" s="178">
        <v>23510</v>
      </c>
      <c r="B50" s="179" t="s">
        <v>69</v>
      </c>
      <c r="C50" s="180">
        <f>O50</f>
        <v>0</v>
      </c>
      <c r="D50" s="181" t="s">
        <v>47</v>
      </c>
      <c r="E50" s="182" t="s">
        <v>47</v>
      </c>
      <c r="F50" s="183" t="s">
        <v>47</v>
      </c>
      <c r="G50" s="181" t="s">
        <v>47</v>
      </c>
      <c r="H50" s="184" t="s">
        <v>47</v>
      </c>
      <c r="I50" s="185" t="s">
        <v>47</v>
      </c>
      <c r="J50" s="181" t="s">
        <v>47</v>
      </c>
      <c r="K50" s="184" t="s">
        <v>47</v>
      </c>
      <c r="L50" s="185" t="s">
        <v>47</v>
      </c>
      <c r="M50" s="186"/>
      <c r="N50" s="187"/>
      <c r="O50" s="188">
        <f>M50+N50</f>
        <v>0</v>
      </c>
      <c r="P50" s="189"/>
      <c r="R50" s="53"/>
      <c r="S50" s="53"/>
      <c r="T50" s="53"/>
    </row>
    <row r="51" spans="1:20" x14ac:dyDescent="0.25">
      <c r="A51" s="190"/>
      <c r="B51" s="179"/>
      <c r="C51" s="191"/>
      <c r="D51" s="192"/>
      <c r="E51" s="193"/>
      <c r="F51" s="194"/>
      <c r="G51" s="192"/>
      <c r="H51" s="195"/>
      <c r="I51" s="185"/>
      <c r="J51" s="196"/>
      <c r="K51" s="197"/>
      <c r="L51" s="188"/>
      <c r="M51" s="186"/>
      <c r="N51" s="187"/>
      <c r="O51" s="188"/>
      <c r="P51" s="189"/>
      <c r="R51" s="53"/>
      <c r="S51" s="53"/>
      <c r="T51" s="53"/>
    </row>
    <row r="52" spans="1:20" s="41" customFormat="1" x14ac:dyDescent="0.25">
      <c r="A52" s="198"/>
      <c r="B52" s="199" t="s">
        <v>70</v>
      </c>
      <c r="C52" s="200"/>
      <c r="D52" s="201"/>
      <c r="E52" s="202"/>
      <c r="F52" s="203"/>
      <c r="G52" s="201"/>
      <c r="H52" s="204"/>
      <c r="I52" s="205"/>
      <c r="J52" s="201"/>
      <c r="K52" s="204"/>
      <c r="L52" s="205"/>
      <c r="M52" s="206"/>
      <c r="N52" s="207"/>
      <c r="O52" s="205"/>
      <c r="P52" s="208"/>
      <c r="R52" s="53"/>
      <c r="S52" s="53"/>
      <c r="T52" s="53"/>
    </row>
    <row r="53" spans="1:20" s="41" customFormat="1" ht="12.75" thickBot="1" x14ac:dyDescent="0.3">
      <c r="A53" s="209"/>
      <c r="B53" s="42" t="s">
        <v>71</v>
      </c>
      <c r="C53" s="210">
        <f t="shared" ref="C53:C116" si="4">F53+I53+L53+O53</f>
        <v>558600</v>
      </c>
      <c r="D53" s="211">
        <f>SUM(D54,D284)</f>
        <v>510798</v>
      </c>
      <c r="E53" s="212">
        <f>SUM(E54,E284)</f>
        <v>0</v>
      </c>
      <c r="F53" s="213">
        <f t="shared" ref="F53:F117" si="5">D53+E53</f>
        <v>510798</v>
      </c>
      <c r="G53" s="211">
        <f>SUM(G54,G284)</f>
        <v>42256</v>
      </c>
      <c r="H53" s="214">
        <f>SUM(H54,H284)</f>
        <v>0</v>
      </c>
      <c r="I53" s="215">
        <f t="shared" ref="I53:I117" si="6">G53+H53</f>
        <v>42256</v>
      </c>
      <c r="J53" s="211">
        <f>SUM(J54,J284)</f>
        <v>5546</v>
      </c>
      <c r="K53" s="214">
        <f>SUM(K54,K284)</f>
        <v>0</v>
      </c>
      <c r="L53" s="215">
        <f t="shared" ref="L53:L117" si="7">J53+K53</f>
        <v>5546</v>
      </c>
      <c r="M53" s="216">
        <f>SUM(M54,M284)</f>
        <v>0</v>
      </c>
      <c r="N53" s="217">
        <f>SUM(N54,N284)</f>
        <v>0</v>
      </c>
      <c r="O53" s="215">
        <f t="shared" ref="O53:O117" si="8">M53+N53</f>
        <v>0</v>
      </c>
      <c r="P53" s="52"/>
      <c r="R53" s="53"/>
      <c r="S53" s="53"/>
      <c r="T53" s="53"/>
    </row>
    <row r="54" spans="1:20" s="41" customFormat="1" ht="36.75" thickTop="1" x14ac:dyDescent="0.25">
      <c r="A54" s="218"/>
      <c r="B54" s="219" t="s">
        <v>72</v>
      </c>
      <c r="C54" s="220">
        <f t="shared" si="4"/>
        <v>558317</v>
      </c>
      <c r="D54" s="221">
        <f>SUM(D55,D197)</f>
        <v>510798</v>
      </c>
      <c r="E54" s="222">
        <f>SUM(E55,E197)</f>
        <v>0</v>
      </c>
      <c r="F54" s="223">
        <f t="shared" si="5"/>
        <v>510798</v>
      </c>
      <c r="G54" s="221">
        <f>SUM(G55,G197)</f>
        <v>42256</v>
      </c>
      <c r="H54" s="224">
        <f>SUM(H55,H197)</f>
        <v>0</v>
      </c>
      <c r="I54" s="225">
        <f t="shared" si="6"/>
        <v>42256</v>
      </c>
      <c r="J54" s="221">
        <f>SUM(J55,J197)</f>
        <v>5263</v>
      </c>
      <c r="K54" s="224">
        <f>SUM(K55,K197)</f>
        <v>0</v>
      </c>
      <c r="L54" s="225">
        <f t="shared" si="7"/>
        <v>5263</v>
      </c>
      <c r="M54" s="226">
        <f>SUM(M55,M197)</f>
        <v>0</v>
      </c>
      <c r="N54" s="227">
        <f>SUM(N55,N197)</f>
        <v>0</v>
      </c>
      <c r="O54" s="225">
        <f t="shared" si="8"/>
        <v>0</v>
      </c>
      <c r="P54" s="228"/>
      <c r="R54" s="53"/>
      <c r="S54" s="53"/>
      <c r="T54" s="53"/>
    </row>
    <row r="55" spans="1:20" s="41" customFormat="1" ht="24" x14ac:dyDescent="0.25">
      <c r="A55" s="35"/>
      <c r="B55" s="30" t="s">
        <v>73</v>
      </c>
      <c r="C55" s="229">
        <f t="shared" si="4"/>
        <v>555718</v>
      </c>
      <c r="D55" s="230">
        <f>SUM(D56,D78,D176,D190)</f>
        <v>508354</v>
      </c>
      <c r="E55" s="231">
        <f>SUM(E56,E78,E176,E190)</f>
        <v>0</v>
      </c>
      <c r="F55" s="232">
        <f t="shared" si="5"/>
        <v>508354</v>
      </c>
      <c r="G55" s="230">
        <f>SUM(G56,G78,G176,G190)</f>
        <v>42256</v>
      </c>
      <c r="H55" s="233">
        <f>SUM(H56,H78,H176,H190)</f>
        <v>0</v>
      </c>
      <c r="I55" s="234">
        <f t="shared" si="6"/>
        <v>42256</v>
      </c>
      <c r="J55" s="230">
        <f>SUM(J56,J78,J176,J190)</f>
        <v>5108</v>
      </c>
      <c r="K55" s="233">
        <f>SUM(K56,K78,K176,K190)</f>
        <v>0</v>
      </c>
      <c r="L55" s="234">
        <f t="shared" si="7"/>
        <v>5108</v>
      </c>
      <c r="M55" s="53">
        <f>SUM(M56,M78,M176,M190)</f>
        <v>0</v>
      </c>
      <c r="N55" s="235">
        <f>SUM(N56,N78,N176,N190)</f>
        <v>0</v>
      </c>
      <c r="O55" s="234">
        <f t="shared" si="8"/>
        <v>0</v>
      </c>
      <c r="P55" s="236"/>
      <c r="R55" s="53"/>
      <c r="S55" s="53"/>
      <c r="T55" s="53"/>
    </row>
    <row r="56" spans="1:20" s="41" customFormat="1" x14ac:dyDescent="0.25">
      <c r="A56" s="237">
        <v>1000</v>
      </c>
      <c r="B56" s="237" t="s">
        <v>74</v>
      </c>
      <c r="C56" s="238">
        <f t="shared" si="4"/>
        <v>480036</v>
      </c>
      <c r="D56" s="239">
        <f>SUM(D57,D70)</f>
        <v>439105</v>
      </c>
      <c r="E56" s="240">
        <f>SUM(E57,E70)</f>
        <v>0</v>
      </c>
      <c r="F56" s="241">
        <f t="shared" si="5"/>
        <v>439105</v>
      </c>
      <c r="G56" s="239">
        <f>SUM(G57,G70)</f>
        <v>40931</v>
      </c>
      <c r="H56" s="242">
        <f>SUM(H57,H70)</f>
        <v>0</v>
      </c>
      <c r="I56" s="243">
        <f t="shared" si="6"/>
        <v>40931</v>
      </c>
      <c r="J56" s="239">
        <f>SUM(J57,J70)</f>
        <v>0</v>
      </c>
      <c r="K56" s="242">
        <f>SUM(K57,K70)</f>
        <v>0</v>
      </c>
      <c r="L56" s="243">
        <f t="shared" si="7"/>
        <v>0</v>
      </c>
      <c r="M56" s="244">
        <f>SUM(M57,M70)</f>
        <v>0</v>
      </c>
      <c r="N56" s="245">
        <f>SUM(N57,N70)</f>
        <v>0</v>
      </c>
      <c r="O56" s="243">
        <f t="shared" si="8"/>
        <v>0</v>
      </c>
      <c r="P56" s="246"/>
      <c r="R56" s="53"/>
      <c r="S56" s="53"/>
      <c r="T56" s="53"/>
    </row>
    <row r="57" spans="1:20" x14ac:dyDescent="0.25">
      <c r="A57" s="99">
        <v>1100</v>
      </c>
      <c r="B57" s="247" t="s">
        <v>75</v>
      </c>
      <c r="C57" s="100">
        <f t="shared" si="4"/>
        <v>365070</v>
      </c>
      <c r="D57" s="112">
        <f>SUM(D58,D61,D69)</f>
        <v>332258</v>
      </c>
      <c r="E57" s="248">
        <f>SUM(E58,E61,E69)</f>
        <v>0</v>
      </c>
      <c r="F57" s="249">
        <f t="shared" si="5"/>
        <v>332258</v>
      </c>
      <c r="G57" s="112">
        <f>SUM(G58,G61,G69)</f>
        <v>32812</v>
      </c>
      <c r="H57" s="113">
        <f>SUM(H58,H61,H69)</f>
        <v>0</v>
      </c>
      <c r="I57" s="114">
        <f t="shared" si="6"/>
        <v>32812</v>
      </c>
      <c r="J57" s="112">
        <f>SUM(J58,J61,J69)</f>
        <v>0</v>
      </c>
      <c r="K57" s="113">
        <f>SUM(K58,K61,K69)</f>
        <v>0</v>
      </c>
      <c r="L57" s="114">
        <f t="shared" si="7"/>
        <v>0</v>
      </c>
      <c r="M57" s="250">
        <f>SUM(M58,M61,M69)</f>
        <v>0</v>
      </c>
      <c r="N57" s="251">
        <f>SUM(N58,N61,N69)</f>
        <v>0</v>
      </c>
      <c r="O57" s="252">
        <f t="shared" si="8"/>
        <v>0</v>
      </c>
      <c r="P57" s="253"/>
      <c r="R57" s="53"/>
      <c r="S57" s="53"/>
      <c r="T57" s="53"/>
    </row>
    <row r="58" spans="1:20" x14ac:dyDescent="0.25">
      <c r="A58" s="254">
        <v>1110</v>
      </c>
      <c r="B58" s="179" t="s">
        <v>76</v>
      </c>
      <c r="C58" s="191">
        <f t="shared" si="4"/>
        <v>325947</v>
      </c>
      <c r="D58" s="255">
        <f>SUM(D59:D60)</f>
        <v>295215</v>
      </c>
      <c r="E58" s="256">
        <f>SUM(E59:E60)</f>
        <v>0</v>
      </c>
      <c r="F58" s="257">
        <f t="shared" si="5"/>
        <v>295215</v>
      </c>
      <c r="G58" s="255">
        <f>SUM(G59:G60)</f>
        <v>30732</v>
      </c>
      <c r="H58" s="258">
        <f>SUM(H59:H60)</f>
        <v>0</v>
      </c>
      <c r="I58" s="259">
        <f t="shared" si="6"/>
        <v>30732</v>
      </c>
      <c r="J58" s="255">
        <f>SUM(J59:J60)</f>
        <v>0</v>
      </c>
      <c r="K58" s="258">
        <f>SUM(K59:K60)</f>
        <v>0</v>
      </c>
      <c r="L58" s="259">
        <f t="shared" si="7"/>
        <v>0</v>
      </c>
      <c r="M58" s="260">
        <f>SUM(M59:M60)</f>
        <v>0</v>
      </c>
      <c r="N58" s="261">
        <f>SUM(N59:N60)</f>
        <v>0</v>
      </c>
      <c r="O58" s="259">
        <f t="shared" si="8"/>
        <v>0</v>
      </c>
      <c r="P58" s="189"/>
      <c r="R58" s="53"/>
      <c r="S58" s="53"/>
      <c r="T58" s="53"/>
    </row>
    <row r="59" spans="1:20" hidden="1" x14ac:dyDescent="0.25">
      <c r="A59" s="66">
        <v>1111</v>
      </c>
      <c r="B59" s="116" t="s">
        <v>77</v>
      </c>
      <c r="C59" s="117">
        <f t="shared" si="4"/>
        <v>0</v>
      </c>
      <c r="D59" s="123"/>
      <c r="E59" s="262"/>
      <c r="F59" s="263">
        <f t="shared" si="5"/>
        <v>0</v>
      </c>
      <c r="G59" s="123"/>
      <c r="H59" s="124"/>
      <c r="I59" s="125">
        <f t="shared" si="6"/>
        <v>0</v>
      </c>
      <c r="J59" s="123"/>
      <c r="K59" s="124"/>
      <c r="L59" s="125">
        <f t="shared" si="7"/>
        <v>0</v>
      </c>
      <c r="M59" s="264"/>
      <c r="N59" s="262"/>
      <c r="O59" s="125">
        <f t="shared" si="8"/>
        <v>0</v>
      </c>
      <c r="P59" s="74"/>
      <c r="R59" s="53"/>
      <c r="S59" s="53"/>
      <c r="T59" s="53"/>
    </row>
    <row r="60" spans="1:20" ht="24" x14ac:dyDescent="0.25">
      <c r="A60" s="265">
        <v>1119</v>
      </c>
      <c r="B60" s="266" t="s">
        <v>78</v>
      </c>
      <c r="C60" s="267">
        <f t="shared" si="4"/>
        <v>325947</v>
      </c>
      <c r="D60" s="268">
        <v>295215</v>
      </c>
      <c r="E60" s="269"/>
      <c r="F60" s="270">
        <f t="shared" si="5"/>
        <v>295215</v>
      </c>
      <c r="G60" s="268">
        <v>30732</v>
      </c>
      <c r="H60" s="271"/>
      <c r="I60" s="272">
        <f t="shared" si="6"/>
        <v>30732</v>
      </c>
      <c r="J60" s="268"/>
      <c r="K60" s="271"/>
      <c r="L60" s="272">
        <f t="shared" si="7"/>
        <v>0</v>
      </c>
      <c r="M60" s="273"/>
      <c r="N60" s="274"/>
      <c r="O60" s="272">
        <f t="shared" si="8"/>
        <v>0</v>
      </c>
      <c r="P60" s="275"/>
      <c r="R60" s="53"/>
      <c r="S60" s="53"/>
      <c r="T60" s="53"/>
    </row>
    <row r="61" spans="1:20" ht="24" x14ac:dyDescent="0.25">
      <c r="A61" s="276">
        <v>1140</v>
      </c>
      <c r="B61" s="127" t="s">
        <v>79</v>
      </c>
      <c r="C61" s="128">
        <f t="shared" si="4"/>
        <v>37210</v>
      </c>
      <c r="D61" s="277">
        <f>SUM(D62:D68)</f>
        <v>35130</v>
      </c>
      <c r="E61" s="278">
        <f>SUM(E62:E68)</f>
        <v>0</v>
      </c>
      <c r="F61" s="279">
        <f>D61+E61</f>
        <v>35130</v>
      </c>
      <c r="G61" s="277">
        <f>SUM(G62:G68)</f>
        <v>2080</v>
      </c>
      <c r="H61" s="280">
        <f>SUM(H62:H68)</f>
        <v>0</v>
      </c>
      <c r="I61" s="136">
        <f t="shared" si="6"/>
        <v>2080</v>
      </c>
      <c r="J61" s="277">
        <f>SUM(J62:J68)</f>
        <v>0</v>
      </c>
      <c r="K61" s="280">
        <f>SUM(K62:K68)</f>
        <v>0</v>
      </c>
      <c r="L61" s="136">
        <f t="shared" si="7"/>
        <v>0</v>
      </c>
      <c r="M61" s="281">
        <f>SUM(M62:M68)</f>
        <v>0</v>
      </c>
      <c r="N61" s="282">
        <f>SUM(N62:N68)</f>
        <v>0</v>
      </c>
      <c r="O61" s="136">
        <f t="shared" si="8"/>
        <v>0</v>
      </c>
      <c r="P61" s="85"/>
      <c r="R61" s="53"/>
      <c r="S61" s="53"/>
      <c r="T61" s="53"/>
    </row>
    <row r="62" spans="1:20" x14ac:dyDescent="0.25">
      <c r="A62" s="76">
        <v>1141</v>
      </c>
      <c r="B62" s="127" t="s">
        <v>80</v>
      </c>
      <c r="C62" s="128">
        <f t="shared" si="4"/>
        <v>3748</v>
      </c>
      <c r="D62" s="134">
        <v>3748</v>
      </c>
      <c r="E62" s="283"/>
      <c r="F62" s="279">
        <f t="shared" si="5"/>
        <v>3748</v>
      </c>
      <c r="G62" s="134"/>
      <c r="H62" s="135"/>
      <c r="I62" s="136">
        <f t="shared" si="6"/>
        <v>0</v>
      </c>
      <c r="J62" s="134"/>
      <c r="K62" s="135"/>
      <c r="L62" s="136">
        <f t="shared" si="7"/>
        <v>0</v>
      </c>
      <c r="M62" s="284"/>
      <c r="N62" s="285"/>
      <c r="O62" s="136">
        <f t="shared" si="8"/>
        <v>0</v>
      </c>
      <c r="P62" s="85"/>
      <c r="R62" s="53"/>
      <c r="S62" s="53"/>
      <c r="T62" s="53"/>
    </row>
    <row r="63" spans="1:20" ht="24" x14ac:dyDescent="0.25">
      <c r="A63" s="76">
        <v>1142</v>
      </c>
      <c r="B63" s="127" t="s">
        <v>81</v>
      </c>
      <c r="C63" s="128">
        <f t="shared" si="4"/>
        <v>922</v>
      </c>
      <c r="D63" s="134">
        <v>922</v>
      </c>
      <c r="E63" s="283"/>
      <c r="F63" s="279">
        <f t="shared" si="5"/>
        <v>922</v>
      </c>
      <c r="G63" s="134"/>
      <c r="H63" s="135"/>
      <c r="I63" s="136">
        <f t="shared" si="6"/>
        <v>0</v>
      </c>
      <c r="J63" s="134"/>
      <c r="K63" s="135"/>
      <c r="L63" s="136">
        <f t="shared" si="7"/>
        <v>0</v>
      </c>
      <c r="M63" s="284"/>
      <c r="N63" s="285"/>
      <c r="O63" s="136">
        <f t="shared" si="8"/>
        <v>0</v>
      </c>
      <c r="P63" s="85"/>
      <c r="R63" s="53"/>
      <c r="S63" s="53"/>
      <c r="T63" s="53"/>
    </row>
    <row r="64" spans="1:20" ht="24" hidden="1" x14ac:dyDescent="0.25">
      <c r="A64" s="76">
        <v>1145</v>
      </c>
      <c r="B64" s="127" t="s">
        <v>82</v>
      </c>
      <c r="C64" s="128">
        <f t="shared" si="4"/>
        <v>0</v>
      </c>
      <c r="D64" s="134"/>
      <c r="E64" s="285"/>
      <c r="F64" s="286">
        <f t="shared" si="5"/>
        <v>0</v>
      </c>
      <c r="G64" s="134"/>
      <c r="H64" s="135"/>
      <c r="I64" s="136">
        <f t="shared" si="6"/>
        <v>0</v>
      </c>
      <c r="J64" s="134"/>
      <c r="K64" s="135"/>
      <c r="L64" s="136">
        <f t="shared" si="7"/>
        <v>0</v>
      </c>
      <c r="M64" s="284"/>
      <c r="N64" s="285"/>
      <c r="O64" s="136">
        <f t="shared" si="8"/>
        <v>0</v>
      </c>
      <c r="P64" s="85"/>
      <c r="R64" s="53"/>
      <c r="S64" s="53"/>
      <c r="T64" s="53"/>
    </row>
    <row r="65" spans="1:20" ht="24" hidden="1" x14ac:dyDescent="0.25">
      <c r="A65" s="76">
        <v>1146</v>
      </c>
      <c r="B65" s="127" t="s">
        <v>83</v>
      </c>
      <c r="C65" s="128">
        <f t="shared" si="4"/>
        <v>0</v>
      </c>
      <c r="D65" s="134"/>
      <c r="E65" s="285"/>
      <c r="F65" s="286">
        <f t="shared" si="5"/>
        <v>0</v>
      </c>
      <c r="G65" s="134"/>
      <c r="H65" s="135"/>
      <c r="I65" s="136">
        <f t="shared" si="6"/>
        <v>0</v>
      </c>
      <c r="J65" s="134"/>
      <c r="K65" s="135"/>
      <c r="L65" s="136">
        <f t="shared" si="7"/>
        <v>0</v>
      </c>
      <c r="M65" s="284"/>
      <c r="N65" s="285"/>
      <c r="O65" s="136">
        <f t="shared" si="8"/>
        <v>0</v>
      </c>
      <c r="P65" s="85"/>
      <c r="R65" s="53"/>
      <c r="S65" s="53"/>
      <c r="T65" s="53"/>
    </row>
    <row r="66" spans="1:20" x14ac:dyDescent="0.25">
      <c r="A66" s="76">
        <v>1147</v>
      </c>
      <c r="B66" s="127" t="s">
        <v>84</v>
      </c>
      <c r="C66" s="128">
        <f t="shared" si="4"/>
        <v>3027</v>
      </c>
      <c r="D66" s="134">
        <v>3027</v>
      </c>
      <c r="E66" s="283"/>
      <c r="F66" s="279">
        <f t="shared" si="5"/>
        <v>3027</v>
      </c>
      <c r="G66" s="134"/>
      <c r="H66" s="135"/>
      <c r="I66" s="136">
        <f t="shared" si="6"/>
        <v>0</v>
      </c>
      <c r="J66" s="134"/>
      <c r="K66" s="135"/>
      <c r="L66" s="136">
        <f t="shared" si="7"/>
        <v>0</v>
      </c>
      <c r="M66" s="284"/>
      <c r="N66" s="285"/>
      <c r="O66" s="136">
        <f t="shared" si="8"/>
        <v>0</v>
      </c>
      <c r="P66" s="85"/>
      <c r="R66" s="53"/>
      <c r="S66" s="53"/>
      <c r="T66" s="53"/>
    </row>
    <row r="67" spans="1:20" x14ac:dyDescent="0.25">
      <c r="A67" s="76">
        <v>1148</v>
      </c>
      <c r="B67" s="127" t="s">
        <v>85</v>
      </c>
      <c r="C67" s="128">
        <f t="shared" si="4"/>
        <v>23300</v>
      </c>
      <c r="D67" s="134">
        <v>23300</v>
      </c>
      <c r="E67" s="283"/>
      <c r="F67" s="279">
        <f t="shared" si="5"/>
        <v>23300</v>
      </c>
      <c r="G67" s="134"/>
      <c r="H67" s="135"/>
      <c r="I67" s="136">
        <f t="shared" si="6"/>
        <v>0</v>
      </c>
      <c r="J67" s="134"/>
      <c r="K67" s="135"/>
      <c r="L67" s="136">
        <f t="shared" si="7"/>
        <v>0</v>
      </c>
      <c r="M67" s="284"/>
      <c r="N67" s="285"/>
      <c r="O67" s="136">
        <f t="shared" si="8"/>
        <v>0</v>
      </c>
      <c r="P67" s="85"/>
      <c r="R67" s="53"/>
      <c r="S67" s="53"/>
      <c r="T67" s="53"/>
    </row>
    <row r="68" spans="1:20" ht="36" x14ac:dyDescent="0.25">
      <c r="A68" s="76">
        <v>1149</v>
      </c>
      <c r="B68" s="127" t="s">
        <v>86</v>
      </c>
      <c r="C68" s="128">
        <f t="shared" si="4"/>
        <v>6213</v>
      </c>
      <c r="D68" s="134">
        <v>4133</v>
      </c>
      <c r="E68" s="283"/>
      <c r="F68" s="279">
        <f t="shared" si="5"/>
        <v>4133</v>
      </c>
      <c r="G68" s="134">
        <v>2080</v>
      </c>
      <c r="H68" s="135"/>
      <c r="I68" s="136">
        <f t="shared" si="6"/>
        <v>2080</v>
      </c>
      <c r="J68" s="134"/>
      <c r="K68" s="135"/>
      <c r="L68" s="136">
        <f t="shared" si="7"/>
        <v>0</v>
      </c>
      <c r="M68" s="284"/>
      <c r="N68" s="285"/>
      <c r="O68" s="136">
        <f t="shared" si="8"/>
        <v>0</v>
      </c>
      <c r="P68" s="85"/>
      <c r="R68" s="53"/>
      <c r="S68" s="53"/>
      <c r="T68" s="53"/>
    </row>
    <row r="69" spans="1:20" ht="36" x14ac:dyDescent="0.25">
      <c r="A69" s="789">
        <v>1150</v>
      </c>
      <c r="B69" s="790" t="s">
        <v>87</v>
      </c>
      <c r="C69" s="267">
        <f t="shared" si="4"/>
        <v>1913</v>
      </c>
      <c r="D69" s="791">
        <v>1913</v>
      </c>
      <c r="E69" s="792"/>
      <c r="F69" s="793">
        <f t="shared" si="5"/>
        <v>1913</v>
      </c>
      <c r="G69" s="791"/>
      <c r="H69" s="794"/>
      <c r="I69" s="795">
        <f t="shared" si="6"/>
        <v>0</v>
      </c>
      <c r="J69" s="791"/>
      <c r="K69" s="794"/>
      <c r="L69" s="795">
        <f t="shared" si="7"/>
        <v>0</v>
      </c>
      <c r="M69" s="796"/>
      <c r="N69" s="797"/>
      <c r="O69" s="795">
        <f t="shared" si="8"/>
        <v>0</v>
      </c>
      <c r="P69" s="798"/>
      <c r="R69" s="53"/>
      <c r="S69" s="53"/>
      <c r="T69" s="53"/>
    </row>
    <row r="70" spans="1:20" ht="36" x14ac:dyDescent="0.25">
      <c r="A70" s="99">
        <v>1200</v>
      </c>
      <c r="B70" s="247" t="s">
        <v>88</v>
      </c>
      <c r="C70" s="100">
        <f t="shared" si="4"/>
        <v>114966</v>
      </c>
      <c r="D70" s="112">
        <f>SUM(D71:D72)</f>
        <v>106847</v>
      </c>
      <c r="E70" s="248">
        <f>SUM(E71:E72)</f>
        <v>0</v>
      </c>
      <c r="F70" s="249">
        <f>D70+E70</f>
        <v>106847</v>
      </c>
      <c r="G70" s="112">
        <f>SUM(G71:G72)</f>
        <v>8119</v>
      </c>
      <c r="H70" s="113">
        <f>SUM(H71:H72)</f>
        <v>0</v>
      </c>
      <c r="I70" s="114">
        <f t="shared" si="6"/>
        <v>8119</v>
      </c>
      <c r="J70" s="112">
        <f>SUM(J71:J72)</f>
        <v>0</v>
      </c>
      <c r="K70" s="113">
        <f>SUM(K71:K72)</f>
        <v>0</v>
      </c>
      <c r="L70" s="114">
        <f t="shared" si="7"/>
        <v>0</v>
      </c>
      <c r="M70" s="292">
        <f>SUM(M71:M72)</f>
        <v>0</v>
      </c>
      <c r="N70" s="293">
        <f>SUM(N71:N72)</f>
        <v>0</v>
      </c>
      <c r="O70" s="114">
        <f t="shared" si="8"/>
        <v>0</v>
      </c>
      <c r="P70" s="109"/>
      <c r="R70" s="53"/>
      <c r="S70" s="53"/>
      <c r="T70" s="53"/>
    </row>
    <row r="71" spans="1:20" ht="24" x14ac:dyDescent="0.25">
      <c r="A71" s="656">
        <v>1210</v>
      </c>
      <c r="B71" s="116" t="s">
        <v>89</v>
      </c>
      <c r="C71" s="117">
        <f t="shared" si="4"/>
        <v>89642</v>
      </c>
      <c r="D71" s="123">
        <v>81923</v>
      </c>
      <c r="E71" s="295"/>
      <c r="F71" s="296">
        <f t="shared" si="5"/>
        <v>81923</v>
      </c>
      <c r="G71" s="123">
        <v>7719</v>
      </c>
      <c r="H71" s="124"/>
      <c r="I71" s="125">
        <f t="shared" si="6"/>
        <v>7719</v>
      </c>
      <c r="J71" s="123"/>
      <c r="K71" s="124"/>
      <c r="L71" s="125">
        <f t="shared" si="7"/>
        <v>0</v>
      </c>
      <c r="M71" s="264"/>
      <c r="N71" s="262"/>
      <c r="O71" s="125">
        <f t="shared" si="8"/>
        <v>0</v>
      </c>
      <c r="P71" s="74"/>
      <c r="R71" s="53"/>
      <c r="S71" s="53"/>
      <c r="T71" s="53"/>
    </row>
    <row r="72" spans="1:20" ht="24" x14ac:dyDescent="0.25">
      <c r="A72" s="276">
        <v>1220</v>
      </c>
      <c r="B72" s="127" t="s">
        <v>90</v>
      </c>
      <c r="C72" s="128">
        <f t="shared" si="4"/>
        <v>25324</v>
      </c>
      <c r="D72" s="277">
        <f>SUM(D73:D77)</f>
        <v>24924</v>
      </c>
      <c r="E72" s="278">
        <f>SUM(E73:E77)</f>
        <v>0</v>
      </c>
      <c r="F72" s="279">
        <f t="shared" si="5"/>
        <v>24924</v>
      </c>
      <c r="G72" s="277">
        <f>SUM(G73:G77)</f>
        <v>400</v>
      </c>
      <c r="H72" s="280">
        <f>SUM(H73:H77)</f>
        <v>0</v>
      </c>
      <c r="I72" s="136">
        <f t="shared" si="6"/>
        <v>400</v>
      </c>
      <c r="J72" s="277">
        <f>SUM(J73:J77)</f>
        <v>0</v>
      </c>
      <c r="K72" s="280">
        <f>SUM(K73:K77)</f>
        <v>0</v>
      </c>
      <c r="L72" s="136">
        <f t="shared" si="7"/>
        <v>0</v>
      </c>
      <c r="M72" s="281">
        <f>SUM(M73:M77)</f>
        <v>0</v>
      </c>
      <c r="N72" s="282">
        <f>SUM(N73:N77)</f>
        <v>0</v>
      </c>
      <c r="O72" s="136">
        <f t="shared" si="8"/>
        <v>0</v>
      </c>
      <c r="P72" s="85"/>
      <c r="R72" s="53"/>
      <c r="S72" s="53"/>
      <c r="T72" s="53"/>
    </row>
    <row r="73" spans="1:20" ht="60" x14ac:dyDescent="0.25">
      <c r="A73" s="76">
        <v>1221</v>
      </c>
      <c r="B73" s="127" t="s">
        <v>91</v>
      </c>
      <c r="C73" s="128">
        <f t="shared" si="4"/>
        <v>15184</v>
      </c>
      <c r="D73" s="134">
        <v>14784</v>
      </c>
      <c r="E73" s="283"/>
      <c r="F73" s="279">
        <f t="shared" si="5"/>
        <v>14784</v>
      </c>
      <c r="G73" s="134">
        <v>400</v>
      </c>
      <c r="H73" s="135"/>
      <c r="I73" s="136">
        <f t="shared" si="6"/>
        <v>400</v>
      </c>
      <c r="J73" s="134"/>
      <c r="K73" s="135"/>
      <c r="L73" s="136">
        <f t="shared" si="7"/>
        <v>0</v>
      </c>
      <c r="M73" s="284"/>
      <c r="N73" s="285"/>
      <c r="O73" s="136">
        <f t="shared" si="8"/>
        <v>0</v>
      </c>
      <c r="P73" s="85"/>
      <c r="R73" s="53"/>
      <c r="S73" s="53"/>
      <c r="T73" s="53"/>
    </row>
    <row r="74" spans="1:20" hidden="1" x14ac:dyDescent="0.25">
      <c r="A74" s="76">
        <v>1223</v>
      </c>
      <c r="B74" s="127" t="s">
        <v>92</v>
      </c>
      <c r="C74" s="128">
        <f t="shared" si="4"/>
        <v>0</v>
      </c>
      <c r="D74" s="134"/>
      <c r="E74" s="285"/>
      <c r="F74" s="286">
        <f t="shared" si="5"/>
        <v>0</v>
      </c>
      <c r="G74" s="134"/>
      <c r="H74" s="135"/>
      <c r="I74" s="136">
        <f t="shared" si="6"/>
        <v>0</v>
      </c>
      <c r="J74" s="134"/>
      <c r="K74" s="135"/>
      <c r="L74" s="136">
        <f t="shared" si="7"/>
        <v>0</v>
      </c>
      <c r="M74" s="284"/>
      <c r="N74" s="285"/>
      <c r="O74" s="136">
        <f t="shared" si="8"/>
        <v>0</v>
      </c>
      <c r="P74" s="85"/>
      <c r="R74" s="53"/>
      <c r="S74" s="53"/>
      <c r="T74" s="53"/>
    </row>
    <row r="75" spans="1:20" hidden="1" x14ac:dyDescent="0.25">
      <c r="A75" s="76">
        <v>1225</v>
      </c>
      <c r="B75" s="127" t="s">
        <v>93</v>
      </c>
      <c r="C75" s="128">
        <f t="shared" si="4"/>
        <v>0</v>
      </c>
      <c r="D75" s="134"/>
      <c r="E75" s="285"/>
      <c r="F75" s="286">
        <f t="shared" si="5"/>
        <v>0</v>
      </c>
      <c r="G75" s="134"/>
      <c r="H75" s="135"/>
      <c r="I75" s="136">
        <f t="shared" si="6"/>
        <v>0</v>
      </c>
      <c r="J75" s="134"/>
      <c r="K75" s="135"/>
      <c r="L75" s="136">
        <f t="shared" si="7"/>
        <v>0</v>
      </c>
      <c r="M75" s="284"/>
      <c r="N75" s="285"/>
      <c r="O75" s="136">
        <f t="shared" si="8"/>
        <v>0</v>
      </c>
      <c r="P75" s="85"/>
      <c r="R75" s="53"/>
      <c r="S75" s="53"/>
      <c r="T75" s="53"/>
    </row>
    <row r="76" spans="1:20" ht="36" x14ac:dyDescent="0.25">
      <c r="A76" s="76">
        <v>1227</v>
      </c>
      <c r="B76" s="127" t="s">
        <v>94</v>
      </c>
      <c r="C76" s="128">
        <f t="shared" si="4"/>
        <v>9712</v>
      </c>
      <c r="D76" s="134">
        <v>9712</v>
      </c>
      <c r="E76" s="283"/>
      <c r="F76" s="279">
        <f t="shared" si="5"/>
        <v>9712</v>
      </c>
      <c r="G76" s="134"/>
      <c r="H76" s="135"/>
      <c r="I76" s="136">
        <f t="shared" si="6"/>
        <v>0</v>
      </c>
      <c r="J76" s="134"/>
      <c r="K76" s="135"/>
      <c r="L76" s="136">
        <f t="shared" si="7"/>
        <v>0</v>
      </c>
      <c r="M76" s="284"/>
      <c r="N76" s="285"/>
      <c r="O76" s="136">
        <f t="shared" si="8"/>
        <v>0</v>
      </c>
      <c r="P76" s="85"/>
      <c r="R76" s="53"/>
      <c r="S76" s="53"/>
      <c r="T76" s="53"/>
    </row>
    <row r="77" spans="1:20" ht="60" x14ac:dyDescent="0.25">
      <c r="A77" s="76">
        <v>1228</v>
      </c>
      <c r="B77" s="127" t="s">
        <v>95</v>
      </c>
      <c r="C77" s="128">
        <f t="shared" si="4"/>
        <v>428</v>
      </c>
      <c r="D77" s="134">
        <v>428</v>
      </c>
      <c r="E77" s="283"/>
      <c r="F77" s="279">
        <f t="shared" si="5"/>
        <v>428</v>
      </c>
      <c r="G77" s="134"/>
      <c r="H77" s="135"/>
      <c r="I77" s="136">
        <f t="shared" si="6"/>
        <v>0</v>
      </c>
      <c r="J77" s="134"/>
      <c r="K77" s="135"/>
      <c r="L77" s="136">
        <f t="shared" si="7"/>
        <v>0</v>
      </c>
      <c r="M77" s="284"/>
      <c r="N77" s="285"/>
      <c r="O77" s="136">
        <f t="shared" si="8"/>
        <v>0</v>
      </c>
      <c r="P77" s="85"/>
      <c r="R77" s="53"/>
      <c r="S77" s="53"/>
      <c r="T77" s="53"/>
    </row>
    <row r="78" spans="1:20" x14ac:dyDescent="0.25">
      <c r="A78" s="237">
        <v>2000</v>
      </c>
      <c r="B78" s="237" t="s">
        <v>96</v>
      </c>
      <c r="C78" s="238">
        <f t="shared" si="4"/>
        <v>75682</v>
      </c>
      <c r="D78" s="239">
        <f>SUM(D79,D86,D133,D167,D168,D175)</f>
        <v>69249</v>
      </c>
      <c r="E78" s="240">
        <f>SUM(E79,E86,E133,E167,E168,E175)</f>
        <v>0</v>
      </c>
      <c r="F78" s="241">
        <f t="shared" si="5"/>
        <v>69249</v>
      </c>
      <c r="G78" s="239">
        <f>SUM(G79,G86,G133,G167,G168,G175)</f>
        <v>1325</v>
      </c>
      <c r="H78" s="242">
        <f>SUM(H79,H86,H133,H167,H168,H175)</f>
        <v>0</v>
      </c>
      <c r="I78" s="243">
        <f t="shared" si="6"/>
        <v>1325</v>
      </c>
      <c r="J78" s="239">
        <f>SUM(J79,J86,J133,J167,J168,J175)</f>
        <v>5108</v>
      </c>
      <c r="K78" s="242">
        <f>SUM(K79,K86,K133,K167,K168,K175)</f>
        <v>0</v>
      </c>
      <c r="L78" s="243">
        <f t="shared" si="7"/>
        <v>5108</v>
      </c>
      <c r="M78" s="244">
        <f>SUM(M79,M86,M133,M167,M168,M175)</f>
        <v>0</v>
      </c>
      <c r="N78" s="245">
        <f>SUM(N79,N86,N133,N167,N168,N175)</f>
        <v>0</v>
      </c>
      <c r="O78" s="243">
        <f t="shared" si="8"/>
        <v>0</v>
      </c>
      <c r="P78" s="246"/>
      <c r="R78" s="53"/>
      <c r="S78" s="53"/>
      <c r="T78" s="53"/>
    </row>
    <row r="79" spans="1:20" ht="24" x14ac:dyDescent="0.25">
      <c r="A79" s="99">
        <v>2100</v>
      </c>
      <c r="B79" s="247" t="s">
        <v>97</v>
      </c>
      <c r="C79" s="100">
        <f t="shared" si="4"/>
        <v>94</v>
      </c>
      <c r="D79" s="112">
        <f>SUM(D80,D83)</f>
        <v>94</v>
      </c>
      <c r="E79" s="248">
        <f>SUM(E80,E83)</f>
        <v>0</v>
      </c>
      <c r="F79" s="249">
        <f t="shared" si="5"/>
        <v>94</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c r="R79" s="53"/>
      <c r="S79" s="53"/>
      <c r="T79" s="53"/>
    </row>
    <row r="80" spans="1:20" ht="24" x14ac:dyDescent="0.25">
      <c r="A80" s="656">
        <v>2110</v>
      </c>
      <c r="B80" s="116" t="s">
        <v>98</v>
      </c>
      <c r="C80" s="117">
        <f t="shared" si="4"/>
        <v>94</v>
      </c>
      <c r="D80" s="297">
        <f>SUM(D81:D82)</f>
        <v>94</v>
      </c>
      <c r="E80" s="298">
        <f>SUM(E81:E82)</f>
        <v>0</v>
      </c>
      <c r="F80" s="296">
        <f t="shared" si="5"/>
        <v>94</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c r="R80" s="53"/>
      <c r="S80" s="53"/>
      <c r="T80" s="53"/>
    </row>
    <row r="81" spans="1:20" hidden="1" x14ac:dyDescent="0.25">
      <c r="A81" s="76">
        <v>2111</v>
      </c>
      <c r="B81" s="127" t="s">
        <v>99</v>
      </c>
      <c r="C81" s="128">
        <f t="shared" si="4"/>
        <v>0</v>
      </c>
      <c r="D81" s="134"/>
      <c r="E81" s="285"/>
      <c r="F81" s="286">
        <f t="shared" si="5"/>
        <v>0</v>
      </c>
      <c r="G81" s="134"/>
      <c r="H81" s="135"/>
      <c r="I81" s="136">
        <f t="shared" si="6"/>
        <v>0</v>
      </c>
      <c r="J81" s="134"/>
      <c r="K81" s="135"/>
      <c r="L81" s="136">
        <f t="shared" si="7"/>
        <v>0</v>
      </c>
      <c r="M81" s="284"/>
      <c r="N81" s="285"/>
      <c r="O81" s="136">
        <f t="shared" si="8"/>
        <v>0</v>
      </c>
      <c r="P81" s="85"/>
      <c r="R81" s="53"/>
      <c r="S81" s="53"/>
      <c r="T81" s="53"/>
    </row>
    <row r="82" spans="1:20" ht="24" x14ac:dyDescent="0.25">
      <c r="A82" s="265">
        <v>2112</v>
      </c>
      <c r="B82" s="266" t="s">
        <v>100</v>
      </c>
      <c r="C82" s="267">
        <f t="shared" si="4"/>
        <v>94</v>
      </c>
      <c r="D82" s="268">
        <v>94</v>
      </c>
      <c r="E82" s="269"/>
      <c r="F82" s="270">
        <f t="shared" si="5"/>
        <v>94</v>
      </c>
      <c r="G82" s="268"/>
      <c r="H82" s="271"/>
      <c r="I82" s="272">
        <f t="shared" si="6"/>
        <v>0</v>
      </c>
      <c r="J82" s="268"/>
      <c r="K82" s="271"/>
      <c r="L82" s="272">
        <f t="shared" si="7"/>
        <v>0</v>
      </c>
      <c r="M82" s="273"/>
      <c r="N82" s="274"/>
      <c r="O82" s="272">
        <f t="shared" si="8"/>
        <v>0</v>
      </c>
      <c r="P82" s="275"/>
      <c r="R82" s="53"/>
      <c r="S82" s="53"/>
      <c r="T82" s="53"/>
    </row>
    <row r="83" spans="1:20" ht="24" hidden="1" x14ac:dyDescent="0.25">
      <c r="A83" s="276">
        <v>2120</v>
      </c>
      <c r="B83" s="127" t="s">
        <v>101</v>
      </c>
      <c r="C83" s="128">
        <f t="shared" si="4"/>
        <v>0</v>
      </c>
      <c r="D83" s="277">
        <f>SUM(D84:D85)</f>
        <v>0</v>
      </c>
      <c r="E83" s="282">
        <f>SUM(E84:E85)</f>
        <v>0</v>
      </c>
      <c r="F83" s="28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c r="R83" s="53"/>
      <c r="S83" s="53"/>
      <c r="T83" s="53"/>
    </row>
    <row r="84" spans="1:20" hidden="1" x14ac:dyDescent="0.25">
      <c r="A84" s="76">
        <v>2121</v>
      </c>
      <c r="B84" s="127" t="s">
        <v>99</v>
      </c>
      <c r="C84" s="128">
        <f t="shared" si="4"/>
        <v>0</v>
      </c>
      <c r="D84" s="134"/>
      <c r="E84" s="285"/>
      <c r="F84" s="286">
        <f t="shared" si="5"/>
        <v>0</v>
      </c>
      <c r="G84" s="134"/>
      <c r="H84" s="135"/>
      <c r="I84" s="136">
        <f t="shared" si="6"/>
        <v>0</v>
      </c>
      <c r="J84" s="134"/>
      <c r="K84" s="135"/>
      <c r="L84" s="136">
        <f t="shared" si="7"/>
        <v>0</v>
      </c>
      <c r="M84" s="284"/>
      <c r="N84" s="285"/>
      <c r="O84" s="136">
        <f t="shared" si="8"/>
        <v>0</v>
      </c>
      <c r="P84" s="85"/>
      <c r="R84" s="53"/>
      <c r="S84" s="53"/>
      <c r="T84" s="53"/>
    </row>
    <row r="85" spans="1:20" ht="24" hidden="1" x14ac:dyDescent="0.25">
      <c r="A85" s="76">
        <v>2122</v>
      </c>
      <c r="B85" s="127" t="s">
        <v>100</v>
      </c>
      <c r="C85" s="128">
        <f t="shared" si="4"/>
        <v>0</v>
      </c>
      <c r="D85" s="134"/>
      <c r="E85" s="285"/>
      <c r="F85" s="286">
        <f t="shared" si="5"/>
        <v>0</v>
      </c>
      <c r="G85" s="134"/>
      <c r="H85" s="135"/>
      <c r="I85" s="136">
        <f t="shared" si="6"/>
        <v>0</v>
      </c>
      <c r="J85" s="134"/>
      <c r="K85" s="135"/>
      <c r="L85" s="136">
        <f t="shared" si="7"/>
        <v>0</v>
      </c>
      <c r="M85" s="284"/>
      <c r="N85" s="285"/>
      <c r="O85" s="136">
        <f t="shared" si="8"/>
        <v>0</v>
      </c>
      <c r="P85" s="85"/>
      <c r="R85" s="53"/>
      <c r="S85" s="53"/>
      <c r="T85" s="53"/>
    </row>
    <row r="86" spans="1:20" x14ac:dyDescent="0.25">
      <c r="A86" s="99">
        <v>2200</v>
      </c>
      <c r="B86" s="247" t="s">
        <v>102</v>
      </c>
      <c r="C86" s="302">
        <f t="shared" si="4"/>
        <v>51443</v>
      </c>
      <c r="D86" s="112">
        <f>SUM(D87,D92,D98,D106,D115,D119,D125,D131)</f>
        <v>50368</v>
      </c>
      <c r="E86" s="248">
        <f>SUM(E87,E92,E98,E106,E115,E119,E125,E131)</f>
        <v>0</v>
      </c>
      <c r="F86" s="249">
        <f t="shared" si="5"/>
        <v>50368</v>
      </c>
      <c r="G86" s="112">
        <f>SUM(G87,G92,G98,G106,G115,G119,G125,G131)</f>
        <v>0</v>
      </c>
      <c r="H86" s="113">
        <f>SUM(H87,H92,H98,H106,H115,H119,H125,H131)</f>
        <v>0</v>
      </c>
      <c r="I86" s="114">
        <f t="shared" si="6"/>
        <v>0</v>
      </c>
      <c r="J86" s="112">
        <f>SUM(J87,J92,J98,J106,J115,J119,J125,J131)</f>
        <v>1075</v>
      </c>
      <c r="K86" s="113">
        <f>SUM(K87,K92,K98,K106,K115,K119,K125,K131)</f>
        <v>0</v>
      </c>
      <c r="L86" s="114">
        <f t="shared" si="7"/>
        <v>1075</v>
      </c>
      <c r="M86" s="303">
        <f>SUM(M87,M92,M98,M106,M115,M119,M125,M131)</f>
        <v>0</v>
      </c>
      <c r="N86" s="304">
        <f>SUM(N87,N92,N98,N106,N115,N119,N125,N131)</f>
        <v>0</v>
      </c>
      <c r="O86" s="305">
        <f t="shared" si="8"/>
        <v>0</v>
      </c>
      <c r="P86" s="306"/>
      <c r="R86" s="53"/>
      <c r="S86" s="53"/>
      <c r="T86" s="53"/>
    </row>
    <row r="87" spans="1:20" ht="24" x14ac:dyDescent="0.25">
      <c r="A87" s="254">
        <v>2210</v>
      </c>
      <c r="B87" s="179" t="s">
        <v>103</v>
      </c>
      <c r="C87" s="191">
        <f t="shared" si="4"/>
        <v>1109</v>
      </c>
      <c r="D87" s="255">
        <f>SUM(D88:D91)</f>
        <v>1109</v>
      </c>
      <c r="E87" s="256">
        <f>SUM(E88:E91)</f>
        <v>0</v>
      </c>
      <c r="F87" s="257">
        <f t="shared" si="5"/>
        <v>1109</v>
      </c>
      <c r="G87" s="255">
        <f>SUM(G88:G91)</f>
        <v>0</v>
      </c>
      <c r="H87" s="258">
        <f>SUM(H88:H91)</f>
        <v>0</v>
      </c>
      <c r="I87" s="259">
        <f t="shared" si="6"/>
        <v>0</v>
      </c>
      <c r="J87" s="255">
        <f>SUM(J88:J91)</f>
        <v>0</v>
      </c>
      <c r="K87" s="258">
        <f>SUM(K88:K91)</f>
        <v>0</v>
      </c>
      <c r="L87" s="259">
        <f t="shared" si="7"/>
        <v>0</v>
      </c>
      <c r="M87" s="260">
        <f>SUM(M88:M91)</f>
        <v>0</v>
      </c>
      <c r="N87" s="261">
        <f>SUM(N88:N91)</f>
        <v>0</v>
      </c>
      <c r="O87" s="259">
        <f t="shared" si="8"/>
        <v>0</v>
      </c>
      <c r="P87" s="189"/>
      <c r="R87" s="53"/>
      <c r="S87" s="53"/>
      <c r="T87" s="53"/>
    </row>
    <row r="88" spans="1:20" ht="24" hidden="1" x14ac:dyDescent="0.25">
      <c r="A88" s="66">
        <v>2211</v>
      </c>
      <c r="B88" s="116" t="s">
        <v>104</v>
      </c>
      <c r="C88" s="128">
        <f t="shared" si="4"/>
        <v>0</v>
      </c>
      <c r="D88" s="123"/>
      <c r="E88" s="262"/>
      <c r="F88" s="263">
        <f t="shared" si="5"/>
        <v>0</v>
      </c>
      <c r="G88" s="123"/>
      <c r="H88" s="124"/>
      <c r="I88" s="125">
        <f t="shared" si="6"/>
        <v>0</v>
      </c>
      <c r="J88" s="123"/>
      <c r="K88" s="124"/>
      <c r="L88" s="125">
        <f t="shared" si="7"/>
        <v>0</v>
      </c>
      <c r="M88" s="264"/>
      <c r="N88" s="262"/>
      <c r="O88" s="125">
        <f t="shared" si="8"/>
        <v>0</v>
      </c>
      <c r="P88" s="74"/>
      <c r="R88" s="53"/>
      <c r="S88" s="53"/>
      <c r="T88" s="53"/>
    </row>
    <row r="89" spans="1:20" ht="36" x14ac:dyDescent="0.25">
      <c r="A89" s="76">
        <v>2212</v>
      </c>
      <c r="B89" s="127" t="s">
        <v>105</v>
      </c>
      <c r="C89" s="128">
        <f t="shared" si="4"/>
        <v>899</v>
      </c>
      <c r="D89" s="134">
        <v>899</v>
      </c>
      <c r="E89" s="283"/>
      <c r="F89" s="279">
        <f t="shared" si="5"/>
        <v>899</v>
      </c>
      <c r="G89" s="134"/>
      <c r="H89" s="135"/>
      <c r="I89" s="136">
        <f t="shared" si="6"/>
        <v>0</v>
      </c>
      <c r="J89" s="134"/>
      <c r="K89" s="135"/>
      <c r="L89" s="136">
        <f t="shared" si="7"/>
        <v>0</v>
      </c>
      <c r="M89" s="284"/>
      <c r="N89" s="285"/>
      <c r="O89" s="136">
        <f t="shared" si="8"/>
        <v>0</v>
      </c>
      <c r="P89" s="85"/>
      <c r="R89" s="53"/>
      <c r="S89" s="53"/>
      <c r="T89" s="53"/>
    </row>
    <row r="90" spans="1:20" ht="24" x14ac:dyDescent="0.25">
      <c r="A90" s="76">
        <v>2214</v>
      </c>
      <c r="B90" s="127" t="s">
        <v>106</v>
      </c>
      <c r="C90" s="128">
        <f t="shared" si="4"/>
        <v>150</v>
      </c>
      <c r="D90" s="134">
        <v>150</v>
      </c>
      <c r="E90" s="283"/>
      <c r="F90" s="279">
        <f t="shared" si="5"/>
        <v>150</v>
      </c>
      <c r="G90" s="134"/>
      <c r="H90" s="135"/>
      <c r="I90" s="136">
        <f t="shared" si="6"/>
        <v>0</v>
      </c>
      <c r="J90" s="134"/>
      <c r="K90" s="135"/>
      <c r="L90" s="136">
        <f t="shared" si="7"/>
        <v>0</v>
      </c>
      <c r="M90" s="284"/>
      <c r="N90" s="285"/>
      <c r="O90" s="136">
        <f t="shared" si="8"/>
        <v>0</v>
      </c>
      <c r="P90" s="85"/>
      <c r="R90" s="53"/>
      <c r="S90" s="53"/>
      <c r="T90" s="53"/>
    </row>
    <row r="91" spans="1:20" x14ac:dyDescent="0.25">
      <c r="A91" s="76">
        <v>2219</v>
      </c>
      <c r="B91" s="127" t="s">
        <v>107</v>
      </c>
      <c r="C91" s="128">
        <f t="shared" si="4"/>
        <v>60</v>
      </c>
      <c r="D91" s="134">
        <v>60</v>
      </c>
      <c r="E91" s="283"/>
      <c r="F91" s="279">
        <f t="shared" si="5"/>
        <v>60</v>
      </c>
      <c r="G91" s="134"/>
      <c r="H91" s="135"/>
      <c r="I91" s="136">
        <f t="shared" si="6"/>
        <v>0</v>
      </c>
      <c r="J91" s="134"/>
      <c r="K91" s="135"/>
      <c r="L91" s="136">
        <f t="shared" si="7"/>
        <v>0</v>
      </c>
      <c r="M91" s="284"/>
      <c r="N91" s="285"/>
      <c r="O91" s="136">
        <f t="shared" si="8"/>
        <v>0</v>
      </c>
      <c r="P91" s="85"/>
      <c r="R91" s="53"/>
      <c r="S91" s="53"/>
      <c r="T91" s="53"/>
    </row>
    <row r="92" spans="1:20" ht="24" x14ac:dyDescent="0.25">
      <c r="A92" s="276">
        <v>2220</v>
      </c>
      <c r="B92" s="127" t="s">
        <v>108</v>
      </c>
      <c r="C92" s="128">
        <f t="shared" si="4"/>
        <v>41837</v>
      </c>
      <c r="D92" s="277">
        <f>SUM(D93:D97)</f>
        <v>41724</v>
      </c>
      <c r="E92" s="278">
        <f>SUM(E93:E97)</f>
        <v>0</v>
      </c>
      <c r="F92" s="279">
        <f t="shared" si="5"/>
        <v>41724</v>
      </c>
      <c r="G92" s="277">
        <f>SUM(G93:G97)</f>
        <v>0</v>
      </c>
      <c r="H92" s="280">
        <f>SUM(H93:H97)</f>
        <v>0</v>
      </c>
      <c r="I92" s="136">
        <f t="shared" si="6"/>
        <v>0</v>
      </c>
      <c r="J92" s="277">
        <f>SUM(J93:J97)</f>
        <v>113</v>
      </c>
      <c r="K92" s="280">
        <f>SUM(K93:K97)</f>
        <v>0</v>
      </c>
      <c r="L92" s="136">
        <f t="shared" si="7"/>
        <v>113</v>
      </c>
      <c r="M92" s="281">
        <f>SUM(M93:M97)</f>
        <v>0</v>
      </c>
      <c r="N92" s="282">
        <f>SUM(N93:N97)</f>
        <v>0</v>
      </c>
      <c r="O92" s="136">
        <f t="shared" si="8"/>
        <v>0</v>
      </c>
      <c r="P92" s="85"/>
      <c r="R92" s="53"/>
      <c r="S92" s="53"/>
      <c r="T92" s="53"/>
    </row>
    <row r="93" spans="1:20" ht="48" x14ac:dyDescent="0.25">
      <c r="A93" s="76">
        <v>2221</v>
      </c>
      <c r="B93" s="127" t="s">
        <v>109</v>
      </c>
      <c r="C93" s="128">
        <f t="shared" si="4"/>
        <v>24926</v>
      </c>
      <c r="D93" s="134">
        <v>25179</v>
      </c>
      <c r="E93" s="283">
        <v>-253</v>
      </c>
      <c r="F93" s="279">
        <f t="shared" si="5"/>
        <v>24926</v>
      </c>
      <c r="G93" s="134"/>
      <c r="H93" s="135"/>
      <c r="I93" s="136">
        <f t="shared" si="6"/>
        <v>0</v>
      </c>
      <c r="J93" s="134"/>
      <c r="K93" s="135"/>
      <c r="L93" s="136">
        <f t="shared" si="7"/>
        <v>0</v>
      </c>
      <c r="M93" s="284"/>
      <c r="N93" s="285"/>
      <c r="O93" s="136">
        <f t="shared" si="8"/>
        <v>0</v>
      </c>
      <c r="P93" s="275" t="s">
        <v>897</v>
      </c>
      <c r="R93" s="53"/>
      <c r="S93" s="53"/>
      <c r="T93" s="53"/>
    </row>
    <row r="94" spans="1:20" x14ac:dyDescent="0.25">
      <c r="A94" s="76">
        <v>2222</v>
      </c>
      <c r="B94" s="127" t="s">
        <v>110</v>
      </c>
      <c r="C94" s="128">
        <f t="shared" si="4"/>
        <v>6866</v>
      </c>
      <c r="D94" s="134">
        <v>6753</v>
      </c>
      <c r="E94" s="283"/>
      <c r="F94" s="279">
        <f t="shared" si="5"/>
        <v>6753</v>
      </c>
      <c r="G94" s="134"/>
      <c r="H94" s="135"/>
      <c r="I94" s="136">
        <f t="shared" si="6"/>
        <v>0</v>
      </c>
      <c r="J94" s="134">
        <v>113</v>
      </c>
      <c r="K94" s="135"/>
      <c r="L94" s="136">
        <f t="shared" si="7"/>
        <v>113</v>
      </c>
      <c r="M94" s="284"/>
      <c r="N94" s="285"/>
      <c r="O94" s="136">
        <f t="shared" si="8"/>
        <v>0</v>
      </c>
      <c r="P94" s="85"/>
      <c r="R94" s="53"/>
      <c r="S94" s="53"/>
      <c r="T94" s="53"/>
    </row>
    <row r="95" spans="1:20" ht="72" x14ac:dyDescent="0.25">
      <c r="A95" s="76">
        <v>2223</v>
      </c>
      <c r="B95" s="127" t="s">
        <v>111</v>
      </c>
      <c r="C95" s="128">
        <f t="shared" si="4"/>
        <v>9310</v>
      </c>
      <c r="D95" s="134">
        <v>9057</v>
      </c>
      <c r="E95" s="283">
        <v>253</v>
      </c>
      <c r="F95" s="279">
        <f t="shared" si="5"/>
        <v>9310</v>
      </c>
      <c r="G95" s="134"/>
      <c r="H95" s="135"/>
      <c r="I95" s="136">
        <f t="shared" si="6"/>
        <v>0</v>
      </c>
      <c r="J95" s="134"/>
      <c r="K95" s="135"/>
      <c r="L95" s="136">
        <f t="shared" si="7"/>
        <v>0</v>
      </c>
      <c r="M95" s="284"/>
      <c r="N95" s="285"/>
      <c r="O95" s="136">
        <f t="shared" si="8"/>
        <v>0</v>
      </c>
      <c r="P95" s="275" t="s">
        <v>898</v>
      </c>
      <c r="R95" s="53"/>
      <c r="S95" s="53"/>
      <c r="T95" s="53"/>
    </row>
    <row r="96" spans="1:20" ht="48" x14ac:dyDescent="0.25">
      <c r="A96" s="76">
        <v>2224</v>
      </c>
      <c r="B96" s="127" t="s">
        <v>112</v>
      </c>
      <c r="C96" s="128">
        <f t="shared" si="4"/>
        <v>735</v>
      </c>
      <c r="D96" s="134">
        <v>735</v>
      </c>
      <c r="E96" s="283"/>
      <c r="F96" s="279">
        <f t="shared" si="5"/>
        <v>735</v>
      </c>
      <c r="G96" s="134"/>
      <c r="H96" s="135"/>
      <c r="I96" s="136">
        <f t="shared" si="6"/>
        <v>0</v>
      </c>
      <c r="J96" s="134"/>
      <c r="K96" s="135"/>
      <c r="L96" s="136">
        <f t="shared" si="7"/>
        <v>0</v>
      </c>
      <c r="M96" s="284"/>
      <c r="N96" s="285"/>
      <c r="O96" s="136">
        <f t="shared" si="8"/>
        <v>0</v>
      </c>
      <c r="P96" s="85"/>
      <c r="R96" s="53"/>
      <c r="S96" s="53"/>
      <c r="T96" s="53"/>
    </row>
    <row r="97" spans="1:20" ht="24" hidden="1" x14ac:dyDescent="0.25">
      <c r="A97" s="76">
        <v>2229</v>
      </c>
      <c r="B97" s="127" t="s">
        <v>113</v>
      </c>
      <c r="C97" s="128">
        <f t="shared" si="4"/>
        <v>0</v>
      </c>
      <c r="D97" s="134"/>
      <c r="E97" s="285"/>
      <c r="F97" s="286">
        <f t="shared" si="5"/>
        <v>0</v>
      </c>
      <c r="G97" s="134"/>
      <c r="H97" s="135"/>
      <c r="I97" s="136">
        <f t="shared" si="6"/>
        <v>0</v>
      </c>
      <c r="J97" s="134"/>
      <c r="K97" s="135"/>
      <c r="L97" s="136">
        <f t="shared" si="7"/>
        <v>0</v>
      </c>
      <c r="M97" s="284"/>
      <c r="N97" s="285"/>
      <c r="O97" s="136">
        <f t="shared" si="8"/>
        <v>0</v>
      </c>
      <c r="P97" s="85"/>
      <c r="R97" s="53"/>
      <c r="S97" s="53"/>
      <c r="T97" s="53"/>
    </row>
    <row r="98" spans="1:20" ht="36" x14ac:dyDescent="0.25">
      <c r="A98" s="276">
        <v>2230</v>
      </c>
      <c r="B98" s="127" t="s">
        <v>114</v>
      </c>
      <c r="C98" s="128">
        <f t="shared" si="4"/>
        <v>1289</v>
      </c>
      <c r="D98" s="277">
        <f>SUM(D99:D105)</f>
        <v>1289</v>
      </c>
      <c r="E98" s="278">
        <f>SUM(E99:E105)</f>
        <v>0</v>
      </c>
      <c r="F98" s="279">
        <f t="shared" si="5"/>
        <v>1289</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c r="R98" s="53"/>
      <c r="S98" s="53"/>
      <c r="T98" s="53"/>
    </row>
    <row r="99" spans="1:20" ht="24" hidden="1" x14ac:dyDescent="0.25">
      <c r="A99" s="76">
        <v>2231</v>
      </c>
      <c r="B99" s="127" t="s">
        <v>115</v>
      </c>
      <c r="C99" s="128">
        <f t="shared" si="4"/>
        <v>0</v>
      </c>
      <c r="D99" s="134"/>
      <c r="E99" s="285"/>
      <c r="F99" s="286">
        <f t="shared" si="5"/>
        <v>0</v>
      </c>
      <c r="G99" s="134"/>
      <c r="H99" s="135"/>
      <c r="I99" s="136">
        <f t="shared" si="6"/>
        <v>0</v>
      </c>
      <c r="J99" s="134"/>
      <c r="K99" s="135"/>
      <c r="L99" s="136">
        <f t="shared" si="7"/>
        <v>0</v>
      </c>
      <c r="M99" s="284"/>
      <c r="N99" s="285"/>
      <c r="O99" s="136">
        <f t="shared" si="8"/>
        <v>0</v>
      </c>
      <c r="P99" s="85"/>
      <c r="R99" s="53"/>
      <c r="S99" s="53"/>
      <c r="T99" s="53"/>
    </row>
    <row r="100" spans="1:20" ht="36" hidden="1" x14ac:dyDescent="0.25">
      <c r="A100" s="76">
        <v>2232</v>
      </c>
      <c r="B100" s="127" t="s">
        <v>116</v>
      </c>
      <c r="C100" s="128">
        <f t="shared" si="4"/>
        <v>0</v>
      </c>
      <c r="D100" s="134"/>
      <c r="E100" s="285"/>
      <c r="F100" s="286">
        <f t="shared" si="5"/>
        <v>0</v>
      </c>
      <c r="G100" s="134"/>
      <c r="H100" s="135"/>
      <c r="I100" s="136">
        <f t="shared" si="6"/>
        <v>0</v>
      </c>
      <c r="J100" s="134"/>
      <c r="K100" s="135"/>
      <c r="L100" s="136">
        <f t="shared" si="7"/>
        <v>0</v>
      </c>
      <c r="M100" s="284"/>
      <c r="N100" s="285"/>
      <c r="O100" s="136">
        <f t="shared" si="8"/>
        <v>0</v>
      </c>
      <c r="P100" s="85"/>
      <c r="R100" s="53"/>
      <c r="S100" s="53"/>
      <c r="T100" s="53"/>
    </row>
    <row r="101" spans="1:20" ht="24" hidden="1" x14ac:dyDescent="0.25">
      <c r="A101" s="66">
        <v>2233</v>
      </c>
      <c r="B101" s="116" t="s">
        <v>117</v>
      </c>
      <c r="C101" s="128">
        <f t="shared" si="4"/>
        <v>0</v>
      </c>
      <c r="D101" s="123"/>
      <c r="E101" s="262"/>
      <c r="F101" s="263">
        <f t="shared" si="5"/>
        <v>0</v>
      </c>
      <c r="G101" s="123"/>
      <c r="H101" s="124"/>
      <c r="I101" s="125">
        <f t="shared" si="6"/>
        <v>0</v>
      </c>
      <c r="J101" s="123"/>
      <c r="K101" s="124"/>
      <c r="L101" s="125">
        <f t="shared" si="7"/>
        <v>0</v>
      </c>
      <c r="M101" s="264"/>
      <c r="N101" s="262"/>
      <c r="O101" s="125">
        <f t="shared" si="8"/>
        <v>0</v>
      </c>
      <c r="P101" s="74"/>
      <c r="R101" s="53"/>
      <c r="S101" s="53"/>
      <c r="T101" s="53"/>
    </row>
    <row r="102" spans="1:20" ht="36" hidden="1" x14ac:dyDescent="0.25">
      <c r="A102" s="76">
        <v>2234</v>
      </c>
      <c r="B102" s="127" t="s">
        <v>118</v>
      </c>
      <c r="C102" s="128">
        <f t="shared" si="4"/>
        <v>0</v>
      </c>
      <c r="D102" s="134"/>
      <c r="E102" s="285"/>
      <c r="F102" s="286">
        <f t="shared" si="5"/>
        <v>0</v>
      </c>
      <c r="G102" s="134"/>
      <c r="H102" s="135"/>
      <c r="I102" s="136">
        <f t="shared" si="6"/>
        <v>0</v>
      </c>
      <c r="J102" s="134"/>
      <c r="K102" s="135"/>
      <c r="L102" s="136">
        <f t="shared" si="7"/>
        <v>0</v>
      </c>
      <c r="M102" s="284"/>
      <c r="N102" s="285"/>
      <c r="O102" s="136">
        <f t="shared" si="8"/>
        <v>0</v>
      </c>
      <c r="P102" s="85"/>
      <c r="R102" s="53"/>
      <c r="S102" s="53"/>
      <c r="T102" s="53"/>
    </row>
    <row r="103" spans="1:20" ht="24" x14ac:dyDescent="0.25">
      <c r="A103" s="265">
        <v>2235</v>
      </c>
      <c r="B103" s="266" t="s">
        <v>119</v>
      </c>
      <c r="C103" s="267">
        <f t="shared" si="4"/>
        <v>122</v>
      </c>
      <c r="D103" s="268">
        <v>122</v>
      </c>
      <c r="E103" s="269"/>
      <c r="F103" s="270">
        <f t="shared" si="5"/>
        <v>122</v>
      </c>
      <c r="G103" s="268"/>
      <c r="H103" s="271"/>
      <c r="I103" s="272">
        <f t="shared" si="6"/>
        <v>0</v>
      </c>
      <c r="J103" s="268"/>
      <c r="K103" s="271"/>
      <c r="L103" s="272">
        <f t="shared" si="7"/>
        <v>0</v>
      </c>
      <c r="M103" s="273"/>
      <c r="N103" s="274"/>
      <c r="O103" s="272">
        <f t="shared" si="8"/>
        <v>0</v>
      </c>
      <c r="P103" s="275"/>
      <c r="R103" s="53"/>
      <c r="S103" s="53"/>
      <c r="T103" s="53"/>
    </row>
    <row r="104" spans="1:20" hidden="1" x14ac:dyDescent="0.25">
      <c r="A104" s="76">
        <v>2236</v>
      </c>
      <c r="B104" s="127" t="s">
        <v>120</v>
      </c>
      <c r="C104" s="128">
        <f t="shared" si="4"/>
        <v>0</v>
      </c>
      <c r="D104" s="134"/>
      <c r="E104" s="285"/>
      <c r="F104" s="286">
        <f t="shared" si="5"/>
        <v>0</v>
      </c>
      <c r="G104" s="134"/>
      <c r="H104" s="135"/>
      <c r="I104" s="136">
        <f t="shared" si="6"/>
        <v>0</v>
      </c>
      <c r="J104" s="134"/>
      <c r="K104" s="135"/>
      <c r="L104" s="136">
        <f t="shared" si="7"/>
        <v>0</v>
      </c>
      <c r="M104" s="284"/>
      <c r="N104" s="285"/>
      <c r="O104" s="136">
        <f t="shared" si="8"/>
        <v>0</v>
      </c>
      <c r="P104" s="85"/>
      <c r="R104" s="53"/>
      <c r="S104" s="53"/>
      <c r="T104" s="53"/>
    </row>
    <row r="105" spans="1:20" ht="24" x14ac:dyDescent="0.25">
      <c r="A105" s="76">
        <v>2239</v>
      </c>
      <c r="B105" s="127" t="s">
        <v>121</v>
      </c>
      <c r="C105" s="128">
        <f t="shared" si="4"/>
        <v>1167</v>
      </c>
      <c r="D105" s="134">
        <v>1167</v>
      </c>
      <c r="E105" s="283"/>
      <c r="F105" s="279">
        <f t="shared" si="5"/>
        <v>1167</v>
      </c>
      <c r="G105" s="134"/>
      <c r="H105" s="135"/>
      <c r="I105" s="136">
        <f t="shared" si="6"/>
        <v>0</v>
      </c>
      <c r="J105" s="134"/>
      <c r="K105" s="135"/>
      <c r="L105" s="136">
        <f t="shared" si="7"/>
        <v>0</v>
      </c>
      <c r="M105" s="284"/>
      <c r="N105" s="285"/>
      <c r="O105" s="136">
        <f t="shared" si="8"/>
        <v>0</v>
      </c>
      <c r="P105" s="85"/>
      <c r="R105" s="53"/>
      <c r="S105" s="53"/>
      <c r="T105" s="53"/>
    </row>
    <row r="106" spans="1:20" ht="36" x14ac:dyDescent="0.25">
      <c r="A106" s="276">
        <v>2240</v>
      </c>
      <c r="B106" s="127" t="s">
        <v>122</v>
      </c>
      <c r="C106" s="128">
        <f t="shared" si="4"/>
        <v>6023</v>
      </c>
      <c r="D106" s="277">
        <f>SUM(D107:D114)</f>
        <v>6023</v>
      </c>
      <c r="E106" s="278">
        <f>SUM(E107:E114)</f>
        <v>0</v>
      </c>
      <c r="F106" s="279">
        <f t="shared" si="5"/>
        <v>6023</v>
      </c>
      <c r="G106" s="277">
        <f>SUM(G107:G114)</f>
        <v>0</v>
      </c>
      <c r="H106" s="280">
        <f>SUM(H107:H114)</f>
        <v>0</v>
      </c>
      <c r="I106" s="136">
        <f t="shared" si="6"/>
        <v>0</v>
      </c>
      <c r="J106" s="277">
        <f>SUM(J107:J114)</f>
        <v>0</v>
      </c>
      <c r="K106" s="280">
        <f>SUM(K107:K114)</f>
        <v>0</v>
      </c>
      <c r="L106" s="136">
        <f t="shared" si="7"/>
        <v>0</v>
      </c>
      <c r="M106" s="281">
        <f>SUM(M107:M114)</f>
        <v>0</v>
      </c>
      <c r="N106" s="282">
        <f>SUM(N107:N114)</f>
        <v>0</v>
      </c>
      <c r="O106" s="136">
        <f t="shared" si="8"/>
        <v>0</v>
      </c>
      <c r="P106" s="85"/>
      <c r="R106" s="53"/>
      <c r="S106" s="53"/>
      <c r="T106" s="53"/>
    </row>
    <row r="107" spans="1:20" hidden="1" x14ac:dyDescent="0.25">
      <c r="A107" s="76">
        <v>2241</v>
      </c>
      <c r="B107" s="127" t="s">
        <v>123</v>
      </c>
      <c r="C107" s="128">
        <f t="shared" si="4"/>
        <v>0</v>
      </c>
      <c r="D107" s="134"/>
      <c r="E107" s="285"/>
      <c r="F107" s="286">
        <f t="shared" si="5"/>
        <v>0</v>
      </c>
      <c r="G107" s="134"/>
      <c r="H107" s="135"/>
      <c r="I107" s="136">
        <f t="shared" si="6"/>
        <v>0</v>
      </c>
      <c r="J107" s="134"/>
      <c r="K107" s="135"/>
      <c r="L107" s="136">
        <f t="shared" si="7"/>
        <v>0</v>
      </c>
      <c r="M107" s="284"/>
      <c r="N107" s="285"/>
      <c r="O107" s="136">
        <f t="shared" si="8"/>
        <v>0</v>
      </c>
      <c r="P107" s="85"/>
      <c r="R107" s="53"/>
      <c r="S107" s="53"/>
      <c r="T107" s="53"/>
    </row>
    <row r="108" spans="1:20" ht="24" hidden="1" x14ac:dyDescent="0.25">
      <c r="A108" s="76">
        <v>2242</v>
      </c>
      <c r="B108" s="127" t="s">
        <v>124</v>
      </c>
      <c r="C108" s="128">
        <f t="shared" si="4"/>
        <v>0</v>
      </c>
      <c r="D108" s="134"/>
      <c r="E108" s="285"/>
      <c r="F108" s="286">
        <f t="shared" si="5"/>
        <v>0</v>
      </c>
      <c r="G108" s="134"/>
      <c r="H108" s="135"/>
      <c r="I108" s="136">
        <f t="shared" si="6"/>
        <v>0</v>
      </c>
      <c r="J108" s="134"/>
      <c r="K108" s="135"/>
      <c r="L108" s="136">
        <f t="shared" si="7"/>
        <v>0</v>
      </c>
      <c r="M108" s="284"/>
      <c r="N108" s="285"/>
      <c r="O108" s="136">
        <f t="shared" si="8"/>
        <v>0</v>
      </c>
      <c r="P108" s="85"/>
      <c r="R108" s="53"/>
      <c r="S108" s="53"/>
      <c r="T108" s="53"/>
    </row>
    <row r="109" spans="1:20" ht="24" x14ac:dyDescent="0.25">
      <c r="A109" s="76">
        <v>2243</v>
      </c>
      <c r="B109" s="127" t="s">
        <v>125</v>
      </c>
      <c r="C109" s="128">
        <f t="shared" si="4"/>
        <v>190</v>
      </c>
      <c r="D109" s="134">
        <v>190</v>
      </c>
      <c r="E109" s="283"/>
      <c r="F109" s="279">
        <f t="shared" si="5"/>
        <v>190</v>
      </c>
      <c r="G109" s="134"/>
      <c r="H109" s="135"/>
      <c r="I109" s="136">
        <f t="shared" si="6"/>
        <v>0</v>
      </c>
      <c r="J109" s="134"/>
      <c r="K109" s="135"/>
      <c r="L109" s="136">
        <f t="shared" si="7"/>
        <v>0</v>
      </c>
      <c r="M109" s="284"/>
      <c r="N109" s="285"/>
      <c r="O109" s="136">
        <f t="shared" si="8"/>
        <v>0</v>
      </c>
      <c r="P109" s="85"/>
      <c r="R109" s="53"/>
      <c r="S109" s="53"/>
      <c r="T109" s="53"/>
    </row>
    <row r="110" spans="1:20" x14ac:dyDescent="0.25">
      <c r="A110" s="76">
        <v>2244</v>
      </c>
      <c r="B110" s="127" t="s">
        <v>126</v>
      </c>
      <c r="C110" s="128">
        <f t="shared" si="4"/>
        <v>2293</v>
      </c>
      <c r="D110" s="134">
        <v>2293</v>
      </c>
      <c r="E110" s="283"/>
      <c r="F110" s="279">
        <f t="shared" si="5"/>
        <v>2293</v>
      </c>
      <c r="G110" s="134"/>
      <c r="H110" s="135"/>
      <c r="I110" s="136">
        <f t="shared" si="6"/>
        <v>0</v>
      </c>
      <c r="J110" s="134"/>
      <c r="K110" s="135"/>
      <c r="L110" s="136">
        <f t="shared" si="7"/>
        <v>0</v>
      </c>
      <c r="M110" s="284"/>
      <c r="N110" s="285"/>
      <c r="O110" s="136">
        <f t="shared" si="8"/>
        <v>0</v>
      </c>
      <c r="P110" s="85"/>
      <c r="R110" s="53"/>
      <c r="S110" s="53"/>
      <c r="T110" s="53"/>
    </row>
    <row r="111" spans="1:20" ht="24" hidden="1" x14ac:dyDescent="0.25">
      <c r="A111" s="76">
        <v>2246</v>
      </c>
      <c r="B111" s="127" t="s">
        <v>127</v>
      </c>
      <c r="C111" s="128">
        <f t="shared" si="4"/>
        <v>0</v>
      </c>
      <c r="D111" s="134"/>
      <c r="E111" s="285"/>
      <c r="F111" s="286">
        <f t="shared" si="5"/>
        <v>0</v>
      </c>
      <c r="G111" s="134"/>
      <c r="H111" s="135"/>
      <c r="I111" s="136">
        <f t="shared" si="6"/>
        <v>0</v>
      </c>
      <c r="J111" s="134"/>
      <c r="K111" s="135"/>
      <c r="L111" s="136">
        <f t="shared" si="7"/>
        <v>0</v>
      </c>
      <c r="M111" s="284"/>
      <c r="N111" s="285"/>
      <c r="O111" s="136">
        <f t="shared" si="8"/>
        <v>0</v>
      </c>
      <c r="P111" s="85"/>
      <c r="R111" s="53"/>
      <c r="S111" s="53"/>
      <c r="T111" s="53"/>
    </row>
    <row r="112" spans="1:20" hidden="1" x14ac:dyDescent="0.25">
      <c r="A112" s="76">
        <v>2247</v>
      </c>
      <c r="B112" s="127" t="s">
        <v>128</v>
      </c>
      <c r="C112" s="128">
        <f t="shared" si="4"/>
        <v>0</v>
      </c>
      <c r="D112" s="134"/>
      <c r="E112" s="285"/>
      <c r="F112" s="286">
        <f t="shared" si="5"/>
        <v>0</v>
      </c>
      <c r="G112" s="134"/>
      <c r="H112" s="135"/>
      <c r="I112" s="136">
        <f t="shared" si="6"/>
        <v>0</v>
      </c>
      <c r="J112" s="134"/>
      <c r="K112" s="135"/>
      <c r="L112" s="136">
        <f t="shared" si="7"/>
        <v>0</v>
      </c>
      <c r="M112" s="284"/>
      <c r="N112" s="285"/>
      <c r="O112" s="136">
        <f t="shared" si="8"/>
        <v>0</v>
      </c>
      <c r="P112" s="85"/>
      <c r="R112" s="53"/>
      <c r="S112" s="53"/>
      <c r="T112" s="53"/>
    </row>
    <row r="113" spans="1:20" ht="24" hidden="1" x14ac:dyDescent="0.25">
      <c r="A113" s="76">
        <v>2248</v>
      </c>
      <c r="B113" s="127" t="s">
        <v>129</v>
      </c>
      <c r="C113" s="128">
        <f t="shared" si="4"/>
        <v>0</v>
      </c>
      <c r="D113" s="134"/>
      <c r="E113" s="285"/>
      <c r="F113" s="286">
        <f t="shared" si="5"/>
        <v>0</v>
      </c>
      <c r="G113" s="134"/>
      <c r="H113" s="135"/>
      <c r="I113" s="136">
        <f t="shared" si="6"/>
        <v>0</v>
      </c>
      <c r="J113" s="134"/>
      <c r="K113" s="135"/>
      <c r="L113" s="136">
        <f t="shared" si="7"/>
        <v>0</v>
      </c>
      <c r="M113" s="284"/>
      <c r="N113" s="285"/>
      <c r="O113" s="136">
        <f t="shared" si="8"/>
        <v>0</v>
      </c>
      <c r="P113" s="85"/>
      <c r="R113" s="53"/>
      <c r="S113" s="53"/>
      <c r="T113" s="53"/>
    </row>
    <row r="114" spans="1:20" ht="24" x14ac:dyDescent="0.25">
      <c r="A114" s="76">
        <v>2249</v>
      </c>
      <c r="B114" s="127" t="s">
        <v>130</v>
      </c>
      <c r="C114" s="128">
        <f t="shared" si="4"/>
        <v>3540</v>
      </c>
      <c r="D114" s="134">
        <v>3540</v>
      </c>
      <c r="E114" s="283"/>
      <c r="F114" s="279">
        <f t="shared" si="5"/>
        <v>3540</v>
      </c>
      <c r="G114" s="134"/>
      <c r="H114" s="135"/>
      <c r="I114" s="136">
        <f t="shared" si="6"/>
        <v>0</v>
      </c>
      <c r="J114" s="134"/>
      <c r="K114" s="135"/>
      <c r="L114" s="136">
        <f t="shared" si="7"/>
        <v>0</v>
      </c>
      <c r="M114" s="284"/>
      <c r="N114" s="285"/>
      <c r="O114" s="136">
        <f t="shared" si="8"/>
        <v>0</v>
      </c>
      <c r="P114" s="85"/>
      <c r="R114" s="53"/>
      <c r="S114" s="53"/>
      <c r="T114" s="53"/>
    </row>
    <row r="115" spans="1:20" x14ac:dyDescent="0.25">
      <c r="A115" s="276">
        <v>2250</v>
      </c>
      <c r="B115" s="127" t="s">
        <v>131</v>
      </c>
      <c r="C115" s="128">
        <f t="shared" si="4"/>
        <v>166</v>
      </c>
      <c r="D115" s="277">
        <f>SUM(D116:D118)</f>
        <v>166</v>
      </c>
      <c r="E115" s="278">
        <f>SUM(E116:E118)</f>
        <v>0</v>
      </c>
      <c r="F115" s="279">
        <f t="shared" si="5"/>
        <v>166</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c r="R115" s="53"/>
      <c r="S115" s="53"/>
      <c r="T115" s="53"/>
    </row>
    <row r="116" spans="1:20" x14ac:dyDescent="0.25">
      <c r="A116" s="76">
        <v>2251</v>
      </c>
      <c r="B116" s="127" t="s">
        <v>132</v>
      </c>
      <c r="C116" s="128">
        <f t="shared" si="4"/>
        <v>166</v>
      </c>
      <c r="D116" s="134">
        <v>166</v>
      </c>
      <c r="E116" s="283"/>
      <c r="F116" s="279">
        <f t="shared" si="5"/>
        <v>166</v>
      </c>
      <c r="G116" s="134"/>
      <c r="H116" s="135"/>
      <c r="I116" s="136">
        <f t="shared" si="6"/>
        <v>0</v>
      </c>
      <c r="J116" s="134"/>
      <c r="K116" s="135"/>
      <c r="L116" s="136">
        <f t="shared" si="7"/>
        <v>0</v>
      </c>
      <c r="M116" s="284"/>
      <c r="N116" s="285"/>
      <c r="O116" s="136">
        <f t="shared" si="8"/>
        <v>0</v>
      </c>
      <c r="P116" s="85"/>
      <c r="R116" s="53"/>
      <c r="S116" s="53"/>
      <c r="T116" s="53"/>
    </row>
    <row r="117" spans="1:20" ht="24" hidden="1" x14ac:dyDescent="0.25">
      <c r="A117" s="76">
        <v>2252</v>
      </c>
      <c r="B117" s="127" t="s">
        <v>133</v>
      </c>
      <c r="C117" s="128">
        <f t="shared" ref="C117:C181" si="9">F117+I117+L117+O117</f>
        <v>0</v>
      </c>
      <c r="D117" s="134"/>
      <c r="E117" s="285"/>
      <c r="F117" s="286">
        <f t="shared" si="5"/>
        <v>0</v>
      </c>
      <c r="G117" s="134"/>
      <c r="H117" s="135"/>
      <c r="I117" s="136">
        <f t="shared" si="6"/>
        <v>0</v>
      </c>
      <c r="J117" s="134"/>
      <c r="K117" s="135"/>
      <c r="L117" s="136">
        <f t="shared" si="7"/>
        <v>0</v>
      </c>
      <c r="M117" s="284"/>
      <c r="N117" s="285"/>
      <c r="O117" s="136">
        <f t="shared" si="8"/>
        <v>0</v>
      </c>
      <c r="P117" s="85"/>
      <c r="R117" s="53"/>
      <c r="S117" s="53"/>
      <c r="T117" s="53"/>
    </row>
    <row r="118" spans="1:20" ht="24" hidden="1" x14ac:dyDescent="0.25">
      <c r="A118" s="76">
        <v>2259</v>
      </c>
      <c r="B118" s="127" t="s">
        <v>134</v>
      </c>
      <c r="C118" s="128">
        <f t="shared" si="9"/>
        <v>0</v>
      </c>
      <c r="D118" s="134"/>
      <c r="E118" s="285"/>
      <c r="F118" s="286">
        <f t="shared" ref="F118:F182" si="10">D118+E118</f>
        <v>0</v>
      </c>
      <c r="G118" s="134"/>
      <c r="H118" s="135"/>
      <c r="I118" s="136">
        <f t="shared" ref="I118:I182" si="11">G118+H118</f>
        <v>0</v>
      </c>
      <c r="J118" s="134"/>
      <c r="K118" s="135"/>
      <c r="L118" s="136">
        <f t="shared" ref="L118:L182" si="12">J118+K118</f>
        <v>0</v>
      </c>
      <c r="M118" s="284"/>
      <c r="N118" s="285"/>
      <c r="O118" s="136">
        <f t="shared" ref="O118:O182" si="13">M118+N118</f>
        <v>0</v>
      </c>
      <c r="P118" s="85"/>
      <c r="R118" s="53"/>
      <c r="S118" s="53"/>
      <c r="T118" s="53"/>
    </row>
    <row r="119" spans="1:20" x14ac:dyDescent="0.25">
      <c r="A119" s="276">
        <v>2260</v>
      </c>
      <c r="B119" s="127" t="s">
        <v>135</v>
      </c>
      <c r="C119" s="128">
        <f t="shared" si="9"/>
        <v>47</v>
      </c>
      <c r="D119" s="277">
        <f>SUM(D120:D124)</f>
        <v>47</v>
      </c>
      <c r="E119" s="278">
        <f>SUM(E120:E124)</f>
        <v>0</v>
      </c>
      <c r="F119" s="279">
        <f t="shared" si="10"/>
        <v>47</v>
      </c>
      <c r="G119" s="277">
        <f>SUM(G120:G124)</f>
        <v>0</v>
      </c>
      <c r="H119" s="280">
        <f>SUM(H120:H124)</f>
        <v>0</v>
      </c>
      <c r="I119" s="136">
        <f t="shared" si="11"/>
        <v>0</v>
      </c>
      <c r="J119" s="277">
        <f>SUM(J120:J124)</f>
        <v>0</v>
      </c>
      <c r="K119" s="280">
        <f>SUM(K120:K124)</f>
        <v>0</v>
      </c>
      <c r="L119" s="136">
        <f t="shared" si="12"/>
        <v>0</v>
      </c>
      <c r="M119" s="281">
        <f>SUM(M120:M124)</f>
        <v>0</v>
      </c>
      <c r="N119" s="282">
        <f>SUM(N120:N124)</f>
        <v>0</v>
      </c>
      <c r="O119" s="136">
        <f t="shared" si="13"/>
        <v>0</v>
      </c>
      <c r="P119" s="85"/>
      <c r="R119" s="53"/>
      <c r="S119" s="53"/>
      <c r="T119" s="53"/>
    </row>
    <row r="120" spans="1:20" hidden="1" x14ac:dyDescent="0.25">
      <c r="A120" s="76">
        <v>2261</v>
      </c>
      <c r="B120" s="127" t="s">
        <v>136</v>
      </c>
      <c r="C120" s="128">
        <f t="shared" si="9"/>
        <v>0</v>
      </c>
      <c r="D120" s="134"/>
      <c r="E120" s="285"/>
      <c r="F120" s="286">
        <f t="shared" si="10"/>
        <v>0</v>
      </c>
      <c r="G120" s="134"/>
      <c r="H120" s="135"/>
      <c r="I120" s="136">
        <f t="shared" si="11"/>
        <v>0</v>
      </c>
      <c r="J120" s="134"/>
      <c r="K120" s="135"/>
      <c r="L120" s="136">
        <f t="shared" si="12"/>
        <v>0</v>
      </c>
      <c r="M120" s="284"/>
      <c r="N120" s="285"/>
      <c r="O120" s="136">
        <f t="shared" si="13"/>
        <v>0</v>
      </c>
      <c r="P120" s="85"/>
      <c r="R120" s="53"/>
      <c r="S120" s="53"/>
      <c r="T120" s="53"/>
    </row>
    <row r="121" spans="1:20" hidden="1" x14ac:dyDescent="0.25">
      <c r="A121" s="76">
        <v>2262</v>
      </c>
      <c r="B121" s="127" t="s">
        <v>137</v>
      </c>
      <c r="C121" s="128">
        <f t="shared" si="9"/>
        <v>0</v>
      </c>
      <c r="D121" s="134"/>
      <c r="E121" s="285"/>
      <c r="F121" s="286">
        <f t="shared" si="10"/>
        <v>0</v>
      </c>
      <c r="G121" s="134"/>
      <c r="H121" s="135"/>
      <c r="I121" s="136">
        <f t="shared" si="11"/>
        <v>0</v>
      </c>
      <c r="J121" s="134"/>
      <c r="K121" s="135"/>
      <c r="L121" s="136">
        <f t="shared" si="12"/>
        <v>0</v>
      </c>
      <c r="M121" s="284"/>
      <c r="N121" s="285"/>
      <c r="O121" s="136">
        <f t="shared" si="13"/>
        <v>0</v>
      </c>
      <c r="P121" s="85"/>
      <c r="R121" s="53"/>
      <c r="S121" s="53"/>
      <c r="T121" s="53"/>
    </row>
    <row r="122" spans="1:20" hidden="1" x14ac:dyDescent="0.25">
      <c r="A122" s="76">
        <v>2263</v>
      </c>
      <c r="B122" s="127" t="s">
        <v>138</v>
      </c>
      <c r="C122" s="128">
        <f t="shared" si="9"/>
        <v>0</v>
      </c>
      <c r="D122" s="134"/>
      <c r="E122" s="285"/>
      <c r="F122" s="286">
        <f t="shared" si="10"/>
        <v>0</v>
      </c>
      <c r="G122" s="134"/>
      <c r="H122" s="135"/>
      <c r="I122" s="136">
        <f t="shared" si="11"/>
        <v>0</v>
      </c>
      <c r="J122" s="134"/>
      <c r="K122" s="135"/>
      <c r="L122" s="136">
        <f t="shared" si="12"/>
        <v>0</v>
      </c>
      <c r="M122" s="284"/>
      <c r="N122" s="285"/>
      <c r="O122" s="136">
        <f t="shared" si="13"/>
        <v>0</v>
      </c>
      <c r="P122" s="85"/>
      <c r="R122" s="53"/>
      <c r="S122" s="53"/>
      <c r="T122" s="53"/>
    </row>
    <row r="123" spans="1:20" ht="24" hidden="1" x14ac:dyDescent="0.25">
      <c r="A123" s="76">
        <v>2264</v>
      </c>
      <c r="B123" s="127" t="s">
        <v>139</v>
      </c>
      <c r="C123" s="128">
        <f t="shared" si="9"/>
        <v>0</v>
      </c>
      <c r="D123" s="134"/>
      <c r="E123" s="285"/>
      <c r="F123" s="286">
        <f t="shared" si="10"/>
        <v>0</v>
      </c>
      <c r="G123" s="134"/>
      <c r="H123" s="135"/>
      <c r="I123" s="136">
        <f t="shared" si="11"/>
        <v>0</v>
      </c>
      <c r="J123" s="134"/>
      <c r="K123" s="135"/>
      <c r="L123" s="136">
        <f t="shared" si="12"/>
        <v>0</v>
      </c>
      <c r="M123" s="284"/>
      <c r="N123" s="285"/>
      <c r="O123" s="136">
        <f t="shared" si="13"/>
        <v>0</v>
      </c>
      <c r="P123" s="85"/>
      <c r="R123" s="53"/>
      <c r="S123" s="53"/>
      <c r="T123" s="53"/>
    </row>
    <row r="124" spans="1:20" x14ac:dyDescent="0.25">
      <c r="A124" s="76">
        <v>2269</v>
      </c>
      <c r="B124" s="127" t="s">
        <v>140</v>
      </c>
      <c r="C124" s="128">
        <f t="shared" si="9"/>
        <v>47</v>
      </c>
      <c r="D124" s="134">
        <v>47</v>
      </c>
      <c r="E124" s="283"/>
      <c r="F124" s="279">
        <f t="shared" si="10"/>
        <v>47</v>
      </c>
      <c r="G124" s="134"/>
      <c r="H124" s="135"/>
      <c r="I124" s="136">
        <f t="shared" si="11"/>
        <v>0</v>
      </c>
      <c r="J124" s="134"/>
      <c r="K124" s="135"/>
      <c r="L124" s="136">
        <f t="shared" si="12"/>
        <v>0</v>
      </c>
      <c r="M124" s="284"/>
      <c r="N124" s="285"/>
      <c r="O124" s="136">
        <f t="shared" si="13"/>
        <v>0</v>
      </c>
      <c r="P124" s="85"/>
      <c r="R124" s="53"/>
      <c r="S124" s="53"/>
      <c r="T124" s="53"/>
    </row>
    <row r="125" spans="1:20" x14ac:dyDescent="0.25">
      <c r="A125" s="276">
        <v>2270</v>
      </c>
      <c r="B125" s="127" t="s">
        <v>141</v>
      </c>
      <c r="C125" s="128">
        <f t="shared" si="9"/>
        <v>972</v>
      </c>
      <c r="D125" s="277">
        <f>SUM(D126:D130)</f>
        <v>10</v>
      </c>
      <c r="E125" s="278">
        <f>SUM(E126:E130)</f>
        <v>0</v>
      </c>
      <c r="F125" s="279">
        <f t="shared" si="10"/>
        <v>10</v>
      </c>
      <c r="G125" s="277">
        <f>SUM(G126:G130)</f>
        <v>0</v>
      </c>
      <c r="H125" s="280">
        <f>SUM(H126:H130)</f>
        <v>0</v>
      </c>
      <c r="I125" s="136">
        <f t="shared" si="11"/>
        <v>0</v>
      </c>
      <c r="J125" s="277">
        <f>SUM(J126:J130)</f>
        <v>962</v>
      </c>
      <c r="K125" s="280">
        <f>SUM(K126:K130)</f>
        <v>0</v>
      </c>
      <c r="L125" s="136">
        <f t="shared" si="12"/>
        <v>962</v>
      </c>
      <c r="M125" s="281">
        <f>SUM(M126:M130)</f>
        <v>0</v>
      </c>
      <c r="N125" s="282">
        <f>SUM(N126:N130)</f>
        <v>0</v>
      </c>
      <c r="O125" s="136">
        <f t="shared" si="13"/>
        <v>0</v>
      </c>
      <c r="P125" s="85"/>
      <c r="R125" s="53"/>
      <c r="S125" s="53"/>
      <c r="T125" s="53"/>
    </row>
    <row r="126" spans="1:20" hidden="1" x14ac:dyDescent="0.25">
      <c r="A126" s="76">
        <v>2272</v>
      </c>
      <c r="B126" s="5" t="s">
        <v>142</v>
      </c>
      <c r="C126" s="128">
        <f t="shared" si="9"/>
        <v>0</v>
      </c>
      <c r="D126" s="134"/>
      <c r="E126" s="285"/>
      <c r="F126" s="286">
        <f t="shared" si="10"/>
        <v>0</v>
      </c>
      <c r="G126" s="134"/>
      <c r="H126" s="135"/>
      <c r="I126" s="136">
        <f t="shared" si="11"/>
        <v>0</v>
      </c>
      <c r="J126" s="134"/>
      <c r="K126" s="135"/>
      <c r="L126" s="136">
        <f t="shared" si="12"/>
        <v>0</v>
      </c>
      <c r="M126" s="284"/>
      <c r="N126" s="285"/>
      <c r="O126" s="136">
        <f t="shared" si="13"/>
        <v>0</v>
      </c>
      <c r="P126" s="85"/>
      <c r="R126" s="53"/>
      <c r="S126" s="53"/>
      <c r="T126" s="53"/>
    </row>
    <row r="127" spans="1:20" ht="24" hidden="1" x14ac:dyDescent="0.25">
      <c r="A127" s="76">
        <v>2275</v>
      </c>
      <c r="B127" s="127" t="s">
        <v>143</v>
      </c>
      <c r="C127" s="128">
        <f t="shared" si="9"/>
        <v>0</v>
      </c>
      <c r="D127" s="134"/>
      <c r="E127" s="285"/>
      <c r="F127" s="286">
        <f t="shared" si="10"/>
        <v>0</v>
      </c>
      <c r="G127" s="134"/>
      <c r="H127" s="135"/>
      <c r="I127" s="136">
        <f t="shared" si="11"/>
        <v>0</v>
      </c>
      <c r="J127" s="134"/>
      <c r="K127" s="135"/>
      <c r="L127" s="136">
        <f t="shared" si="12"/>
        <v>0</v>
      </c>
      <c r="M127" s="284"/>
      <c r="N127" s="285"/>
      <c r="O127" s="136">
        <f t="shared" si="13"/>
        <v>0</v>
      </c>
      <c r="P127" s="85"/>
      <c r="R127" s="53"/>
      <c r="S127" s="53"/>
      <c r="T127" s="53"/>
    </row>
    <row r="128" spans="1:20" ht="36" hidden="1" x14ac:dyDescent="0.25">
      <c r="A128" s="76">
        <v>2276</v>
      </c>
      <c r="B128" s="127" t="s">
        <v>144</v>
      </c>
      <c r="C128" s="128">
        <f t="shared" si="9"/>
        <v>0</v>
      </c>
      <c r="D128" s="134"/>
      <c r="E128" s="285"/>
      <c r="F128" s="286">
        <f t="shared" si="10"/>
        <v>0</v>
      </c>
      <c r="G128" s="134"/>
      <c r="H128" s="135"/>
      <c r="I128" s="136">
        <f t="shared" si="11"/>
        <v>0</v>
      </c>
      <c r="J128" s="134"/>
      <c r="K128" s="135"/>
      <c r="L128" s="136">
        <f t="shared" si="12"/>
        <v>0</v>
      </c>
      <c r="M128" s="284"/>
      <c r="N128" s="285"/>
      <c r="O128" s="136">
        <f t="shared" si="13"/>
        <v>0</v>
      </c>
      <c r="P128" s="85"/>
      <c r="R128" s="53"/>
      <c r="S128" s="53"/>
      <c r="T128" s="53"/>
    </row>
    <row r="129" spans="1:20" ht="24" hidden="1" x14ac:dyDescent="0.25">
      <c r="A129" s="76">
        <v>2278</v>
      </c>
      <c r="B129" s="127" t="s">
        <v>145</v>
      </c>
      <c r="C129" s="128">
        <f t="shared" si="9"/>
        <v>0</v>
      </c>
      <c r="D129" s="134"/>
      <c r="E129" s="285"/>
      <c r="F129" s="286">
        <f t="shared" si="10"/>
        <v>0</v>
      </c>
      <c r="G129" s="134"/>
      <c r="H129" s="135"/>
      <c r="I129" s="136">
        <f t="shared" si="11"/>
        <v>0</v>
      </c>
      <c r="J129" s="134"/>
      <c r="K129" s="135"/>
      <c r="L129" s="136">
        <f t="shared" si="12"/>
        <v>0</v>
      </c>
      <c r="M129" s="284"/>
      <c r="N129" s="285"/>
      <c r="O129" s="136">
        <f t="shared" si="13"/>
        <v>0</v>
      </c>
      <c r="P129" s="85"/>
      <c r="R129" s="53"/>
      <c r="S129" s="53"/>
      <c r="T129" s="53"/>
    </row>
    <row r="130" spans="1:20" ht="24" x14ac:dyDescent="0.25">
      <c r="A130" s="76">
        <v>2279</v>
      </c>
      <c r="B130" s="127" t="s">
        <v>146</v>
      </c>
      <c r="C130" s="128">
        <f t="shared" si="9"/>
        <v>972</v>
      </c>
      <c r="D130" s="134">
        <v>10</v>
      </c>
      <c r="E130" s="283"/>
      <c r="F130" s="279">
        <f t="shared" si="10"/>
        <v>10</v>
      </c>
      <c r="G130" s="134"/>
      <c r="H130" s="135"/>
      <c r="I130" s="136">
        <f t="shared" si="11"/>
        <v>0</v>
      </c>
      <c r="J130" s="134">
        <v>962</v>
      </c>
      <c r="K130" s="135"/>
      <c r="L130" s="136">
        <f t="shared" si="12"/>
        <v>962</v>
      </c>
      <c r="M130" s="284"/>
      <c r="N130" s="285"/>
      <c r="O130" s="136">
        <f t="shared" si="13"/>
        <v>0</v>
      </c>
      <c r="P130" s="85"/>
      <c r="R130" s="53"/>
      <c r="S130" s="53"/>
      <c r="T130" s="53"/>
    </row>
    <row r="131" spans="1:20" ht="24" hidden="1" x14ac:dyDescent="0.25">
      <c r="A131" s="656">
        <v>2280</v>
      </c>
      <c r="B131" s="116" t="s">
        <v>147</v>
      </c>
      <c r="C131" s="128">
        <f t="shared" si="9"/>
        <v>0</v>
      </c>
      <c r="D131" s="297">
        <f t="shared" ref="D131:N131" si="14">SUM(D132)</f>
        <v>0</v>
      </c>
      <c r="E131" s="301">
        <f t="shared" si="14"/>
        <v>0</v>
      </c>
      <c r="F131" s="263">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c r="R131" s="53"/>
      <c r="S131" s="53"/>
      <c r="T131" s="53"/>
    </row>
    <row r="132" spans="1:20" ht="24" hidden="1" x14ac:dyDescent="0.25">
      <c r="A132" s="76">
        <v>2283</v>
      </c>
      <c r="B132" s="127" t="s">
        <v>148</v>
      </c>
      <c r="C132" s="128">
        <f t="shared" si="9"/>
        <v>0</v>
      </c>
      <c r="D132" s="134"/>
      <c r="E132" s="285"/>
      <c r="F132" s="286">
        <f t="shared" si="10"/>
        <v>0</v>
      </c>
      <c r="G132" s="134"/>
      <c r="H132" s="135"/>
      <c r="I132" s="136">
        <f t="shared" si="11"/>
        <v>0</v>
      </c>
      <c r="J132" s="134"/>
      <c r="K132" s="135"/>
      <c r="L132" s="136">
        <f t="shared" si="12"/>
        <v>0</v>
      </c>
      <c r="M132" s="284"/>
      <c r="N132" s="285"/>
      <c r="O132" s="136">
        <f t="shared" si="13"/>
        <v>0</v>
      </c>
      <c r="P132" s="85"/>
      <c r="R132" s="53"/>
      <c r="S132" s="53"/>
      <c r="T132" s="53"/>
    </row>
    <row r="133" spans="1:20" ht="36" x14ac:dyDescent="0.25">
      <c r="A133" s="99">
        <v>2300</v>
      </c>
      <c r="B133" s="247" t="s">
        <v>149</v>
      </c>
      <c r="C133" s="100">
        <f t="shared" si="9"/>
        <v>24145</v>
      </c>
      <c r="D133" s="112">
        <f>SUM(D134,D139,D143,D144,D147,D154,D162,D163,D166)</f>
        <v>18787</v>
      </c>
      <c r="E133" s="248">
        <f>SUM(E134,E139,E143,E144,E147,E154,E162,E163,E166)</f>
        <v>0</v>
      </c>
      <c r="F133" s="249">
        <f t="shared" si="10"/>
        <v>18787</v>
      </c>
      <c r="G133" s="112">
        <f>SUM(G134,G139,G143,G144,G147,G154,G162,G163,G166)</f>
        <v>1325</v>
      </c>
      <c r="H133" s="113">
        <f>SUM(H134,H139,H143,H144,H147,H154,H162,H163,H166)</f>
        <v>0</v>
      </c>
      <c r="I133" s="114">
        <f t="shared" si="11"/>
        <v>1325</v>
      </c>
      <c r="J133" s="112">
        <f>SUM(J134,J139,J143,J144,J147,J154,J162,J163,J166)</f>
        <v>4033</v>
      </c>
      <c r="K133" s="113">
        <f>SUM(K134,K139,K143,K144,K147,K154,K162,K163,K166)</f>
        <v>0</v>
      </c>
      <c r="L133" s="114">
        <f t="shared" si="12"/>
        <v>4033</v>
      </c>
      <c r="M133" s="292">
        <f>SUM(M134,M139,M143,M144,M147,M154,M162,M163,M166)</f>
        <v>0</v>
      </c>
      <c r="N133" s="293">
        <f>SUM(N134,N139,N143,N144,N147,N154,N162,N163,N166)</f>
        <v>0</v>
      </c>
      <c r="O133" s="114">
        <f t="shared" si="13"/>
        <v>0</v>
      </c>
      <c r="P133" s="109"/>
      <c r="R133" s="53"/>
      <c r="S133" s="53"/>
      <c r="T133" s="53"/>
    </row>
    <row r="134" spans="1:20" ht="24" x14ac:dyDescent="0.25">
      <c r="A134" s="656">
        <v>2310</v>
      </c>
      <c r="B134" s="116" t="s">
        <v>150</v>
      </c>
      <c r="C134" s="117">
        <f t="shared" si="9"/>
        <v>10051</v>
      </c>
      <c r="D134" s="308">
        <f>SUM(D135:D138)</f>
        <v>9701</v>
      </c>
      <c r="E134" s="300">
        <f>SUM(E135:E138)</f>
        <v>0</v>
      </c>
      <c r="F134" s="296">
        <f t="shared" si="10"/>
        <v>9701</v>
      </c>
      <c r="G134" s="297">
        <f>SUM(G135:G138)</f>
        <v>0</v>
      </c>
      <c r="H134" s="299">
        <f>SUM(H135:H138)</f>
        <v>0</v>
      </c>
      <c r="I134" s="125">
        <f t="shared" si="11"/>
        <v>0</v>
      </c>
      <c r="J134" s="297">
        <f>SUM(J135:J138)</f>
        <v>350</v>
      </c>
      <c r="K134" s="299">
        <f>SUM(K135:K138)</f>
        <v>0</v>
      </c>
      <c r="L134" s="125">
        <f t="shared" si="12"/>
        <v>350</v>
      </c>
      <c r="M134" s="300">
        <f>SUM(M135:M138)</f>
        <v>0</v>
      </c>
      <c r="N134" s="301">
        <f>SUM(N135:N138)</f>
        <v>0</v>
      </c>
      <c r="O134" s="125">
        <f t="shared" si="13"/>
        <v>0</v>
      </c>
      <c r="P134" s="74"/>
      <c r="R134" s="53"/>
      <c r="S134" s="53"/>
      <c r="T134" s="53"/>
    </row>
    <row r="135" spans="1:20" x14ac:dyDescent="0.25">
      <c r="A135" s="76">
        <v>2311</v>
      </c>
      <c r="B135" s="127" t="s">
        <v>151</v>
      </c>
      <c r="C135" s="128">
        <f t="shared" si="9"/>
        <v>350</v>
      </c>
      <c r="D135" s="134">
        <v>350</v>
      </c>
      <c r="E135" s="283"/>
      <c r="F135" s="279">
        <f t="shared" si="10"/>
        <v>350</v>
      </c>
      <c r="G135" s="134"/>
      <c r="H135" s="135"/>
      <c r="I135" s="136">
        <f t="shared" si="11"/>
        <v>0</v>
      </c>
      <c r="J135" s="134"/>
      <c r="K135" s="135"/>
      <c r="L135" s="136">
        <f t="shared" si="12"/>
        <v>0</v>
      </c>
      <c r="M135" s="284"/>
      <c r="N135" s="285"/>
      <c r="O135" s="136">
        <f t="shared" si="13"/>
        <v>0</v>
      </c>
      <c r="P135" s="85"/>
      <c r="R135" s="53"/>
      <c r="S135" s="53"/>
      <c r="T135" s="53"/>
    </row>
    <row r="136" spans="1:20" ht="52.5" customHeight="1" x14ac:dyDescent="0.25">
      <c r="A136" s="76">
        <v>2312</v>
      </c>
      <c r="B136" s="127" t="s">
        <v>152</v>
      </c>
      <c r="C136" s="128">
        <f t="shared" si="9"/>
        <v>9551</v>
      </c>
      <c r="D136" s="134">
        <v>9201</v>
      </c>
      <c r="E136" s="283"/>
      <c r="F136" s="279">
        <f t="shared" si="10"/>
        <v>9201</v>
      </c>
      <c r="G136" s="134"/>
      <c r="H136" s="135"/>
      <c r="I136" s="136">
        <f t="shared" si="11"/>
        <v>0</v>
      </c>
      <c r="J136" s="134">
        <v>350</v>
      </c>
      <c r="K136" s="135"/>
      <c r="L136" s="136">
        <f t="shared" si="12"/>
        <v>350</v>
      </c>
      <c r="M136" s="284"/>
      <c r="N136" s="285"/>
      <c r="O136" s="136">
        <f t="shared" si="13"/>
        <v>0</v>
      </c>
      <c r="P136" s="309"/>
      <c r="R136" s="53"/>
      <c r="S136" s="53"/>
      <c r="T136" s="53"/>
    </row>
    <row r="137" spans="1:20" x14ac:dyDescent="0.25">
      <c r="A137" s="76">
        <v>2313</v>
      </c>
      <c r="B137" s="127" t="s">
        <v>153</v>
      </c>
      <c r="C137" s="128">
        <f t="shared" si="9"/>
        <v>150</v>
      </c>
      <c r="D137" s="134">
        <v>150</v>
      </c>
      <c r="E137" s="283"/>
      <c r="F137" s="279">
        <f t="shared" si="10"/>
        <v>150</v>
      </c>
      <c r="G137" s="134"/>
      <c r="H137" s="135"/>
      <c r="I137" s="136">
        <f t="shared" si="11"/>
        <v>0</v>
      </c>
      <c r="J137" s="134"/>
      <c r="K137" s="135"/>
      <c r="L137" s="136">
        <f t="shared" si="12"/>
        <v>0</v>
      </c>
      <c r="M137" s="284"/>
      <c r="N137" s="285"/>
      <c r="O137" s="136">
        <f t="shared" si="13"/>
        <v>0</v>
      </c>
      <c r="P137" s="85"/>
      <c r="R137" s="53"/>
      <c r="S137" s="53"/>
      <c r="T137" s="53"/>
    </row>
    <row r="138" spans="1:20" ht="33.75" hidden="1" customHeight="1" x14ac:dyDescent="0.25">
      <c r="A138" s="76">
        <v>2314</v>
      </c>
      <c r="B138" s="127" t="s">
        <v>154</v>
      </c>
      <c r="C138" s="128">
        <f t="shared" si="9"/>
        <v>0</v>
      </c>
      <c r="D138" s="134"/>
      <c r="E138" s="285"/>
      <c r="F138" s="286">
        <f t="shared" si="10"/>
        <v>0</v>
      </c>
      <c r="G138" s="134"/>
      <c r="H138" s="135"/>
      <c r="I138" s="136">
        <f t="shared" si="11"/>
        <v>0</v>
      </c>
      <c r="J138" s="134"/>
      <c r="K138" s="135"/>
      <c r="L138" s="136">
        <f t="shared" si="12"/>
        <v>0</v>
      </c>
      <c r="M138" s="284"/>
      <c r="N138" s="285"/>
      <c r="O138" s="136">
        <f t="shared" si="13"/>
        <v>0</v>
      </c>
      <c r="P138" s="85"/>
      <c r="R138" s="53"/>
      <c r="S138" s="53"/>
      <c r="T138" s="53"/>
    </row>
    <row r="139" spans="1:20" x14ac:dyDescent="0.25">
      <c r="A139" s="276">
        <v>2320</v>
      </c>
      <c r="B139" s="127" t="s">
        <v>155</v>
      </c>
      <c r="C139" s="128">
        <f t="shared" si="9"/>
        <v>35</v>
      </c>
      <c r="D139" s="277">
        <f>SUM(D140:D142)</f>
        <v>35</v>
      </c>
      <c r="E139" s="278">
        <f>SUM(E140:E142)</f>
        <v>0</v>
      </c>
      <c r="F139" s="279">
        <f t="shared" si="10"/>
        <v>35</v>
      </c>
      <c r="G139" s="277">
        <f>SUM(G140:G142)</f>
        <v>0</v>
      </c>
      <c r="H139" s="280">
        <f>SUM(H140:H142)</f>
        <v>0</v>
      </c>
      <c r="I139" s="136">
        <f t="shared" si="11"/>
        <v>0</v>
      </c>
      <c r="J139" s="277">
        <f>SUM(J140:J142)</f>
        <v>0</v>
      </c>
      <c r="K139" s="280">
        <f>SUM(K140:K142)</f>
        <v>0</v>
      </c>
      <c r="L139" s="136">
        <f t="shared" si="12"/>
        <v>0</v>
      </c>
      <c r="M139" s="281">
        <f>SUM(M140:M142)</f>
        <v>0</v>
      </c>
      <c r="N139" s="282">
        <f>SUM(N140:N142)</f>
        <v>0</v>
      </c>
      <c r="O139" s="136">
        <f t="shared" si="13"/>
        <v>0</v>
      </c>
      <c r="P139" s="85"/>
      <c r="R139" s="53"/>
      <c r="S139" s="53"/>
      <c r="T139" s="53"/>
    </row>
    <row r="140" spans="1:20" hidden="1" x14ac:dyDescent="0.25">
      <c r="A140" s="76">
        <v>2321</v>
      </c>
      <c r="B140" s="127" t="s">
        <v>156</v>
      </c>
      <c r="C140" s="128">
        <f t="shared" si="9"/>
        <v>0</v>
      </c>
      <c r="D140" s="134"/>
      <c r="E140" s="285"/>
      <c r="F140" s="286">
        <f t="shared" si="10"/>
        <v>0</v>
      </c>
      <c r="G140" s="134"/>
      <c r="H140" s="135"/>
      <c r="I140" s="136">
        <f t="shared" si="11"/>
        <v>0</v>
      </c>
      <c r="J140" s="134"/>
      <c r="K140" s="135"/>
      <c r="L140" s="136">
        <f t="shared" si="12"/>
        <v>0</v>
      </c>
      <c r="M140" s="284"/>
      <c r="N140" s="285"/>
      <c r="O140" s="136">
        <f t="shared" si="13"/>
        <v>0</v>
      </c>
      <c r="P140" s="85"/>
      <c r="R140" s="53"/>
      <c r="S140" s="53"/>
      <c r="T140" s="53"/>
    </row>
    <row r="141" spans="1:20" x14ac:dyDescent="0.25">
      <c r="A141" s="265">
        <v>2322</v>
      </c>
      <c r="B141" s="266" t="s">
        <v>157</v>
      </c>
      <c r="C141" s="267">
        <f t="shared" si="9"/>
        <v>35</v>
      </c>
      <c r="D141" s="268">
        <v>35</v>
      </c>
      <c r="E141" s="269"/>
      <c r="F141" s="270">
        <f t="shared" si="10"/>
        <v>35</v>
      </c>
      <c r="G141" s="268"/>
      <c r="H141" s="271"/>
      <c r="I141" s="272">
        <f t="shared" si="11"/>
        <v>0</v>
      </c>
      <c r="J141" s="268"/>
      <c r="K141" s="271"/>
      <c r="L141" s="272">
        <f t="shared" si="12"/>
        <v>0</v>
      </c>
      <c r="M141" s="273"/>
      <c r="N141" s="274"/>
      <c r="O141" s="272">
        <f t="shared" si="13"/>
        <v>0</v>
      </c>
      <c r="P141" s="275"/>
      <c r="R141" s="53"/>
      <c r="S141" s="53"/>
      <c r="T141" s="53"/>
    </row>
    <row r="142" spans="1:20" hidden="1" x14ac:dyDescent="0.25">
      <c r="A142" s="76">
        <v>2329</v>
      </c>
      <c r="B142" s="127" t="s">
        <v>158</v>
      </c>
      <c r="C142" s="128">
        <f t="shared" si="9"/>
        <v>0</v>
      </c>
      <c r="D142" s="134"/>
      <c r="E142" s="285"/>
      <c r="F142" s="286">
        <f t="shared" si="10"/>
        <v>0</v>
      </c>
      <c r="G142" s="134"/>
      <c r="H142" s="135"/>
      <c r="I142" s="136">
        <f t="shared" si="11"/>
        <v>0</v>
      </c>
      <c r="J142" s="134"/>
      <c r="K142" s="135"/>
      <c r="L142" s="136">
        <f t="shared" si="12"/>
        <v>0</v>
      </c>
      <c r="M142" s="284"/>
      <c r="N142" s="285"/>
      <c r="O142" s="136">
        <f t="shared" si="13"/>
        <v>0</v>
      </c>
      <c r="P142" s="85"/>
      <c r="R142" s="53"/>
      <c r="S142" s="53"/>
      <c r="T142" s="53"/>
    </row>
    <row r="143" spans="1:20" hidden="1" x14ac:dyDescent="0.25">
      <c r="A143" s="276">
        <v>2330</v>
      </c>
      <c r="B143" s="127" t="s">
        <v>159</v>
      </c>
      <c r="C143" s="128">
        <f t="shared" si="9"/>
        <v>0</v>
      </c>
      <c r="D143" s="134"/>
      <c r="E143" s="285"/>
      <c r="F143" s="286">
        <f t="shared" si="10"/>
        <v>0</v>
      </c>
      <c r="G143" s="134"/>
      <c r="H143" s="135"/>
      <c r="I143" s="136">
        <f t="shared" si="11"/>
        <v>0</v>
      </c>
      <c r="J143" s="134"/>
      <c r="K143" s="135"/>
      <c r="L143" s="136">
        <f t="shared" si="12"/>
        <v>0</v>
      </c>
      <c r="M143" s="284"/>
      <c r="N143" s="285"/>
      <c r="O143" s="136">
        <f t="shared" si="13"/>
        <v>0</v>
      </c>
      <c r="P143" s="85"/>
      <c r="R143" s="53"/>
      <c r="S143" s="53"/>
      <c r="T143" s="53"/>
    </row>
    <row r="144" spans="1:20" ht="48" x14ac:dyDescent="0.25">
      <c r="A144" s="276">
        <v>2340</v>
      </c>
      <c r="B144" s="127" t="s">
        <v>160</v>
      </c>
      <c r="C144" s="128">
        <f t="shared" si="9"/>
        <v>217</v>
      </c>
      <c r="D144" s="277">
        <f>SUM(D145:D146)</f>
        <v>217</v>
      </c>
      <c r="E144" s="278">
        <f>SUM(E145:E146)</f>
        <v>0</v>
      </c>
      <c r="F144" s="279">
        <f t="shared" si="10"/>
        <v>217</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c r="R144" s="53"/>
      <c r="S144" s="53"/>
      <c r="T144" s="53"/>
    </row>
    <row r="145" spans="1:20" x14ac:dyDescent="0.25">
      <c r="A145" s="76">
        <v>2341</v>
      </c>
      <c r="B145" s="127" t="s">
        <v>161</v>
      </c>
      <c r="C145" s="128">
        <f t="shared" si="9"/>
        <v>217</v>
      </c>
      <c r="D145" s="134">
        <v>217</v>
      </c>
      <c r="E145" s="283"/>
      <c r="F145" s="279">
        <f t="shared" si="10"/>
        <v>217</v>
      </c>
      <c r="G145" s="134"/>
      <c r="H145" s="135"/>
      <c r="I145" s="136">
        <f t="shared" si="11"/>
        <v>0</v>
      </c>
      <c r="J145" s="134"/>
      <c r="K145" s="135"/>
      <c r="L145" s="136">
        <f t="shared" si="12"/>
        <v>0</v>
      </c>
      <c r="M145" s="284"/>
      <c r="N145" s="285"/>
      <c r="O145" s="136">
        <f t="shared" si="13"/>
        <v>0</v>
      </c>
      <c r="P145" s="85"/>
      <c r="R145" s="53"/>
      <c r="S145" s="53"/>
      <c r="T145" s="53"/>
    </row>
    <row r="146" spans="1:20" ht="24" hidden="1" x14ac:dyDescent="0.25">
      <c r="A146" s="76">
        <v>2344</v>
      </c>
      <c r="B146" s="127" t="s">
        <v>162</v>
      </c>
      <c r="C146" s="128">
        <f t="shared" si="9"/>
        <v>0</v>
      </c>
      <c r="D146" s="134"/>
      <c r="E146" s="285"/>
      <c r="F146" s="286">
        <f t="shared" si="10"/>
        <v>0</v>
      </c>
      <c r="G146" s="134"/>
      <c r="H146" s="135"/>
      <c r="I146" s="136">
        <f t="shared" si="11"/>
        <v>0</v>
      </c>
      <c r="J146" s="134"/>
      <c r="K146" s="135"/>
      <c r="L146" s="136">
        <f t="shared" si="12"/>
        <v>0</v>
      </c>
      <c r="M146" s="284"/>
      <c r="N146" s="285"/>
      <c r="O146" s="136">
        <f t="shared" si="13"/>
        <v>0</v>
      </c>
      <c r="P146" s="85"/>
      <c r="R146" s="53"/>
      <c r="S146" s="53"/>
      <c r="T146" s="53"/>
    </row>
    <row r="147" spans="1:20" ht="24" x14ac:dyDescent="0.25">
      <c r="A147" s="254">
        <v>2350</v>
      </c>
      <c r="B147" s="179" t="s">
        <v>163</v>
      </c>
      <c r="C147" s="128">
        <f t="shared" si="9"/>
        <v>2716</v>
      </c>
      <c r="D147" s="255">
        <f>SUM(D148:D153)</f>
        <v>2716</v>
      </c>
      <c r="E147" s="256">
        <f>SUM(E148:E153)</f>
        <v>0</v>
      </c>
      <c r="F147" s="257">
        <f t="shared" si="10"/>
        <v>2716</v>
      </c>
      <c r="G147" s="255">
        <f>SUM(G148:G153)</f>
        <v>0</v>
      </c>
      <c r="H147" s="258">
        <f>SUM(H148:H153)</f>
        <v>0</v>
      </c>
      <c r="I147" s="259">
        <f t="shared" si="11"/>
        <v>0</v>
      </c>
      <c r="J147" s="255">
        <f>SUM(J148:J153)</f>
        <v>0</v>
      </c>
      <c r="K147" s="258">
        <f>SUM(K148:K153)</f>
        <v>0</v>
      </c>
      <c r="L147" s="259">
        <f t="shared" si="12"/>
        <v>0</v>
      </c>
      <c r="M147" s="260">
        <f>SUM(M148:M153)</f>
        <v>0</v>
      </c>
      <c r="N147" s="261">
        <f>SUM(N148:N153)</f>
        <v>0</v>
      </c>
      <c r="O147" s="259">
        <f t="shared" si="13"/>
        <v>0</v>
      </c>
      <c r="P147" s="189"/>
      <c r="R147" s="53"/>
      <c r="S147" s="53"/>
      <c r="T147" s="53"/>
    </row>
    <row r="148" spans="1:20" x14ac:dyDescent="0.25">
      <c r="A148" s="66">
        <v>2351</v>
      </c>
      <c r="B148" s="116" t="s">
        <v>164</v>
      </c>
      <c r="C148" s="128">
        <f t="shared" si="9"/>
        <v>500</v>
      </c>
      <c r="D148" s="123">
        <v>500</v>
      </c>
      <c r="E148" s="295"/>
      <c r="F148" s="296">
        <f t="shared" si="10"/>
        <v>500</v>
      </c>
      <c r="G148" s="123"/>
      <c r="H148" s="124"/>
      <c r="I148" s="125">
        <f t="shared" si="11"/>
        <v>0</v>
      </c>
      <c r="J148" s="123"/>
      <c r="K148" s="124"/>
      <c r="L148" s="125">
        <f t="shared" si="12"/>
        <v>0</v>
      </c>
      <c r="M148" s="264"/>
      <c r="N148" s="262"/>
      <c r="O148" s="125">
        <f t="shared" si="13"/>
        <v>0</v>
      </c>
      <c r="P148" s="74"/>
      <c r="R148" s="53"/>
      <c r="S148" s="53"/>
      <c r="T148" s="53"/>
    </row>
    <row r="149" spans="1:20" x14ac:dyDescent="0.25">
      <c r="A149" s="76">
        <v>2352</v>
      </c>
      <c r="B149" s="127" t="s">
        <v>165</v>
      </c>
      <c r="C149" s="128">
        <f t="shared" si="9"/>
        <v>2216</v>
      </c>
      <c r="D149" s="134">
        <v>2216</v>
      </c>
      <c r="E149" s="283"/>
      <c r="F149" s="279">
        <f t="shared" si="10"/>
        <v>2216</v>
      </c>
      <c r="G149" s="134"/>
      <c r="H149" s="135"/>
      <c r="I149" s="136">
        <f t="shared" si="11"/>
        <v>0</v>
      </c>
      <c r="J149" s="134"/>
      <c r="K149" s="135"/>
      <c r="L149" s="136">
        <f t="shared" si="12"/>
        <v>0</v>
      </c>
      <c r="M149" s="284"/>
      <c r="N149" s="285"/>
      <c r="O149" s="136">
        <f t="shared" si="13"/>
        <v>0</v>
      </c>
      <c r="P149" s="85"/>
      <c r="R149" s="53"/>
      <c r="S149" s="53"/>
      <c r="T149" s="53"/>
    </row>
    <row r="150" spans="1:20" ht="24" hidden="1" x14ac:dyDescent="0.25">
      <c r="A150" s="76">
        <v>2353</v>
      </c>
      <c r="B150" s="127" t="s">
        <v>166</v>
      </c>
      <c r="C150" s="128">
        <f t="shared" si="9"/>
        <v>0</v>
      </c>
      <c r="D150" s="134"/>
      <c r="E150" s="285"/>
      <c r="F150" s="286">
        <f t="shared" si="10"/>
        <v>0</v>
      </c>
      <c r="G150" s="134"/>
      <c r="H150" s="135"/>
      <c r="I150" s="136">
        <f t="shared" si="11"/>
        <v>0</v>
      </c>
      <c r="J150" s="134"/>
      <c r="K150" s="135"/>
      <c r="L150" s="136">
        <f t="shared" si="12"/>
        <v>0</v>
      </c>
      <c r="M150" s="284"/>
      <c r="N150" s="285"/>
      <c r="O150" s="136">
        <f t="shared" si="13"/>
        <v>0</v>
      </c>
      <c r="P150" s="85"/>
      <c r="R150" s="53"/>
      <c r="S150" s="53"/>
      <c r="T150" s="53"/>
    </row>
    <row r="151" spans="1:20" ht="24" hidden="1" x14ac:dyDescent="0.25">
      <c r="A151" s="76">
        <v>2354</v>
      </c>
      <c r="B151" s="127" t="s">
        <v>167</v>
      </c>
      <c r="C151" s="128">
        <f t="shared" si="9"/>
        <v>0</v>
      </c>
      <c r="D151" s="134"/>
      <c r="E151" s="285"/>
      <c r="F151" s="286">
        <f t="shared" si="10"/>
        <v>0</v>
      </c>
      <c r="G151" s="134"/>
      <c r="H151" s="135"/>
      <c r="I151" s="136">
        <f t="shared" si="11"/>
        <v>0</v>
      </c>
      <c r="J151" s="134"/>
      <c r="K151" s="135"/>
      <c r="L151" s="136">
        <f t="shared" si="12"/>
        <v>0</v>
      </c>
      <c r="M151" s="284"/>
      <c r="N151" s="285"/>
      <c r="O151" s="136">
        <f t="shared" si="13"/>
        <v>0</v>
      </c>
      <c r="P151" s="85"/>
      <c r="R151" s="53"/>
      <c r="S151" s="53"/>
      <c r="T151" s="53"/>
    </row>
    <row r="152" spans="1:20" ht="24" hidden="1" x14ac:dyDescent="0.25">
      <c r="A152" s="76">
        <v>2355</v>
      </c>
      <c r="B152" s="127" t="s">
        <v>168</v>
      </c>
      <c r="C152" s="128">
        <f t="shared" si="9"/>
        <v>0</v>
      </c>
      <c r="D152" s="134"/>
      <c r="E152" s="285"/>
      <c r="F152" s="286">
        <f t="shared" si="10"/>
        <v>0</v>
      </c>
      <c r="G152" s="134"/>
      <c r="H152" s="135"/>
      <c r="I152" s="136">
        <f t="shared" si="11"/>
        <v>0</v>
      </c>
      <c r="J152" s="134"/>
      <c r="K152" s="135"/>
      <c r="L152" s="136">
        <f t="shared" si="12"/>
        <v>0</v>
      </c>
      <c r="M152" s="284"/>
      <c r="N152" s="285"/>
      <c r="O152" s="136">
        <f t="shared" si="13"/>
        <v>0</v>
      </c>
      <c r="P152" s="85"/>
      <c r="R152" s="53"/>
      <c r="S152" s="53"/>
      <c r="T152" s="53"/>
    </row>
    <row r="153" spans="1:20" ht="24" hidden="1" x14ac:dyDescent="0.25">
      <c r="A153" s="76">
        <v>2359</v>
      </c>
      <c r="B153" s="127" t="s">
        <v>169</v>
      </c>
      <c r="C153" s="128">
        <f t="shared" si="9"/>
        <v>0</v>
      </c>
      <c r="D153" s="134"/>
      <c r="E153" s="285"/>
      <c r="F153" s="286">
        <f t="shared" si="10"/>
        <v>0</v>
      </c>
      <c r="G153" s="134"/>
      <c r="H153" s="135"/>
      <c r="I153" s="136">
        <f t="shared" si="11"/>
        <v>0</v>
      </c>
      <c r="J153" s="134"/>
      <c r="K153" s="135"/>
      <c r="L153" s="136">
        <f t="shared" si="12"/>
        <v>0</v>
      </c>
      <c r="M153" s="284"/>
      <c r="N153" s="285"/>
      <c r="O153" s="136">
        <f t="shared" si="13"/>
        <v>0</v>
      </c>
      <c r="P153" s="85"/>
      <c r="R153" s="53"/>
      <c r="S153" s="53"/>
      <c r="T153" s="53"/>
    </row>
    <row r="154" spans="1:20" ht="24" x14ac:dyDescent="0.25">
      <c r="A154" s="276">
        <v>2360</v>
      </c>
      <c r="B154" s="127" t="s">
        <v>170</v>
      </c>
      <c r="C154" s="128">
        <f t="shared" si="9"/>
        <v>8124</v>
      </c>
      <c r="D154" s="277">
        <f>SUM(D155:D161)</f>
        <v>4441</v>
      </c>
      <c r="E154" s="278">
        <f>SUM(E155:E161)</f>
        <v>0</v>
      </c>
      <c r="F154" s="279">
        <f t="shared" si="10"/>
        <v>4441</v>
      </c>
      <c r="G154" s="277">
        <f>SUM(G155:G161)</f>
        <v>0</v>
      </c>
      <c r="H154" s="280">
        <f>SUM(H155:H161)</f>
        <v>0</v>
      </c>
      <c r="I154" s="136">
        <f t="shared" si="11"/>
        <v>0</v>
      </c>
      <c r="J154" s="277">
        <f>SUM(J155:J161)</f>
        <v>3683</v>
      </c>
      <c r="K154" s="280">
        <f>SUM(K155:K161)</f>
        <v>0</v>
      </c>
      <c r="L154" s="136">
        <f t="shared" si="12"/>
        <v>3683</v>
      </c>
      <c r="M154" s="281">
        <f>SUM(M155:M161)</f>
        <v>0</v>
      </c>
      <c r="N154" s="282">
        <f>SUM(N155:N161)</f>
        <v>0</v>
      </c>
      <c r="O154" s="136">
        <f t="shared" si="13"/>
        <v>0</v>
      </c>
      <c r="P154" s="85"/>
      <c r="R154" s="53"/>
      <c r="S154" s="53"/>
      <c r="T154" s="53"/>
    </row>
    <row r="155" spans="1:20" x14ac:dyDescent="0.25">
      <c r="A155" s="781">
        <v>2361</v>
      </c>
      <c r="B155" s="266" t="s">
        <v>171</v>
      </c>
      <c r="C155" s="267">
        <f t="shared" si="9"/>
        <v>3054</v>
      </c>
      <c r="D155" s="268">
        <v>3054</v>
      </c>
      <c r="E155" s="269"/>
      <c r="F155" s="270">
        <f t="shared" si="10"/>
        <v>3054</v>
      </c>
      <c r="G155" s="268"/>
      <c r="H155" s="271"/>
      <c r="I155" s="272">
        <f t="shared" si="11"/>
        <v>0</v>
      </c>
      <c r="J155" s="268"/>
      <c r="K155" s="271"/>
      <c r="L155" s="272">
        <f t="shared" si="12"/>
        <v>0</v>
      </c>
      <c r="M155" s="273"/>
      <c r="N155" s="274"/>
      <c r="O155" s="272">
        <f t="shared" si="13"/>
        <v>0</v>
      </c>
      <c r="P155" s="275"/>
      <c r="R155" s="53"/>
      <c r="S155" s="53"/>
      <c r="T155" s="53"/>
    </row>
    <row r="156" spans="1:20" ht="24" x14ac:dyDescent="0.25">
      <c r="A156" s="75">
        <v>2362</v>
      </c>
      <c r="B156" s="127" t="s">
        <v>172</v>
      </c>
      <c r="C156" s="128">
        <f t="shared" si="9"/>
        <v>1387</v>
      </c>
      <c r="D156" s="134">
        <v>1387</v>
      </c>
      <c r="E156" s="283"/>
      <c r="F156" s="279">
        <f t="shared" si="10"/>
        <v>1387</v>
      </c>
      <c r="G156" s="134"/>
      <c r="H156" s="135"/>
      <c r="I156" s="136">
        <f t="shared" si="11"/>
        <v>0</v>
      </c>
      <c r="J156" s="134"/>
      <c r="K156" s="135"/>
      <c r="L156" s="136">
        <f t="shared" si="12"/>
        <v>0</v>
      </c>
      <c r="M156" s="284"/>
      <c r="N156" s="285"/>
      <c r="O156" s="136">
        <f t="shared" si="13"/>
        <v>0</v>
      </c>
      <c r="P156" s="85"/>
      <c r="R156" s="53"/>
      <c r="S156" s="53"/>
      <c r="T156" s="53"/>
    </row>
    <row r="157" spans="1:20" x14ac:dyDescent="0.25">
      <c r="A157" s="75">
        <v>2363</v>
      </c>
      <c r="B157" s="127" t="s">
        <v>173</v>
      </c>
      <c r="C157" s="128">
        <f t="shared" si="9"/>
        <v>3683</v>
      </c>
      <c r="D157" s="134"/>
      <c r="E157" s="283"/>
      <c r="F157" s="279">
        <f t="shared" si="10"/>
        <v>0</v>
      </c>
      <c r="G157" s="134"/>
      <c r="H157" s="135"/>
      <c r="I157" s="136">
        <f t="shared" si="11"/>
        <v>0</v>
      </c>
      <c r="J157" s="134">
        <v>3683</v>
      </c>
      <c r="K157" s="135"/>
      <c r="L157" s="136">
        <f t="shared" si="12"/>
        <v>3683</v>
      </c>
      <c r="M157" s="284"/>
      <c r="N157" s="285"/>
      <c r="O157" s="136">
        <f t="shared" si="13"/>
        <v>0</v>
      </c>
      <c r="P157" s="85"/>
      <c r="R157" s="53"/>
      <c r="S157" s="53"/>
      <c r="T157" s="53"/>
    </row>
    <row r="158" spans="1:20" hidden="1" x14ac:dyDescent="0.25">
      <c r="A158" s="75">
        <v>2364</v>
      </c>
      <c r="B158" s="127" t="s">
        <v>174</v>
      </c>
      <c r="C158" s="128">
        <f t="shared" si="9"/>
        <v>0</v>
      </c>
      <c r="D158" s="134"/>
      <c r="E158" s="285"/>
      <c r="F158" s="286">
        <f t="shared" si="10"/>
        <v>0</v>
      </c>
      <c r="G158" s="134"/>
      <c r="H158" s="135"/>
      <c r="I158" s="136">
        <f t="shared" si="11"/>
        <v>0</v>
      </c>
      <c r="J158" s="134"/>
      <c r="K158" s="135"/>
      <c r="L158" s="136">
        <f t="shared" si="12"/>
        <v>0</v>
      </c>
      <c r="M158" s="284"/>
      <c r="N158" s="285"/>
      <c r="O158" s="136">
        <f t="shared" si="13"/>
        <v>0</v>
      </c>
      <c r="P158" s="85"/>
      <c r="R158" s="53"/>
      <c r="S158" s="53"/>
      <c r="T158" s="53"/>
    </row>
    <row r="159" spans="1:20" hidden="1" x14ac:dyDescent="0.25">
      <c r="A159" s="75">
        <v>2365</v>
      </c>
      <c r="B159" s="127" t="s">
        <v>175</v>
      </c>
      <c r="C159" s="128">
        <f t="shared" si="9"/>
        <v>0</v>
      </c>
      <c r="D159" s="134"/>
      <c r="E159" s="285"/>
      <c r="F159" s="286">
        <f t="shared" si="10"/>
        <v>0</v>
      </c>
      <c r="G159" s="134"/>
      <c r="H159" s="135"/>
      <c r="I159" s="136">
        <f t="shared" si="11"/>
        <v>0</v>
      </c>
      <c r="J159" s="134"/>
      <c r="K159" s="135"/>
      <c r="L159" s="136">
        <f t="shared" si="12"/>
        <v>0</v>
      </c>
      <c r="M159" s="284"/>
      <c r="N159" s="285"/>
      <c r="O159" s="136">
        <f t="shared" si="13"/>
        <v>0</v>
      </c>
      <c r="P159" s="85"/>
      <c r="R159" s="53"/>
      <c r="S159" s="53"/>
      <c r="T159" s="53"/>
    </row>
    <row r="160" spans="1:20" ht="36" hidden="1" x14ac:dyDescent="0.25">
      <c r="A160" s="75">
        <v>2366</v>
      </c>
      <c r="B160" s="127" t="s">
        <v>176</v>
      </c>
      <c r="C160" s="128">
        <f t="shared" si="9"/>
        <v>0</v>
      </c>
      <c r="D160" s="134"/>
      <c r="E160" s="285"/>
      <c r="F160" s="286">
        <f t="shared" si="10"/>
        <v>0</v>
      </c>
      <c r="G160" s="134"/>
      <c r="H160" s="135"/>
      <c r="I160" s="136">
        <f t="shared" si="11"/>
        <v>0</v>
      </c>
      <c r="J160" s="134"/>
      <c r="K160" s="135"/>
      <c r="L160" s="136">
        <f t="shared" si="12"/>
        <v>0</v>
      </c>
      <c r="M160" s="284"/>
      <c r="N160" s="285"/>
      <c r="O160" s="136">
        <f t="shared" si="13"/>
        <v>0</v>
      </c>
      <c r="P160" s="85"/>
      <c r="R160" s="53"/>
      <c r="S160" s="53"/>
      <c r="T160" s="53"/>
    </row>
    <row r="161" spans="1:20" ht="48" hidden="1" x14ac:dyDescent="0.25">
      <c r="A161" s="75">
        <v>2369</v>
      </c>
      <c r="B161" s="127" t="s">
        <v>177</v>
      </c>
      <c r="C161" s="128">
        <f t="shared" si="9"/>
        <v>0</v>
      </c>
      <c r="D161" s="134"/>
      <c r="E161" s="285"/>
      <c r="F161" s="286">
        <f t="shared" si="10"/>
        <v>0</v>
      </c>
      <c r="G161" s="134"/>
      <c r="H161" s="135"/>
      <c r="I161" s="136">
        <f t="shared" si="11"/>
        <v>0</v>
      </c>
      <c r="J161" s="134"/>
      <c r="K161" s="135"/>
      <c r="L161" s="136">
        <f t="shared" si="12"/>
        <v>0</v>
      </c>
      <c r="M161" s="284"/>
      <c r="N161" s="285"/>
      <c r="O161" s="136">
        <f t="shared" si="13"/>
        <v>0</v>
      </c>
      <c r="P161" s="85"/>
      <c r="R161" s="53"/>
      <c r="S161" s="53"/>
      <c r="T161" s="53"/>
    </row>
    <row r="162" spans="1:20" x14ac:dyDescent="0.25">
      <c r="A162" s="789">
        <v>2370</v>
      </c>
      <c r="B162" s="790" t="s">
        <v>178</v>
      </c>
      <c r="C162" s="267">
        <f t="shared" si="9"/>
        <v>2966</v>
      </c>
      <c r="D162" s="791">
        <v>1641</v>
      </c>
      <c r="E162" s="792"/>
      <c r="F162" s="793">
        <f t="shared" si="10"/>
        <v>1641</v>
      </c>
      <c r="G162" s="791">
        <v>1325</v>
      </c>
      <c r="H162" s="794"/>
      <c r="I162" s="795">
        <f t="shared" si="11"/>
        <v>1325</v>
      </c>
      <c r="J162" s="791"/>
      <c r="K162" s="794"/>
      <c r="L162" s="795">
        <f t="shared" si="12"/>
        <v>0</v>
      </c>
      <c r="M162" s="796"/>
      <c r="N162" s="797"/>
      <c r="O162" s="795">
        <f t="shared" si="13"/>
        <v>0</v>
      </c>
      <c r="P162" s="798"/>
      <c r="R162" s="53"/>
      <c r="S162" s="53"/>
      <c r="T162" s="53"/>
    </row>
    <row r="163" spans="1:20" x14ac:dyDescent="0.25">
      <c r="A163" s="254">
        <v>2380</v>
      </c>
      <c r="B163" s="179" t="s">
        <v>179</v>
      </c>
      <c r="C163" s="128">
        <f t="shared" si="9"/>
        <v>36</v>
      </c>
      <c r="D163" s="255">
        <f>SUM(D164:D165)</f>
        <v>36</v>
      </c>
      <c r="E163" s="256">
        <f>SUM(E164:E165)</f>
        <v>0</v>
      </c>
      <c r="F163" s="257">
        <f t="shared" si="10"/>
        <v>36</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c r="S163" s="53"/>
      <c r="T163" s="53"/>
    </row>
    <row r="164" spans="1:20" hidden="1" x14ac:dyDescent="0.25">
      <c r="A164" s="65">
        <v>2381</v>
      </c>
      <c r="B164" s="116" t="s">
        <v>180</v>
      </c>
      <c r="C164" s="128">
        <f t="shared" si="9"/>
        <v>0</v>
      </c>
      <c r="D164" s="123"/>
      <c r="E164" s="262"/>
      <c r="F164" s="263">
        <f t="shared" si="10"/>
        <v>0</v>
      </c>
      <c r="G164" s="123"/>
      <c r="H164" s="124"/>
      <c r="I164" s="125">
        <f t="shared" si="11"/>
        <v>0</v>
      </c>
      <c r="J164" s="123"/>
      <c r="K164" s="124"/>
      <c r="L164" s="125">
        <f t="shared" si="12"/>
        <v>0</v>
      </c>
      <c r="M164" s="264"/>
      <c r="N164" s="262"/>
      <c r="O164" s="125">
        <f t="shared" si="13"/>
        <v>0</v>
      </c>
      <c r="P164" s="74"/>
      <c r="R164" s="53"/>
      <c r="S164" s="53"/>
      <c r="T164" s="53"/>
    </row>
    <row r="165" spans="1:20" ht="24" x14ac:dyDescent="0.25">
      <c r="A165" s="75">
        <v>2389</v>
      </c>
      <c r="B165" s="127" t="s">
        <v>181</v>
      </c>
      <c r="C165" s="128">
        <f t="shared" si="9"/>
        <v>36</v>
      </c>
      <c r="D165" s="134">
        <v>36</v>
      </c>
      <c r="E165" s="283"/>
      <c r="F165" s="279">
        <f t="shared" si="10"/>
        <v>36</v>
      </c>
      <c r="G165" s="134"/>
      <c r="H165" s="135"/>
      <c r="I165" s="136">
        <f t="shared" si="11"/>
        <v>0</v>
      </c>
      <c r="J165" s="134"/>
      <c r="K165" s="135"/>
      <c r="L165" s="136">
        <f t="shared" si="12"/>
        <v>0</v>
      </c>
      <c r="M165" s="284"/>
      <c r="N165" s="285"/>
      <c r="O165" s="136">
        <f t="shared" si="13"/>
        <v>0</v>
      </c>
      <c r="P165" s="85"/>
      <c r="R165" s="53"/>
      <c r="S165" s="53"/>
      <c r="T165" s="53"/>
    </row>
    <row r="166" spans="1:20" hidden="1" x14ac:dyDescent="0.25">
      <c r="A166" s="254">
        <v>2390</v>
      </c>
      <c r="B166" s="179" t="s">
        <v>182</v>
      </c>
      <c r="C166" s="128">
        <f t="shared" si="9"/>
        <v>0</v>
      </c>
      <c r="D166" s="287"/>
      <c r="E166" s="291"/>
      <c r="F166" s="310">
        <f t="shared" si="10"/>
        <v>0</v>
      </c>
      <c r="G166" s="287"/>
      <c r="H166" s="289"/>
      <c r="I166" s="259">
        <f t="shared" si="11"/>
        <v>0</v>
      </c>
      <c r="J166" s="287"/>
      <c r="K166" s="289"/>
      <c r="L166" s="259">
        <f t="shared" si="12"/>
        <v>0</v>
      </c>
      <c r="M166" s="290"/>
      <c r="N166" s="291"/>
      <c r="O166" s="259">
        <f t="shared" si="13"/>
        <v>0</v>
      </c>
      <c r="P166" s="189"/>
      <c r="R166" s="53"/>
      <c r="S166" s="53"/>
      <c r="T166" s="53"/>
    </row>
    <row r="167" spans="1:20" hidden="1" x14ac:dyDescent="0.25">
      <c r="A167" s="99">
        <v>2400</v>
      </c>
      <c r="B167" s="247" t="s">
        <v>183</v>
      </c>
      <c r="C167" s="100">
        <f t="shared" si="9"/>
        <v>0</v>
      </c>
      <c r="D167" s="311"/>
      <c r="E167" s="312"/>
      <c r="F167" s="313">
        <f t="shared" si="10"/>
        <v>0</v>
      </c>
      <c r="G167" s="311"/>
      <c r="H167" s="314"/>
      <c r="I167" s="114">
        <f t="shared" si="11"/>
        <v>0</v>
      </c>
      <c r="J167" s="311"/>
      <c r="K167" s="314"/>
      <c r="L167" s="114">
        <f t="shared" si="12"/>
        <v>0</v>
      </c>
      <c r="M167" s="315"/>
      <c r="N167" s="312"/>
      <c r="O167" s="114">
        <f t="shared" si="13"/>
        <v>0</v>
      </c>
      <c r="P167" s="109"/>
      <c r="R167" s="53"/>
      <c r="S167" s="53"/>
      <c r="T167" s="53"/>
    </row>
    <row r="168" spans="1:20" ht="24" hidden="1" x14ac:dyDescent="0.25">
      <c r="A168" s="99">
        <v>2500</v>
      </c>
      <c r="B168" s="247" t="s">
        <v>184</v>
      </c>
      <c r="C168" s="100">
        <f t="shared" si="9"/>
        <v>0</v>
      </c>
      <c r="D168" s="112">
        <f>SUM(D169,D174)</f>
        <v>0</v>
      </c>
      <c r="E168" s="293">
        <f>SUM(E169,E174)</f>
        <v>0</v>
      </c>
      <c r="F168" s="313">
        <f t="shared" si="10"/>
        <v>0</v>
      </c>
      <c r="G168" s="112">
        <f>SUM(G169,G174)</f>
        <v>0</v>
      </c>
      <c r="H168" s="113">
        <f t="shared" ref="H168" si="17">SUM(H169,H174)</f>
        <v>0</v>
      </c>
      <c r="I168" s="114">
        <f t="shared" si="11"/>
        <v>0</v>
      </c>
      <c r="J168" s="112">
        <f>SUM(J169,J174)</f>
        <v>0</v>
      </c>
      <c r="K168" s="113">
        <f t="shared" ref="K168" si="18">SUM(K169,K174)</f>
        <v>0</v>
      </c>
      <c r="L168" s="114">
        <f t="shared" si="12"/>
        <v>0</v>
      </c>
      <c r="M168" s="250">
        <f t="shared" ref="M168:N168" si="19">SUM(M169,M174)</f>
        <v>0</v>
      </c>
      <c r="N168" s="251">
        <f t="shared" si="19"/>
        <v>0</v>
      </c>
      <c r="O168" s="252">
        <f t="shared" si="13"/>
        <v>0</v>
      </c>
      <c r="P168" s="253"/>
      <c r="R168" s="53"/>
      <c r="S168" s="53"/>
      <c r="T168" s="53"/>
    </row>
    <row r="169" spans="1:20" hidden="1" x14ac:dyDescent="0.25">
      <c r="A169" s="656">
        <v>2510</v>
      </c>
      <c r="B169" s="116" t="s">
        <v>185</v>
      </c>
      <c r="C169" s="117">
        <f t="shared" si="9"/>
        <v>0</v>
      </c>
      <c r="D169" s="297">
        <f>SUM(D170:D173)</f>
        <v>0</v>
      </c>
      <c r="E169" s="301">
        <f>SUM(E170:E173)</f>
        <v>0</v>
      </c>
      <c r="F169" s="263">
        <f t="shared" si="10"/>
        <v>0</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c r="R169" s="53"/>
      <c r="S169" s="53"/>
      <c r="T169" s="53"/>
    </row>
    <row r="170" spans="1:20" ht="24" hidden="1" x14ac:dyDescent="0.25">
      <c r="A170" s="76">
        <v>2512</v>
      </c>
      <c r="B170" s="127" t="s">
        <v>186</v>
      </c>
      <c r="C170" s="128">
        <f t="shared" si="9"/>
        <v>0</v>
      </c>
      <c r="D170" s="134"/>
      <c r="E170" s="285"/>
      <c r="F170" s="286">
        <f t="shared" si="10"/>
        <v>0</v>
      </c>
      <c r="G170" s="134"/>
      <c r="H170" s="135"/>
      <c r="I170" s="136">
        <f t="shared" si="11"/>
        <v>0</v>
      </c>
      <c r="J170" s="134"/>
      <c r="K170" s="135"/>
      <c r="L170" s="136">
        <f t="shared" si="12"/>
        <v>0</v>
      </c>
      <c r="M170" s="284"/>
      <c r="N170" s="285"/>
      <c r="O170" s="136">
        <f t="shared" si="13"/>
        <v>0</v>
      </c>
      <c r="P170" s="85"/>
      <c r="R170" s="53"/>
      <c r="S170" s="53"/>
      <c r="T170" s="53"/>
    </row>
    <row r="171" spans="1:20" ht="36" hidden="1" x14ac:dyDescent="0.25">
      <c r="A171" s="76">
        <v>2513</v>
      </c>
      <c r="B171" s="127" t="s">
        <v>187</v>
      </c>
      <c r="C171" s="128">
        <f t="shared" si="9"/>
        <v>0</v>
      </c>
      <c r="D171" s="134"/>
      <c r="E171" s="285"/>
      <c r="F171" s="286">
        <f t="shared" si="10"/>
        <v>0</v>
      </c>
      <c r="G171" s="134"/>
      <c r="H171" s="135"/>
      <c r="I171" s="136">
        <f t="shared" si="11"/>
        <v>0</v>
      </c>
      <c r="J171" s="134"/>
      <c r="K171" s="135"/>
      <c r="L171" s="136">
        <f t="shared" si="12"/>
        <v>0</v>
      </c>
      <c r="M171" s="284"/>
      <c r="N171" s="285"/>
      <c r="O171" s="136">
        <f t="shared" si="13"/>
        <v>0</v>
      </c>
      <c r="P171" s="85"/>
      <c r="R171" s="53"/>
      <c r="S171" s="53"/>
      <c r="T171" s="53"/>
    </row>
    <row r="172" spans="1:20" ht="24" hidden="1" x14ac:dyDescent="0.25">
      <c r="A172" s="76">
        <v>2515</v>
      </c>
      <c r="B172" s="127" t="s">
        <v>188</v>
      </c>
      <c r="C172" s="128">
        <f t="shared" si="9"/>
        <v>0</v>
      </c>
      <c r="D172" s="134"/>
      <c r="E172" s="285"/>
      <c r="F172" s="286">
        <f t="shared" si="10"/>
        <v>0</v>
      </c>
      <c r="G172" s="134"/>
      <c r="H172" s="135"/>
      <c r="I172" s="136">
        <f t="shared" si="11"/>
        <v>0</v>
      </c>
      <c r="J172" s="134"/>
      <c r="K172" s="135"/>
      <c r="L172" s="136">
        <f t="shared" si="12"/>
        <v>0</v>
      </c>
      <c r="M172" s="284"/>
      <c r="N172" s="285"/>
      <c r="O172" s="136">
        <f t="shared" si="13"/>
        <v>0</v>
      </c>
      <c r="P172" s="85"/>
      <c r="R172" s="53"/>
      <c r="S172" s="53"/>
      <c r="T172" s="53"/>
    </row>
    <row r="173" spans="1:20" ht="24" hidden="1" x14ac:dyDescent="0.25">
      <c r="A173" s="76">
        <v>2519</v>
      </c>
      <c r="B173" s="127" t="s">
        <v>189</v>
      </c>
      <c r="C173" s="128">
        <f t="shared" si="9"/>
        <v>0</v>
      </c>
      <c r="D173" s="134"/>
      <c r="E173" s="285"/>
      <c r="F173" s="286">
        <f t="shared" si="10"/>
        <v>0</v>
      </c>
      <c r="G173" s="134"/>
      <c r="H173" s="135"/>
      <c r="I173" s="136">
        <f t="shared" si="11"/>
        <v>0</v>
      </c>
      <c r="J173" s="134"/>
      <c r="K173" s="135"/>
      <c r="L173" s="136">
        <f t="shared" si="12"/>
        <v>0</v>
      </c>
      <c r="M173" s="284"/>
      <c r="N173" s="285"/>
      <c r="O173" s="136">
        <f t="shared" si="13"/>
        <v>0</v>
      </c>
      <c r="P173" s="85"/>
      <c r="R173" s="53"/>
      <c r="S173" s="53"/>
      <c r="T173" s="53"/>
    </row>
    <row r="174" spans="1:20" ht="24" hidden="1" x14ac:dyDescent="0.25">
      <c r="A174" s="276">
        <v>2520</v>
      </c>
      <c r="B174" s="127" t="s">
        <v>190</v>
      </c>
      <c r="C174" s="128">
        <f t="shared" si="9"/>
        <v>0</v>
      </c>
      <c r="D174" s="134"/>
      <c r="E174" s="285"/>
      <c r="F174" s="286">
        <f t="shared" si="10"/>
        <v>0</v>
      </c>
      <c r="G174" s="134"/>
      <c r="H174" s="135"/>
      <c r="I174" s="136">
        <f t="shared" si="11"/>
        <v>0</v>
      </c>
      <c r="J174" s="134"/>
      <c r="K174" s="135"/>
      <c r="L174" s="136">
        <f t="shared" si="12"/>
        <v>0</v>
      </c>
      <c r="M174" s="284"/>
      <c r="N174" s="285"/>
      <c r="O174" s="136">
        <f t="shared" si="13"/>
        <v>0</v>
      </c>
      <c r="P174" s="85"/>
      <c r="R174" s="53"/>
      <c r="S174" s="53"/>
      <c r="T174" s="53"/>
    </row>
    <row r="175" spans="1:20" s="319" customFormat="1" ht="48" hidden="1" x14ac:dyDescent="0.25">
      <c r="A175" s="31">
        <v>2800</v>
      </c>
      <c r="B175" s="116" t="s">
        <v>191</v>
      </c>
      <c r="C175" s="117">
        <f t="shared" si="9"/>
        <v>0</v>
      </c>
      <c r="D175" s="68"/>
      <c r="E175" s="69"/>
      <c r="F175" s="70">
        <f t="shared" si="10"/>
        <v>0</v>
      </c>
      <c r="G175" s="68"/>
      <c r="H175" s="71"/>
      <c r="I175" s="72">
        <f t="shared" si="11"/>
        <v>0</v>
      </c>
      <c r="J175" s="68"/>
      <c r="K175" s="71"/>
      <c r="L175" s="72">
        <f t="shared" si="12"/>
        <v>0</v>
      </c>
      <c r="M175" s="73"/>
      <c r="N175" s="69"/>
      <c r="O175" s="72">
        <f t="shared" si="13"/>
        <v>0</v>
      </c>
      <c r="P175" s="74"/>
      <c r="R175" s="53"/>
      <c r="S175" s="53"/>
      <c r="T175" s="53"/>
    </row>
    <row r="176" spans="1:20" hidden="1" x14ac:dyDescent="0.25">
      <c r="A176" s="237">
        <v>3000</v>
      </c>
      <c r="B176" s="237" t="s">
        <v>192</v>
      </c>
      <c r="C176" s="238">
        <f t="shared" si="9"/>
        <v>0</v>
      </c>
      <c r="D176" s="239">
        <f>SUM(D177,D187)</f>
        <v>0</v>
      </c>
      <c r="E176" s="245">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c r="S176" s="53"/>
      <c r="T176" s="53"/>
    </row>
    <row r="177" spans="1:20" ht="24" hidden="1" x14ac:dyDescent="0.25">
      <c r="A177" s="99">
        <v>3200</v>
      </c>
      <c r="B177" s="321" t="s">
        <v>193</v>
      </c>
      <c r="C177" s="100">
        <f t="shared" si="9"/>
        <v>0</v>
      </c>
      <c r="D177" s="112">
        <f>SUM(D178,D182)</f>
        <v>0</v>
      </c>
      <c r="E177" s="293">
        <f>SUM(E178,E182)</f>
        <v>0</v>
      </c>
      <c r="F177" s="313">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c r="R177" s="53"/>
      <c r="S177" s="53"/>
      <c r="T177" s="53"/>
    </row>
    <row r="178" spans="1:20" ht="36" hidden="1" x14ac:dyDescent="0.25">
      <c r="A178" s="656">
        <v>3260</v>
      </c>
      <c r="B178" s="116" t="s">
        <v>194</v>
      </c>
      <c r="C178" s="117">
        <f t="shared" si="9"/>
        <v>0</v>
      </c>
      <c r="D178" s="297">
        <f>SUM(D179:D181)</f>
        <v>0</v>
      </c>
      <c r="E178" s="301">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c r="S178" s="53"/>
      <c r="T178" s="53"/>
    </row>
    <row r="179" spans="1:20" ht="24" hidden="1" x14ac:dyDescent="0.25">
      <c r="A179" s="76">
        <v>3261</v>
      </c>
      <c r="B179" s="127" t="s">
        <v>195</v>
      </c>
      <c r="C179" s="128">
        <f t="shared" si="9"/>
        <v>0</v>
      </c>
      <c r="D179" s="134"/>
      <c r="E179" s="285"/>
      <c r="F179" s="286">
        <f t="shared" si="10"/>
        <v>0</v>
      </c>
      <c r="G179" s="134"/>
      <c r="H179" s="135"/>
      <c r="I179" s="136">
        <f t="shared" si="11"/>
        <v>0</v>
      </c>
      <c r="J179" s="134"/>
      <c r="K179" s="135"/>
      <c r="L179" s="136">
        <f t="shared" si="12"/>
        <v>0</v>
      </c>
      <c r="M179" s="284"/>
      <c r="N179" s="285"/>
      <c r="O179" s="136">
        <f t="shared" si="13"/>
        <v>0</v>
      </c>
      <c r="P179" s="85"/>
      <c r="R179" s="53"/>
      <c r="S179" s="53"/>
      <c r="T179" s="53"/>
    </row>
    <row r="180" spans="1:20" ht="36" hidden="1" x14ac:dyDescent="0.25">
      <c r="A180" s="76">
        <v>3262</v>
      </c>
      <c r="B180" s="127" t="s">
        <v>196</v>
      </c>
      <c r="C180" s="128">
        <f t="shared" si="9"/>
        <v>0</v>
      </c>
      <c r="D180" s="134"/>
      <c r="E180" s="285"/>
      <c r="F180" s="286">
        <f t="shared" si="10"/>
        <v>0</v>
      </c>
      <c r="G180" s="134"/>
      <c r="H180" s="135"/>
      <c r="I180" s="136">
        <f t="shared" si="11"/>
        <v>0</v>
      </c>
      <c r="J180" s="134"/>
      <c r="K180" s="135"/>
      <c r="L180" s="136">
        <f t="shared" si="12"/>
        <v>0</v>
      </c>
      <c r="M180" s="284"/>
      <c r="N180" s="285"/>
      <c r="O180" s="136">
        <f t="shared" si="13"/>
        <v>0</v>
      </c>
      <c r="P180" s="85"/>
      <c r="R180" s="53"/>
      <c r="S180" s="53"/>
      <c r="T180" s="53"/>
    </row>
    <row r="181" spans="1:20" ht="24" hidden="1" x14ac:dyDescent="0.25">
      <c r="A181" s="76">
        <v>3263</v>
      </c>
      <c r="B181" s="127" t="s">
        <v>197</v>
      </c>
      <c r="C181" s="128">
        <f t="shared" si="9"/>
        <v>0</v>
      </c>
      <c r="D181" s="134"/>
      <c r="E181" s="285"/>
      <c r="F181" s="286">
        <f t="shared" si="10"/>
        <v>0</v>
      </c>
      <c r="G181" s="134"/>
      <c r="H181" s="135"/>
      <c r="I181" s="136">
        <f t="shared" si="11"/>
        <v>0</v>
      </c>
      <c r="J181" s="134"/>
      <c r="K181" s="135"/>
      <c r="L181" s="136">
        <f t="shared" si="12"/>
        <v>0</v>
      </c>
      <c r="M181" s="284"/>
      <c r="N181" s="285"/>
      <c r="O181" s="136">
        <f t="shared" si="13"/>
        <v>0</v>
      </c>
      <c r="P181" s="85"/>
      <c r="R181" s="53"/>
      <c r="S181" s="53"/>
      <c r="T181" s="53"/>
    </row>
    <row r="182" spans="1:20" ht="84" hidden="1" x14ac:dyDescent="0.25">
      <c r="A182" s="656">
        <v>3290</v>
      </c>
      <c r="B182" s="116" t="s">
        <v>198</v>
      </c>
      <c r="C182" s="128">
        <f t="shared" ref="C182:C258" si="26">F182+I182+L182+O182</f>
        <v>0</v>
      </c>
      <c r="D182" s="297">
        <f>SUM(D183:D186)</f>
        <v>0</v>
      </c>
      <c r="E182" s="301">
        <f>SUM(E183:E186)</f>
        <v>0</v>
      </c>
      <c r="F182" s="263">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c r="R182" s="53"/>
      <c r="S182" s="53"/>
      <c r="T182" s="53"/>
    </row>
    <row r="183" spans="1:20" ht="72" hidden="1" x14ac:dyDescent="0.25">
      <c r="A183" s="76">
        <v>3291</v>
      </c>
      <c r="B183" s="127" t="s">
        <v>199</v>
      </c>
      <c r="C183" s="128">
        <f t="shared" si="26"/>
        <v>0</v>
      </c>
      <c r="D183" s="134"/>
      <c r="E183" s="285"/>
      <c r="F183" s="286">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c r="R183" s="53"/>
      <c r="S183" s="53"/>
      <c r="T183" s="53"/>
    </row>
    <row r="184" spans="1:20" ht="72" hidden="1" x14ac:dyDescent="0.25">
      <c r="A184" s="76">
        <v>3292</v>
      </c>
      <c r="B184" s="127" t="s">
        <v>200</v>
      </c>
      <c r="C184" s="128">
        <f t="shared" si="26"/>
        <v>0</v>
      </c>
      <c r="D184" s="134"/>
      <c r="E184" s="285"/>
      <c r="F184" s="286">
        <f t="shared" si="30"/>
        <v>0</v>
      </c>
      <c r="G184" s="134"/>
      <c r="H184" s="135"/>
      <c r="I184" s="136">
        <f t="shared" si="31"/>
        <v>0</v>
      </c>
      <c r="J184" s="134"/>
      <c r="K184" s="135"/>
      <c r="L184" s="136">
        <f t="shared" si="32"/>
        <v>0</v>
      </c>
      <c r="M184" s="284"/>
      <c r="N184" s="285"/>
      <c r="O184" s="136">
        <f t="shared" si="33"/>
        <v>0</v>
      </c>
      <c r="P184" s="85"/>
      <c r="R184" s="53"/>
      <c r="S184" s="53"/>
      <c r="T184" s="53"/>
    </row>
    <row r="185" spans="1:20" ht="72" hidden="1" x14ac:dyDescent="0.25">
      <c r="A185" s="76">
        <v>3293</v>
      </c>
      <c r="B185" s="127" t="s">
        <v>201</v>
      </c>
      <c r="C185" s="128">
        <f t="shared" si="26"/>
        <v>0</v>
      </c>
      <c r="D185" s="134"/>
      <c r="E185" s="285"/>
      <c r="F185" s="286">
        <f t="shared" si="30"/>
        <v>0</v>
      </c>
      <c r="G185" s="134"/>
      <c r="H185" s="135"/>
      <c r="I185" s="136">
        <f t="shared" si="31"/>
        <v>0</v>
      </c>
      <c r="J185" s="134"/>
      <c r="K185" s="135"/>
      <c r="L185" s="136">
        <f t="shared" si="32"/>
        <v>0</v>
      </c>
      <c r="M185" s="284"/>
      <c r="N185" s="285"/>
      <c r="O185" s="136">
        <f t="shared" si="33"/>
        <v>0</v>
      </c>
      <c r="P185" s="85"/>
      <c r="R185" s="53"/>
      <c r="S185" s="53"/>
      <c r="T185" s="53"/>
    </row>
    <row r="186" spans="1:20" ht="60" hidden="1" x14ac:dyDescent="0.25">
      <c r="A186" s="326">
        <v>3294</v>
      </c>
      <c r="B186" s="127" t="s">
        <v>202</v>
      </c>
      <c r="C186" s="327">
        <f t="shared" si="26"/>
        <v>0</v>
      </c>
      <c r="D186" s="328"/>
      <c r="E186" s="329"/>
      <c r="F186" s="330">
        <f t="shared" si="30"/>
        <v>0</v>
      </c>
      <c r="G186" s="328"/>
      <c r="H186" s="331"/>
      <c r="I186" s="324">
        <f t="shared" si="31"/>
        <v>0</v>
      </c>
      <c r="J186" s="328"/>
      <c r="K186" s="331"/>
      <c r="L186" s="324">
        <f t="shared" si="32"/>
        <v>0</v>
      </c>
      <c r="M186" s="332"/>
      <c r="N186" s="329"/>
      <c r="O186" s="324">
        <f t="shared" si="33"/>
        <v>0</v>
      </c>
      <c r="P186" s="325"/>
      <c r="R186" s="53"/>
      <c r="S186" s="53"/>
      <c r="T186" s="53"/>
    </row>
    <row r="187" spans="1:20" ht="48" hidden="1" x14ac:dyDescent="0.25">
      <c r="A187" s="160">
        <v>3300</v>
      </c>
      <c r="B187" s="321" t="s">
        <v>203</v>
      </c>
      <c r="C187" s="333">
        <f t="shared" si="26"/>
        <v>0</v>
      </c>
      <c r="D187" s="334">
        <f>SUM(D188:D189)</f>
        <v>0</v>
      </c>
      <c r="E187" s="251">
        <f>SUM(E188:E189)</f>
        <v>0</v>
      </c>
      <c r="F187" s="335">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c r="R187" s="53"/>
      <c r="S187" s="53"/>
      <c r="T187" s="53"/>
    </row>
    <row r="188" spans="1:20" ht="42.75" hidden="1" customHeight="1" x14ac:dyDescent="0.25">
      <c r="A188" s="178">
        <v>3310</v>
      </c>
      <c r="B188" s="179" t="s">
        <v>204</v>
      </c>
      <c r="C188" s="191">
        <f t="shared" si="26"/>
        <v>0</v>
      </c>
      <c r="D188" s="287"/>
      <c r="E188" s="291"/>
      <c r="F188" s="310">
        <f t="shared" si="30"/>
        <v>0</v>
      </c>
      <c r="G188" s="287"/>
      <c r="H188" s="289"/>
      <c r="I188" s="259">
        <f t="shared" si="31"/>
        <v>0</v>
      </c>
      <c r="J188" s="287"/>
      <c r="K188" s="289"/>
      <c r="L188" s="259">
        <f t="shared" si="32"/>
        <v>0</v>
      </c>
      <c r="M188" s="290"/>
      <c r="N188" s="291"/>
      <c r="O188" s="259">
        <f t="shared" si="33"/>
        <v>0</v>
      </c>
      <c r="P188" s="189"/>
      <c r="R188" s="53"/>
      <c r="S188" s="53"/>
      <c r="T188" s="53"/>
    </row>
    <row r="189" spans="1:20" ht="60" hidden="1" x14ac:dyDescent="0.25">
      <c r="A189" s="66">
        <v>3320</v>
      </c>
      <c r="B189" s="116" t="s">
        <v>205</v>
      </c>
      <c r="C189" s="117">
        <f t="shared" si="26"/>
        <v>0</v>
      </c>
      <c r="D189" s="123"/>
      <c r="E189" s="262"/>
      <c r="F189" s="263">
        <f t="shared" si="30"/>
        <v>0</v>
      </c>
      <c r="G189" s="123"/>
      <c r="H189" s="124"/>
      <c r="I189" s="125">
        <f t="shared" si="31"/>
        <v>0</v>
      </c>
      <c r="J189" s="123"/>
      <c r="K189" s="124"/>
      <c r="L189" s="125">
        <f t="shared" si="32"/>
        <v>0</v>
      </c>
      <c r="M189" s="264"/>
      <c r="N189" s="262"/>
      <c r="O189" s="125">
        <f t="shared" si="33"/>
        <v>0</v>
      </c>
      <c r="P189" s="74"/>
      <c r="R189" s="53"/>
      <c r="S189" s="53"/>
      <c r="T189" s="53"/>
    </row>
    <row r="190" spans="1:20" hidden="1" x14ac:dyDescent="0.25">
      <c r="A190" s="337">
        <v>4000</v>
      </c>
      <c r="B190" s="237" t="s">
        <v>206</v>
      </c>
      <c r="C190" s="238">
        <f t="shared" si="26"/>
        <v>0</v>
      </c>
      <c r="D190" s="239">
        <f>SUM(D191,D194)</f>
        <v>0</v>
      </c>
      <c r="E190" s="245">
        <f>SUM(E191,E194)</f>
        <v>0</v>
      </c>
      <c r="F190" s="320">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c r="R190" s="53"/>
      <c r="S190" s="53"/>
      <c r="T190" s="53"/>
    </row>
    <row r="191" spans="1:20" ht="24" hidden="1" x14ac:dyDescent="0.25">
      <c r="A191" s="338">
        <v>4200</v>
      </c>
      <c r="B191" s="247" t="s">
        <v>207</v>
      </c>
      <c r="C191" s="100">
        <f t="shared" si="26"/>
        <v>0</v>
      </c>
      <c r="D191" s="112">
        <f>SUM(D192,D193)</f>
        <v>0</v>
      </c>
      <c r="E191" s="293">
        <f>SUM(E192,E193)</f>
        <v>0</v>
      </c>
      <c r="F191" s="313">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c r="R191" s="53"/>
      <c r="S191" s="53"/>
      <c r="T191" s="53"/>
    </row>
    <row r="192" spans="1:20" ht="36" hidden="1" x14ac:dyDescent="0.25">
      <c r="A192" s="656">
        <v>4240</v>
      </c>
      <c r="B192" s="116" t="s">
        <v>208</v>
      </c>
      <c r="C192" s="117">
        <f t="shared" si="26"/>
        <v>0</v>
      </c>
      <c r="D192" s="123"/>
      <c r="E192" s="262"/>
      <c r="F192" s="263">
        <f t="shared" si="30"/>
        <v>0</v>
      </c>
      <c r="G192" s="123"/>
      <c r="H192" s="124"/>
      <c r="I192" s="125">
        <f t="shared" si="31"/>
        <v>0</v>
      </c>
      <c r="J192" s="123"/>
      <c r="K192" s="124"/>
      <c r="L192" s="125">
        <f t="shared" si="32"/>
        <v>0</v>
      </c>
      <c r="M192" s="264"/>
      <c r="N192" s="262"/>
      <c r="O192" s="125">
        <f t="shared" si="33"/>
        <v>0</v>
      </c>
      <c r="P192" s="74"/>
      <c r="R192" s="53"/>
      <c r="S192" s="53"/>
      <c r="T192" s="53"/>
    </row>
    <row r="193" spans="1:20" ht="24" hidden="1" x14ac:dyDescent="0.25">
      <c r="A193" s="276">
        <v>4250</v>
      </c>
      <c r="B193" s="127" t="s">
        <v>209</v>
      </c>
      <c r="C193" s="128">
        <f t="shared" si="26"/>
        <v>0</v>
      </c>
      <c r="D193" s="134"/>
      <c r="E193" s="285"/>
      <c r="F193" s="286">
        <f t="shared" si="30"/>
        <v>0</v>
      </c>
      <c r="G193" s="134"/>
      <c r="H193" s="135"/>
      <c r="I193" s="136">
        <f t="shared" si="31"/>
        <v>0</v>
      </c>
      <c r="J193" s="134"/>
      <c r="K193" s="135"/>
      <c r="L193" s="136">
        <f t="shared" si="32"/>
        <v>0</v>
      </c>
      <c r="M193" s="284"/>
      <c r="N193" s="285"/>
      <c r="O193" s="136">
        <f t="shared" si="33"/>
        <v>0</v>
      </c>
      <c r="P193" s="85"/>
      <c r="R193" s="53"/>
      <c r="S193" s="53"/>
      <c r="T193" s="53"/>
    </row>
    <row r="194" spans="1:20" hidden="1" x14ac:dyDescent="0.25">
      <c r="A194" s="99">
        <v>4300</v>
      </c>
      <c r="B194" s="247" t="s">
        <v>210</v>
      </c>
      <c r="C194" s="100">
        <f t="shared" si="26"/>
        <v>0</v>
      </c>
      <c r="D194" s="112">
        <f>SUM(D195)</f>
        <v>0</v>
      </c>
      <c r="E194" s="293">
        <f>SUM(E195)</f>
        <v>0</v>
      </c>
      <c r="F194" s="313">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c r="R194" s="53"/>
      <c r="S194" s="53"/>
      <c r="T194" s="53"/>
    </row>
    <row r="195" spans="1:20" ht="24" hidden="1" x14ac:dyDescent="0.25">
      <c r="A195" s="656">
        <v>4310</v>
      </c>
      <c r="B195" s="116" t="s">
        <v>211</v>
      </c>
      <c r="C195" s="117">
        <f t="shared" si="26"/>
        <v>0</v>
      </c>
      <c r="D195" s="297">
        <f>SUM(D196:D196)</f>
        <v>0</v>
      </c>
      <c r="E195" s="301">
        <f>SUM(E196:E196)</f>
        <v>0</v>
      </c>
      <c r="F195" s="263">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c r="R195" s="53"/>
      <c r="S195" s="53"/>
      <c r="T195" s="53"/>
    </row>
    <row r="196" spans="1:20" ht="36" hidden="1" x14ac:dyDescent="0.25">
      <c r="A196" s="76">
        <v>4311</v>
      </c>
      <c r="B196" s="127" t="s">
        <v>212</v>
      </c>
      <c r="C196" s="128">
        <f t="shared" si="26"/>
        <v>0</v>
      </c>
      <c r="D196" s="134"/>
      <c r="E196" s="285"/>
      <c r="F196" s="286">
        <f t="shared" si="30"/>
        <v>0</v>
      </c>
      <c r="G196" s="134"/>
      <c r="H196" s="135"/>
      <c r="I196" s="136">
        <f t="shared" si="31"/>
        <v>0</v>
      </c>
      <c r="J196" s="134"/>
      <c r="K196" s="135"/>
      <c r="L196" s="136">
        <f t="shared" si="32"/>
        <v>0</v>
      </c>
      <c r="M196" s="284"/>
      <c r="N196" s="285"/>
      <c r="O196" s="136">
        <f t="shared" si="33"/>
        <v>0</v>
      </c>
      <c r="P196" s="85"/>
      <c r="R196" s="53"/>
      <c r="S196" s="53"/>
      <c r="T196" s="53"/>
    </row>
    <row r="197" spans="1:20" s="41" customFormat="1" ht="24" x14ac:dyDescent="0.25">
      <c r="A197" s="339"/>
      <c r="B197" s="31" t="s">
        <v>213</v>
      </c>
      <c r="C197" s="229">
        <f t="shared" si="26"/>
        <v>2599</v>
      </c>
      <c r="D197" s="230">
        <f>SUM(D198,D233,D271)</f>
        <v>2444</v>
      </c>
      <c r="E197" s="231">
        <f>SUM(E198,E233,E271)</f>
        <v>0</v>
      </c>
      <c r="F197" s="232">
        <f t="shared" si="30"/>
        <v>2444</v>
      </c>
      <c r="G197" s="230">
        <f>SUM(G198,G233,G271)</f>
        <v>0</v>
      </c>
      <c r="H197" s="233">
        <f>SUM(H198,H233,H271)</f>
        <v>0</v>
      </c>
      <c r="I197" s="234">
        <f t="shared" si="31"/>
        <v>0</v>
      </c>
      <c r="J197" s="230">
        <f>SUM(J198,J233,J271)</f>
        <v>155</v>
      </c>
      <c r="K197" s="233">
        <f>SUM(K198,K233,K271)</f>
        <v>0</v>
      </c>
      <c r="L197" s="234">
        <f t="shared" si="32"/>
        <v>155</v>
      </c>
      <c r="M197" s="340">
        <f>SUM(M198,M233,M271)</f>
        <v>0</v>
      </c>
      <c r="N197" s="341">
        <f>SUM(N198,N233,N271)</f>
        <v>0</v>
      </c>
      <c r="O197" s="342">
        <f t="shared" si="33"/>
        <v>0</v>
      </c>
      <c r="P197" s="343"/>
      <c r="R197" s="53"/>
      <c r="S197" s="53"/>
      <c r="T197" s="53"/>
    </row>
    <row r="198" spans="1:20" x14ac:dyDescent="0.25">
      <c r="A198" s="237">
        <v>5000</v>
      </c>
      <c r="B198" s="237" t="s">
        <v>214</v>
      </c>
      <c r="C198" s="238">
        <f>F198+I198+L198+O198</f>
        <v>2444</v>
      </c>
      <c r="D198" s="239">
        <f>D199+D207</f>
        <v>2444</v>
      </c>
      <c r="E198" s="240">
        <f>E199+E207</f>
        <v>0</v>
      </c>
      <c r="F198" s="241">
        <f t="shared" si="30"/>
        <v>2444</v>
      </c>
      <c r="G198" s="239">
        <f>G199+G207</f>
        <v>0</v>
      </c>
      <c r="H198" s="242">
        <f>H199+H207</f>
        <v>0</v>
      </c>
      <c r="I198" s="243">
        <f t="shared" si="31"/>
        <v>0</v>
      </c>
      <c r="J198" s="239">
        <f>J199+J207</f>
        <v>0</v>
      </c>
      <c r="K198" s="242">
        <f>K199+K207</f>
        <v>0</v>
      </c>
      <c r="L198" s="243">
        <f t="shared" si="32"/>
        <v>0</v>
      </c>
      <c r="M198" s="244">
        <f>M199+M207</f>
        <v>0</v>
      </c>
      <c r="N198" s="245">
        <f>N199+N207</f>
        <v>0</v>
      </c>
      <c r="O198" s="243">
        <f t="shared" si="33"/>
        <v>0</v>
      </c>
      <c r="P198" s="246"/>
      <c r="R198" s="53"/>
      <c r="S198" s="53"/>
      <c r="T198" s="53"/>
    </row>
    <row r="199" spans="1:20" hidden="1" x14ac:dyDescent="0.25">
      <c r="A199" s="99">
        <v>5100</v>
      </c>
      <c r="B199" s="247" t="s">
        <v>215</v>
      </c>
      <c r="C199" s="100">
        <f t="shared" si="26"/>
        <v>0</v>
      </c>
      <c r="D199" s="112">
        <f>D200+D201+D204+D205+D206</f>
        <v>0</v>
      </c>
      <c r="E199" s="293">
        <f>E200+E201+E204+E205+E206</f>
        <v>0</v>
      </c>
      <c r="F199" s="313">
        <f t="shared" si="30"/>
        <v>0</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c r="R199" s="53"/>
      <c r="S199" s="53"/>
      <c r="T199" s="53"/>
    </row>
    <row r="200" spans="1:20" hidden="1" x14ac:dyDescent="0.25">
      <c r="A200" s="656">
        <v>5110</v>
      </c>
      <c r="B200" s="116" t="s">
        <v>216</v>
      </c>
      <c r="C200" s="117">
        <f t="shared" si="26"/>
        <v>0</v>
      </c>
      <c r="D200" s="123"/>
      <c r="E200" s="262"/>
      <c r="F200" s="263">
        <f t="shared" si="30"/>
        <v>0</v>
      </c>
      <c r="G200" s="123"/>
      <c r="H200" s="124"/>
      <c r="I200" s="125">
        <f t="shared" si="31"/>
        <v>0</v>
      </c>
      <c r="J200" s="123"/>
      <c r="K200" s="124"/>
      <c r="L200" s="125">
        <f t="shared" si="32"/>
        <v>0</v>
      </c>
      <c r="M200" s="264"/>
      <c r="N200" s="262"/>
      <c r="O200" s="125">
        <f t="shared" si="33"/>
        <v>0</v>
      </c>
      <c r="P200" s="74"/>
      <c r="R200" s="53"/>
      <c r="S200" s="53"/>
      <c r="T200" s="53"/>
    </row>
    <row r="201" spans="1:20" ht="24" hidden="1" x14ac:dyDescent="0.25">
      <c r="A201" s="276">
        <v>5120</v>
      </c>
      <c r="B201" s="127" t="s">
        <v>217</v>
      </c>
      <c r="C201" s="128">
        <f t="shared" si="26"/>
        <v>0</v>
      </c>
      <c r="D201" s="277">
        <f>D202+D203</f>
        <v>0</v>
      </c>
      <c r="E201" s="282">
        <f>E202+E203</f>
        <v>0</v>
      </c>
      <c r="F201" s="286">
        <f t="shared" si="30"/>
        <v>0</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c r="R201" s="53"/>
      <c r="S201" s="53"/>
      <c r="T201" s="53"/>
    </row>
    <row r="202" spans="1:20" hidden="1" x14ac:dyDescent="0.25">
      <c r="A202" s="76">
        <v>5121</v>
      </c>
      <c r="B202" s="127" t="s">
        <v>218</v>
      </c>
      <c r="C202" s="128">
        <f t="shared" si="26"/>
        <v>0</v>
      </c>
      <c r="D202" s="134"/>
      <c r="E202" s="285"/>
      <c r="F202" s="286">
        <f t="shared" si="30"/>
        <v>0</v>
      </c>
      <c r="G202" s="134"/>
      <c r="H202" s="135"/>
      <c r="I202" s="136">
        <f t="shared" si="31"/>
        <v>0</v>
      </c>
      <c r="J202" s="134"/>
      <c r="K202" s="135"/>
      <c r="L202" s="136">
        <f t="shared" si="32"/>
        <v>0</v>
      </c>
      <c r="M202" s="284"/>
      <c r="N202" s="285"/>
      <c r="O202" s="136">
        <f t="shared" si="33"/>
        <v>0</v>
      </c>
      <c r="P202" s="85"/>
      <c r="R202" s="53"/>
      <c r="S202" s="53"/>
      <c r="T202" s="53"/>
    </row>
    <row r="203" spans="1:20" ht="24" hidden="1" x14ac:dyDescent="0.25">
      <c r="A203" s="76">
        <v>5129</v>
      </c>
      <c r="B203" s="127" t="s">
        <v>219</v>
      </c>
      <c r="C203" s="128">
        <f t="shared" si="26"/>
        <v>0</v>
      </c>
      <c r="D203" s="134"/>
      <c r="E203" s="285"/>
      <c r="F203" s="286">
        <f t="shared" si="30"/>
        <v>0</v>
      </c>
      <c r="G203" s="134"/>
      <c r="H203" s="135"/>
      <c r="I203" s="136">
        <f t="shared" si="31"/>
        <v>0</v>
      </c>
      <c r="J203" s="134"/>
      <c r="K203" s="135"/>
      <c r="L203" s="136">
        <f t="shared" si="32"/>
        <v>0</v>
      </c>
      <c r="M203" s="284"/>
      <c r="N203" s="285"/>
      <c r="O203" s="136">
        <f t="shared" si="33"/>
        <v>0</v>
      </c>
      <c r="P203" s="85"/>
      <c r="R203" s="53"/>
      <c r="S203" s="53"/>
      <c r="T203" s="53"/>
    </row>
    <row r="204" spans="1:20" hidden="1" x14ac:dyDescent="0.25">
      <c r="A204" s="276">
        <v>5130</v>
      </c>
      <c r="B204" s="127" t="s">
        <v>220</v>
      </c>
      <c r="C204" s="128">
        <f t="shared" si="26"/>
        <v>0</v>
      </c>
      <c r="D204" s="134"/>
      <c r="E204" s="285"/>
      <c r="F204" s="286">
        <f t="shared" si="30"/>
        <v>0</v>
      </c>
      <c r="G204" s="134"/>
      <c r="H204" s="135"/>
      <c r="I204" s="136">
        <f t="shared" si="31"/>
        <v>0</v>
      </c>
      <c r="J204" s="134"/>
      <c r="K204" s="135"/>
      <c r="L204" s="136">
        <f t="shared" si="32"/>
        <v>0</v>
      </c>
      <c r="M204" s="284"/>
      <c r="N204" s="285"/>
      <c r="O204" s="136">
        <f t="shared" si="33"/>
        <v>0</v>
      </c>
      <c r="P204" s="85"/>
      <c r="R204" s="53"/>
      <c r="S204" s="53"/>
      <c r="T204" s="53"/>
    </row>
    <row r="205" spans="1:20" hidden="1" x14ac:dyDescent="0.25">
      <c r="A205" s="276">
        <v>5140</v>
      </c>
      <c r="B205" s="127" t="s">
        <v>221</v>
      </c>
      <c r="C205" s="128">
        <f t="shared" si="26"/>
        <v>0</v>
      </c>
      <c r="D205" s="134"/>
      <c r="E205" s="285"/>
      <c r="F205" s="286">
        <f t="shared" si="30"/>
        <v>0</v>
      </c>
      <c r="G205" s="134"/>
      <c r="H205" s="135"/>
      <c r="I205" s="136">
        <f t="shared" si="31"/>
        <v>0</v>
      </c>
      <c r="J205" s="134"/>
      <c r="K205" s="135"/>
      <c r="L205" s="136">
        <f t="shared" si="32"/>
        <v>0</v>
      </c>
      <c r="M205" s="284"/>
      <c r="N205" s="285"/>
      <c r="O205" s="136">
        <f t="shared" si="33"/>
        <v>0</v>
      </c>
      <c r="P205" s="85"/>
      <c r="R205" s="53"/>
      <c r="S205" s="53"/>
      <c r="T205" s="53"/>
    </row>
    <row r="206" spans="1:20" ht="24" hidden="1" x14ac:dyDescent="0.25">
      <c r="A206" s="276">
        <v>5170</v>
      </c>
      <c r="B206" s="127" t="s">
        <v>222</v>
      </c>
      <c r="C206" s="128">
        <f t="shared" si="26"/>
        <v>0</v>
      </c>
      <c r="D206" s="134"/>
      <c r="E206" s="285"/>
      <c r="F206" s="286">
        <f t="shared" si="30"/>
        <v>0</v>
      </c>
      <c r="G206" s="134"/>
      <c r="H206" s="135"/>
      <c r="I206" s="136">
        <f t="shared" si="31"/>
        <v>0</v>
      </c>
      <c r="J206" s="134"/>
      <c r="K206" s="135"/>
      <c r="L206" s="136">
        <f t="shared" si="32"/>
        <v>0</v>
      </c>
      <c r="M206" s="284"/>
      <c r="N206" s="285"/>
      <c r="O206" s="136">
        <f t="shared" si="33"/>
        <v>0</v>
      </c>
      <c r="P206" s="85"/>
      <c r="R206" s="53"/>
      <c r="S206" s="53"/>
      <c r="T206" s="53"/>
    </row>
    <row r="207" spans="1:20" x14ac:dyDescent="0.25">
      <c r="A207" s="99">
        <v>5200</v>
      </c>
      <c r="B207" s="247" t="s">
        <v>223</v>
      </c>
      <c r="C207" s="100">
        <f t="shared" si="26"/>
        <v>2444</v>
      </c>
      <c r="D207" s="112">
        <f>D208+D218+D219+D228+D229+D230+D232</f>
        <v>2444</v>
      </c>
      <c r="E207" s="248">
        <f>E208+E218+E219+E228+E229+E230+E232</f>
        <v>0</v>
      </c>
      <c r="F207" s="249">
        <f t="shared" si="30"/>
        <v>2444</v>
      </c>
      <c r="G207" s="112">
        <f>G208+G218+G219+G228+G229+G230+G232</f>
        <v>0</v>
      </c>
      <c r="H207" s="113">
        <f>H208+H218+H219+H228+H229+H230+H232</f>
        <v>0</v>
      </c>
      <c r="I207" s="114">
        <f t="shared" si="31"/>
        <v>0</v>
      </c>
      <c r="J207" s="112">
        <f>J208+J218+J219+J228+J229+J230+J232</f>
        <v>0</v>
      </c>
      <c r="K207" s="113">
        <f>K208+K218+K219+K228+K229+K230+K232</f>
        <v>0</v>
      </c>
      <c r="L207" s="114">
        <f t="shared" si="32"/>
        <v>0</v>
      </c>
      <c r="M207" s="292">
        <f>M208+M218+M219+M228+M229+M230+M232</f>
        <v>0</v>
      </c>
      <c r="N207" s="293">
        <f>N208+N218+N219+N228+N229+N230+N232</f>
        <v>0</v>
      </c>
      <c r="O207" s="114">
        <f t="shared" si="33"/>
        <v>0</v>
      </c>
      <c r="P207" s="109"/>
      <c r="R207" s="53"/>
      <c r="S207" s="53"/>
      <c r="T207" s="53"/>
    </row>
    <row r="208" spans="1:20" hidden="1" x14ac:dyDescent="0.25">
      <c r="A208" s="254">
        <v>5210</v>
      </c>
      <c r="B208" s="179" t="s">
        <v>224</v>
      </c>
      <c r="C208" s="191">
        <f t="shared" si="26"/>
        <v>0</v>
      </c>
      <c r="D208" s="255">
        <f>SUM(D209:D217)</f>
        <v>0</v>
      </c>
      <c r="E208" s="261">
        <f>SUM(E209:E217)</f>
        <v>0</v>
      </c>
      <c r="F208" s="310">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c r="R208" s="53"/>
      <c r="S208" s="53"/>
      <c r="T208" s="53"/>
    </row>
    <row r="209" spans="1:20" hidden="1" x14ac:dyDescent="0.25">
      <c r="A209" s="66">
        <v>5211</v>
      </c>
      <c r="B209" s="116" t="s">
        <v>225</v>
      </c>
      <c r="C209" s="279">
        <f t="shared" si="26"/>
        <v>0</v>
      </c>
      <c r="D209" s="123"/>
      <c r="E209" s="262"/>
      <c r="F209" s="263">
        <f t="shared" si="30"/>
        <v>0</v>
      </c>
      <c r="G209" s="123"/>
      <c r="H209" s="124"/>
      <c r="I209" s="125">
        <f t="shared" si="31"/>
        <v>0</v>
      </c>
      <c r="J209" s="123"/>
      <c r="K209" s="124"/>
      <c r="L209" s="125">
        <f t="shared" si="32"/>
        <v>0</v>
      </c>
      <c r="M209" s="264"/>
      <c r="N209" s="262"/>
      <c r="O209" s="125">
        <f t="shared" si="33"/>
        <v>0</v>
      </c>
      <c r="P209" s="74"/>
      <c r="R209" s="53"/>
      <c r="S209" s="53"/>
      <c r="T209" s="53"/>
    </row>
    <row r="210" spans="1:20" hidden="1" x14ac:dyDescent="0.25">
      <c r="A210" s="76">
        <v>5212</v>
      </c>
      <c r="B210" s="127" t="s">
        <v>226</v>
      </c>
      <c r="C210" s="279">
        <f t="shared" si="26"/>
        <v>0</v>
      </c>
      <c r="D210" s="134"/>
      <c r="E210" s="285"/>
      <c r="F210" s="286">
        <f t="shared" si="30"/>
        <v>0</v>
      </c>
      <c r="G210" s="134"/>
      <c r="H210" s="135"/>
      <c r="I210" s="136">
        <f t="shared" si="31"/>
        <v>0</v>
      </c>
      <c r="J210" s="134"/>
      <c r="K210" s="135"/>
      <c r="L210" s="136">
        <f t="shared" si="32"/>
        <v>0</v>
      </c>
      <c r="M210" s="284"/>
      <c r="N210" s="285"/>
      <c r="O210" s="136">
        <f t="shared" si="33"/>
        <v>0</v>
      </c>
      <c r="P210" s="85"/>
      <c r="R210" s="53"/>
      <c r="S210" s="53"/>
      <c r="T210" s="53"/>
    </row>
    <row r="211" spans="1:20" hidden="1" x14ac:dyDescent="0.25">
      <c r="A211" s="76">
        <v>5213</v>
      </c>
      <c r="B211" s="127" t="s">
        <v>227</v>
      </c>
      <c r="C211" s="279">
        <f t="shared" si="26"/>
        <v>0</v>
      </c>
      <c r="D211" s="134"/>
      <c r="E211" s="285"/>
      <c r="F211" s="286">
        <f t="shared" si="30"/>
        <v>0</v>
      </c>
      <c r="G211" s="134"/>
      <c r="H211" s="135"/>
      <c r="I211" s="136">
        <f t="shared" si="31"/>
        <v>0</v>
      </c>
      <c r="J211" s="134"/>
      <c r="K211" s="135"/>
      <c r="L211" s="136">
        <f t="shared" si="32"/>
        <v>0</v>
      </c>
      <c r="M211" s="284"/>
      <c r="N211" s="285"/>
      <c r="O211" s="136">
        <f t="shared" si="33"/>
        <v>0</v>
      </c>
      <c r="P211" s="85"/>
      <c r="R211" s="53"/>
      <c r="S211" s="53"/>
      <c r="T211" s="53"/>
    </row>
    <row r="212" spans="1:20" hidden="1" x14ac:dyDescent="0.25">
      <c r="A212" s="76">
        <v>5214</v>
      </c>
      <c r="B212" s="127" t="s">
        <v>228</v>
      </c>
      <c r="C212" s="279">
        <f t="shared" si="26"/>
        <v>0</v>
      </c>
      <c r="D212" s="134"/>
      <c r="E212" s="285"/>
      <c r="F212" s="286">
        <f t="shared" si="30"/>
        <v>0</v>
      </c>
      <c r="G212" s="134"/>
      <c r="H212" s="135"/>
      <c r="I212" s="136">
        <f t="shared" si="31"/>
        <v>0</v>
      </c>
      <c r="J212" s="134"/>
      <c r="K212" s="135"/>
      <c r="L212" s="136">
        <f t="shared" si="32"/>
        <v>0</v>
      </c>
      <c r="M212" s="284"/>
      <c r="N212" s="285"/>
      <c r="O212" s="136">
        <f t="shared" si="33"/>
        <v>0</v>
      </c>
      <c r="P212" s="85"/>
      <c r="R212" s="53"/>
      <c r="S212" s="53"/>
      <c r="T212" s="53"/>
    </row>
    <row r="213" spans="1:20" hidden="1" x14ac:dyDescent="0.25">
      <c r="A213" s="76">
        <v>5215</v>
      </c>
      <c r="B213" s="127" t="s">
        <v>229</v>
      </c>
      <c r="C213" s="279">
        <f t="shared" si="26"/>
        <v>0</v>
      </c>
      <c r="D213" s="134"/>
      <c r="E213" s="285"/>
      <c r="F213" s="286">
        <f t="shared" si="30"/>
        <v>0</v>
      </c>
      <c r="G213" s="134"/>
      <c r="H213" s="135"/>
      <c r="I213" s="136">
        <f t="shared" si="31"/>
        <v>0</v>
      </c>
      <c r="J213" s="134"/>
      <c r="K213" s="135"/>
      <c r="L213" s="136">
        <f t="shared" si="32"/>
        <v>0</v>
      </c>
      <c r="M213" s="284"/>
      <c r="N213" s="285"/>
      <c r="O213" s="136">
        <f t="shared" si="33"/>
        <v>0</v>
      </c>
      <c r="P213" s="85"/>
      <c r="R213" s="53"/>
      <c r="S213" s="53"/>
      <c r="T213" s="53"/>
    </row>
    <row r="214" spans="1:20" ht="24" hidden="1" x14ac:dyDescent="0.25">
      <c r="A214" s="76">
        <v>5216</v>
      </c>
      <c r="B214" s="127" t="s">
        <v>230</v>
      </c>
      <c r="C214" s="279">
        <f t="shared" si="26"/>
        <v>0</v>
      </c>
      <c r="D214" s="134"/>
      <c r="E214" s="285"/>
      <c r="F214" s="286">
        <f t="shared" si="30"/>
        <v>0</v>
      </c>
      <c r="G214" s="134"/>
      <c r="H214" s="135"/>
      <c r="I214" s="136">
        <f t="shared" si="31"/>
        <v>0</v>
      </c>
      <c r="J214" s="134"/>
      <c r="K214" s="135"/>
      <c r="L214" s="136">
        <f t="shared" si="32"/>
        <v>0</v>
      </c>
      <c r="M214" s="284"/>
      <c r="N214" s="285"/>
      <c r="O214" s="136">
        <f t="shared" si="33"/>
        <v>0</v>
      </c>
      <c r="P214" s="85"/>
      <c r="R214" s="53"/>
      <c r="S214" s="53"/>
      <c r="T214" s="53"/>
    </row>
    <row r="215" spans="1:20" hidden="1" x14ac:dyDescent="0.25">
      <c r="A215" s="76">
        <v>5217</v>
      </c>
      <c r="B215" s="127" t="s">
        <v>231</v>
      </c>
      <c r="C215" s="279">
        <f t="shared" si="26"/>
        <v>0</v>
      </c>
      <c r="D215" s="134"/>
      <c r="E215" s="285"/>
      <c r="F215" s="286">
        <f t="shared" si="30"/>
        <v>0</v>
      </c>
      <c r="G215" s="134"/>
      <c r="H215" s="135"/>
      <c r="I215" s="136">
        <f t="shared" si="31"/>
        <v>0</v>
      </c>
      <c r="J215" s="134"/>
      <c r="K215" s="135"/>
      <c r="L215" s="136">
        <f t="shared" si="32"/>
        <v>0</v>
      </c>
      <c r="M215" s="284"/>
      <c r="N215" s="285"/>
      <c r="O215" s="136">
        <f t="shared" si="33"/>
        <v>0</v>
      </c>
      <c r="P215" s="85"/>
      <c r="R215" s="53"/>
      <c r="S215" s="53"/>
      <c r="T215" s="53"/>
    </row>
    <row r="216" spans="1:20" hidden="1" x14ac:dyDescent="0.25">
      <c r="A216" s="76">
        <v>5218</v>
      </c>
      <c r="B216" s="127" t="s">
        <v>232</v>
      </c>
      <c r="C216" s="279">
        <f t="shared" si="26"/>
        <v>0</v>
      </c>
      <c r="D216" s="134"/>
      <c r="E216" s="285"/>
      <c r="F216" s="286">
        <f t="shared" si="30"/>
        <v>0</v>
      </c>
      <c r="G216" s="134"/>
      <c r="H216" s="135"/>
      <c r="I216" s="136">
        <f t="shared" si="31"/>
        <v>0</v>
      </c>
      <c r="J216" s="134"/>
      <c r="K216" s="135"/>
      <c r="L216" s="136">
        <f t="shared" si="32"/>
        <v>0</v>
      </c>
      <c r="M216" s="284"/>
      <c r="N216" s="285"/>
      <c r="O216" s="136">
        <f t="shared" si="33"/>
        <v>0</v>
      </c>
      <c r="P216" s="85"/>
      <c r="R216" s="53"/>
      <c r="S216" s="53"/>
      <c r="T216" s="53"/>
    </row>
    <row r="217" spans="1:20" hidden="1" x14ac:dyDescent="0.25">
      <c r="A217" s="76">
        <v>5219</v>
      </c>
      <c r="B217" s="127" t="s">
        <v>233</v>
      </c>
      <c r="C217" s="279">
        <f t="shared" si="26"/>
        <v>0</v>
      </c>
      <c r="D217" s="134"/>
      <c r="E217" s="285"/>
      <c r="F217" s="286">
        <f t="shared" si="30"/>
        <v>0</v>
      </c>
      <c r="G217" s="134"/>
      <c r="H217" s="135"/>
      <c r="I217" s="136">
        <f t="shared" si="31"/>
        <v>0</v>
      </c>
      <c r="J217" s="134"/>
      <c r="K217" s="135"/>
      <c r="L217" s="136">
        <f t="shared" si="32"/>
        <v>0</v>
      </c>
      <c r="M217" s="284"/>
      <c r="N217" s="285"/>
      <c r="O217" s="136">
        <f t="shared" si="33"/>
        <v>0</v>
      </c>
      <c r="P217" s="85"/>
      <c r="R217" s="53"/>
      <c r="S217" s="53"/>
      <c r="T217" s="53"/>
    </row>
    <row r="218" spans="1:20" hidden="1" x14ac:dyDescent="0.25">
      <c r="A218" s="276">
        <v>5220</v>
      </c>
      <c r="B218" s="127" t="s">
        <v>234</v>
      </c>
      <c r="C218" s="279">
        <f t="shared" si="26"/>
        <v>0</v>
      </c>
      <c r="D218" s="134"/>
      <c r="E218" s="285"/>
      <c r="F218" s="286">
        <f t="shared" si="30"/>
        <v>0</v>
      </c>
      <c r="G218" s="134"/>
      <c r="H218" s="135"/>
      <c r="I218" s="136">
        <f t="shared" si="31"/>
        <v>0</v>
      </c>
      <c r="J218" s="134"/>
      <c r="K218" s="135"/>
      <c r="L218" s="136">
        <f t="shared" si="32"/>
        <v>0</v>
      </c>
      <c r="M218" s="284"/>
      <c r="N218" s="285"/>
      <c r="O218" s="136">
        <f t="shared" si="33"/>
        <v>0</v>
      </c>
      <c r="P218" s="85"/>
      <c r="R218" s="53"/>
      <c r="S218" s="53"/>
      <c r="T218" s="53"/>
    </row>
    <row r="219" spans="1:20" x14ac:dyDescent="0.25">
      <c r="A219" s="276">
        <v>5230</v>
      </c>
      <c r="B219" s="127" t="s">
        <v>235</v>
      </c>
      <c r="C219" s="279">
        <f t="shared" si="26"/>
        <v>2444</v>
      </c>
      <c r="D219" s="277">
        <f>SUM(D220:D227)</f>
        <v>2444</v>
      </c>
      <c r="E219" s="278">
        <f>SUM(E220:E227)</f>
        <v>0</v>
      </c>
      <c r="F219" s="279">
        <f t="shared" si="30"/>
        <v>2444</v>
      </c>
      <c r="G219" s="277">
        <f>SUM(G220:G227)</f>
        <v>0</v>
      </c>
      <c r="H219" s="280">
        <f>SUM(H220:H227)</f>
        <v>0</v>
      </c>
      <c r="I219" s="136">
        <f t="shared" si="31"/>
        <v>0</v>
      </c>
      <c r="J219" s="277">
        <f>SUM(J220:J227)</f>
        <v>0</v>
      </c>
      <c r="K219" s="280">
        <f>SUM(K220:K227)</f>
        <v>0</v>
      </c>
      <c r="L219" s="136">
        <f t="shared" si="32"/>
        <v>0</v>
      </c>
      <c r="M219" s="281">
        <f>SUM(M220:M227)</f>
        <v>0</v>
      </c>
      <c r="N219" s="282">
        <f>SUM(N220:N227)</f>
        <v>0</v>
      </c>
      <c r="O219" s="136">
        <f t="shared" si="33"/>
        <v>0</v>
      </c>
      <c r="P219" s="85"/>
      <c r="R219" s="53"/>
      <c r="S219" s="53"/>
      <c r="T219" s="53"/>
    </row>
    <row r="220" spans="1:20" hidden="1" x14ac:dyDescent="0.25">
      <c r="A220" s="76">
        <v>5231</v>
      </c>
      <c r="B220" s="127" t="s">
        <v>236</v>
      </c>
      <c r="C220" s="279">
        <f t="shared" si="26"/>
        <v>0</v>
      </c>
      <c r="D220" s="134"/>
      <c r="E220" s="285"/>
      <c r="F220" s="286">
        <f t="shared" si="30"/>
        <v>0</v>
      </c>
      <c r="G220" s="134"/>
      <c r="H220" s="135"/>
      <c r="I220" s="136">
        <f t="shared" si="31"/>
        <v>0</v>
      </c>
      <c r="J220" s="134"/>
      <c r="K220" s="135"/>
      <c r="L220" s="136">
        <f t="shared" si="32"/>
        <v>0</v>
      </c>
      <c r="M220" s="284"/>
      <c r="N220" s="285"/>
      <c r="O220" s="136">
        <f t="shared" si="33"/>
        <v>0</v>
      </c>
      <c r="P220" s="85"/>
      <c r="R220" s="53"/>
      <c r="S220" s="53"/>
      <c r="T220" s="53"/>
    </row>
    <row r="221" spans="1:20" x14ac:dyDescent="0.25">
      <c r="A221" s="76">
        <v>5232</v>
      </c>
      <c r="B221" s="127" t="s">
        <v>237</v>
      </c>
      <c r="C221" s="279">
        <f t="shared" si="26"/>
        <v>1944</v>
      </c>
      <c r="D221" s="134">
        <v>1944</v>
      </c>
      <c r="E221" s="283"/>
      <c r="F221" s="279">
        <f t="shared" si="30"/>
        <v>1944</v>
      </c>
      <c r="G221" s="134"/>
      <c r="H221" s="135"/>
      <c r="I221" s="136">
        <f t="shared" si="31"/>
        <v>0</v>
      </c>
      <c r="J221" s="134"/>
      <c r="K221" s="135"/>
      <c r="L221" s="136">
        <f t="shared" si="32"/>
        <v>0</v>
      </c>
      <c r="M221" s="284"/>
      <c r="N221" s="285"/>
      <c r="O221" s="136">
        <f t="shared" si="33"/>
        <v>0</v>
      </c>
      <c r="P221" s="85"/>
      <c r="R221" s="53"/>
      <c r="S221" s="53"/>
      <c r="T221" s="53"/>
    </row>
    <row r="222" spans="1:20" hidden="1" x14ac:dyDescent="0.25">
      <c r="A222" s="76">
        <v>5233</v>
      </c>
      <c r="B222" s="127" t="s">
        <v>238</v>
      </c>
      <c r="C222" s="279">
        <f t="shared" si="26"/>
        <v>0</v>
      </c>
      <c r="D222" s="134"/>
      <c r="E222" s="285"/>
      <c r="F222" s="286">
        <f t="shared" si="30"/>
        <v>0</v>
      </c>
      <c r="G222" s="134"/>
      <c r="H222" s="135"/>
      <c r="I222" s="136">
        <f t="shared" si="31"/>
        <v>0</v>
      </c>
      <c r="J222" s="134"/>
      <c r="K222" s="135"/>
      <c r="L222" s="136">
        <f t="shared" si="32"/>
        <v>0</v>
      </c>
      <c r="M222" s="284"/>
      <c r="N222" s="285"/>
      <c r="O222" s="136">
        <f t="shared" si="33"/>
        <v>0</v>
      </c>
      <c r="P222" s="85"/>
      <c r="R222" s="53"/>
      <c r="S222" s="53"/>
      <c r="T222" s="53"/>
    </row>
    <row r="223" spans="1:20" ht="24" hidden="1" x14ac:dyDescent="0.25">
      <c r="A223" s="76">
        <v>5234</v>
      </c>
      <c r="B223" s="127" t="s">
        <v>239</v>
      </c>
      <c r="C223" s="279">
        <f t="shared" si="26"/>
        <v>0</v>
      </c>
      <c r="D223" s="134"/>
      <c r="E223" s="285"/>
      <c r="F223" s="286">
        <f t="shared" si="30"/>
        <v>0</v>
      </c>
      <c r="G223" s="134"/>
      <c r="H223" s="135"/>
      <c r="I223" s="136">
        <f t="shared" si="31"/>
        <v>0</v>
      </c>
      <c r="J223" s="134"/>
      <c r="K223" s="135"/>
      <c r="L223" s="136">
        <f t="shared" si="32"/>
        <v>0</v>
      </c>
      <c r="M223" s="284"/>
      <c r="N223" s="285"/>
      <c r="O223" s="136">
        <f t="shared" si="33"/>
        <v>0</v>
      </c>
      <c r="P223" s="85"/>
      <c r="R223" s="53"/>
      <c r="S223" s="53"/>
      <c r="T223" s="53"/>
    </row>
    <row r="224" spans="1:20" hidden="1" x14ac:dyDescent="0.25">
      <c r="A224" s="76">
        <v>5236</v>
      </c>
      <c r="B224" s="127" t="s">
        <v>240</v>
      </c>
      <c r="C224" s="279">
        <f t="shared" si="26"/>
        <v>0</v>
      </c>
      <c r="D224" s="134"/>
      <c r="E224" s="285"/>
      <c r="F224" s="286">
        <f t="shared" si="30"/>
        <v>0</v>
      </c>
      <c r="G224" s="134"/>
      <c r="H224" s="135"/>
      <c r="I224" s="136">
        <f t="shared" si="31"/>
        <v>0</v>
      </c>
      <c r="J224" s="134"/>
      <c r="K224" s="135"/>
      <c r="L224" s="136">
        <f t="shared" si="32"/>
        <v>0</v>
      </c>
      <c r="M224" s="284"/>
      <c r="N224" s="285"/>
      <c r="O224" s="136">
        <f t="shared" si="33"/>
        <v>0</v>
      </c>
      <c r="P224" s="85"/>
      <c r="R224" s="53"/>
      <c r="S224" s="53"/>
      <c r="T224" s="53"/>
    </row>
    <row r="225" spans="1:20" hidden="1" x14ac:dyDescent="0.25">
      <c r="A225" s="76">
        <v>5237</v>
      </c>
      <c r="B225" s="127" t="s">
        <v>241</v>
      </c>
      <c r="C225" s="279">
        <f t="shared" si="26"/>
        <v>0</v>
      </c>
      <c r="D225" s="134"/>
      <c r="E225" s="285"/>
      <c r="F225" s="286">
        <f t="shared" si="30"/>
        <v>0</v>
      </c>
      <c r="G225" s="134"/>
      <c r="H225" s="135"/>
      <c r="I225" s="136">
        <f t="shared" si="31"/>
        <v>0</v>
      </c>
      <c r="J225" s="134"/>
      <c r="K225" s="135"/>
      <c r="L225" s="136">
        <f t="shared" si="32"/>
        <v>0</v>
      </c>
      <c r="M225" s="284"/>
      <c r="N225" s="285"/>
      <c r="O225" s="136">
        <f t="shared" si="33"/>
        <v>0</v>
      </c>
      <c r="P225" s="85"/>
      <c r="R225" s="53"/>
      <c r="S225" s="53"/>
      <c r="T225" s="53"/>
    </row>
    <row r="226" spans="1:20" ht="24" x14ac:dyDescent="0.25">
      <c r="A226" s="76">
        <v>5238</v>
      </c>
      <c r="B226" s="127" t="s">
        <v>242</v>
      </c>
      <c r="C226" s="279">
        <f t="shared" si="26"/>
        <v>500</v>
      </c>
      <c r="D226" s="134">
        <v>500</v>
      </c>
      <c r="E226" s="283"/>
      <c r="F226" s="279">
        <f t="shared" si="30"/>
        <v>500</v>
      </c>
      <c r="G226" s="134"/>
      <c r="H226" s="135"/>
      <c r="I226" s="136">
        <f t="shared" si="31"/>
        <v>0</v>
      </c>
      <c r="J226" s="134"/>
      <c r="K226" s="135"/>
      <c r="L226" s="136">
        <f t="shared" si="32"/>
        <v>0</v>
      </c>
      <c r="M226" s="284"/>
      <c r="N226" s="285"/>
      <c r="O226" s="136">
        <f t="shared" si="33"/>
        <v>0</v>
      </c>
      <c r="P226" s="85"/>
      <c r="R226" s="53"/>
      <c r="S226" s="53"/>
      <c r="T226" s="53"/>
    </row>
    <row r="227" spans="1:20" ht="24" hidden="1" x14ac:dyDescent="0.25">
      <c r="A227" s="76">
        <v>5239</v>
      </c>
      <c r="B227" s="127" t="s">
        <v>243</v>
      </c>
      <c r="C227" s="279">
        <f t="shared" si="26"/>
        <v>0</v>
      </c>
      <c r="D227" s="134"/>
      <c r="E227" s="285"/>
      <c r="F227" s="286">
        <f t="shared" si="30"/>
        <v>0</v>
      </c>
      <c r="G227" s="134"/>
      <c r="H227" s="135"/>
      <c r="I227" s="136">
        <f t="shared" si="31"/>
        <v>0</v>
      </c>
      <c r="J227" s="134"/>
      <c r="K227" s="135"/>
      <c r="L227" s="136">
        <f t="shared" si="32"/>
        <v>0</v>
      </c>
      <c r="M227" s="284"/>
      <c r="N227" s="285"/>
      <c r="O227" s="136">
        <f t="shared" si="33"/>
        <v>0</v>
      </c>
      <c r="P227" s="85"/>
      <c r="R227" s="53"/>
      <c r="S227" s="53"/>
      <c r="T227" s="53"/>
    </row>
    <row r="228" spans="1:20" ht="24" hidden="1" x14ac:dyDescent="0.25">
      <c r="A228" s="276">
        <v>5240</v>
      </c>
      <c r="B228" s="127" t="s">
        <v>244</v>
      </c>
      <c r="C228" s="279">
        <f t="shared" si="26"/>
        <v>0</v>
      </c>
      <c r="D228" s="134"/>
      <c r="E228" s="285"/>
      <c r="F228" s="286">
        <f t="shared" si="30"/>
        <v>0</v>
      </c>
      <c r="G228" s="134"/>
      <c r="H228" s="135"/>
      <c r="I228" s="136">
        <f t="shared" si="31"/>
        <v>0</v>
      </c>
      <c r="J228" s="134"/>
      <c r="K228" s="135"/>
      <c r="L228" s="136">
        <f t="shared" si="32"/>
        <v>0</v>
      </c>
      <c r="M228" s="284"/>
      <c r="N228" s="285"/>
      <c r="O228" s="136">
        <f t="shared" si="33"/>
        <v>0</v>
      </c>
      <c r="P228" s="85"/>
      <c r="R228" s="53"/>
      <c r="S228" s="53"/>
      <c r="T228" s="53"/>
    </row>
    <row r="229" spans="1:20" hidden="1" x14ac:dyDescent="0.25">
      <c r="A229" s="276">
        <v>5250</v>
      </c>
      <c r="B229" s="127" t="s">
        <v>245</v>
      </c>
      <c r="C229" s="279">
        <f t="shared" si="26"/>
        <v>0</v>
      </c>
      <c r="D229" s="134"/>
      <c r="E229" s="285"/>
      <c r="F229" s="286">
        <f t="shared" si="30"/>
        <v>0</v>
      </c>
      <c r="G229" s="134"/>
      <c r="H229" s="135"/>
      <c r="I229" s="136">
        <f t="shared" si="31"/>
        <v>0</v>
      </c>
      <c r="J229" s="134"/>
      <c r="K229" s="135"/>
      <c r="L229" s="136">
        <f t="shared" si="32"/>
        <v>0</v>
      </c>
      <c r="M229" s="284"/>
      <c r="N229" s="285"/>
      <c r="O229" s="136">
        <f t="shared" si="33"/>
        <v>0</v>
      </c>
      <c r="P229" s="85"/>
      <c r="R229" s="53"/>
      <c r="S229" s="53"/>
      <c r="T229" s="53"/>
    </row>
    <row r="230" spans="1:20" hidden="1" x14ac:dyDescent="0.25">
      <c r="A230" s="276">
        <v>5260</v>
      </c>
      <c r="B230" s="127" t="s">
        <v>246</v>
      </c>
      <c r="C230" s="279">
        <f t="shared" si="26"/>
        <v>0</v>
      </c>
      <c r="D230" s="277">
        <f>SUM(D231)</f>
        <v>0</v>
      </c>
      <c r="E230" s="282">
        <f>SUM(E231)</f>
        <v>0</v>
      </c>
      <c r="F230" s="286">
        <f t="shared" si="30"/>
        <v>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c r="R230" s="53"/>
      <c r="S230" s="53"/>
      <c r="T230" s="53"/>
    </row>
    <row r="231" spans="1:20" ht="24" hidden="1" x14ac:dyDescent="0.25">
      <c r="A231" s="76">
        <v>5269</v>
      </c>
      <c r="B231" s="127" t="s">
        <v>247</v>
      </c>
      <c r="C231" s="279">
        <f t="shared" si="26"/>
        <v>0</v>
      </c>
      <c r="D231" s="134"/>
      <c r="E231" s="285"/>
      <c r="F231" s="286">
        <f t="shared" si="30"/>
        <v>0</v>
      </c>
      <c r="G231" s="134"/>
      <c r="H231" s="135"/>
      <c r="I231" s="136">
        <f t="shared" si="31"/>
        <v>0</v>
      </c>
      <c r="J231" s="134"/>
      <c r="K231" s="135"/>
      <c r="L231" s="136">
        <f t="shared" si="32"/>
        <v>0</v>
      </c>
      <c r="M231" s="284"/>
      <c r="N231" s="285"/>
      <c r="O231" s="136">
        <f t="shared" si="33"/>
        <v>0</v>
      </c>
      <c r="P231" s="85"/>
      <c r="R231" s="53"/>
      <c r="S231" s="53"/>
      <c r="T231" s="53"/>
    </row>
    <row r="232" spans="1:20" ht="24" hidden="1" x14ac:dyDescent="0.25">
      <c r="A232" s="254">
        <v>5270</v>
      </c>
      <c r="B232" s="179" t="s">
        <v>248</v>
      </c>
      <c r="C232" s="302">
        <f t="shared" si="26"/>
        <v>0</v>
      </c>
      <c r="D232" s="287"/>
      <c r="E232" s="291"/>
      <c r="F232" s="310">
        <f t="shared" si="30"/>
        <v>0</v>
      </c>
      <c r="G232" s="287"/>
      <c r="H232" s="289"/>
      <c r="I232" s="259">
        <f t="shared" si="31"/>
        <v>0</v>
      </c>
      <c r="J232" s="287"/>
      <c r="K232" s="289"/>
      <c r="L232" s="259">
        <f t="shared" si="32"/>
        <v>0</v>
      </c>
      <c r="M232" s="290"/>
      <c r="N232" s="291"/>
      <c r="O232" s="259">
        <f t="shared" si="33"/>
        <v>0</v>
      </c>
      <c r="P232" s="189"/>
      <c r="R232" s="53"/>
      <c r="S232" s="53"/>
      <c r="T232" s="53"/>
    </row>
    <row r="233" spans="1:20" hidden="1" x14ac:dyDescent="0.25">
      <c r="A233" s="237">
        <v>6000</v>
      </c>
      <c r="B233" s="237" t="s">
        <v>249</v>
      </c>
      <c r="C233" s="238">
        <f t="shared" si="26"/>
        <v>0</v>
      </c>
      <c r="D233" s="239">
        <f>D234+D254+D261</f>
        <v>0</v>
      </c>
      <c r="E233" s="245">
        <f>E234+E254+E261</f>
        <v>0</v>
      </c>
      <c r="F233" s="320">
        <f t="shared" si="30"/>
        <v>0</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c r="R233" s="53"/>
      <c r="S233" s="53"/>
      <c r="T233" s="53"/>
    </row>
    <row r="234" spans="1:20"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c r="R234" s="53"/>
      <c r="S234" s="53"/>
      <c r="T234" s="53"/>
    </row>
    <row r="235" spans="1:20" ht="24" hidden="1" x14ac:dyDescent="0.25">
      <c r="A235" s="656">
        <v>6220</v>
      </c>
      <c r="B235" s="116" t="s">
        <v>251</v>
      </c>
      <c r="C235" s="298">
        <f t="shared" si="26"/>
        <v>0</v>
      </c>
      <c r="D235" s="123"/>
      <c r="E235" s="262"/>
      <c r="F235" s="263">
        <f t="shared" si="30"/>
        <v>0</v>
      </c>
      <c r="G235" s="123"/>
      <c r="H235" s="124"/>
      <c r="I235" s="125">
        <f t="shared" si="31"/>
        <v>0</v>
      </c>
      <c r="J235" s="123"/>
      <c r="K235" s="124"/>
      <c r="L235" s="125">
        <f t="shared" si="32"/>
        <v>0</v>
      </c>
      <c r="M235" s="264"/>
      <c r="N235" s="262"/>
      <c r="O235" s="125">
        <f t="shared" si="33"/>
        <v>0</v>
      </c>
      <c r="P235" s="74"/>
      <c r="R235" s="53"/>
      <c r="S235" s="53"/>
      <c r="T235" s="53"/>
    </row>
    <row r="236" spans="1:20" hidden="1" x14ac:dyDescent="0.25">
      <c r="A236" s="276">
        <v>6230</v>
      </c>
      <c r="B236" s="127" t="s">
        <v>252</v>
      </c>
      <c r="C236" s="278">
        <f t="shared" si="26"/>
        <v>0</v>
      </c>
      <c r="D236" s="277">
        <f>SUM(D237)</f>
        <v>0</v>
      </c>
      <c r="E236" s="280">
        <f>SUM(E237)</f>
        <v>0</v>
      </c>
      <c r="F236" s="28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c r="R236" s="53"/>
      <c r="S236" s="53"/>
      <c r="T236" s="53"/>
    </row>
    <row r="237" spans="1:20" ht="24" hidden="1" x14ac:dyDescent="0.25">
      <c r="A237" s="76">
        <v>6239</v>
      </c>
      <c r="B237" s="116" t="s">
        <v>253</v>
      </c>
      <c r="C237" s="278">
        <f t="shared" si="26"/>
        <v>0</v>
      </c>
      <c r="D237" s="134"/>
      <c r="E237" s="285"/>
      <c r="F237" s="286">
        <f t="shared" si="30"/>
        <v>0</v>
      </c>
      <c r="G237" s="134"/>
      <c r="H237" s="135"/>
      <c r="I237" s="136">
        <f t="shared" si="31"/>
        <v>0</v>
      </c>
      <c r="J237" s="134"/>
      <c r="K237" s="135"/>
      <c r="L237" s="136">
        <f t="shared" si="32"/>
        <v>0</v>
      </c>
      <c r="M237" s="284"/>
      <c r="N237" s="285"/>
      <c r="O237" s="136">
        <f t="shared" si="33"/>
        <v>0</v>
      </c>
      <c r="P237" s="85"/>
      <c r="R237" s="53"/>
      <c r="S237" s="53"/>
      <c r="T237" s="53"/>
    </row>
    <row r="238" spans="1:20" ht="24" hidden="1" x14ac:dyDescent="0.25">
      <c r="A238" s="276">
        <v>6240</v>
      </c>
      <c r="B238" s="127" t="s">
        <v>254</v>
      </c>
      <c r="C238" s="278">
        <f t="shared" si="26"/>
        <v>0</v>
      </c>
      <c r="D238" s="277">
        <f>SUM(D239:D240)</f>
        <v>0</v>
      </c>
      <c r="E238" s="282">
        <f>SUM(E239:E240)</f>
        <v>0</v>
      </c>
      <c r="F238" s="28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c r="R238" s="53"/>
      <c r="S238" s="53"/>
      <c r="T238" s="53"/>
    </row>
    <row r="239" spans="1:20" hidden="1" x14ac:dyDescent="0.25">
      <c r="A239" s="76">
        <v>6241</v>
      </c>
      <c r="B239" s="127" t="s">
        <v>255</v>
      </c>
      <c r="C239" s="278">
        <f t="shared" si="26"/>
        <v>0</v>
      </c>
      <c r="D239" s="134"/>
      <c r="E239" s="285"/>
      <c r="F239" s="286">
        <f t="shared" si="30"/>
        <v>0</v>
      </c>
      <c r="G239" s="134"/>
      <c r="H239" s="135"/>
      <c r="I239" s="136">
        <f t="shared" si="31"/>
        <v>0</v>
      </c>
      <c r="J239" s="134"/>
      <c r="K239" s="135"/>
      <c r="L239" s="136">
        <f t="shared" si="32"/>
        <v>0</v>
      </c>
      <c r="M239" s="284"/>
      <c r="N239" s="285"/>
      <c r="O239" s="136">
        <f t="shared" si="33"/>
        <v>0</v>
      </c>
      <c r="P239" s="85"/>
      <c r="R239" s="53"/>
      <c r="S239" s="53"/>
      <c r="T239" s="53"/>
    </row>
    <row r="240" spans="1:20" hidden="1" x14ac:dyDescent="0.25">
      <c r="A240" s="76">
        <v>6242</v>
      </c>
      <c r="B240" s="127" t="s">
        <v>256</v>
      </c>
      <c r="C240" s="278">
        <f t="shared" si="26"/>
        <v>0</v>
      </c>
      <c r="D240" s="134"/>
      <c r="E240" s="285"/>
      <c r="F240" s="286">
        <f t="shared" si="30"/>
        <v>0</v>
      </c>
      <c r="G240" s="134"/>
      <c r="H240" s="135"/>
      <c r="I240" s="136">
        <f t="shared" si="31"/>
        <v>0</v>
      </c>
      <c r="J240" s="134"/>
      <c r="K240" s="135"/>
      <c r="L240" s="136">
        <f t="shared" si="32"/>
        <v>0</v>
      </c>
      <c r="M240" s="284"/>
      <c r="N240" s="285"/>
      <c r="O240" s="136">
        <f t="shared" si="33"/>
        <v>0</v>
      </c>
      <c r="P240" s="85"/>
      <c r="R240" s="53"/>
      <c r="S240" s="53"/>
      <c r="T240" s="53"/>
    </row>
    <row r="241" spans="1:20" ht="24" hidden="1" x14ac:dyDescent="0.25">
      <c r="A241" s="276">
        <v>6250</v>
      </c>
      <c r="B241" s="127" t="s">
        <v>257</v>
      </c>
      <c r="C241" s="278">
        <f t="shared" si="26"/>
        <v>0</v>
      </c>
      <c r="D241" s="277">
        <f>SUM(D242:D246)</f>
        <v>0</v>
      </c>
      <c r="E241" s="282">
        <f>SUM(E242:E246)</f>
        <v>0</v>
      </c>
      <c r="F241" s="28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c r="R241" s="53"/>
      <c r="S241" s="53"/>
      <c r="T241" s="53"/>
    </row>
    <row r="242" spans="1:20" hidden="1" x14ac:dyDescent="0.25">
      <c r="A242" s="76">
        <v>6252</v>
      </c>
      <c r="B242" s="127" t="s">
        <v>258</v>
      </c>
      <c r="C242" s="278">
        <f t="shared" si="26"/>
        <v>0</v>
      </c>
      <c r="D242" s="134"/>
      <c r="E242" s="285"/>
      <c r="F242" s="286">
        <f t="shared" si="30"/>
        <v>0</v>
      </c>
      <c r="G242" s="134"/>
      <c r="H242" s="135"/>
      <c r="I242" s="136">
        <f t="shared" si="31"/>
        <v>0</v>
      </c>
      <c r="J242" s="134"/>
      <c r="K242" s="135"/>
      <c r="L242" s="136">
        <f t="shared" si="32"/>
        <v>0</v>
      </c>
      <c r="M242" s="284"/>
      <c r="N242" s="285"/>
      <c r="O242" s="136">
        <f t="shared" si="33"/>
        <v>0</v>
      </c>
      <c r="P242" s="85"/>
      <c r="R242" s="53"/>
      <c r="S242" s="53"/>
      <c r="T242" s="53"/>
    </row>
    <row r="243" spans="1:20" hidden="1" x14ac:dyDescent="0.25">
      <c r="A243" s="76">
        <v>6253</v>
      </c>
      <c r="B243" s="127" t="s">
        <v>259</v>
      </c>
      <c r="C243" s="278">
        <f t="shared" si="26"/>
        <v>0</v>
      </c>
      <c r="D243" s="134"/>
      <c r="E243" s="285"/>
      <c r="F243" s="286">
        <f t="shared" si="30"/>
        <v>0</v>
      </c>
      <c r="G243" s="134"/>
      <c r="H243" s="135"/>
      <c r="I243" s="136">
        <f t="shared" si="31"/>
        <v>0</v>
      </c>
      <c r="J243" s="134"/>
      <c r="K243" s="135"/>
      <c r="L243" s="136">
        <f t="shared" si="32"/>
        <v>0</v>
      </c>
      <c r="M243" s="284"/>
      <c r="N243" s="285"/>
      <c r="O243" s="136">
        <f t="shared" si="33"/>
        <v>0</v>
      </c>
      <c r="P243" s="85"/>
      <c r="R243" s="53"/>
      <c r="S243" s="53"/>
      <c r="T243" s="53"/>
    </row>
    <row r="244" spans="1:20" ht="24" hidden="1" x14ac:dyDescent="0.25">
      <c r="A244" s="76">
        <v>6254</v>
      </c>
      <c r="B244" s="127" t="s">
        <v>260</v>
      </c>
      <c r="C244" s="278">
        <f t="shared" si="26"/>
        <v>0</v>
      </c>
      <c r="D244" s="134"/>
      <c r="E244" s="285"/>
      <c r="F244" s="286">
        <f t="shared" si="30"/>
        <v>0</v>
      </c>
      <c r="G244" s="134"/>
      <c r="H244" s="135"/>
      <c r="I244" s="136">
        <f t="shared" si="31"/>
        <v>0</v>
      </c>
      <c r="J244" s="134"/>
      <c r="K244" s="135"/>
      <c r="L244" s="136">
        <f t="shared" si="32"/>
        <v>0</v>
      </c>
      <c r="M244" s="284"/>
      <c r="N244" s="285"/>
      <c r="O244" s="136">
        <f t="shared" si="33"/>
        <v>0</v>
      </c>
      <c r="P244" s="85"/>
      <c r="R244" s="53"/>
      <c r="S244" s="53"/>
      <c r="T244" s="53"/>
    </row>
    <row r="245" spans="1:20" ht="24" hidden="1" x14ac:dyDescent="0.25">
      <c r="A245" s="76">
        <v>6255</v>
      </c>
      <c r="B245" s="127" t="s">
        <v>261</v>
      </c>
      <c r="C245" s="278">
        <f t="shared" si="26"/>
        <v>0</v>
      </c>
      <c r="D245" s="134"/>
      <c r="E245" s="285"/>
      <c r="F245" s="286">
        <f t="shared" si="30"/>
        <v>0</v>
      </c>
      <c r="G245" s="134"/>
      <c r="H245" s="135"/>
      <c r="I245" s="136">
        <f t="shared" si="31"/>
        <v>0</v>
      </c>
      <c r="J245" s="134"/>
      <c r="K245" s="135"/>
      <c r="L245" s="136">
        <f t="shared" si="32"/>
        <v>0</v>
      </c>
      <c r="M245" s="284"/>
      <c r="N245" s="285"/>
      <c r="O245" s="136">
        <f t="shared" si="33"/>
        <v>0</v>
      </c>
      <c r="P245" s="85"/>
      <c r="R245" s="53"/>
      <c r="S245" s="53"/>
      <c r="T245" s="53"/>
    </row>
    <row r="246" spans="1:20" hidden="1" x14ac:dyDescent="0.25">
      <c r="A246" s="76">
        <v>6259</v>
      </c>
      <c r="B246" s="127" t="s">
        <v>262</v>
      </c>
      <c r="C246" s="278">
        <f t="shared" si="26"/>
        <v>0</v>
      </c>
      <c r="D246" s="134"/>
      <c r="E246" s="285"/>
      <c r="F246" s="286">
        <f t="shared" si="30"/>
        <v>0</v>
      </c>
      <c r="G246" s="134"/>
      <c r="H246" s="135"/>
      <c r="I246" s="136">
        <f t="shared" si="31"/>
        <v>0</v>
      </c>
      <c r="J246" s="134"/>
      <c r="K246" s="135"/>
      <c r="L246" s="136">
        <f t="shared" si="32"/>
        <v>0</v>
      </c>
      <c r="M246" s="284"/>
      <c r="N246" s="285"/>
      <c r="O246" s="136">
        <f t="shared" si="33"/>
        <v>0</v>
      </c>
      <c r="P246" s="85"/>
      <c r="R246" s="53"/>
      <c r="S246" s="53"/>
      <c r="T246" s="53"/>
    </row>
    <row r="247" spans="1:20" ht="24" hidden="1" x14ac:dyDescent="0.25">
      <c r="A247" s="276">
        <v>6260</v>
      </c>
      <c r="B247" s="127" t="s">
        <v>263</v>
      </c>
      <c r="C247" s="278">
        <f t="shared" si="26"/>
        <v>0</v>
      </c>
      <c r="D247" s="134"/>
      <c r="E247" s="285"/>
      <c r="F247" s="286">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c r="R247" s="53"/>
      <c r="S247" s="53"/>
      <c r="T247" s="53"/>
    </row>
    <row r="248" spans="1:20" hidden="1" x14ac:dyDescent="0.25">
      <c r="A248" s="276">
        <v>6270</v>
      </c>
      <c r="B248" s="127" t="s">
        <v>264</v>
      </c>
      <c r="C248" s="278">
        <f t="shared" si="26"/>
        <v>0</v>
      </c>
      <c r="D248" s="134"/>
      <c r="E248" s="285"/>
      <c r="F248" s="286">
        <f t="shared" si="37"/>
        <v>0</v>
      </c>
      <c r="G248" s="134"/>
      <c r="H248" s="135"/>
      <c r="I248" s="136">
        <f t="shared" si="38"/>
        <v>0</v>
      </c>
      <c r="J248" s="134"/>
      <c r="K248" s="135"/>
      <c r="L248" s="136">
        <f t="shared" si="39"/>
        <v>0</v>
      </c>
      <c r="M248" s="284"/>
      <c r="N248" s="285"/>
      <c r="O248" s="136">
        <f t="shared" si="40"/>
        <v>0</v>
      </c>
      <c r="P248" s="85"/>
      <c r="R248" s="53"/>
      <c r="S248" s="53"/>
      <c r="T248" s="53"/>
    </row>
    <row r="249" spans="1:20" ht="24" hidden="1" x14ac:dyDescent="0.25">
      <c r="A249" s="656">
        <v>6290</v>
      </c>
      <c r="B249" s="116" t="s">
        <v>265</v>
      </c>
      <c r="C249" s="278">
        <f t="shared" si="26"/>
        <v>0</v>
      </c>
      <c r="D249" s="297">
        <f>SUM(D250:D253)</f>
        <v>0</v>
      </c>
      <c r="E249" s="301">
        <f>SUM(E250:E253)</f>
        <v>0</v>
      </c>
      <c r="F249" s="263">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c r="R249" s="53"/>
      <c r="S249" s="53"/>
      <c r="T249" s="53"/>
    </row>
    <row r="250" spans="1:20" hidden="1" x14ac:dyDescent="0.25">
      <c r="A250" s="76">
        <v>6291</v>
      </c>
      <c r="B250" s="127" t="s">
        <v>266</v>
      </c>
      <c r="C250" s="278">
        <f t="shared" si="26"/>
        <v>0</v>
      </c>
      <c r="D250" s="134"/>
      <c r="E250" s="285"/>
      <c r="F250" s="286">
        <f t="shared" si="37"/>
        <v>0</v>
      </c>
      <c r="G250" s="134"/>
      <c r="H250" s="135"/>
      <c r="I250" s="136">
        <f t="shared" si="38"/>
        <v>0</v>
      </c>
      <c r="J250" s="134"/>
      <c r="K250" s="135"/>
      <c r="L250" s="136">
        <f t="shared" si="39"/>
        <v>0</v>
      </c>
      <c r="M250" s="284"/>
      <c r="N250" s="285"/>
      <c r="O250" s="136">
        <f t="shared" si="40"/>
        <v>0</v>
      </c>
      <c r="P250" s="85"/>
      <c r="R250" s="53"/>
      <c r="S250" s="53"/>
      <c r="T250" s="53"/>
    </row>
    <row r="251" spans="1:20" hidden="1" x14ac:dyDescent="0.25">
      <c r="A251" s="76">
        <v>6292</v>
      </c>
      <c r="B251" s="127" t="s">
        <v>267</v>
      </c>
      <c r="C251" s="278">
        <f t="shared" si="26"/>
        <v>0</v>
      </c>
      <c r="D251" s="134"/>
      <c r="E251" s="285"/>
      <c r="F251" s="286">
        <f t="shared" si="37"/>
        <v>0</v>
      </c>
      <c r="G251" s="134"/>
      <c r="H251" s="135"/>
      <c r="I251" s="136">
        <f t="shared" si="38"/>
        <v>0</v>
      </c>
      <c r="J251" s="134"/>
      <c r="K251" s="135"/>
      <c r="L251" s="136">
        <f t="shared" si="39"/>
        <v>0</v>
      </c>
      <c r="M251" s="284"/>
      <c r="N251" s="285"/>
      <c r="O251" s="136">
        <f t="shared" si="40"/>
        <v>0</v>
      </c>
      <c r="P251" s="85"/>
      <c r="R251" s="53"/>
      <c r="S251" s="53"/>
      <c r="T251" s="53"/>
    </row>
    <row r="252" spans="1:20" ht="72" hidden="1" x14ac:dyDescent="0.25">
      <c r="A252" s="76">
        <v>6296</v>
      </c>
      <c r="B252" s="127" t="s">
        <v>268</v>
      </c>
      <c r="C252" s="278">
        <f t="shared" si="26"/>
        <v>0</v>
      </c>
      <c r="D252" s="134"/>
      <c r="E252" s="285"/>
      <c r="F252" s="286">
        <f t="shared" si="37"/>
        <v>0</v>
      </c>
      <c r="G252" s="134"/>
      <c r="H252" s="135"/>
      <c r="I252" s="136">
        <f t="shared" si="38"/>
        <v>0</v>
      </c>
      <c r="J252" s="134"/>
      <c r="K252" s="135"/>
      <c r="L252" s="136">
        <f t="shared" si="39"/>
        <v>0</v>
      </c>
      <c r="M252" s="284"/>
      <c r="N252" s="285"/>
      <c r="O252" s="136">
        <f t="shared" si="40"/>
        <v>0</v>
      </c>
      <c r="P252" s="85"/>
      <c r="R252" s="53"/>
      <c r="S252" s="53"/>
      <c r="T252" s="53"/>
    </row>
    <row r="253" spans="1:20" ht="36" hidden="1" x14ac:dyDescent="0.25">
      <c r="A253" s="76">
        <v>6299</v>
      </c>
      <c r="B253" s="127" t="s">
        <v>269</v>
      </c>
      <c r="C253" s="278">
        <f t="shared" si="26"/>
        <v>0</v>
      </c>
      <c r="D253" s="134"/>
      <c r="E253" s="285"/>
      <c r="F253" s="286">
        <f t="shared" si="37"/>
        <v>0</v>
      </c>
      <c r="G253" s="134"/>
      <c r="H253" s="135"/>
      <c r="I253" s="136">
        <f t="shared" si="38"/>
        <v>0</v>
      </c>
      <c r="J253" s="134"/>
      <c r="K253" s="135"/>
      <c r="L253" s="136">
        <f t="shared" si="39"/>
        <v>0</v>
      </c>
      <c r="M253" s="284"/>
      <c r="N253" s="285"/>
      <c r="O253" s="136">
        <f t="shared" si="40"/>
        <v>0</v>
      </c>
      <c r="P253" s="85"/>
      <c r="R253" s="53"/>
      <c r="S253" s="53"/>
      <c r="T253" s="53"/>
    </row>
    <row r="254" spans="1:20" hidden="1" x14ac:dyDescent="0.25">
      <c r="A254" s="99">
        <v>6300</v>
      </c>
      <c r="B254" s="247" t="s">
        <v>270</v>
      </c>
      <c r="C254" s="100">
        <f t="shared" si="26"/>
        <v>0</v>
      </c>
      <c r="D254" s="112">
        <f>SUM(D255,D259,D260)</f>
        <v>0</v>
      </c>
      <c r="E254" s="293">
        <f>SUM(E255,E259,E260)</f>
        <v>0</v>
      </c>
      <c r="F254" s="313">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c r="R254" s="53"/>
      <c r="S254" s="53"/>
      <c r="T254" s="53"/>
    </row>
    <row r="255" spans="1:20" ht="24" hidden="1" x14ac:dyDescent="0.25">
      <c r="A255" s="656">
        <v>6320</v>
      </c>
      <c r="B255" s="116" t="s">
        <v>271</v>
      </c>
      <c r="C255" s="322">
        <f t="shared" si="26"/>
        <v>0</v>
      </c>
      <c r="D255" s="297">
        <f>SUM(D256:D258)</f>
        <v>0</v>
      </c>
      <c r="E255" s="301">
        <f>SUM(E256:E258)</f>
        <v>0</v>
      </c>
      <c r="F255" s="263">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c r="R255" s="53"/>
      <c r="S255" s="53"/>
      <c r="T255" s="53"/>
    </row>
    <row r="256" spans="1:20" hidden="1" x14ac:dyDescent="0.25">
      <c r="A256" s="76">
        <v>6322</v>
      </c>
      <c r="B256" s="127" t="s">
        <v>272</v>
      </c>
      <c r="C256" s="281">
        <f t="shared" si="26"/>
        <v>0</v>
      </c>
      <c r="D256" s="134"/>
      <c r="E256" s="285"/>
      <c r="F256" s="286">
        <f t="shared" si="37"/>
        <v>0</v>
      </c>
      <c r="G256" s="134"/>
      <c r="H256" s="135"/>
      <c r="I256" s="136">
        <f t="shared" si="38"/>
        <v>0</v>
      </c>
      <c r="J256" s="134"/>
      <c r="K256" s="135"/>
      <c r="L256" s="136">
        <f t="shared" si="39"/>
        <v>0</v>
      </c>
      <c r="M256" s="284"/>
      <c r="N256" s="285"/>
      <c r="O256" s="136">
        <f t="shared" si="40"/>
        <v>0</v>
      </c>
      <c r="P256" s="85"/>
      <c r="R256" s="53"/>
      <c r="S256" s="53"/>
      <c r="T256" s="53"/>
    </row>
    <row r="257" spans="1:20" ht="24" hidden="1" x14ac:dyDescent="0.25">
      <c r="A257" s="76">
        <v>6323</v>
      </c>
      <c r="B257" s="127" t="s">
        <v>273</v>
      </c>
      <c r="C257" s="281">
        <f t="shared" si="26"/>
        <v>0</v>
      </c>
      <c r="D257" s="134"/>
      <c r="E257" s="285"/>
      <c r="F257" s="286">
        <f t="shared" si="37"/>
        <v>0</v>
      </c>
      <c r="G257" s="134"/>
      <c r="H257" s="135"/>
      <c r="I257" s="136">
        <f t="shared" si="38"/>
        <v>0</v>
      </c>
      <c r="J257" s="134"/>
      <c r="K257" s="135"/>
      <c r="L257" s="136">
        <f t="shared" si="39"/>
        <v>0</v>
      </c>
      <c r="M257" s="284"/>
      <c r="N257" s="285"/>
      <c r="O257" s="136">
        <f t="shared" si="40"/>
        <v>0</v>
      </c>
      <c r="P257" s="85"/>
      <c r="R257" s="53"/>
      <c r="S257" s="53"/>
      <c r="T257" s="53"/>
    </row>
    <row r="258" spans="1:20" ht="24" hidden="1" x14ac:dyDescent="0.25">
      <c r="A258" s="66">
        <v>6324</v>
      </c>
      <c r="B258" s="116" t="s">
        <v>274</v>
      </c>
      <c r="C258" s="281">
        <f t="shared" si="26"/>
        <v>0</v>
      </c>
      <c r="D258" s="123"/>
      <c r="E258" s="262"/>
      <c r="F258" s="263">
        <f t="shared" si="37"/>
        <v>0</v>
      </c>
      <c r="G258" s="123"/>
      <c r="H258" s="124"/>
      <c r="I258" s="125">
        <f t="shared" si="38"/>
        <v>0</v>
      </c>
      <c r="J258" s="123"/>
      <c r="K258" s="124"/>
      <c r="L258" s="125">
        <f t="shared" si="39"/>
        <v>0</v>
      </c>
      <c r="M258" s="264"/>
      <c r="N258" s="262"/>
      <c r="O258" s="125">
        <f t="shared" si="40"/>
        <v>0</v>
      </c>
      <c r="P258" s="74"/>
      <c r="R258" s="53"/>
      <c r="S258" s="53"/>
      <c r="T258" s="53"/>
    </row>
    <row r="259" spans="1:20" ht="24" hidden="1" x14ac:dyDescent="0.25">
      <c r="A259" s="344">
        <v>6330</v>
      </c>
      <c r="B259" s="345" t="s">
        <v>275</v>
      </c>
      <c r="C259" s="281">
        <f t="shared" ref="C259:C286" si="50">F259+I259+L259+O259</f>
        <v>0</v>
      </c>
      <c r="D259" s="328"/>
      <c r="E259" s="329"/>
      <c r="F259" s="330">
        <f t="shared" si="37"/>
        <v>0</v>
      </c>
      <c r="G259" s="328"/>
      <c r="H259" s="331"/>
      <c r="I259" s="324">
        <f t="shared" si="38"/>
        <v>0</v>
      </c>
      <c r="J259" s="328"/>
      <c r="K259" s="331"/>
      <c r="L259" s="324">
        <f t="shared" si="39"/>
        <v>0</v>
      </c>
      <c r="M259" s="332"/>
      <c r="N259" s="329"/>
      <c r="O259" s="324">
        <f t="shared" si="40"/>
        <v>0</v>
      </c>
      <c r="P259" s="325"/>
      <c r="R259" s="53"/>
      <c r="S259" s="53"/>
      <c r="T259" s="53"/>
    </row>
    <row r="260" spans="1:20" hidden="1" x14ac:dyDescent="0.25">
      <c r="A260" s="276">
        <v>6360</v>
      </c>
      <c r="B260" s="127" t="s">
        <v>276</v>
      </c>
      <c r="C260" s="281">
        <f t="shared" si="50"/>
        <v>0</v>
      </c>
      <c r="D260" s="134"/>
      <c r="E260" s="285"/>
      <c r="F260" s="286">
        <f t="shared" si="37"/>
        <v>0</v>
      </c>
      <c r="G260" s="134"/>
      <c r="H260" s="135"/>
      <c r="I260" s="136">
        <f t="shared" si="38"/>
        <v>0</v>
      </c>
      <c r="J260" s="134"/>
      <c r="K260" s="135"/>
      <c r="L260" s="136">
        <f t="shared" si="39"/>
        <v>0</v>
      </c>
      <c r="M260" s="284"/>
      <c r="N260" s="285"/>
      <c r="O260" s="136">
        <f t="shared" si="40"/>
        <v>0</v>
      </c>
      <c r="P260" s="85"/>
      <c r="R260" s="53"/>
      <c r="S260" s="53"/>
      <c r="T260" s="53"/>
    </row>
    <row r="261" spans="1:20" ht="36" hidden="1" x14ac:dyDescent="0.25">
      <c r="A261" s="99">
        <v>6400</v>
      </c>
      <c r="B261" s="247" t="s">
        <v>277</v>
      </c>
      <c r="C261" s="100">
        <f t="shared" si="50"/>
        <v>0</v>
      </c>
      <c r="D261" s="112">
        <f>SUM(D262,D266)</f>
        <v>0</v>
      </c>
      <c r="E261" s="293">
        <f>SUM(E262,E266)</f>
        <v>0</v>
      </c>
      <c r="F261" s="313">
        <f t="shared" si="37"/>
        <v>0</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c r="R261" s="53"/>
      <c r="S261" s="53"/>
      <c r="T261" s="53"/>
    </row>
    <row r="262" spans="1:20" ht="24" hidden="1" x14ac:dyDescent="0.25">
      <c r="A262" s="656">
        <v>6410</v>
      </c>
      <c r="B262" s="116" t="s">
        <v>278</v>
      </c>
      <c r="C262" s="300">
        <f t="shared" si="50"/>
        <v>0</v>
      </c>
      <c r="D262" s="297">
        <f>SUM(D263:D265)</f>
        <v>0</v>
      </c>
      <c r="E262" s="301">
        <f>SUM(E263:E265)</f>
        <v>0</v>
      </c>
      <c r="F262" s="263">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c r="R262" s="53"/>
      <c r="S262" s="53"/>
      <c r="T262" s="53"/>
    </row>
    <row r="263" spans="1:20" hidden="1" x14ac:dyDescent="0.25">
      <c r="A263" s="76">
        <v>6411</v>
      </c>
      <c r="B263" s="346" t="s">
        <v>279</v>
      </c>
      <c r="C263" s="278">
        <f t="shared" si="50"/>
        <v>0</v>
      </c>
      <c r="D263" s="134"/>
      <c r="E263" s="285"/>
      <c r="F263" s="286">
        <f t="shared" si="37"/>
        <v>0</v>
      </c>
      <c r="G263" s="134"/>
      <c r="H263" s="135"/>
      <c r="I263" s="136">
        <f t="shared" si="38"/>
        <v>0</v>
      </c>
      <c r="J263" s="134"/>
      <c r="K263" s="135"/>
      <c r="L263" s="136">
        <f t="shared" si="39"/>
        <v>0</v>
      </c>
      <c r="M263" s="284"/>
      <c r="N263" s="285"/>
      <c r="O263" s="136">
        <f t="shared" si="40"/>
        <v>0</v>
      </c>
      <c r="P263" s="85"/>
      <c r="R263" s="53"/>
      <c r="S263" s="53"/>
      <c r="T263" s="53"/>
    </row>
    <row r="264" spans="1:20" ht="36" hidden="1" x14ac:dyDescent="0.25">
      <c r="A264" s="76">
        <v>6412</v>
      </c>
      <c r="B264" s="127" t="s">
        <v>280</v>
      </c>
      <c r="C264" s="278">
        <f t="shared" si="50"/>
        <v>0</v>
      </c>
      <c r="D264" s="134"/>
      <c r="E264" s="285"/>
      <c r="F264" s="286">
        <f t="shared" si="37"/>
        <v>0</v>
      </c>
      <c r="G264" s="134"/>
      <c r="H264" s="135"/>
      <c r="I264" s="136">
        <f t="shared" si="38"/>
        <v>0</v>
      </c>
      <c r="J264" s="134"/>
      <c r="K264" s="135"/>
      <c r="L264" s="136">
        <f t="shared" si="39"/>
        <v>0</v>
      </c>
      <c r="M264" s="284"/>
      <c r="N264" s="285"/>
      <c r="O264" s="136">
        <f t="shared" si="40"/>
        <v>0</v>
      </c>
      <c r="P264" s="85"/>
      <c r="R264" s="53"/>
      <c r="S264" s="53"/>
      <c r="T264" s="53"/>
    </row>
    <row r="265" spans="1:20" ht="36" hidden="1" x14ac:dyDescent="0.25">
      <c r="A265" s="76">
        <v>6419</v>
      </c>
      <c r="B265" s="127" t="s">
        <v>281</v>
      </c>
      <c r="C265" s="278">
        <f t="shared" si="50"/>
        <v>0</v>
      </c>
      <c r="D265" s="134"/>
      <c r="E265" s="285"/>
      <c r="F265" s="286">
        <f t="shared" si="37"/>
        <v>0</v>
      </c>
      <c r="G265" s="134"/>
      <c r="H265" s="135"/>
      <c r="I265" s="136">
        <f t="shared" si="38"/>
        <v>0</v>
      </c>
      <c r="J265" s="134"/>
      <c r="K265" s="135"/>
      <c r="L265" s="136">
        <f t="shared" si="39"/>
        <v>0</v>
      </c>
      <c r="M265" s="284"/>
      <c r="N265" s="285"/>
      <c r="O265" s="136">
        <f t="shared" si="40"/>
        <v>0</v>
      </c>
      <c r="P265" s="85"/>
      <c r="R265" s="53"/>
      <c r="S265" s="53"/>
      <c r="T265" s="53"/>
    </row>
    <row r="266" spans="1:20" ht="36" hidden="1" x14ac:dyDescent="0.25">
      <c r="A266" s="276">
        <v>6420</v>
      </c>
      <c r="B266" s="127" t="s">
        <v>282</v>
      </c>
      <c r="C266" s="278">
        <f t="shared" si="50"/>
        <v>0</v>
      </c>
      <c r="D266" s="277">
        <f>SUM(D267:D270)</f>
        <v>0</v>
      </c>
      <c r="E266" s="282">
        <f>SUM(E267:E270)</f>
        <v>0</v>
      </c>
      <c r="F266" s="286">
        <f t="shared" si="37"/>
        <v>0</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c r="R266" s="53"/>
      <c r="S266" s="53"/>
      <c r="T266" s="53"/>
    </row>
    <row r="267" spans="1:20" hidden="1" x14ac:dyDescent="0.25">
      <c r="A267" s="76">
        <v>6421</v>
      </c>
      <c r="B267" s="127" t="s">
        <v>283</v>
      </c>
      <c r="C267" s="278">
        <f t="shared" si="50"/>
        <v>0</v>
      </c>
      <c r="D267" s="134"/>
      <c r="E267" s="285"/>
      <c r="F267" s="286">
        <f t="shared" si="37"/>
        <v>0</v>
      </c>
      <c r="G267" s="134"/>
      <c r="H267" s="135"/>
      <c r="I267" s="136">
        <f t="shared" si="38"/>
        <v>0</v>
      </c>
      <c r="J267" s="134"/>
      <c r="K267" s="135"/>
      <c r="L267" s="136">
        <f t="shared" si="39"/>
        <v>0</v>
      </c>
      <c r="M267" s="284"/>
      <c r="N267" s="285"/>
      <c r="O267" s="136">
        <f t="shared" si="40"/>
        <v>0</v>
      </c>
      <c r="P267" s="85"/>
      <c r="R267" s="53"/>
      <c r="S267" s="53"/>
      <c r="T267" s="53"/>
    </row>
    <row r="268" spans="1:20" hidden="1" x14ac:dyDescent="0.25">
      <c r="A268" s="76">
        <v>6422</v>
      </c>
      <c r="B268" s="127" t="s">
        <v>284</v>
      </c>
      <c r="C268" s="278">
        <f t="shared" si="50"/>
        <v>0</v>
      </c>
      <c r="D268" s="134"/>
      <c r="E268" s="285"/>
      <c r="F268" s="286">
        <f t="shared" si="37"/>
        <v>0</v>
      </c>
      <c r="G268" s="134"/>
      <c r="H268" s="135"/>
      <c r="I268" s="136">
        <f t="shared" si="38"/>
        <v>0</v>
      </c>
      <c r="J268" s="134"/>
      <c r="K268" s="135"/>
      <c r="L268" s="136">
        <f t="shared" si="39"/>
        <v>0</v>
      </c>
      <c r="M268" s="284"/>
      <c r="N268" s="285"/>
      <c r="O268" s="136">
        <f t="shared" si="40"/>
        <v>0</v>
      </c>
      <c r="P268" s="85"/>
      <c r="R268" s="53"/>
      <c r="S268" s="53"/>
      <c r="T268" s="53"/>
    </row>
    <row r="269" spans="1:20" ht="24" hidden="1" x14ac:dyDescent="0.25">
      <c r="A269" s="76">
        <v>6423</v>
      </c>
      <c r="B269" s="127" t="s">
        <v>285</v>
      </c>
      <c r="C269" s="278">
        <f t="shared" si="50"/>
        <v>0</v>
      </c>
      <c r="D269" s="134"/>
      <c r="E269" s="285"/>
      <c r="F269" s="286">
        <f t="shared" si="37"/>
        <v>0</v>
      </c>
      <c r="G269" s="134"/>
      <c r="H269" s="135"/>
      <c r="I269" s="136">
        <f t="shared" si="38"/>
        <v>0</v>
      </c>
      <c r="J269" s="134"/>
      <c r="K269" s="135"/>
      <c r="L269" s="136">
        <f t="shared" si="39"/>
        <v>0</v>
      </c>
      <c r="M269" s="284"/>
      <c r="N269" s="285"/>
      <c r="O269" s="136">
        <f t="shared" si="40"/>
        <v>0</v>
      </c>
      <c r="P269" s="85"/>
      <c r="R269" s="53"/>
      <c r="S269" s="53"/>
      <c r="T269" s="53"/>
    </row>
    <row r="270" spans="1:20" ht="36" hidden="1" x14ac:dyDescent="0.25">
      <c r="A270" s="76">
        <v>6424</v>
      </c>
      <c r="B270" s="127" t="s">
        <v>286</v>
      </c>
      <c r="C270" s="278">
        <f t="shared" si="50"/>
        <v>0</v>
      </c>
      <c r="D270" s="134"/>
      <c r="E270" s="285"/>
      <c r="F270" s="286">
        <f t="shared" si="37"/>
        <v>0</v>
      </c>
      <c r="G270" s="134"/>
      <c r="H270" s="135"/>
      <c r="I270" s="136">
        <f t="shared" si="38"/>
        <v>0</v>
      </c>
      <c r="J270" s="134"/>
      <c r="K270" s="135"/>
      <c r="L270" s="136">
        <f t="shared" si="39"/>
        <v>0</v>
      </c>
      <c r="M270" s="284"/>
      <c r="N270" s="285"/>
      <c r="O270" s="136">
        <f t="shared" si="40"/>
        <v>0</v>
      </c>
      <c r="P270" s="85"/>
      <c r="R270" s="53"/>
      <c r="S270" s="53"/>
      <c r="T270" s="53"/>
    </row>
    <row r="271" spans="1:20" ht="36" x14ac:dyDescent="0.25">
      <c r="A271" s="347">
        <v>7000</v>
      </c>
      <c r="B271" s="347" t="s">
        <v>287</v>
      </c>
      <c r="C271" s="348">
        <f t="shared" si="50"/>
        <v>155</v>
      </c>
      <c r="D271" s="349">
        <f>SUM(D272,D282)</f>
        <v>0</v>
      </c>
      <c r="E271" s="350">
        <f>SUM(E272,E282)</f>
        <v>0</v>
      </c>
      <c r="F271" s="351">
        <f t="shared" si="37"/>
        <v>0</v>
      </c>
      <c r="G271" s="349">
        <f>SUM(G272,G282)</f>
        <v>0</v>
      </c>
      <c r="H271" s="352">
        <f>SUM(H272,H282)</f>
        <v>0</v>
      </c>
      <c r="I271" s="353">
        <f t="shared" si="38"/>
        <v>0</v>
      </c>
      <c r="J271" s="349">
        <f>SUM(J272,J282)</f>
        <v>155</v>
      </c>
      <c r="K271" s="352">
        <f>SUM(K272,K282)</f>
        <v>0</v>
      </c>
      <c r="L271" s="353">
        <f t="shared" si="39"/>
        <v>155</v>
      </c>
      <c r="M271" s="354">
        <f>SUM(M272,M282)</f>
        <v>0</v>
      </c>
      <c r="N271" s="355">
        <f>SUM(N272,N282)</f>
        <v>0</v>
      </c>
      <c r="O271" s="356">
        <f t="shared" si="40"/>
        <v>0</v>
      </c>
      <c r="P271" s="357"/>
      <c r="R271" s="53"/>
      <c r="S271" s="53"/>
      <c r="T271" s="53"/>
    </row>
    <row r="272" spans="1:20" ht="24" x14ac:dyDescent="0.25">
      <c r="A272" s="99">
        <v>7200</v>
      </c>
      <c r="B272" s="247" t="s">
        <v>288</v>
      </c>
      <c r="C272" s="100">
        <f t="shared" si="50"/>
        <v>155</v>
      </c>
      <c r="D272" s="112">
        <f>SUM(D273,D274,D277,D278,D281)</f>
        <v>0</v>
      </c>
      <c r="E272" s="248">
        <f>SUM(E273,E274,E277,E278,E281)</f>
        <v>0</v>
      </c>
      <c r="F272" s="249">
        <f t="shared" si="37"/>
        <v>0</v>
      </c>
      <c r="G272" s="112">
        <f>SUM(G273,G274,G277,G278,G281)</f>
        <v>0</v>
      </c>
      <c r="H272" s="113">
        <f>SUM(H273,H274,H277,H278,H281)</f>
        <v>0</v>
      </c>
      <c r="I272" s="114">
        <f t="shared" si="38"/>
        <v>0</v>
      </c>
      <c r="J272" s="112">
        <f>SUM(J273,J274,J277,J278,J281)</f>
        <v>155</v>
      </c>
      <c r="K272" s="113">
        <f>SUM(K273,K274,K277,K278,K281)</f>
        <v>0</v>
      </c>
      <c r="L272" s="114">
        <f t="shared" si="39"/>
        <v>155</v>
      </c>
      <c r="M272" s="250">
        <f>SUM(M273,M274,M277,M278,M281)</f>
        <v>0</v>
      </c>
      <c r="N272" s="251">
        <f>SUM(N273,N274,N277,N278,N281)</f>
        <v>0</v>
      </c>
      <c r="O272" s="252">
        <f t="shared" si="40"/>
        <v>0</v>
      </c>
      <c r="P272" s="253"/>
      <c r="R272" s="53"/>
      <c r="S272" s="53"/>
      <c r="T272" s="53"/>
    </row>
    <row r="273" spans="1:20" ht="24" hidden="1" x14ac:dyDescent="0.25">
      <c r="A273" s="656">
        <v>7210</v>
      </c>
      <c r="B273" s="116" t="s">
        <v>289</v>
      </c>
      <c r="C273" s="117">
        <f t="shared" si="50"/>
        <v>0</v>
      </c>
      <c r="D273" s="123"/>
      <c r="E273" s="262"/>
      <c r="F273" s="263">
        <f t="shared" si="37"/>
        <v>0</v>
      </c>
      <c r="G273" s="123"/>
      <c r="H273" s="124"/>
      <c r="I273" s="125">
        <f t="shared" si="38"/>
        <v>0</v>
      </c>
      <c r="J273" s="123"/>
      <c r="K273" s="124"/>
      <c r="L273" s="125">
        <f t="shared" si="39"/>
        <v>0</v>
      </c>
      <c r="M273" s="264"/>
      <c r="N273" s="262"/>
      <c r="O273" s="125">
        <f t="shared" si="40"/>
        <v>0</v>
      </c>
      <c r="P273" s="74"/>
      <c r="R273" s="53"/>
      <c r="S273" s="53"/>
      <c r="T273" s="53"/>
    </row>
    <row r="274" spans="1:20" s="358" customFormat="1" ht="36" hidden="1" x14ac:dyDescent="0.25">
      <c r="A274" s="276">
        <v>7220</v>
      </c>
      <c r="B274" s="127" t="s">
        <v>290</v>
      </c>
      <c r="C274" s="128">
        <f t="shared" si="50"/>
        <v>0</v>
      </c>
      <c r="D274" s="277">
        <f>SUM(D275:D276)</f>
        <v>0</v>
      </c>
      <c r="E274" s="282">
        <f>SUM(E275:E276)</f>
        <v>0</v>
      </c>
      <c r="F274" s="28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c r="R274" s="53"/>
      <c r="S274" s="53"/>
      <c r="T274" s="53"/>
    </row>
    <row r="275" spans="1:20" s="358" customFormat="1" ht="36" hidden="1" x14ac:dyDescent="0.25">
      <c r="A275" s="76">
        <v>7221</v>
      </c>
      <c r="B275" s="127" t="s">
        <v>291</v>
      </c>
      <c r="C275" s="128">
        <f t="shared" si="50"/>
        <v>0</v>
      </c>
      <c r="D275" s="134"/>
      <c r="E275" s="285"/>
      <c r="F275" s="286">
        <f t="shared" si="37"/>
        <v>0</v>
      </c>
      <c r="G275" s="134"/>
      <c r="H275" s="135"/>
      <c r="I275" s="136">
        <f t="shared" si="38"/>
        <v>0</v>
      </c>
      <c r="J275" s="134"/>
      <c r="K275" s="135"/>
      <c r="L275" s="136">
        <f t="shared" si="39"/>
        <v>0</v>
      </c>
      <c r="M275" s="284"/>
      <c r="N275" s="285"/>
      <c r="O275" s="136">
        <f t="shared" si="40"/>
        <v>0</v>
      </c>
      <c r="P275" s="85"/>
      <c r="R275" s="53"/>
      <c r="S275" s="53"/>
      <c r="T275" s="53"/>
    </row>
    <row r="276" spans="1:20" s="358" customFormat="1" ht="36" hidden="1" x14ac:dyDescent="0.25">
      <c r="A276" s="76">
        <v>7222</v>
      </c>
      <c r="B276" s="127" t="s">
        <v>292</v>
      </c>
      <c r="C276" s="128">
        <f t="shared" si="50"/>
        <v>0</v>
      </c>
      <c r="D276" s="134"/>
      <c r="E276" s="285"/>
      <c r="F276" s="286">
        <f t="shared" si="37"/>
        <v>0</v>
      </c>
      <c r="G276" s="134"/>
      <c r="H276" s="135"/>
      <c r="I276" s="136">
        <f t="shared" si="38"/>
        <v>0</v>
      </c>
      <c r="J276" s="134"/>
      <c r="K276" s="135"/>
      <c r="L276" s="136">
        <f t="shared" si="39"/>
        <v>0</v>
      </c>
      <c r="M276" s="284"/>
      <c r="N276" s="285"/>
      <c r="O276" s="136">
        <f t="shared" si="40"/>
        <v>0</v>
      </c>
      <c r="P276" s="85"/>
      <c r="R276" s="53"/>
      <c r="S276" s="53"/>
      <c r="T276" s="53"/>
    </row>
    <row r="277" spans="1:20" s="358" customFormat="1" ht="24" x14ac:dyDescent="0.25">
      <c r="A277" s="799">
        <v>7230</v>
      </c>
      <c r="B277" s="266" t="s">
        <v>293</v>
      </c>
      <c r="C277" s="267">
        <f t="shared" si="50"/>
        <v>155</v>
      </c>
      <c r="D277" s="268"/>
      <c r="E277" s="269"/>
      <c r="F277" s="270">
        <f t="shared" si="37"/>
        <v>0</v>
      </c>
      <c r="G277" s="268"/>
      <c r="H277" s="271"/>
      <c r="I277" s="272">
        <f t="shared" si="38"/>
        <v>0</v>
      </c>
      <c r="J277" s="268">
        <v>155</v>
      </c>
      <c r="K277" s="271"/>
      <c r="L277" s="272">
        <f t="shared" si="39"/>
        <v>155</v>
      </c>
      <c r="M277" s="273"/>
      <c r="N277" s="274"/>
      <c r="O277" s="272">
        <f>M277+N277</f>
        <v>0</v>
      </c>
      <c r="P277" s="275"/>
      <c r="R277" s="53"/>
      <c r="S277" s="53"/>
      <c r="T277" s="53"/>
    </row>
    <row r="278" spans="1:20" ht="24" hidden="1" x14ac:dyDescent="0.25">
      <c r="A278" s="276">
        <v>7240</v>
      </c>
      <c r="B278" s="127" t="s">
        <v>294</v>
      </c>
      <c r="C278" s="128">
        <f t="shared" si="50"/>
        <v>0</v>
      </c>
      <c r="D278" s="277">
        <f>SUM(D279:D280)</f>
        <v>0</v>
      </c>
      <c r="E278" s="282">
        <f>SUM(E279:E280)</f>
        <v>0</v>
      </c>
      <c r="F278" s="28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c r="R278" s="53"/>
      <c r="S278" s="53"/>
      <c r="T278" s="53"/>
    </row>
    <row r="279" spans="1:20" ht="48" hidden="1" x14ac:dyDescent="0.25">
      <c r="A279" s="76">
        <v>7245</v>
      </c>
      <c r="B279" s="127" t="s">
        <v>295</v>
      </c>
      <c r="C279" s="128">
        <f t="shared" si="50"/>
        <v>0</v>
      </c>
      <c r="D279" s="134"/>
      <c r="E279" s="285"/>
      <c r="F279" s="286">
        <f t="shared" si="37"/>
        <v>0</v>
      </c>
      <c r="G279" s="134"/>
      <c r="H279" s="135"/>
      <c r="I279" s="136">
        <f t="shared" si="38"/>
        <v>0</v>
      </c>
      <c r="J279" s="134"/>
      <c r="K279" s="135"/>
      <c r="L279" s="136">
        <f t="shared" si="39"/>
        <v>0</v>
      </c>
      <c r="M279" s="284"/>
      <c r="N279" s="285"/>
      <c r="O279" s="136">
        <f t="shared" ref="O279:O282" si="57">M279+N279</f>
        <v>0</v>
      </c>
      <c r="P279" s="85"/>
      <c r="R279" s="53"/>
      <c r="S279" s="53"/>
      <c r="T279" s="53"/>
    </row>
    <row r="280" spans="1:20" ht="96" hidden="1" x14ac:dyDescent="0.25">
      <c r="A280" s="76">
        <v>7246</v>
      </c>
      <c r="B280" s="127" t="s">
        <v>296</v>
      </c>
      <c r="C280" s="128">
        <f t="shared" si="50"/>
        <v>0</v>
      </c>
      <c r="D280" s="134"/>
      <c r="E280" s="285"/>
      <c r="F280" s="286">
        <f t="shared" si="37"/>
        <v>0</v>
      </c>
      <c r="G280" s="134"/>
      <c r="H280" s="135"/>
      <c r="I280" s="136">
        <f t="shared" si="38"/>
        <v>0</v>
      </c>
      <c r="J280" s="134"/>
      <c r="K280" s="135"/>
      <c r="L280" s="136">
        <f t="shared" si="39"/>
        <v>0</v>
      </c>
      <c r="M280" s="284"/>
      <c r="N280" s="285"/>
      <c r="O280" s="136">
        <f t="shared" si="57"/>
        <v>0</v>
      </c>
      <c r="P280" s="85"/>
      <c r="R280" s="53"/>
      <c r="S280" s="53"/>
      <c r="T280" s="53"/>
    </row>
    <row r="281" spans="1:20" ht="24" hidden="1" x14ac:dyDescent="0.25">
      <c r="A281" s="276">
        <v>7260</v>
      </c>
      <c r="B281" s="127" t="s">
        <v>297</v>
      </c>
      <c r="C281" s="128">
        <f t="shared" si="50"/>
        <v>0</v>
      </c>
      <c r="D281" s="123"/>
      <c r="E281" s="262"/>
      <c r="F281" s="263">
        <f t="shared" si="37"/>
        <v>0</v>
      </c>
      <c r="G281" s="123"/>
      <c r="H281" s="124"/>
      <c r="I281" s="125">
        <f t="shared" si="38"/>
        <v>0</v>
      </c>
      <c r="J281" s="123"/>
      <c r="K281" s="124"/>
      <c r="L281" s="125">
        <f t="shared" si="39"/>
        <v>0</v>
      </c>
      <c r="M281" s="264"/>
      <c r="N281" s="262"/>
      <c r="O281" s="125">
        <f t="shared" si="57"/>
        <v>0</v>
      </c>
      <c r="P281" s="74"/>
      <c r="R281" s="53"/>
      <c r="S281" s="53"/>
      <c r="T281" s="53"/>
    </row>
    <row r="282" spans="1:20" hidden="1" x14ac:dyDescent="0.25">
      <c r="A282" s="99">
        <v>7700</v>
      </c>
      <c r="B282" s="247" t="s">
        <v>298</v>
      </c>
      <c r="C282" s="359">
        <f t="shared" si="50"/>
        <v>0</v>
      </c>
      <c r="D282" s="360">
        <f>D283</f>
        <v>0</v>
      </c>
      <c r="E282" s="304">
        <f>SUM(E283)</f>
        <v>0</v>
      </c>
      <c r="F282" s="316">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c r="R282" s="53"/>
      <c r="S282" s="53"/>
      <c r="T282" s="53"/>
    </row>
    <row r="283" spans="1:20" hidden="1" x14ac:dyDescent="0.25">
      <c r="A283" s="141">
        <v>7720</v>
      </c>
      <c r="B283" s="142" t="s">
        <v>299</v>
      </c>
      <c r="C283" s="362">
        <f t="shared" si="50"/>
        <v>0</v>
      </c>
      <c r="D283" s="149"/>
      <c r="E283" s="363"/>
      <c r="F283" s="364">
        <f t="shared" si="37"/>
        <v>0</v>
      </c>
      <c r="G283" s="149"/>
      <c r="H283" s="150"/>
      <c r="I283" s="151">
        <f t="shared" si="38"/>
        <v>0</v>
      </c>
      <c r="J283" s="149"/>
      <c r="K283" s="150"/>
      <c r="L283" s="151">
        <f t="shared" si="39"/>
        <v>0</v>
      </c>
      <c r="M283" s="365"/>
      <c r="N283" s="363"/>
      <c r="O283" s="151">
        <f>M283+N283</f>
        <v>0</v>
      </c>
      <c r="P283" s="153"/>
      <c r="R283" s="53"/>
      <c r="S283" s="53"/>
      <c r="T283" s="53"/>
    </row>
    <row r="284" spans="1:20" x14ac:dyDescent="0.25">
      <c r="A284" s="366"/>
      <c r="B284" s="179" t="s">
        <v>300</v>
      </c>
      <c r="C284" s="117">
        <f t="shared" si="50"/>
        <v>283</v>
      </c>
      <c r="D284" s="255">
        <f>SUM(D285:D286)</f>
        <v>0</v>
      </c>
      <c r="E284" s="256">
        <f>SUM(E285:E286)</f>
        <v>0</v>
      </c>
      <c r="F284" s="257">
        <f t="shared" si="37"/>
        <v>0</v>
      </c>
      <c r="G284" s="255">
        <f>SUM(G285:G286)</f>
        <v>0</v>
      </c>
      <c r="H284" s="258">
        <f>SUM(H285:H286)</f>
        <v>0</v>
      </c>
      <c r="I284" s="259">
        <f t="shared" si="38"/>
        <v>0</v>
      </c>
      <c r="J284" s="255">
        <f>SUM(J285:J286)</f>
        <v>283</v>
      </c>
      <c r="K284" s="258">
        <f>SUM(K285:K286)</f>
        <v>0</v>
      </c>
      <c r="L284" s="259">
        <f t="shared" si="39"/>
        <v>283</v>
      </c>
      <c r="M284" s="260">
        <f>SUM(M285:M286)</f>
        <v>0</v>
      </c>
      <c r="N284" s="261">
        <f>SUM(N285:N286)</f>
        <v>0</v>
      </c>
      <c r="O284" s="259">
        <f t="shared" ref="O284:O299" si="58">M284+N284</f>
        <v>0</v>
      </c>
      <c r="P284" s="189"/>
      <c r="R284" s="53"/>
      <c r="S284" s="53"/>
      <c r="T284" s="53"/>
    </row>
    <row r="285" spans="1:20" hidden="1" x14ac:dyDescent="0.25">
      <c r="A285" s="346" t="s">
        <v>301</v>
      </c>
      <c r="B285" s="76" t="s">
        <v>302</v>
      </c>
      <c r="C285" s="279">
        <f t="shared" si="50"/>
        <v>0</v>
      </c>
      <c r="D285" s="134"/>
      <c r="E285" s="285"/>
      <c r="F285" s="286">
        <f t="shared" si="37"/>
        <v>0</v>
      </c>
      <c r="G285" s="134"/>
      <c r="H285" s="135"/>
      <c r="I285" s="136">
        <f t="shared" si="38"/>
        <v>0</v>
      </c>
      <c r="J285" s="134"/>
      <c r="K285" s="135"/>
      <c r="L285" s="136">
        <f t="shared" si="39"/>
        <v>0</v>
      </c>
      <c r="M285" s="284"/>
      <c r="N285" s="285"/>
      <c r="O285" s="136">
        <f t="shared" si="58"/>
        <v>0</v>
      </c>
      <c r="P285" s="85"/>
      <c r="R285" s="53"/>
      <c r="S285" s="53"/>
      <c r="T285" s="53"/>
    </row>
    <row r="286" spans="1:20" ht="24" x14ac:dyDescent="0.25">
      <c r="A286" s="800" t="s">
        <v>303</v>
      </c>
      <c r="B286" s="801" t="s">
        <v>304</v>
      </c>
      <c r="C286" s="802">
        <f t="shared" si="50"/>
        <v>283</v>
      </c>
      <c r="D286" s="480"/>
      <c r="E286" s="481"/>
      <c r="F286" s="803">
        <f t="shared" si="37"/>
        <v>0</v>
      </c>
      <c r="G286" s="480"/>
      <c r="H286" s="804"/>
      <c r="I286" s="805">
        <f t="shared" si="38"/>
        <v>0</v>
      </c>
      <c r="J286" s="480">
        <v>283</v>
      </c>
      <c r="K286" s="804"/>
      <c r="L286" s="805">
        <f t="shared" si="39"/>
        <v>283</v>
      </c>
      <c r="M286" s="806"/>
      <c r="N286" s="807"/>
      <c r="O286" s="805">
        <f t="shared" si="58"/>
        <v>0</v>
      </c>
      <c r="P286" s="808"/>
      <c r="R286" s="53"/>
      <c r="S286" s="53"/>
      <c r="T286" s="53"/>
    </row>
    <row r="287" spans="1:20" x14ac:dyDescent="0.25">
      <c r="A287" s="368"/>
      <c r="B287" s="369" t="s">
        <v>305</v>
      </c>
      <c r="C287" s="370">
        <f>SUM(C284,C271,C233,C198,C190,C176,C78,C56)</f>
        <v>558600</v>
      </c>
      <c r="D287" s="371">
        <f>SUM(D284,D271,D233,D198,D190,D176,D78,D56)</f>
        <v>510798</v>
      </c>
      <c r="E287" s="372">
        <f>SUM(E284,E271,E233,E198,E190,E176,E78,E56)</f>
        <v>0</v>
      </c>
      <c r="F287" s="373">
        <f t="shared" si="37"/>
        <v>510798</v>
      </c>
      <c r="G287" s="371">
        <f>SUM(G284,G271,G233,G198,G190,G176,G78,G56)</f>
        <v>42256</v>
      </c>
      <c r="H287" s="374">
        <f>SUM(H284,H271,H233,H198,H190,H176,H78,H56)</f>
        <v>0</v>
      </c>
      <c r="I287" s="375">
        <f t="shared" si="38"/>
        <v>42256</v>
      </c>
      <c r="J287" s="371">
        <f>SUM(J284,J271,J233,J198,J190,J176,J78,J56)</f>
        <v>5546</v>
      </c>
      <c r="K287" s="374">
        <f>SUM(K284,K271,K233,K198,K190,K176,K78,K56)</f>
        <v>0</v>
      </c>
      <c r="L287" s="375">
        <f t="shared" si="39"/>
        <v>5546</v>
      </c>
      <c r="M287" s="250">
        <f>SUM(M284,M271,M233,M198,M190,M176,M78,M56)</f>
        <v>0</v>
      </c>
      <c r="N287" s="251">
        <f>SUM(N284,N271,N233,N198,N190,N176,N78,N56)</f>
        <v>0</v>
      </c>
      <c r="O287" s="252">
        <f t="shared" si="58"/>
        <v>0</v>
      </c>
      <c r="P287" s="253"/>
      <c r="R287" s="53"/>
      <c r="S287" s="53"/>
      <c r="T287" s="53"/>
    </row>
    <row r="288" spans="1:20" x14ac:dyDescent="0.25">
      <c r="A288" s="376" t="s">
        <v>306</v>
      </c>
      <c r="B288" s="377"/>
      <c r="C288" s="378">
        <f t="shared" ref="C288" si="59">F288+I288+L288+O288</f>
        <v>-858</v>
      </c>
      <c r="D288" s="379">
        <f>SUM(D28,D29,D45)-D54</f>
        <v>0</v>
      </c>
      <c r="E288" s="380">
        <f>SUM(E28,E29,E45)-E54</f>
        <v>0</v>
      </c>
      <c r="F288" s="381">
        <f t="shared" si="37"/>
        <v>0</v>
      </c>
      <c r="G288" s="379">
        <f>SUM(G28,G29,G45)-G54</f>
        <v>0</v>
      </c>
      <c r="H288" s="382">
        <f>SUM(H28,H29,H45)-H54</f>
        <v>0</v>
      </c>
      <c r="I288" s="383">
        <f t="shared" si="38"/>
        <v>0</v>
      </c>
      <c r="J288" s="379">
        <f>(J30+J46)-J54</f>
        <v>-858</v>
      </c>
      <c r="K288" s="382">
        <f>(K30+K46)-K54</f>
        <v>0</v>
      </c>
      <c r="L288" s="383">
        <f t="shared" si="39"/>
        <v>-858</v>
      </c>
      <c r="M288" s="378">
        <f>M48-M54</f>
        <v>0</v>
      </c>
      <c r="N288" s="384">
        <f>N48-N54</f>
        <v>0</v>
      </c>
      <c r="O288" s="383">
        <f t="shared" si="58"/>
        <v>0</v>
      </c>
      <c r="P288" s="385"/>
      <c r="R288" s="53"/>
      <c r="S288" s="53"/>
      <c r="T288" s="53"/>
    </row>
    <row r="289" spans="1:20" s="41" customFormat="1" x14ac:dyDescent="0.25">
      <c r="A289" s="376" t="s">
        <v>307</v>
      </c>
      <c r="B289" s="377"/>
      <c r="C289" s="380">
        <f>SUM(C290,C291)-C298+C299</f>
        <v>858</v>
      </c>
      <c r="D289" s="379">
        <f>SUM(D290,D291)-D298+D299</f>
        <v>0</v>
      </c>
      <c r="E289" s="380">
        <f>SUM(E290,E291)-E298+E299</f>
        <v>0</v>
      </c>
      <c r="F289" s="381">
        <f t="shared" si="37"/>
        <v>0</v>
      </c>
      <c r="G289" s="379">
        <f>SUM(G290,G291)-G298+G299</f>
        <v>0</v>
      </c>
      <c r="H289" s="382">
        <f>SUM(H290,H291)-H298+H299</f>
        <v>0</v>
      </c>
      <c r="I289" s="383">
        <f t="shared" si="38"/>
        <v>0</v>
      </c>
      <c r="J289" s="379">
        <f>SUM(J290,J291)-J298+J299</f>
        <v>858</v>
      </c>
      <c r="K289" s="382">
        <f>SUM(K290,K291)-K298+K299</f>
        <v>0</v>
      </c>
      <c r="L289" s="383">
        <f t="shared" si="39"/>
        <v>858</v>
      </c>
      <c r="M289" s="378">
        <f>SUM(M290,M291)-M298+M299</f>
        <v>0</v>
      </c>
      <c r="N289" s="384">
        <f>SUM(N290,N291)-N298+N299</f>
        <v>0</v>
      </c>
      <c r="O289" s="383">
        <f t="shared" si="58"/>
        <v>0</v>
      </c>
      <c r="P289" s="385"/>
      <c r="R289" s="53"/>
      <c r="S289" s="53"/>
      <c r="T289" s="53"/>
    </row>
    <row r="290" spans="1:20" s="41" customFormat="1" x14ac:dyDescent="0.25">
      <c r="A290" s="386" t="s">
        <v>308</v>
      </c>
      <c r="B290" s="386" t="s">
        <v>309</v>
      </c>
      <c r="C290" s="380">
        <f>C25-C284</f>
        <v>858</v>
      </c>
      <c r="D290" s="379">
        <f>D25-D284</f>
        <v>0</v>
      </c>
      <c r="E290" s="380">
        <f>E25-E284</f>
        <v>0</v>
      </c>
      <c r="F290" s="381">
        <f t="shared" si="37"/>
        <v>0</v>
      </c>
      <c r="G290" s="379">
        <f>G25-G284</f>
        <v>0</v>
      </c>
      <c r="H290" s="382">
        <f>H25-H284</f>
        <v>0</v>
      </c>
      <c r="I290" s="383">
        <f t="shared" si="38"/>
        <v>0</v>
      </c>
      <c r="J290" s="379">
        <f>J25-J284</f>
        <v>858</v>
      </c>
      <c r="K290" s="382">
        <f>K25-K284</f>
        <v>0</v>
      </c>
      <c r="L290" s="383">
        <f t="shared" si="39"/>
        <v>858</v>
      </c>
      <c r="M290" s="378">
        <f>M25-M284</f>
        <v>0</v>
      </c>
      <c r="N290" s="384">
        <f>N25-N284</f>
        <v>0</v>
      </c>
      <c r="O290" s="383">
        <f t="shared" si="58"/>
        <v>0</v>
      </c>
      <c r="P290" s="385"/>
      <c r="R290" s="53"/>
      <c r="S290" s="53"/>
      <c r="T290" s="53"/>
    </row>
    <row r="291" spans="1:20" s="41" customFormat="1" hidden="1" x14ac:dyDescent="0.25">
      <c r="A291" s="387" t="s">
        <v>310</v>
      </c>
      <c r="B291" s="387" t="s">
        <v>311</v>
      </c>
      <c r="C291" s="380">
        <f>SUM(C292,C294,C296)-SUM(C293,C295,C297)</f>
        <v>0</v>
      </c>
      <c r="D291" s="379">
        <f t="shared" ref="D291:E291" si="60">SUM(D292,D294,D296)-SUM(D293,D295,D297)</f>
        <v>0</v>
      </c>
      <c r="E291" s="384">
        <f t="shared" si="60"/>
        <v>0</v>
      </c>
      <c r="F291" s="388">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c r="R291" s="53"/>
      <c r="S291" s="53"/>
      <c r="T291" s="53"/>
    </row>
    <row r="292" spans="1:20" s="41" customFormat="1" hidden="1" x14ac:dyDescent="0.25">
      <c r="A292" s="366" t="s">
        <v>312</v>
      </c>
      <c r="B292" s="190" t="s">
        <v>313</v>
      </c>
      <c r="C292" s="143">
        <f t="shared" ref="C292:C299" si="64">F292+I292+L292+O292</f>
        <v>0</v>
      </c>
      <c r="D292" s="149"/>
      <c r="E292" s="363"/>
      <c r="F292" s="364">
        <f t="shared" si="37"/>
        <v>0</v>
      </c>
      <c r="G292" s="149"/>
      <c r="H292" s="150"/>
      <c r="I292" s="151">
        <f t="shared" si="38"/>
        <v>0</v>
      </c>
      <c r="J292" s="149"/>
      <c r="K292" s="150"/>
      <c r="L292" s="151">
        <f t="shared" si="39"/>
        <v>0</v>
      </c>
      <c r="M292" s="365"/>
      <c r="N292" s="363"/>
      <c r="O292" s="151">
        <f t="shared" si="58"/>
        <v>0</v>
      </c>
      <c r="P292" s="153"/>
      <c r="R292" s="53"/>
      <c r="S292" s="53"/>
      <c r="T292" s="53"/>
    </row>
    <row r="293" spans="1:20" ht="24" hidden="1" x14ac:dyDescent="0.25">
      <c r="A293" s="346" t="s">
        <v>314</v>
      </c>
      <c r="B293" s="75" t="s">
        <v>315</v>
      </c>
      <c r="C293" s="128">
        <f t="shared" si="64"/>
        <v>0</v>
      </c>
      <c r="D293" s="134"/>
      <c r="E293" s="285"/>
      <c r="F293" s="286">
        <f t="shared" si="37"/>
        <v>0</v>
      </c>
      <c r="G293" s="134"/>
      <c r="H293" s="135"/>
      <c r="I293" s="136">
        <f t="shared" si="38"/>
        <v>0</v>
      </c>
      <c r="J293" s="134"/>
      <c r="K293" s="135"/>
      <c r="L293" s="136">
        <f t="shared" si="39"/>
        <v>0</v>
      </c>
      <c r="M293" s="284"/>
      <c r="N293" s="285"/>
      <c r="O293" s="136">
        <f t="shared" si="58"/>
        <v>0</v>
      </c>
      <c r="P293" s="85"/>
      <c r="R293" s="53"/>
      <c r="S293" s="53"/>
      <c r="T293" s="53"/>
    </row>
    <row r="294" spans="1:20" hidden="1" x14ac:dyDescent="0.25">
      <c r="A294" s="346" t="s">
        <v>316</v>
      </c>
      <c r="B294" s="75" t="s">
        <v>317</v>
      </c>
      <c r="C294" s="128">
        <f t="shared" si="64"/>
        <v>0</v>
      </c>
      <c r="D294" s="134"/>
      <c r="E294" s="285"/>
      <c r="F294" s="286">
        <f t="shared" si="37"/>
        <v>0</v>
      </c>
      <c r="G294" s="134"/>
      <c r="H294" s="135"/>
      <c r="I294" s="136">
        <f t="shared" si="38"/>
        <v>0</v>
      </c>
      <c r="J294" s="134"/>
      <c r="K294" s="135"/>
      <c r="L294" s="136">
        <f t="shared" si="39"/>
        <v>0</v>
      </c>
      <c r="M294" s="284"/>
      <c r="N294" s="285"/>
      <c r="O294" s="136">
        <f t="shared" si="58"/>
        <v>0</v>
      </c>
      <c r="P294" s="85"/>
      <c r="R294" s="53"/>
      <c r="S294" s="53"/>
      <c r="T294" s="53"/>
    </row>
    <row r="295" spans="1:20" ht="24" hidden="1" x14ac:dyDescent="0.25">
      <c r="A295" s="346" t="s">
        <v>318</v>
      </c>
      <c r="B295" s="75" t="s">
        <v>319</v>
      </c>
      <c r="C295" s="128">
        <f t="shared" si="64"/>
        <v>0</v>
      </c>
      <c r="D295" s="134"/>
      <c r="E295" s="285"/>
      <c r="F295" s="286">
        <f t="shared" si="37"/>
        <v>0</v>
      </c>
      <c r="G295" s="134"/>
      <c r="H295" s="135"/>
      <c r="I295" s="136">
        <f t="shared" si="38"/>
        <v>0</v>
      </c>
      <c r="J295" s="134"/>
      <c r="K295" s="135"/>
      <c r="L295" s="136">
        <f t="shared" si="39"/>
        <v>0</v>
      </c>
      <c r="M295" s="284"/>
      <c r="N295" s="285"/>
      <c r="O295" s="136">
        <f t="shared" si="58"/>
        <v>0</v>
      </c>
      <c r="P295" s="85"/>
      <c r="R295" s="53"/>
      <c r="S295" s="53"/>
      <c r="T295" s="53"/>
    </row>
    <row r="296" spans="1:20" hidden="1" x14ac:dyDescent="0.25">
      <c r="A296" s="346" t="s">
        <v>320</v>
      </c>
      <c r="B296" s="75" t="s">
        <v>321</v>
      </c>
      <c r="C296" s="128">
        <f t="shared" si="64"/>
        <v>0</v>
      </c>
      <c r="D296" s="134"/>
      <c r="E296" s="285"/>
      <c r="F296" s="286">
        <f t="shared" si="37"/>
        <v>0</v>
      </c>
      <c r="G296" s="134"/>
      <c r="H296" s="135"/>
      <c r="I296" s="136">
        <f t="shared" si="38"/>
        <v>0</v>
      </c>
      <c r="J296" s="134"/>
      <c r="K296" s="135"/>
      <c r="L296" s="136">
        <f t="shared" si="39"/>
        <v>0</v>
      </c>
      <c r="M296" s="284"/>
      <c r="N296" s="285"/>
      <c r="O296" s="136">
        <f t="shared" si="58"/>
        <v>0</v>
      </c>
      <c r="P296" s="85"/>
      <c r="R296" s="53"/>
      <c r="S296" s="53"/>
      <c r="T296" s="53"/>
    </row>
    <row r="297" spans="1:20" ht="24" hidden="1" x14ac:dyDescent="0.25">
      <c r="A297" s="389" t="s">
        <v>322</v>
      </c>
      <c r="B297" s="390" t="s">
        <v>323</v>
      </c>
      <c r="C297" s="327">
        <f t="shared" si="64"/>
        <v>0</v>
      </c>
      <c r="D297" s="328"/>
      <c r="E297" s="329"/>
      <c r="F297" s="330">
        <f t="shared" si="37"/>
        <v>0</v>
      </c>
      <c r="G297" s="328"/>
      <c r="H297" s="331"/>
      <c r="I297" s="324">
        <f t="shared" si="38"/>
        <v>0</v>
      </c>
      <c r="J297" s="328"/>
      <c r="K297" s="331"/>
      <c r="L297" s="324">
        <f t="shared" si="39"/>
        <v>0</v>
      </c>
      <c r="M297" s="332"/>
      <c r="N297" s="329"/>
      <c r="O297" s="324">
        <f t="shared" si="58"/>
        <v>0</v>
      </c>
      <c r="P297" s="325"/>
      <c r="R297" s="53"/>
      <c r="S297" s="53"/>
      <c r="T297" s="53"/>
    </row>
    <row r="298" spans="1:20" hidden="1" x14ac:dyDescent="0.25">
      <c r="A298" s="387" t="s">
        <v>324</v>
      </c>
      <c r="B298" s="387" t="s">
        <v>325</v>
      </c>
      <c r="C298" s="391">
        <f t="shared" si="64"/>
        <v>0</v>
      </c>
      <c r="D298" s="392"/>
      <c r="E298" s="393"/>
      <c r="F298" s="388">
        <f t="shared" si="37"/>
        <v>0</v>
      </c>
      <c r="G298" s="392"/>
      <c r="H298" s="394"/>
      <c r="I298" s="383">
        <f t="shared" si="38"/>
        <v>0</v>
      </c>
      <c r="J298" s="392"/>
      <c r="K298" s="394"/>
      <c r="L298" s="383">
        <f t="shared" si="39"/>
        <v>0</v>
      </c>
      <c r="M298" s="395"/>
      <c r="N298" s="393"/>
      <c r="O298" s="383">
        <f t="shared" si="58"/>
        <v>0</v>
      </c>
      <c r="P298" s="385"/>
      <c r="R298" s="53"/>
      <c r="S298" s="53"/>
      <c r="T298" s="53"/>
    </row>
    <row r="299" spans="1:20" s="41" customFormat="1" ht="48" hidden="1" x14ac:dyDescent="0.25">
      <c r="A299" s="387" t="s">
        <v>326</v>
      </c>
      <c r="B299" s="396" t="s">
        <v>327</v>
      </c>
      <c r="C299" s="397">
        <f t="shared" si="64"/>
        <v>0</v>
      </c>
      <c r="D299" s="398"/>
      <c r="E299" s="399"/>
      <c r="F299" s="400">
        <f t="shared" si="37"/>
        <v>0</v>
      </c>
      <c r="G299" s="392"/>
      <c r="H299" s="394"/>
      <c r="I299" s="383">
        <f t="shared" si="38"/>
        <v>0</v>
      </c>
      <c r="J299" s="392"/>
      <c r="K299" s="394"/>
      <c r="L299" s="383">
        <f t="shared" si="39"/>
        <v>0</v>
      </c>
      <c r="M299" s="395"/>
      <c r="N299" s="393"/>
      <c r="O299" s="383">
        <f t="shared" si="58"/>
        <v>0</v>
      </c>
      <c r="P299" s="385"/>
      <c r="R299" s="53"/>
      <c r="S299" s="53"/>
      <c r="T299" s="53"/>
    </row>
    <row r="300" spans="1:20"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20" ht="12.75" thickBot="1" x14ac:dyDescent="0.3">
      <c r="A301" s="404"/>
      <c r="B301" s="405"/>
      <c r="C301" s="405"/>
      <c r="D301" s="405"/>
      <c r="E301" s="405"/>
      <c r="F301" s="405"/>
      <c r="G301" s="405"/>
      <c r="H301" s="405"/>
      <c r="I301" s="405"/>
      <c r="J301" s="405"/>
      <c r="K301" s="405"/>
      <c r="L301" s="405"/>
      <c r="M301" s="405"/>
      <c r="N301" s="405"/>
      <c r="O301" s="405"/>
      <c r="P301" s="406"/>
      <c r="Q301" s="7"/>
    </row>
    <row r="302" spans="1:20" x14ac:dyDescent="0.25">
      <c r="A302" s="5"/>
      <c r="B302" s="5"/>
      <c r="C302" s="5"/>
      <c r="D302" s="5"/>
      <c r="E302" s="5"/>
      <c r="F302" s="5"/>
      <c r="G302" s="5"/>
      <c r="H302" s="5"/>
      <c r="I302" s="5"/>
      <c r="J302" s="5"/>
      <c r="K302" s="5"/>
      <c r="L302" s="5"/>
      <c r="M302" s="5"/>
      <c r="N302" s="5"/>
      <c r="O302" s="5"/>
    </row>
    <row r="303" spans="1:20" x14ac:dyDescent="0.25">
      <c r="A303" s="5"/>
      <c r="B303" s="5"/>
      <c r="C303" s="5"/>
      <c r="D303" s="5"/>
      <c r="E303" s="5"/>
      <c r="F303" s="5"/>
      <c r="G303" s="5"/>
      <c r="H303" s="5"/>
      <c r="I303" s="5"/>
      <c r="J303" s="5"/>
      <c r="K303" s="5"/>
      <c r="L303" s="5"/>
      <c r="M303" s="5"/>
      <c r="N303" s="5"/>
      <c r="O303" s="5"/>
    </row>
    <row r="304" spans="1:20"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bqzyAkvrhrTRScINolhWM8Mk7Kfz91knWRXRXnIUkixw+H/0Ua83krwbr7Mf2lxadBqmhiz8IkmWYfHXUaKzUw==" saltValue="P3b0/XEnFTDUejITrZBNQg==" spinCount="100000" sheet="1" objects="1" scenarios="1" formatCells="0" formatColumns="0" formatRows="0"/>
  <autoFilter ref="A22:P300">
    <filterColumn colId="2">
      <filters blank="1">
        <filter val="1 109"/>
        <filter val="1 141"/>
        <filter val="1 167"/>
        <filter val="1 289"/>
        <filter val="1 387"/>
        <filter val="1 913"/>
        <filter val="1 944"/>
        <filter val="10 051"/>
        <filter val="114 966"/>
        <filter val="122"/>
        <filter val="15 184"/>
        <filter val="150"/>
        <filter val="155"/>
        <filter val="166"/>
        <filter val="190"/>
        <filter val="2 216"/>
        <filter val="2 293"/>
        <filter val="2 444"/>
        <filter val="2 599"/>
        <filter val="2 716"/>
        <filter val="2 966"/>
        <filter val="217"/>
        <filter val="23 300"/>
        <filter val="24 145"/>
        <filter val="24 926"/>
        <filter val="25 324"/>
        <filter val="283"/>
        <filter val="3 027"/>
        <filter val="3 054"/>
        <filter val="3 540"/>
        <filter val="3 683"/>
        <filter val="3 748"/>
        <filter val="325 947"/>
        <filter val="35"/>
        <filter val="350"/>
        <filter val="36"/>
        <filter val="365 070"/>
        <filter val="37 210"/>
        <filter val="372"/>
        <filter val="4 405"/>
        <filter val="41 837"/>
        <filter val="428"/>
        <filter val="47"/>
        <filter val="480 036"/>
        <filter val="500"/>
        <filter val="51 443"/>
        <filter val="553 054"/>
        <filter val="555 718"/>
        <filter val="558 317"/>
        <filter val="558 600"/>
        <filter val="6 023"/>
        <filter val="6 213"/>
        <filter val="6 866"/>
        <filter val="60"/>
        <filter val="735"/>
        <filter val="75 682"/>
        <filter val="8 124"/>
        <filter val="858"/>
        <filter val="-858"/>
        <filter val="89 642"/>
        <filter val="899"/>
        <filter val="9 310"/>
        <filter val="9 551"/>
        <filter val="9 712"/>
        <filter val="922"/>
        <filter val="94"/>
        <filter val="972"/>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95.pielikums Jūrmalas pilsētas domes
2017.gada 30.janvāra saistošajiem noteikumiem Nr.10
(Protokols Nr.4, 1.punkts)
 </firstHeader>
    <firstFooter>&amp;L&amp;9&amp;D; &amp;T&amp;R&amp;9&amp;P (&amp;N)</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1"/>
  <sheetViews>
    <sheetView view="pageLayout" zoomScaleNormal="90" workbookViewId="0">
      <selection activeCell="S13" sqref="S13"/>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891</v>
      </c>
    </row>
    <row r="2" spans="1:17" x14ac:dyDescent="0.25">
      <c r="A2" s="6"/>
      <c r="B2" s="6"/>
      <c r="C2" s="6"/>
      <c r="D2" s="6"/>
      <c r="E2" s="6"/>
      <c r="F2" s="6"/>
      <c r="G2" s="6"/>
      <c r="H2" s="6"/>
      <c r="I2" s="6"/>
      <c r="J2" s="6"/>
      <c r="K2" s="6"/>
      <c r="L2" s="6"/>
      <c r="M2" s="6"/>
      <c r="N2" s="6"/>
      <c r="O2" s="6"/>
      <c r="P2" s="6"/>
    </row>
    <row r="3" spans="1:17" ht="6.75" customHeight="1" x14ac:dyDescent="0.25">
      <c r="A3" s="1557"/>
      <c r="B3" s="1558"/>
      <c r="C3" s="1558"/>
      <c r="D3" s="1558"/>
      <c r="E3" s="1558"/>
      <c r="F3" s="1558"/>
      <c r="G3" s="1558"/>
      <c r="H3" s="1558"/>
      <c r="I3" s="1558"/>
      <c r="J3" s="1558"/>
      <c r="K3" s="1558"/>
      <c r="L3" s="1558"/>
      <c r="M3" s="1558"/>
      <c r="N3" s="1558"/>
      <c r="O3" s="1558"/>
      <c r="P3" s="1559"/>
      <c r="Q3" s="7"/>
    </row>
    <row r="4" spans="1:17" ht="10.5" customHeight="1"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892</v>
      </c>
      <c r="D6" s="1555"/>
      <c r="E6" s="1555"/>
      <c r="F6" s="1555"/>
      <c r="G6" s="1555"/>
      <c r="H6" s="1555"/>
      <c r="I6" s="1555"/>
      <c r="J6" s="1555"/>
      <c r="K6" s="1555"/>
      <c r="L6" s="1555"/>
      <c r="M6" s="1555"/>
      <c r="N6" s="1555"/>
      <c r="O6" s="1555"/>
      <c r="P6" s="1556"/>
      <c r="Q6" s="7"/>
    </row>
    <row r="7" spans="1:17" ht="12.75" x14ac:dyDescent="0.25">
      <c r="A7" s="13" t="s">
        <v>4</v>
      </c>
      <c r="B7" s="14"/>
      <c r="C7" s="1555" t="s">
        <v>5</v>
      </c>
      <c r="D7" s="1555"/>
      <c r="E7" s="1555"/>
      <c r="F7" s="1555"/>
      <c r="G7" s="1555"/>
      <c r="H7" s="1555"/>
      <c r="I7" s="1555"/>
      <c r="J7" s="1555"/>
      <c r="K7" s="1555"/>
      <c r="L7" s="1555"/>
      <c r="M7" s="1555"/>
      <c r="N7" s="1555"/>
      <c r="O7" s="1555"/>
      <c r="P7" s="1556"/>
      <c r="Q7" s="7"/>
    </row>
    <row r="8" spans="1:17" x14ac:dyDescent="0.25">
      <c r="A8" s="8" t="s">
        <v>6</v>
      </c>
      <c r="B8" s="9"/>
      <c r="C8" s="1553" t="s">
        <v>893</v>
      </c>
      <c r="D8" s="1553"/>
      <c r="E8" s="1553"/>
      <c r="F8" s="1553"/>
      <c r="G8" s="1553"/>
      <c r="H8" s="1553"/>
      <c r="I8" s="1553"/>
      <c r="J8" s="1553"/>
      <c r="K8" s="1553"/>
      <c r="L8" s="1553"/>
      <c r="M8" s="1553"/>
      <c r="N8" s="1553"/>
      <c r="O8" s="1553"/>
      <c r="P8" s="1554"/>
      <c r="Q8" s="7"/>
    </row>
    <row r="9" spans="1:17" x14ac:dyDescent="0.25">
      <c r="A9" s="8" t="s">
        <v>8</v>
      </c>
      <c r="B9" s="9"/>
      <c r="C9" s="1553" t="s">
        <v>9</v>
      </c>
      <c r="D9" s="1553"/>
      <c r="E9" s="1553"/>
      <c r="F9" s="1553"/>
      <c r="G9" s="1553"/>
      <c r="H9" s="1553"/>
      <c r="I9" s="1553"/>
      <c r="J9" s="1553"/>
      <c r="K9" s="1553"/>
      <c r="L9" s="1553"/>
      <c r="M9" s="1553"/>
      <c r="N9" s="1553"/>
      <c r="O9" s="1553"/>
      <c r="P9" s="1554"/>
      <c r="Q9" s="7"/>
    </row>
    <row r="10" spans="1:17" ht="23.25" customHeight="1" x14ac:dyDescent="0.25">
      <c r="A10" s="8" t="s">
        <v>10</v>
      </c>
      <c r="B10" s="9"/>
      <c r="C10" s="1555" t="s">
        <v>11</v>
      </c>
      <c r="D10" s="1555"/>
      <c r="E10" s="1555"/>
      <c r="F10" s="1555"/>
      <c r="G10" s="1555"/>
      <c r="H10" s="1555"/>
      <c r="I10" s="1555"/>
      <c r="J10" s="1555"/>
      <c r="K10" s="1555"/>
      <c r="L10" s="1555"/>
      <c r="M10" s="1555"/>
      <c r="N10" s="1555"/>
      <c r="O10" s="1555"/>
      <c r="P10" s="1556"/>
      <c r="Q10" s="7"/>
    </row>
    <row r="11" spans="1:17" x14ac:dyDescent="0.25">
      <c r="A11" s="8" t="s">
        <v>12</v>
      </c>
      <c r="B11" s="9"/>
      <c r="C11" s="1555" t="s">
        <v>13</v>
      </c>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894</v>
      </c>
      <c r="D13" s="1553"/>
      <c r="E13" s="1553"/>
      <c r="F13" s="1553"/>
      <c r="G13" s="1553"/>
      <c r="H13" s="1553"/>
      <c r="I13" s="1553"/>
      <c r="J13" s="1553"/>
      <c r="K13" s="1553"/>
      <c r="L13" s="1553"/>
      <c r="M13" s="1553"/>
      <c r="N13" s="1553"/>
      <c r="O13" s="1553"/>
      <c r="P13" s="1554"/>
      <c r="Q13" s="7"/>
    </row>
    <row r="14" spans="1:17" x14ac:dyDescent="0.25">
      <c r="A14" s="8"/>
      <c r="B14" s="9" t="s">
        <v>17</v>
      </c>
      <c r="C14" s="1553" t="s">
        <v>895</v>
      </c>
      <c r="D14" s="1553"/>
      <c r="E14" s="1553"/>
      <c r="F14" s="1553"/>
      <c r="G14" s="1553"/>
      <c r="H14" s="1553"/>
      <c r="I14" s="1553"/>
      <c r="J14" s="1553"/>
      <c r="K14" s="1553"/>
      <c r="L14" s="1553"/>
      <c r="M14" s="1553"/>
      <c r="N14" s="1553"/>
      <c r="O14" s="1553"/>
      <c r="P14" s="1554"/>
      <c r="Q14" s="7"/>
    </row>
    <row r="15" spans="1:17" x14ac:dyDescent="0.25">
      <c r="A15" s="8"/>
      <c r="B15" s="9" t="s">
        <v>19</v>
      </c>
      <c r="C15" s="1553"/>
      <c r="D15" s="1553"/>
      <c r="E15" s="1553"/>
      <c r="F15" s="1553"/>
      <c r="G15" s="1553"/>
      <c r="H15" s="1553"/>
      <c r="I15" s="1553"/>
      <c r="J15" s="1553"/>
      <c r="K15" s="1553"/>
      <c r="L15" s="1553"/>
      <c r="M15" s="1553"/>
      <c r="N15" s="1553"/>
      <c r="O15" s="1553"/>
      <c r="P15" s="1554"/>
      <c r="Q15" s="7"/>
    </row>
    <row r="16" spans="1:17" x14ac:dyDescent="0.25">
      <c r="A16" s="8"/>
      <c r="B16" s="9" t="s">
        <v>20</v>
      </c>
      <c r="C16" s="1553" t="s">
        <v>896</v>
      </c>
      <c r="D16" s="1553"/>
      <c r="E16" s="1553"/>
      <c r="F16" s="1553"/>
      <c r="G16" s="1553"/>
      <c r="H16" s="1553"/>
      <c r="I16" s="1553"/>
      <c r="J16" s="1553"/>
      <c r="K16" s="1553"/>
      <c r="L16" s="1553"/>
      <c r="M16" s="1553"/>
      <c r="N16" s="1553"/>
      <c r="O16" s="1553"/>
      <c r="P16" s="1554"/>
      <c r="Q16" s="7"/>
    </row>
    <row r="17" spans="1:20" x14ac:dyDescent="0.25">
      <c r="A17" s="8"/>
      <c r="B17" s="9" t="s">
        <v>22</v>
      </c>
      <c r="C17" s="1553"/>
      <c r="D17" s="1553"/>
      <c r="E17" s="1553"/>
      <c r="F17" s="1553"/>
      <c r="G17" s="1553"/>
      <c r="H17" s="1553"/>
      <c r="I17" s="1553"/>
      <c r="J17" s="1553"/>
      <c r="K17" s="1553"/>
      <c r="L17" s="1553"/>
      <c r="M17" s="1553"/>
      <c r="N17" s="1553"/>
      <c r="O17" s="1553"/>
      <c r="P17" s="1554"/>
      <c r="Q17" s="7"/>
    </row>
    <row r="18" spans="1:20" x14ac:dyDescent="0.25">
      <c r="A18" s="18"/>
      <c r="B18" s="19"/>
      <c r="C18" s="1569"/>
      <c r="D18" s="1569"/>
      <c r="E18" s="1569"/>
      <c r="F18" s="1569"/>
      <c r="G18" s="1569"/>
      <c r="H18" s="1569"/>
      <c r="I18" s="1569"/>
      <c r="J18" s="1569"/>
      <c r="K18" s="1569"/>
      <c r="L18" s="1569"/>
      <c r="M18" s="1569"/>
      <c r="N18" s="1569"/>
      <c r="O18" s="1569"/>
      <c r="P18" s="1570"/>
      <c r="Q18" s="7"/>
    </row>
    <row r="19" spans="1:20"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0"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20" s="21" customFormat="1" ht="57" customHeight="1" thickBot="1" x14ac:dyDescent="0.3">
      <c r="A21" s="1573"/>
      <c r="B21" s="1576"/>
      <c r="C21" s="1581"/>
      <c r="D21" s="1566"/>
      <c r="E21" s="1568"/>
      <c r="F21" s="1564"/>
      <c r="G21" s="1566"/>
      <c r="H21" s="1568"/>
      <c r="I21" s="1564"/>
      <c r="J21" s="1566"/>
      <c r="K21" s="1568"/>
      <c r="L21" s="1564"/>
      <c r="M21" s="1566"/>
      <c r="N21" s="1568"/>
      <c r="O21" s="1564"/>
      <c r="P21" s="1576"/>
    </row>
    <row r="22" spans="1:20"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0" s="41" customFormat="1" x14ac:dyDescent="0.25">
      <c r="A23" s="30"/>
      <c r="B23" s="31" t="s">
        <v>41</v>
      </c>
      <c r="C23" s="32"/>
      <c r="D23" s="33"/>
      <c r="E23" s="34"/>
      <c r="F23" s="35"/>
      <c r="G23" s="33"/>
      <c r="H23" s="36"/>
      <c r="I23" s="37"/>
      <c r="J23" s="33"/>
      <c r="K23" s="38"/>
      <c r="L23" s="37"/>
      <c r="M23" s="38"/>
      <c r="N23" s="39"/>
      <c r="O23" s="37"/>
      <c r="P23" s="40"/>
    </row>
    <row r="24" spans="1:20" s="41" customFormat="1" ht="12.75" thickBot="1" x14ac:dyDescent="0.3">
      <c r="A24" s="42"/>
      <c r="B24" s="43" t="s">
        <v>42</v>
      </c>
      <c r="C24" s="44">
        <f>F24+I24+L24+O24</f>
        <v>558600</v>
      </c>
      <c r="D24" s="45">
        <f>SUM(D25,D28,D29,D45,D46)</f>
        <v>510798</v>
      </c>
      <c r="E24" s="46">
        <f>SUM(E25,E28,E29,E45,E46)</f>
        <v>0</v>
      </c>
      <c r="F24" s="47">
        <f t="shared" ref="F24:F29" si="0">D24+E24</f>
        <v>510798</v>
      </c>
      <c r="G24" s="45">
        <f>SUM(G25,G28,G46)</f>
        <v>42256</v>
      </c>
      <c r="H24" s="48">
        <f>SUM(H25,H28,H46)</f>
        <v>0</v>
      </c>
      <c r="I24" s="49">
        <f>G24+H24</f>
        <v>42256</v>
      </c>
      <c r="J24" s="45">
        <f>SUM(J25,J30,J46)</f>
        <v>5546</v>
      </c>
      <c r="K24" s="48">
        <f>SUM(K25,K30,K46)</f>
        <v>0</v>
      </c>
      <c r="L24" s="49">
        <f>J24+K24</f>
        <v>5546</v>
      </c>
      <c r="M24" s="50">
        <f>SUM(M25,M48)</f>
        <v>0</v>
      </c>
      <c r="N24" s="51">
        <f>SUM(N25,N48)</f>
        <v>0</v>
      </c>
      <c r="O24" s="49">
        <f>M24+N24</f>
        <v>0</v>
      </c>
      <c r="P24" s="52"/>
      <c r="R24" s="53"/>
      <c r="S24" s="53"/>
      <c r="T24" s="53"/>
    </row>
    <row r="25" spans="1:20" ht="12.75" thickTop="1" x14ac:dyDescent="0.25">
      <c r="A25" s="54"/>
      <c r="B25" s="55" t="s">
        <v>43</v>
      </c>
      <c r="C25" s="56">
        <f>F25+I25+L25+O25</f>
        <v>1141</v>
      </c>
      <c r="D25" s="57">
        <f>SUM(D26:D27)</f>
        <v>0</v>
      </c>
      <c r="E25" s="58">
        <f>SUM(E26:E27)</f>
        <v>0</v>
      </c>
      <c r="F25" s="59">
        <f t="shared" si="0"/>
        <v>0</v>
      </c>
      <c r="G25" s="57">
        <f>SUM(G26:G27)</f>
        <v>0</v>
      </c>
      <c r="H25" s="60">
        <f>SUM(H26:H27)</f>
        <v>0</v>
      </c>
      <c r="I25" s="61">
        <f>G25+H25</f>
        <v>0</v>
      </c>
      <c r="J25" s="57">
        <f>SUM(J26:J27)</f>
        <v>1141</v>
      </c>
      <c r="K25" s="60">
        <f>SUM(K26:K27)</f>
        <v>0</v>
      </c>
      <c r="L25" s="61">
        <f>J25+K25</f>
        <v>1141</v>
      </c>
      <c r="M25" s="62">
        <f>SUM(M26:M27)</f>
        <v>0</v>
      </c>
      <c r="N25" s="63">
        <f>SUM(N26:N27)</f>
        <v>0</v>
      </c>
      <c r="O25" s="61">
        <f>M25+N25</f>
        <v>0</v>
      </c>
      <c r="P25" s="64"/>
      <c r="R25" s="53"/>
      <c r="S25" s="53"/>
      <c r="T25" s="53"/>
    </row>
    <row r="26" spans="1:20" hidden="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c r="R26" s="53"/>
      <c r="S26" s="53"/>
      <c r="T26" s="53"/>
    </row>
    <row r="27" spans="1:20" x14ac:dyDescent="0.25">
      <c r="A27" s="75"/>
      <c r="B27" s="76" t="s">
        <v>45</v>
      </c>
      <c r="C27" s="77">
        <f>F27+I27+L27+O27</f>
        <v>1141</v>
      </c>
      <c r="D27" s="78"/>
      <c r="E27" s="79"/>
      <c r="F27" s="80">
        <f t="shared" si="0"/>
        <v>0</v>
      </c>
      <c r="G27" s="78"/>
      <c r="H27" s="81"/>
      <c r="I27" s="82">
        <f>G27+H27</f>
        <v>0</v>
      </c>
      <c r="J27" s="78">
        <v>1141</v>
      </c>
      <c r="K27" s="81"/>
      <c r="L27" s="82">
        <f>J27+K27</f>
        <v>1141</v>
      </c>
      <c r="M27" s="83"/>
      <c r="N27" s="84"/>
      <c r="O27" s="82">
        <f>M27+N27</f>
        <v>0</v>
      </c>
      <c r="P27" s="85"/>
      <c r="R27" s="53"/>
      <c r="S27" s="53"/>
      <c r="T27" s="53"/>
    </row>
    <row r="28" spans="1:20" s="41" customFormat="1" ht="24.75" thickBot="1" x14ac:dyDescent="0.3">
      <c r="A28" s="86">
        <v>19300</v>
      </c>
      <c r="B28" s="86" t="s">
        <v>46</v>
      </c>
      <c r="C28" s="87">
        <f>SUM(F28,I28)</f>
        <v>553054</v>
      </c>
      <c r="D28" s="88">
        <v>510798</v>
      </c>
      <c r="E28" s="89"/>
      <c r="F28" s="90">
        <f t="shared" si="0"/>
        <v>510798</v>
      </c>
      <c r="G28" s="88">
        <v>42256</v>
      </c>
      <c r="H28" s="91"/>
      <c r="I28" s="92">
        <f>G28+H28</f>
        <v>42256</v>
      </c>
      <c r="J28" s="93" t="s">
        <v>47</v>
      </c>
      <c r="K28" s="94" t="s">
        <v>47</v>
      </c>
      <c r="L28" s="95" t="s">
        <v>47</v>
      </c>
      <c r="M28" s="96" t="s">
        <v>47</v>
      </c>
      <c r="N28" s="97" t="s">
        <v>47</v>
      </c>
      <c r="O28" s="95" t="s">
        <v>47</v>
      </c>
      <c r="P28" s="98"/>
      <c r="R28" s="53"/>
      <c r="S28" s="53"/>
      <c r="T28" s="53"/>
    </row>
    <row r="29" spans="1:20" s="41" customFormat="1" ht="24.75" hidden="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c r="R29" s="53"/>
      <c r="S29" s="53"/>
      <c r="T29" s="53"/>
    </row>
    <row r="30" spans="1:20" s="41" customFormat="1" ht="36.75" thickTop="1" x14ac:dyDescent="0.25">
      <c r="A30" s="99">
        <v>21300</v>
      </c>
      <c r="B30" s="99" t="s">
        <v>49</v>
      </c>
      <c r="C30" s="100">
        <f t="shared" ref="C30:C44" si="1">L30</f>
        <v>4405</v>
      </c>
      <c r="D30" s="104" t="s">
        <v>47</v>
      </c>
      <c r="E30" s="110" t="s">
        <v>47</v>
      </c>
      <c r="F30" s="111" t="s">
        <v>47</v>
      </c>
      <c r="G30" s="104" t="s">
        <v>47</v>
      </c>
      <c r="H30" s="105" t="s">
        <v>47</v>
      </c>
      <c r="I30" s="106" t="s">
        <v>47</v>
      </c>
      <c r="J30" s="112">
        <f>SUM(J31,J35,J37,J40)</f>
        <v>4405</v>
      </c>
      <c r="K30" s="113">
        <f>SUM(K31,K35,K37,K40)</f>
        <v>0</v>
      </c>
      <c r="L30" s="114">
        <f t="shared" ref="L30:L44" si="2">J30+K30</f>
        <v>4405</v>
      </c>
      <c r="M30" s="107" t="s">
        <v>47</v>
      </c>
      <c r="N30" s="108" t="s">
        <v>47</v>
      </c>
      <c r="O30" s="106" t="s">
        <v>47</v>
      </c>
      <c r="P30" s="109"/>
      <c r="R30" s="53"/>
      <c r="S30" s="53"/>
      <c r="T30" s="53"/>
    </row>
    <row r="31" spans="1:20" s="41" customFormat="1" ht="24" x14ac:dyDescent="0.25">
      <c r="A31" s="115">
        <v>21350</v>
      </c>
      <c r="B31" s="99" t="s">
        <v>50</v>
      </c>
      <c r="C31" s="100">
        <f t="shared" si="1"/>
        <v>372</v>
      </c>
      <c r="D31" s="104" t="s">
        <v>47</v>
      </c>
      <c r="E31" s="110" t="s">
        <v>47</v>
      </c>
      <c r="F31" s="111" t="s">
        <v>47</v>
      </c>
      <c r="G31" s="104" t="s">
        <v>47</v>
      </c>
      <c r="H31" s="105" t="s">
        <v>47</v>
      </c>
      <c r="I31" s="106" t="s">
        <v>47</v>
      </c>
      <c r="J31" s="112">
        <f>SUM(J32:J34)</f>
        <v>372</v>
      </c>
      <c r="K31" s="113">
        <f>SUM(K32:K34)</f>
        <v>0</v>
      </c>
      <c r="L31" s="114">
        <f t="shared" si="2"/>
        <v>372</v>
      </c>
      <c r="M31" s="107" t="s">
        <v>47</v>
      </c>
      <c r="N31" s="108" t="s">
        <v>47</v>
      </c>
      <c r="O31" s="106" t="s">
        <v>47</v>
      </c>
      <c r="P31" s="109"/>
      <c r="R31" s="53"/>
      <c r="S31" s="53"/>
      <c r="T31" s="53"/>
    </row>
    <row r="32" spans="1:20" hidden="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c r="R32" s="53"/>
      <c r="S32" s="53"/>
      <c r="T32" s="53"/>
    </row>
    <row r="33" spans="1:20" x14ac:dyDescent="0.25">
      <c r="A33" s="781">
        <v>21352</v>
      </c>
      <c r="B33" s="266" t="s">
        <v>52</v>
      </c>
      <c r="C33" s="267">
        <f t="shared" si="1"/>
        <v>372</v>
      </c>
      <c r="D33" s="782" t="s">
        <v>47</v>
      </c>
      <c r="E33" s="783" t="s">
        <v>47</v>
      </c>
      <c r="F33" s="784" t="s">
        <v>47</v>
      </c>
      <c r="G33" s="782" t="s">
        <v>47</v>
      </c>
      <c r="H33" s="785" t="s">
        <v>47</v>
      </c>
      <c r="I33" s="786" t="s">
        <v>47</v>
      </c>
      <c r="J33" s="268">
        <v>372</v>
      </c>
      <c r="K33" s="271"/>
      <c r="L33" s="272">
        <f t="shared" si="2"/>
        <v>372</v>
      </c>
      <c r="M33" s="787" t="s">
        <v>47</v>
      </c>
      <c r="N33" s="788" t="s">
        <v>47</v>
      </c>
      <c r="O33" s="786" t="s">
        <v>47</v>
      </c>
      <c r="P33" s="275"/>
      <c r="R33" s="53"/>
      <c r="S33" s="53"/>
      <c r="T33" s="53"/>
    </row>
    <row r="34" spans="1:20" ht="24" hidden="1" x14ac:dyDescent="0.25">
      <c r="A34" s="75">
        <v>21359</v>
      </c>
      <c r="B34" s="127" t="s">
        <v>53</v>
      </c>
      <c r="C34" s="128">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c r="R34" s="53"/>
      <c r="S34" s="53"/>
      <c r="T34" s="53"/>
    </row>
    <row r="35" spans="1:20" s="41" customFormat="1" ht="36" hidden="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c r="R35" s="53"/>
      <c r="S35" s="53"/>
      <c r="T35" s="53"/>
    </row>
    <row r="36" spans="1:20" ht="36" hidden="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c r="R36" s="53"/>
      <c r="S36" s="53"/>
      <c r="T36" s="53"/>
    </row>
    <row r="37" spans="1:20" s="41" customFormat="1" x14ac:dyDescent="0.25">
      <c r="A37" s="115">
        <v>21380</v>
      </c>
      <c r="B37" s="99" t="s">
        <v>56</v>
      </c>
      <c r="C37" s="100">
        <f t="shared" si="1"/>
        <v>350</v>
      </c>
      <c r="D37" s="104" t="s">
        <v>47</v>
      </c>
      <c r="E37" s="110" t="s">
        <v>47</v>
      </c>
      <c r="F37" s="111" t="s">
        <v>47</v>
      </c>
      <c r="G37" s="104" t="s">
        <v>47</v>
      </c>
      <c r="H37" s="105" t="s">
        <v>47</v>
      </c>
      <c r="I37" s="106" t="s">
        <v>47</v>
      </c>
      <c r="J37" s="112">
        <f>SUM(J38:J39)</f>
        <v>350</v>
      </c>
      <c r="K37" s="113">
        <f>SUM(K38:K39)</f>
        <v>0</v>
      </c>
      <c r="L37" s="114">
        <f t="shared" si="2"/>
        <v>350</v>
      </c>
      <c r="M37" s="107" t="s">
        <v>47</v>
      </c>
      <c r="N37" s="108" t="s">
        <v>47</v>
      </c>
      <c r="O37" s="106" t="s">
        <v>47</v>
      </c>
      <c r="P37" s="109"/>
      <c r="R37" s="53"/>
      <c r="S37" s="53"/>
      <c r="T37" s="53"/>
    </row>
    <row r="38" spans="1:20" x14ac:dyDescent="0.25">
      <c r="A38" s="66">
        <v>21381</v>
      </c>
      <c r="B38" s="116" t="s">
        <v>57</v>
      </c>
      <c r="C38" s="117">
        <f t="shared" si="1"/>
        <v>350</v>
      </c>
      <c r="D38" s="118" t="s">
        <v>47</v>
      </c>
      <c r="E38" s="154" t="s">
        <v>47</v>
      </c>
      <c r="F38" s="155" t="s">
        <v>47</v>
      </c>
      <c r="G38" s="118" t="s">
        <v>47</v>
      </c>
      <c r="H38" s="121" t="s">
        <v>47</v>
      </c>
      <c r="I38" s="122" t="s">
        <v>47</v>
      </c>
      <c r="J38" s="123">
        <v>350</v>
      </c>
      <c r="K38" s="124"/>
      <c r="L38" s="125">
        <f t="shared" si="2"/>
        <v>350</v>
      </c>
      <c r="M38" s="126" t="s">
        <v>47</v>
      </c>
      <c r="N38" s="119" t="s">
        <v>47</v>
      </c>
      <c r="O38" s="122" t="s">
        <v>47</v>
      </c>
      <c r="P38" s="74"/>
      <c r="R38" s="53"/>
      <c r="S38" s="53"/>
      <c r="T38" s="53"/>
    </row>
    <row r="39" spans="1:20" ht="24" hidden="1" x14ac:dyDescent="0.25">
      <c r="A39" s="76">
        <v>21383</v>
      </c>
      <c r="B39" s="127" t="s">
        <v>58</v>
      </c>
      <c r="C39" s="128">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c r="R39" s="53"/>
      <c r="S39" s="53"/>
      <c r="T39" s="53"/>
    </row>
    <row r="40" spans="1:20" s="41" customFormat="1" ht="24" x14ac:dyDescent="0.25">
      <c r="A40" s="115">
        <v>21390</v>
      </c>
      <c r="B40" s="99" t="s">
        <v>59</v>
      </c>
      <c r="C40" s="100">
        <f t="shared" si="1"/>
        <v>3683</v>
      </c>
      <c r="D40" s="104" t="s">
        <v>47</v>
      </c>
      <c r="E40" s="110" t="s">
        <v>47</v>
      </c>
      <c r="F40" s="111" t="s">
        <v>47</v>
      </c>
      <c r="G40" s="104" t="s">
        <v>47</v>
      </c>
      <c r="H40" s="105" t="s">
        <v>47</v>
      </c>
      <c r="I40" s="106" t="s">
        <v>47</v>
      </c>
      <c r="J40" s="112">
        <f>SUM(J41:J44)</f>
        <v>3683</v>
      </c>
      <c r="K40" s="113">
        <f>SUM(K41:K44)</f>
        <v>0</v>
      </c>
      <c r="L40" s="114">
        <f t="shared" si="2"/>
        <v>3683</v>
      </c>
      <c r="M40" s="107" t="s">
        <v>47</v>
      </c>
      <c r="N40" s="108" t="s">
        <v>47</v>
      </c>
      <c r="O40" s="106" t="s">
        <v>47</v>
      </c>
      <c r="P40" s="109"/>
      <c r="R40" s="53"/>
      <c r="S40" s="53"/>
      <c r="T40" s="53"/>
    </row>
    <row r="41" spans="1:20" ht="24" hidden="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c r="R41" s="53"/>
      <c r="S41" s="53"/>
      <c r="T41" s="53"/>
    </row>
    <row r="42" spans="1:20" hidden="1" x14ac:dyDescent="0.25">
      <c r="A42" s="76">
        <v>21393</v>
      </c>
      <c r="B42" s="127" t="s">
        <v>61</v>
      </c>
      <c r="C42" s="128">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c r="R42" s="53"/>
      <c r="S42" s="53"/>
      <c r="T42" s="53"/>
    </row>
    <row r="43" spans="1:20" hidden="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c r="R43" s="53"/>
      <c r="S43" s="53"/>
      <c r="T43" s="53"/>
    </row>
    <row r="44" spans="1:20" ht="24" x14ac:dyDescent="0.25">
      <c r="A44" s="76">
        <v>21399</v>
      </c>
      <c r="B44" s="127" t="s">
        <v>63</v>
      </c>
      <c r="C44" s="128">
        <f t="shared" si="1"/>
        <v>3683</v>
      </c>
      <c r="D44" s="129" t="s">
        <v>47</v>
      </c>
      <c r="E44" s="130" t="s">
        <v>47</v>
      </c>
      <c r="F44" s="131" t="s">
        <v>47</v>
      </c>
      <c r="G44" s="129" t="s">
        <v>47</v>
      </c>
      <c r="H44" s="132" t="s">
        <v>47</v>
      </c>
      <c r="I44" s="133" t="s">
        <v>47</v>
      </c>
      <c r="J44" s="134">
        <v>3683</v>
      </c>
      <c r="K44" s="135"/>
      <c r="L44" s="136">
        <f t="shared" si="2"/>
        <v>3683</v>
      </c>
      <c r="M44" s="137" t="s">
        <v>47</v>
      </c>
      <c r="N44" s="138" t="s">
        <v>47</v>
      </c>
      <c r="O44" s="133" t="s">
        <v>47</v>
      </c>
      <c r="P44" s="85"/>
      <c r="R44" s="53"/>
      <c r="S44" s="53"/>
      <c r="T44" s="53"/>
    </row>
    <row r="45" spans="1:20" s="41" customFormat="1" ht="24" hidden="1" x14ac:dyDescent="0.25">
      <c r="A45" s="115">
        <v>21420</v>
      </c>
      <c r="B45" s="99" t="s">
        <v>64</v>
      </c>
      <c r="C45" s="156">
        <f>F45</f>
        <v>0</v>
      </c>
      <c r="D45" s="157"/>
      <c r="E45" s="158"/>
      <c r="F45" s="103">
        <f>D45+E45</f>
        <v>0</v>
      </c>
      <c r="G45" s="104" t="s">
        <v>47</v>
      </c>
      <c r="H45" s="105" t="s">
        <v>47</v>
      </c>
      <c r="I45" s="106" t="s">
        <v>47</v>
      </c>
      <c r="J45" s="104" t="s">
        <v>47</v>
      </c>
      <c r="K45" s="105" t="s">
        <v>47</v>
      </c>
      <c r="L45" s="106" t="s">
        <v>47</v>
      </c>
      <c r="M45" s="107" t="s">
        <v>47</v>
      </c>
      <c r="N45" s="108" t="s">
        <v>47</v>
      </c>
      <c r="O45" s="106" t="s">
        <v>47</v>
      </c>
      <c r="P45" s="109"/>
      <c r="R45" s="53"/>
      <c r="S45" s="53"/>
      <c r="T45" s="53"/>
    </row>
    <row r="46" spans="1:20" s="41" customFormat="1" ht="24" hidden="1" x14ac:dyDescent="0.25">
      <c r="A46" s="159">
        <v>21490</v>
      </c>
      <c r="B46" s="160" t="s">
        <v>65</v>
      </c>
      <c r="C46" s="156">
        <f>F46+I46+L46</f>
        <v>0</v>
      </c>
      <c r="D46" s="161">
        <f>D47</f>
        <v>0</v>
      </c>
      <c r="E46" s="162">
        <f>E47</f>
        <v>0</v>
      </c>
      <c r="F46" s="163">
        <f>D46+E46</f>
        <v>0</v>
      </c>
      <c r="G46" s="161">
        <f>G47</f>
        <v>0</v>
      </c>
      <c r="H46" s="164">
        <f t="shared" ref="H46:K46" si="3">H47</f>
        <v>0</v>
      </c>
      <c r="I46" s="165">
        <f>G46+H46</f>
        <v>0</v>
      </c>
      <c r="J46" s="161">
        <f>J47</f>
        <v>0</v>
      </c>
      <c r="K46" s="164">
        <f t="shared" si="3"/>
        <v>0</v>
      </c>
      <c r="L46" s="165">
        <f>J46+K46</f>
        <v>0</v>
      </c>
      <c r="M46" s="107" t="s">
        <v>47</v>
      </c>
      <c r="N46" s="108" t="s">
        <v>47</v>
      </c>
      <c r="O46" s="106" t="s">
        <v>47</v>
      </c>
      <c r="P46" s="109"/>
      <c r="R46" s="53"/>
      <c r="S46" s="53"/>
      <c r="T46" s="53"/>
    </row>
    <row r="47" spans="1:20" s="41" customFormat="1" ht="24" hidden="1" x14ac:dyDescent="0.25">
      <c r="A47" s="76">
        <v>21499</v>
      </c>
      <c r="B47" s="127" t="s">
        <v>66</v>
      </c>
      <c r="C47" s="166">
        <f>F47+I47+L47</f>
        <v>0</v>
      </c>
      <c r="D47" s="68"/>
      <c r="E47" s="69"/>
      <c r="F47" s="70">
        <f>D47+E47</f>
        <v>0</v>
      </c>
      <c r="G47" s="167"/>
      <c r="H47" s="71"/>
      <c r="I47" s="72">
        <f>G47+H47</f>
        <v>0</v>
      </c>
      <c r="J47" s="68"/>
      <c r="K47" s="71"/>
      <c r="L47" s="72">
        <f>J47+K47</f>
        <v>0</v>
      </c>
      <c r="M47" s="152" t="s">
        <v>47</v>
      </c>
      <c r="N47" s="145" t="s">
        <v>47</v>
      </c>
      <c r="O47" s="148" t="s">
        <v>47</v>
      </c>
      <c r="P47" s="153"/>
      <c r="R47" s="53"/>
      <c r="S47" s="53"/>
      <c r="T47" s="53"/>
    </row>
    <row r="48" spans="1:20" ht="24" hidden="1" x14ac:dyDescent="0.25">
      <c r="A48" s="168">
        <v>23000</v>
      </c>
      <c r="B48" s="169" t="s">
        <v>67</v>
      </c>
      <c r="C48" s="156">
        <f>O48</f>
        <v>0</v>
      </c>
      <c r="D48" s="170" t="s">
        <v>47</v>
      </c>
      <c r="E48" s="171" t="s">
        <v>47</v>
      </c>
      <c r="F48" s="172" t="s">
        <v>47</v>
      </c>
      <c r="G48" s="170" t="s">
        <v>47</v>
      </c>
      <c r="H48" s="173" t="s">
        <v>47</v>
      </c>
      <c r="I48" s="174" t="s">
        <v>47</v>
      </c>
      <c r="J48" s="170" t="s">
        <v>47</v>
      </c>
      <c r="K48" s="173" t="s">
        <v>47</v>
      </c>
      <c r="L48" s="174" t="s">
        <v>47</v>
      </c>
      <c r="M48" s="175">
        <f>SUM(M49:M50)</f>
        <v>0</v>
      </c>
      <c r="N48" s="176">
        <f>SUM(N49:N50)</f>
        <v>0</v>
      </c>
      <c r="O48" s="177">
        <f>M48+N48</f>
        <v>0</v>
      </c>
      <c r="P48" s="109"/>
      <c r="R48" s="53"/>
      <c r="S48" s="53"/>
      <c r="T48" s="53"/>
    </row>
    <row r="49" spans="1:20" ht="24" hidden="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c r="R49" s="53"/>
      <c r="S49" s="53"/>
      <c r="T49" s="53"/>
    </row>
    <row r="50" spans="1:20" ht="24" hidden="1" x14ac:dyDescent="0.25">
      <c r="A50" s="178">
        <v>23510</v>
      </c>
      <c r="B50" s="179" t="s">
        <v>69</v>
      </c>
      <c r="C50" s="180">
        <f>O50</f>
        <v>0</v>
      </c>
      <c r="D50" s="181" t="s">
        <v>47</v>
      </c>
      <c r="E50" s="182" t="s">
        <v>47</v>
      </c>
      <c r="F50" s="183" t="s">
        <v>47</v>
      </c>
      <c r="G50" s="181" t="s">
        <v>47</v>
      </c>
      <c r="H50" s="184" t="s">
        <v>47</v>
      </c>
      <c r="I50" s="185" t="s">
        <v>47</v>
      </c>
      <c r="J50" s="181" t="s">
        <v>47</v>
      </c>
      <c r="K50" s="184" t="s">
        <v>47</v>
      </c>
      <c r="L50" s="185" t="s">
        <v>47</v>
      </c>
      <c r="M50" s="186"/>
      <c r="N50" s="187"/>
      <c r="O50" s="188">
        <f>M50+N50</f>
        <v>0</v>
      </c>
      <c r="P50" s="189"/>
      <c r="R50" s="53"/>
      <c r="S50" s="53"/>
      <c r="T50" s="53"/>
    </row>
    <row r="51" spans="1:20" x14ac:dyDescent="0.25">
      <c r="A51" s="190"/>
      <c r="B51" s="179"/>
      <c r="C51" s="191"/>
      <c r="D51" s="192"/>
      <c r="E51" s="193"/>
      <c r="F51" s="194"/>
      <c r="G51" s="192"/>
      <c r="H51" s="195"/>
      <c r="I51" s="185"/>
      <c r="J51" s="196"/>
      <c r="K51" s="197"/>
      <c r="L51" s="188"/>
      <c r="M51" s="186"/>
      <c r="N51" s="187"/>
      <c r="O51" s="188"/>
      <c r="P51" s="189"/>
      <c r="R51" s="53"/>
      <c r="S51" s="53"/>
      <c r="T51" s="53"/>
    </row>
    <row r="52" spans="1:20" s="41" customFormat="1" x14ac:dyDescent="0.25">
      <c r="A52" s="198"/>
      <c r="B52" s="199" t="s">
        <v>70</v>
      </c>
      <c r="C52" s="200"/>
      <c r="D52" s="201"/>
      <c r="E52" s="202"/>
      <c r="F52" s="203"/>
      <c r="G52" s="201"/>
      <c r="H52" s="204"/>
      <c r="I52" s="205"/>
      <c r="J52" s="201"/>
      <c r="K52" s="204"/>
      <c r="L52" s="205"/>
      <c r="M52" s="206"/>
      <c r="N52" s="207"/>
      <c r="O52" s="205"/>
      <c r="P52" s="208"/>
      <c r="R52" s="53"/>
      <c r="S52" s="53"/>
      <c r="T52" s="53"/>
    </row>
    <row r="53" spans="1:20" s="41" customFormat="1" ht="12.75" thickBot="1" x14ac:dyDescent="0.3">
      <c r="A53" s="209"/>
      <c r="B53" s="42" t="s">
        <v>71</v>
      </c>
      <c r="C53" s="210">
        <f t="shared" ref="C53:C116" si="4">F53+I53+L53+O53</f>
        <v>558600</v>
      </c>
      <c r="D53" s="211">
        <f>SUM(D54,D284)</f>
        <v>510798</v>
      </c>
      <c r="E53" s="212">
        <f>SUM(E54,E284)</f>
        <v>0</v>
      </c>
      <c r="F53" s="213">
        <f t="shared" ref="F53:F117" si="5">D53+E53</f>
        <v>510798</v>
      </c>
      <c r="G53" s="211">
        <f>SUM(G54,G284)</f>
        <v>42256</v>
      </c>
      <c r="H53" s="214">
        <f>SUM(H54,H284)</f>
        <v>0</v>
      </c>
      <c r="I53" s="215">
        <f t="shared" ref="I53:I117" si="6">G53+H53</f>
        <v>42256</v>
      </c>
      <c r="J53" s="211">
        <f>SUM(J54,J284)</f>
        <v>5546</v>
      </c>
      <c r="K53" s="214">
        <f>SUM(K54,K284)</f>
        <v>0</v>
      </c>
      <c r="L53" s="215">
        <f t="shared" ref="L53:L117" si="7">J53+K53</f>
        <v>5546</v>
      </c>
      <c r="M53" s="216">
        <f>SUM(M54,M284)</f>
        <v>0</v>
      </c>
      <c r="N53" s="217">
        <f>SUM(N54,N284)</f>
        <v>0</v>
      </c>
      <c r="O53" s="215">
        <f t="shared" ref="O53:O117" si="8">M53+N53</f>
        <v>0</v>
      </c>
      <c r="P53" s="52"/>
      <c r="R53" s="53"/>
      <c r="S53" s="53"/>
      <c r="T53" s="53"/>
    </row>
    <row r="54" spans="1:20" s="41" customFormat="1" ht="36.75" thickTop="1" x14ac:dyDescent="0.25">
      <c r="A54" s="218"/>
      <c r="B54" s="219" t="s">
        <v>72</v>
      </c>
      <c r="C54" s="220">
        <f t="shared" si="4"/>
        <v>558317</v>
      </c>
      <c r="D54" s="221">
        <f>SUM(D55,D197)</f>
        <v>510798</v>
      </c>
      <c r="E54" s="222">
        <f>SUM(E55,E197)</f>
        <v>0</v>
      </c>
      <c r="F54" s="223">
        <f t="shared" si="5"/>
        <v>510798</v>
      </c>
      <c r="G54" s="221">
        <f>SUM(G55,G197)</f>
        <v>42256</v>
      </c>
      <c r="H54" s="224">
        <f>SUM(H55,H197)</f>
        <v>0</v>
      </c>
      <c r="I54" s="225">
        <f t="shared" si="6"/>
        <v>42256</v>
      </c>
      <c r="J54" s="221">
        <f>SUM(J55,J197)</f>
        <v>5263</v>
      </c>
      <c r="K54" s="224">
        <f>SUM(K55,K197)</f>
        <v>0</v>
      </c>
      <c r="L54" s="225">
        <f t="shared" si="7"/>
        <v>5263</v>
      </c>
      <c r="M54" s="226">
        <f>SUM(M55,M197)</f>
        <v>0</v>
      </c>
      <c r="N54" s="227">
        <f>SUM(N55,N197)</f>
        <v>0</v>
      </c>
      <c r="O54" s="225">
        <f t="shared" si="8"/>
        <v>0</v>
      </c>
      <c r="P54" s="228"/>
      <c r="R54" s="53"/>
      <c r="S54" s="53"/>
      <c r="T54" s="53"/>
    </row>
    <row r="55" spans="1:20" s="41" customFormat="1" ht="24" x14ac:dyDescent="0.25">
      <c r="A55" s="35"/>
      <c r="B55" s="30" t="s">
        <v>73</v>
      </c>
      <c r="C55" s="229">
        <f t="shared" si="4"/>
        <v>555718</v>
      </c>
      <c r="D55" s="230">
        <f>SUM(D56,D78,D176,D190)</f>
        <v>508354</v>
      </c>
      <c r="E55" s="231">
        <f>SUM(E56,E78,E176,E190)</f>
        <v>0</v>
      </c>
      <c r="F55" s="232">
        <f t="shared" si="5"/>
        <v>508354</v>
      </c>
      <c r="G55" s="230">
        <f>SUM(G56,G78,G176,G190)</f>
        <v>42256</v>
      </c>
      <c r="H55" s="233">
        <f>SUM(H56,H78,H176,H190)</f>
        <v>0</v>
      </c>
      <c r="I55" s="234">
        <f t="shared" si="6"/>
        <v>42256</v>
      </c>
      <c r="J55" s="230">
        <f>SUM(J56,J78,J176,J190)</f>
        <v>5108</v>
      </c>
      <c r="K55" s="233">
        <f>SUM(K56,K78,K176,K190)</f>
        <v>0</v>
      </c>
      <c r="L55" s="234">
        <f t="shared" si="7"/>
        <v>5108</v>
      </c>
      <c r="M55" s="53">
        <f>SUM(M56,M78,M176,M190)</f>
        <v>0</v>
      </c>
      <c r="N55" s="235">
        <f>SUM(N56,N78,N176,N190)</f>
        <v>0</v>
      </c>
      <c r="O55" s="234">
        <f t="shared" si="8"/>
        <v>0</v>
      </c>
      <c r="P55" s="236"/>
      <c r="R55" s="53"/>
      <c r="S55" s="53"/>
      <c r="T55" s="53"/>
    </row>
    <row r="56" spans="1:20" s="41" customFormat="1" x14ac:dyDescent="0.25">
      <c r="A56" s="237">
        <v>1000</v>
      </c>
      <c r="B56" s="237" t="s">
        <v>74</v>
      </c>
      <c r="C56" s="238">
        <f t="shared" si="4"/>
        <v>480036</v>
      </c>
      <c r="D56" s="239">
        <f>SUM(D57,D70)</f>
        <v>439105</v>
      </c>
      <c r="E56" s="240">
        <f>SUM(E57,E70)</f>
        <v>0</v>
      </c>
      <c r="F56" s="241">
        <f t="shared" si="5"/>
        <v>439105</v>
      </c>
      <c r="G56" s="239">
        <f>SUM(G57,G70)</f>
        <v>40931</v>
      </c>
      <c r="H56" s="242">
        <f>SUM(H57,H70)</f>
        <v>0</v>
      </c>
      <c r="I56" s="243">
        <f t="shared" si="6"/>
        <v>40931</v>
      </c>
      <c r="J56" s="239">
        <f>SUM(J57,J70)</f>
        <v>0</v>
      </c>
      <c r="K56" s="242">
        <f>SUM(K57,K70)</f>
        <v>0</v>
      </c>
      <c r="L56" s="243">
        <f t="shared" si="7"/>
        <v>0</v>
      </c>
      <c r="M56" s="244">
        <f>SUM(M57,M70)</f>
        <v>0</v>
      </c>
      <c r="N56" s="245">
        <f>SUM(N57,N70)</f>
        <v>0</v>
      </c>
      <c r="O56" s="243">
        <f t="shared" si="8"/>
        <v>0</v>
      </c>
      <c r="P56" s="246"/>
      <c r="R56" s="53"/>
      <c r="S56" s="53"/>
      <c r="T56" s="53"/>
    </row>
    <row r="57" spans="1:20" x14ac:dyDescent="0.25">
      <c r="A57" s="99">
        <v>1100</v>
      </c>
      <c r="B57" s="247" t="s">
        <v>75</v>
      </c>
      <c r="C57" s="100">
        <f t="shared" si="4"/>
        <v>364185</v>
      </c>
      <c r="D57" s="112">
        <f>SUM(D58,D61,D69)</f>
        <v>332258</v>
      </c>
      <c r="E57" s="248">
        <f>SUM(E58,E61,E69)</f>
        <v>0</v>
      </c>
      <c r="F57" s="249">
        <f t="shared" si="5"/>
        <v>332258</v>
      </c>
      <c r="G57" s="112">
        <f>SUM(G58,G61,G69)</f>
        <v>32812</v>
      </c>
      <c r="H57" s="113">
        <f>SUM(H58,H61,H69)</f>
        <v>-885</v>
      </c>
      <c r="I57" s="114">
        <f t="shared" si="6"/>
        <v>31927</v>
      </c>
      <c r="J57" s="112">
        <f>SUM(J58,J61,J69)</f>
        <v>0</v>
      </c>
      <c r="K57" s="113">
        <f>SUM(K58,K61,K69)</f>
        <v>0</v>
      </c>
      <c r="L57" s="114">
        <f t="shared" si="7"/>
        <v>0</v>
      </c>
      <c r="M57" s="250">
        <f>SUM(M58,M61,M69)</f>
        <v>0</v>
      </c>
      <c r="N57" s="251">
        <f>SUM(N58,N61,N69)</f>
        <v>0</v>
      </c>
      <c r="O57" s="252">
        <f t="shared" si="8"/>
        <v>0</v>
      </c>
      <c r="P57" s="253"/>
      <c r="R57" s="53"/>
      <c r="S57" s="53"/>
      <c r="T57" s="53"/>
    </row>
    <row r="58" spans="1:20" x14ac:dyDescent="0.25">
      <c r="A58" s="254">
        <v>1110</v>
      </c>
      <c r="B58" s="179" t="s">
        <v>76</v>
      </c>
      <c r="C58" s="191">
        <f t="shared" si="4"/>
        <v>325734</v>
      </c>
      <c r="D58" s="255">
        <f>SUM(D59:D60)</f>
        <v>295215</v>
      </c>
      <c r="E58" s="256">
        <f>SUM(E59:E60)</f>
        <v>0</v>
      </c>
      <c r="F58" s="257">
        <f t="shared" si="5"/>
        <v>295215</v>
      </c>
      <c r="G58" s="255">
        <f>SUM(G59:G60)</f>
        <v>30732</v>
      </c>
      <c r="H58" s="258">
        <f>SUM(H59:H60)</f>
        <v>-213</v>
      </c>
      <c r="I58" s="259">
        <f t="shared" si="6"/>
        <v>30519</v>
      </c>
      <c r="J58" s="255">
        <f>SUM(J59:J60)</f>
        <v>0</v>
      </c>
      <c r="K58" s="258">
        <f>SUM(K59:K60)</f>
        <v>0</v>
      </c>
      <c r="L58" s="259">
        <f t="shared" si="7"/>
        <v>0</v>
      </c>
      <c r="M58" s="260">
        <f>SUM(M59:M60)</f>
        <v>0</v>
      </c>
      <c r="N58" s="261">
        <f>SUM(N59:N60)</f>
        <v>0</v>
      </c>
      <c r="O58" s="259">
        <f t="shared" si="8"/>
        <v>0</v>
      </c>
      <c r="P58" s="189"/>
      <c r="R58" s="53"/>
      <c r="S58" s="53"/>
      <c r="T58" s="53"/>
    </row>
    <row r="59" spans="1:20" hidden="1" x14ac:dyDescent="0.25">
      <c r="A59" s="66">
        <v>1111</v>
      </c>
      <c r="B59" s="116" t="s">
        <v>77</v>
      </c>
      <c r="C59" s="117">
        <f t="shared" si="4"/>
        <v>0</v>
      </c>
      <c r="D59" s="123"/>
      <c r="E59" s="262"/>
      <c r="F59" s="263">
        <f t="shared" si="5"/>
        <v>0</v>
      </c>
      <c r="G59" s="123"/>
      <c r="H59" s="124"/>
      <c r="I59" s="125">
        <f t="shared" si="6"/>
        <v>0</v>
      </c>
      <c r="J59" s="123"/>
      <c r="K59" s="124"/>
      <c r="L59" s="125">
        <f t="shared" si="7"/>
        <v>0</v>
      </c>
      <c r="M59" s="264"/>
      <c r="N59" s="262"/>
      <c r="O59" s="125">
        <f t="shared" si="8"/>
        <v>0</v>
      </c>
      <c r="P59" s="74"/>
      <c r="R59" s="53"/>
      <c r="S59" s="53"/>
      <c r="T59" s="53"/>
    </row>
    <row r="60" spans="1:20" ht="24" x14ac:dyDescent="0.25">
      <c r="A60" s="76">
        <v>1119</v>
      </c>
      <c r="B60" s="127" t="s">
        <v>78</v>
      </c>
      <c r="C60" s="128">
        <f t="shared" si="4"/>
        <v>325734</v>
      </c>
      <c r="D60" s="134">
        <v>295215</v>
      </c>
      <c r="E60" s="283"/>
      <c r="F60" s="279">
        <f t="shared" si="5"/>
        <v>295215</v>
      </c>
      <c r="G60" s="134">
        <v>30732</v>
      </c>
      <c r="H60" s="135">
        <v>-213</v>
      </c>
      <c r="I60" s="136">
        <f t="shared" si="6"/>
        <v>30519</v>
      </c>
      <c r="J60" s="134"/>
      <c r="K60" s="135"/>
      <c r="L60" s="136">
        <f t="shared" si="7"/>
        <v>0</v>
      </c>
      <c r="M60" s="284"/>
      <c r="N60" s="285"/>
      <c r="O60" s="136">
        <f t="shared" si="8"/>
        <v>0</v>
      </c>
      <c r="P60" s="85" t="s">
        <v>550</v>
      </c>
      <c r="R60" s="53"/>
      <c r="S60" s="53"/>
      <c r="T60" s="53"/>
    </row>
    <row r="61" spans="1:20" ht="24" x14ac:dyDescent="0.25">
      <c r="A61" s="276">
        <v>1140</v>
      </c>
      <c r="B61" s="127" t="s">
        <v>79</v>
      </c>
      <c r="C61" s="128">
        <f t="shared" si="4"/>
        <v>36538</v>
      </c>
      <c r="D61" s="277">
        <f>SUM(D62:D68)</f>
        <v>35130</v>
      </c>
      <c r="E61" s="278">
        <f>SUM(E62:E68)</f>
        <v>0</v>
      </c>
      <c r="F61" s="279">
        <f>D61+E61</f>
        <v>35130</v>
      </c>
      <c r="G61" s="277">
        <f>SUM(G62:G68)</f>
        <v>2080</v>
      </c>
      <c r="H61" s="280">
        <f>SUM(H62:H68)</f>
        <v>-672</v>
      </c>
      <c r="I61" s="136">
        <f t="shared" si="6"/>
        <v>1408</v>
      </c>
      <c r="J61" s="277">
        <f>SUM(J62:J68)</f>
        <v>0</v>
      </c>
      <c r="K61" s="280">
        <f>SUM(K62:K68)</f>
        <v>0</v>
      </c>
      <c r="L61" s="136">
        <f t="shared" si="7"/>
        <v>0</v>
      </c>
      <c r="M61" s="281">
        <f>SUM(M62:M68)</f>
        <v>0</v>
      </c>
      <c r="N61" s="282">
        <f>SUM(N62:N68)</f>
        <v>0</v>
      </c>
      <c r="O61" s="136">
        <f t="shared" si="8"/>
        <v>0</v>
      </c>
      <c r="P61" s="85"/>
      <c r="R61" s="53"/>
      <c r="S61" s="53"/>
      <c r="T61" s="53"/>
    </row>
    <row r="62" spans="1:20" x14ac:dyDescent="0.25">
      <c r="A62" s="76">
        <v>1141</v>
      </c>
      <c r="B62" s="127" t="s">
        <v>80</v>
      </c>
      <c r="C62" s="128">
        <f t="shared" si="4"/>
        <v>3748</v>
      </c>
      <c r="D62" s="134">
        <v>3748</v>
      </c>
      <c r="E62" s="283"/>
      <c r="F62" s="279">
        <f t="shared" si="5"/>
        <v>3748</v>
      </c>
      <c r="G62" s="134"/>
      <c r="H62" s="135"/>
      <c r="I62" s="136">
        <f t="shared" si="6"/>
        <v>0</v>
      </c>
      <c r="J62" s="134"/>
      <c r="K62" s="135"/>
      <c r="L62" s="136">
        <f t="shared" si="7"/>
        <v>0</v>
      </c>
      <c r="M62" s="284"/>
      <c r="N62" s="285"/>
      <c r="O62" s="136">
        <f t="shared" si="8"/>
        <v>0</v>
      </c>
      <c r="P62" s="85"/>
      <c r="R62" s="53"/>
      <c r="S62" s="53"/>
      <c r="T62" s="53"/>
    </row>
    <row r="63" spans="1:20" ht="24" x14ac:dyDescent="0.25">
      <c r="A63" s="76">
        <v>1142</v>
      </c>
      <c r="B63" s="127" t="s">
        <v>81</v>
      </c>
      <c r="C63" s="128">
        <f t="shared" si="4"/>
        <v>922</v>
      </c>
      <c r="D63" s="134">
        <v>922</v>
      </c>
      <c r="E63" s="283"/>
      <c r="F63" s="279">
        <f t="shared" si="5"/>
        <v>922</v>
      </c>
      <c r="G63" s="134"/>
      <c r="H63" s="135"/>
      <c r="I63" s="136">
        <f t="shared" si="6"/>
        <v>0</v>
      </c>
      <c r="J63" s="134"/>
      <c r="K63" s="135"/>
      <c r="L63" s="136">
        <f t="shared" si="7"/>
        <v>0</v>
      </c>
      <c r="M63" s="284"/>
      <c r="N63" s="285"/>
      <c r="O63" s="136">
        <f t="shared" si="8"/>
        <v>0</v>
      </c>
      <c r="P63" s="85"/>
      <c r="R63" s="53"/>
      <c r="S63" s="53"/>
      <c r="T63" s="53"/>
    </row>
    <row r="64" spans="1:20" ht="24" hidden="1" x14ac:dyDescent="0.25">
      <c r="A64" s="76">
        <v>1145</v>
      </c>
      <c r="B64" s="127" t="s">
        <v>82</v>
      </c>
      <c r="C64" s="128">
        <f t="shared" si="4"/>
        <v>0</v>
      </c>
      <c r="D64" s="134"/>
      <c r="E64" s="285"/>
      <c r="F64" s="286">
        <f t="shared" si="5"/>
        <v>0</v>
      </c>
      <c r="G64" s="134"/>
      <c r="H64" s="135"/>
      <c r="I64" s="136">
        <f t="shared" si="6"/>
        <v>0</v>
      </c>
      <c r="J64" s="134"/>
      <c r="K64" s="135"/>
      <c r="L64" s="136">
        <f t="shared" si="7"/>
        <v>0</v>
      </c>
      <c r="M64" s="284"/>
      <c r="N64" s="285"/>
      <c r="O64" s="136">
        <f t="shared" si="8"/>
        <v>0</v>
      </c>
      <c r="P64" s="85"/>
      <c r="R64" s="53"/>
      <c r="S64" s="53"/>
      <c r="T64" s="53"/>
    </row>
    <row r="65" spans="1:20" ht="24" hidden="1" x14ac:dyDescent="0.25">
      <c r="A65" s="76">
        <v>1146</v>
      </c>
      <c r="B65" s="127" t="s">
        <v>83</v>
      </c>
      <c r="C65" s="128">
        <f t="shared" si="4"/>
        <v>0</v>
      </c>
      <c r="D65" s="134"/>
      <c r="E65" s="285"/>
      <c r="F65" s="286">
        <f t="shared" si="5"/>
        <v>0</v>
      </c>
      <c r="G65" s="134"/>
      <c r="H65" s="135"/>
      <c r="I65" s="136">
        <f t="shared" si="6"/>
        <v>0</v>
      </c>
      <c r="J65" s="134"/>
      <c r="K65" s="135"/>
      <c r="L65" s="136">
        <f t="shared" si="7"/>
        <v>0</v>
      </c>
      <c r="M65" s="284"/>
      <c r="N65" s="285"/>
      <c r="O65" s="136">
        <f t="shared" si="8"/>
        <v>0</v>
      </c>
      <c r="P65" s="85"/>
      <c r="R65" s="53"/>
      <c r="S65" s="53"/>
      <c r="T65" s="53"/>
    </row>
    <row r="66" spans="1:20" x14ac:dyDescent="0.25">
      <c r="A66" s="76">
        <v>1147</v>
      </c>
      <c r="B66" s="127" t="s">
        <v>84</v>
      </c>
      <c r="C66" s="128">
        <f t="shared" si="4"/>
        <v>3027</v>
      </c>
      <c r="D66" s="134">
        <v>3027</v>
      </c>
      <c r="E66" s="283"/>
      <c r="F66" s="279">
        <f t="shared" si="5"/>
        <v>3027</v>
      </c>
      <c r="G66" s="134"/>
      <c r="H66" s="135"/>
      <c r="I66" s="136">
        <f t="shared" si="6"/>
        <v>0</v>
      </c>
      <c r="J66" s="134"/>
      <c r="K66" s="135"/>
      <c r="L66" s="136">
        <f t="shared" si="7"/>
        <v>0</v>
      </c>
      <c r="M66" s="284"/>
      <c r="N66" s="285"/>
      <c r="O66" s="136">
        <f t="shared" si="8"/>
        <v>0</v>
      </c>
      <c r="P66" s="85"/>
      <c r="R66" s="53"/>
      <c r="S66" s="53"/>
      <c r="T66" s="53"/>
    </row>
    <row r="67" spans="1:20" x14ac:dyDescent="0.25">
      <c r="A67" s="76">
        <v>1148</v>
      </c>
      <c r="B67" s="127" t="s">
        <v>85</v>
      </c>
      <c r="C67" s="128">
        <f t="shared" si="4"/>
        <v>23300</v>
      </c>
      <c r="D67" s="134">
        <v>23300</v>
      </c>
      <c r="E67" s="283"/>
      <c r="F67" s="279">
        <f t="shared" si="5"/>
        <v>23300</v>
      </c>
      <c r="G67" s="134"/>
      <c r="H67" s="135"/>
      <c r="I67" s="136">
        <f t="shared" si="6"/>
        <v>0</v>
      </c>
      <c r="J67" s="134"/>
      <c r="K67" s="135"/>
      <c r="L67" s="136">
        <f t="shared" si="7"/>
        <v>0</v>
      </c>
      <c r="M67" s="284"/>
      <c r="N67" s="285"/>
      <c r="O67" s="136">
        <f t="shared" si="8"/>
        <v>0</v>
      </c>
      <c r="P67" s="85"/>
      <c r="R67" s="53"/>
      <c r="S67" s="53"/>
      <c r="T67" s="53"/>
    </row>
    <row r="68" spans="1:20" ht="24.75" customHeight="1" x14ac:dyDescent="0.25">
      <c r="A68" s="76">
        <v>1149</v>
      </c>
      <c r="B68" s="127" t="s">
        <v>86</v>
      </c>
      <c r="C68" s="128">
        <f t="shared" si="4"/>
        <v>5541</v>
      </c>
      <c r="D68" s="134">
        <v>4133</v>
      </c>
      <c r="E68" s="283"/>
      <c r="F68" s="279">
        <f t="shared" si="5"/>
        <v>4133</v>
      </c>
      <c r="G68" s="134">
        <v>2080</v>
      </c>
      <c r="H68" s="135">
        <v>-672</v>
      </c>
      <c r="I68" s="136">
        <f t="shared" si="6"/>
        <v>1408</v>
      </c>
      <c r="J68" s="134"/>
      <c r="K68" s="135"/>
      <c r="L68" s="136">
        <f t="shared" si="7"/>
        <v>0</v>
      </c>
      <c r="M68" s="284"/>
      <c r="N68" s="285"/>
      <c r="O68" s="136">
        <f t="shared" si="8"/>
        <v>0</v>
      </c>
      <c r="P68" s="85" t="s">
        <v>550</v>
      </c>
      <c r="R68" s="53"/>
      <c r="S68" s="53"/>
      <c r="T68" s="53"/>
    </row>
    <row r="69" spans="1:20" ht="36" x14ac:dyDescent="0.25">
      <c r="A69" s="254">
        <v>1150</v>
      </c>
      <c r="B69" s="179" t="s">
        <v>87</v>
      </c>
      <c r="C69" s="128">
        <f t="shared" si="4"/>
        <v>1913</v>
      </c>
      <c r="D69" s="287">
        <v>1913</v>
      </c>
      <c r="E69" s="288"/>
      <c r="F69" s="257">
        <f t="shared" si="5"/>
        <v>1913</v>
      </c>
      <c r="G69" s="287"/>
      <c r="H69" s="289"/>
      <c r="I69" s="259">
        <f t="shared" si="6"/>
        <v>0</v>
      </c>
      <c r="J69" s="287"/>
      <c r="K69" s="289"/>
      <c r="L69" s="259">
        <f t="shared" si="7"/>
        <v>0</v>
      </c>
      <c r="M69" s="290"/>
      <c r="N69" s="291"/>
      <c r="O69" s="259">
        <f t="shared" si="8"/>
        <v>0</v>
      </c>
      <c r="P69" s="189"/>
      <c r="R69" s="53"/>
      <c r="S69" s="53"/>
      <c r="T69" s="53"/>
    </row>
    <row r="70" spans="1:20" ht="36" x14ac:dyDescent="0.25">
      <c r="A70" s="99">
        <v>1200</v>
      </c>
      <c r="B70" s="247" t="s">
        <v>88</v>
      </c>
      <c r="C70" s="100">
        <f t="shared" si="4"/>
        <v>115851</v>
      </c>
      <c r="D70" s="112">
        <f>SUM(D71:D72)</f>
        <v>106847</v>
      </c>
      <c r="E70" s="248">
        <f>SUM(E71:E72)</f>
        <v>0</v>
      </c>
      <c r="F70" s="249">
        <f>D70+E70</f>
        <v>106847</v>
      </c>
      <c r="G70" s="112">
        <f>SUM(G71:G72)</f>
        <v>8119</v>
      </c>
      <c r="H70" s="113">
        <f>SUM(H71:H72)</f>
        <v>885</v>
      </c>
      <c r="I70" s="114">
        <f t="shared" si="6"/>
        <v>9004</v>
      </c>
      <c r="J70" s="112">
        <f>SUM(J71:J72)</f>
        <v>0</v>
      </c>
      <c r="K70" s="113">
        <f>SUM(K71:K72)</f>
        <v>0</v>
      </c>
      <c r="L70" s="114">
        <f t="shared" si="7"/>
        <v>0</v>
      </c>
      <c r="M70" s="292">
        <f>SUM(M71:M72)</f>
        <v>0</v>
      </c>
      <c r="N70" s="293">
        <f>SUM(N71:N72)</f>
        <v>0</v>
      </c>
      <c r="O70" s="114">
        <f t="shared" si="8"/>
        <v>0</v>
      </c>
      <c r="P70" s="109"/>
      <c r="R70" s="53"/>
      <c r="S70" s="53"/>
      <c r="T70" s="53"/>
    </row>
    <row r="71" spans="1:20" ht="24" x14ac:dyDescent="0.25">
      <c r="A71" s="656">
        <v>1210</v>
      </c>
      <c r="B71" s="116" t="s">
        <v>89</v>
      </c>
      <c r="C71" s="117">
        <f t="shared" si="4"/>
        <v>90768</v>
      </c>
      <c r="D71" s="123">
        <v>81923</v>
      </c>
      <c r="E71" s="295"/>
      <c r="F71" s="296">
        <f t="shared" si="5"/>
        <v>81923</v>
      </c>
      <c r="G71" s="123">
        <v>7719</v>
      </c>
      <c r="H71" s="124">
        <v>1126</v>
      </c>
      <c r="I71" s="125">
        <f t="shared" si="6"/>
        <v>8845</v>
      </c>
      <c r="J71" s="123"/>
      <c r="K71" s="124"/>
      <c r="L71" s="125">
        <f t="shared" si="7"/>
        <v>0</v>
      </c>
      <c r="M71" s="264"/>
      <c r="N71" s="262"/>
      <c r="O71" s="125">
        <f t="shared" si="8"/>
        <v>0</v>
      </c>
      <c r="P71" s="85" t="s">
        <v>1116</v>
      </c>
      <c r="R71" s="53"/>
      <c r="S71" s="53"/>
      <c r="T71" s="53"/>
    </row>
    <row r="72" spans="1:20" ht="24" x14ac:dyDescent="0.25">
      <c r="A72" s="276">
        <v>1220</v>
      </c>
      <c r="B72" s="127" t="s">
        <v>90</v>
      </c>
      <c r="C72" s="128">
        <f t="shared" si="4"/>
        <v>25083</v>
      </c>
      <c r="D72" s="277">
        <f>SUM(D73:D77)</f>
        <v>24924</v>
      </c>
      <c r="E72" s="278">
        <f>SUM(E73:E77)</f>
        <v>0</v>
      </c>
      <c r="F72" s="279">
        <f t="shared" si="5"/>
        <v>24924</v>
      </c>
      <c r="G72" s="277">
        <f>SUM(G73:G77)</f>
        <v>400</v>
      </c>
      <c r="H72" s="280">
        <f>SUM(H73:H77)</f>
        <v>-241</v>
      </c>
      <c r="I72" s="136">
        <f t="shared" si="6"/>
        <v>159</v>
      </c>
      <c r="J72" s="277">
        <f>SUM(J73:J77)</f>
        <v>0</v>
      </c>
      <c r="K72" s="280">
        <f>SUM(K73:K77)</f>
        <v>0</v>
      </c>
      <c r="L72" s="136">
        <f t="shared" si="7"/>
        <v>0</v>
      </c>
      <c r="M72" s="281">
        <f>SUM(M73:M77)</f>
        <v>0</v>
      </c>
      <c r="N72" s="282">
        <f>SUM(N73:N77)</f>
        <v>0</v>
      </c>
      <c r="O72" s="136">
        <f t="shared" si="8"/>
        <v>0</v>
      </c>
      <c r="P72" s="85"/>
      <c r="R72" s="53"/>
      <c r="S72" s="53"/>
      <c r="T72" s="53"/>
    </row>
    <row r="73" spans="1:20" ht="60" x14ac:dyDescent="0.25">
      <c r="A73" s="76">
        <v>1221</v>
      </c>
      <c r="B73" s="127" t="s">
        <v>91</v>
      </c>
      <c r="C73" s="128">
        <f t="shared" si="4"/>
        <v>14943</v>
      </c>
      <c r="D73" s="134">
        <v>14784</v>
      </c>
      <c r="E73" s="283"/>
      <c r="F73" s="279">
        <f t="shared" si="5"/>
        <v>14784</v>
      </c>
      <c r="G73" s="134">
        <v>400</v>
      </c>
      <c r="H73" s="135">
        <v>-241</v>
      </c>
      <c r="I73" s="136">
        <f t="shared" si="6"/>
        <v>159</v>
      </c>
      <c r="J73" s="134"/>
      <c r="K73" s="135"/>
      <c r="L73" s="136">
        <f t="shared" si="7"/>
        <v>0</v>
      </c>
      <c r="M73" s="284"/>
      <c r="N73" s="285"/>
      <c r="O73" s="136">
        <f t="shared" si="8"/>
        <v>0</v>
      </c>
      <c r="P73" s="85" t="s">
        <v>550</v>
      </c>
      <c r="R73" s="53"/>
      <c r="S73" s="53"/>
      <c r="T73" s="53"/>
    </row>
    <row r="74" spans="1:20" hidden="1" x14ac:dyDescent="0.25">
      <c r="A74" s="76">
        <v>1223</v>
      </c>
      <c r="B74" s="127" t="s">
        <v>92</v>
      </c>
      <c r="C74" s="128">
        <f t="shared" si="4"/>
        <v>0</v>
      </c>
      <c r="D74" s="134"/>
      <c r="E74" s="285"/>
      <c r="F74" s="286">
        <f t="shared" si="5"/>
        <v>0</v>
      </c>
      <c r="G74" s="134"/>
      <c r="H74" s="135"/>
      <c r="I74" s="136">
        <f t="shared" si="6"/>
        <v>0</v>
      </c>
      <c r="J74" s="134"/>
      <c r="K74" s="135"/>
      <c r="L74" s="136">
        <f t="shared" si="7"/>
        <v>0</v>
      </c>
      <c r="M74" s="284"/>
      <c r="N74" s="285"/>
      <c r="O74" s="136">
        <f t="shared" si="8"/>
        <v>0</v>
      </c>
      <c r="P74" s="85"/>
      <c r="R74" s="53"/>
      <c r="S74" s="53"/>
      <c r="T74" s="53"/>
    </row>
    <row r="75" spans="1:20" hidden="1" x14ac:dyDescent="0.25">
      <c r="A75" s="76">
        <v>1225</v>
      </c>
      <c r="B75" s="127" t="s">
        <v>93</v>
      </c>
      <c r="C75" s="128">
        <f t="shared" si="4"/>
        <v>0</v>
      </c>
      <c r="D75" s="134"/>
      <c r="E75" s="285"/>
      <c r="F75" s="286">
        <f t="shared" si="5"/>
        <v>0</v>
      </c>
      <c r="G75" s="134"/>
      <c r="H75" s="135"/>
      <c r="I75" s="136">
        <f t="shared" si="6"/>
        <v>0</v>
      </c>
      <c r="J75" s="134"/>
      <c r="K75" s="135"/>
      <c r="L75" s="136">
        <f t="shared" si="7"/>
        <v>0</v>
      </c>
      <c r="M75" s="284"/>
      <c r="N75" s="285"/>
      <c r="O75" s="136">
        <f t="shared" si="8"/>
        <v>0</v>
      </c>
      <c r="P75" s="85"/>
      <c r="R75" s="53"/>
      <c r="S75" s="53"/>
      <c r="T75" s="53"/>
    </row>
    <row r="76" spans="1:20" ht="36" x14ac:dyDescent="0.25">
      <c r="A76" s="76">
        <v>1227</v>
      </c>
      <c r="B76" s="127" t="s">
        <v>94</v>
      </c>
      <c r="C76" s="128">
        <f t="shared" si="4"/>
        <v>9712</v>
      </c>
      <c r="D76" s="134">
        <v>9712</v>
      </c>
      <c r="E76" s="283"/>
      <c r="F76" s="279">
        <f t="shared" si="5"/>
        <v>9712</v>
      </c>
      <c r="G76" s="134"/>
      <c r="H76" s="135"/>
      <c r="I76" s="136">
        <f t="shared" si="6"/>
        <v>0</v>
      </c>
      <c r="J76" s="134"/>
      <c r="K76" s="135"/>
      <c r="L76" s="136">
        <f t="shared" si="7"/>
        <v>0</v>
      </c>
      <c r="M76" s="284"/>
      <c r="N76" s="285"/>
      <c r="O76" s="136">
        <f t="shared" si="8"/>
        <v>0</v>
      </c>
      <c r="P76" s="85"/>
      <c r="R76" s="53"/>
      <c r="S76" s="53"/>
      <c r="T76" s="53"/>
    </row>
    <row r="77" spans="1:20" ht="60" x14ac:dyDescent="0.25">
      <c r="A77" s="76">
        <v>1228</v>
      </c>
      <c r="B77" s="127" t="s">
        <v>95</v>
      </c>
      <c r="C77" s="128">
        <f t="shared" si="4"/>
        <v>428</v>
      </c>
      <c r="D77" s="134">
        <v>428</v>
      </c>
      <c r="E77" s="283"/>
      <c r="F77" s="279">
        <f t="shared" si="5"/>
        <v>428</v>
      </c>
      <c r="G77" s="134"/>
      <c r="H77" s="135"/>
      <c r="I77" s="136">
        <f t="shared" si="6"/>
        <v>0</v>
      </c>
      <c r="J77" s="134"/>
      <c r="K77" s="135"/>
      <c r="L77" s="136">
        <f t="shared" si="7"/>
        <v>0</v>
      </c>
      <c r="M77" s="284"/>
      <c r="N77" s="285"/>
      <c r="O77" s="136">
        <f t="shared" si="8"/>
        <v>0</v>
      </c>
      <c r="P77" s="85"/>
      <c r="R77" s="53"/>
      <c r="S77" s="53"/>
      <c r="T77" s="53"/>
    </row>
    <row r="78" spans="1:20" x14ac:dyDescent="0.25">
      <c r="A78" s="237">
        <v>2000</v>
      </c>
      <c r="B78" s="237" t="s">
        <v>96</v>
      </c>
      <c r="C78" s="238">
        <f t="shared" si="4"/>
        <v>75682</v>
      </c>
      <c r="D78" s="239">
        <f>SUM(D79,D86,D133,D167,D168,D175)</f>
        <v>69249</v>
      </c>
      <c r="E78" s="240">
        <f>SUM(E79,E86,E133,E167,E168,E175)</f>
        <v>0</v>
      </c>
      <c r="F78" s="241">
        <f t="shared" si="5"/>
        <v>69249</v>
      </c>
      <c r="G78" s="239">
        <f>SUM(G79,G86,G133,G167,G168,G175)</f>
        <v>1325</v>
      </c>
      <c r="H78" s="242">
        <f>SUM(H79,H86,H133,H167,H168,H175)</f>
        <v>0</v>
      </c>
      <c r="I78" s="243">
        <f t="shared" si="6"/>
        <v>1325</v>
      </c>
      <c r="J78" s="239">
        <f>SUM(J79,J86,J133,J167,J168,J175)</f>
        <v>5108</v>
      </c>
      <c r="K78" s="242">
        <f>SUM(K79,K86,K133,K167,K168,K175)</f>
        <v>0</v>
      </c>
      <c r="L78" s="243">
        <f t="shared" si="7"/>
        <v>5108</v>
      </c>
      <c r="M78" s="244">
        <f>SUM(M79,M86,M133,M167,M168,M175)</f>
        <v>0</v>
      </c>
      <c r="N78" s="245">
        <f>SUM(N79,N86,N133,N167,N168,N175)</f>
        <v>0</v>
      </c>
      <c r="O78" s="243">
        <f t="shared" si="8"/>
        <v>0</v>
      </c>
      <c r="P78" s="246"/>
      <c r="R78" s="53"/>
      <c r="S78" s="53"/>
      <c r="T78" s="53"/>
    </row>
    <row r="79" spans="1:20" ht="24" x14ac:dyDescent="0.25">
      <c r="A79" s="99">
        <v>2100</v>
      </c>
      <c r="B79" s="247" t="s">
        <v>97</v>
      </c>
      <c r="C79" s="100">
        <f t="shared" si="4"/>
        <v>94</v>
      </c>
      <c r="D79" s="112">
        <f>SUM(D80,D83)</f>
        <v>94</v>
      </c>
      <c r="E79" s="248">
        <f>SUM(E80,E83)</f>
        <v>0</v>
      </c>
      <c r="F79" s="249">
        <f t="shared" si="5"/>
        <v>94</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c r="R79" s="53"/>
      <c r="S79" s="53"/>
      <c r="T79" s="53"/>
    </row>
    <row r="80" spans="1:20" ht="24" x14ac:dyDescent="0.25">
      <c r="A80" s="656">
        <v>2110</v>
      </c>
      <c r="B80" s="116" t="s">
        <v>98</v>
      </c>
      <c r="C80" s="117">
        <f t="shared" si="4"/>
        <v>94</v>
      </c>
      <c r="D80" s="297">
        <f>SUM(D81:D82)</f>
        <v>94</v>
      </c>
      <c r="E80" s="298">
        <f>SUM(E81:E82)</f>
        <v>0</v>
      </c>
      <c r="F80" s="296">
        <f t="shared" si="5"/>
        <v>94</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c r="R80" s="53"/>
      <c r="S80" s="53"/>
      <c r="T80" s="53"/>
    </row>
    <row r="81" spans="1:20" hidden="1" x14ac:dyDescent="0.25">
      <c r="A81" s="76">
        <v>2111</v>
      </c>
      <c r="B81" s="127" t="s">
        <v>99</v>
      </c>
      <c r="C81" s="128">
        <f t="shared" si="4"/>
        <v>0</v>
      </c>
      <c r="D81" s="134"/>
      <c r="E81" s="285"/>
      <c r="F81" s="286">
        <f t="shared" si="5"/>
        <v>0</v>
      </c>
      <c r="G81" s="134"/>
      <c r="H81" s="135"/>
      <c r="I81" s="136">
        <f t="shared" si="6"/>
        <v>0</v>
      </c>
      <c r="J81" s="134"/>
      <c r="K81" s="135"/>
      <c r="L81" s="136">
        <f t="shared" si="7"/>
        <v>0</v>
      </c>
      <c r="M81" s="284"/>
      <c r="N81" s="285"/>
      <c r="O81" s="136">
        <f t="shared" si="8"/>
        <v>0</v>
      </c>
      <c r="P81" s="85"/>
      <c r="R81" s="53"/>
      <c r="S81" s="53"/>
      <c r="T81" s="53"/>
    </row>
    <row r="82" spans="1:20" ht="24" x14ac:dyDescent="0.25">
      <c r="A82" s="265">
        <v>2112</v>
      </c>
      <c r="B82" s="266" t="s">
        <v>100</v>
      </c>
      <c r="C82" s="267">
        <f t="shared" si="4"/>
        <v>94</v>
      </c>
      <c r="D82" s="268">
        <v>94</v>
      </c>
      <c r="E82" s="269"/>
      <c r="F82" s="270">
        <f t="shared" si="5"/>
        <v>94</v>
      </c>
      <c r="G82" s="268"/>
      <c r="H82" s="271"/>
      <c r="I82" s="272">
        <f t="shared" si="6"/>
        <v>0</v>
      </c>
      <c r="J82" s="268"/>
      <c r="K82" s="271"/>
      <c r="L82" s="272">
        <f t="shared" si="7"/>
        <v>0</v>
      </c>
      <c r="M82" s="273"/>
      <c r="N82" s="274"/>
      <c r="O82" s="272">
        <f t="shared" si="8"/>
        <v>0</v>
      </c>
      <c r="P82" s="275"/>
      <c r="R82" s="53"/>
      <c r="S82" s="53"/>
      <c r="T82" s="53"/>
    </row>
    <row r="83" spans="1:20" ht="24" hidden="1" x14ac:dyDescent="0.25">
      <c r="A83" s="276">
        <v>2120</v>
      </c>
      <c r="B83" s="127" t="s">
        <v>101</v>
      </c>
      <c r="C83" s="128">
        <f t="shared" si="4"/>
        <v>0</v>
      </c>
      <c r="D83" s="277">
        <f>SUM(D84:D85)</f>
        <v>0</v>
      </c>
      <c r="E83" s="282">
        <f>SUM(E84:E85)</f>
        <v>0</v>
      </c>
      <c r="F83" s="28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c r="R83" s="53"/>
      <c r="S83" s="53"/>
      <c r="T83" s="53"/>
    </row>
    <row r="84" spans="1:20" hidden="1" x14ac:dyDescent="0.25">
      <c r="A84" s="76">
        <v>2121</v>
      </c>
      <c r="B84" s="127" t="s">
        <v>99</v>
      </c>
      <c r="C84" s="128">
        <f t="shared" si="4"/>
        <v>0</v>
      </c>
      <c r="D84" s="134"/>
      <c r="E84" s="285"/>
      <c r="F84" s="286">
        <f t="shared" si="5"/>
        <v>0</v>
      </c>
      <c r="G84" s="134"/>
      <c r="H84" s="135"/>
      <c r="I84" s="136">
        <f t="shared" si="6"/>
        <v>0</v>
      </c>
      <c r="J84" s="134"/>
      <c r="K84" s="135"/>
      <c r="L84" s="136">
        <f t="shared" si="7"/>
        <v>0</v>
      </c>
      <c r="M84" s="284"/>
      <c r="N84" s="285"/>
      <c r="O84" s="136">
        <f t="shared" si="8"/>
        <v>0</v>
      </c>
      <c r="P84" s="85"/>
      <c r="R84" s="53"/>
      <c r="S84" s="53"/>
      <c r="T84" s="53"/>
    </row>
    <row r="85" spans="1:20" ht="24" hidden="1" x14ac:dyDescent="0.25">
      <c r="A85" s="76">
        <v>2122</v>
      </c>
      <c r="B85" s="127" t="s">
        <v>100</v>
      </c>
      <c r="C85" s="128">
        <f t="shared" si="4"/>
        <v>0</v>
      </c>
      <c r="D85" s="134"/>
      <c r="E85" s="285"/>
      <c r="F85" s="286">
        <f t="shared" si="5"/>
        <v>0</v>
      </c>
      <c r="G85" s="134"/>
      <c r="H85" s="135"/>
      <c r="I85" s="136">
        <f t="shared" si="6"/>
        <v>0</v>
      </c>
      <c r="J85" s="134"/>
      <c r="K85" s="135"/>
      <c r="L85" s="136">
        <f t="shared" si="7"/>
        <v>0</v>
      </c>
      <c r="M85" s="284"/>
      <c r="N85" s="285"/>
      <c r="O85" s="136">
        <f t="shared" si="8"/>
        <v>0</v>
      </c>
      <c r="P85" s="85"/>
      <c r="R85" s="53"/>
      <c r="S85" s="53"/>
      <c r="T85" s="53"/>
    </row>
    <row r="86" spans="1:20" x14ac:dyDescent="0.25">
      <c r="A86" s="99">
        <v>2200</v>
      </c>
      <c r="B86" s="247" t="s">
        <v>102</v>
      </c>
      <c r="C86" s="302">
        <f t="shared" si="4"/>
        <v>51443</v>
      </c>
      <c r="D86" s="112">
        <f>SUM(D87,D92,D98,D106,D115,D119,D125,D131)</f>
        <v>50368</v>
      </c>
      <c r="E86" s="248">
        <f>SUM(E87,E92,E98,E106,E115,E119,E125,E131)</f>
        <v>0</v>
      </c>
      <c r="F86" s="249">
        <f t="shared" si="5"/>
        <v>50368</v>
      </c>
      <c r="G86" s="112">
        <f>SUM(G87,G92,G98,G106,G115,G119,G125,G131)</f>
        <v>0</v>
      </c>
      <c r="H86" s="113">
        <f>SUM(H87,H92,H98,H106,H115,H119,H125,H131)</f>
        <v>0</v>
      </c>
      <c r="I86" s="114">
        <f t="shared" si="6"/>
        <v>0</v>
      </c>
      <c r="J86" s="112">
        <f>SUM(J87,J92,J98,J106,J115,J119,J125,J131)</f>
        <v>1075</v>
      </c>
      <c r="K86" s="113">
        <f>SUM(K87,K92,K98,K106,K115,K119,K125,K131)</f>
        <v>0</v>
      </c>
      <c r="L86" s="114">
        <f t="shared" si="7"/>
        <v>1075</v>
      </c>
      <c r="M86" s="303">
        <f>SUM(M87,M92,M98,M106,M115,M119,M125,M131)</f>
        <v>0</v>
      </c>
      <c r="N86" s="304">
        <f>SUM(N87,N92,N98,N106,N115,N119,N125,N131)</f>
        <v>0</v>
      </c>
      <c r="O86" s="305">
        <f t="shared" si="8"/>
        <v>0</v>
      </c>
      <c r="P86" s="306"/>
      <c r="R86" s="53"/>
      <c r="S86" s="53"/>
      <c r="T86" s="53"/>
    </row>
    <row r="87" spans="1:20" ht="24" x14ac:dyDescent="0.25">
      <c r="A87" s="254">
        <v>2210</v>
      </c>
      <c r="B87" s="179" t="s">
        <v>103</v>
      </c>
      <c r="C87" s="191">
        <f t="shared" si="4"/>
        <v>1109</v>
      </c>
      <c r="D87" s="255">
        <f>SUM(D88:D91)</f>
        <v>1109</v>
      </c>
      <c r="E87" s="256">
        <f>SUM(E88:E91)</f>
        <v>0</v>
      </c>
      <c r="F87" s="257">
        <f t="shared" si="5"/>
        <v>1109</v>
      </c>
      <c r="G87" s="255">
        <f>SUM(G88:G91)</f>
        <v>0</v>
      </c>
      <c r="H87" s="258">
        <f>SUM(H88:H91)</f>
        <v>0</v>
      </c>
      <c r="I87" s="259">
        <f t="shared" si="6"/>
        <v>0</v>
      </c>
      <c r="J87" s="255">
        <f>SUM(J88:J91)</f>
        <v>0</v>
      </c>
      <c r="K87" s="258">
        <f>SUM(K88:K91)</f>
        <v>0</v>
      </c>
      <c r="L87" s="259">
        <f t="shared" si="7"/>
        <v>0</v>
      </c>
      <c r="M87" s="260">
        <f>SUM(M88:M91)</f>
        <v>0</v>
      </c>
      <c r="N87" s="261">
        <f>SUM(N88:N91)</f>
        <v>0</v>
      </c>
      <c r="O87" s="259">
        <f t="shared" si="8"/>
        <v>0</v>
      </c>
      <c r="P87" s="189"/>
      <c r="R87" s="53"/>
      <c r="S87" s="53"/>
      <c r="T87" s="53"/>
    </row>
    <row r="88" spans="1:20" ht="24" hidden="1" x14ac:dyDescent="0.25">
      <c r="A88" s="66">
        <v>2211</v>
      </c>
      <c r="B88" s="116" t="s">
        <v>104</v>
      </c>
      <c r="C88" s="128">
        <f t="shared" si="4"/>
        <v>0</v>
      </c>
      <c r="D88" s="123"/>
      <c r="E88" s="262"/>
      <c r="F88" s="263">
        <f t="shared" si="5"/>
        <v>0</v>
      </c>
      <c r="G88" s="123"/>
      <c r="H88" s="124"/>
      <c r="I88" s="125">
        <f t="shared" si="6"/>
        <v>0</v>
      </c>
      <c r="J88" s="123"/>
      <c r="K88" s="124"/>
      <c r="L88" s="125">
        <f t="shared" si="7"/>
        <v>0</v>
      </c>
      <c r="M88" s="264"/>
      <c r="N88" s="262"/>
      <c r="O88" s="125">
        <f t="shared" si="8"/>
        <v>0</v>
      </c>
      <c r="P88" s="74"/>
      <c r="R88" s="53"/>
      <c r="S88" s="53"/>
      <c r="T88" s="53"/>
    </row>
    <row r="89" spans="1:20" ht="36" x14ac:dyDescent="0.25">
      <c r="A89" s="76">
        <v>2212</v>
      </c>
      <c r="B89" s="127" t="s">
        <v>105</v>
      </c>
      <c r="C89" s="128">
        <f t="shared" si="4"/>
        <v>899</v>
      </c>
      <c r="D89" s="134">
        <v>899</v>
      </c>
      <c r="E89" s="283"/>
      <c r="F89" s="279">
        <f t="shared" si="5"/>
        <v>899</v>
      </c>
      <c r="G89" s="134"/>
      <c r="H89" s="135"/>
      <c r="I89" s="136">
        <f t="shared" si="6"/>
        <v>0</v>
      </c>
      <c r="J89" s="134"/>
      <c r="K89" s="135"/>
      <c r="L89" s="136">
        <f t="shared" si="7"/>
        <v>0</v>
      </c>
      <c r="M89" s="284"/>
      <c r="N89" s="285"/>
      <c r="O89" s="136">
        <f t="shared" si="8"/>
        <v>0</v>
      </c>
      <c r="P89" s="85"/>
      <c r="R89" s="53"/>
      <c r="S89" s="53"/>
      <c r="T89" s="53"/>
    </row>
    <row r="90" spans="1:20" ht="24" x14ac:dyDescent="0.25">
      <c r="A90" s="76">
        <v>2214</v>
      </c>
      <c r="B90" s="127" t="s">
        <v>106</v>
      </c>
      <c r="C90" s="128">
        <f t="shared" si="4"/>
        <v>150</v>
      </c>
      <c r="D90" s="134">
        <v>150</v>
      </c>
      <c r="E90" s="283"/>
      <c r="F90" s="279">
        <f t="shared" si="5"/>
        <v>150</v>
      </c>
      <c r="G90" s="134"/>
      <c r="H90" s="135"/>
      <c r="I90" s="136">
        <f t="shared" si="6"/>
        <v>0</v>
      </c>
      <c r="J90" s="134"/>
      <c r="K90" s="135"/>
      <c r="L90" s="136">
        <f t="shared" si="7"/>
        <v>0</v>
      </c>
      <c r="M90" s="284"/>
      <c r="N90" s="285"/>
      <c r="O90" s="136">
        <f t="shared" si="8"/>
        <v>0</v>
      </c>
      <c r="P90" s="85"/>
      <c r="R90" s="53"/>
      <c r="S90" s="53"/>
      <c r="T90" s="53"/>
    </row>
    <row r="91" spans="1:20" x14ac:dyDescent="0.25">
      <c r="A91" s="76">
        <v>2219</v>
      </c>
      <c r="B91" s="127" t="s">
        <v>107</v>
      </c>
      <c r="C91" s="128">
        <f t="shared" si="4"/>
        <v>60</v>
      </c>
      <c r="D91" s="134">
        <v>60</v>
      </c>
      <c r="E91" s="283"/>
      <c r="F91" s="279">
        <f t="shared" si="5"/>
        <v>60</v>
      </c>
      <c r="G91" s="134"/>
      <c r="H91" s="135"/>
      <c r="I91" s="136">
        <f t="shared" si="6"/>
        <v>0</v>
      </c>
      <c r="J91" s="134"/>
      <c r="K91" s="135"/>
      <c r="L91" s="136">
        <f t="shared" si="7"/>
        <v>0</v>
      </c>
      <c r="M91" s="284"/>
      <c r="N91" s="285"/>
      <c r="O91" s="136">
        <f t="shared" si="8"/>
        <v>0</v>
      </c>
      <c r="P91" s="85"/>
      <c r="R91" s="53"/>
      <c r="S91" s="53"/>
      <c r="T91" s="53"/>
    </row>
    <row r="92" spans="1:20" ht="24" x14ac:dyDescent="0.25">
      <c r="A92" s="276">
        <v>2220</v>
      </c>
      <c r="B92" s="127" t="s">
        <v>108</v>
      </c>
      <c r="C92" s="128">
        <f t="shared" si="4"/>
        <v>41837</v>
      </c>
      <c r="D92" s="277">
        <f>SUM(D93:D97)</f>
        <v>41724</v>
      </c>
      <c r="E92" s="278">
        <f>SUM(E93:E97)</f>
        <v>0</v>
      </c>
      <c r="F92" s="279">
        <f t="shared" si="5"/>
        <v>41724</v>
      </c>
      <c r="G92" s="277">
        <f>SUM(G93:G97)</f>
        <v>0</v>
      </c>
      <c r="H92" s="280">
        <f>SUM(H93:H97)</f>
        <v>0</v>
      </c>
      <c r="I92" s="136">
        <f t="shared" si="6"/>
        <v>0</v>
      </c>
      <c r="J92" s="277">
        <f>SUM(J93:J97)</f>
        <v>113</v>
      </c>
      <c r="K92" s="280">
        <f>SUM(K93:K97)</f>
        <v>0</v>
      </c>
      <c r="L92" s="136">
        <f t="shared" si="7"/>
        <v>113</v>
      </c>
      <c r="M92" s="281">
        <f>SUM(M93:M97)</f>
        <v>0</v>
      </c>
      <c r="N92" s="282">
        <f>SUM(N93:N97)</f>
        <v>0</v>
      </c>
      <c r="O92" s="136">
        <f t="shared" si="8"/>
        <v>0</v>
      </c>
      <c r="P92" s="85"/>
      <c r="R92" s="53"/>
      <c r="S92" s="53"/>
      <c r="T92" s="53"/>
    </row>
    <row r="93" spans="1:20" x14ac:dyDescent="0.25">
      <c r="A93" s="76">
        <v>2221</v>
      </c>
      <c r="B93" s="127" t="s">
        <v>109</v>
      </c>
      <c r="C93" s="128">
        <f t="shared" si="4"/>
        <v>24921</v>
      </c>
      <c r="D93" s="134">
        <v>24926</v>
      </c>
      <c r="E93" s="283">
        <v>-5</v>
      </c>
      <c r="F93" s="279">
        <f t="shared" si="5"/>
        <v>24921</v>
      </c>
      <c r="G93" s="134"/>
      <c r="H93" s="135"/>
      <c r="I93" s="136">
        <f t="shared" si="6"/>
        <v>0</v>
      </c>
      <c r="J93" s="134"/>
      <c r="K93" s="135"/>
      <c r="L93" s="136">
        <f t="shared" si="7"/>
        <v>0</v>
      </c>
      <c r="M93" s="284"/>
      <c r="N93" s="285"/>
      <c r="O93" s="136">
        <f t="shared" si="8"/>
        <v>0</v>
      </c>
      <c r="P93" s="85" t="s">
        <v>550</v>
      </c>
      <c r="R93" s="53"/>
      <c r="S93" s="53"/>
      <c r="T93" s="53"/>
    </row>
    <row r="94" spans="1:20" x14ac:dyDescent="0.25">
      <c r="A94" s="76">
        <v>2222</v>
      </c>
      <c r="B94" s="127" t="s">
        <v>110</v>
      </c>
      <c r="C94" s="128">
        <f t="shared" si="4"/>
        <v>6866</v>
      </c>
      <c r="D94" s="134">
        <v>6753</v>
      </c>
      <c r="E94" s="283"/>
      <c r="F94" s="279">
        <f t="shared" si="5"/>
        <v>6753</v>
      </c>
      <c r="G94" s="134"/>
      <c r="H94" s="135"/>
      <c r="I94" s="136">
        <f t="shared" si="6"/>
        <v>0</v>
      </c>
      <c r="J94" s="134">
        <v>113</v>
      </c>
      <c r="K94" s="135"/>
      <c r="L94" s="136">
        <f t="shared" si="7"/>
        <v>113</v>
      </c>
      <c r="M94" s="284"/>
      <c r="N94" s="285"/>
      <c r="O94" s="136">
        <f t="shared" si="8"/>
        <v>0</v>
      </c>
      <c r="P94" s="85"/>
      <c r="R94" s="53"/>
      <c r="S94" s="53"/>
      <c r="T94" s="53"/>
    </row>
    <row r="95" spans="1:20" x14ac:dyDescent="0.25">
      <c r="A95" s="76">
        <v>2223</v>
      </c>
      <c r="B95" s="127" t="s">
        <v>111</v>
      </c>
      <c r="C95" s="128">
        <f t="shared" si="4"/>
        <v>9315</v>
      </c>
      <c r="D95" s="134">
        <v>9310</v>
      </c>
      <c r="E95" s="283">
        <v>5</v>
      </c>
      <c r="F95" s="279">
        <f t="shared" si="5"/>
        <v>9315</v>
      </c>
      <c r="G95" s="134"/>
      <c r="H95" s="135"/>
      <c r="I95" s="136">
        <f t="shared" si="6"/>
        <v>0</v>
      </c>
      <c r="J95" s="134"/>
      <c r="K95" s="135"/>
      <c r="L95" s="136">
        <f t="shared" si="7"/>
        <v>0</v>
      </c>
      <c r="M95" s="284"/>
      <c r="N95" s="285"/>
      <c r="O95" s="136">
        <f t="shared" si="8"/>
        <v>0</v>
      </c>
      <c r="P95" s="85" t="s">
        <v>1132</v>
      </c>
      <c r="R95" s="53"/>
      <c r="S95" s="53"/>
      <c r="T95" s="53"/>
    </row>
    <row r="96" spans="1:20" ht="48" x14ac:dyDescent="0.25">
      <c r="A96" s="76">
        <v>2224</v>
      </c>
      <c r="B96" s="127" t="s">
        <v>112</v>
      </c>
      <c r="C96" s="128">
        <f t="shared" si="4"/>
        <v>735</v>
      </c>
      <c r="D96" s="134">
        <v>735</v>
      </c>
      <c r="E96" s="283"/>
      <c r="F96" s="279">
        <f t="shared" si="5"/>
        <v>735</v>
      </c>
      <c r="G96" s="134"/>
      <c r="H96" s="135"/>
      <c r="I96" s="136">
        <f t="shared" si="6"/>
        <v>0</v>
      </c>
      <c r="J96" s="134"/>
      <c r="K96" s="135"/>
      <c r="L96" s="136">
        <f t="shared" si="7"/>
        <v>0</v>
      </c>
      <c r="M96" s="284"/>
      <c r="N96" s="285"/>
      <c r="O96" s="136">
        <f t="shared" si="8"/>
        <v>0</v>
      </c>
      <c r="P96" s="85"/>
      <c r="R96" s="53"/>
      <c r="S96" s="53"/>
      <c r="T96" s="53"/>
    </row>
    <row r="97" spans="1:20" ht="24" hidden="1" x14ac:dyDescent="0.25">
      <c r="A97" s="76">
        <v>2229</v>
      </c>
      <c r="B97" s="127" t="s">
        <v>113</v>
      </c>
      <c r="C97" s="128">
        <f t="shared" si="4"/>
        <v>0</v>
      </c>
      <c r="D97" s="134"/>
      <c r="E97" s="285"/>
      <c r="F97" s="286">
        <f t="shared" si="5"/>
        <v>0</v>
      </c>
      <c r="G97" s="134"/>
      <c r="H97" s="135"/>
      <c r="I97" s="136">
        <f t="shared" si="6"/>
        <v>0</v>
      </c>
      <c r="J97" s="134"/>
      <c r="K97" s="135"/>
      <c r="L97" s="136">
        <f t="shared" si="7"/>
        <v>0</v>
      </c>
      <c r="M97" s="284"/>
      <c r="N97" s="285"/>
      <c r="O97" s="136">
        <f t="shared" si="8"/>
        <v>0</v>
      </c>
      <c r="P97" s="85"/>
      <c r="R97" s="53"/>
      <c r="S97" s="53"/>
      <c r="T97" s="53"/>
    </row>
    <row r="98" spans="1:20" ht="36" x14ac:dyDescent="0.25">
      <c r="A98" s="276">
        <v>2230</v>
      </c>
      <c r="B98" s="127" t="s">
        <v>114</v>
      </c>
      <c r="C98" s="128">
        <f t="shared" si="4"/>
        <v>1289</v>
      </c>
      <c r="D98" s="277">
        <f>SUM(D99:D105)</f>
        <v>1289</v>
      </c>
      <c r="E98" s="278">
        <f>SUM(E99:E105)</f>
        <v>0</v>
      </c>
      <c r="F98" s="279">
        <f t="shared" si="5"/>
        <v>1289</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c r="R98" s="53"/>
      <c r="S98" s="53"/>
      <c r="T98" s="53"/>
    </row>
    <row r="99" spans="1:20" ht="24" hidden="1" x14ac:dyDescent="0.25">
      <c r="A99" s="76">
        <v>2231</v>
      </c>
      <c r="B99" s="127" t="s">
        <v>115</v>
      </c>
      <c r="C99" s="128">
        <f t="shared" si="4"/>
        <v>0</v>
      </c>
      <c r="D99" s="134"/>
      <c r="E99" s="285"/>
      <c r="F99" s="286">
        <f t="shared" si="5"/>
        <v>0</v>
      </c>
      <c r="G99" s="134"/>
      <c r="H99" s="135"/>
      <c r="I99" s="136">
        <f t="shared" si="6"/>
        <v>0</v>
      </c>
      <c r="J99" s="134"/>
      <c r="K99" s="135"/>
      <c r="L99" s="136">
        <f t="shared" si="7"/>
        <v>0</v>
      </c>
      <c r="M99" s="284"/>
      <c r="N99" s="285"/>
      <c r="O99" s="136">
        <f t="shared" si="8"/>
        <v>0</v>
      </c>
      <c r="P99" s="85"/>
      <c r="R99" s="53"/>
      <c r="S99" s="53"/>
      <c r="T99" s="53"/>
    </row>
    <row r="100" spans="1:20" ht="36" hidden="1" x14ac:dyDescent="0.25">
      <c r="A100" s="76">
        <v>2232</v>
      </c>
      <c r="B100" s="127" t="s">
        <v>116</v>
      </c>
      <c r="C100" s="128">
        <f t="shared" si="4"/>
        <v>0</v>
      </c>
      <c r="D100" s="134"/>
      <c r="E100" s="285"/>
      <c r="F100" s="286">
        <f t="shared" si="5"/>
        <v>0</v>
      </c>
      <c r="G100" s="134"/>
      <c r="H100" s="135"/>
      <c r="I100" s="136">
        <f t="shared" si="6"/>
        <v>0</v>
      </c>
      <c r="J100" s="134"/>
      <c r="K100" s="135"/>
      <c r="L100" s="136">
        <f t="shared" si="7"/>
        <v>0</v>
      </c>
      <c r="M100" s="284"/>
      <c r="N100" s="285"/>
      <c r="O100" s="136">
        <f t="shared" si="8"/>
        <v>0</v>
      </c>
      <c r="P100" s="85"/>
      <c r="R100" s="53"/>
      <c r="S100" s="53"/>
      <c r="T100" s="53"/>
    </row>
    <row r="101" spans="1:20" ht="24" hidden="1" x14ac:dyDescent="0.25">
      <c r="A101" s="66">
        <v>2233</v>
      </c>
      <c r="B101" s="116" t="s">
        <v>117</v>
      </c>
      <c r="C101" s="128">
        <f t="shared" si="4"/>
        <v>0</v>
      </c>
      <c r="D101" s="123"/>
      <c r="E101" s="262"/>
      <c r="F101" s="263">
        <f t="shared" si="5"/>
        <v>0</v>
      </c>
      <c r="G101" s="123"/>
      <c r="H101" s="124"/>
      <c r="I101" s="125">
        <f t="shared" si="6"/>
        <v>0</v>
      </c>
      <c r="J101" s="123"/>
      <c r="K101" s="124"/>
      <c r="L101" s="125">
        <f t="shared" si="7"/>
        <v>0</v>
      </c>
      <c r="M101" s="264"/>
      <c r="N101" s="262"/>
      <c r="O101" s="125">
        <f t="shared" si="8"/>
        <v>0</v>
      </c>
      <c r="P101" s="74"/>
      <c r="R101" s="53"/>
      <c r="S101" s="53"/>
      <c r="T101" s="53"/>
    </row>
    <row r="102" spans="1:20" ht="36" hidden="1" x14ac:dyDescent="0.25">
      <c r="A102" s="76">
        <v>2234</v>
      </c>
      <c r="B102" s="127" t="s">
        <v>118</v>
      </c>
      <c r="C102" s="128">
        <f t="shared" si="4"/>
        <v>0</v>
      </c>
      <c r="D102" s="134"/>
      <c r="E102" s="285"/>
      <c r="F102" s="286">
        <f t="shared" si="5"/>
        <v>0</v>
      </c>
      <c r="G102" s="134"/>
      <c r="H102" s="135"/>
      <c r="I102" s="136">
        <f t="shared" si="6"/>
        <v>0</v>
      </c>
      <c r="J102" s="134"/>
      <c r="K102" s="135"/>
      <c r="L102" s="136">
        <f t="shared" si="7"/>
        <v>0</v>
      </c>
      <c r="M102" s="284"/>
      <c r="N102" s="285"/>
      <c r="O102" s="136">
        <f t="shared" si="8"/>
        <v>0</v>
      </c>
      <c r="P102" s="85"/>
      <c r="R102" s="53"/>
      <c r="S102" s="53"/>
      <c r="T102" s="53"/>
    </row>
    <row r="103" spans="1:20" ht="24" x14ac:dyDescent="0.25">
      <c r="A103" s="265">
        <v>2235</v>
      </c>
      <c r="B103" s="266" t="s">
        <v>119</v>
      </c>
      <c r="C103" s="267">
        <f t="shared" si="4"/>
        <v>122</v>
      </c>
      <c r="D103" s="268">
        <v>122</v>
      </c>
      <c r="E103" s="269"/>
      <c r="F103" s="270">
        <f t="shared" si="5"/>
        <v>122</v>
      </c>
      <c r="G103" s="268"/>
      <c r="H103" s="271"/>
      <c r="I103" s="272">
        <f t="shared" si="6"/>
        <v>0</v>
      </c>
      <c r="J103" s="268"/>
      <c r="K103" s="271"/>
      <c r="L103" s="272">
        <f t="shared" si="7"/>
        <v>0</v>
      </c>
      <c r="M103" s="273"/>
      <c r="N103" s="274"/>
      <c r="O103" s="272">
        <f t="shared" si="8"/>
        <v>0</v>
      </c>
      <c r="P103" s="275"/>
      <c r="R103" s="53"/>
      <c r="S103" s="53"/>
      <c r="T103" s="53"/>
    </row>
    <row r="104" spans="1:20" hidden="1" x14ac:dyDescent="0.25">
      <c r="A104" s="76">
        <v>2236</v>
      </c>
      <c r="B104" s="127" t="s">
        <v>120</v>
      </c>
      <c r="C104" s="128">
        <f t="shared" si="4"/>
        <v>0</v>
      </c>
      <c r="D104" s="134"/>
      <c r="E104" s="285"/>
      <c r="F104" s="286">
        <f t="shared" si="5"/>
        <v>0</v>
      </c>
      <c r="G104" s="134"/>
      <c r="H104" s="135"/>
      <c r="I104" s="136">
        <f t="shared" si="6"/>
        <v>0</v>
      </c>
      <c r="J104" s="134"/>
      <c r="K104" s="135"/>
      <c r="L104" s="136">
        <f t="shared" si="7"/>
        <v>0</v>
      </c>
      <c r="M104" s="284"/>
      <c r="N104" s="285"/>
      <c r="O104" s="136">
        <f t="shared" si="8"/>
        <v>0</v>
      </c>
      <c r="P104" s="85"/>
      <c r="R104" s="53"/>
      <c r="S104" s="53"/>
      <c r="T104" s="53"/>
    </row>
    <row r="105" spans="1:20" ht="24" x14ac:dyDescent="0.25">
      <c r="A105" s="76">
        <v>2239</v>
      </c>
      <c r="B105" s="127" t="s">
        <v>121</v>
      </c>
      <c r="C105" s="128">
        <f t="shared" si="4"/>
        <v>1167</v>
      </c>
      <c r="D105" s="134">
        <v>1167</v>
      </c>
      <c r="E105" s="283"/>
      <c r="F105" s="279">
        <f t="shared" si="5"/>
        <v>1167</v>
      </c>
      <c r="G105" s="134"/>
      <c r="H105" s="135"/>
      <c r="I105" s="136">
        <f t="shared" si="6"/>
        <v>0</v>
      </c>
      <c r="J105" s="134"/>
      <c r="K105" s="135"/>
      <c r="L105" s="136">
        <f t="shared" si="7"/>
        <v>0</v>
      </c>
      <c r="M105" s="284"/>
      <c r="N105" s="285"/>
      <c r="O105" s="136">
        <f t="shared" si="8"/>
        <v>0</v>
      </c>
      <c r="P105" s="85"/>
      <c r="R105" s="53"/>
      <c r="S105" s="53"/>
      <c r="T105" s="53"/>
    </row>
    <row r="106" spans="1:20" ht="36" x14ac:dyDescent="0.25">
      <c r="A106" s="276">
        <v>2240</v>
      </c>
      <c r="B106" s="127" t="s">
        <v>122</v>
      </c>
      <c r="C106" s="128">
        <f t="shared" si="4"/>
        <v>6023</v>
      </c>
      <c r="D106" s="277">
        <f>SUM(D107:D114)</f>
        <v>6023</v>
      </c>
      <c r="E106" s="278">
        <f>SUM(E107:E114)</f>
        <v>0</v>
      </c>
      <c r="F106" s="279">
        <f t="shared" si="5"/>
        <v>6023</v>
      </c>
      <c r="G106" s="277">
        <f>SUM(G107:G114)</f>
        <v>0</v>
      </c>
      <c r="H106" s="280">
        <f>SUM(H107:H114)</f>
        <v>0</v>
      </c>
      <c r="I106" s="136">
        <f t="shared" si="6"/>
        <v>0</v>
      </c>
      <c r="J106" s="277">
        <f>SUM(J107:J114)</f>
        <v>0</v>
      </c>
      <c r="K106" s="280">
        <f>SUM(K107:K114)</f>
        <v>0</v>
      </c>
      <c r="L106" s="136">
        <f t="shared" si="7"/>
        <v>0</v>
      </c>
      <c r="M106" s="281">
        <f>SUM(M107:M114)</f>
        <v>0</v>
      </c>
      <c r="N106" s="282">
        <f>SUM(N107:N114)</f>
        <v>0</v>
      </c>
      <c r="O106" s="136">
        <f t="shared" si="8"/>
        <v>0</v>
      </c>
      <c r="P106" s="85"/>
      <c r="R106" s="53"/>
      <c r="S106" s="53"/>
      <c r="T106" s="53"/>
    </row>
    <row r="107" spans="1:20" hidden="1" x14ac:dyDescent="0.25">
      <c r="A107" s="76">
        <v>2241</v>
      </c>
      <c r="B107" s="127" t="s">
        <v>123</v>
      </c>
      <c r="C107" s="128">
        <f t="shared" si="4"/>
        <v>0</v>
      </c>
      <c r="D107" s="134"/>
      <c r="E107" s="285"/>
      <c r="F107" s="286">
        <f t="shared" si="5"/>
        <v>0</v>
      </c>
      <c r="G107" s="134"/>
      <c r="H107" s="135"/>
      <c r="I107" s="136">
        <f t="shared" si="6"/>
        <v>0</v>
      </c>
      <c r="J107" s="134"/>
      <c r="K107" s="135"/>
      <c r="L107" s="136">
        <f t="shared" si="7"/>
        <v>0</v>
      </c>
      <c r="M107" s="284"/>
      <c r="N107" s="285"/>
      <c r="O107" s="136">
        <f t="shared" si="8"/>
        <v>0</v>
      </c>
      <c r="P107" s="85"/>
      <c r="R107" s="53"/>
      <c r="S107" s="53"/>
      <c r="T107" s="53"/>
    </row>
    <row r="108" spans="1:20" ht="24" hidden="1" x14ac:dyDescent="0.25">
      <c r="A108" s="76">
        <v>2242</v>
      </c>
      <c r="B108" s="127" t="s">
        <v>124</v>
      </c>
      <c r="C108" s="128">
        <f t="shared" si="4"/>
        <v>0</v>
      </c>
      <c r="D108" s="134"/>
      <c r="E108" s="285"/>
      <c r="F108" s="286">
        <f t="shared" si="5"/>
        <v>0</v>
      </c>
      <c r="G108" s="134"/>
      <c r="H108" s="135"/>
      <c r="I108" s="136">
        <f t="shared" si="6"/>
        <v>0</v>
      </c>
      <c r="J108" s="134"/>
      <c r="K108" s="135"/>
      <c r="L108" s="136">
        <f t="shared" si="7"/>
        <v>0</v>
      </c>
      <c r="M108" s="284"/>
      <c r="N108" s="285"/>
      <c r="O108" s="136">
        <f t="shared" si="8"/>
        <v>0</v>
      </c>
      <c r="P108" s="85"/>
      <c r="R108" s="53"/>
      <c r="S108" s="53"/>
      <c r="T108" s="53"/>
    </row>
    <row r="109" spans="1:20" ht="24" x14ac:dyDescent="0.25">
      <c r="A109" s="76">
        <v>2243</v>
      </c>
      <c r="B109" s="127" t="s">
        <v>125</v>
      </c>
      <c r="C109" s="128">
        <f t="shared" si="4"/>
        <v>190</v>
      </c>
      <c r="D109" s="134">
        <v>190</v>
      </c>
      <c r="E109" s="283"/>
      <c r="F109" s="279">
        <f t="shared" si="5"/>
        <v>190</v>
      </c>
      <c r="G109" s="134"/>
      <c r="H109" s="135"/>
      <c r="I109" s="136">
        <f t="shared" si="6"/>
        <v>0</v>
      </c>
      <c r="J109" s="134"/>
      <c r="K109" s="135"/>
      <c r="L109" s="136">
        <f t="shared" si="7"/>
        <v>0</v>
      </c>
      <c r="M109" s="284"/>
      <c r="N109" s="285"/>
      <c r="O109" s="136">
        <f t="shared" si="8"/>
        <v>0</v>
      </c>
      <c r="P109" s="85"/>
      <c r="R109" s="53"/>
      <c r="S109" s="53"/>
      <c r="T109" s="53"/>
    </row>
    <row r="110" spans="1:20" x14ac:dyDescent="0.25">
      <c r="A110" s="76">
        <v>2244</v>
      </c>
      <c r="B110" s="127" t="s">
        <v>126</v>
      </c>
      <c r="C110" s="128">
        <f t="shared" si="4"/>
        <v>2293</v>
      </c>
      <c r="D110" s="134">
        <v>2293</v>
      </c>
      <c r="E110" s="283"/>
      <c r="F110" s="279">
        <f t="shared" si="5"/>
        <v>2293</v>
      </c>
      <c r="G110" s="134"/>
      <c r="H110" s="135"/>
      <c r="I110" s="136">
        <f t="shared" si="6"/>
        <v>0</v>
      </c>
      <c r="J110" s="134"/>
      <c r="K110" s="135"/>
      <c r="L110" s="136">
        <f t="shared" si="7"/>
        <v>0</v>
      </c>
      <c r="M110" s="284"/>
      <c r="N110" s="285"/>
      <c r="O110" s="136">
        <f t="shared" si="8"/>
        <v>0</v>
      </c>
      <c r="P110" s="85"/>
      <c r="R110" s="53"/>
      <c r="S110" s="53"/>
      <c r="T110" s="53"/>
    </row>
    <row r="111" spans="1:20" ht="24" hidden="1" x14ac:dyDescent="0.25">
      <c r="A111" s="76">
        <v>2246</v>
      </c>
      <c r="B111" s="127" t="s">
        <v>127</v>
      </c>
      <c r="C111" s="128">
        <f t="shared" si="4"/>
        <v>0</v>
      </c>
      <c r="D111" s="134"/>
      <c r="E111" s="285"/>
      <c r="F111" s="286">
        <f t="shared" si="5"/>
        <v>0</v>
      </c>
      <c r="G111" s="134"/>
      <c r="H111" s="135"/>
      <c r="I111" s="136">
        <f t="shared" si="6"/>
        <v>0</v>
      </c>
      <c r="J111" s="134"/>
      <c r="K111" s="135"/>
      <c r="L111" s="136">
        <f t="shared" si="7"/>
        <v>0</v>
      </c>
      <c r="M111" s="284"/>
      <c r="N111" s="285"/>
      <c r="O111" s="136">
        <f t="shared" si="8"/>
        <v>0</v>
      </c>
      <c r="P111" s="85"/>
      <c r="R111" s="53"/>
      <c r="S111" s="53"/>
      <c r="T111" s="53"/>
    </row>
    <row r="112" spans="1:20" hidden="1" x14ac:dyDescent="0.25">
      <c r="A112" s="76">
        <v>2247</v>
      </c>
      <c r="B112" s="127" t="s">
        <v>128</v>
      </c>
      <c r="C112" s="128">
        <f t="shared" si="4"/>
        <v>0</v>
      </c>
      <c r="D112" s="134"/>
      <c r="E112" s="285"/>
      <c r="F112" s="286">
        <f t="shared" si="5"/>
        <v>0</v>
      </c>
      <c r="G112" s="134"/>
      <c r="H112" s="135"/>
      <c r="I112" s="136">
        <f t="shared" si="6"/>
        <v>0</v>
      </c>
      <c r="J112" s="134"/>
      <c r="K112" s="135"/>
      <c r="L112" s="136">
        <f t="shared" si="7"/>
        <v>0</v>
      </c>
      <c r="M112" s="284"/>
      <c r="N112" s="285"/>
      <c r="O112" s="136">
        <f t="shared" si="8"/>
        <v>0</v>
      </c>
      <c r="P112" s="85"/>
      <c r="R112" s="53"/>
      <c r="S112" s="53"/>
      <c r="T112" s="53"/>
    </row>
    <row r="113" spans="1:20" ht="24" hidden="1" x14ac:dyDescent="0.25">
      <c r="A113" s="76">
        <v>2248</v>
      </c>
      <c r="B113" s="127" t="s">
        <v>129</v>
      </c>
      <c r="C113" s="128">
        <f t="shared" si="4"/>
        <v>0</v>
      </c>
      <c r="D113" s="134"/>
      <c r="E113" s="285"/>
      <c r="F113" s="286">
        <f t="shared" si="5"/>
        <v>0</v>
      </c>
      <c r="G113" s="134"/>
      <c r="H113" s="135"/>
      <c r="I113" s="136">
        <f t="shared" si="6"/>
        <v>0</v>
      </c>
      <c r="J113" s="134"/>
      <c r="K113" s="135"/>
      <c r="L113" s="136">
        <f t="shared" si="7"/>
        <v>0</v>
      </c>
      <c r="M113" s="284"/>
      <c r="N113" s="285"/>
      <c r="O113" s="136">
        <f t="shared" si="8"/>
        <v>0</v>
      </c>
      <c r="P113" s="85"/>
      <c r="R113" s="53"/>
      <c r="S113" s="53"/>
      <c r="T113" s="53"/>
    </row>
    <row r="114" spans="1:20" ht="24" x14ac:dyDescent="0.25">
      <c r="A114" s="76">
        <v>2249</v>
      </c>
      <c r="B114" s="127" t="s">
        <v>130</v>
      </c>
      <c r="C114" s="128">
        <f t="shared" si="4"/>
        <v>3540</v>
      </c>
      <c r="D114" s="134">
        <v>3540</v>
      </c>
      <c r="E114" s="283"/>
      <c r="F114" s="279">
        <f t="shared" si="5"/>
        <v>3540</v>
      </c>
      <c r="G114" s="134"/>
      <c r="H114" s="135"/>
      <c r="I114" s="136">
        <f t="shared" si="6"/>
        <v>0</v>
      </c>
      <c r="J114" s="134"/>
      <c r="K114" s="135"/>
      <c r="L114" s="136">
        <f t="shared" si="7"/>
        <v>0</v>
      </c>
      <c r="M114" s="284"/>
      <c r="N114" s="285"/>
      <c r="O114" s="136">
        <f t="shared" si="8"/>
        <v>0</v>
      </c>
      <c r="P114" s="85"/>
      <c r="R114" s="53"/>
      <c r="S114" s="53"/>
      <c r="T114" s="53"/>
    </row>
    <row r="115" spans="1:20" x14ac:dyDescent="0.25">
      <c r="A115" s="276">
        <v>2250</v>
      </c>
      <c r="B115" s="127" t="s">
        <v>131</v>
      </c>
      <c r="C115" s="128">
        <f t="shared" si="4"/>
        <v>166</v>
      </c>
      <c r="D115" s="277">
        <f>SUM(D116:D118)</f>
        <v>166</v>
      </c>
      <c r="E115" s="278">
        <f>SUM(E116:E118)</f>
        <v>0</v>
      </c>
      <c r="F115" s="279">
        <f t="shared" si="5"/>
        <v>166</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c r="R115" s="53"/>
      <c r="S115" s="53"/>
      <c r="T115" s="53"/>
    </row>
    <row r="116" spans="1:20" x14ac:dyDescent="0.25">
      <c r="A116" s="76">
        <v>2251</v>
      </c>
      <c r="B116" s="127" t="s">
        <v>132</v>
      </c>
      <c r="C116" s="128">
        <f t="shared" si="4"/>
        <v>166</v>
      </c>
      <c r="D116" s="134">
        <v>166</v>
      </c>
      <c r="E116" s="283"/>
      <c r="F116" s="279">
        <f t="shared" si="5"/>
        <v>166</v>
      </c>
      <c r="G116" s="134"/>
      <c r="H116" s="135"/>
      <c r="I116" s="136">
        <f t="shared" si="6"/>
        <v>0</v>
      </c>
      <c r="J116" s="134"/>
      <c r="K116" s="135"/>
      <c r="L116" s="136">
        <f t="shared" si="7"/>
        <v>0</v>
      </c>
      <c r="M116" s="284"/>
      <c r="N116" s="285"/>
      <c r="O116" s="136">
        <f t="shared" si="8"/>
        <v>0</v>
      </c>
      <c r="P116" s="85"/>
      <c r="R116" s="53"/>
      <c r="S116" s="53"/>
      <c r="T116" s="53"/>
    </row>
    <row r="117" spans="1:20" ht="24" hidden="1" x14ac:dyDescent="0.25">
      <c r="A117" s="76">
        <v>2252</v>
      </c>
      <c r="B117" s="127" t="s">
        <v>133</v>
      </c>
      <c r="C117" s="128">
        <f t="shared" ref="C117:C181" si="9">F117+I117+L117+O117</f>
        <v>0</v>
      </c>
      <c r="D117" s="134"/>
      <c r="E117" s="285"/>
      <c r="F117" s="286">
        <f t="shared" si="5"/>
        <v>0</v>
      </c>
      <c r="G117" s="134"/>
      <c r="H117" s="135"/>
      <c r="I117" s="136">
        <f t="shared" si="6"/>
        <v>0</v>
      </c>
      <c r="J117" s="134"/>
      <c r="K117" s="135"/>
      <c r="L117" s="136">
        <f t="shared" si="7"/>
        <v>0</v>
      </c>
      <c r="M117" s="284"/>
      <c r="N117" s="285"/>
      <c r="O117" s="136">
        <f t="shared" si="8"/>
        <v>0</v>
      </c>
      <c r="P117" s="85"/>
      <c r="R117" s="53"/>
      <c r="S117" s="53"/>
      <c r="T117" s="53"/>
    </row>
    <row r="118" spans="1:20" ht="24" hidden="1" x14ac:dyDescent="0.25">
      <c r="A118" s="76">
        <v>2259</v>
      </c>
      <c r="B118" s="127" t="s">
        <v>134</v>
      </c>
      <c r="C118" s="128">
        <f t="shared" si="9"/>
        <v>0</v>
      </c>
      <c r="D118" s="134"/>
      <c r="E118" s="285"/>
      <c r="F118" s="286">
        <f t="shared" ref="F118:F182" si="10">D118+E118</f>
        <v>0</v>
      </c>
      <c r="G118" s="134"/>
      <c r="H118" s="135"/>
      <c r="I118" s="136">
        <f t="shared" ref="I118:I182" si="11">G118+H118</f>
        <v>0</v>
      </c>
      <c r="J118" s="134"/>
      <c r="K118" s="135"/>
      <c r="L118" s="136">
        <f t="shared" ref="L118:L182" si="12">J118+K118</f>
        <v>0</v>
      </c>
      <c r="M118" s="284"/>
      <c r="N118" s="285"/>
      <c r="O118" s="136">
        <f t="shared" ref="O118:O182" si="13">M118+N118</f>
        <v>0</v>
      </c>
      <c r="P118" s="85"/>
      <c r="R118" s="53"/>
      <c r="S118" s="53"/>
      <c r="T118" s="53"/>
    </row>
    <row r="119" spans="1:20" x14ac:dyDescent="0.25">
      <c r="A119" s="276">
        <v>2260</v>
      </c>
      <c r="B119" s="127" t="s">
        <v>135</v>
      </c>
      <c r="C119" s="128">
        <f t="shared" si="9"/>
        <v>47</v>
      </c>
      <c r="D119" s="277">
        <f>SUM(D120:D124)</f>
        <v>47</v>
      </c>
      <c r="E119" s="278">
        <f>SUM(E120:E124)</f>
        <v>0</v>
      </c>
      <c r="F119" s="279">
        <f t="shared" si="10"/>
        <v>47</v>
      </c>
      <c r="G119" s="277">
        <f>SUM(G120:G124)</f>
        <v>0</v>
      </c>
      <c r="H119" s="280">
        <f>SUM(H120:H124)</f>
        <v>0</v>
      </c>
      <c r="I119" s="136">
        <f t="shared" si="11"/>
        <v>0</v>
      </c>
      <c r="J119" s="277">
        <f>SUM(J120:J124)</f>
        <v>0</v>
      </c>
      <c r="K119" s="280">
        <f>SUM(K120:K124)</f>
        <v>0</v>
      </c>
      <c r="L119" s="136">
        <f t="shared" si="12"/>
        <v>0</v>
      </c>
      <c r="M119" s="281">
        <f>SUM(M120:M124)</f>
        <v>0</v>
      </c>
      <c r="N119" s="282">
        <f>SUM(N120:N124)</f>
        <v>0</v>
      </c>
      <c r="O119" s="136">
        <f t="shared" si="13"/>
        <v>0</v>
      </c>
      <c r="P119" s="85"/>
      <c r="R119" s="53"/>
      <c r="S119" s="53"/>
      <c r="T119" s="53"/>
    </row>
    <row r="120" spans="1:20" hidden="1" x14ac:dyDescent="0.25">
      <c r="A120" s="76">
        <v>2261</v>
      </c>
      <c r="B120" s="127" t="s">
        <v>136</v>
      </c>
      <c r="C120" s="128">
        <f t="shared" si="9"/>
        <v>0</v>
      </c>
      <c r="D120" s="134"/>
      <c r="E120" s="285"/>
      <c r="F120" s="286">
        <f t="shared" si="10"/>
        <v>0</v>
      </c>
      <c r="G120" s="134"/>
      <c r="H120" s="135"/>
      <c r="I120" s="136">
        <f t="shared" si="11"/>
        <v>0</v>
      </c>
      <c r="J120" s="134"/>
      <c r="K120" s="135"/>
      <c r="L120" s="136">
        <f t="shared" si="12"/>
        <v>0</v>
      </c>
      <c r="M120" s="284"/>
      <c r="N120" s="285"/>
      <c r="O120" s="136">
        <f t="shared" si="13"/>
        <v>0</v>
      </c>
      <c r="P120" s="85"/>
      <c r="R120" s="53"/>
      <c r="S120" s="53"/>
      <c r="T120" s="53"/>
    </row>
    <row r="121" spans="1:20" hidden="1" x14ac:dyDescent="0.25">
      <c r="A121" s="76">
        <v>2262</v>
      </c>
      <c r="B121" s="127" t="s">
        <v>137</v>
      </c>
      <c r="C121" s="128">
        <f t="shared" si="9"/>
        <v>0</v>
      </c>
      <c r="D121" s="134"/>
      <c r="E121" s="285"/>
      <c r="F121" s="286">
        <f t="shared" si="10"/>
        <v>0</v>
      </c>
      <c r="G121" s="134"/>
      <c r="H121" s="135"/>
      <c r="I121" s="136">
        <f t="shared" si="11"/>
        <v>0</v>
      </c>
      <c r="J121" s="134"/>
      <c r="K121" s="135"/>
      <c r="L121" s="136">
        <f t="shared" si="12"/>
        <v>0</v>
      </c>
      <c r="M121" s="284"/>
      <c r="N121" s="285"/>
      <c r="O121" s="136">
        <f t="shared" si="13"/>
        <v>0</v>
      </c>
      <c r="P121" s="85"/>
      <c r="R121" s="53"/>
      <c r="S121" s="53"/>
      <c r="T121" s="53"/>
    </row>
    <row r="122" spans="1:20" hidden="1" x14ac:dyDescent="0.25">
      <c r="A122" s="76">
        <v>2263</v>
      </c>
      <c r="B122" s="127" t="s">
        <v>138</v>
      </c>
      <c r="C122" s="128">
        <f t="shared" si="9"/>
        <v>0</v>
      </c>
      <c r="D122" s="134"/>
      <c r="E122" s="285"/>
      <c r="F122" s="286">
        <f t="shared" si="10"/>
        <v>0</v>
      </c>
      <c r="G122" s="134"/>
      <c r="H122" s="135"/>
      <c r="I122" s="136">
        <f t="shared" si="11"/>
        <v>0</v>
      </c>
      <c r="J122" s="134"/>
      <c r="K122" s="135"/>
      <c r="L122" s="136">
        <f t="shared" si="12"/>
        <v>0</v>
      </c>
      <c r="M122" s="284"/>
      <c r="N122" s="285"/>
      <c r="O122" s="136">
        <f t="shared" si="13"/>
        <v>0</v>
      </c>
      <c r="P122" s="85"/>
      <c r="R122" s="53"/>
      <c r="S122" s="53"/>
      <c r="T122" s="53"/>
    </row>
    <row r="123" spans="1:20" ht="24" hidden="1" x14ac:dyDescent="0.25">
      <c r="A123" s="76">
        <v>2264</v>
      </c>
      <c r="B123" s="127" t="s">
        <v>139</v>
      </c>
      <c r="C123" s="128">
        <f t="shared" si="9"/>
        <v>0</v>
      </c>
      <c r="D123" s="134"/>
      <c r="E123" s="285"/>
      <c r="F123" s="286">
        <f t="shared" si="10"/>
        <v>0</v>
      </c>
      <c r="G123" s="134"/>
      <c r="H123" s="135"/>
      <c r="I123" s="136">
        <f t="shared" si="11"/>
        <v>0</v>
      </c>
      <c r="J123" s="134"/>
      <c r="K123" s="135"/>
      <c r="L123" s="136">
        <f t="shared" si="12"/>
        <v>0</v>
      </c>
      <c r="M123" s="284"/>
      <c r="N123" s="285"/>
      <c r="O123" s="136">
        <f t="shared" si="13"/>
        <v>0</v>
      </c>
      <c r="P123" s="85"/>
      <c r="R123" s="53"/>
      <c r="S123" s="53"/>
      <c r="T123" s="53"/>
    </row>
    <row r="124" spans="1:20" x14ac:dyDescent="0.25">
      <c r="A124" s="76">
        <v>2269</v>
      </c>
      <c r="B124" s="127" t="s">
        <v>140</v>
      </c>
      <c r="C124" s="128">
        <f t="shared" si="9"/>
        <v>47</v>
      </c>
      <c r="D124" s="134">
        <v>47</v>
      </c>
      <c r="E124" s="283"/>
      <c r="F124" s="279">
        <f t="shared" si="10"/>
        <v>47</v>
      </c>
      <c r="G124" s="134"/>
      <c r="H124" s="135"/>
      <c r="I124" s="136">
        <f t="shared" si="11"/>
        <v>0</v>
      </c>
      <c r="J124" s="134"/>
      <c r="K124" s="135"/>
      <c r="L124" s="136">
        <f t="shared" si="12"/>
        <v>0</v>
      </c>
      <c r="M124" s="284"/>
      <c r="N124" s="285"/>
      <c r="O124" s="136">
        <f t="shared" si="13"/>
        <v>0</v>
      </c>
      <c r="P124" s="85"/>
      <c r="R124" s="53"/>
      <c r="S124" s="53"/>
      <c r="T124" s="53"/>
    </row>
    <row r="125" spans="1:20" x14ac:dyDescent="0.25">
      <c r="A125" s="276">
        <v>2270</v>
      </c>
      <c r="B125" s="127" t="s">
        <v>141</v>
      </c>
      <c r="C125" s="128">
        <f t="shared" si="9"/>
        <v>972</v>
      </c>
      <c r="D125" s="277">
        <f>SUM(D126:D130)</f>
        <v>10</v>
      </c>
      <c r="E125" s="278">
        <f>SUM(E126:E130)</f>
        <v>0</v>
      </c>
      <c r="F125" s="279">
        <f t="shared" si="10"/>
        <v>10</v>
      </c>
      <c r="G125" s="277">
        <f>SUM(G126:G130)</f>
        <v>0</v>
      </c>
      <c r="H125" s="280">
        <f>SUM(H126:H130)</f>
        <v>0</v>
      </c>
      <c r="I125" s="136">
        <f t="shared" si="11"/>
        <v>0</v>
      </c>
      <c r="J125" s="277">
        <f>SUM(J126:J130)</f>
        <v>962</v>
      </c>
      <c r="K125" s="280">
        <f>SUM(K126:K130)</f>
        <v>0</v>
      </c>
      <c r="L125" s="136">
        <f t="shared" si="12"/>
        <v>962</v>
      </c>
      <c r="M125" s="281">
        <f>SUM(M126:M130)</f>
        <v>0</v>
      </c>
      <c r="N125" s="282">
        <f>SUM(N126:N130)</f>
        <v>0</v>
      </c>
      <c r="O125" s="136">
        <f t="shared" si="13"/>
        <v>0</v>
      </c>
      <c r="P125" s="85"/>
      <c r="R125" s="53"/>
      <c r="S125" s="53"/>
      <c r="T125" s="53"/>
    </row>
    <row r="126" spans="1:20" hidden="1" x14ac:dyDescent="0.25">
      <c r="A126" s="76">
        <v>2272</v>
      </c>
      <c r="B126" s="5" t="s">
        <v>142</v>
      </c>
      <c r="C126" s="128">
        <f t="shared" si="9"/>
        <v>0</v>
      </c>
      <c r="D126" s="134"/>
      <c r="E126" s="285"/>
      <c r="F126" s="286">
        <f t="shared" si="10"/>
        <v>0</v>
      </c>
      <c r="G126" s="134"/>
      <c r="H126" s="135"/>
      <c r="I126" s="136">
        <f t="shared" si="11"/>
        <v>0</v>
      </c>
      <c r="J126" s="134"/>
      <c r="K126" s="135"/>
      <c r="L126" s="136">
        <f t="shared" si="12"/>
        <v>0</v>
      </c>
      <c r="M126" s="284"/>
      <c r="N126" s="285"/>
      <c r="O126" s="136">
        <f t="shared" si="13"/>
        <v>0</v>
      </c>
      <c r="P126" s="85"/>
      <c r="R126" s="53"/>
      <c r="S126" s="53"/>
      <c r="T126" s="53"/>
    </row>
    <row r="127" spans="1:20" ht="24" hidden="1" x14ac:dyDescent="0.25">
      <c r="A127" s="76">
        <v>2275</v>
      </c>
      <c r="B127" s="127" t="s">
        <v>143</v>
      </c>
      <c r="C127" s="128">
        <f t="shared" si="9"/>
        <v>0</v>
      </c>
      <c r="D127" s="134"/>
      <c r="E127" s="285"/>
      <c r="F127" s="286">
        <f t="shared" si="10"/>
        <v>0</v>
      </c>
      <c r="G127" s="134"/>
      <c r="H127" s="135"/>
      <c r="I127" s="136">
        <f t="shared" si="11"/>
        <v>0</v>
      </c>
      <c r="J127" s="134"/>
      <c r="K127" s="135"/>
      <c r="L127" s="136">
        <f t="shared" si="12"/>
        <v>0</v>
      </c>
      <c r="M127" s="284"/>
      <c r="N127" s="285"/>
      <c r="O127" s="136">
        <f t="shared" si="13"/>
        <v>0</v>
      </c>
      <c r="P127" s="85"/>
      <c r="R127" s="53"/>
      <c r="S127" s="53"/>
      <c r="T127" s="53"/>
    </row>
    <row r="128" spans="1:20" ht="36" hidden="1" x14ac:dyDescent="0.25">
      <c r="A128" s="76">
        <v>2276</v>
      </c>
      <c r="B128" s="127" t="s">
        <v>144</v>
      </c>
      <c r="C128" s="128">
        <f t="shared" si="9"/>
        <v>0</v>
      </c>
      <c r="D128" s="134"/>
      <c r="E128" s="285"/>
      <c r="F128" s="286">
        <f t="shared" si="10"/>
        <v>0</v>
      </c>
      <c r="G128" s="134"/>
      <c r="H128" s="135"/>
      <c r="I128" s="136">
        <f t="shared" si="11"/>
        <v>0</v>
      </c>
      <c r="J128" s="134"/>
      <c r="K128" s="135"/>
      <c r="L128" s="136">
        <f t="shared" si="12"/>
        <v>0</v>
      </c>
      <c r="M128" s="284"/>
      <c r="N128" s="285"/>
      <c r="O128" s="136">
        <f t="shared" si="13"/>
        <v>0</v>
      </c>
      <c r="P128" s="85"/>
      <c r="R128" s="53"/>
      <c r="S128" s="53"/>
      <c r="T128" s="53"/>
    </row>
    <row r="129" spans="1:20" ht="24" hidden="1" x14ac:dyDescent="0.25">
      <c r="A129" s="76">
        <v>2278</v>
      </c>
      <c r="B129" s="127" t="s">
        <v>145</v>
      </c>
      <c r="C129" s="128">
        <f t="shared" si="9"/>
        <v>0</v>
      </c>
      <c r="D129" s="134"/>
      <c r="E129" s="285"/>
      <c r="F129" s="286">
        <f t="shared" si="10"/>
        <v>0</v>
      </c>
      <c r="G129" s="134"/>
      <c r="H129" s="135"/>
      <c r="I129" s="136">
        <f t="shared" si="11"/>
        <v>0</v>
      </c>
      <c r="J129" s="134"/>
      <c r="K129" s="135"/>
      <c r="L129" s="136">
        <f t="shared" si="12"/>
        <v>0</v>
      </c>
      <c r="M129" s="284"/>
      <c r="N129" s="285"/>
      <c r="O129" s="136">
        <f t="shared" si="13"/>
        <v>0</v>
      </c>
      <c r="P129" s="85"/>
      <c r="R129" s="53"/>
      <c r="S129" s="53"/>
      <c r="T129" s="53"/>
    </row>
    <row r="130" spans="1:20" ht="24" x14ac:dyDescent="0.25">
      <c r="A130" s="76">
        <v>2279</v>
      </c>
      <c r="B130" s="127" t="s">
        <v>146</v>
      </c>
      <c r="C130" s="128">
        <f t="shared" si="9"/>
        <v>972</v>
      </c>
      <c r="D130" s="134">
        <v>10</v>
      </c>
      <c r="E130" s="283"/>
      <c r="F130" s="279">
        <f t="shared" si="10"/>
        <v>10</v>
      </c>
      <c r="G130" s="134"/>
      <c r="H130" s="135"/>
      <c r="I130" s="136">
        <f t="shared" si="11"/>
        <v>0</v>
      </c>
      <c r="J130" s="134">
        <v>962</v>
      </c>
      <c r="K130" s="135"/>
      <c r="L130" s="136">
        <f t="shared" si="12"/>
        <v>962</v>
      </c>
      <c r="M130" s="284"/>
      <c r="N130" s="285"/>
      <c r="O130" s="136">
        <f t="shared" si="13"/>
        <v>0</v>
      </c>
      <c r="P130" s="85"/>
      <c r="R130" s="53"/>
      <c r="S130" s="53"/>
      <c r="T130" s="53"/>
    </row>
    <row r="131" spans="1:20" ht="24" hidden="1" x14ac:dyDescent="0.25">
      <c r="A131" s="656">
        <v>2280</v>
      </c>
      <c r="B131" s="116" t="s">
        <v>147</v>
      </c>
      <c r="C131" s="128">
        <f t="shared" si="9"/>
        <v>0</v>
      </c>
      <c r="D131" s="297">
        <f t="shared" ref="D131:N131" si="14">SUM(D132)</f>
        <v>0</v>
      </c>
      <c r="E131" s="301">
        <f t="shared" si="14"/>
        <v>0</v>
      </c>
      <c r="F131" s="263">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c r="R131" s="53"/>
      <c r="S131" s="53"/>
      <c r="T131" s="53"/>
    </row>
    <row r="132" spans="1:20" ht="24" hidden="1" x14ac:dyDescent="0.25">
      <c r="A132" s="76">
        <v>2283</v>
      </c>
      <c r="B132" s="127" t="s">
        <v>148</v>
      </c>
      <c r="C132" s="128">
        <f t="shared" si="9"/>
        <v>0</v>
      </c>
      <c r="D132" s="134"/>
      <c r="E132" s="285"/>
      <c r="F132" s="286">
        <f t="shared" si="10"/>
        <v>0</v>
      </c>
      <c r="G132" s="134"/>
      <c r="H132" s="135"/>
      <c r="I132" s="136">
        <f t="shared" si="11"/>
        <v>0</v>
      </c>
      <c r="J132" s="134"/>
      <c r="K132" s="135"/>
      <c r="L132" s="136">
        <f t="shared" si="12"/>
        <v>0</v>
      </c>
      <c r="M132" s="284"/>
      <c r="N132" s="285"/>
      <c r="O132" s="136">
        <f t="shared" si="13"/>
        <v>0</v>
      </c>
      <c r="P132" s="85"/>
      <c r="R132" s="53"/>
      <c r="S132" s="53"/>
      <c r="T132" s="53"/>
    </row>
    <row r="133" spans="1:20" ht="36" x14ac:dyDescent="0.25">
      <c r="A133" s="99">
        <v>2300</v>
      </c>
      <c r="B133" s="247" t="s">
        <v>149</v>
      </c>
      <c r="C133" s="100">
        <f t="shared" si="9"/>
        <v>24145</v>
      </c>
      <c r="D133" s="112">
        <f>SUM(D134,D139,D143,D144,D147,D154,D162,D163,D166)</f>
        <v>18787</v>
      </c>
      <c r="E133" s="248">
        <f>SUM(E134,E139,E143,E144,E147,E154,E162,E163,E166)</f>
        <v>0</v>
      </c>
      <c r="F133" s="249">
        <f t="shared" si="10"/>
        <v>18787</v>
      </c>
      <c r="G133" s="112">
        <f>SUM(G134,G139,G143,G144,G147,G154,G162,G163,G166)</f>
        <v>1325</v>
      </c>
      <c r="H133" s="113">
        <f>SUM(H134,H139,H143,H144,H147,H154,H162,H163,H166)</f>
        <v>0</v>
      </c>
      <c r="I133" s="114">
        <f t="shared" si="11"/>
        <v>1325</v>
      </c>
      <c r="J133" s="112">
        <f>SUM(J134,J139,J143,J144,J147,J154,J162,J163,J166)</f>
        <v>4033</v>
      </c>
      <c r="K133" s="113">
        <f>SUM(K134,K139,K143,K144,K147,K154,K162,K163,K166)</f>
        <v>0</v>
      </c>
      <c r="L133" s="114">
        <f t="shared" si="12"/>
        <v>4033</v>
      </c>
      <c r="M133" s="292">
        <f>SUM(M134,M139,M143,M144,M147,M154,M162,M163,M166)</f>
        <v>0</v>
      </c>
      <c r="N133" s="293">
        <f>SUM(N134,N139,N143,N144,N147,N154,N162,N163,N166)</f>
        <v>0</v>
      </c>
      <c r="O133" s="114">
        <f t="shared" si="13"/>
        <v>0</v>
      </c>
      <c r="P133" s="109"/>
      <c r="R133" s="53"/>
      <c r="S133" s="53"/>
      <c r="T133" s="53"/>
    </row>
    <row r="134" spans="1:20" ht="24" x14ac:dyDescent="0.25">
      <c r="A134" s="656">
        <v>2310</v>
      </c>
      <c r="B134" s="116" t="s">
        <v>150</v>
      </c>
      <c r="C134" s="117">
        <f t="shared" si="9"/>
        <v>10051</v>
      </c>
      <c r="D134" s="308">
        <f>SUM(D135:D138)</f>
        <v>9701</v>
      </c>
      <c r="E134" s="300">
        <f>SUM(E135:E138)</f>
        <v>0</v>
      </c>
      <c r="F134" s="296">
        <f t="shared" si="10"/>
        <v>9701</v>
      </c>
      <c r="G134" s="297">
        <f>SUM(G135:G138)</f>
        <v>0</v>
      </c>
      <c r="H134" s="299">
        <f>SUM(H135:H138)</f>
        <v>0</v>
      </c>
      <c r="I134" s="125">
        <f t="shared" si="11"/>
        <v>0</v>
      </c>
      <c r="J134" s="297">
        <f>SUM(J135:J138)</f>
        <v>350</v>
      </c>
      <c r="K134" s="299">
        <f>SUM(K135:K138)</f>
        <v>0</v>
      </c>
      <c r="L134" s="125">
        <f t="shared" si="12"/>
        <v>350</v>
      </c>
      <c r="M134" s="300">
        <f>SUM(M135:M138)</f>
        <v>0</v>
      </c>
      <c r="N134" s="301">
        <f>SUM(N135:N138)</f>
        <v>0</v>
      </c>
      <c r="O134" s="125">
        <f t="shared" si="13"/>
        <v>0</v>
      </c>
      <c r="P134" s="74"/>
      <c r="R134" s="53"/>
      <c r="S134" s="53"/>
      <c r="T134" s="53"/>
    </row>
    <row r="135" spans="1:20" x14ac:dyDescent="0.25">
      <c r="A135" s="76">
        <v>2311</v>
      </c>
      <c r="B135" s="127" t="s">
        <v>151</v>
      </c>
      <c r="C135" s="128">
        <f t="shared" si="9"/>
        <v>350</v>
      </c>
      <c r="D135" s="134">
        <v>350</v>
      </c>
      <c r="E135" s="283"/>
      <c r="F135" s="279">
        <f t="shared" si="10"/>
        <v>350</v>
      </c>
      <c r="G135" s="134"/>
      <c r="H135" s="135"/>
      <c r="I135" s="136">
        <f t="shared" si="11"/>
        <v>0</v>
      </c>
      <c r="J135" s="134"/>
      <c r="K135" s="135"/>
      <c r="L135" s="136">
        <f t="shared" si="12"/>
        <v>0</v>
      </c>
      <c r="M135" s="284"/>
      <c r="N135" s="285"/>
      <c r="O135" s="136">
        <f t="shared" si="13"/>
        <v>0</v>
      </c>
      <c r="P135" s="85"/>
      <c r="R135" s="53"/>
      <c r="S135" s="53"/>
      <c r="T135" s="53"/>
    </row>
    <row r="136" spans="1:20" x14ac:dyDescent="0.25">
      <c r="A136" s="76">
        <v>2312</v>
      </c>
      <c r="B136" s="127" t="s">
        <v>152</v>
      </c>
      <c r="C136" s="128">
        <f t="shared" si="9"/>
        <v>9551</v>
      </c>
      <c r="D136" s="134">
        <v>9201</v>
      </c>
      <c r="E136" s="283"/>
      <c r="F136" s="279">
        <f t="shared" si="10"/>
        <v>9201</v>
      </c>
      <c r="G136" s="134"/>
      <c r="H136" s="135"/>
      <c r="I136" s="136">
        <f t="shared" si="11"/>
        <v>0</v>
      </c>
      <c r="J136" s="134">
        <v>350</v>
      </c>
      <c r="K136" s="135"/>
      <c r="L136" s="136">
        <f t="shared" si="12"/>
        <v>350</v>
      </c>
      <c r="M136" s="284"/>
      <c r="N136" s="285"/>
      <c r="O136" s="136">
        <f t="shared" si="13"/>
        <v>0</v>
      </c>
      <c r="P136" s="309"/>
      <c r="R136" s="53"/>
      <c r="S136" s="53"/>
      <c r="T136" s="53"/>
    </row>
    <row r="137" spans="1:20" x14ac:dyDescent="0.25">
      <c r="A137" s="76">
        <v>2313</v>
      </c>
      <c r="B137" s="127" t="s">
        <v>153</v>
      </c>
      <c r="C137" s="128">
        <f t="shared" si="9"/>
        <v>150</v>
      </c>
      <c r="D137" s="134">
        <v>150</v>
      </c>
      <c r="E137" s="283"/>
      <c r="F137" s="279">
        <f t="shared" si="10"/>
        <v>150</v>
      </c>
      <c r="G137" s="134"/>
      <c r="H137" s="135"/>
      <c r="I137" s="136">
        <f t="shared" si="11"/>
        <v>0</v>
      </c>
      <c r="J137" s="134"/>
      <c r="K137" s="135"/>
      <c r="L137" s="136">
        <f t="shared" si="12"/>
        <v>0</v>
      </c>
      <c r="M137" s="284"/>
      <c r="N137" s="285"/>
      <c r="O137" s="136">
        <f t="shared" si="13"/>
        <v>0</v>
      </c>
      <c r="P137" s="85"/>
      <c r="R137" s="53"/>
      <c r="S137" s="53"/>
      <c r="T137" s="53"/>
    </row>
    <row r="138" spans="1:20" ht="33.75" hidden="1" customHeight="1" x14ac:dyDescent="0.25">
      <c r="A138" s="76">
        <v>2314</v>
      </c>
      <c r="B138" s="127" t="s">
        <v>154</v>
      </c>
      <c r="C138" s="128">
        <f t="shared" si="9"/>
        <v>0</v>
      </c>
      <c r="D138" s="134"/>
      <c r="E138" s="285"/>
      <c r="F138" s="286">
        <f t="shared" si="10"/>
        <v>0</v>
      </c>
      <c r="G138" s="134"/>
      <c r="H138" s="135"/>
      <c r="I138" s="136">
        <f t="shared" si="11"/>
        <v>0</v>
      </c>
      <c r="J138" s="134"/>
      <c r="K138" s="135"/>
      <c r="L138" s="136">
        <f t="shared" si="12"/>
        <v>0</v>
      </c>
      <c r="M138" s="284"/>
      <c r="N138" s="285"/>
      <c r="O138" s="136">
        <f t="shared" si="13"/>
        <v>0</v>
      </c>
      <c r="P138" s="85"/>
      <c r="R138" s="53"/>
      <c r="S138" s="53"/>
      <c r="T138" s="53"/>
    </row>
    <row r="139" spans="1:20" x14ac:dyDescent="0.25">
      <c r="A139" s="276">
        <v>2320</v>
      </c>
      <c r="B139" s="127" t="s">
        <v>155</v>
      </c>
      <c r="C139" s="128">
        <f t="shared" si="9"/>
        <v>35</v>
      </c>
      <c r="D139" s="277">
        <f>SUM(D140:D142)</f>
        <v>35</v>
      </c>
      <c r="E139" s="278">
        <f>SUM(E140:E142)</f>
        <v>0</v>
      </c>
      <c r="F139" s="279">
        <f t="shared" si="10"/>
        <v>35</v>
      </c>
      <c r="G139" s="277">
        <f>SUM(G140:G142)</f>
        <v>0</v>
      </c>
      <c r="H139" s="280">
        <f>SUM(H140:H142)</f>
        <v>0</v>
      </c>
      <c r="I139" s="136">
        <f t="shared" si="11"/>
        <v>0</v>
      </c>
      <c r="J139" s="277">
        <f>SUM(J140:J142)</f>
        <v>0</v>
      </c>
      <c r="K139" s="280">
        <f>SUM(K140:K142)</f>
        <v>0</v>
      </c>
      <c r="L139" s="136">
        <f t="shared" si="12"/>
        <v>0</v>
      </c>
      <c r="M139" s="281">
        <f>SUM(M140:M142)</f>
        <v>0</v>
      </c>
      <c r="N139" s="282">
        <f>SUM(N140:N142)</f>
        <v>0</v>
      </c>
      <c r="O139" s="136">
        <f t="shared" si="13"/>
        <v>0</v>
      </c>
      <c r="P139" s="85"/>
      <c r="R139" s="53"/>
      <c r="S139" s="53"/>
      <c r="T139" s="53"/>
    </row>
    <row r="140" spans="1:20" hidden="1" x14ac:dyDescent="0.25">
      <c r="A140" s="76">
        <v>2321</v>
      </c>
      <c r="B140" s="127" t="s">
        <v>156</v>
      </c>
      <c r="C140" s="128">
        <f t="shared" si="9"/>
        <v>0</v>
      </c>
      <c r="D140" s="134"/>
      <c r="E140" s="285"/>
      <c r="F140" s="286">
        <f t="shared" si="10"/>
        <v>0</v>
      </c>
      <c r="G140" s="134"/>
      <c r="H140" s="135"/>
      <c r="I140" s="136">
        <f t="shared" si="11"/>
        <v>0</v>
      </c>
      <c r="J140" s="134"/>
      <c r="K140" s="135"/>
      <c r="L140" s="136">
        <f t="shared" si="12"/>
        <v>0</v>
      </c>
      <c r="M140" s="284"/>
      <c r="N140" s="285"/>
      <c r="O140" s="136">
        <f t="shared" si="13"/>
        <v>0</v>
      </c>
      <c r="P140" s="85"/>
      <c r="R140" s="53"/>
      <c r="S140" s="53"/>
      <c r="T140" s="53"/>
    </row>
    <row r="141" spans="1:20" x14ac:dyDescent="0.25">
      <c r="A141" s="265">
        <v>2322</v>
      </c>
      <c r="B141" s="266" t="s">
        <v>157</v>
      </c>
      <c r="C141" s="267">
        <f t="shared" si="9"/>
        <v>35</v>
      </c>
      <c r="D141" s="268">
        <v>35</v>
      </c>
      <c r="E141" s="269"/>
      <c r="F141" s="270">
        <f t="shared" si="10"/>
        <v>35</v>
      </c>
      <c r="G141" s="268"/>
      <c r="H141" s="271"/>
      <c r="I141" s="272">
        <f t="shared" si="11"/>
        <v>0</v>
      </c>
      <c r="J141" s="268"/>
      <c r="K141" s="271"/>
      <c r="L141" s="272">
        <f t="shared" si="12"/>
        <v>0</v>
      </c>
      <c r="M141" s="273"/>
      <c r="N141" s="274"/>
      <c r="O141" s="272">
        <f t="shared" si="13"/>
        <v>0</v>
      </c>
      <c r="P141" s="275"/>
      <c r="R141" s="53"/>
      <c r="S141" s="53"/>
      <c r="T141" s="53"/>
    </row>
    <row r="142" spans="1:20" hidden="1" x14ac:dyDescent="0.25">
      <c r="A142" s="76">
        <v>2329</v>
      </c>
      <c r="B142" s="127" t="s">
        <v>158</v>
      </c>
      <c r="C142" s="128">
        <f t="shared" si="9"/>
        <v>0</v>
      </c>
      <c r="D142" s="134"/>
      <c r="E142" s="285"/>
      <c r="F142" s="286">
        <f t="shared" si="10"/>
        <v>0</v>
      </c>
      <c r="G142" s="134"/>
      <c r="H142" s="135"/>
      <c r="I142" s="136">
        <f t="shared" si="11"/>
        <v>0</v>
      </c>
      <c r="J142" s="134"/>
      <c r="K142" s="135"/>
      <c r="L142" s="136">
        <f t="shared" si="12"/>
        <v>0</v>
      </c>
      <c r="M142" s="284"/>
      <c r="N142" s="285"/>
      <c r="O142" s="136">
        <f t="shared" si="13"/>
        <v>0</v>
      </c>
      <c r="P142" s="85"/>
      <c r="R142" s="53"/>
      <c r="S142" s="53"/>
      <c r="T142" s="53"/>
    </row>
    <row r="143" spans="1:20" hidden="1" x14ac:dyDescent="0.25">
      <c r="A143" s="276">
        <v>2330</v>
      </c>
      <c r="B143" s="127" t="s">
        <v>159</v>
      </c>
      <c r="C143" s="128">
        <f t="shared" si="9"/>
        <v>0</v>
      </c>
      <c r="D143" s="134"/>
      <c r="E143" s="285"/>
      <c r="F143" s="286">
        <f t="shared" si="10"/>
        <v>0</v>
      </c>
      <c r="G143" s="134"/>
      <c r="H143" s="135"/>
      <c r="I143" s="136">
        <f t="shared" si="11"/>
        <v>0</v>
      </c>
      <c r="J143" s="134"/>
      <c r="K143" s="135"/>
      <c r="L143" s="136">
        <f t="shared" si="12"/>
        <v>0</v>
      </c>
      <c r="M143" s="284"/>
      <c r="N143" s="285"/>
      <c r="O143" s="136">
        <f t="shared" si="13"/>
        <v>0</v>
      </c>
      <c r="P143" s="85"/>
      <c r="R143" s="53"/>
      <c r="S143" s="53"/>
      <c r="T143" s="53"/>
    </row>
    <row r="144" spans="1:20" ht="36" customHeight="1" x14ac:dyDescent="0.25">
      <c r="A144" s="276">
        <v>2340</v>
      </c>
      <c r="B144" s="127" t="s">
        <v>160</v>
      </c>
      <c r="C144" s="128">
        <f t="shared" si="9"/>
        <v>217</v>
      </c>
      <c r="D144" s="277">
        <f>SUM(D145:D146)</f>
        <v>217</v>
      </c>
      <c r="E144" s="278">
        <f>SUM(E145:E146)</f>
        <v>0</v>
      </c>
      <c r="F144" s="279">
        <f t="shared" si="10"/>
        <v>217</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c r="R144" s="53"/>
      <c r="S144" s="53"/>
      <c r="T144" s="53"/>
    </row>
    <row r="145" spans="1:20" x14ac:dyDescent="0.25">
      <c r="A145" s="76">
        <v>2341</v>
      </c>
      <c r="B145" s="127" t="s">
        <v>161</v>
      </c>
      <c r="C145" s="128">
        <f t="shared" si="9"/>
        <v>217</v>
      </c>
      <c r="D145" s="134">
        <v>217</v>
      </c>
      <c r="E145" s="283"/>
      <c r="F145" s="279">
        <f t="shared" si="10"/>
        <v>217</v>
      </c>
      <c r="G145" s="134"/>
      <c r="H145" s="135"/>
      <c r="I145" s="136">
        <f t="shared" si="11"/>
        <v>0</v>
      </c>
      <c r="J145" s="134"/>
      <c r="K145" s="135"/>
      <c r="L145" s="136">
        <f t="shared" si="12"/>
        <v>0</v>
      </c>
      <c r="M145" s="284"/>
      <c r="N145" s="285"/>
      <c r="O145" s="136">
        <f t="shared" si="13"/>
        <v>0</v>
      </c>
      <c r="P145" s="85"/>
      <c r="R145" s="53"/>
      <c r="S145" s="53"/>
      <c r="T145" s="53"/>
    </row>
    <row r="146" spans="1:20" ht="24" hidden="1" x14ac:dyDescent="0.25">
      <c r="A146" s="76">
        <v>2344</v>
      </c>
      <c r="B146" s="127" t="s">
        <v>162</v>
      </c>
      <c r="C146" s="128">
        <f t="shared" si="9"/>
        <v>0</v>
      </c>
      <c r="D146" s="134"/>
      <c r="E146" s="285"/>
      <c r="F146" s="286">
        <f t="shared" si="10"/>
        <v>0</v>
      </c>
      <c r="G146" s="134"/>
      <c r="H146" s="135"/>
      <c r="I146" s="136">
        <f t="shared" si="11"/>
        <v>0</v>
      </c>
      <c r="J146" s="134"/>
      <c r="K146" s="135"/>
      <c r="L146" s="136">
        <f t="shared" si="12"/>
        <v>0</v>
      </c>
      <c r="M146" s="284"/>
      <c r="N146" s="285"/>
      <c r="O146" s="136">
        <f t="shared" si="13"/>
        <v>0</v>
      </c>
      <c r="P146" s="85"/>
      <c r="R146" s="53"/>
      <c r="S146" s="53"/>
      <c r="T146" s="53"/>
    </row>
    <row r="147" spans="1:20" ht="24" x14ac:dyDescent="0.25">
      <c r="A147" s="254">
        <v>2350</v>
      </c>
      <c r="B147" s="179" t="s">
        <v>163</v>
      </c>
      <c r="C147" s="128">
        <f t="shared" si="9"/>
        <v>2716</v>
      </c>
      <c r="D147" s="255">
        <f>SUM(D148:D153)</f>
        <v>2716</v>
      </c>
      <c r="E147" s="256">
        <f>SUM(E148:E153)</f>
        <v>0</v>
      </c>
      <c r="F147" s="257">
        <f t="shared" si="10"/>
        <v>2716</v>
      </c>
      <c r="G147" s="255">
        <f>SUM(G148:G153)</f>
        <v>0</v>
      </c>
      <c r="H147" s="258">
        <f>SUM(H148:H153)</f>
        <v>0</v>
      </c>
      <c r="I147" s="259">
        <f t="shared" si="11"/>
        <v>0</v>
      </c>
      <c r="J147" s="255">
        <f>SUM(J148:J153)</f>
        <v>0</v>
      </c>
      <c r="K147" s="258">
        <f>SUM(K148:K153)</f>
        <v>0</v>
      </c>
      <c r="L147" s="259">
        <f t="shared" si="12"/>
        <v>0</v>
      </c>
      <c r="M147" s="260">
        <f>SUM(M148:M153)</f>
        <v>0</v>
      </c>
      <c r="N147" s="261">
        <f>SUM(N148:N153)</f>
        <v>0</v>
      </c>
      <c r="O147" s="259">
        <f t="shared" si="13"/>
        <v>0</v>
      </c>
      <c r="P147" s="189"/>
      <c r="R147" s="53"/>
      <c r="S147" s="53"/>
      <c r="T147" s="53"/>
    </row>
    <row r="148" spans="1:20" x14ac:dyDescent="0.25">
      <c r="A148" s="66">
        <v>2351</v>
      </c>
      <c r="B148" s="116" t="s">
        <v>164</v>
      </c>
      <c r="C148" s="128">
        <f t="shared" si="9"/>
        <v>500</v>
      </c>
      <c r="D148" s="123">
        <v>500</v>
      </c>
      <c r="E148" s="295"/>
      <c r="F148" s="296">
        <f t="shared" si="10"/>
        <v>500</v>
      </c>
      <c r="G148" s="123"/>
      <c r="H148" s="124"/>
      <c r="I148" s="125">
        <f t="shared" si="11"/>
        <v>0</v>
      </c>
      <c r="J148" s="123"/>
      <c r="K148" s="124"/>
      <c r="L148" s="125">
        <f t="shared" si="12"/>
        <v>0</v>
      </c>
      <c r="M148" s="264"/>
      <c r="N148" s="262"/>
      <c r="O148" s="125">
        <f t="shared" si="13"/>
        <v>0</v>
      </c>
      <c r="P148" s="74"/>
      <c r="R148" s="53"/>
      <c r="S148" s="53"/>
      <c r="T148" s="53"/>
    </row>
    <row r="149" spans="1:20" x14ac:dyDescent="0.25">
      <c r="A149" s="76">
        <v>2352</v>
      </c>
      <c r="B149" s="127" t="s">
        <v>165</v>
      </c>
      <c r="C149" s="128">
        <f t="shared" si="9"/>
        <v>2216</v>
      </c>
      <c r="D149" s="134">
        <v>2216</v>
      </c>
      <c r="E149" s="283"/>
      <c r="F149" s="279">
        <f t="shared" si="10"/>
        <v>2216</v>
      </c>
      <c r="G149" s="134"/>
      <c r="H149" s="135"/>
      <c r="I149" s="136">
        <f t="shared" si="11"/>
        <v>0</v>
      </c>
      <c r="J149" s="134"/>
      <c r="K149" s="135"/>
      <c r="L149" s="136">
        <f t="shared" si="12"/>
        <v>0</v>
      </c>
      <c r="M149" s="284"/>
      <c r="N149" s="285"/>
      <c r="O149" s="136">
        <f t="shared" si="13"/>
        <v>0</v>
      </c>
      <c r="P149" s="85"/>
      <c r="R149" s="53"/>
      <c r="S149" s="53"/>
      <c r="T149" s="53"/>
    </row>
    <row r="150" spans="1:20" ht="24" hidden="1" x14ac:dyDescent="0.25">
      <c r="A150" s="76">
        <v>2353</v>
      </c>
      <c r="B150" s="127" t="s">
        <v>166</v>
      </c>
      <c r="C150" s="128">
        <f t="shared" si="9"/>
        <v>0</v>
      </c>
      <c r="D150" s="134"/>
      <c r="E150" s="285"/>
      <c r="F150" s="286">
        <f t="shared" si="10"/>
        <v>0</v>
      </c>
      <c r="G150" s="134"/>
      <c r="H150" s="135"/>
      <c r="I150" s="136">
        <f t="shared" si="11"/>
        <v>0</v>
      </c>
      <c r="J150" s="134"/>
      <c r="K150" s="135"/>
      <c r="L150" s="136">
        <f t="shared" si="12"/>
        <v>0</v>
      </c>
      <c r="M150" s="284"/>
      <c r="N150" s="285"/>
      <c r="O150" s="136">
        <f t="shared" si="13"/>
        <v>0</v>
      </c>
      <c r="P150" s="85"/>
      <c r="R150" s="53"/>
      <c r="S150" s="53"/>
      <c r="T150" s="53"/>
    </row>
    <row r="151" spans="1:20" ht="24" hidden="1" x14ac:dyDescent="0.25">
      <c r="A151" s="76">
        <v>2354</v>
      </c>
      <c r="B151" s="127" t="s">
        <v>167</v>
      </c>
      <c r="C151" s="128">
        <f t="shared" si="9"/>
        <v>0</v>
      </c>
      <c r="D151" s="134"/>
      <c r="E151" s="285"/>
      <c r="F151" s="286">
        <f t="shared" si="10"/>
        <v>0</v>
      </c>
      <c r="G151" s="134"/>
      <c r="H151" s="135"/>
      <c r="I151" s="136">
        <f t="shared" si="11"/>
        <v>0</v>
      </c>
      <c r="J151" s="134"/>
      <c r="K151" s="135"/>
      <c r="L151" s="136">
        <f t="shared" si="12"/>
        <v>0</v>
      </c>
      <c r="M151" s="284"/>
      <c r="N151" s="285"/>
      <c r="O151" s="136">
        <f t="shared" si="13"/>
        <v>0</v>
      </c>
      <c r="P151" s="85"/>
      <c r="R151" s="53"/>
      <c r="S151" s="53"/>
      <c r="T151" s="53"/>
    </row>
    <row r="152" spans="1:20" ht="24" hidden="1" x14ac:dyDescent="0.25">
      <c r="A152" s="76">
        <v>2355</v>
      </c>
      <c r="B152" s="127" t="s">
        <v>168</v>
      </c>
      <c r="C152" s="128">
        <f t="shared" si="9"/>
        <v>0</v>
      </c>
      <c r="D152" s="134"/>
      <c r="E152" s="285"/>
      <c r="F152" s="286">
        <f t="shared" si="10"/>
        <v>0</v>
      </c>
      <c r="G152" s="134"/>
      <c r="H152" s="135"/>
      <c r="I152" s="136">
        <f t="shared" si="11"/>
        <v>0</v>
      </c>
      <c r="J152" s="134"/>
      <c r="K152" s="135"/>
      <c r="L152" s="136">
        <f t="shared" si="12"/>
        <v>0</v>
      </c>
      <c r="M152" s="284"/>
      <c r="N152" s="285"/>
      <c r="O152" s="136">
        <f t="shared" si="13"/>
        <v>0</v>
      </c>
      <c r="P152" s="85"/>
      <c r="R152" s="53"/>
      <c r="S152" s="53"/>
      <c r="T152" s="53"/>
    </row>
    <row r="153" spans="1:20" ht="24" hidden="1" x14ac:dyDescent="0.25">
      <c r="A153" s="76">
        <v>2359</v>
      </c>
      <c r="B153" s="127" t="s">
        <v>169</v>
      </c>
      <c r="C153" s="128">
        <f t="shared" si="9"/>
        <v>0</v>
      </c>
      <c r="D153" s="134"/>
      <c r="E153" s="285"/>
      <c r="F153" s="286">
        <f t="shared" si="10"/>
        <v>0</v>
      </c>
      <c r="G153" s="134"/>
      <c r="H153" s="135"/>
      <c r="I153" s="136">
        <f t="shared" si="11"/>
        <v>0</v>
      </c>
      <c r="J153" s="134"/>
      <c r="K153" s="135"/>
      <c r="L153" s="136">
        <f t="shared" si="12"/>
        <v>0</v>
      </c>
      <c r="M153" s="284"/>
      <c r="N153" s="285"/>
      <c r="O153" s="136">
        <f t="shared" si="13"/>
        <v>0</v>
      </c>
      <c r="P153" s="85"/>
      <c r="R153" s="53"/>
      <c r="S153" s="53"/>
      <c r="T153" s="53"/>
    </row>
    <row r="154" spans="1:20" ht="24" x14ac:dyDescent="0.25">
      <c r="A154" s="276">
        <v>2360</v>
      </c>
      <c r="B154" s="127" t="s">
        <v>170</v>
      </c>
      <c r="C154" s="128">
        <f t="shared" si="9"/>
        <v>8124</v>
      </c>
      <c r="D154" s="277">
        <f>SUM(D155:D161)</f>
        <v>4441</v>
      </c>
      <c r="E154" s="278">
        <f>SUM(E155:E161)</f>
        <v>0</v>
      </c>
      <c r="F154" s="279">
        <f t="shared" si="10"/>
        <v>4441</v>
      </c>
      <c r="G154" s="277">
        <f>SUM(G155:G161)</f>
        <v>0</v>
      </c>
      <c r="H154" s="280">
        <f>SUM(H155:H161)</f>
        <v>0</v>
      </c>
      <c r="I154" s="136">
        <f t="shared" si="11"/>
        <v>0</v>
      </c>
      <c r="J154" s="277">
        <f>SUM(J155:J161)</f>
        <v>3683</v>
      </c>
      <c r="K154" s="280">
        <f>SUM(K155:K161)</f>
        <v>0</v>
      </c>
      <c r="L154" s="136">
        <f t="shared" si="12"/>
        <v>3683</v>
      </c>
      <c r="M154" s="281">
        <f>SUM(M155:M161)</f>
        <v>0</v>
      </c>
      <c r="N154" s="282">
        <f>SUM(N155:N161)</f>
        <v>0</v>
      </c>
      <c r="O154" s="136">
        <f t="shared" si="13"/>
        <v>0</v>
      </c>
      <c r="P154" s="85"/>
      <c r="R154" s="53"/>
      <c r="S154" s="53"/>
      <c r="T154" s="53"/>
    </row>
    <row r="155" spans="1:20" x14ac:dyDescent="0.25">
      <c r="A155" s="781">
        <v>2361</v>
      </c>
      <c r="B155" s="266" t="s">
        <v>171</v>
      </c>
      <c r="C155" s="267">
        <f t="shared" si="9"/>
        <v>3054</v>
      </c>
      <c r="D155" s="268">
        <v>3054</v>
      </c>
      <c r="E155" s="269"/>
      <c r="F155" s="270">
        <f t="shared" si="10"/>
        <v>3054</v>
      </c>
      <c r="G155" s="268"/>
      <c r="H155" s="271"/>
      <c r="I155" s="272">
        <f t="shared" si="11"/>
        <v>0</v>
      </c>
      <c r="J155" s="268"/>
      <c r="K155" s="271"/>
      <c r="L155" s="272">
        <f t="shared" si="12"/>
        <v>0</v>
      </c>
      <c r="M155" s="273"/>
      <c r="N155" s="274"/>
      <c r="O155" s="272">
        <f t="shared" si="13"/>
        <v>0</v>
      </c>
      <c r="P155" s="275"/>
      <c r="R155" s="53"/>
      <c r="S155" s="53"/>
      <c r="T155" s="53"/>
    </row>
    <row r="156" spans="1:20" ht="24" x14ac:dyDescent="0.25">
      <c r="A156" s="75">
        <v>2362</v>
      </c>
      <c r="B156" s="127" t="s">
        <v>172</v>
      </c>
      <c r="C156" s="128">
        <f t="shared" si="9"/>
        <v>1387</v>
      </c>
      <c r="D156" s="134">
        <v>1387</v>
      </c>
      <c r="E156" s="283"/>
      <c r="F156" s="279">
        <f t="shared" si="10"/>
        <v>1387</v>
      </c>
      <c r="G156" s="134"/>
      <c r="H156" s="135"/>
      <c r="I156" s="136">
        <f t="shared" si="11"/>
        <v>0</v>
      </c>
      <c r="J156" s="134"/>
      <c r="K156" s="135"/>
      <c r="L156" s="136">
        <f t="shared" si="12"/>
        <v>0</v>
      </c>
      <c r="M156" s="284"/>
      <c r="N156" s="285"/>
      <c r="O156" s="136">
        <f t="shared" si="13"/>
        <v>0</v>
      </c>
      <c r="P156" s="85"/>
      <c r="R156" s="53"/>
      <c r="S156" s="53"/>
      <c r="T156" s="53"/>
    </row>
    <row r="157" spans="1:20" x14ac:dyDescent="0.25">
      <c r="A157" s="75">
        <v>2363</v>
      </c>
      <c r="B157" s="127" t="s">
        <v>173</v>
      </c>
      <c r="C157" s="128">
        <f t="shared" si="9"/>
        <v>3683</v>
      </c>
      <c r="D157" s="134"/>
      <c r="E157" s="283"/>
      <c r="F157" s="279">
        <f t="shared" si="10"/>
        <v>0</v>
      </c>
      <c r="G157" s="134"/>
      <c r="H157" s="135"/>
      <c r="I157" s="136">
        <f t="shared" si="11"/>
        <v>0</v>
      </c>
      <c r="J157" s="134">
        <v>3683</v>
      </c>
      <c r="K157" s="135"/>
      <c r="L157" s="136">
        <f t="shared" si="12"/>
        <v>3683</v>
      </c>
      <c r="M157" s="284"/>
      <c r="N157" s="285"/>
      <c r="O157" s="136">
        <f t="shared" si="13"/>
        <v>0</v>
      </c>
      <c r="P157" s="85"/>
      <c r="R157" s="53"/>
      <c r="S157" s="53"/>
      <c r="T157" s="53"/>
    </row>
    <row r="158" spans="1:20" hidden="1" x14ac:dyDescent="0.25">
      <c r="A158" s="75">
        <v>2364</v>
      </c>
      <c r="B158" s="127" t="s">
        <v>174</v>
      </c>
      <c r="C158" s="128">
        <f t="shared" si="9"/>
        <v>0</v>
      </c>
      <c r="D158" s="134"/>
      <c r="E158" s="285"/>
      <c r="F158" s="286">
        <f t="shared" si="10"/>
        <v>0</v>
      </c>
      <c r="G158" s="134"/>
      <c r="H158" s="135"/>
      <c r="I158" s="136">
        <f t="shared" si="11"/>
        <v>0</v>
      </c>
      <c r="J158" s="134"/>
      <c r="K158" s="135"/>
      <c r="L158" s="136">
        <f t="shared" si="12"/>
        <v>0</v>
      </c>
      <c r="M158" s="284"/>
      <c r="N158" s="285"/>
      <c r="O158" s="136">
        <f t="shared" si="13"/>
        <v>0</v>
      </c>
      <c r="P158" s="85"/>
      <c r="R158" s="53"/>
      <c r="S158" s="53"/>
      <c r="T158" s="53"/>
    </row>
    <row r="159" spans="1:20" hidden="1" x14ac:dyDescent="0.25">
      <c r="A159" s="75">
        <v>2365</v>
      </c>
      <c r="B159" s="127" t="s">
        <v>175</v>
      </c>
      <c r="C159" s="128">
        <f t="shared" si="9"/>
        <v>0</v>
      </c>
      <c r="D159" s="134"/>
      <c r="E159" s="285"/>
      <c r="F159" s="286">
        <f t="shared" si="10"/>
        <v>0</v>
      </c>
      <c r="G159" s="134"/>
      <c r="H159" s="135"/>
      <c r="I159" s="136">
        <f t="shared" si="11"/>
        <v>0</v>
      </c>
      <c r="J159" s="134"/>
      <c r="K159" s="135"/>
      <c r="L159" s="136">
        <f t="shared" si="12"/>
        <v>0</v>
      </c>
      <c r="M159" s="284"/>
      <c r="N159" s="285"/>
      <c r="O159" s="136">
        <f t="shared" si="13"/>
        <v>0</v>
      </c>
      <c r="P159" s="85"/>
      <c r="R159" s="53"/>
      <c r="S159" s="53"/>
      <c r="T159" s="53"/>
    </row>
    <row r="160" spans="1:20" ht="36" hidden="1" x14ac:dyDescent="0.25">
      <c r="A160" s="75">
        <v>2366</v>
      </c>
      <c r="B160" s="127" t="s">
        <v>176</v>
      </c>
      <c r="C160" s="128">
        <f t="shared" si="9"/>
        <v>0</v>
      </c>
      <c r="D160" s="134"/>
      <c r="E160" s="285"/>
      <c r="F160" s="286">
        <f t="shared" si="10"/>
        <v>0</v>
      </c>
      <c r="G160" s="134"/>
      <c r="H160" s="135"/>
      <c r="I160" s="136">
        <f t="shared" si="11"/>
        <v>0</v>
      </c>
      <c r="J160" s="134"/>
      <c r="K160" s="135"/>
      <c r="L160" s="136">
        <f t="shared" si="12"/>
        <v>0</v>
      </c>
      <c r="M160" s="284"/>
      <c r="N160" s="285"/>
      <c r="O160" s="136">
        <f t="shared" si="13"/>
        <v>0</v>
      </c>
      <c r="P160" s="85"/>
      <c r="R160" s="53"/>
      <c r="S160" s="53"/>
      <c r="T160" s="53"/>
    </row>
    <row r="161" spans="1:20" ht="48" hidden="1" x14ac:dyDescent="0.25">
      <c r="A161" s="75">
        <v>2369</v>
      </c>
      <c r="B161" s="127" t="s">
        <v>177</v>
      </c>
      <c r="C161" s="128">
        <f t="shared" si="9"/>
        <v>0</v>
      </c>
      <c r="D161" s="134"/>
      <c r="E161" s="285"/>
      <c r="F161" s="286">
        <f t="shared" si="10"/>
        <v>0</v>
      </c>
      <c r="G161" s="134"/>
      <c r="H161" s="135"/>
      <c r="I161" s="136">
        <f t="shared" si="11"/>
        <v>0</v>
      </c>
      <c r="J161" s="134"/>
      <c r="K161" s="135"/>
      <c r="L161" s="136">
        <f t="shared" si="12"/>
        <v>0</v>
      </c>
      <c r="M161" s="284"/>
      <c r="N161" s="285"/>
      <c r="O161" s="136">
        <f t="shared" si="13"/>
        <v>0</v>
      </c>
      <c r="P161" s="85"/>
      <c r="R161" s="53"/>
      <c r="S161" s="53"/>
      <c r="T161" s="53"/>
    </row>
    <row r="162" spans="1:20" x14ac:dyDescent="0.25">
      <c r="A162" s="789">
        <v>2370</v>
      </c>
      <c r="B162" s="790" t="s">
        <v>178</v>
      </c>
      <c r="C162" s="267">
        <f t="shared" si="9"/>
        <v>2966</v>
      </c>
      <c r="D162" s="791">
        <v>1641</v>
      </c>
      <c r="E162" s="792"/>
      <c r="F162" s="793">
        <f t="shared" si="10"/>
        <v>1641</v>
      </c>
      <c r="G162" s="791">
        <v>1325</v>
      </c>
      <c r="H162" s="794"/>
      <c r="I162" s="795">
        <f t="shared" si="11"/>
        <v>1325</v>
      </c>
      <c r="J162" s="791"/>
      <c r="K162" s="794"/>
      <c r="L162" s="795">
        <f t="shared" si="12"/>
        <v>0</v>
      </c>
      <c r="M162" s="796"/>
      <c r="N162" s="797"/>
      <c r="O162" s="795">
        <f t="shared" si="13"/>
        <v>0</v>
      </c>
      <c r="P162" s="798"/>
      <c r="R162" s="53"/>
      <c r="S162" s="53"/>
      <c r="T162" s="53"/>
    </row>
    <row r="163" spans="1:20" x14ac:dyDescent="0.25">
      <c r="A163" s="254">
        <v>2380</v>
      </c>
      <c r="B163" s="179" t="s">
        <v>179</v>
      </c>
      <c r="C163" s="128">
        <f t="shared" si="9"/>
        <v>36</v>
      </c>
      <c r="D163" s="255">
        <f>SUM(D164:D165)</f>
        <v>36</v>
      </c>
      <c r="E163" s="256">
        <f>SUM(E164:E165)</f>
        <v>0</v>
      </c>
      <c r="F163" s="257">
        <f t="shared" si="10"/>
        <v>36</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c r="S163" s="53"/>
      <c r="T163" s="53"/>
    </row>
    <row r="164" spans="1:20" hidden="1" x14ac:dyDescent="0.25">
      <c r="A164" s="65">
        <v>2381</v>
      </c>
      <c r="B164" s="116" t="s">
        <v>180</v>
      </c>
      <c r="C164" s="128">
        <f t="shared" si="9"/>
        <v>0</v>
      </c>
      <c r="D164" s="123"/>
      <c r="E164" s="262"/>
      <c r="F164" s="263">
        <f t="shared" si="10"/>
        <v>0</v>
      </c>
      <c r="G164" s="123"/>
      <c r="H164" s="124"/>
      <c r="I164" s="125">
        <f t="shared" si="11"/>
        <v>0</v>
      </c>
      <c r="J164" s="123"/>
      <c r="K164" s="124"/>
      <c r="L164" s="125">
        <f t="shared" si="12"/>
        <v>0</v>
      </c>
      <c r="M164" s="264"/>
      <c r="N164" s="262"/>
      <c r="O164" s="125">
        <f t="shared" si="13"/>
        <v>0</v>
      </c>
      <c r="P164" s="74"/>
      <c r="R164" s="53"/>
      <c r="S164" s="53"/>
      <c r="T164" s="53"/>
    </row>
    <row r="165" spans="1:20" ht="24" x14ac:dyDescent="0.25">
      <c r="A165" s="75">
        <v>2389</v>
      </c>
      <c r="B165" s="127" t="s">
        <v>181</v>
      </c>
      <c r="C165" s="128">
        <f t="shared" si="9"/>
        <v>36</v>
      </c>
      <c r="D165" s="134">
        <v>36</v>
      </c>
      <c r="E165" s="283"/>
      <c r="F165" s="279">
        <f t="shared" si="10"/>
        <v>36</v>
      </c>
      <c r="G165" s="134"/>
      <c r="H165" s="135"/>
      <c r="I165" s="136">
        <f t="shared" si="11"/>
        <v>0</v>
      </c>
      <c r="J165" s="134"/>
      <c r="K165" s="135"/>
      <c r="L165" s="136">
        <f t="shared" si="12"/>
        <v>0</v>
      </c>
      <c r="M165" s="284"/>
      <c r="N165" s="285"/>
      <c r="O165" s="136">
        <f t="shared" si="13"/>
        <v>0</v>
      </c>
      <c r="P165" s="85"/>
      <c r="R165" s="53"/>
      <c r="S165" s="53"/>
      <c r="T165" s="53"/>
    </row>
    <row r="166" spans="1:20" hidden="1" x14ac:dyDescent="0.25">
      <c r="A166" s="254">
        <v>2390</v>
      </c>
      <c r="B166" s="179" t="s">
        <v>182</v>
      </c>
      <c r="C166" s="128">
        <f t="shared" si="9"/>
        <v>0</v>
      </c>
      <c r="D166" s="287"/>
      <c r="E166" s="291"/>
      <c r="F166" s="310">
        <f t="shared" si="10"/>
        <v>0</v>
      </c>
      <c r="G166" s="287"/>
      <c r="H166" s="289"/>
      <c r="I166" s="259">
        <f t="shared" si="11"/>
        <v>0</v>
      </c>
      <c r="J166" s="287"/>
      <c r="K166" s="289"/>
      <c r="L166" s="259">
        <f t="shared" si="12"/>
        <v>0</v>
      </c>
      <c r="M166" s="290"/>
      <c r="N166" s="291"/>
      <c r="O166" s="259">
        <f t="shared" si="13"/>
        <v>0</v>
      </c>
      <c r="P166" s="189"/>
      <c r="R166" s="53"/>
      <c r="S166" s="53"/>
      <c r="T166" s="53"/>
    </row>
    <row r="167" spans="1:20" hidden="1" x14ac:dyDescent="0.25">
      <c r="A167" s="99">
        <v>2400</v>
      </c>
      <c r="B167" s="247" t="s">
        <v>183</v>
      </c>
      <c r="C167" s="100">
        <f t="shared" si="9"/>
        <v>0</v>
      </c>
      <c r="D167" s="311"/>
      <c r="E167" s="312"/>
      <c r="F167" s="313">
        <f t="shared" si="10"/>
        <v>0</v>
      </c>
      <c r="G167" s="311"/>
      <c r="H167" s="314"/>
      <c r="I167" s="114">
        <f t="shared" si="11"/>
        <v>0</v>
      </c>
      <c r="J167" s="311"/>
      <c r="K167" s="314"/>
      <c r="L167" s="114">
        <f t="shared" si="12"/>
        <v>0</v>
      </c>
      <c r="M167" s="315"/>
      <c r="N167" s="312"/>
      <c r="O167" s="114">
        <f t="shared" si="13"/>
        <v>0</v>
      </c>
      <c r="P167" s="109"/>
      <c r="R167" s="53"/>
      <c r="S167" s="53"/>
      <c r="T167" s="53"/>
    </row>
    <row r="168" spans="1:20" ht="24" hidden="1" x14ac:dyDescent="0.25">
      <c r="A168" s="99">
        <v>2500</v>
      </c>
      <c r="B168" s="247" t="s">
        <v>184</v>
      </c>
      <c r="C168" s="100">
        <f t="shared" si="9"/>
        <v>0</v>
      </c>
      <c r="D168" s="112">
        <f>SUM(D169,D174)</f>
        <v>0</v>
      </c>
      <c r="E168" s="293">
        <f>SUM(E169,E174)</f>
        <v>0</v>
      </c>
      <c r="F168" s="313">
        <f t="shared" si="10"/>
        <v>0</v>
      </c>
      <c r="G168" s="112">
        <f>SUM(G169,G174)</f>
        <v>0</v>
      </c>
      <c r="H168" s="113">
        <f t="shared" ref="H168" si="17">SUM(H169,H174)</f>
        <v>0</v>
      </c>
      <c r="I168" s="114">
        <f t="shared" si="11"/>
        <v>0</v>
      </c>
      <c r="J168" s="112">
        <f>SUM(J169,J174)</f>
        <v>0</v>
      </c>
      <c r="K168" s="113">
        <f t="shared" ref="K168" si="18">SUM(K169,K174)</f>
        <v>0</v>
      </c>
      <c r="L168" s="114">
        <f t="shared" si="12"/>
        <v>0</v>
      </c>
      <c r="M168" s="250">
        <f t="shared" ref="M168:N168" si="19">SUM(M169,M174)</f>
        <v>0</v>
      </c>
      <c r="N168" s="251">
        <f t="shared" si="19"/>
        <v>0</v>
      </c>
      <c r="O168" s="252">
        <f t="shared" si="13"/>
        <v>0</v>
      </c>
      <c r="P168" s="253"/>
      <c r="R168" s="53"/>
      <c r="S168" s="53"/>
      <c r="T168" s="53"/>
    </row>
    <row r="169" spans="1:20" hidden="1" x14ac:dyDescent="0.25">
      <c r="A169" s="656">
        <v>2510</v>
      </c>
      <c r="B169" s="116" t="s">
        <v>185</v>
      </c>
      <c r="C169" s="117">
        <f t="shared" si="9"/>
        <v>0</v>
      </c>
      <c r="D169" s="297">
        <f>SUM(D170:D173)</f>
        <v>0</v>
      </c>
      <c r="E169" s="301">
        <f>SUM(E170:E173)</f>
        <v>0</v>
      </c>
      <c r="F169" s="263">
        <f t="shared" si="10"/>
        <v>0</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c r="R169" s="53"/>
      <c r="S169" s="53"/>
      <c r="T169" s="53"/>
    </row>
    <row r="170" spans="1:20" ht="24" hidden="1" x14ac:dyDescent="0.25">
      <c r="A170" s="76">
        <v>2512</v>
      </c>
      <c r="B170" s="127" t="s">
        <v>186</v>
      </c>
      <c r="C170" s="128">
        <f t="shared" si="9"/>
        <v>0</v>
      </c>
      <c r="D170" s="134"/>
      <c r="E170" s="285"/>
      <c r="F170" s="286">
        <f t="shared" si="10"/>
        <v>0</v>
      </c>
      <c r="G170" s="134"/>
      <c r="H170" s="135"/>
      <c r="I170" s="136">
        <f t="shared" si="11"/>
        <v>0</v>
      </c>
      <c r="J170" s="134"/>
      <c r="K170" s="135"/>
      <c r="L170" s="136">
        <f t="shared" si="12"/>
        <v>0</v>
      </c>
      <c r="M170" s="284"/>
      <c r="N170" s="285"/>
      <c r="O170" s="136">
        <f t="shared" si="13"/>
        <v>0</v>
      </c>
      <c r="P170" s="85"/>
      <c r="R170" s="53"/>
      <c r="S170" s="53"/>
      <c r="T170" s="53"/>
    </row>
    <row r="171" spans="1:20" ht="36" hidden="1" x14ac:dyDescent="0.25">
      <c r="A171" s="76">
        <v>2513</v>
      </c>
      <c r="B171" s="127" t="s">
        <v>187</v>
      </c>
      <c r="C171" s="128">
        <f t="shared" si="9"/>
        <v>0</v>
      </c>
      <c r="D171" s="134"/>
      <c r="E171" s="285"/>
      <c r="F171" s="286">
        <f t="shared" si="10"/>
        <v>0</v>
      </c>
      <c r="G171" s="134"/>
      <c r="H171" s="135"/>
      <c r="I171" s="136">
        <f t="shared" si="11"/>
        <v>0</v>
      </c>
      <c r="J171" s="134"/>
      <c r="K171" s="135"/>
      <c r="L171" s="136">
        <f t="shared" si="12"/>
        <v>0</v>
      </c>
      <c r="M171" s="284"/>
      <c r="N171" s="285"/>
      <c r="O171" s="136">
        <f t="shared" si="13"/>
        <v>0</v>
      </c>
      <c r="P171" s="85"/>
      <c r="R171" s="53"/>
      <c r="S171" s="53"/>
      <c r="T171" s="53"/>
    </row>
    <row r="172" spans="1:20" ht="24" hidden="1" x14ac:dyDescent="0.25">
      <c r="A172" s="76">
        <v>2515</v>
      </c>
      <c r="B172" s="127" t="s">
        <v>188</v>
      </c>
      <c r="C172" s="128">
        <f t="shared" si="9"/>
        <v>0</v>
      </c>
      <c r="D172" s="134"/>
      <c r="E172" s="285"/>
      <c r="F172" s="286">
        <f t="shared" si="10"/>
        <v>0</v>
      </c>
      <c r="G172" s="134"/>
      <c r="H172" s="135"/>
      <c r="I172" s="136">
        <f t="shared" si="11"/>
        <v>0</v>
      </c>
      <c r="J172" s="134"/>
      <c r="K172" s="135"/>
      <c r="L172" s="136">
        <f t="shared" si="12"/>
        <v>0</v>
      </c>
      <c r="M172" s="284"/>
      <c r="N172" s="285"/>
      <c r="O172" s="136">
        <f t="shared" si="13"/>
        <v>0</v>
      </c>
      <c r="P172" s="85"/>
      <c r="R172" s="53"/>
      <c r="S172" s="53"/>
      <c r="T172" s="53"/>
    </row>
    <row r="173" spans="1:20" ht="24" hidden="1" x14ac:dyDescent="0.25">
      <c r="A173" s="76">
        <v>2519</v>
      </c>
      <c r="B173" s="127" t="s">
        <v>189</v>
      </c>
      <c r="C173" s="128">
        <f t="shared" si="9"/>
        <v>0</v>
      </c>
      <c r="D173" s="134"/>
      <c r="E173" s="285"/>
      <c r="F173" s="286">
        <f t="shared" si="10"/>
        <v>0</v>
      </c>
      <c r="G173" s="134"/>
      <c r="H173" s="135"/>
      <c r="I173" s="136">
        <f t="shared" si="11"/>
        <v>0</v>
      </c>
      <c r="J173" s="134"/>
      <c r="K173" s="135"/>
      <c r="L173" s="136">
        <f t="shared" si="12"/>
        <v>0</v>
      </c>
      <c r="M173" s="284"/>
      <c r="N173" s="285"/>
      <c r="O173" s="136">
        <f t="shared" si="13"/>
        <v>0</v>
      </c>
      <c r="P173" s="85"/>
      <c r="R173" s="53"/>
      <c r="S173" s="53"/>
      <c r="T173" s="53"/>
    </row>
    <row r="174" spans="1:20" ht="24" hidden="1" x14ac:dyDescent="0.25">
      <c r="A174" s="276">
        <v>2520</v>
      </c>
      <c r="B174" s="127" t="s">
        <v>190</v>
      </c>
      <c r="C174" s="128">
        <f t="shared" si="9"/>
        <v>0</v>
      </c>
      <c r="D174" s="134"/>
      <c r="E174" s="285"/>
      <c r="F174" s="286">
        <f t="shared" si="10"/>
        <v>0</v>
      </c>
      <c r="G174" s="134"/>
      <c r="H174" s="135"/>
      <c r="I174" s="136">
        <f t="shared" si="11"/>
        <v>0</v>
      </c>
      <c r="J174" s="134"/>
      <c r="K174" s="135"/>
      <c r="L174" s="136">
        <f t="shared" si="12"/>
        <v>0</v>
      </c>
      <c r="M174" s="284"/>
      <c r="N174" s="285"/>
      <c r="O174" s="136">
        <f t="shared" si="13"/>
        <v>0</v>
      </c>
      <c r="P174" s="85"/>
      <c r="R174" s="53"/>
      <c r="S174" s="53"/>
      <c r="T174" s="53"/>
    </row>
    <row r="175" spans="1:20" s="319" customFormat="1" ht="48" hidden="1" x14ac:dyDescent="0.25">
      <c r="A175" s="31">
        <v>2800</v>
      </c>
      <c r="B175" s="116" t="s">
        <v>191</v>
      </c>
      <c r="C175" s="117">
        <f t="shared" si="9"/>
        <v>0</v>
      </c>
      <c r="D175" s="68"/>
      <c r="E175" s="69"/>
      <c r="F175" s="70">
        <f t="shared" si="10"/>
        <v>0</v>
      </c>
      <c r="G175" s="68"/>
      <c r="H175" s="71"/>
      <c r="I175" s="72">
        <f t="shared" si="11"/>
        <v>0</v>
      </c>
      <c r="J175" s="68"/>
      <c r="K175" s="71"/>
      <c r="L175" s="72">
        <f t="shared" si="12"/>
        <v>0</v>
      </c>
      <c r="M175" s="73"/>
      <c r="N175" s="69"/>
      <c r="O175" s="72">
        <f t="shared" si="13"/>
        <v>0</v>
      </c>
      <c r="P175" s="74"/>
      <c r="R175" s="53"/>
      <c r="S175" s="53"/>
      <c r="T175" s="53"/>
    </row>
    <row r="176" spans="1:20" hidden="1" x14ac:dyDescent="0.25">
      <c r="A176" s="237">
        <v>3000</v>
      </c>
      <c r="B176" s="237" t="s">
        <v>192</v>
      </c>
      <c r="C176" s="238">
        <f t="shared" si="9"/>
        <v>0</v>
      </c>
      <c r="D176" s="239">
        <f>SUM(D177,D187)</f>
        <v>0</v>
      </c>
      <c r="E176" s="245">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c r="S176" s="53"/>
      <c r="T176" s="53"/>
    </row>
    <row r="177" spans="1:20" ht="24" hidden="1" x14ac:dyDescent="0.25">
      <c r="A177" s="99">
        <v>3200</v>
      </c>
      <c r="B177" s="321" t="s">
        <v>193</v>
      </c>
      <c r="C177" s="100">
        <f t="shared" si="9"/>
        <v>0</v>
      </c>
      <c r="D177" s="112">
        <f>SUM(D178,D182)</f>
        <v>0</v>
      </c>
      <c r="E177" s="293">
        <f>SUM(E178,E182)</f>
        <v>0</v>
      </c>
      <c r="F177" s="313">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c r="R177" s="53"/>
      <c r="S177" s="53"/>
      <c r="T177" s="53"/>
    </row>
    <row r="178" spans="1:20" ht="36" hidden="1" x14ac:dyDescent="0.25">
      <c r="A178" s="656">
        <v>3260</v>
      </c>
      <c r="B178" s="116" t="s">
        <v>194</v>
      </c>
      <c r="C178" s="117">
        <f t="shared" si="9"/>
        <v>0</v>
      </c>
      <c r="D178" s="297">
        <f>SUM(D179:D181)</f>
        <v>0</v>
      </c>
      <c r="E178" s="301">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c r="S178" s="53"/>
      <c r="T178" s="53"/>
    </row>
    <row r="179" spans="1:20" ht="24" hidden="1" x14ac:dyDescent="0.25">
      <c r="A179" s="76">
        <v>3261</v>
      </c>
      <c r="B179" s="127" t="s">
        <v>195</v>
      </c>
      <c r="C179" s="128">
        <f t="shared" si="9"/>
        <v>0</v>
      </c>
      <c r="D179" s="134"/>
      <c r="E179" s="285"/>
      <c r="F179" s="286">
        <f t="shared" si="10"/>
        <v>0</v>
      </c>
      <c r="G179" s="134"/>
      <c r="H179" s="135"/>
      <c r="I179" s="136">
        <f t="shared" si="11"/>
        <v>0</v>
      </c>
      <c r="J179" s="134"/>
      <c r="K179" s="135"/>
      <c r="L179" s="136">
        <f t="shared" si="12"/>
        <v>0</v>
      </c>
      <c r="M179" s="284"/>
      <c r="N179" s="285"/>
      <c r="O179" s="136">
        <f t="shared" si="13"/>
        <v>0</v>
      </c>
      <c r="P179" s="85"/>
      <c r="R179" s="53"/>
      <c r="S179" s="53"/>
      <c r="T179" s="53"/>
    </row>
    <row r="180" spans="1:20" ht="36" hidden="1" x14ac:dyDescent="0.25">
      <c r="A180" s="76">
        <v>3262</v>
      </c>
      <c r="B180" s="127" t="s">
        <v>196</v>
      </c>
      <c r="C180" s="128">
        <f t="shared" si="9"/>
        <v>0</v>
      </c>
      <c r="D180" s="134"/>
      <c r="E180" s="285"/>
      <c r="F180" s="286">
        <f t="shared" si="10"/>
        <v>0</v>
      </c>
      <c r="G180" s="134"/>
      <c r="H180" s="135"/>
      <c r="I180" s="136">
        <f t="shared" si="11"/>
        <v>0</v>
      </c>
      <c r="J180" s="134"/>
      <c r="K180" s="135"/>
      <c r="L180" s="136">
        <f t="shared" si="12"/>
        <v>0</v>
      </c>
      <c r="M180" s="284"/>
      <c r="N180" s="285"/>
      <c r="O180" s="136">
        <f t="shared" si="13"/>
        <v>0</v>
      </c>
      <c r="P180" s="85"/>
      <c r="R180" s="53"/>
      <c r="S180" s="53"/>
      <c r="T180" s="53"/>
    </row>
    <row r="181" spans="1:20" ht="24" hidden="1" x14ac:dyDescent="0.25">
      <c r="A181" s="76">
        <v>3263</v>
      </c>
      <c r="B181" s="127" t="s">
        <v>197</v>
      </c>
      <c r="C181" s="128">
        <f t="shared" si="9"/>
        <v>0</v>
      </c>
      <c r="D181" s="134"/>
      <c r="E181" s="285"/>
      <c r="F181" s="286">
        <f t="shared" si="10"/>
        <v>0</v>
      </c>
      <c r="G181" s="134"/>
      <c r="H181" s="135"/>
      <c r="I181" s="136">
        <f t="shared" si="11"/>
        <v>0</v>
      </c>
      <c r="J181" s="134"/>
      <c r="K181" s="135"/>
      <c r="L181" s="136">
        <f t="shared" si="12"/>
        <v>0</v>
      </c>
      <c r="M181" s="284"/>
      <c r="N181" s="285"/>
      <c r="O181" s="136">
        <f t="shared" si="13"/>
        <v>0</v>
      </c>
      <c r="P181" s="85"/>
      <c r="R181" s="53"/>
      <c r="S181" s="53"/>
      <c r="T181" s="53"/>
    </row>
    <row r="182" spans="1:20" ht="84" hidden="1" x14ac:dyDescent="0.25">
      <c r="A182" s="656">
        <v>3290</v>
      </c>
      <c r="B182" s="116" t="s">
        <v>198</v>
      </c>
      <c r="C182" s="128">
        <f t="shared" ref="C182:C258" si="26">F182+I182+L182+O182</f>
        <v>0</v>
      </c>
      <c r="D182" s="297">
        <f>SUM(D183:D186)</f>
        <v>0</v>
      </c>
      <c r="E182" s="301">
        <f>SUM(E183:E186)</f>
        <v>0</v>
      </c>
      <c r="F182" s="263">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c r="R182" s="53"/>
      <c r="S182" s="53"/>
      <c r="T182" s="53"/>
    </row>
    <row r="183" spans="1:20" ht="72" hidden="1" x14ac:dyDescent="0.25">
      <c r="A183" s="76">
        <v>3291</v>
      </c>
      <c r="B183" s="127" t="s">
        <v>199</v>
      </c>
      <c r="C183" s="128">
        <f t="shared" si="26"/>
        <v>0</v>
      </c>
      <c r="D183" s="134"/>
      <c r="E183" s="285"/>
      <c r="F183" s="286">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c r="R183" s="53"/>
      <c r="S183" s="53"/>
      <c r="T183" s="53"/>
    </row>
    <row r="184" spans="1:20" ht="72" hidden="1" x14ac:dyDescent="0.25">
      <c r="A184" s="76">
        <v>3292</v>
      </c>
      <c r="B184" s="127" t="s">
        <v>200</v>
      </c>
      <c r="C184" s="128">
        <f t="shared" si="26"/>
        <v>0</v>
      </c>
      <c r="D184" s="134"/>
      <c r="E184" s="285"/>
      <c r="F184" s="286">
        <f t="shared" si="30"/>
        <v>0</v>
      </c>
      <c r="G184" s="134"/>
      <c r="H184" s="135"/>
      <c r="I184" s="136">
        <f t="shared" si="31"/>
        <v>0</v>
      </c>
      <c r="J184" s="134"/>
      <c r="K184" s="135"/>
      <c r="L184" s="136">
        <f t="shared" si="32"/>
        <v>0</v>
      </c>
      <c r="M184" s="284"/>
      <c r="N184" s="285"/>
      <c r="O184" s="136">
        <f t="shared" si="33"/>
        <v>0</v>
      </c>
      <c r="P184" s="85"/>
      <c r="R184" s="53"/>
      <c r="S184" s="53"/>
      <c r="T184" s="53"/>
    </row>
    <row r="185" spans="1:20" ht="72" hidden="1" x14ac:dyDescent="0.25">
      <c r="A185" s="76">
        <v>3293</v>
      </c>
      <c r="B185" s="127" t="s">
        <v>201</v>
      </c>
      <c r="C185" s="128">
        <f t="shared" si="26"/>
        <v>0</v>
      </c>
      <c r="D185" s="134"/>
      <c r="E185" s="285"/>
      <c r="F185" s="286">
        <f t="shared" si="30"/>
        <v>0</v>
      </c>
      <c r="G185" s="134"/>
      <c r="H185" s="135"/>
      <c r="I185" s="136">
        <f t="shared" si="31"/>
        <v>0</v>
      </c>
      <c r="J185" s="134"/>
      <c r="K185" s="135"/>
      <c r="L185" s="136">
        <f t="shared" si="32"/>
        <v>0</v>
      </c>
      <c r="M185" s="284"/>
      <c r="N185" s="285"/>
      <c r="O185" s="136">
        <f t="shared" si="33"/>
        <v>0</v>
      </c>
      <c r="P185" s="85"/>
      <c r="R185" s="53"/>
      <c r="S185" s="53"/>
      <c r="T185" s="53"/>
    </row>
    <row r="186" spans="1:20" ht="60" hidden="1" x14ac:dyDescent="0.25">
      <c r="A186" s="326">
        <v>3294</v>
      </c>
      <c r="B186" s="127" t="s">
        <v>202</v>
      </c>
      <c r="C186" s="327">
        <f t="shared" si="26"/>
        <v>0</v>
      </c>
      <c r="D186" s="328"/>
      <c r="E186" s="329"/>
      <c r="F186" s="330">
        <f t="shared" si="30"/>
        <v>0</v>
      </c>
      <c r="G186" s="328"/>
      <c r="H186" s="331"/>
      <c r="I186" s="324">
        <f t="shared" si="31"/>
        <v>0</v>
      </c>
      <c r="J186" s="328"/>
      <c r="K186" s="331"/>
      <c r="L186" s="324">
        <f t="shared" si="32"/>
        <v>0</v>
      </c>
      <c r="M186" s="332"/>
      <c r="N186" s="329"/>
      <c r="O186" s="324">
        <f t="shared" si="33"/>
        <v>0</v>
      </c>
      <c r="P186" s="325"/>
      <c r="R186" s="53"/>
      <c r="S186" s="53"/>
      <c r="T186" s="53"/>
    </row>
    <row r="187" spans="1:20" ht="48" hidden="1" x14ac:dyDescent="0.25">
      <c r="A187" s="160">
        <v>3300</v>
      </c>
      <c r="B187" s="321" t="s">
        <v>203</v>
      </c>
      <c r="C187" s="333">
        <f t="shared" si="26"/>
        <v>0</v>
      </c>
      <c r="D187" s="334">
        <f>SUM(D188:D189)</f>
        <v>0</v>
      </c>
      <c r="E187" s="251">
        <f>SUM(E188:E189)</f>
        <v>0</v>
      </c>
      <c r="F187" s="335">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c r="R187" s="53"/>
      <c r="S187" s="53"/>
      <c r="T187" s="53"/>
    </row>
    <row r="188" spans="1:20" ht="42.75" hidden="1" customHeight="1" x14ac:dyDescent="0.25">
      <c r="A188" s="178">
        <v>3310</v>
      </c>
      <c r="B188" s="179" t="s">
        <v>204</v>
      </c>
      <c r="C188" s="191">
        <f t="shared" si="26"/>
        <v>0</v>
      </c>
      <c r="D188" s="287"/>
      <c r="E188" s="291"/>
      <c r="F188" s="310">
        <f t="shared" si="30"/>
        <v>0</v>
      </c>
      <c r="G188" s="287"/>
      <c r="H188" s="289"/>
      <c r="I188" s="259">
        <f t="shared" si="31"/>
        <v>0</v>
      </c>
      <c r="J188" s="287"/>
      <c r="K188" s="289"/>
      <c r="L188" s="259">
        <f t="shared" si="32"/>
        <v>0</v>
      </c>
      <c r="M188" s="290"/>
      <c r="N188" s="291"/>
      <c r="O188" s="259">
        <f t="shared" si="33"/>
        <v>0</v>
      </c>
      <c r="P188" s="189"/>
      <c r="R188" s="53"/>
      <c r="S188" s="53"/>
      <c r="T188" s="53"/>
    </row>
    <row r="189" spans="1:20" ht="60" hidden="1" x14ac:dyDescent="0.25">
      <c r="A189" s="66">
        <v>3320</v>
      </c>
      <c r="B189" s="116" t="s">
        <v>205</v>
      </c>
      <c r="C189" s="117">
        <f t="shared" si="26"/>
        <v>0</v>
      </c>
      <c r="D189" s="123"/>
      <c r="E189" s="262"/>
      <c r="F189" s="263">
        <f t="shared" si="30"/>
        <v>0</v>
      </c>
      <c r="G189" s="123"/>
      <c r="H189" s="124"/>
      <c r="I189" s="125">
        <f t="shared" si="31"/>
        <v>0</v>
      </c>
      <c r="J189" s="123"/>
      <c r="K189" s="124"/>
      <c r="L189" s="125">
        <f t="shared" si="32"/>
        <v>0</v>
      </c>
      <c r="M189" s="264"/>
      <c r="N189" s="262"/>
      <c r="O189" s="125">
        <f t="shared" si="33"/>
        <v>0</v>
      </c>
      <c r="P189" s="74"/>
      <c r="R189" s="53"/>
      <c r="S189" s="53"/>
      <c r="T189" s="53"/>
    </row>
    <row r="190" spans="1:20" hidden="1" x14ac:dyDescent="0.25">
      <c r="A190" s="337">
        <v>4000</v>
      </c>
      <c r="B190" s="237" t="s">
        <v>206</v>
      </c>
      <c r="C190" s="238">
        <f t="shared" si="26"/>
        <v>0</v>
      </c>
      <c r="D190" s="239">
        <f>SUM(D191,D194)</f>
        <v>0</v>
      </c>
      <c r="E190" s="245">
        <f>SUM(E191,E194)</f>
        <v>0</v>
      </c>
      <c r="F190" s="320">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c r="R190" s="53"/>
      <c r="S190" s="53"/>
      <c r="T190" s="53"/>
    </row>
    <row r="191" spans="1:20" ht="24" hidden="1" x14ac:dyDescent="0.25">
      <c r="A191" s="338">
        <v>4200</v>
      </c>
      <c r="B191" s="247" t="s">
        <v>207</v>
      </c>
      <c r="C191" s="100">
        <f t="shared" si="26"/>
        <v>0</v>
      </c>
      <c r="D191" s="112">
        <f>SUM(D192,D193)</f>
        <v>0</v>
      </c>
      <c r="E191" s="293">
        <f>SUM(E192,E193)</f>
        <v>0</v>
      </c>
      <c r="F191" s="313">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c r="R191" s="53"/>
      <c r="S191" s="53"/>
      <c r="T191" s="53"/>
    </row>
    <row r="192" spans="1:20" ht="36" hidden="1" x14ac:dyDescent="0.25">
      <c r="A192" s="656">
        <v>4240</v>
      </c>
      <c r="B192" s="116" t="s">
        <v>208</v>
      </c>
      <c r="C192" s="117">
        <f t="shared" si="26"/>
        <v>0</v>
      </c>
      <c r="D192" s="123"/>
      <c r="E192" s="262"/>
      <c r="F192" s="263">
        <f t="shared" si="30"/>
        <v>0</v>
      </c>
      <c r="G192" s="123"/>
      <c r="H192" s="124"/>
      <c r="I192" s="125">
        <f t="shared" si="31"/>
        <v>0</v>
      </c>
      <c r="J192" s="123"/>
      <c r="K192" s="124"/>
      <c r="L192" s="125">
        <f t="shared" si="32"/>
        <v>0</v>
      </c>
      <c r="M192" s="264"/>
      <c r="N192" s="262"/>
      <c r="O192" s="125">
        <f t="shared" si="33"/>
        <v>0</v>
      </c>
      <c r="P192" s="74"/>
      <c r="R192" s="53"/>
      <c r="S192" s="53"/>
      <c r="T192" s="53"/>
    </row>
    <row r="193" spans="1:20" ht="24" hidden="1" x14ac:dyDescent="0.25">
      <c r="A193" s="276">
        <v>4250</v>
      </c>
      <c r="B193" s="127" t="s">
        <v>209</v>
      </c>
      <c r="C193" s="128">
        <f t="shared" si="26"/>
        <v>0</v>
      </c>
      <c r="D193" s="134"/>
      <c r="E193" s="285"/>
      <c r="F193" s="286">
        <f t="shared" si="30"/>
        <v>0</v>
      </c>
      <c r="G193" s="134"/>
      <c r="H193" s="135"/>
      <c r="I193" s="136">
        <f t="shared" si="31"/>
        <v>0</v>
      </c>
      <c r="J193" s="134"/>
      <c r="K193" s="135"/>
      <c r="L193" s="136">
        <f t="shared" si="32"/>
        <v>0</v>
      </c>
      <c r="M193" s="284"/>
      <c r="N193" s="285"/>
      <c r="O193" s="136">
        <f t="shared" si="33"/>
        <v>0</v>
      </c>
      <c r="P193" s="85"/>
      <c r="R193" s="53"/>
      <c r="S193" s="53"/>
      <c r="T193" s="53"/>
    </row>
    <row r="194" spans="1:20" hidden="1" x14ac:dyDescent="0.25">
      <c r="A194" s="99">
        <v>4300</v>
      </c>
      <c r="B194" s="247" t="s">
        <v>210</v>
      </c>
      <c r="C194" s="100">
        <f t="shared" si="26"/>
        <v>0</v>
      </c>
      <c r="D194" s="112">
        <f>SUM(D195)</f>
        <v>0</v>
      </c>
      <c r="E194" s="293">
        <f>SUM(E195)</f>
        <v>0</v>
      </c>
      <c r="F194" s="313">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c r="R194" s="53"/>
      <c r="S194" s="53"/>
      <c r="T194" s="53"/>
    </row>
    <row r="195" spans="1:20" ht="24" hidden="1" x14ac:dyDescent="0.25">
      <c r="A195" s="656">
        <v>4310</v>
      </c>
      <c r="B195" s="116" t="s">
        <v>211</v>
      </c>
      <c r="C195" s="117">
        <f t="shared" si="26"/>
        <v>0</v>
      </c>
      <c r="D195" s="297">
        <f>SUM(D196:D196)</f>
        <v>0</v>
      </c>
      <c r="E195" s="301">
        <f>SUM(E196:E196)</f>
        <v>0</v>
      </c>
      <c r="F195" s="263">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c r="R195" s="53"/>
      <c r="S195" s="53"/>
      <c r="T195" s="53"/>
    </row>
    <row r="196" spans="1:20" ht="36" hidden="1" x14ac:dyDescent="0.25">
      <c r="A196" s="76">
        <v>4311</v>
      </c>
      <c r="B196" s="127" t="s">
        <v>212</v>
      </c>
      <c r="C196" s="128">
        <f t="shared" si="26"/>
        <v>0</v>
      </c>
      <c r="D196" s="134"/>
      <c r="E196" s="285"/>
      <c r="F196" s="286">
        <f t="shared" si="30"/>
        <v>0</v>
      </c>
      <c r="G196" s="134"/>
      <c r="H196" s="135"/>
      <c r="I196" s="136">
        <f t="shared" si="31"/>
        <v>0</v>
      </c>
      <c r="J196" s="134"/>
      <c r="K196" s="135"/>
      <c r="L196" s="136">
        <f t="shared" si="32"/>
        <v>0</v>
      </c>
      <c r="M196" s="284"/>
      <c r="N196" s="285"/>
      <c r="O196" s="136">
        <f t="shared" si="33"/>
        <v>0</v>
      </c>
      <c r="P196" s="85"/>
      <c r="R196" s="53"/>
      <c r="S196" s="53"/>
      <c r="T196" s="53"/>
    </row>
    <row r="197" spans="1:20" s="41" customFormat="1" ht="24" x14ac:dyDescent="0.25">
      <c r="A197" s="339"/>
      <c r="B197" s="31" t="s">
        <v>213</v>
      </c>
      <c r="C197" s="229">
        <f t="shared" si="26"/>
        <v>2599</v>
      </c>
      <c r="D197" s="230">
        <f>SUM(D198,D233,D271)</f>
        <v>2444</v>
      </c>
      <c r="E197" s="231">
        <f>SUM(E198,E233,E271)</f>
        <v>0</v>
      </c>
      <c r="F197" s="232">
        <f t="shared" si="30"/>
        <v>2444</v>
      </c>
      <c r="G197" s="230">
        <f>SUM(G198,G233,G271)</f>
        <v>0</v>
      </c>
      <c r="H197" s="233">
        <f>SUM(H198,H233,H271)</f>
        <v>0</v>
      </c>
      <c r="I197" s="234">
        <f t="shared" si="31"/>
        <v>0</v>
      </c>
      <c r="J197" s="230">
        <f>SUM(J198,J233,J271)</f>
        <v>155</v>
      </c>
      <c r="K197" s="233">
        <f>SUM(K198,K233,K271)</f>
        <v>0</v>
      </c>
      <c r="L197" s="234">
        <f t="shared" si="32"/>
        <v>155</v>
      </c>
      <c r="M197" s="340">
        <f>SUM(M198,M233,M271)</f>
        <v>0</v>
      </c>
      <c r="N197" s="341">
        <f>SUM(N198,N233,N271)</f>
        <v>0</v>
      </c>
      <c r="O197" s="342">
        <f t="shared" si="33"/>
        <v>0</v>
      </c>
      <c r="P197" s="343"/>
      <c r="R197" s="53"/>
      <c r="S197" s="53"/>
      <c r="T197" s="53"/>
    </row>
    <row r="198" spans="1:20" x14ac:dyDescent="0.25">
      <c r="A198" s="237">
        <v>5000</v>
      </c>
      <c r="B198" s="237" t="s">
        <v>214</v>
      </c>
      <c r="C198" s="238">
        <f>F198+I198+L198+O198</f>
        <v>2444</v>
      </c>
      <c r="D198" s="239">
        <f>D199+D207</f>
        <v>2444</v>
      </c>
      <c r="E198" s="240">
        <f>E199+E207</f>
        <v>0</v>
      </c>
      <c r="F198" s="241">
        <f t="shared" si="30"/>
        <v>2444</v>
      </c>
      <c r="G198" s="239">
        <f>G199+G207</f>
        <v>0</v>
      </c>
      <c r="H198" s="242">
        <f>H199+H207</f>
        <v>0</v>
      </c>
      <c r="I198" s="243">
        <f t="shared" si="31"/>
        <v>0</v>
      </c>
      <c r="J198" s="239">
        <f>J199+J207</f>
        <v>0</v>
      </c>
      <c r="K198" s="242">
        <f>K199+K207</f>
        <v>0</v>
      </c>
      <c r="L198" s="243">
        <f t="shared" si="32"/>
        <v>0</v>
      </c>
      <c r="M198" s="244">
        <f>M199+M207</f>
        <v>0</v>
      </c>
      <c r="N198" s="245">
        <f>N199+N207</f>
        <v>0</v>
      </c>
      <c r="O198" s="243">
        <f t="shared" si="33"/>
        <v>0</v>
      </c>
      <c r="P198" s="246"/>
      <c r="R198" s="53"/>
      <c r="S198" s="53"/>
      <c r="T198" s="53"/>
    </row>
    <row r="199" spans="1:20" hidden="1" x14ac:dyDescent="0.25">
      <c r="A199" s="99">
        <v>5100</v>
      </c>
      <c r="B199" s="247" t="s">
        <v>215</v>
      </c>
      <c r="C199" s="100">
        <f t="shared" si="26"/>
        <v>0</v>
      </c>
      <c r="D199" s="112">
        <f>D200+D201+D204+D205+D206</f>
        <v>0</v>
      </c>
      <c r="E199" s="293">
        <f>E200+E201+E204+E205+E206</f>
        <v>0</v>
      </c>
      <c r="F199" s="313">
        <f t="shared" si="30"/>
        <v>0</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c r="R199" s="53"/>
      <c r="S199" s="53"/>
      <c r="T199" s="53"/>
    </row>
    <row r="200" spans="1:20" hidden="1" x14ac:dyDescent="0.25">
      <c r="A200" s="656">
        <v>5110</v>
      </c>
      <c r="B200" s="116" t="s">
        <v>216</v>
      </c>
      <c r="C200" s="117">
        <f t="shared" si="26"/>
        <v>0</v>
      </c>
      <c r="D200" s="123"/>
      <c r="E200" s="262"/>
      <c r="F200" s="263">
        <f t="shared" si="30"/>
        <v>0</v>
      </c>
      <c r="G200" s="123"/>
      <c r="H200" s="124"/>
      <c r="I200" s="125">
        <f t="shared" si="31"/>
        <v>0</v>
      </c>
      <c r="J200" s="123"/>
      <c r="K200" s="124"/>
      <c r="L200" s="125">
        <f t="shared" si="32"/>
        <v>0</v>
      </c>
      <c r="M200" s="264"/>
      <c r="N200" s="262"/>
      <c r="O200" s="125">
        <f t="shared" si="33"/>
        <v>0</v>
      </c>
      <c r="P200" s="74"/>
      <c r="R200" s="53"/>
      <c r="S200" s="53"/>
      <c r="T200" s="53"/>
    </row>
    <row r="201" spans="1:20" ht="24" hidden="1" x14ac:dyDescent="0.25">
      <c r="A201" s="276">
        <v>5120</v>
      </c>
      <c r="B201" s="127" t="s">
        <v>217</v>
      </c>
      <c r="C201" s="128">
        <f t="shared" si="26"/>
        <v>0</v>
      </c>
      <c r="D201" s="277">
        <f>D202+D203</f>
        <v>0</v>
      </c>
      <c r="E201" s="282">
        <f>E202+E203</f>
        <v>0</v>
      </c>
      <c r="F201" s="286">
        <f t="shared" si="30"/>
        <v>0</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c r="R201" s="53"/>
      <c r="S201" s="53"/>
      <c r="T201" s="53"/>
    </row>
    <row r="202" spans="1:20" hidden="1" x14ac:dyDescent="0.25">
      <c r="A202" s="76">
        <v>5121</v>
      </c>
      <c r="B202" s="127" t="s">
        <v>218</v>
      </c>
      <c r="C202" s="128">
        <f t="shared" si="26"/>
        <v>0</v>
      </c>
      <c r="D202" s="134"/>
      <c r="E202" s="285"/>
      <c r="F202" s="286">
        <f t="shared" si="30"/>
        <v>0</v>
      </c>
      <c r="G202" s="134"/>
      <c r="H202" s="135"/>
      <c r="I202" s="136">
        <f t="shared" si="31"/>
        <v>0</v>
      </c>
      <c r="J202" s="134"/>
      <c r="K202" s="135"/>
      <c r="L202" s="136">
        <f t="shared" si="32"/>
        <v>0</v>
      </c>
      <c r="M202" s="284"/>
      <c r="N202" s="285"/>
      <c r="O202" s="136">
        <f t="shared" si="33"/>
        <v>0</v>
      </c>
      <c r="P202" s="85"/>
      <c r="R202" s="53"/>
      <c r="S202" s="53"/>
      <c r="T202" s="53"/>
    </row>
    <row r="203" spans="1:20" ht="24" hidden="1" x14ac:dyDescent="0.25">
      <c r="A203" s="76">
        <v>5129</v>
      </c>
      <c r="B203" s="127" t="s">
        <v>219</v>
      </c>
      <c r="C203" s="128">
        <f t="shared" si="26"/>
        <v>0</v>
      </c>
      <c r="D203" s="134"/>
      <c r="E203" s="285"/>
      <c r="F203" s="286">
        <f t="shared" si="30"/>
        <v>0</v>
      </c>
      <c r="G203" s="134"/>
      <c r="H203" s="135"/>
      <c r="I203" s="136">
        <f t="shared" si="31"/>
        <v>0</v>
      </c>
      <c r="J203" s="134"/>
      <c r="K203" s="135"/>
      <c r="L203" s="136">
        <f t="shared" si="32"/>
        <v>0</v>
      </c>
      <c r="M203" s="284"/>
      <c r="N203" s="285"/>
      <c r="O203" s="136">
        <f t="shared" si="33"/>
        <v>0</v>
      </c>
      <c r="P203" s="85"/>
      <c r="R203" s="53"/>
      <c r="S203" s="53"/>
      <c r="T203" s="53"/>
    </row>
    <row r="204" spans="1:20" hidden="1" x14ac:dyDescent="0.25">
      <c r="A204" s="276">
        <v>5130</v>
      </c>
      <c r="B204" s="127" t="s">
        <v>220</v>
      </c>
      <c r="C204" s="128">
        <f t="shared" si="26"/>
        <v>0</v>
      </c>
      <c r="D204" s="134"/>
      <c r="E204" s="285"/>
      <c r="F204" s="286">
        <f t="shared" si="30"/>
        <v>0</v>
      </c>
      <c r="G204" s="134"/>
      <c r="H204" s="135"/>
      <c r="I204" s="136">
        <f t="shared" si="31"/>
        <v>0</v>
      </c>
      <c r="J204" s="134"/>
      <c r="K204" s="135"/>
      <c r="L204" s="136">
        <f t="shared" si="32"/>
        <v>0</v>
      </c>
      <c r="M204" s="284"/>
      <c r="N204" s="285"/>
      <c r="O204" s="136">
        <f t="shared" si="33"/>
        <v>0</v>
      </c>
      <c r="P204" s="85"/>
      <c r="R204" s="53"/>
      <c r="S204" s="53"/>
      <c r="T204" s="53"/>
    </row>
    <row r="205" spans="1:20" hidden="1" x14ac:dyDescent="0.25">
      <c r="A205" s="276">
        <v>5140</v>
      </c>
      <c r="B205" s="127" t="s">
        <v>221</v>
      </c>
      <c r="C205" s="128">
        <f t="shared" si="26"/>
        <v>0</v>
      </c>
      <c r="D205" s="134"/>
      <c r="E205" s="285"/>
      <c r="F205" s="286">
        <f t="shared" si="30"/>
        <v>0</v>
      </c>
      <c r="G205" s="134"/>
      <c r="H205" s="135"/>
      <c r="I205" s="136">
        <f t="shared" si="31"/>
        <v>0</v>
      </c>
      <c r="J205" s="134"/>
      <c r="K205" s="135"/>
      <c r="L205" s="136">
        <f t="shared" si="32"/>
        <v>0</v>
      </c>
      <c r="M205" s="284"/>
      <c r="N205" s="285"/>
      <c r="O205" s="136">
        <f t="shared" si="33"/>
        <v>0</v>
      </c>
      <c r="P205" s="85"/>
      <c r="R205" s="53"/>
      <c r="S205" s="53"/>
      <c r="T205" s="53"/>
    </row>
    <row r="206" spans="1:20" ht="24" hidden="1" x14ac:dyDescent="0.25">
      <c r="A206" s="276">
        <v>5170</v>
      </c>
      <c r="B206" s="127" t="s">
        <v>222</v>
      </c>
      <c r="C206" s="128">
        <f t="shared" si="26"/>
        <v>0</v>
      </c>
      <c r="D206" s="134"/>
      <c r="E206" s="285"/>
      <c r="F206" s="286">
        <f t="shared" si="30"/>
        <v>0</v>
      </c>
      <c r="G206" s="134"/>
      <c r="H206" s="135"/>
      <c r="I206" s="136">
        <f t="shared" si="31"/>
        <v>0</v>
      </c>
      <c r="J206" s="134"/>
      <c r="K206" s="135"/>
      <c r="L206" s="136">
        <f t="shared" si="32"/>
        <v>0</v>
      </c>
      <c r="M206" s="284"/>
      <c r="N206" s="285"/>
      <c r="O206" s="136">
        <f t="shared" si="33"/>
        <v>0</v>
      </c>
      <c r="P206" s="85"/>
      <c r="R206" s="53"/>
      <c r="S206" s="53"/>
      <c r="T206" s="53"/>
    </row>
    <row r="207" spans="1:20" x14ac:dyDescent="0.25">
      <c r="A207" s="99">
        <v>5200</v>
      </c>
      <c r="B207" s="247" t="s">
        <v>223</v>
      </c>
      <c r="C207" s="100">
        <f t="shared" si="26"/>
        <v>2444</v>
      </c>
      <c r="D207" s="112">
        <f>D208+D218+D219+D228+D229+D230+D232</f>
        <v>2444</v>
      </c>
      <c r="E207" s="248">
        <f>E208+E218+E219+E228+E229+E230+E232</f>
        <v>0</v>
      </c>
      <c r="F207" s="249">
        <f t="shared" si="30"/>
        <v>2444</v>
      </c>
      <c r="G207" s="112">
        <f>G208+G218+G219+G228+G229+G230+G232</f>
        <v>0</v>
      </c>
      <c r="H207" s="113">
        <f>H208+H218+H219+H228+H229+H230+H232</f>
        <v>0</v>
      </c>
      <c r="I207" s="114">
        <f t="shared" si="31"/>
        <v>0</v>
      </c>
      <c r="J207" s="112">
        <f>J208+J218+J219+J228+J229+J230+J232</f>
        <v>0</v>
      </c>
      <c r="K207" s="113">
        <f>K208+K218+K219+K228+K229+K230+K232</f>
        <v>0</v>
      </c>
      <c r="L207" s="114">
        <f t="shared" si="32"/>
        <v>0</v>
      </c>
      <c r="M207" s="292">
        <f>M208+M218+M219+M228+M229+M230+M232</f>
        <v>0</v>
      </c>
      <c r="N207" s="293">
        <f>N208+N218+N219+N228+N229+N230+N232</f>
        <v>0</v>
      </c>
      <c r="O207" s="114">
        <f t="shared" si="33"/>
        <v>0</v>
      </c>
      <c r="P207" s="109"/>
      <c r="R207" s="53"/>
      <c r="S207" s="53"/>
      <c r="T207" s="53"/>
    </row>
    <row r="208" spans="1:20" hidden="1" x14ac:dyDescent="0.25">
      <c r="A208" s="254">
        <v>5210</v>
      </c>
      <c r="B208" s="179" t="s">
        <v>224</v>
      </c>
      <c r="C208" s="191">
        <f t="shared" si="26"/>
        <v>0</v>
      </c>
      <c r="D208" s="255">
        <f>SUM(D209:D217)</f>
        <v>0</v>
      </c>
      <c r="E208" s="261">
        <f>SUM(E209:E217)</f>
        <v>0</v>
      </c>
      <c r="F208" s="310">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c r="R208" s="53"/>
      <c r="S208" s="53"/>
      <c r="T208" s="53"/>
    </row>
    <row r="209" spans="1:20" hidden="1" x14ac:dyDescent="0.25">
      <c r="A209" s="66">
        <v>5211</v>
      </c>
      <c r="B209" s="116" t="s">
        <v>225</v>
      </c>
      <c r="C209" s="279">
        <f t="shared" si="26"/>
        <v>0</v>
      </c>
      <c r="D209" s="123"/>
      <c r="E209" s="262"/>
      <c r="F209" s="263">
        <f t="shared" si="30"/>
        <v>0</v>
      </c>
      <c r="G209" s="123"/>
      <c r="H209" s="124"/>
      <c r="I209" s="125">
        <f t="shared" si="31"/>
        <v>0</v>
      </c>
      <c r="J209" s="123"/>
      <c r="K209" s="124"/>
      <c r="L209" s="125">
        <f t="shared" si="32"/>
        <v>0</v>
      </c>
      <c r="M209" s="264"/>
      <c r="N209" s="262"/>
      <c r="O209" s="125">
        <f t="shared" si="33"/>
        <v>0</v>
      </c>
      <c r="P209" s="74"/>
      <c r="R209" s="53"/>
      <c r="S209" s="53"/>
      <c r="T209" s="53"/>
    </row>
    <row r="210" spans="1:20" hidden="1" x14ac:dyDescent="0.25">
      <c r="A210" s="76">
        <v>5212</v>
      </c>
      <c r="B210" s="127" t="s">
        <v>226</v>
      </c>
      <c r="C210" s="279">
        <f t="shared" si="26"/>
        <v>0</v>
      </c>
      <c r="D210" s="134"/>
      <c r="E210" s="285"/>
      <c r="F210" s="286">
        <f t="shared" si="30"/>
        <v>0</v>
      </c>
      <c r="G210" s="134"/>
      <c r="H210" s="135"/>
      <c r="I210" s="136">
        <f t="shared" si="31"/>
        <v>0</v>
      </c>
      <c r="J210" s="134"/>
      <c r="K210" s="135"/>
      <c r="L210" s="136">
        <f t="shared" si="32"/>
        <v>0</v>
      </c>
      <c r="M210" s="284"/>
      <c r="N210" s="285"/>
      <c r="O210" s="136">
        <f t="shared" si="33"/>
        <v>0</v>
      </c>
      <c r="P210" s="85"/>
      <c r="R210" s="53"/>
      <c r="S210" s="53"/>
      <c r="T210" s="53"/>
    </row>
    <row r="211" spans="1:20" hidden="1" x14ac:dyDescent="0.25">
      <c r="A211" s="76">
        <v>5213</v>
      </c>
      <c r="B211" s="127" t="s">
        <v>227</v>
      </c>
      <c r="C211" s="279">
        <f t="shared" si="26"/>
        <v>0</v>
      </c>
      <c r="D211" s="134"/>
      <c r="E211" s="285"/>
      <c r="F211" s="286">
        <f t="shared" si="30"/>
        <v>0</v>
      </c>
      <c r="G211" s="134"/>
      <c r="H211" s="135"/>
      <c r="I211" s="136">
        <f t="shared" si="31"/>
        <v>0</v>
      </c>
      <c r="J211" s="134"/>
      <c r="K211" s="135"/>
      <c r="L211" s="136">
        <f t="shared" si="32"/>
        <v>0</v>
      </c>
      <c r="M211" s="284"/>
      <c r="N211" s="285"/>
      <c r="O211" s="136">
        <f t="shared" si="33"/>
        <v>0</v>
      </c>
      <c r="P211" s="85"/>
      <c r="R211" s="53"/>
      <c r="S211" s="53"/>
      <c r="T211" s="53"/>
    </row>
    <row r="212" spans="1:20" hidden="1" x14ac:dyDescent="0.25">
      <c r="A212" s="76">
        <v>5214</v>
      </c>
      <c r="B212" s="127" t="s">
        <v>228</v>
      </c>
      <c r="C212" s="279">
        <f t="shared" si="26"/>
        <v>0</v>
      </c>
      <c r="D212" s="134"/>
      <c r="E212" s="285"/>
      <c r="F212" s="286">
        <f t="shared" si="30"/>
        <v>0</v>
      </c>
      <c r="G212" s="134"/>
      <c r="H212" s="135"/>
      <c r="I212" s="136">
        <f t="shared" si="31"/>
        <v>0</v>
      </c>
      <c r="J212" s="134"/>
      <c r="K212" s="135"/>
      <c r="L212" s="136">
        <f t="shared" si="32"/>
        <v>0</v>
      </c>
      <c r="M212" s="284"/>
      <c r="N212" s="285"/>
      <c r="O212" s="136">
        <f t="shared" si="33"/>
        <v>0</v>
      </c>
      <c r="P212" s="85"/>
      <c r="R212" s="53"/>
      <c r="S212" s="53"/>
      <c r="T212" s="53"/>
    </row>
    <row r="213" spans="1:20" hidden="1" x14ac:dyDescent="0.25">
      <c r="A213" s="76">
        <v>5215</v>
      </c>
      <c r="B213" s="127" t="s">
        <v>229</v>
      </c>
      <c r="C213" s="279">
        <f t="shared" si="26"/>
        <v>0</v>
      </c>
      <c r="D213" s="134"/>
      <c r="E213" s="285"/>
      <c r="F213" s="286">
        <f t="shared" si="30"/>
        <v>0</v>
      </c>
      <c r="G213" s="134"/>
      <c r="H213" s="135"/>
      <c r="I213" s="136">
        <f t="shared" si="31"/>
        <v>0</v>
      </c>
      <c r="J213" s="134"/>
      <c r="K213" s="135"/>
      <c r="L213" s="136">
        <f t="shared" si="32"/>
        <v>0</v>
      </c>
      <c r="M213" s="284"/>
      <c r="N213" s="285"/>
      <c r="O213" s="136">
        <f t="shared" si="33"/>
        <v>0</v>
      </c>
      <c r="P213" s="85"/>
      <c r="R213" s="53"/>
      <c r="S213" s="53"/>
      <c r="T213" s="53"/>
    </row>
    <row r="214" spans="1:20" ht="24" hidden="1" x14ac:dyDescent="0.25">
      <c r="A214" s="76">
        <v>5216</v>
      </c>
      <c r="B214" s="127" t="s">
        <v>230</v>
      </c>
      <c r="C214" s="279">
        <f t="shared" si="26"/>
        <v>0</v>
      </c>
      <c r="D214" s="134"/>
      <c r="E214" s="285"/>
      <c r="F214" s="286">
        <f t="shared" si="30"/>
        <v>0</v>
      </c>
      <c r="G214" s="134"/>
      <c r="H214" s="135"/>
      <c r="I214" s="136">
        <f t="shared" si="31"/>
        <v>0</v>
      </c>
      <c r="J214" s="134"/>
      <c r="K214" s="135"/>
      <c r="L214" s="136">
        <f t="shared" si="32"/>
        <v>0</v>
      </c>
      <c r="M214" s="284"/>
      <c r="N214" s="285"/>
      <c r="O214" s="136">
        <f t="shared" si="33"/>
        <v>0</v>
      </c>
      <c r="P214" s="85"/>
      <c r="R214" s="53"/>
      <c r="S214" s="53"/>
      <c r="T214" s="53"/>
    </row>
    <row r="215" spans="1:20" hidden="1" x14ac:dyDescent="0.25">
      <c r="A215" s="76">
        <v>5217</v>
      </c>
      <c r="B215" s="127" t="s">
        <v>231</v>
      </c>
      <c r="C215" s="279">
        <f t="shared" si="26"/>
        <v>0</v>
      </c>
      <c r="D215" s="134"/>
      <c r="E215" s="285"/>
      <c r="F215" s="286">
        <f t="shared" si="30"/>
        <v>0</v>
      </c>
      <c r="G215" s="134"/>
      <c r="H215" s="135"/>
      <c r="I215" s="136">
        <f t="shared" si="31"/>
        <v>0</v>
      </c>
      <c r="J215" s="134"/>
      <c r="K215" s="135"/>
      <c r="L215" s="136">
        <f t="shared" si="32"/>
        <v>0</v>
      </c>
      <c r="M215" s="284"/>
      <c r="N215" s="285"/>
      <c r="O215" s="136">
        <f t="shared" si="33"/>
        <v>0</v>
      </c>
      <c r="P215" s="85"/>
      <c r="R215" s="53"/>
      <c r="S215" s="53"/>
      <c r="T215" s="53"/>
    </row>
    <row r="216" spans="1:20" hidden="1" x14ac:dyDescent="0.25">
      <c r="A216" s="76">
        <v>5218</v>
      </c>
      <c r="B216" s="127" t="s">
        <v>232</v>
      </c>
      <c r="C216" s="279">
        <f t="shared" si="26"/>
        <v>0</v>
      </c>
      <c r="D216" s="134"/>
      <c r="E216" s="285"/>
      <c r="F216" s="286">
        <f t="shared" si="30"/>
        <v>0</v>
      </c>
      <c r="G216" s="134"/>
      <c r="H216" s="135"/>
      <c r="I216" s="136">
        <f t="shared" si="31"/>
        <v>0</v>
      </c>
      <c r="J216" s="134"/>
      <c r="K216" s="135"/>
      <c r="L216" s="136">
        <f t="shared" si="32"/>
        <v>0</v>
      </c>
      <c r="M216" s="284"/>
      <c r="N216" s="285"/>
      <c r="O216" s="136">
        <f t="shared" si="33"/>
        <v>0</v>
      </c>
      <c r="P216" s="85"/>
      <c r="R216" s="53"/>
      <c r="S216" s="53"/>
      <c r="T216" s="53"/>
    </row>
    <row r="217" spans="1:20" hidden="1" x14ac:dyDescent="0.25">
      <c r="A217" s="76">
        <v>5219</v>
      </c>
      <c r="B217" s="127" t="s">
        <v>233</v>
      </c>
      <c r="C217" s="279">
        <f t="shared" si="26"/>
        <v>0</v>
      </c>
      <c r="D217" s="134"/>
      <c r="E217" s="285"/>
      <c r="F217" s="286">
        <f t="shared" si="30"/>
        <v>0</v>
      </c>
      <c r="G217" s="134"/>
      <c r="H217" s="135"/>
      <c r="I217" s="136">
        <f t="shared" si="31"/>
        <v>0</v>
      </c>
      <c r="J217" s="134"/>
      <c r="K217" s="135"/>
      <c r="L217" s="136">
        <f t="shared" si="32"/>
        <v>0</v>
      </c>
      <c r="M217" s="284"/>
      <c r="N217" s="285"/>
      <c r="O217" s="136">
        <f t="shared" si="33"/>
        <v>0</v>
      </c>
      <c r="P217" s="85"/>
      <c r="R217" s="53"/>
      <c r="S217" s="53"/>
      <c r="T217" s="53"/>
    </row>
    <row r="218" spans="1:20" hidden="1" x14ac:dyDescent="0.25">
      <c r="A218" s="276">
        <v>5220</v>
      </c>
      <c r="B218" s="127" t="s">
        <v>234</v>
      </c>
      <c r="C218" s="279">
        <f t="shared" si="26"/>
        <v>0</v>
      </c>
      <c r="D218" s="134"/>
      <c r="E218" s="285"/>
      <c r="F218" s="286">
        <f t="shared" si="30"/>
        <v>0</v>
      </c>
      <c r="G218" s="134"/>
      <c r="H218" s="135"/>
      <c r="I218" s="136">
        <f t="shared" si="31"/>
        <v>0</v>
      </c>
      <c r="J218" s="134"/>
      <c r="K218" s="135"/>
      <c r="L218" s="136">
        <f t="shared" si="32"/>
        <v>0</v>
      </c>
      <c r="M218" s="284"/>
      <c r="N218" s="285"/>
      <c r="O218" s="136">
        <f t="shared" si="33"/>
        <v>0</v>
      </c>
      <c r="P218" s="85"/>
      <c r="R218" s="53"/>
      <c r="S218" s="53"/>
      <c r="T218" s="53"/>
    </row>
    <row r="219" spans="1:20" x14ac:dyDescent="0.25">
      <c r="A219" s="276">
        <v>5230</v>
      </c>
      <c r="B219" s="127" t="s">
        <v>235</v>
      </c>
      <c r="C219" s="279">
        <f t="shared" si="26"/>
        <v>2444</v>
      </c>
      <c r="D219" s="277">
        <f>SUM(D220:D227)</f>
        <v>2444</v>
      </c>
      <c r="E219" s="278">
        <f>SUM(E220:E227)</f>
        <v>0</v>
      </c>
      <c r="F219" s="279">
        <f t="shared" si="30"/>
        <v>2444</v>
      </c>
      <c r="G219" s="277">
        <f>SUM(G220:G227)</f>
        <v>0</v>
      </c>
      <c r="H219" s="280">
        <f>SUM(H220:H227)</f>
        <v>0</v>
      </c>
      <c r="I219" s="136">
        <f t="shared" si="31"/>
        <v>0</v>
      </c>
      <c r="J219" s="277">
        <f>SUM(J220:J227)</f>
        <v>0</v>
      </c>
      <c r="K219" s="280">
        <f>SUM(K220:K227)</f>
        <v>0</v>
      </c>
      <c r="L219" s="136">
        <f t="shared" si="32"/>
        <v>0</v>
      </c>
      <c r="M219" s="281">
        <f>SUM(M220:M227)</f>
        <v>0</v>
      </c>
      <c r="N219" s="282">
        <f>SUM(N220:N227)</f>
        <v>0</v>
      </c>
      <c r="O219" s="136">
        <f t="shared" si="33"/>
        <v>0</v>
      </c>
      <c r="P219" s="85"/>
      <c r="R219" s="53"/>
      <c r="S219" s="53"/>
      <c r="T219" s="53"/>
    </row>
    <row r="220" spans="1:20" hidden="1" x14ac:dyDescent="0.25">
      <c r="A220" s="76">
        <v>5231</v>
      </c>
      <c r="B220" s="127" t="s">
        <v>236</v>
      </c>
      <c r="C220" s="279">
        <f t="shared" si="26"/>
        <v>0</v>
      </c>
      <c r="D220" s="134"/>
      <c r="E220" s="285"/>
      <c r="F220" s="286">
        <f t="shared" si="30"/>
        <v>0</v>
      </c>
      <c r="G220" s="134"/>
      <c r="H220" s="135"/>
      <c r="I220" s="136">
        <f t="shared" si="31"/>
        <v>0</v>
      </c>
      <c r="J220" s="134"/>
      <c r="K220" s="135"/>
      <c r="L220" s="136">
        <f t="shared" si="32"/>
        <v>0</v>
      </c>
      <c r="M220" s="284"/>
      <c r="N220" s="285"/>
      <c r="O220" s="136">
        <f t="shared" si="33"/>
        <v>0</v>
      </c>
      <c r="P220" s="85"/>
      <c r="R220" s="53"/>
      <c r="S220" s="53"/>
      <c r="T220" s="53"/>
    </row>
    <row r="221" spans="1:20" x14ac:dyDescent="0.25">
      <c r="A221" s="76">
        <v>5232</v>
      </c>
      <c r="B221" s="127" t="s">
        <v>237</v>
      </c>
      <c r="C221" s="279">
        <f t="shared" si="26"/>
        <v>1944</v>
      </c>
      <c r="D221" s="134">
        <v>1944</v>
      </c>
      <c r="E221" s="283"/>
      <c r="F221" s="279">
        <f t="shared" si="30"/>
        <v>1944</v>
      </c>
      <c r="G221" s="134"/>
      <c r="H221" s="135"/>
      <c r="I221" s="136">
        <f t="shared" si="31"/>
        <v>0</v>
      </c>
      <c r="J221" s="134"/>
      <c r="K221" s="135"/>
      <c r="L221" s="136">
        <f t="shared" si="32"/>
        <v>0</v>
      </c>
      <c r="M221" s="284"/>
      <c r="N221" s="285"/>
      <c r="O221" s="136">
        <f t="shared" si="33"/>
        <v>0</v>
      </c>
      <c r="P221" s="85"/>
      <c r="R221" s="53"/>
      <c r="S221" s="53"/>
      <c r="T221" s="53"/>
    </row>
    <row r="222" spans="1:20" hidden="1" x14ac:dyDescent="0.25">
      <c r="A222" s="76">
        <v>5233</v>
      </c>
      <c r="B222" s="127" t="s">
        <v>238</v>
      </c>
      <c r="C222" s="279">
        <f t="shared" si="26"/>
        <v>0</v>
      </c>
      <c r="D222" s="134"/>
      <c r="E222" s="285"/>
      <c r="F222" s="286">
        <f t="shared" si="30"/>
        <v>0</v>
      </c>
      <c r="G222" s="134"/>
      <c r="H222" s="135"/>
      <c r="I222" s="136">
        <f t="shared" si="31"/>
        <v>0</v>
      </c>
      <c r="J222" s="134"/>
      <c r="K222" s="135"/>
      <c r="L222" s="136">
        <f t="shared" si="32"/>
        <v>0</v>
      </c>
      <c r="M222" s="284"/>
      <c r="N222" s="285"/>
      <c r="O222" s="136">
        <f t="shared" si="33"/>
        <v>0</v>
      </c>
      <c r="P222" s="85"/>
      <c r="R222" s="53"/>
      <c r="S222" s="53"/>
      <c r="T222" s="53"/>
    </row>
    <row r="223" spans="1:20" ht="24" hidden="1" x14ac:dyDescent="0.25">
      <c r="A223" s="76">
        <v>5234</v>
      </c>
      <c r="B223" s="127" t="s">
        <v>239</v>
      </c>
      <c r="C223" s="279">
        <f t="shared" si="26"/>
        <v>0</v>
      </c>
      <c r="D223" s="134"/>
      <c r="E223" s="285"/>
      <c r="F223" s="286">
        <f t="shared" si="30"/>
        <v>0</v>
      </c>
      <c r="G223" s="134"/>
      <c r="H223" s="135"/>
      <c r="I223" s="136">
        <f t="shared" si="31"/>
        <v>0</v>
      </c>
      <c r="J223" s="134"/>
      <c r="K223" s="135"/>
      <c r="L223" s="136">
        <f t="shared" si="32"/>
        <v>0</v>
      </c>
      <c r="M223" s="284"/>
      <c r="N223" s="285"/>
      <c r="O223" s="136">
        <f t="shared" si="33"/>
        <v>0</v>
      </c>
      <c r="P223" s="85"/>
      <c r="R223" s="53"/>
      <c r="S223" s="53"/>
      <c r="T223" s="53"/>
    </row>
    <row r="224" spans="1:20" hidden="1" x14ac:dyDescent="0.25">
      <c r="A224" s="76">
        <v>5236</v>
      </c>
      <c r="B224" s="127" t="s">
        <v>240</v>
      </c>
      <c r="C224" s="279">
        <f t="shared" si="26"/>
        <v>0</v>
      </c>
      <c r="D224" s="134"/>
      <c r="E224" s="285"/>
      <c r="F224" s="286">
        <f t="shared" si="30"/>
        <v>0</v>
      </c>
      <c r="G224" s="134"/>
      <c r="H224" s="135"/>
      <c r="I224" s="136">
        <f t="shared" si="31"/>
        <v>0</v>
      </c>
      <c r="J224" s="134"/>
      <c r="K224" s="135"/>
      <c r="L224" s="136">
        <f t="shared" si="32"/>
        <v>0</v>
      </c>
      <c r="M224" s="284"/>
      <c r="N224" s="285"/>
      <c r="O224" s="136">
        <f t="shared" si="33"/>
        <v>0</v>
      </c>
      <c r="P224" s="85"/>
      <c r="R224" s="53"/>
      <c r="S224" s="53"/>
      <c r="T224" s="53"/>
    </row>
    <row r="225" spans="1:20" hidden="1" x14ac:dyDescent="0.25">
      <c r="A225" s="76">
        <v>5237</v>
      </c>
      <c r="B225" s="127" t="s">
        <v>241</v>
      </c>
      <c r="C225" s="279">
        <f t="shared" si="26"/>
        <v>0</v>
      </c>
      <c r="D225" s="134"/>
      <c r="E225" s="285"/>
      <c r="F225" s="286">
        <f t="shared" si="30"/>
        <v>0</v>
      </c>
      <c r="G225" s="134"/>
      <c r="H225" s="135"/>
      <c r="I225" s="136">
        <f t="shared" si="31"/>
        <v>0</v>
      </c>
      <c r="J225" s="134"/>
      <c r="K225" s="135"/>
      <c r="L225" s="136">
        <f t="shared" si="32"/>
        <v>0</v>
      </c>
      <c r="M225" s="284"/>
      <c r="N225" s="285"/>
      <c r="O225" s="136">
        <f t="shared" si="33"/>
        <v>0</v>
      </c>
      <c r="P225" s="85"/>
      <c r="R225" s="53"/>
      <c r="S225" s="53"/>
      <c r="T225" s="53"/>
    </row>
    <row r="226" spans="1:20" ht="24" x14ac:dyDescent="0.25">
      <c r="A226" s="76">
        <v>5238</v>
      </c>
      <c r="B226" s="127" t="s">
        <v>242</v>
      </c>
      <c r="C226" s="279">
        <f t="shared" si="26"/>
        <v>500</v>
      </c>
      <c r="D226" s="134">
        <v>500</v>
      </c>
      <c r="E226" s="283"/>
      <c r="F226" s="279">
        <f t="shared" si="30"/>
        <v>500</v>
      </c>
      <c r="G226" s="134"/>
      <c r="H226" s="135"/>
      <c r="I226" s="136">
        <f t="shared" si="31"/>
        <v>0</v>
      </c>
      <c r="J226" s="134"/>
      <c r="K226" s="135"/>
      <c r="L226" s="136">
        <f t="shared" si="32"/>
        <v>0</v>
      </c>
      <c r="M226" s="284"/>
      <c r="N226" s="285"/>
      <c r="O226" s="136">
        <f t="shared" si="33"/>
        <v>0</v>
      </c>
      <c r="P226" s="85"/>
      <c r="R226" s="53"/>
      <c r="S226" s="53"/>
      <c r="T226" s="53"/>
    </row>
    <row r="227" spans="1:20" ht="24" hidden="1" x14ac:dyDescent="0.25">
      <c r="A227" s="76">
        <v>5239</v>
      </c>
      <c r="B227" s="127" t="s">
        <v>243</v>
      </c>
      <c r="C227" s="279">
        <f t="shared" si="26"/>
        <v>0</v>
      </c>
      <c r="D227" s="134"/>
      <c r="E227" s="285"/>
      <c r="F227" s="286">
        <f t="shared" si="30"/>
        <v>0</v>
      </c>
      <c r="G227" s="134"/>
      <c r="H227" s="135"/>
      <c r="I227" s="136">
        <f t="shared" si="31"/>
        <v>0</v>
      </c>
      <c r="J227" s="134"/>
      <c r="K227" s="135"/>
      <c r="L227" s="136">
        <f t="shared" si="32"/>
        <v>0</v>
      </c>
      <c r="M227" s="284"/>
      <c r="N227" s="285"/>
      <c r="O227" s="136">
        <f t="shared" si="33"/>
        <v>0</v>
      </c>
      <c r="P227" s="85"/>
      <c r="R227" s="53"/>
      <c r="S227" s="53"/>
      <c r="T227" s="53"/>
    </row>
    <row r="228" spans="1:20" ht="24" hidden="1" x14ac:dyDescent="0.25">
      <c r="A228" s="276">
        <v>5240</v>
      </c>
      <c r="B228" s="127" t="s">
        <v>244</v>
      </c>
      <c r="C228" s="279">
        <f t="shared" si="26"/>
        <v>0</v>
      </c>
      <c r="D228" s="134"/>
      <c r="E228" s="285"/>
      <c r="F228" s="286">
        <f t="shared" si="30"/>
        <v>0</v>
      </c>
      <c r="G228" s="134"/>
      <c r="H228" s="135"/>
      <c r="I228" s="136">
        <f t="shared" si="31"/>
        <v>0</v>
      </c>
      <c r="J228" s="134"/>
      <c r="K228" s="135"/>
      <c r="L228" s="136">
        <f t="shared" si="32"/>
        <v>0</v>
      </c>
      <c r="M228" s="284"/>
      <c r="N228" s="285"/>
      <c r="O228" s="136">
        <f t="shared" si="33"/>
        <v>0</v>
      </c>
      <c r="P228" s="85"/>
      <c r="R228" s="53"/>
      <c r="S228" s="53"/>
      <c r="T228" s="53"/>
    </row>
    <row r="229" spans="1:20" hidden="1" x14ac:dyDescent="0.25">
      <c r="A229" s="276">
        <v>5250</v>
      </c>
      <c r="B229" s="127" t="s">
        <v>245</v>
      </c>
      <c r="C229" s="279">
        <f t="shared" si="26"/>
        <v>0</v>
      </c>
      <c r="D229" s="134"/>
      <c r="E229" s="285"/>
      <c r="F229" s="286">
        <f t="shared" si="30"/>
        <v>0</v>
      </c>
      <c r="G229" s="134"/>
      <c r="H229" s="135"/>
      <c r="I229" s="136">
        <f t="shared" si="31"/>
        <v>0</v>
      </c>
      <c r="J229" s="134"/>
      <c r="K229" s="135"/>
      <c r="L229" s="136">
        <f t="shared" si="32"/>
        <v>0</v>
      </c>
      <c r="M229" s="284"/>
      <c r="N229" s="285"/>
      <c r="O229" s="136">
        <f t="shared" si="33"/>
        <v>0</v>
      </c>
      <c r="P229" s="85"/>
      <c r="R229" s="53"/>
      <c r="S229" s="53"/>
      <c r="T229" s="53"/>
    </row>
    <row r="230" spans="1:20" hidden="1" x14ac:dyDescent="0.25">
      <c r="A230" s="276">
        <v>5260</v>
      </c>
      <c r="B230" s="127" t="s">
        <v>246</v>
      </c>
      <c r="C230" s="279">
        <f t="shared" si="26"/>
        <v>0</v>
      </c>
      <c r="D230" s="277">
        <f>SUM(D231)</f>
        <v>0</v>
      </c>
      <c r="E230" s="282">
        <f>SUM(E231)</f>
        <v>0</v>
      </c>
      <c r="F230" s="286">
        <f t="shared" si="30"/>
        <v>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c r="R230" s="53"/>
      <c r="S230" s="53"/>
      <c r="T230" s="53"/>
    </row>
    <row r="231" spans="1:20" ht="24" hidden="1" x14ac:dyDescent="0.25">
      <c r="A231" s="76">
        <v>5269</v>
      </c>
      <c r="B231" s="127" t="s">
        <v>247</v>
      </c>
      <c r="C231" s="279">
        <f t="shared" si="26"/>
        <v>0</v>
      </c>
      <c r="D231" s="134"/>
      <c r="E231" s="285"/>
      <c r="F231" s="286">
        <f t="shared" si="30"/>
        <v>0</v>
      </c>
      <c r="G231" s="134"/>
      <c r="H231" s="135"/>
      <c r="I231" s="136">
        <f t="shared" si="31"/>
        <v>0</v>
      </c>
      <c r="J231" s="134"/>
      <c r="K231" s="135"/>
      <c r="L231" s="136">
        <f t="shared" si="32"/>
        <v>0</v>
      </c>
      <c r="M231" s="284"/>
      <c r="N231" s="285"/>
      <c r="O231" s="136">
        <f t="shared" si="33"/>
        <v>0</v>
      </c>
      <c r="P231" s="85"/>
      <c r="R231" s="53"/>
      <c r="S231" s="53"/>
      <c r="T231" s="53"/>
    </row>
    <row r="232" spans="1:20" ht="24" hidden="1" x14ac:dyDescent="0.25">
      <c r="A232" s="254">
        <v>5270</v>
      </c>
      <c r="B232" s="179" t="s">
        <v>248</v>
      </c>
      <c r="C232" s="302">
        <f t="shared" si="26"/>
        <v>0</v>
      </c>
      <c r="D232" s="287"/>
      <c r="E232" s="291"/>
      <c r="F232" s="310">
        <f t="shared" si="30"/>
        <v>0</v>
      </c>
      <c r="G232" s="287"/>
      <c r="H232" s="289"/>
      <c r="I232" s="259">
        <f t="shared" si="31"/>
        <v>0</v>
      </c>
      <c r="J232" s="287"/>
      <c r="K232" s="289"/>
      <c r="L232" s="259">
        <f t="shared" si="32"/>
        <v>0</v>
      </c>
      <c r="M232" s="290"/>
      <c r="N232" s="291"/>
      <c r="O232" s="259">
        <f t="shared" si="33"/>
        <v>0</v>
      </c>
      <c r="P232" s="189"/>
      <c r="R232" s="53"/>
      <c r="S232" s="53"/>
      <c r="T232" s="53"/>
    </row>
    <row r="233" spans="1:20" hidden="1" x14ac:dyDescent="0.25">
      <c r="A233" s="237">
        <v>6000</v>
      </c>
      <c r="B233" s="237" t="s">
        <v>249</v>
      </c>
      <c r="C233" s="238">
        <f t="shared" si="26"/>
        <v>0</v>
      </c>
      <c r="D233" s="239">
        <f>D234+D254+D261</f>
        <v>0</v>
      </c>
      <c r="E233" s="245">
        <f>E234+E254+E261</f>
        <v>0</v>
      </c>
      <c r="F233" s="320">
        <f t="shared" si="30"/>
        <v>0</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c r="R233" s="53"/>
      <c r="S233" s="53"/>
      <c r="T233" s="53"/>
    </row>
    <row r="234" spans="1:20"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c r="R234" s="53"/>
      <c r="S234" s="53"/>
      <c r="T234" s="53"/>
    </row>
    <row r="235" spans="1:20" ht="24" hidden="1" x14ac:dyDescent="0.25">
      <c r="A235" s="656">
        <v>6220</v>
      </c>
      <c r="B235" s="116" t="s">
        <v>251</v>
      </c>
      <c r="C235" s="298">
        <f t="shared" si="26"/>
        <v>0</v>
      </c>
      <c r="D235" s="123"/>
      <c r="E235" s="262"/>
      <c r="F235" s="263">
        <f t="shared" si="30"/>
        <v>0</v>
      </c>
      <c r="G235" s="123"/>
      <c r="H235" s="124"/>
      <c r="I235" s="125">
        <f t="shared" si="31"/>
        <v>0</v>
      </c>
      <c r="J235" s="123"/>
      <c r="K235" s="124"/>
      <c r="L235" s="125">
        <f t="shared" si="32"/>
        <v>0</v>
      </c>
      <c r="M235" s="264"/>
      <c r="N235" s="262"/>
      <c r="O235" s="125">
        <f t="shared" si="33"/>
        <v>0</v>
      </c>
      <c r="P235" s="74"/>
      <c r="R235" s="53"/>
      <c r="S235" s="53"/>
      <c r="T235" s="53"/>
    </row>
    <row r="236" spans="1:20" hidden="1" x14ac:dyDescent="0.25">
      <c r="A236" s="276">
        <v>6230</v>
      </c>
      <c r="B236" s="127" t="s">
        <v>252</v>
      </c>
      <c r="C236" s="278">
        <f t="shared" si="26"/>
        <v>0</v>
      </c>
      <c r="D236" s="277">
        <f>SUM(D237)</f>
        <v>0</v>
      </c>
      <c r="E236" s="280">
        <f>SUM(E237)</f>
        <v>0</v>
      </c>
      <c r="F236" s="28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c r="R236" s="53"/>
      <c r="S236" s="53"/>
      <c r="T236" s="53"/>
    </row>
    <row r="237" spans="1:20" ht="24" hidden="1" x14ac:dyDescent="0.25">
      <c r="A237" s="76">
        <v>6239</v>
      </c>
      <c r="B237" s="116" t="s">
        <v>253</v>
      </c>
      <c r="C237" s="278">
        <f t="shared" si="26"/>
        <v>0</v>
      </c>
      <c r="D237" s="134"/>
      <c r="E237" s="285"/>
      <c r="F237" s="286">
        <f t="shared" si="30"/>
        <v>0</v>
      </c>
      <c r="G237" s="134"/>
      <c r="H237" s="135"/>
      <c r="I237" s="136">
        <f t="shared" si="31"/>
        <v>0</v>
      </c>
      <c r="J237" s="134"/>
      <c r="K237" s="135"/>
      <c r="L237" s="136">
        <f t="shared" si="32"/>
        <v>0</v>
      </c>
      <c r="M237" s="284"/>
      <c r="N237" s="285"/>
      <c r="O237" s="136">
        <f t="shared" si="33"/>
        <v>0</v>
      </c>
      <c r="P237" s="85"/>
      <c r="R237" s="53"/>
      <c r="S237" s="53"/>
      <c r="T237" s="53"/>
    </row>
    <row r="238" spans="1:20" ht="24" hidden="1" x14ac:dyDescent="0.25">
      <c r="A238" s="276">
        <v>6240</v>
      </c>
      <c r="B238" s="127" t="s">
        <v>254</v>
      </c>
      <c r="C238" s="278">
        <f t="shared" si="26"/>
        <v>0</v>
      </c>
      <c r="D238" s="277">
        <f>SUM(D239:D240)</f>
        <v>0</v>
      </c>
      <c r="E238" s="282">
        <f>SUM(E239:E240)</f>
        <v>0</v>
      </c>
      <c r="F238" s="28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c r="R238" s="53"/>
      <c r="S238" s="53"/>
      <c r="T238" s="53"/>
    </row>
    <row r="239" spans="1:20" hidden="1" x14ac:dyDescent="0.25">
      <c r="A239" s="76">
        <v>6241</v>
      </c>
      <c r="B239" s="127" t="s">
        <v>255</v>
      </c>
      <c r="C239" s="278">
        <f t="shared" si="26"/>
        <v>0</v>
      </c>
      <c r="D239" s="134"/>
      <c r="E239" s="285"/>
      <c r="F239" s="286">
        <f t="shared" si="30"/>
        <v>0</v>
      </c>
      <c r="G239" s="134"/>
      <c r="H239" s="135"/>
      <c r="I239" s="136">
        <f t="shared" si="31"/>
        <v>0</v>
      </c>
      <c r="J239" s="134"/>
      <c r="K239" s="135"/>
      <c r="L239" s="136">
        <f t="shared" si="32"/>
        <v>0</v>
      </c>
      <c r="M239" s="284"/>
      <c r="N239" s="285"/>
      <c r="O239" s="136">
        <f t="shared" si="33"/>
        <v>0</v>
      </c>
      <c r="P239" s="85"/>
      <c r="R239" s="53"/>
      <c r="S239" s="53"/>
      <c r="T239" s="53"/>
    </row>
    <row r="240" spans="1:20" hidden="1" x14ac:dyDescent="0.25">
      <c r="A240" s="76">
        <v>6242</v>
      </c>
      <c r="B240" s="127" t="s">
        <v>256</v>
      </c>
      <c r="C240" s="278">
        <f t="shared" si="26"/>
        <v>0</v>
      </c>
      <c r="D240" s="134"/>
      <c r="E240" s="285"/>
      <c r="F240" s="286">
        <f t="shared" si="30"/>
        <v>0</v>
      </c>
      <c r="G240" s="134"/>
      <c r="H240" s="135"/>
      <c r="I240" s="136">
        <f t="shared" si="31"/>
        <v>0</v>
      </c>
      <c r="J240" s="134"/>
      <c r="K240" s="135"/>
      <c r="L240" s="136">
        <f t="shared" si="32"/>
        <v>0</v>
      </c>
      <c r="M240" s="284"/>
      <c r="N240" s="285"/>
      <c r="O240" s="136">
        <f t="shared" si="33"/>
        <v>0</v>
      </c>
      <c r="P240" s="85"/>
      <c r="R240" s="53"/>
      <c r="S240" s="53"/>
      <c r="T240" s="53"/>
    </row>
    <row r="241" spans="1:20" ht="24" hidden="1" x14ac:dyDescent="0.25">
      <c r="A241" s="276">
        <v>6250</v>
      </c>
      <c r="B241" s="127" t="s">
        <v>257</v>
      </c>
      <c r="C241" s="278">
        <f t="shared" si="26"/>
        <v>0</v>
      </c>
      <c r="D241" s="277">
        <f>SUM(D242:D246)</f>
        <v>0</v>
      </c>
      <c r="E241" s="282">
        <f>SUM(E242:E246)</f>
        <v>0</v>
      </c>
      <c r="F241" s="28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c r="R241" s="53"/>
      <c r="S241" s="53"/>
      <c r="T241" s="53"/>
    </row>
    <row r="242" spans="1:20" hidden="1" x14ac:dyDescent="0.25">
      <c r="A242" s="76">
        <v>6252</v>
      </c>
      <c r="B242" s="127" t="s">
        <v>258</v>
      </c>
      <c r="C242" s="278">
        <f t="shared" si="26"/>
        <v>0</v>
      </c>
      <c r="D242" s="134"/>
      <c r="E242" s="285"/>
      <c r="F242" s="286">
        <f t="shared" si="30"/>
        <v>0</v>
      </c>
      <c r="G242" s="134"/>
      <c r="H242" s="135"/>
      <c r="I242" s="136">
        <f t="shared" si="31"/>
        <v>0</v>
      </c>
      <c r="J242" s="134"/>
      <c r="K242" s="135"/>
      <c r="L242" s="136">
        <f t="shared" si="32"/>
        <v>0</v>
      </c>
      <c r="M242" s="284"/>
      <c r="N242" s="285"/>
      <c r="O242" s="136">
        <f t="shared" si="33"/>
        <v>0</v>
      </c>
      <c r="P242" s="85"/>
      <c r="R242" s="53"/>
      <c r="S242" s="53"/>
      <c r="T242" s="53"/>
    </row>
    <row r="243" spans="1:20" hidden="1" x14ac:dyDescent="0.25">
      <c r="A243" s="76">
        <v>6253</v>
      </c>
      <c r="B243" s="127" t="s">
        <v>259</v>
      </c>
      <c r="C243" s="278">
        <f t="shared" si="26"/>
        <v>0</v>
      </c>
      <c r="D243" s="134"/>
      <c r="E243" s="285"/>
      <c r="F243" s="286">
        <f t="shared" si="30"/>
        <v>0</v>
      </c>
      <c r="G243" s="134"/>
      <c r="H243" s="135"/>
      <c r="I243" s="136">
        <f t="shared" si="31"/>
        <v>0</v>
      </c>
      <c r="J243" s="134"/>
      <c r="K243" s="135"/>
      <c r="L243" s="136">
        <f t="shared" si="32"/>
        <v>0</v>
      </c>
      <c r="M243" s="284"/>
      <c r="N243" s="285"/>
      <c r="O243" s="136">
        <f t="shared" si="33"/>
        <v>0</v>
      </c>
      <c r="P243" s="85"/>
      <c r="R243" s="53"/>
      <c r="S243" s="53"/>
      <c r="T243" s="53"/>
    </row>
    <row r="244" spans="1:20" ht="24" hidden="1" x14ac:dyDescent="0.25">
      <c r="A244" s="76">
        <v>6254</v>
      </c>
      <c r="B244" s="127" t="s">
        <v>260</v>
      </c>
      <c r="C244" s="278">
        <f t="shared" si="26"/>
        <v>0</v>
      </c>
      <c r="D244" s="134"/>
      <c r="E244" s="285"/>
      <c r="F244" s="286">
        <f t="shared" si="30"/>
        <v>0</v>
      </c>
      <c r="G244" s="134"/>
      <c r="H244" s="135"/>
      <c r="I244" s="136">
        <f t="shared" si="31"/>
        <v>0</v>
      </c>
      <c r="J244" s="134"/>
      <c r="K244" s="135"/>
      <c r="L244" s="136">
        <f t="shared" si="32"/>
        <v>0</v>
      </c>
      <c r="M244" s="284"/>
      <c r="N244" s="285"/>
      <c r="O244" s="136">
        <f t="shared" si="33"/>
        <v>0</v>
      </c>
      <c r="P244" s="85"/>
      <c r="R244" s="53"/>
      <c r="S244" s="53"/>
      <c r="T244" s="53"/>
    </row>
    <row r="245" spans="1:20" ht="24" hidden="1" x14ac:dyDescent="0.25">
      <c r="A245" s="76">
        <v>6255</v>
      </c>
      <c r="B245" s="127" t="s">
        <v>261</v>
      </c>
      <c r="C245" s="278">
        <f t="shared" si="26"/>
        <v>0</v>
      </c>
      <c r="D245" s="134"/>
      <c r="E245" s="285"/>
      <c r="F245" s="286">
        <f t="shared" si="30"/>
        <v>0</v>
      </c>
      <c r="G245" s="134"/>
      <c r="H245" s="135"/>
      <c r="I245" s="136">
        <f t="shared" si="31"/>
        <v>0</v>
      </c>
      <c r="J245" s="134"/>
      <c r="K245" s="135"/>
      <c r="L245" s="136">
        <f t="shared" si="32"/>
        <v>0</v>
      </c>
      <c r="M245" s="284"/>
      <c r="N245" s="285"/>
      <c r="O245" s="136">
        <f t="shared" si="33"/>
        <v>0</v>
      </c>
      <c r="P245" s="85"/>
      <c r="R245" s="53"/>
      <c r="S245" s="53"/>
      <c r="T245" s="53"/>
    </row>
    <row r="246" spans="1:20" hidden="1" x14ac:dyDescent="0.25">
      <c r="A246" s="76">
        <v>6259</v>
      </c>
      <c r="B246" s="127" t="s">
        <v>262</v>
      </c>
      <c r="C246" s="278">
        <f t="shared" si="26"/>
        <v>0</v>
      </c>
      <c r="D246" s="134"/>
      <c r="E246" s="285"/>
      <c r="F246" s="286">
        <f t="shared" si="30"/>
        <v>0</v>
      </c>
      <c r="G246" s="134"/>
      <c r="H246" s="135"/>
      <c r="I246" s="136">
        <f t="shared" si="31"/>
        <v>0</v>
      </c>
      <c r="J246" s="134"/>
      <c r="K246" s="135"/>
      <c r="L246" s="136">
        <f t="shared" si="32"/>
        <v>0</v>
      </c>
      <c r="M246" s="284"/>
      <c r="N246" s="285"/>
      <c r="O246" s="136">
        <f t="shared" si="33"/>
        <v>0</v>
      </c>
      <c r="P246" s="85"/>
      <c r="R246" s="53"/>
      <c r="S246" s="53"/>
      <c r="T246" s="53"/>
    </row>
    <row r="247" spans="1:20" ht="24" hidden="1" x14ac:dyDescent="0.25">
      <c r="A247" s="276">
        <v>6260</v>
      </c>
      <c r="B247" s="127" t="s">
        <v>263</v>
      </c>
      <c r="C247" s="278">
        <f t="shared" si="26"/>
        <v>0</v>
      </c>
      <c r="D247" s="134"/>
      <c r="E247" s="285"/>
      <c r="F247" s="286">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c r="R247" s="53"/>
      <c r="S247" s="53"/>
      <c r="T247" s="53"/>
    </row>
    <row r="248" spans="1:20" hidden="1" x14ac:dyDescent="0.25">
      <c r="A248" s="276">
        <v>6270</v>
      </c>
      <c r="B248" s="127" t="s">
        <v>264</v>
      </c>
      <c r="C248" s="278">
        <f t="shared" si="26"/>
        <v>0</v>
      </c>
      <c r="D248" s="134"/>
      <c r="E248" s="285"/>
      <c r="F248" s="286">
        <f t="shared" si="37"/>
        <v>0</v>
      </c>
      <c r="G248" s="134"/>
      <c r="H248" s="135"/>
      <c r="I248" s="136">
        <f t="shared" si="38"/>
        <v>0</v>
      </c>
      <c r="J248" s="134"/>
      <c r="K248" s="135"/>
      <c r="L248" s="136">
        <f t="shared" si="39"/>
        <v>0</v>
      </c>
      <c r="M248" s="284"/>
      <c r="N248" s="285"/>
      <c r="O248" s="136">
        <f t="shared" si="40"/>
        <v>0</v>
      </c>
      <c r="P248" s="85"/>
      <c r="R248" s="53"/>
      <c r="S248" s="53"/>
      <c r="T248" s="53"/>
    </row>
    <row r="249" spans="1:20" ht="24" hidden="1" x14ac:dyDescent="0.25">
      <c r="A249" s="656">
        <v>6290</v>
      </c>
      <c r="B249" s="116" t="s">
        <v>265</v>
      </c>
      <c r="C249" s="278">
        <f t="shared" si="26"/>
        <v>0</v>
      </c>
      <c r="D249" s="297">
        <f>SUM(D250:D253)</f>
        <v>0</v>
      </c>
      <c r="E249" s="301">
        <f>SUM(E250:E253)</f>
        <v>0</v>
      </c>
      <c r="F249" s="263">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c r="R249" s="53"/>
      <c r="S249" s="53"/>
      <c r="T249" s="53"/>
    </row>
    <row r="250" spans="1:20" hidden="1" x14ac:dyDescent="0.25">
      <c r="A250" s="76">
        <v>6291</v>
      </c>
      <c r="B250" s="127" t="s">
        <v>266</v>
      </c>
      <c r="C250" s="278">
        <f t="shared" si="26"/>
        <v>0</v>
      </c>
      <c r="D250" s="134"/>
      <c r="E250" s="285"/>
      <c r="F250" s="286">
        <f t="shared" si="37"/>
        <v>0</v>
      </c>
      <c r="G250" s="134"/>
      <c r="H250" s="135"/>
      <c r="I250" s="136">
        <f t="shared" si="38"/>
        <v>0</v>
      </c>
      <c r="J250" s="134"/>
      <c r="K250" s="135"/>
      <c r="L250" s="136">
        <f t="shared" si="39"/>
        <v>0</v>
      </c>
      <c r="M250" s="284"/>
      <c r="N250" s="285"/>
      <c r="O250" s="136">
        <f t="shared" si="40"/>
        <v>0</v>
      </c>
      <c r="P250" s="85"/>
      <c r="R250" s="53"/>
      <c r="S250" s="53"/>
      <c r="T250" s="53"/>
    </row>
    <row r="251" spans="1:20" hidden="1" x14ac:dyDescent="0.25">
      <c r="A251" s="76">
        <v>6292</v>
      </c>
      <c r="B251" s="127" t="s">
        <v>267</v>
      </c>
      <c r="C251" s="278">
        <f t="shared" si="26"/>
        <v>0</v>
      </c>
      <c r="D251" s="134"/>
      <c r="E251" s="285"/>
      <c r="F251" s="286">
        <f t="shared" si="37"/>
        <v>0</v>
      </c>
      <c r="G251" s="134"/>
      <c r="H251" s="135"/>
      <c r="I251" s="136">
        <f t="shared" si="38"/>
        <v>0</v>
      </c>
      <c r="J251" s="134"/>
      <c r="K251" s="135"/>
      <c r="L251" s="136">
        <f t="shared" si="39"/>
        <v>0</v>
      </c>
      <c r="M251" s="284"/>
      <c r="N251" s="285"/>
      <c r="O251" s="136">
        <f t="shared" si="40"/>
        <v>0</v>
      </c>
      <c r="P251" s="85"/>
      <c r="R251" s="53"/>
      <c r="S251" s="53"/>
      <c r="T251" s="53"/>
    </row>
    <row r="252" spans="1:20" ht="72" hidden="1" x14ac:dyDescent="0.25">
      <c r="A252" s="76">
        <v>6296</v>
      </c>
      <c r="B252" s="127" t="s">
        <v>268</v>
      </c>
      <c r="C252" s="278">
        <f t="shared" si="26"/>
        <v>0</v>
      </c>
      <c r="D252" s="134"/>
      <c r="E252" s="285"/>
      <c r="F252" s="286">
        <f t="shared" si="37"/>
        <v>0</v>
      </c>
      <c r="G252" s="134"/>
      <c r="H252" s="135"/>
      <c r="I252" s="136">
        <f t="shared" si="38"/>
        <v>0</v>
      </c>
      <c r="J252" s="134"/>
      <c r="K252" s="135"/>
      <c r="L252" s="136">
        <f t="shared" si="39"/>
        <v>0</v>
      </c>
      <c r="M252" s="284"/>
      <c r="N252" s="285"/>
      <c r="O252" s="136">
        <f t="shared" si="40"/>
        <v>0</v>
      </c>
      <c r="P252" s="85"/>
      <c r="R252" s="53"/>
      <c r="S252" s="53"/>
      <c r="T252" s="53"/>
    </row>
    <row r="253" spans="1:20" ht="36" hidden="1" x14ac:dyDescent="0.25">
      <c r="A253" s="76">
        <v>6299</v>
      </c>
      <c r="B253" s="127" t="s">
        <v>269</v>
      </c>
      <c r="C253" s="278">
        <f t="shared" si="26"/>
        <v>0</v>
      </c>
      <c r="D253" s="134"/>
      <c r="E253" s="285"/>
      <c r="F253" s="286">
        <f t="shared" si="37"/>
        <v>0</v>
      </c>
      <c r="G253" s="134"/>
      <c r="H253" s="135"/>
      <c r="I253" s="136">
        <f t="shared" si="38"/>
        <v>0</v>
      </c>
      <c r="J253" s="134"/>
      <c r="K253" s="135"/>
      <c r="L253" s="136">
        <f t="shared" si="39"/>
        <v>0</v>
      </c>
      <c r="M253" s="284"/>
      <c r="N253" s="285"/>
      <c r="O253" s="136">
        <f t="shared" si="40"/>
        <v>0</v>
      </c>
      <c r="P253" s="85"/>
      <c r="R253" s="53"/>
      <c r="S253" s="53"/>
      <c r="T253" s="53"/>
    </row>
    <row r="254" spans="1:20" hidden="1" x14ac:dyDescent="0.25">
      <c r="A254" s="99">
        <v>6300</v>
      </c>
      <c r="B254" s="247" t="s">
        <v>270</v>
      </c>
      <c r="C254" s="100">
        <f t="shared" si="26"/>
        <v>0</v>
      </c>
      <c r="D254" s="112">
        <f>SUM(D255,D259,D260)</f>
        <v>0</v>
      </c>
      <c r="E254" s="293">
        <f>SUM(E255,E259,E260)</f>
        <v>0</v>
      </c>
      <c r="F254" s="313">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c r="R254" s="53"/>
      <c r="S254" s="53"/>
      <c r="T254" s="53"/>
    </row>
    <row r="255" spans="1:20" ht="24" hidden="1" x14ac:dyDescent="0.25">
      <c r="A255" s="656">
        <v>6320</v>
      </c>
      <c r="B255" s="116" t="s">
        <v>271</v>
      </c>
      <c r="C255" s="322">
        <f t="shared" si="26"/>
        <v>0</v>
      </c>
      <c r="D255" s="297">
        <f>SUM(D256:D258)</f>
        <v>0</v>
      </c>
      <c r="E255" s="301">
        <f>SUM(E256:E258)</f>
        <v>0</v>
      </c>
      <c r="F255" s="263">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c r="R255" s="53"/>
      <c r="S255" s="53"/>
      <c r="T255" s="53"/>
    </row>
    <row r="256" spans="1:20" hidden="1" x14ac:dyDescent="0.25">
      <c r="A256" s="76">
        <v>6322</v>
      </c>
      <c r="B256" s="127" t="s">
        <v>272</v>
      </c>
      <c r="C256" s="281">
        <f t="shared" si="26"/>
        <v>0</v>
      </c>
      <c r="D256" s="134"/>
      <c r="E256" s="285"/>
      <c r="F256" s="286">
        <f t="shared" si="37"/>
        <v>0</v>
      </c>
      <c r="G256" s="134"/>
      <c r="H256" s="135"/>
      <c r="I256" s="136">
        <f t="shared" si="38"/>
        <v>0</v>
      </c>
      <c r="J256" s="134"/>
      <c r="K256" s="135"/>
      <c r="L256" s="136">
        <f t="shared" si="39"/>
        <v>0</v>
      </c>
      <c r="M256" s="284"/>
      <c r="N256" s="285"/>
      <c r="O256" s="136">
        <f t="shared" si="40"/>
        <v>0</v>
      </c>
      <c r="P256" s="85"/>
      <c r="R256" s="53"/>
      <c r="S256" s="53"/>
      <c r="T256" s="53"/>
    </row>
    <row r="257" spans="1:20" ht="24" hidden="1" x14ac:dyDescent="0.25">
      <c r="A257" s="76">
        <v>6323</v>
      </c>
      <c r="B257" s="127" t="s">
        <v>273</v>
      </c>
      <c r="C257" s="281">
        <f t="shared" si="26"/>
        <v>0</v>
      </c>
      <c r="D257" s="134"/>
      <c r="E257" s="285"/>
      <c r="F257" s="286">
        <f t="shared" si="37"/>
        <v>0</v>
      </c>
      <c r="G257" s="134"/>
      <c r="H257" s="135"/>
      <c r="I257" s="136">
        <f t="shared" si="38"/>
        <v>0</v>
      </c>
      <c r="J257" s="134"/>
      <c r="K257" s="135"/>
      <c r="L257" s="136">
        <f t="shared" si="39"/>
        <v>0</v>
      </c>
      <c r="M257" s="284"/>
      <c r="N257" s="285"/>
      <c r="O257" s="136">
        <f t="shared" si="40"/>
        <v>0</v>
      </c>
      <c r="P257" s="85"/>
      <c r="R257" s="53"/>
      <c r="S257" s="53"/>
      <c r="T257" s="53"/>
    </row>
    <row r="258" spans="1:20" ht="24" hidden="1" x14ac:dyDescent="0.25">
      <c r="A258" s="66">
        <v>6324</v>
      </c>
      <c r="B258" s="116" t="s">
        <v>274</v>
      </c>
      <c r="C258" s="281">
        <f t="shared" si="26"/>
        <v>0</v>
      </c>
      <c r="D258" s="123"/>
      <c r="E258" s="262"/>
      <c r="F258" s="263">
        <f t="shared" si="37"/>
        <v>0</v>
      </c>
      <c r="G258" s="123"/>
      <c r="H258" s="124"/>
      <c r="I258" s="125">
        <f t="shared" si="38"/>
        <v>0</v>
      </c>
      <c r="J258" s="123"/>
      <c r="K258" s="124"/>
      <c r="L258" s="125">
        <f t="shared" si="39"/>
        <v>0</v>
      </c>
      <c r="M258" s="264"/>
      <c r="N258" s="262"/>
      <c r="O258" s="125">
        <f t="shared" si="40"/>
        <v>0</v>
      </c>
      <c r="P258" s="74"/>
      <c r="R258" s="53"/>
      <c r="S258" s="53"/>
      <c r="T258" s="53"/>
    </row>
    <row r="259" spans="1:20" ht="24" hidden="1" x14ac:dyDescent="0.25">
      <c r="A259" s="344">
        <v>6330</v>
      </c>
      <c r="B259" s="345" t="s">
        <v>275</v>
      </c>
      <c r="C259" s="281">
        <f t="shared" ref="C259:C286" si="50">F259+I259+L259+O259</f>
        <v>0</v>
      </c>
      <c r="D259" s="328"/>
      <c r="E259" s="329"/>
      <c r="F259" s="330">
        <f t="shared" si="37"/>
        <v>0</v>
      </c>
      <c r="G259" s="328"/>
      <c r="H259" s="331"/>
      <c r="I259" s="324">
        <f t="shared" si="38"/>
        <v>0</v>
      </c>
      <c r="J259" s="328"/>
      <c r="K259" s="331"/>
      <c r="L259" s="324">
        <f t="shared" si="39"/>
        <v>0</v>
      </c>
      <c r="M259" s="332"/>
      <c r="N259" s="329"/>
      <c r="O259" s="324">
        <f t="shared" si="40"/>
        <v>0</v>
      </c>
      <c r="P259" s="325"/>
      <c r="R259" s="53"/>
      <c r="S259" s="53"/>
      <c r="T259" s="53"/>
    </row>
    <row r="260" spans="1:20" hidden="1" x14ac:dyDescent="0.25">
      <c r="A260" s="276">
        <v>6360</v>
      </c>
      <c r="B260" s="127" t="s">
        <v>276</v>
      </c>
      <c r="C260" s="281">
        <f t="shared" si="50"/>
        <v>0</v>
      </c>
      <c r="D260" s="134"/>
      <c r="E260" s="285"/>
      <c r="F260" s="286">
        <f t="shared" si="37"/>
        <v>0</v>
      </c>
      <c r="G260" s="134"/>
      <c r="H260" s="135"/>
      <c r="I260" s="136">
        <f t="shared" si="38"/>
        <v>0</v>
      </c>
      <c r="J260" s="134"/>
      <c r="K260" s="135"/>
      <c r="L260" s="136">
        <f t="shared" si="39"/>
        <v>0</v>
      </c>
      <c r="M260" s="284"/>
      <c r="N260" s="285"/>
      <c r="O260" s="136">
        <f t="shared" si="40"/>
        <v>0</v>
      </c>
      <c r="P260" s="85"/>
      <c r="R260" s="53"/>
      <c r="S260" s="53"/>
      <c r="T260" s="53"/>
    </row>
    <row r="261" spans="1:20" ht="36" hidden="1" x14ac:dyDescent="0.25">
      <c r="A261" s="99">
        <v>6400</v>
      </c>
      <c r="B261" s="247" t="s">
        <v>277</v>
      </c>
      <c r="C261" s="100">
        <f t="shared" si="50"/>
        <v>0</v>
      </c>
      <c r="D261" s="112">
        <f>SUM(D262,D266)</f>
        <v>0</v>
      </c>
      <c r="E261" s="293">
        <f>SUM(E262,E266)</f>
        <v>0</v>
      </c>
      <c r="F261" s="313">
        <f t="shared" si="37"/>
        <v>0</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c r="R261" s="53"/>
      <c r="S261" s="53"/>
      <c r="T261" s="53"/>
    </row>
    <row r="262" spans="1:20" ht="24" hidden="1" x14ac:dyDescent="0.25">
      <c r="A262" s="656">
        <v>6410</v>
      </c>
      <c r="B262" s="116" t="s">
        <v>278</v>
      </c>
      <c r="C262" s="300">
        <f t="shared" si="50"/>
        <v>0</v>
      </c>
      <c r="D262" s="297">
        <f>SUM(D263:D265)</f>
        <v>0</v>
      </c>
      <c r="E262" s="301">
        <f>SUM(E263:E265)</f>
        <v>0</v>
      </c>
      <c r="F262" s="263">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c r="R262" s="53"/>
      <c r="S262" s="53"/>
      <c r="T262" s="53"/>
    </row>
    <row r="263" spans="1:20" hidden="1" x14ac:dyDescent="0.25">
      <c r="A263" s="76">
        <v>6411</v>
      </c>
      <c r="B263" s="346" t="s">
        <v>279</v>
      </c>
      <c r="C263" s="278">
        <f t="shared" si="50"/>
        <v>0</v>
      </c>
      <c r="D263" s="134"/>
      <c r="E263" s="285"/>
      <c r="F263" s="286">
        <f t="shared" si="37"/>
        <v>0</v>
      </c>
      <c r="G263" s="134"/>
      <c r="H263" s="135"/>
      <c r="I263" s="136">
        <f t="shared" si="38"/>
        <v>0</v>
      </c>
      <c r="J263" s="134"/>
      <c r="K263" s="135"/>
      <c r="L263" s="136">
        <f t="shared" si="39"/>
        <v>0</v>
      </c>
      <c r="M263" s="284"/>
      <c r="N263" s="285"/>
      <c r="O263" s="136">
        <f t="shared" si="40"/>
        <v>0</v>
      </c>
      <c r="P263" s="85"/>
      <c r="R263" s="53"/>
      <c r="S263" s="53"/>
      <c r="T263" s="53"/>
    </row>
    <row r="264" spans="1:20" ht="36" hidden="1" x14ac:dyDescent="0.25">
      <c r="A264" s="76">
        <v>6412</v>
      </c>
      <c r="B264" s="127" t="s">
        <v>280</v>
      </c>
      <c r="C264" s="278">
        <f t="shared" si="50"/>
        <v>0</v>
      </c>
      <c r="D264" s="134"/>
      <c r="E264" s="285"/>
      <c r="F264" s="286">
        <f t="shared" si="37"/>
        <v>0</v>
      </c>
      <c r="G264" s="134"/>
      <c r="H264" s="135"/>
      <c r="I264" s="136">
        <f t="shared" si="38"/>
        <v>0</v>
      </c>
      <c r="J264" s="134"/>
      <c r="K264" s="135"/>
      <c r="L264" s="136">
        <f t="shared" si="39"/>
        <v>0</v>
      </c>
      <c r="M264" s="284"/>
      <c r="N264" s="285"/>
      <c r="O264" s="136">
        <f t="shared" si="40"/>
        <v>0</v>
      </c>
      <c r="P264" s="85"/>
      <c r="R264" s="53"/>
      <c r="S264" s="53"/>
      <c r="T264" s="53"/>
    </row>
    <row r="265" spans="1:20" ht="36" hidden="1" x14ac:dyDescent="0.25">
      <c r="A265" s="76">
        <v>6419</v>
      </c>
      <c r="B265" s="127" t="s">
        <v>281</v>
      </c>
      <c r="C265" s="278">
        <f t="shared" si="50"/>
        <v>0</v>
      </c>
      <c r="D265" s="134"/>
      <c r="E265" s="285"/>
      <c r="F265" s="286">
        <f t="shared" si="37"/>
        <v>0</v>
      </c>
      <c r="G265" s="134"/>
      <c r="H265" s="135"/>
      <c r="I265" s="136">
        <f t="shared" si="38"/>
        <v>0</v>
      </c>
      <c r="J265" s="134"/>
      <c r="K265" s="135"/>
      <c r="L265" s="136">
        <f t="shared" si="39"/>
        <v>0</v>
      </c>
      <c r="M265" s="284"/>
      <c r="N265" s="285"/>
      <c r="O265" s="136">
        <f t="shared" si="40"/>
        <v>0</v>
      </c>
      <c r="P265" s="85"/>
      <c r="R265" s="53"/>
      <c r="S265" s="53"/>
      <c r="T265" s="53"/>
    </row>
    <row r="266" spans="1:20" ht="36" hidden="1" x14ac:dyDescent="0.25">
      <c r="A266" s="276">
        <v>6420</v>
      </c>
      <c r="B266" s="127" t="s">
        <v>282</v>
      </c>
      <c r="C266" s="278">
        <f t="shared" si="50"/>
        <v>0</v>
      </c>
      <c r="D266" s="277">
        <f>SUM(D267:D270)</f>
        <v>0</v>
      </c>
      <c r="E266" s="282">
        <f>SUM(E267:E270)</f>
        <v>0</v>
      </c>
      <c r="F266" s="286">
        <f t="shared" si="37"/>
        <v>0</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c r="R266" s="53"/>
      <c r="S266" s="53"/>
      <c r="T266" s="53"/>
    </row>
    <row r="267" spans="1:20" hidden="1" x14ac:dyDescent="0.25">
      <c r="A267" s="76">
        <v>6421</v>
      </c>
      <c r="B267" s="127" t="s">
        <v>283</v>
      </c>
      <c r="C267" s="278">
        <f t="shared" si="50"/>
        <v>0</v>
      </c>
      <c r="D267" s="134"/>
      <c r="E267" s="285"/>
      <c r="F267" s="286">
        <f t="shared" si="37"/>
        <v>0</v>
      </c>
      <c r="G267" s="134"/>
      <c r="H267" s="135"/>
      <c r="I267" s="136">
        <f t="shared" si="38"/>
        <v>0</v>
      </c>
      <c r="J267" s="134"/>
      <c r="K267" s="135"/>
      <c r="L267" s="136">
        <f t="shared" si="39"/>
        <v>0</v>
      </c>
      <c r="M267" s="284"/>
      <c r="N267" s="285"/>
      <c r="O267" s="136">
        <f t="shared" si="40"/>
        <v>0</v>
      </c>
      <c r="P267" s="85"/>
      <c r="R267" s="53"/>
      <c r="S267" s="53"/>
      <c r="T267" s="53"/>
    </row>
    <row r="268" spans="1:20" hidden="1" x14ac:dyDescent="0.25">
      <c r="A268" s="76">
        <v>6422</v>
      </c>
      <c r="B268" s="127" t="s">
        <v>284</v>
      </c>
      <c r="C268" s="278">
        <f t="shared" si="50"/>
        <v>0</v>
      </c>
      <c r="D268" s="134"/>
      <c r="E268" s="285"/>
      <c r="F268" s="286">
        <f t="shared" si="37"/>
        <v>0</v>
      </c>
      <c r="G268" s="134"/>
      <c r="H268" s="135"/>
      <c r="I268" s="136">
        <f t="shared" si="38"/>
        <v>0</v>
      </c>
      <c r="J268" s="134"/>
      <c r="K268" s="135"/>
      <c r="L268" s="136">
        <f t="shared" si="39"/>
        <v>0</v>
      </c>
      <c r="M268" s="284"/>
      <c r="N268" s="285"/>
      <c r="O268" s="136">
        <f t="shared" si="40"/>
        <v>0</v>
      </c>
      <c r="P268" s="85"/>
      <c r="R268" s="53"/>
      <c r="S268" s="53"/>
      <c r="T268" s="53"/>
    </row>
    <row r="269" spans="1:20" ht="24" hidden="1" x14ac:dyDescent="0.25">
      <c r="A269" s="76">
        <v>6423</v>
      </c>
      <c r="B269" s="127" t="s">
        <v>285</v>
      </c>
      <c r="C269" s="278">
        <f t="shared" si="50"/>
        <v>0</v>
      </c>
      <c r="D269" s="134"/>
      <c r="E269" s="285"/>
      <c r="F269" s="286">
        <f t="shared" si="37"/>
        <v>0</v>
      </c>
      <c r="G269" s="134"/>
      <c r="H269" s="135"/>
      <c r="I269" s="136">
        <f t="shared" si="38"/>
        <v>0</v>
      </c>
      <c r="J269" s="134"/>
      <c r="K269" s="135"/>
      <c r="L269" s="136">
        <f t="shared" si="39"/>
        <v>0</v>
      </c>
      <c r="M269" s="284"/>
      <c r="N269" s="285"/>
      <c r="O269" s="136">
        <f t="shared" si="40"/>
        <v>0</v>
      </c>
      <c r="P269" s="85"/>
      <c r="R269" s="53"/>
      <c r="S269" s="53"/>
      <c r="T269" s="53"/>
    </row>
    <row r="270" spans="1:20" ht="36" hidden="1" x14ac:dyDescent="0.25">
      <c r="A270" s="76">
        <v>6424</v>
      </c>
      <c r="B270" s="127" t="s">
        <v>286</v>
      </c>
      <c r="C270" s="278">
        <f t="shared" si="50"/>
        <v>0</v>
      </c>
      <c r="D270" s="134"/>
      <c r="E270" s="285"/>
      <c r="F270" s="286">
        <f t="shared" si="37"/>
        <v>0</v>
      </c>
      <c r="G270" s="134"/>
      <c r="H270" s="135"/>
      <c r="I270" s="136">
        <f t="shared" si="38"/>
        <v>0</v>
      </c>
      <c r="J270" s="134"/>
      <c r="K270" s="135"/>
      <c r="L270" s="136">
        <f t="shared" si="39"/>
        <v>0</v>
      </c>
      <c r="M270" s="284"/>
      <c r="N270" s="285"/>
      <c r="O270" s="136">
        <f t="shared" si="40"/>
        <v>0</v>
      </c>
      <c r="P270" s="85"/>
      <c r="R270" s="53"/>
      <c r="S270" s="53"/>
      <c r="T270" s="53"/>
    </row>
    <row r="271" spans="1:20" ht="36" x14ac:dyDescent="0.25">
      <c r="A271" s="347">
        <v>7000</v>
      </c>
      <c r="B271" s="347" t="s">
        <v>287</v>
      </c>
      <c r="C271" s="348">
        <f t="shared" si="50"/>
        <v>155</v>
      </c>
      <c r="D271" s="349">
        <f>SUM(D272,D282)</f>
        <v>0</v>
      </c>
      <c r="E271" s="350">
        <f>SUM(E272,E282)</f>
        <v>0</v>
      </c>
      <c r="F271" s="351">
        <f t="shared" si="37"/>
        <v>0</v>
      </c>
      <c r="G271" s="349">
        <f>SUM(G272,G282)</f>
        <v>0</v>
      </c>
      <c r="H271" s="352">
        <f>SUM(H272,H282)</f>
        <v>0</v>
      </c>
      <c r="I271" s="353">
        <f t="shared" si="38"/>
        <v>0</v>
      </c>
      <c r="J271" s="349">
        <f>SUM(J272,J282)</f>
        <v>155</v>
      </c>
      <c r="K271" s="352">
        <f>SUM(K272,K282)</f>
        <v>0</v>
      </c>
      <c r="L271" s="353">
        <f t="shared" si="39"/>
        <v>155</v>
      </c>
      <c r="M271" s="354">
        <f>SUM(M272,M282)</f>
        <v>0</v>
      </c>
      <c r="N271" s="355">
        <f>SUM(N272,N282)</f>
        <v>0</v>
      </c>
      <c r="O271" s="356">
        <f t="shared" si="40"/>
        <v>0</v>
      </c>
      <c r="P271" s="357"/>
      <c r="R271" s="53"/>
      <c r="S271" s="53"/>
      <c r="T271" s="53"/>
    </row>
    <row r="272" spans="1:20" ht="24" x14ac:dyDescent="0.25">
      <c r="A272" s="99">
        <v>7200</v>
      </c>
      <c r="B272" s="247" t="s">
        <v>288</v>
      </c>
      <c r="C272" s="100">
        <f t="shared" si="50"/>
        <v>155</v>
      </c>
      <c r="D272" s="112">
        <f>SUM(D273,D274,D277,D278,D281)</f>
        <v>0</v>
      </c>
      <c r="E272" s="248">
        <f>SUM(E273,E274,E277,E278,E281)</f>
        <v>0</v>
      </c>
      <c r="F272" s="249">
        <f t="shared" si="37"/>
        <v>0</v>
      </c>
      <c r="G272" s="112">
        <f>SUM(G273,G274,G277,G278,G281)</f>
        <v>0</v>
      </c>
      <c r="H272" s="113">
        <f>SUM(H273,H274,H277,H278,H281)</f>
        <v>0</v>
      </c>
      <c r="I272" s="114">
        <f t="shared" si="38"/>
        <v>0</v>
      </c>
      <c r="J272" s="112">
        <f>SUM(J273,J274,J277,J278,J281)</f>
        <v>155</v>
      </c>
      <c r="K272" s="113">
        <f>SUM(K273,K274,K277,K278,K281)</f>
        <v>0</v>
      </c>
      <c r="L272" s="114">
        <f t="shared" si="39"/>
        <v>155</v>
      </c>
      <c r="M272" s="250">
        <f>SUM(M273,M274,M277,M278,M281)</f>
        <v>0</v>
      </c>
      <c r="N272" s="251">
        <f>SUM(N273,N274,N277,N278,N281)</f>
        <v>0</v>
      </c>
      <c r="O272" s="252">
        <f t="shared" si="40"/>
        <v>0</v>
      </c>
      <c r="P272" s="253"/>
      <c r="R272" s="53"/>
      <c r="S272" s="53"/>
      <c r="T272" s="53"/>
    </row>
    <row r="273" spans="1:20" ht="24" hidden="1" x14ac:dyDescent="0.25">
      <c r="A273" s="656">
        <v>7210</v>
      </c>
      <c r="B273" s="116" t="s">
        <v>289</v>
      </c>
      <c r="C273" s="117">
        <f t="shared" si="50"/>
        <v>0</v>
      </c>
      <c r="D273" s="123"/>
      <c r="E273" s="262"/>
      <c r="F273" s="263">
        <f t="shared" si="37"/>
        <v>0</v>
      </c>
      <c r="G273" s="123"/>
      <c r="H273" s="124"/>
      <c r="I273" s="125">
        <f t="shared" si="38"/>
        <v>0</v>
      </c>
      <c r="J273" s="123"/>
      <c r="K273" s="124"/>
      <c r="L273" s="125">
        <f t="shared" si="39"/>
        <v>0</v>
      </c>
      <c r="M273" s="264"/>
      <c r="N273" s="262"/>
      <c r="O273" s="125">
        <f t="shared" si="40"/>
        <v>0</v>
      </c>
      <c r="P273" s="74"/>
      <c r="R273" s="53"/>
      <c r="S273" s="53"/>
      <c r="T273" s="53"/>
    </row>
    <row r="274" spans="1:20" s="358" customFormat="1" ht="36" hidden="1" x14ac:dyDescent="0.25">
      <c r="A274" s="276">
        <v>7220</v>
      </c>
      <c r="B274" s="127" t="s">
        <v>290</v>
      </c>
      <c r="C274" s="128">
        <f t="shared" si="50"/>
        <v>0</v>
      </c>
      <c r="D274" s="277">
        <f>SUM(D275:D276)</f>
        <v>0</v>
      </c>
      <c r="E274" s="282">
        <f>SUM(E275:E276)</f>
        <v>0</v>
      </c>
      <c r="F274" s="28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c r="R274" s="53"/>
      <c r="S274" s="53"/>
      <c r="T274" s="53"/>
    </row>
    <row r="275" spans="1:20" s="358" customFormat="1" ht="36" hidden="1" x14ac:dyDescent="0.25">
      <c r="A275" s="76">
        <v>7221</v>
      </c>
      <c r="B275" s="127" t="s">
        <v>291</v>
      </c>
      <c r="C275" s="128">
        <f t="shared" si="50"/>
        <v>0</v>
      </c>
      <c r="D275" s="134"/>
      <c r="E275" s="285"/>
      <c r="F275" s="286">
        <f t="shared" si="37"/>
        <v>0</v>
      </c>
      <c r="G275" s="134"/>
      <c r="H275" s="135"/>
      <c r="I275" s="136">
        <f t="shared" si="38"/>
        <v>0</v>
      </c>
      <c r="J275" s="134"/>
      <c r="K275" s="135"/>
      <c r="L275" s="136">
        <f t="shared" si="39"/>
        <v>0</v>
      </c>
      <c r="M275" s="284"/>
      <c r="N275" s="285"/>
      <c r="O275" s="136">
        <f t="shared" si="40"/>
        <v>0</v>
      </c>
      <c r="P275" s="85"/>
      <c r="R275" s="53"/>
      <c r="S275" s="53"/>
      <c r="T275" s="53"/>
    </row>
    <row r="276" spans="1:20" s="358" customFormat="1" ht="36" hidden="1" x14ac:dyDescent="0.25">
      <c r="A276" s="76">
        <v>7222</v>
      </c>
      <c r="B276" s="127" t="s">
        <v>292</v>
      </c>
      <c r="C276" s="128">
        <f t="shared" si="50"/>
        <v>0</v>
      </c>
      <c r="D276" s="134"/>
      <c r="E276" s="285"/>
      <c r="F276" s="286">
        <f t="shared" si="37"/>
        <v>0</v>
      </c>
      <c r="G276" s="134"/>
      <c r="H276" s="135"/>
      <c r="I276" s="136">
        <f t="shared" si="38"/>
        <v>0</v>
      </c>
      <c r="J276" s="134"/>
      <c r="K276" s="135"/>
      <c r="L276" s="136">
        <f t="shared" si="39"/>
        <v>0</v>
      </c>
      <c r="M276" s="284"/>
      <c r="N276" s="285"/>
      <c r="O276" s="136">
        <f t="shared" si="40"/>
        <v>0</v>
      </c>
      <c r="P276" s="85"/>
      <c r="R276" s="53"/>
      <c r="S276" s="53"/>
      <c r="T276" s="53"/>
    </row>
    <row r="277" spans="1:20" s="358" customFormat="1" ht="24" x14ac:dyDescent="0.25">
      <c r="A277" s="799">
        <v>7230</v>
      </c>
      <c r="B277" s="266" t="s">
        <v>293</v>
      </c>
      <c r="C277" s="267">
        <f t="shared" si="50"/>
        <v>155</v>
      </c>
      <c r="D277" s="268"/>
      <c r="E277" s="269"/>
      <c r="F277" s="270">
        <f t="shared" si="37"/>
        <v>0</v>
      </c>
      <c r="G277" s="268"/>
      <c r="H277" s="271"/>
      <c r="I277" s="272">
        <f t="shared" si="38"/>
        <v>0</v>
      </c>
      <c r="J277" s="268">
        <v>155</v>
      </c>
      <c r="K277" s="271"/>
      <c r="L277" s="272">
        <f t="shared" si="39"/>
        <v>155</v>
      </c>
      <c r="M277" s="273"/>
      <c r="N277" s="274"/>
      <c r="O277" s="272">
        <f>M277+N277</f>
        <v>0</v>
      </c>
      <c r="P277" s="275"/>
      <c r="R277" s="53"/>
      <c r="S277" s="53"/>
      <c r="T277" s="53"/>
    </row>
    <row r="278" spans="1:20" ht="24" hidden="1" x14ac:dyDescent="0.25">
      <c r="A278" s="276">
        <v>7240</v>
      </c>
      <c r="B278" s="127" t="s">
        <v>294</v>
      </c>
      <c r="C278" s="128">
        <f t="shared" si="50"/>
        <v>0</v>
      </c>
      <c r="D278" s="277">
        <f>SUM(D279:D280)</f>
        <v>0</v>
      </c>
      <c r="E278" s="282">
        <f>SUM(E279:E280)</f>
        <v>0</v>
      </c>
      <c r="F278" s="28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c r="R278" s="53"/>
      <c r="S278" s="53"/>
      <c r="T278" s="53"/>
    </row>
    <row r="279" spans="1:20" ht="48" hidden="1" x14ac:dyDescent="0.25">
      <c r="A279" s="76">
        <v>7245</v>
      </c>
      <c r="B279" s="127" t="s">
        <v>295</v>
      </c>
      <c r="C279" s="128">
        <f t="shared" si="50"/>
        <v>0</v>
      </c>
      <c r="D279" s="134"/>
      <c r="E279" s="285"/>
      <c r="F279" s="286">
        <f t="shared" si="37"/>
        <v>0</v>
      </c>
      <c r="G279" s="134"/>
      <c r="H279" s="135"/>
      <c r="I279" s="136">
        <f t="shared" si="38"/>
        <v>0</v>
      </c>
      <c r="J279" s="134"/>
      <c r="K279" s="135"/>
      <c r="L279" s="136">
        <f t="shared" si="39"/>
        <v>0</v>
      </c>
      <c r="M279" s="284"/>
      <c r="N279" s="285"/>
      <c r="O279" s="136">
        <f t="shared" ref="O279:O282" si="57">M279+N279</f>
        <v>0</v>
      </c>
      <c r="P279" s="85"/>
      <c r="R279" s="53"/>
      <c r="S279" s="53"/>
      <c r="T279" s="53"/>
    </row>
    <row r="280" spans="1:20" ht="96" hidden="1" x14ac:dyDescent="0.25">
      <c r="A280" s="76">
        <v>7246</v>
      </c>
      <c r="B280" s="127" t="s">
        <v>296</v>
      </c>
      <c r="C280" s="128">
        <f t="shared" si="50"/>
        <v>0</v>
      </c>
      <c r="D280" s="134"/>
      <c r="E280" s="285"/>
      <c r="F280" s="286">
        <f t="shared" si="37"/>
        <v>0</v>
      </c>
      <c r="G280" s="134"/>
      <c r="H280" s="135"/>
      <c r="I280" s="136">
        <f t="shared" si="38"/>
        <v>0</v>
      </c>
      <c r="J280" s="134"/>
      <c r="K280" s="135"/>
      <c r="L280" s="136">
        <f t="shared" si="39"/>
        <v>0</v>
      </c>
      <c r="M280" s="284"/>
      <c r="N280" s="285"/>
      <c r="O280" s="136">
        <f t="shared" si="57"/>
        <v>0</v>
      </c>
      <c r="P280" s="85"/>
      <c r="R280" s="53"/>
      <c r="S280" s="53"/>
      <c r="T280" s="53"/>
    </row>
    <row r="281" spans="1:20" ht="24" hidden="1" x14ac:dyDescent="0.25">
      <c r="A281" s="276">
        <v>7260</v>
      </c>
      <c r="B281" s="127" t="s">
        <v>297</v>
      </c>
      <c r="C281" s="128">
        <f t="shared" si="50"/>
        <v>0</v>
      </c>
      <c r="D281" s="123"/>
      <c r="E281" s="262"/>
      <c r="F281" s="263">
        <f t="shared" si="37"/>
        <v>0</v>
      </c>
      <c r="G281" s="123"/>
      <c r="H281" s="124"/>
      <c r="I281" s="125">
        <f t="shared" si="38"/>
        <v>0</v>
      </c>
      <c r="J281" s="123"/>
      <c r="K281" s="124"/>
      <c r="L281" s="125">
        <f t="shared" si="39"/>
        <v>0</v>
      </c>
      <c r="M281" s="264"/>
      <c r="N281" s="262"/>
      <c r="O281" s="125">
        <f t="shared" si="57"/>
        <v>0</v>
      </c>
      <c r="P281" s="74"/>
      <c r="R281" s="53"/>
      <c r="S281" s="53"/>
      <c r="T281" s="53"/>
    </row>
    <row r="282" spans="1:20" hidden="1" x14ac:dyDescent="0.25">
      <c r="A282" s="99">
        <v>7700</v>
      </c>
      <c r="B282" s="247" t="s">
        <v>298</v>
      </c>
      <c r="C282" s="359">
        <f t="shared" si="50"/>
        <v>0</v>
      </c>
      <c r="D282" s="360">
        <f>D283</f>
        <v>0</v>
      </c>
      <c r="E282" s="304">
        <f>SUM(E283)</f>
        <v>0</v>
      </c>
      <c r="F282" s="316">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c r="R282" s="53"/>
      <c r="S282" s="53"/>
      <c r="T282" s="53"/>
    </row>
    <row r="283" spans="1:20" hidden="1" x14ac:dyDescent="0.25">
      <c r="A283" s="141">
        <v>7720</v>
      </c>
      <c r="B283" s="142" t="s">
        <v>299</v>
      </c>
      <c r="C283" s="362">
        <f t="shared" si="50"/>
        <v>0</v>
      </c>
      <c r="D283" s="149"/>
      <c r="E283" s="363"/>
      <c r="F283" s="364">
        <f t="shared" si="37"/>
        <v>0</v>
      </c>
      <c r="G283" s="149"/>
      <c r="H283" s="150"/>
      <c r="I283" s="151">
        <f t="shared" si="38"/>
        <v>0</v>
      </c>
      <c r="J283" s="149"/>
      <c r="K283" s="150"/>
      <c r="L283" s="151">
        <f t="shared" si="39"/>
        <v>0</v>
      </c>
      <c r="M283" s="365"/>
      <c r="N283" s="363"/>
      <c r="O283" s="151">
        <f>M283+N283</f>
        <v>0</v>
      </c>
      <c r="P283" s="153"/>
      <c r="R283" s="53"/>
      <c r="S283" s="53"/>
      <c r="T283" s="53"/>
    </row>
    <row r="284" spans="1:20" x14ac:dyDescent="0.25">
      <c r="A284" s="366"/>
      <c r="B284" s="179" t="s">
        <v>300</v>
      </c>
      <c r="C284" s="279">
        <f t="shared" si="50"/>
        <v>283</v>
      </c>
      <c r="D284" s="255">
        <f>SUM(D285:D286)</f>
        <v>0</v>
      </c>
      <c r="E284" s="256">
        <f>SUM(E285:E286)</f>
        <v>0</v>
      </c>
      <c r="F284" s="257">
        <f t="shared" si="37"/>
        <v>0</v>
      </c>
      <c r="G284" s="255">
        <f>SUM(G285:G286)</f>
        <v>0</v>
      </c>
      <c r="H284" s="258">
        <f>SUM(H285:H286)</f>
        <v>0</v>
      </c>
      <c r="I284" s="259">
        <f t="shared" si="38"/>
        <v>0</v>
      </c>
      <c r="J284" s="255">
        <f>SUM(J285:J286)</f>
        <v>283</v>
      </c>
      <c r="K284" s="258">
        <f>SUM(K285:K286)</f>
        <v>0</v>
      </c>
      <c r="L284" s="259">
        <f t="shared" si="39"/>
        <v>283</v>
      </c>
      <c r="M284" s="260">
        <f>SUM(M285:M286)</f>
        <v>0</v>
      </c>
      <c r="N284" s="261">
        <f>SUM(N285:N286)</f>
        <v>0</v>
      </c>
      <c r="O284" s="259">
        <f t="shared" ref="O284:O299" si="58">M284+N284</f>
        <v>0</v>
      </c>
      <c r="P284" s="189"/>
      <c r="R284" s="53"/>
      <c r="S284" s="53"/>
      <c r="T284" s="53"/>
    </row>
    <row r="285" spans="1:20" hidden="1" x14ac:dyDescent="0.25">
      <c r="A285" s="346" t="s">
        <v>301</v>
      </c>
      <c r="B285" s="76" t="s">
        <v>302</v>
      </c>
      <c r="C285" s="279">
        <f t="shared" si="50"/>
        <v>0</v>
      </c>
      <c r="D285" s="134"/>
      <c r="E285" s="285"/>
      <c r="F285" s="286">
        <f t="shared" si="37"/>
        <v>0</v>
      </c>
      <c r="G285" s="134"/>
      <c r="H285" s="135"/>
      <c r="I285" s="136">
        <f t="shared" si="38"/>
        <v>0</v>
      </c>
      <c r="J285" s="134"/>
      <c r="K285" s="135"/>
      <c r="L285" s="136">
        <f t="shared" si="39"/>
        <v>0</v>
      </c>
      <c r="M285" s="284"/>
      <c r="N285" s="285"/>
      <c r="O285" s="136">
        <f t="shared" si="58"/>
        <v>0</v>
      </c>
      <c r="P285" s="85"/>
      <c r="R285" s="53"/>
      <c r="S285" s="53"/>
      <c r="T285" s="53"/>
    </row>
    <row r="286" spans="1:20" ht="24" x14ac:dyDescent="0.25">
      <c r="A286" s="800" t="s">
        <v>303</v>
      </c>
      <c r="B286" s="801" t="s">
        <v>304</v>
      </c>
      <c r="C286" s="802">
        <f t="shared" si="50"/>
        <v>283</v>
      </c>
      <c r="D286" s="480"/>
      <c r="E286" s="481"/>
      <c r="F286" s="803">
        <f t="shared" si="37"/>
        <v>0</v>
      </c>
      <c r="G286" s="480"/>
      <c r="H286" s="804"/>
      <c r="I286" s="805">
        <f t="shared" si="38"/>
        <v>0</v>
      </c>
      <c r="J286" s="480">
        <v>283</v>
      </c>
      <c r="K286" s="804"/>
      <c r="L286" s="805">
        <f t="shared" si="39"/>
        <v>283</v>
      </c>
      <c r="M286" s="806"/>
      <c r="N286" s="807"/>
      <c r="O286" s="805">
        <f t="shared" si="58"/>
        <v>0</v>
      </c>
      <c r="P286" s="808"/>
      <c r="R286" s="53"/>
      <c r="S286" s="53"/>
      <c r="T286" s="53"/>
    </row>
    <row r="287" spans="1:20" x14ac:dyDescent="0.25">
      <c r="A287" s="368"/>
      <c r="B287" s="369" t="s">
        <v>305</v>
      </c>
      <c r="C287" s="370">
        <f>SUM(C284,C271,C233,C198,C190,C176,C78,C56)</f>
        <v>558600</v>
      </c>
      <c r="D287" s="371">
        <f>SUM(D284,D271,D233,D198,D190,D176,D78,D56)</f>
        <v>510798</v>
      </c>
      <c r="E287" s="372">
        <f>SUM(E284,E271,E233,E198,E190,E176,E78,E56)</f>
        <v>0</v>
      </c>
      <c r="F287" s="373">
        <f t="shared" si="37"/>
        <v>510798</v>
      </c>
      <c r="G287" s="371">
        <f>SUM(G284,G271,G233,G198,G190,G176,G78,G56)</f>
        <v>42256</v>
      </c>
      <c r="H287" s="374">
        <f>SUM(H284,H271,H233,H198,H190,H176,H78,H56)</f>
        <v>0</v>
      </c>
      <c r="I287" s="375">
        <f t="shared" si="38"/>
        <v>42256</v>
      </c>
      <c r="J287" s="371">
        <f>SUM(J284,J271,J233,J198,J190,J176,J78,J56)</f>
        <v>5546</v>
      </c>
      <c r="K287" s="374">
        <f>SUM(K284,K271,K233,K198,K190,K176,K78,K56)</f>
        <v>0</v>
      </c>
      <c r="L287" s="375">
        <f t="shared" si="39"/>
        <v>5546</v>
      </c>
      <c r="M287" s="250">
        <f>SUM(M284,M271,M233,M198,M190,M176,M78,M56)</f>
        <v>0</v>
      </c>
      <c r="N287" s="251">
        <f>SUM(N284,N271,N233,N198,N190,N176,N78,N56)</f>
        <v>0</v>
      </c>
      <c r="O287" s="252">
        <f t="shared" si="58"/>
        <v>0</v>
      </c>
      <c r="P287" s="253"/>
      <c r="R287" s="53"/>
      <c r="S287" s="53"/>
      <c r="T287" s="53"/>
    </row>
    <row r="288" spans="1:20" x14ac:dyDescent="0.25">
      <c r="A288" s="376" t="s">
        <v>306</v>
      </c>
      <c r="B288" s="377"/>
      <c r="C288" s="378">
        <f t="shared" ref="C288" si="59">F288+I288+L288+O288</f>
        <v>-858</v>
      </c>
      <c r="D288" s="379">
        <f>SUM(D28,D29,D45)-D54</f>
        <v>0</v>
      </c>
      <c r="E288" s="380">
        <f>SUM(E28,E29,E45)-E54</f>
        <v>0</v>
      </c>
      <c r="F288" s="381">
        <f t="shared" si="37"/>
        <v>0</v>
      </c>
      <c r="G288" s="379">
        <f>SUM(G28,G29,G45)-G54</f>
        <v>0</v>
      </c>
      <c r="H288" s="382">
        <f>SUM(H28,H29,H45)-H54</f>
        <v>0</v>
      </c>
      <c r="I288" s="383">
        <f t="shared" si="38"/>
        <v>0</v>
      </c>
      <c r="J288" s="379">
        <f>(J30+J46)-J54</f>
        <v>-858</v>
      </c>
      <c r="K288" s="382">
        <f>(K30+K46)-K54</f>
        <v>0</v>
      </c>
      <c r="L288" s="383">
        <f t="shared" si="39"/>
        <v>-858</v>
      </c>
      <c r="M288" s="378">
        <f>M48-M54</f>
        <v>0</v>
      </c>
      <c r="N288" s="384">
        <f>N48-N54</f>
        <v>0</v>
      </c>
      <c r="O288" s="383">
        <f t="shared" si="58"/>
        <v>0</v>
      </c>
      <c r="P288" s="385"/>
      <c r="R288" s="53"/>
      <c r="S288" s="53"/>
      <c r="T288" s="53"/>
    </row>
    <row r="289" spans="1:20" s="41" customFormat="1" x14ac:dyDescent="0.25">
      <c r="A289" s="376" t="s">
        <v>307</v>
      </c>
      <c r="B289" s="377"/>
      <c r="C289" s="380">
        <f>SUM(C290,C291)-C298+C299</f>
        <v>858</v>
      </c>
      <c r="D289" s="379">
        <f>SUM(D290,D291)-D298+D299</f>
        <v>0</v>
      </c>
      <c r="E289" s="380">
        <f>SUM(E290,E291)-E298+E299</f>
        <v>0</v>
      </c>
      <c r="F289" s="381">
        <f t="shared" si="37"/>
        <v>0</v>
      </c>
      <c r="G289" s="379">
        <f>SUM(G290,G291)-G298+G299</f>
        <v>0</v>
      </c>
      <c r="H289" s="382">
        <f>SUM(H290,H291)-H298+H299</f>
        <v>0</v>
      </c>
      <c r="I289" s="383">
        <f t="shared" si="38"/>
        <v>0</v>
      </c>
      <c r="J289" s="379">
        <f>SUM(J290,J291)-J298+J299</f>
        <v>858</v>
      </c>
      <c r="K289" s="382">
        <f>SUM(K290,K291)-K298+K299</f>
        <v>0</v>
      </c>
      <c r="L289" s="383">
        <f t="shared" si="39"/>
        <v>858</v>
      </c>
      <c r="M289" s="378">
        <f>SUM(M290,M291)-M298+M299</f>
        <v>0</v>
      </c>
      <c r="N289" s="384">
        <f>SUM(N290,N291)-N298+N299</f>
        <v>0</v>
      </c>
      <c r="O289" s="383">
        <f t="shared" si="58"/>
        <v>0</v>
      </c>
      <c r="P289" s="385"/>
      <c r="R289" s="53"/>
      <c r="S289" s="53"/>
      <c r="T289" s="53"/>
    </row>
    <row r="290" spans="1:20" s="41" customFormat="1" x14ac:dyDescent="0.25">
      <c r="A290" s="386" t="s">
        <v>308</v>
      </c>
      <c r="B290" s="386" t="s">
        <v>309</v>
      </c>
      <c r="C290" s="380">
        <f>C25-C284</f>
        <v>858</v>
      </c>
      <c r="D290" s="379">
        <f>D25-D284</f>
        <v>0</v>
      </c>
      <c r="E290" s="380">
        <f>E25-E284</f>
        <v>0</v>
      </c>
      <c r="F290" s="381">
        <f t="shared" si="37"/>
        <v>0</v>
      </c>
      <c r="G290" s="379">
        <f>G25-G284</f>
        <v>0</v>
      </c>
      <c r="H290" s="382">
        <f>H25-H284</f>
        <v>0</v>
      </c>
      <c r="I290" s="383">
        <f t="shared" si="38"/>
        <v>0</v>
      </c>
      <c r="J290" s="379">
        <f>J25-J284</f>
        <v>858</v>
      </c>
      <c r="K290" s="382">
        <f>K25-K284</f>
        <v>0</v>
      </c>
      <c r="L290" s="383">
        <f t="shared" si="39"/>
        <v>858</v>
      </c>
      <c r="M290" s="378">
        <f>M25-M284</f>
        <v>0</v>
      </c>
      <c r="N290" s="384">
        <f>N25-N284</f>
        <v>0</v>
      </c>
      <c r="O290" s="383">
        <f t="shared" si="58"/>
        <v>0</v>
      </c>
      <c r="P290" s="385"/>
      <c r="R290" s="53"/>
      <c r="S290" s="53"/>
      <c r="T290" s="53"/>
    </row>
    <row r="291" spans="1:20" s="41" customFormat="1" hidden="1" x14ac:dyDescent="0.25">
      <c r="A291" s="387" t="s">
        <v>310</v>
      </c>
      <c r="B291" s="387" t="s">
        <v>311</v>
      </c>
      <c r="C291" s="380">
        <f>SUM(C292,C294,C296)-SUM(C293,C295,C297)</f>
        <v>0</v>
      </c>
      <c r="D291" s="379">
        <f t="shared" ref="D291:E291" si="60">SUM(D292,D294,D296)-SUM(D293,D295,D297)</f>
        <v>0</v>
      </c>
      <c r="E291" s="384">
        <f t="shared" si="60"/>
        <v>0</v>
      </c>
      <c r="F291" s="388">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c r="R291" s="53"/>
      <c r="S291" s="53"/>
      <c r="T291" s="53"/>
    </row>
    <row r="292" spans="1:20" s="41" customFormat="1" hidden="1" x14ac:dyDescent="0.25">
      <c r="A292" s="366" t="s">
        <v>312</v>
      </c>
      <c r="B292" s="190" t="s">
        <v>313</v>
      </c>
      <c r="C292" s="143">
        <f t="shared" ref="C292:C299" si="64">F292+I292+L292+O292</f>
        <v>0</v>
      </c>
      <c r="D292" s="149"/>
      <c r="E292" s="363"/>
      <c r="F292" s="364">
        <f t="shared" si="37"/>
        <v>0</v>
      </c>
      <c r="G292" s="149"/>
      <c r="H292" s="150"/>
      <c r="I292" s="151">
        <f t="shared" si="38"/>
        <v>0</v>
      </c>
      <c r="J292" s="149"/>
      <c r="K292" s="150"/>
      <c r="L292" s="151">
        <f t="shared" si="39"/>
        <v>0</v>
      </c>
      <c r="M292" s="365"/>
      <c r="N292" s="363"/>
      <c r="O292" s="151">
        <f t="shared" si="58"/>
        <v>0</v>
      </c>
      <c r="P292" s="153"/>
      <c r="R292" s="53"/>
      <c r="S292" s="53"/>
      <c r="T292" s="53"/>
    </row>
    <row r="293" spans="1:20" ht="24" hidden="1" x14ac:dyDescent="0.25">
      <c r="A293" s="346" t="s">
        <v>314</v>
      </c>
      <c r="B293" s="75" t="s">
        <v>315</v>
      </c>
      <c r="C293" s="128">
        <f t="shared" si="64"/>
        <v>0</v>
      </c>
      <c r="D293" s="134"/>
      <c r="E293" s="285"/>
      <c r="F293" s="286">
        <f t="shared" si="37"/>
        <v>0</v>
      </c>
      <c r="G293" s="134"/>
      <c r="H293" s="135"/>
      <c r="I293" s="136">
        <f t="shared" si="38"/>
        <v>0</v>
      </c>
      <c r="J293" s="134"/>
      <c r="K293" s="135"/>
      <c r="L293" s="136">
        <f t="shared" si="39"/>
        <v>0</v>
      </c>
      <c r="M293" s="284"/>
      <c r="N293" s="285"/>
      <c r="O293" s="136">
        <f t="shared" si="58"/>
        <v>0</v>
      </c>
      <c r="P293" s="85"/>
      <c r="R293" s="53"/>
      <c r="S293" s="53"/>
      <c r="T293" s="53"/>
    </row>
    <row r="294" spans="1:20" hidden="1" x14ac:dyDescent="0.25">
      <c r="A294" s="346" t="s">
        <v>316</v>
      </c>
      <c r="B294" s="75" t="s">
        <v>317</v>
      </c>
      <c r="C294" s="128">
        <f t="shared" si="64"/>
        <v>0</v>
      </c>
      <c r="D294" s="134"/>
      <c r="E294" s="285"/>
      <c r="F294" s="286">
        <f t="shared" si="37"/>
        <v>0</v>
      </c>
      <c r="G294" s="134"/>
      <c r="H294" s="135"/>
      <c r="I294" s="136">
        <f t="shared" si="38"/>
        <v>0</v>
      </c>
      <c r="J294" s="134"/>
      <c r="K294" s="135"/>
      <c r="L294" s="136">
        <f t="shared" si="39"/>
        <v>0</v>
      </c>
      <c r="M294" s="284"/>
      <c r="N294" s="285"/>
      <c r="O294" s="136">
        <f t="shared" si="58"/>
        <v>0</v>
      </c>
      <c r="P294" s="85"/>
      <c r="R294" s="53"/>
      <c r="S294" s="53"/>
      <c r="T294" s="53"/>
    </row>
    <row r="295" spans="1:20" ht="24" hidden="1" x14ac:dyDescent="0.25">
      <c r="A295" s="346" t="s">
        <v>318</v>
      </c>
      <c r="B295" s="75" t="s">
        <v>319</v>
      </c>
      <c r="C295" s="128">
        <f t="shared" si="64"/>
        <v>0</v>
      </c>
      <c r="D295" s="134"/>
      <c r="E295" s="285"/>
      <c r="F295" s="286">
        <f t="shared" si="37"/>
        <v>0</v>
      </c>
      <c r="G295" s="134"/>
      <c r="H295" s="135"/>
      <c r="I295" s="136">
        <f t="shared" si="38"/>
        <v>0</v>
      </c>
      <c r="J295" s="134"/>
      <c r="K295" s="135"/>
      <c r="L295" s="136">
        <f t="shared" si="39"/>
        <v>0</v>
      </c>
      <c r="M295" s="284"/>
      <c r="N295" s="285"/>
      <c r="O295" s="136">
        <f t="shared" si="58"/>
        <v>0</v>
      </c>
      <c r="P295" s="85"/>
      <c r="R295" s="53"/>
      <c r="S295" s="53"/>
      <c r="T295" s="53"/>
    </row>
    <row r="296" spans="1:20" hidden="1" x14ac:dyDescent="0.25">
      <c r="A296" s="346" t="s">
        <v>320</v>
      </c>
      <c r="B296" s="75" t="s">
        <v>321</v>
      </c>
      <c r="C296" s="128">
        <f t="shared" si="64"/>
        <v>0</v>
      </c>
      <c r="D296" s="134"/>
      <c r="E296" s="285"/>
      <c r="F296" s="286">
        <f t="shared" si="37"/>
        <v>0</v>
      </c>
      <c r="G296" s="134"/>
      <c r="H296" s="135"/>
      <c r="I296" s="136">
        <f t="shared" si="38"/>
        <v>0</v>
      </c>
      <c r="J296" s="134"/>
      <c r="K296" s="135"/>
      <c r="L296" s="136">
        <f t="shared" si="39"/>
        <v>0</v>
      </c>
      <c r="M296" s="284"/>
      <c r="N296" s="285"/>
      <c r="O296" s="136">
        <f t="shared" si="58"/>
        <v>0</v>
      </c>
      <c r="P296" s="85"/>
      <c r="R296" s="53"/>
      <c r="S296" s="53"/>
      <c r="T296" s="53"/>
    </row>
    <row r="297" spans="1:20" ht="24" hidden="1" x14ac:dyDescent="0.25">
      <c r="A297" s="389" t="s">
        <v>322</v>
      </c>
      <c r="B297" s="390" t="s">
        <v>323</v>
      </c>
      <c r="C297" s="327">
        <f t="shared" si="64"/>
        <v>0</v>
      </c>
      <c r="D297" s="328"/>
      <c r="E297" s="329"/>
      <c r="F297" s="330">
        <f t="shared" si="37"/>
        <v>0</v>
      </c>
      <c r="G297" s="328"/>
      <c r="H297" s="331"/>
      <c r="I297" s="324">
        <f t="shared" si="38"/>
        <v>0</v>
      </c>
      <c r="J297" s="328"/>
      <c r="K297" s="331"/>
      <c r="L297" s="324">
        <f t="shared" si="39"/>
        <v>0</v>
      </c>
      <c r="M297" s="332"/>
      <c r="N297" s="329"/>
      <c r="O297" s="324">
        <f t="shared" si="58"/>
        <v>0</v>
      </c>
      <c r="P297" s="325"/>
      <c r="R297" s="53"/>
      <c r="S297" s="53"/>
      <c r="T297" s="53"/>
    </row>
    <row r="298" spans="1:20" hidden="1" x14ac:dyDescent="0.25">
      <c r="A298" s="387" t="s">
        <v>324</v>
      </c>
      <c r="B298" s="387" t="s">
        <v>325</v>
      </c>
      <c r="C298" s="391">
        <f t="shared" si="64"/>
        <v>0</v>
      </c>
      <c r="D298" s="392"/>
      <c r="E298" s="393"/>
      <c r="F298" s="388">
        <f t="shared" si="37"/>
        <v>0</v>
      </c>
      <c r="G298" s="392"/>
      <c r="H298" s="394"/>
      <c r="I298" s="383">
        <f t="shared" si="38"/>
        <v>0</v>
      </c>
      <c r="J298" s="392"/>
      <c r="K298" s="394"/>
      <c r="L298" s="383">
        <f t="shared" si="39"/>
        <v>0</v>
      </c>
      <c r="M298" s="395"/>
      <c r="N298" s="393"/>
      <c r="O298" s="383">
        <f t="shared" si="58"/>
        <v>0</v>
      </c>
      <c r="P298" s="385"/>
      <c r="R298" s="53"/>
      <c r="S298" s="53"/>
      <c r="T298" s="53"/>
    </row>
    <row r="299" spans="1:20" s="41" customFormat="1" ht="48" hidden="1" x14ac:dyDescent="0.25">
      <c r="A299" s="387" t="s">
        <v>326</v>
      </c>
      <c r="B299" s="396" t="s">
        <v>327</v>
      </c>
      <c r="C299" s="397">
        <f t="shared" si="64"/>
        <v>0</v>
      </c>
      <c r="D299" s="398"/>
      <c r="E299" s="399"/>
      <c r="F299" s="400">
        <f t="shared" si="37"/>
        <v>0</v>
      </c>
      <c r="G299" s="392"/>
      <c r="H299" s="394"/>
      <c r="I299" s="383">
        <f t="shared" si="38"/>
        <v>0</v>
      </c>
      <c r="J299" s="392"/>
      <c r="K299" s="394"/>
      <c r="L299" s="383">
        <f t="shared" si="39"/>
        <v>0</v>
      </c>
      <c r="M299" s="395"/>
      <c r="N299" s="393"/>
      <c r="O299" s="383">
        <f t="shared" si="58"/>
        <v>0</v>
      </c>
      <c r="P299" s="385"/>
      <c r="R299" s="53"/>
      <c r="S299" s="53"/>
      <c r="T299" s="53"/>
    </row>
    <row r="300" spans="1:20"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20" ht="12.75" thickBot="1" x14ac:dyDescent="0.3">
      <c r="A301" s="404"/>
      <c r="B301" s="405"/>
      <c r="C301" s="405"/>
      <c r="D301" s="405"/>
      <c r="E301" s="405"/>
      <c r="F301" s="405"/>
      <c r="G301" s="405"/>
      <c r="H301" s="405"/>
      <c r="I301" s="405"/>
      <c r="J301" s="405"/>
      <c r="K301" s="405"/>
      <c r="L301" s="405"/>
      <c r="M301" s="405"/>
      <c r="N301" s="405"/>
      <c r="O301" s="405"/>
      <c r="P301" s="406"/>
      <c r="Q301" s="7"/>
    </row>
    <row r="302" spans="1:20" x14ac:dyDescent="0.25">
      <c r="A302" s="5"/>
      <c r="B302" s="5"/>
      <c r="C302" s="5"/>
      <c r="D302" s="5"/>
      <c r="E302" s="5"/>
      <c r="F302" s="5"/>
      <c r="G302" s="5"/>
      <c r="H302" s="5"/>
      <c r="I302" s="5"/>
      <c r="J302" s="5"/>
      <c r="K302" s="5"/>
      <c r="L302" s="5"/>
      <c r="M302" s="5"/>
      <c r="N302" s="5"/>
      <c r="O302" s="5"/>
    </row>
    <row r="303" spans="1:20" x14ac:dyDescent="0.25">
      <c r="A303" s="5"/>
      <c r="B303" s="5"/>
      <c r="C303" s="5"/>
      <c r="D303" s="5"/>
      <c r="E303" s="5"/>
      <c r="F303" s="5"/>
      <c r="G303" s="5"/>
      <c r="H303" s="5"/>
      <c r="I303" s="5"/>
      <c r="J303" s="5"/>
      <c r="K303" s="5"/>
      <c r="L303" s="5"/>
      <c r="M303" s="5"/>
      <c r="N303" s="5"/>
      <c r="O303" s="5"/>
    </row>
    <row r="304" spans="1:20"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qfE2DvSoPmmAgq/LHKyn0QFJwUNQNtSULdELD/Jn/UV0zid6bnURjqZf2JnRt9TBCfPEKnhy2VyI+wiU/hVGeg==" saltValue="qH5P2h7ghZvrGm1+q6j1UQ==" spinCount="100000" sheet="1" objects="1" scenarios="1" selectLockedCells="1" selectUnlockedCells="1"/>
  <autoFilter ref="A22:P300">
    <filterColumn colId="2">
      <filters blank="1">
        <filter val="1 109"/>
        <filter val="1 141"/>
        <filter val="1 167"/>
        <filter val="1 289"/>
        <filter val="1 387"/>
        <filter val="1 913"/>
        <filter val="1 944"/>
        <filter val="10 051"/>
        <filter val="115 851"/>
        <filter val="122"/>
        <filter val="14 943"/>
        <filter val="150"/>
        <filter val="155"/>
        <filter val="166"/>
        <filter val="190"/>
        <filter val="2 216"/>
        <filter val="2 293"/>
        <filter val="2 444"/>
        <filter val="2 599"/>
        <filter val="2 716"/>
        <filter val="2 966"/>
        <filter val="217"/>
        <filter val="23 300"/>
        <filter val="24 145"/>
        <filter val="24 921"/>
        <filter val="25 083"/>
        <filter val="283"/>
        <filter val="3 027"/>
        <filter val="3 054"/>
        <filter val="3 540"/>
        <filter val="3 683"/>
        <filter val="3 748"/>
        <filter val="325 734"/>
        <filter val="35"/>
        <filter val="350"/>
        <filter val="36"/>
        <filter val="36 538"/>
        <filter val="364 185"/>
        <filter val="372"/>
        <filter val="4 405"/>
        <filter val="41 837"/>
        <filter val="428"/>
        <filter val="47"/>
        <filter val="480 036"/>
        <filter val="5 541"/>
        <filter val="500"/>
        <filter val="51 443"/>
        <filter val="553 054"/>
        <filter val="555 718"/>
        <filter val="558 317"/>
        <filter val="558 600"/>
        <filter val="6 023"/>
        <filter val="6 866"/>
        <filter val="60"/>
        <filter val="735"/>
        <filter val="75 682"/>
        <filter val="8 124"/>
        <filter val="858"/>
        <filter val="-858"/>
        <filter val="899"/>
        <filter val="9 315"/>
        <filter val="9 551"/>
        <filter val="9 712"/>
        <filter val="90 768"/>
        <filter val="922"/>
        <filter val="94"/>
        <filter val="972"/>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96.pielikums Jūrmalas pilsētas domes
2017.gada 30.janvāra saistošajiem noteikumiem Nr.10
(Protokols Nr.4, 1.punkts)
 </firstHeader>
    <firstFooter>&amp;L&amp;9&amp;D; &amp;T&amp;R&amp;9&amp;P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1"/>
  <sheetViews>
    <sheetView view="pageLayout" zoomScaleNormal="90" workbookViewId="0">
      <selection activeCell="S11" sqref="S11"/>
    </sheetView>
  </sheetViews>
  <sheetFormatPr defaultRowHeight="12" outlineLevelCol="1" x14ac:dyDescent="0.25"/>
  <cols>
    <col min="1" max="1" width="10.85546875" style="1" customWidth="1"/>
    <col min="2" max="2" width="29.7109375"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0</v>
      </c>
    </row>
    <row r="2" spans="1:17" ht="3.75" customHeight="1" x14ac:dyDescent="0.25">
      <c r="A2" s="6"/>
      <c r="B2" s="6"/>
      <c r="C2" s="6"/>
      <c r="D2" s="6"/>
      <c r="E2" s="6"/>
      <c r="F2" s="6"/>
      <c r="G2" s="6"/>
      <c r="H2" s="6"/>
      <c r="I2" s="6"/>
      <c r="J2" s="6"/>
      <c r="K2" s="6"/>
      <c r="L2" s="6"/>
      <c r="M2" s="6"/>
      <c r="N2" s="6"/>
      <c r="O2" s="6"/>
      <c r="P2" s="6"/>
    </row>
    <row r="3" spans="1:17" ht="6.75" customHeight="1" x14ac:dyDescent="0.25">
      <c r="A3" s="1557"/>
      <c r="B3" s="1558"/>
      <c r="C3" s="1558"/>
      <c r="D3" s="1558"/>
      <c r="E3" s="1558"/>
      <c r="F3" s="1558"/>
      <c r="G3" s="1558"/>
      <c r="H3" s="1558"/>
      <c r="I3" s="1558"/>
      <c r="J3" s="1558"/>
      <c r="K3" s="1558"/>
      <c r="L3" s="1558"/>
      <c r="M3" s="1558"/>
      <c r="N3" s="1558"/>
      <c r="O3" s="1558"/>
      <c r="P3" s="1559"/>
      <c r="Q3" s="7"/>
    </row>
    <row r="4" spans="1:17" ht="10.5" customHeight="1"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3</v>
      </c>
      <c r="D6" s="1555"/>
      <c r="E6" s="1555"/>
      <c r="F6" s="1555"/>
      <c r="G6" s="1555"/>
      <c r="H6" s="1555"/>
      <c r="I6" s="1555"/>
      <c r="J6" s="1555"/>
      <c r="K6" s="1555"/>
      <c r="L6" s="1555"/>
      <c r="M6" s="1555"/>
      <c r="N6" s="1555"/>
      <c r="O6" s="1555"/>
      <c r="P6" s="1556"/>
      <c r="Q6" s="7"/>
    </row>
    <row r="7" spans="1:17" ht="12.75" x14ac:dyDescent="0.25">
      <c r="A7" s="13" t="s">
        <v>4</v>
      </c>
      <c r="B7" s="14"/>
      <c r="C7" s="1555" t="s">
        <v>5</v>
      </c>
      <c r="D7" s="1555"/>
      <c r="E7" s="1555"/>
      <c r="F7" s="1555"/>
      <c r="G7" s="1555"/>
      <c r="H7" s="1555"/>
      <c r="I7" s="1555"/>
      <c r="J7" s="1555"/>
      <c r="K7" s="1555"/>
      <c r="L7" s="1555"/>
      <c r="M7" s="1555"/>
      <c r="N7" s="1555"/>
      <c r="O7" s="1555"/>
      <c r="P7" s="1556"/>
      <c r="Q7" s="7"/>
    </row>
    <row r="8" spans="1:17" x14ac:dyDescent="0.25">
      <c r="A8" s="8" t="s">
        <v>6</v>
      </c>
      <c r="B8" s="9"/>
      <c r="C8" s="1553" t="s">
        <v>7</v>
      </c>
      <c r="D8" s="1553"/>
      <c r="E8" s="1553"/>
      <c r="F8" s="1553"/>
      <c r="G8" s="1553"/>
      <c r="H8" s="1553"/>
      <c r="I8" s="1553"/>
      <c r="J8" s="1553"/>
      <c r="K8" s="1553"/>
      <c r="L8" s="1553"/>
      <c r="M8" s="1553"/>
      <c r="N8" s="1553"/>
      <c r="O8" s="1553"/>
      <c r="P8" s="1554"/>
      <c r="Q8" s="7"/>
    </row>
    <row r="9" spans="1:17" x14ac:dyDescent="0.25">
      <c r="A9" s="8" t="s">
        <v>8</v>
      </c>
      <c r="B9" s="9"/>
      <c r="C9" s="1553" t="s">
        <v>9</v>
      </c>
      <c r="D9" s="1553"/>
      <c r="E9" s="1553"/>
      <c r="F9" s="1553"/>
      <c r="G9" s="1553"/>
      <c r="H9" s="1553"/>
      <c r="I9" s="1553"/>
      <c r="J9" s="1553"/>
      <c r="K9" s="1553"/>
      <c r="L9" s="1553"/>
      <c r="M9" s="1553"/>
      <c r="N9" s="1553"/>
      <c r="O9" s="1553"/>
      <c r="P9" s="1554"/>
      <c r="Q9" s="7"/>
    </row>
    <row r="10" spans="1:17" ht="23.25" customHeight="1" x14ac:dyDescent="0.25">
      <c r="A10" s="8" t="s">
        <v>10</v>
      </c>
      <c r="B10" s="9"/>
      <c r="C10" s="1555" t="s">
        <v>11</v>
      </c>
      <c r="D10" s="1555"/>
      <c r="E10" s="1555"/>
      <c r="F10" s="1555"/>
      <c r="G10" s="1555"/>
      <c r="H10" s="1555"/>
      <c r="I10" s="1555"/>
      <c r="J10" s="1555"/>
      <c r="K10" s="1555"/>
      <c r="L10" s="1555"/>
      <c r="M10" s="1555"/>
      <c r="N10" s="1555"/>
      <c r="O10" s="1555"/>
      <c r="P10" s="1556"/>
      <c r="Q10" s="7"/>
    </row>
    <row r="11" spans="1:17" x14ac:dyDescent="0.25">
      <c r="A11" s="8" t="s">
        <v>12</v>
      </c>
      <c r="B11" s="9"/>
      <c r="C11" s="1555" t="s">
        <v>13</v>
      </c>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16</v>
      </c>
      <c r="D13" s="1553"/>
      <c r="E13" s="1553"/>
      <c r="F13" s="1553"/>
      <c r="G13" s="1553"/>
      <c r="H13" s="1553"/>
      <c r="I13" s="1553"/>
      <c r="J13" s="1553"/>
      <c r="K13" s="1553"/>
      <c r="L13" s="1553"/>
      <c r="M13" s="1553"/>
      <c r="N13" s="1553"/>
      <c r="O13" s="1553"/>
      <c r="P13" s="1554"/>
      <c r="Q13" s="7"/>
    </row>
    <row r="14" spans="1:17" x14ac:dyDescent="0.25">
      <c r="A14" s="8"/>
      <c r="B14" s="9" t="s">
        <v>17</v>
      </c>
      <c r="C14" s="1553" t="s">
        <v>18</v>
      </c>
      <c r="D14" s="1553"/>
      <c r="E14" s="1553"/>
      <c r="F14" s="1553"/>
      <c r="G14" s="1553"/>
      <c r="H14" s="1553"/>
      <c r="I14" s="1553"/>
      <c r="J14" s="1553"/>
      <c r="K14" s="1553"/>
      <c r="L14" s="1553"/>
      <c r="M14" s="1553"/>
      <c r="N14" s="1553"/>
      <c r="O14" s="1553"/>
      <c r="P14" s="1554"/>
      <c r="Q14" s="7"/>
    </row>
    <row r="15" spans="1:17" x14ac:dyDescent="0.25">
      <c r="A15" s="8"/>
      <c r="B15" s="9" t="s">
        <v>19</v>
      </c>
      <c r="C15" s="1553"/>
      <c r="D15" s="1553"/>
      <c r="E15" s="1553"/>
      <c r="F15" s="1553"/>
      <c r="G15" s="1553"/>
      <c r="H15" s="1553"/>
      <c r="I15" s="1553"/>
      <c r="J15" s="1553"/>
      <c r="K15" s="1553"/>
      <c r="L15" s="1553"/>
      <c r="M15" s="1553"/>
      <c r="N15" s="1553"/>
      <c r="O15" s="1553"/>
      <c r="P15" s="1554"/>
      <c r="Q15" s="7"/>
    </row>
    <row r="16" spans="1:17" x14ac:dyDescent="0.25">
      <c r="A16" s="8"/>
      <c r="B16" s="9" t="s">
        <v>20</v>
      </c>
      <c r="C16" s="1553" t="s">
        <v>21</v>
      </c>
      <c r="D16" s="1553"/>
      <c r="E16" s="1553"/>
      <c r="F16" s="1553"/>
      <c r="G16" s="1553"/>
      <c r="H16" s="1553"/>
      <c r="I16" s="1553"/>
      <c r="J16" s="1553"/>
      <c r="K16" s="1553"/>
      <c r="L16" s="1553"/>
      <c r="M16" s="1553"/>
      <c r="N16" s="1553"/>
      <c r="O16" s="1553"/>
      <c r="P16" s="1554"/>
      <c r="Q16" s="7"/>
    </row>
    <row r="17" spans="1:20" x14ac:dyDescent="0.25">
      <c r="A17" s="8"/>
      <c r="B17" s="9" t="s">
        <v>22</v>
      </c>
      <c r="C17" s="1553"/>
      <c r="D17" s="1553"/>
      <c r="E17" s="1553"/>
      <c r="F17" s="1553"/>
      <c r="G17" s="1553"/>
      <c r="H17" s="1553"/>
      <c r="I17" s="1553"/>
      <c r="J17" s="1553"/>
      <c r="K17" s="1553"/>
      <c r="L17" s="1553"/>
      <c r="M17" s="1553"/>
      <c r="N17" s="1553"/>
      <c r="O17" s="1553"/>
      <c r="P17" s="1554"/>
      <c r="Q17" s="7"/>
    </row>
    <row r="18" spans="1:20" ht="4.5" customHeight="1" x14ac:dyDescent="0.25">
      <c r="A18" s="18"/>
      <c r="B18" s="19"/>
      <c r="C18" s="1569"/>
      <c r="D18" s="1569"/>
      <c r="E18" s="1569"/>
      <c r="F18" s="1569"/>
      <c r="G18" s="1569"/>
      <c r="H18" s="1569"/>
      <c r="I18" s="1569"/>
      <c r="J18" s="1569"/>
      <c r="K18" s="1569"/>
      <c r="L18" s="1569"/>
      <c r="M18" s="1569"/>
      <c r="N18" s="1569"/>
      <c r="O18" s="1569"/>
      <c r="P18" s="1570"/>
      <c r="Q18" s="7"/>
    </row>
    <row r="19" spans="1:20"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0"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20" s="21" customFormat="1" ht="55.5" customHeight="1" thickBot="1" x14ac:dyDescent="0.3">
      <c r="A21" s="1573"/>
      <c r="B21" s="1576"/>
      <c r="C21" s="1581"/>
      <c r="D21" s="1566"/>
      <c r="E21" s="1568"/>
      <c r="F21" s="1564"/>
      <c r="G21" s="1566"/>
      <c r="H21" s="1568"/>
      <c r="I21" s="1564"/>
      <c r="J21" s="1566"/>
      <c r="K21" s="1568"/>
      <c r="L21" s="1564"/>
      <c r="M21" s="1566"/>
      <c r="N21" s="1568"/>
      <c r="O21" s="1564"/>
      <c r="P21" s="1576"/>
    </row>
    <row r="22" spans="1:20"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0" s="41" customFormat="1" x14ac:dyDescent="0.25">
      <c r="A23" s="30"/>
      <c r="B23" s="31" t="s">
        <v>41</v>
      </c>
      <c r="C23" s="32"/>
      <c r="D23" s="33"/>
      <c r="E23" s="34"/>
      <c r="F23" s="35"/>
      <c r="G23" s="33"/>
      <c r="H23" s="36"/>
      <c r="I23" s="37"/>
      <c r="J23" s="33"/>
      <c r="K23" s="38"/>
      <c r="L23" s="37"/>
      <c r="M23" s="38"/>
      <c r="N23" s="39"/>
      <c r="O23" s="37"/>
      <c r="P23" s="40"/>
    </row>
    <row r="24" spans="1:20" s="41" customFormat="1" ht="12.75" thickBot="1" x14ac:dyDescent="0.3">
      <c r="A24" s="42"/>
      <c r="B24" s="43" t="s">
        <v>42</v>
      </c>
      <c r="C24" s="44">
        <f>F24+I24+L24+O24</f>
        <v>575837</v>
      </c>
      <c r="D24" s="45">
        <f>SUM(D25,D28,D29,D45,D46)</f>
        <v>512044</v>
      </c>
      <c r="E24" s="46">
        <f>SUM(E25,E28,E29,E45,E46)</f>
        <v>0</v>
      </c>
      <c r="F24" s="47">
        <f t="shared" ref="F24:F29" si="0">D24+E24</f>
        <v>512044</v>
      </c>
      <c r="G24" s="45">
        <f>SUM(G25,G28,G46)</f>
        <v>57986</v>
      </c>
      <c r="H24" s="48">
        <f>SUM(H25,H28,H46)</f>
        <v>0</v>
      </c>
      <c r="I24" s="49">
        <f>G24+H24</f>
        <v>57986</v>
      </c>
      <c r="J24" s="45">
        <f>SUM(J25,J30,J46)</f>
        <v>5807</v>
      </c>
      <c r="K24" s="48">
        <f>SUM(K25,K30,K46)</f>
        <v>0</v>
      </c>
      <c r="L24" s="49">
        <f>J24+K24</f>
        <v>5807</v>
      </c>
      <c r="M24" s="50">
        <f>SUM(M25,M48)</f>
        <v>0</v>
      </c>
      <c r="N24" s="51">
        <f>SUM(N25,N48)</f>
        <v>0</v>
      </c>
      <c r="O24" s="49">
        <f>M24+N24</f>
        <v>0</v>
      </c>
      <c r="P24" s="52"/>
      <c r="R24" s="53"/>
      <c r="S24" s="53"/>
      <c r="T24" s="53"/>
    </row>
    <row r="25" spans="1:20" ht="12.75" thickTop="1" x14ac:dyDescent="0.25">
      <c r="A25" s="54"/>
      <c r="B25" s="55" t="s">
        <v>43</v>
      </c>
      <c r="C25" s="56">
        <f>F25+I25+L25+O25</f>
        <v>1181</v>
      </c>
      <c r="D25" s="57">
        <f>SUM(D26:D27)</f>
        <v>0</v>
      </c>
      <c r="E25" s="58">
        <f>SUM(E26:E27)</f>
        <v>0</v>
      </c>
      <c r="F25" s="59">
        <f t="shared" si="0"/>
        <v>0</v>
      </c>
      <c r="G25" s="57">
        <f>SUM(G26:G27)</f>
        <v>0</v>
      </c>
      <c r="H25" s="60">
        <f>SUM(H26:H27)</f>
        <v>0</v>
      </c>
      <c r="I25" s="61">
        <f>G25+H25</f>
        <v>0</v>
      </c>
      <c r="J25" s="57">
        <f>SUM(J26:J27)</f>
        <v>1181</v>
      </c>
      <c r="K25" s="60">
        <f>SUM(K26:K27)</f>
        <v>0</v>
      </c>
      <c r="L25" s="61">
        <f>J25+K25</f>
        <v>1181</v>
      </c>
      <c r="M25" s="62">
        <f>SUM(M26:M27)</f>
        <v>0</v>
      </c>
      <c r="N25" s="63">
        <f>SUM(N26:N27)</f>
        <v>0</v>
      </c>
      <c r="O25" s="61">
        <f>M25+N25</f>
        <v>0</v>
      </c>
      <c r="P25" s="64"/>
      <c r="R25" s="53"/>
      <c r="S25" s="53"/>
      <c r="T25" s="53"/>
    </row>
    <row r="26" spans="1:20" hidden="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c r="R26" s="53"/>
      <c r="S26" s="53"/>
      <c r="T26" s="53"/>
    </row>
    <row r="27" spans="1:20" x14ac:dyDescent="0.25">
      <c r="A27" s="75"/>
      <c r="B27" s="76" t="s">
        <v>45</v>
      </c>
      <c r="C27" s="77">
        <f>F27+I27+L27+O27</f>
        <v>1181</v>
      </c>
      <c r="D27" s="78"/>
      <c r="E27" s="79"/>
      <c r="F27" s="80">
        <f t="shared" si="0"/>
        <v>0</v>
      </c>
      <c r="G27" s="78"/>
      <c r="H27" s="81"/>
      <c r="I27" s="82">
        <f>G27+H27</f>
        <v>0</v>
      </c>
      <c r="J27" s="78">
        <v>1181</v>
      </c>
      <c r="K27" s="81"/>
      <c r="L27" s="82">
        <f>J27+K27</f>
        <v>1181</v>
      </c>
      <c r="M27" s="83"/>
      <c r="N27" s="84"/>
      <c r="O27" s="82">
        <f>M27+N27</f>
        <v>0</v>
      </c>
      <c r="P27" s="85"/>
      <c r="R27" s="53"/>
      <c r="S27" s="53"/>
      <c r="T27" s="53"/>
    </row>
    <row r="28" spans="1:20" s="41" customFormat="1" ht="24.75" thickBot="1" x14ac:dyDescent="0.3">
      <c r="A28" s="86">
        <v>19300</v>
      </c>
      <c r="B28" s="86" t="s">
        <v>46</v>
      </c>
      <c r="C28" s="87">
        <f>SUM(F28,I28)</f>
        <v>570030</v>
      </c>
      <c r="D28" s="88">
        <f>507307+4737</f>
        <v>512044</v>
      </c>
      <c r="E28" s="89"/>
      <c r="F28" s="90">
        <f t="shared" si="0"/>
        <v>512044</v>
      </c>
      <c r="G28" s="88">
        <f>53412+4574</f>
        <v>57986</v>
      </c>
      <c r="H28" s="91"/>
      <c r="I28" s="92">
        <f>G28+H28</f>
        <v>57986</v>
      </c>
      <c r="J28" s="93" t="s">
        <v>47</v>
      </c>
      <c r="K28" s="94" t="s">
        <v>47</v>
      </c>
      <c r="L28" s="95" t="s">
        <v>47</v>
      </c>
      <c r="M28" s="96" t="s">
        <v>47</v>
      </c>
      <c r="N28" s="97" t="s">
        <v>47</v>
      </c>
      <c r="O28" s="95" t="s">
        <v>47</v>
      </c>
      <c r="P28" s="98"/>
      <c r="R28" s="53"/>
      <c r="S28" s="53"/>
      <c r="T28" s="53"/>
    </row>
    <row r="29" spans="1:20" s="41" customFormat="1" ht="24.75" hidden="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c r="R29" s="53"/>
      <c r="S29" s="53"/>
      <c r="T29" s="53"/>
    </row>
    <row r="30" spans="1:20" s="41" customFormat="1" ht="25.5" customHeight="1" thickTop="1" x14ac:dyDescent="0.25">
      <c r="A30" s="99">
        <v>21300</v>
      </c>
      <c r="B30" s="99" t="s">
        <v>49</v>
      </c>
      <c r="C30" s="100">
        <f t="shared" ref="C30:C44" si="1">L30</f>
        <v>4626</v>
      </c>
      <c r="D30" s="104" t="s">
        <v>47</v>
      </c>
      <c r="E30" s="110" t="s">
        <v>47</v>
      </c>
      <c r="F30" s="111" t="s">
        <v>47</v>
      </c>
      <c r="G30" s="104" t="s">
        <v>47</v>
      </c>
      <c r="H30" s="105" t="s">
        <v>47</v>
      </c>
      <c r="I30" s="106" t="s">
        <v>47</v>
      </c>
      <c r="J30" s="112">
        <f>SUM(J31,J35,J37,J40)</f>
        <v>4626</v>
      </c>
      <c r="K30" s="113">
        <f>SUM(K31,K35,K37,K40)</f>
        <v>0</v>
      </c>
      <c r="L30" s="114">
        <f t="shared" ref="L30:L44" si="2">J30+K30</f>
        <v>4626</v>
      </c>
      <c r="M30" s="107" t="s">
        <v>47</v>
      </c>
      <c r="N30" s="108" t="s">
        <v>47</v>
      </c>
      <c r="O30" s="106" t="s">
        <v>47</v>
      </c>
      <c r="P30" s="109"/>
      <c r="R30" s="53"/>
      <c r="S30" s="53"/>
      <c r="T30" s="53"/>
    </row>
    <row r="31" spans="1:20" s="41" customFormat="1" x14ac:dyDescent="0.25">
      <c r="A31" s="115">
        <v>21350</v>
      </c>
      <c r="B31" s="99" t="s">
        <v>50</v>
      </c>
      <c r="C31" s="100">
        <f t="shared" si="1"/>
        <v>443</v>
      </c>
      <c r="D31" s="104" t="s">
        <v>47</v>
      </c>
      <c r="E31" s="110" t="s">
        <v>47</v>
      </c>
      <c r="F31" s="111" t="s">
        <v>47</v>
      </c>
      <c r="G31" s="104" t="s">
        <v>47</v>
      </c>
      <c r="H31" s="105" t="s">
        <v>47</v>
      </c>
      <c r="I31" s="106" t="s">
        <v>47</v>
      </c>
      <c r="J31" s="112">
        <f>SUM(J32:J34)</f>
        <v>443</v>
      </c>
      <c r="K31" s="113">
        <f>SUM(K32:K34)</f>
        <v>0</v>
      </c>
      <c r="L31" s="114">
        <f t="shared" si="2"/>
        <v>443</v>
      </c>
      <c r="M31" s="107" t="s">
        <v>47</v>
      </c>
      <c r="N31" s="108" t="s">
        <v>47</v>
      </c>
      <c r="O31" s="106" t="s">
        <v>47</v>
      </c>
      <c r="P31" s="109"/>
      <c r="R31" s="53"/>
      <c r="S31" s="53"/>
      <c r="T31" s="53"/>
    </row>
    <row r="32" spans="1:20" hidden="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c r="R32" s="53"/>
      <c r="S32" s="53"/>
      <c r="T32" s="53"/>
    </row>
    <row r="33" spans="1:20" x14ac:dyDescent="0.25">
      <c r="A33" s="75">
        <v>21352</v>
      </c>
      <c r="B33" s="127" t="s">
        <v>52</v>
      </c>
      <c r="C33" s="128">
        <f t="shared" si="1"/>
        <v>443</v>
      </c>
      <c r="D33" s="129" t="s">
        <v>47</v>
      </c>
      <c r="E33" s="130" t="s">
        <v>47</v>
      </c>
      <c r="F33" s="131" t="s">
        <v>47</v>
      </c>
      <c r="G33" s="129" t="s">
        <v>47</v>
      </c>
      <c r="H33" s="132" t="s">
        <v>47</v>
      </c>
      <c r="I33" s="133" t="s">
        <v>47</v>
      </c>
      <c r="J33" s="134">
        <v>443</v>
      </c>
      <c r="K33" s="135"/>
      <c r="L33" s="136">
        <f t="shared" si="2"/>
        <v>443</v>
      </c>
      <c r="M33" s="137" t="s">
        <v>47</v>
      </c>
      <c r="N33" s="138" t="s">
        <v>47</v>
      </c>
      <c r="O33" s="133" t="s">
        <v>47</v>
      </c>
      <c r="P33" s="85"/>
      <c r="R33" s="53"/>
      <c r="S33" s="53"/>
      <c r="T33" s="53"/>
    </row>
    <row r="34" spans="1:20" ht="24" hidden="1" x14ac:dyDescent="0.25">
      <c r="A34" s="75">
        <v>21359</v>
      </c>
      <c r="B34" s="127" t="s">
        <v>53</v>
      </c>
      <c r="C34" s="128">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c r="R34" s="53"/>
      <c r="S34" s="53"/>
      <c r="T34" s="53"/>
    </row>
    <row r="35" spans="1:20" s="41" customFormat="1" ht="36" hidden="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c r="R35" s="53"/>
      <c r="S35" s="53"/>
      <c r="T35" s="53"/>
    </row>
    <row r="36" spans="1:20" ht="36" hidden="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c r="R36" s="53"/>
      <c r="S36" s="53"/>
      <c r="T36" s="53"/>
    </row>
    <row r="37" spans="1:20" s="41" customFormat="1" x14ac:dyDescent="0.25">
      <c r="A37" s="115">
        <v>21380</v>
      </c>
      <c r="B37" s="99" t="s">
        <v>56</v>
      </c>
      <c r="C37" s="100">
        <f t="shared" si="1"/>
        <v>200</v>
      </c>
      <c r="D37" s="104" t="s">
        <v>47</v>
      </c>
      <c r="E37" s="110" t="s">
        <v>47</v>
      </c>
      <c r="F37" s="111" t="s">
        <v>47</v>
      </c>
      <c r="G37" s="104" t="s">
        <v>47</v>
      </c>
      <c r="H37" s="105" t="s">
        <v>47</v>
      </c>
      <c r="I37" s="106" t="s">
        <v>47</v>
      </c>
      <c r="J37" s="112">
        <f>SUM(J38:J39)</f>
        <v>200</v>
      </c>
      <c r="K37" s="113">
        <f>SUM(K38:K39)</f>
        <v>0</v>
      </c>
      <c r="L37" s="114">
        <f t="shared" si="2"/>
        <v>200</v>
      </c>
      <c r="M37" s="107" t="s">
        <v>47</v>
      </c>
      <c r="N37" s="108" t="s">
        <v>47</v>
      </c>
      <c r="O37" s="106" t="s">
        <v>47</v>
      </c>
      <c r="P37" s="109"/>
      <c r="R37" s="53"/>
      <c r="S37" s="53"/>
      <c r="T37" s="53"/>
    </row>
    <row r="38" spans="1:20" x14ac:dyDescent="0.25">
      <c r="A38" s="66">
        <v>21381</v>
      </c>
      <c r="B38" s="116" t="s">
        <v>57</v>
      </c>
      <c r="C38" s="117">
        <f t="shared" si="1"/>
        <v>200</v>
      </c>
      <c r="D38" s="118" t="s">
        <v>47</v>
      </c>
      <c r="E38" s="154" t="s">
        <v>47</v>
      </c>
      <c r="F38" s="155" t="s">
        <v>47</v>
      </c>
      <c r="G38" s="118" t="s">
        <v>47</v>
      </c>
      <c r="H38" s="121" t="s">
        <v>47</v>
      </c>
      <c r="I38" s="122" t="s">
        <v>47</v>
      </c>
      <c r="J38" s="123">
        <v>200</v>
      </c>
      <c r="K38" s="124"/>
      <c r="L38" s="125">
        <f t="shared" si="2"/>
        <v>200</v>
      </c>
      <c r="M38" s="126" t="s">
        <v>47</v>
      </c>
      <c r="N38" s="119" t="s">
        <v>47</v>
      </c>
      <c r="O38" s="122" t="s">
        <v>47</v>
      </c>
      <c r="P38" s="74"/>
      <c r="R38" s="53"/>
      <c r="S38" s="53"/>
      <c r="T38" s="53"/>
    </row>
    <row r="39" spans="1:20" ht="24" hidden="1" x14ac:dyDescent="0.25">
      <c r="A39" s="76">
        <v>21383</v>
      </c>
      <c r="B39" s="127" t="s">
        <v>58</v>
      </c>
      <c r="C39" s="128">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c r="R39" s="53"/>
      <c r="S39" s="53"/>
      <c r="T39" s="53"/>
    </row>
    <row r="40" spans="1:20" s="41" customFormat="1" ht="24" x14ac:dyDescent="0.25">
      <c r="A40" s="115">
        <v>21390</v>
      </c>
      <c r="B40" s="99" t="s">
        <v>59</v>
      </c>
      <c r="C40" s="100">
        <f t="shared" si="1"/>
        <v>3983</v>
      </c>
      <c r="D40" s="104" t="s">
        <v>47</v>
      </c>
      <c r="E40" s="110" t="s">
        <v>47</v>
      </c>
      <c r="F40" s="111" t="s">
        <v>47</v>
      </c>
      <c r="G40" s="104" t="s">
        <v>47</v>
      </c>
      <c r="H40" s="105" t="s">
        <v>47</v>
      </c>
      <c r="I40" s="106" t="s">
        <v>47</v>
      </c>
      <c r="J40" s="112">
        <f>SUM(J41:J44)</f>
        <v>3983</v>
      </c>
      <c r="K40" s="113">
        <f>SUM(K41:K44)</f>
        <v>0</v>
      </c>
      <c r="L40" s="114">
        <f t="shared" si="2"/>
        <v>3983</v>
      </c>
      <c r="M40" s="107" t="s">
        <v>47</v>
      </c>
      <c r="N40" s="108" t="s">
        <v>47</v>
      </c>
      <c r="O40" s="106" t="s">
        <v>47</v>
      </c>
      <c r="P40" s="109"/>
      <c r="R40" s="53"/>
      <c r="S40" s="53"/>
      <c r="T40" s="53"/>
    </row>
    <row r="41" spans="1:20" ht="24" hidden="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c r="R41" s="53"/>
      <c r="S41" s="53"/>
      <c r="T41" s="53"/>
    </row>
    <row r="42" spans="1:20" hidden="1" x14ac:dyDescent="0.25">
      <c r="A42" s="76">
        <v>21393</v>
      </c>
      <c r="B42" s="127" t="s">
        <v>61</v>
      </c>
      <c r="C42" s="128">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c r="R42" s="53"/>
      <c r="S42" s="53"/>
      <c r="T42" s="53"/>
    </row>
    <row r="43" spans="1:20" hidden="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c r="R43" s="53"/>
      <c r="S43" s="53"/>
      <c r="T43" s="53"/>
    </row>
    <row r="44" spans="1:20" ht="24" x14ac:dyDescent="0.25">
      <c r="A44" s="76">
        <v>21399</v>
      </c>
      <c r="B44" s="127" t="s">
        <v>63</v>
      </c>
      <c r="C44" s="128">
        <f t="shared" si="1"/>
        <v>3983</v>
      </c>
      <c r="D44" s="129" t="s">
        <v>47</v>
      </c>
      <c r="E44" s="130" t="s">
        <v>47</v>
      </c>
      <c r="F44" s="131" t="s">
        <v>47</v>
      </c>
      <c r="G44" s="129" t="s">
        <v>47</v>
      </c>
      <c r="H44" s="132" t="s">
        <v>47</v>
      </c>
      <c r="I44" s="133" t="s">
        <v>47</v>
      </c>
      <c r="J44" s="134">
        <v>3983</v>
      </c>
      <c r="K44" s="135"/>
      <c r="L44" s="136">
        <f t="shared" si="2"/>
        <v>3983</v>
      </c>
      <c r="M44" s="137" t="s">
        <v>47</v>
      </c>
      <c r="N44" s="138" t="s">
        <v>47</v>
      </c>
      <c r="O44" s="133" t="s">
        <v>47</v>
      </c>
      <c r="P44" s="85"/>
      <c r="R44" s="53"/>
      <c r="S44" s="53"/>
      <c r="T44" s="53"/>
    </row>
    <row r="45" spans="1:20" s="41" customFormat="1" ht="24" hidden="1" x14ac:dyDescent="0.25">
      <c r="A45" s="115">
        <v>21420</v>
      </c>
      <c r="B45" s="99" t="s">
        <v>64</v>
      </c>
      <c r="C45" s="156">
        <f>F45</f>
        <v>0</v>
      </c>
      <c r="D45" s="157"/>
      <c r="E45" s="158"/>
      <c r="F45" s="103">
        <f>D45+E45</f>
        <v>0</v>
      </c>
      <c r="G45" s="104" t="s">
        <v>47</v>
      </c>
      <c r="H45" s="105" t="s">
        <v>47</v>
      </c>
      <c r="I45" s="106" t="s">
        <v>47</v>
      </c>
      <c r="J45" s="104" t="s">
        <v>47</v>
      </c>
      <c r="K45" s="105" t="s">
        <v>47</v>
      </c>
      <c r="L45" s="106" t="s">
        <v>47</v>
      </c>
      <c r="M45" s="107" t="s">
        <v>47</v>
      </c>
      <c r="N45" s="108" t="s">
        <v>47</v>
      </c>
      <c r="O45" s="106" t="s">
        <v>47</v>
      </c>
      <c r="P45" s="109"/>
      <c r="R45" s="53"/>
      <c r="S45" s="53"/>
      <c r="T45" s="53"/>
    </row>
    <row r="46" spans="1:20" s="41" customFormat="1" ht="24" hidden="1" x14ac:dyDescent="0.25">
      <c r="A46" s="159">
        <v>21490</v>
      </c>
      <c r="B46" s="160" t="s">
        <v>65</v>
      </c>
      <c r="C46" s="156">
        <f>F46+I46+L46</f>
        <v>0</v>
      </c>
      <c r="D46" s="161">
        <f>D47</f>
        <v>0</v>
      </c>
      <c r="E46" s="162">
        <f>E47</f>
        <v>0</v>
      </c>
      <c r="F46" s="163">
        <f>D46+E46</f>
        <v>0</v>
      </c>
      <c r="G46" s="161">
        <f>G47</f>
        <v>0</v>
      </c>
      <c r="H46" s="164">
        <f>H47</f>
        <v>0</v>
      </c>
      <c r="I46" s="165">
        <f>G46+H46</f>
        <v>0</v>
      </c>
      <c r="J46" s="161">
        <f>J47</f>
        <v>0</v>
      </c>
      <c r="K46" s="164">
        <f>K47</f>
        <v>0</v>
      </c>
      <c r="L46" s="165">
        <f>J46+K46</f>
        <v>0</v>
      </c>
      <c r="M46" s="107" t="s">
        <v>47</v>
      </c>
      <c r="N46" s="108" t="s">
        <v>47</v>
      </c>
      <c r="O46" s="106" t="s">
        <v>47</v>
      </c>
      <c r="P46" s="109"/>
      <c r="R46" s="53"/>
      <c r="S46" s="53"/>
      <c r="T46" s="53"/>
    </row>
    <row r="47" spans="1:20" s="41" customFormat="1" ht="24" hidden="1" x14ac:dyDescent="0.25">
      <c r="A47" s="76">
        <v>21499</v>
      </c>
      <c r="B47" s="127" t="s">
        <v>66</v>
      </c>
      <c r="C47" s="166">
        <f>F47+I47+L47</f>
        <v>0</v>
      </c>
      <c r="D47" s="68"/>
      <c r="E47" s="69"/>
      <c r="F47" s="70">
        <f>D47+E47</f>
        <v>0</v>
      </c>
      <c r="G47" s="167"/>
      <c r="H47" s="71"/>
      <c r="I47" s="72">
        <f>G47+H47</f>
        <v>0</v>
      </c>
      <c r="J47" s="68"/>
      <c r="K47" s="71"/>
      <c r="L47" s="72">
        <f>J47+K47</f>
        <v>0</v>
      </c>
      <c r="M47" s="152" t="s">
        <v>47</v>
      </c>
      <c r="N47" s="145" t="s">
        <v>47</v>
      </c>
      <c r="O47" s="148" t="s">
        <v>47</v>
      </c>
      <c r="P47" s="153"/>
      <c r="R47" s="53"/>
      <c r="S47" s="53"/>
      <c r="T47" s="53"/>
    </row>
    <row r="48" spans="1:20" hidden="1" x14ac:dyDescent="0.25">
      <c r="A48" s="168">
        <v>23000</v>
      </c>
      <c r="B48" s="169" t="s">
        <v>67</v>
      </c>
      <c r="C48" s="156">
        <f>O48</f>
        <v>0</v>
      </c>
      <c r="D48" s="170" t="s">
        <v>47</v>
      </c>
      <c r="E48" s="171" t="s">
        <v>47</v>
      </c>
      <c r="F48" s="172" t="s">
        <v>47</v>
      </c>
      <c r="G48" s="170" t="s">
        <v>47</v>
      </c>
      <c r="H48" s="173" t="s">
        <v>47</v>
      </c>
      <c r="I48" s="174" t="s">
        <v>47</v>
      </c>
      <c r="J48" s="170" t="s">
        <v>47</v>
      </c>
      <c r="K48" s="173" t="s">
        <v>47</v>
      </c>
      <c r="L48" s="174" t="s">
        <v>47</v>
      </c>
      <c r="M48" s="175">
        <f>SUM(M49:M50)</f>
        <v>0</v>
      </c>
      <c r="N48" s="176">
        <f>SUM(N49:N50)</f>
        <v>0</v>
      </c>
      <c r="O48" s="177">
        <f>M48+N48</f>
        <v>0</v>
      </c>
      <c r="P48" s="109"/>
      <c r="R48" s="53"/>
      <c r="S48" s="53"/>
      <c r="T48" s="53"/>
    </row>
    <row r="49" spans="1:20" ht="24" hidden="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c r="R49" s="53"/>
      <c r="S49" s="53"/>
      <c r="T49" s="53"/>
    </row>
    <row r="50" spans="1:20" ht="24" hidden="1" x14ac:dyDescent="0.25">
      <c r="A50" s="178">
        <v>23510</v>
      </c>
      <c r="B50" s="179" t="s">
        <v>69</v>
      </c>
      <c r="C50" s="180">
        <f>O50</f>
        <v>0</v>
      </c>
      <c r="D50" s="181" t="s">
        <v>47</v>
      </c>
      <c r="E50" s="182" t="s">
        <v>47</v>
      </c>
      <c r="F50" s="183" t="s">
        <v>47</v>
      </c>
      <c r="G50" s="181" t="s">
        <v>47</v>
      </c>
      <c r="H50" s="184" t="s">
        <v>47</v>
      </c>
      <c r="I50" s="185" t="s">
        <v>47</v>
      </c>
      <c r="J50" s="181" t="s">
        <v>47</v>
      </c>
      <c r="K50" s="184" t="s">
        <v>47</v>
      </c>
      <c r="L50" s="185" t="s">
        <v>47</v>
      </c>
      <c r="M50" s="186"/>
      <c r="N50" s="187"/>
      <c r="O50" s="188">
        <f>M50+N50</f>
        <v>0</v>
      </c>
      <c r="P50" s="189"/>
      <c r="R50" s="53"/>
      <c r="S50" s="53"/>
      <c r="T50" s="53"/>
    </row>
    <row r="51" spans="1:20" x14ac:dyDescent="0.25">
      <c r="A51" s="190"/>
      <c r="B51" s="179"/>
      <c r="C51" s="191"/>
      <c r="D51" s="192"/>
      <c r="E51" s="193"/>
      <c r="F51" s="194"/>
      <c r="G51" s="192"/>
      <c r="H51" s="195"/>
      <c r="I51" s="185"/>
      <c r="J51" s="196"/>
      <c r="K51" s="197"/>
      <c r="L51" s="188"/>
      <c r="M51" s="186"/>
      <c r="N51" s="187"/>
      <c r="O51" s="188"/>
      <c r="P51" s="189"/>
      <c r="R51" s="53"/>
      <c r="S51" s="53"/>
      <c r="T51" s="53"/>
    </row>
    <row r="52" spans="1:20" s="41" customFormat="1" x14ac:dyDescent="0.25">
      <c r="A52" s="198"/>
      <c r="B52" s="199" t="s">
        <v>70</v>
      </c>
      <c r="C52" s="200"/>
      <c r="D52" s="201"/>
      <c r="E52" s="202"/>
      <c r="F52" s="203"/>
      <c r="G52" s="201"/>
      <c r="H52" s="204"/>
      <c r="I52" s="205"/>
      <c r="J52" s="201"/>
      <c r="K52" s="204"/>
      <c r="L52" s="205"/>
      <c r="M52" s="206"/>
      <c r="N52" s="207"/>
      <c r="O52" s="205"/>
      <c r="P52" s="208"/>
      <c r="R52" s="53"/>
      <c r="S52" s="53"/>
      <c r="T52" s="53"/>
    </row>
    <row r="53" spans="1:20" s="41" customFormat="1" ht="12.75" thickBot="1" x14ac:dyDescent="0.3">
      <c r="A53" s="209"/>
      <c r="B53" s="42" t="s">
        <v>71</v>
      </c>
      <c r="C53" s="210">
        <f t="shared" ref="C53:C116" si="3">F53+I53+L53+O53</f>
        <v>575837</v>
      </c>
      <c r="D53" s="211">
        <f>SUM(D54,D284)</f>
        <v>512044</v>
      </c>
      <c r="E53" s="212">
        <f>SUM(E54,E284)</f>
        <v>0</v>
      </c>
      <c r="F53" s="213">
        <f t="shared" ref="F53:F117" si="4">D53+E53</f>
        <v>512044</v>
      </c>
      <c r="G53" s="211">
        <f>SUM(G54,G284)</f>
        <v>57986</v>
      </c>
      <c r="H53" s="214">
        <f>SUM(H54,H284)</f>
        <v>0</v>
      </c>
      <c r="I53" s="215">
        <f t="shared" ref="I53:I117" si="5">G53+H53</f>
        <v>57986</v>
      </c>
      <c r="J53" s="211">
        <f>SUM(J54,J284)</f>
        <v>5807</v>
      </c>
      <c r="K53" s="214">
        <f>SUM(K54,K284)</f>
        <v>0</v>
      </c>
      <c r="L53" s="215">
        <f t="shared" ref="L53:L117" si="6">J53+K53</f>
        <v>5807</v>
      </c>
      <c r="M53" s="216">
        <f>SUM(M54,M284)</f>
        <v>0</v>
      </c>
      <c r="N53" s="217">
        <f>SUM(N54,N284)</f>
        <v>0</v>
      </c>
      <c r="O53" s="215">
        <f t="shared" ref="O53:O117" si="7">M53+N53</f>
        <v>0</v>
      </c>
      <c r="P53" s="52"/>
      <c r="R53" s="53"/>
      <c r="S53" s="53"/>
      <c r="T53" s="53"/>
    </row>
    <row r="54" spans="1:20" s="41" customFormat="1" ht="36.75" thickTop="1" x14ac:dyDescent="0.25">
      <c r="A54" s="218"/>
      <c r="B54" s="219" t="s">
        <v>72</v>
      </c>
      <c r="C54" s="220">
        <f t="shared" si="3"/>
        <v>575394</v>
      </c>
      <c r="D54" s="221">
        <f>SUM(D55,D197)</f>
        <v>512044</v>
      </c>
      <c r="E54" s="222">
        <f>SUM(E55,E197)</f>
        <v>0</v>
      </c>
      <c r="F54" s="223">
        <f t="shared" si="4"/>
        <v>512044</v>
      </c>
      <c r="G54" s="221">
        <f>SUM(G55,G197)</f>
        <v>57986</v>
      </c>
      <c r="H54" s="224">
        <f>SUM(H55,H197)</f>
        <v>0</v>
      </c>
      <c r="I54" s="225">
        <f t="shared" si="5"/>
        <v>57986</v>
      </c>
      <c r="J54" s="221">
        <f>SUM(J55,J197)</f>
        <v>5364</v>
      </c>
      <c r="K54" s="224">
        <f>SUM(K55,K197)</f>
        <v>0</v>
      </c>
      <c r="L54" s="225">
        <f t="shared" si="6"/>
        <v>5364</v>
      </c>
      <c r="M54" s="226">
        <f>SUM(M55,M197)</f>
        <v>0</v>
      </c>
      <c r="N54" s="227">
        <f>SUM(N55,N197)</f>
        <v>0</v>
      </c>
      <c r="O54" s="225">
        <f t="shared" si="7"/>
        <v>0</v>
      </c>
      <c r="P54" s="228"/>
      <c r="R54" s="53"/>
      <c r="S54" s="53"/>
      <c r="T54" s="53"/>
    </row>
    <row r="55" spans="1:20" s="41" customFormat="1" ht="24" x14ac:dyDescent="0.25">
      <c r="A55" s="35"/>
      <c r="B55" s="30" t="s">
        <v>73</v>
      </c>
      <c r="C55" s="229">
        <f t="shared" si="3"/>
        <v>574737</v>
      </c>
      <c r="D55" s="230">
        <f>SUM(D56,D78,D176,D190)</f>
        <v>511724</v>
      </c>
      <c r="E55" s="231">
        <f>SUM(E56,E78,E176,E190)</f>
        <v>0</v>
      </c>
      <c r="F55" s="232">
        <f t="shared" si="4"/>
        <v>511724</v>
      </c>
      <c r="G55" s="230">
        <f>SUM(G56,G78,G176,G190)</f>
        <v>57686</v>
      </c>
      <c r="H55" s="233">
        <f>SUM(H56,H78,H176,H190)</f>
        <v>0</v>
      </c>
      <c r="I55" s="234">
        <f t="shared" si="5"/>
        <v>57686</v>
      </c>
      <c r="J55" s="230">
        <f>SUM(J56,J78,J176,J190)</f>
        <v>5327</v>
      </c>
      <c r="K55" s="233">
        <f>SUM(K56,K78,K176,K190)</f>
        <v>0</v>
      </c>
      <c r="L55" s="234">
        <f t="shared" si="6"/>
        <v>5327</v>
      </c>
      <c r="M55" s="53">
        <f>SUM(M56,M78,M176,M190)</f>
        <v>0</v>
      </c>
      <c r="N55" s="235">
        <f>SUM(N56,N78,N176,N190)</f>
        <v>0</v>
      </c>
      <c r="O55" s="234">
        <f t="shared" si="7"/>
        <v>0</v>
      </c>
      <c r="P55" s="236"/>
      <c r="R55" s="53"/>
      <c r="S55" s="53"/>
      <c r="T55" s="53"/>
    </row>
    <row r="56" spans="1:20" s="41" customFormat="1" x14ac:dyDescent="0.25">
      <c r="A56" s="237">
        <v>1000</v>
      </c>
      <c r="B56" s="237" t="s">
        <v>74</v>
      </c>
      <c r="C56" s="238">
        <f t="shared" si="3"/>
        <v>495380</v>
      </c>
      <c r="D56" s="239">
        <f>SUM(D57,D70)</f>
        <v>438794</v>
      </c>
      <c r="E56" s="240">
        <f>SUM(E57,E70)</f>
        <v>0</v>
      </c>
      <c r="F56" s="241">
        <f t="shared" si="4"/>
        <v>438794</v>
      </c>
      <c r="G56" s="239">
        <f>SUM(G57,G70)</f>
        <v>56586</v>
      </c>
      <c r="H56" s="242">
        <f>SUM(H57,H70)</f>
        <v>0</v>
      </c>
      <c r="I56" s="243">
        <f t="shared" si="5"/>
        <v>56586</v>
      </c>
      <c r="J56" s="239">
        <f>SUM(J57,J70)</f>
        <v>0</v>
      </c>
      <c r="K56" s="242">
        <f>SUM(K57,K70)</f>
        <v>0</v>
      </c>
      <c r="L56" s="243">
        <f t="shared" si="6"/>
        <v>0</v>
      </c>
      <c r="M56" s="244">
        <f>SUM(M57,M70)</f>
        <v>0</v>
      </c>
      <c r="N56" s="245">
        <f>SUM(N57,N70)</f>
        <v>0</v>
      </c>
      <c r="O56" s="243">
        <f t="shared" si="7"/>
        <v>0</v>
      </c>
      <c r="P56" s="246"/>
      <c r="R56" s="53"/>
      <c r="S56" s="53"/>
      <c r="T56" s="53"/>
    </row>
    <row r="57" spans="1:20" x14ac:dyDescent="0.25">
      <c r="A57" s="99">
        <v>1100</v>
      </c>
      <c r="B57" s="247" t="s">
        <v>75</v>
      </c>
      <c r="C57" s="100">
        <f t="shared" si="3"/>
        <v>376315</v>
      </c>
      <c r="D57" s="112">
        <f>SUM(D58,D61,D69)</f>
        <v>331080</v>
      </c>
      <c r="E57" s="248">
        <f>SUM(E58,E61,E69)</f>
        <v>0</v>
      </c>
      <c r="F57" s="249">
        <f t="shared" si="4"/>
        <v>331080</v>
      </c>
      <c r="G57" s="112">
        <f>SUM(G58,G61,G69)</f>
        <v>45235</v>
      </c>
      <c r="H57" s="113">
        <f>SUM(H58,H61,H69)</f>
        <v>0</v>
      </c>
      <c r="I57" s="114">
        <f t="shared" si="5"/>
        <v>45235</v>
      </c>
      <c r="J57" s="112">
        <f>SUM(J58,J61,J69)</f>
        <v>0</v>
      </c>
      <c r="K57" s="113">
        <f>SUM(K58,K61,K69)</f>
        <v>0</v>
      </c>
      <c r="L57" s="114">
        <f t="shared" si="6"/>
        <v>0</v>
      </c>
      <c r="M57" s="250">
        <f>SUM(M58,M61,M69)</f>
        <v>0</v>
      </c>
      <c r="N57" s="251">
        <f>SUM(N58,N61,N69)</f>
        <v>0</v>
      </c>
      <c r="O57" s="252">
        <f t="shared" si="7"/>
        <v>0</v>
      </c>
      <c r="P57" s="253"/>
      <c r="R57" s="53"/>
      <c r="S57" s="53"/>
      <c r="T57" s="53"/>
    </row>
    <row r="58" spans="1:20" x14ac:dyDescent="0.25">
      <c r="A58" s="254">
        <v>1110</v>
      </c>
      <c r="B58" s="179" t="s">
        <v>76</v>
      </c>
      <c r="C58" s="191">
        <f t="shared" si="3"/>
        <v>340155</v>
      </c>
      <c r="D58" s="255">
        <f>SUM(D59:D60)</f>
        <v>295923</v>
      </c>
      <c r="E58" s="256">
        <f>SUM(E59:E60)</f>
        <v>0</v>
      </c>
      <c r="F58" s="257">
        <f t="shared" si="4"/>
        <v>295923</v>
      </c>
      <c r="G58" s="255">
        <f>SUM(G59:G60)</f>
        <v>44232</v>
      </c>
      <c r="H58" s="258">
        <f>SUM(H59:H60)</f>
        <v>0</v>
      </c>
      <c r="I58" s="259">
        <f t="shared" si="5"/>
        <v>44232</v>
      </c>
      <c r="J58" s="255">
        <f>SUM(J59:J60)</f>
        <v>0</v>
      </c>
      <c r="K58" s="258">
        <f>SUM(K59:K60)</f>
        <v>0</v>
      </c>
      <c r="L58" s="259">
        <f t="shared" si="6"/>
        <v>0</v>
      </c>
      <c r="M58" s="260">
        <f>SUM(M59:M60)</f>
        <v>0</v>
      </c>
      <c r="N58" s="261">
        <f>SUM(N59:N60)</f>
        <v>0</v>
      </c>
      <c r="O58" s="259">
        <f t="shared" si="7"/>
        <v>0</v>
      </c>
      <c r="P58" s="189"/>
      <c r="R58" s="53"/>
      <c r="S58" s="53"/>
      <c r="T58" s="53"/>
    </row>
    <row r="59" spans="1:20" hidden="1" x14ac:dyDescent="0.25">
      <c r="A59" s="66">
        <v>1111</v>
      </c>
      <c r="B59" s="116" t="s">
        <v>77</v>
      </c>
      <c r="C59" s="117">
        <f t="shared" si="3"/>
        <v>0</v>
      </c>
      <c r="D59" s="123"/>
      <c r="E59" s="262"/>
      <c r="F59" s="263">
        <f t="shared" si="4"/>
        <v>0</v>
      </c>
      <c r="G59" s="123"/>
      <c r="H59" s="124"/>
      <c r="I59" s="125">
        <f t="shared" si="5"/>
        <v>0</v>
      </c>
      <c r="J59" s="123"/>
      <c r="K59" s="124"/>
      <c r="L59" s="125">
        <f t="shared" si="6"/>
        <v>0</v>
      </c>
      <c r="M59" s="264"/>
      <c r="N59" s="262"/>
      <c r="O59" s="125">
        <f t="shared" si="7"/>
        <v>0</v>
      </c>
      <c r="P59" s="74"/>
      <c r="R59" s="53"/>
      <c r="S59" s="53"/>
      <c r="T59" s="53"/>
    </row>
    <row r="60" spans="1:20" x14ac:dyDescent="0.25">
      <c r="A60" s="265">
        <v>1119</v>
      </c>
      <c r="B60" s="266" t="s">
        <v>78</v>
      </c>
      <c r="C60" s="267">
        <f t="shared" si="3"/>
        <v>340155</v>
      </c>
      <c r="D60" s="268">
        <f>297096-1173</f>
        <v>295923</v>
      </c>
      <c r="E60" s="269"/>
      <c r="F60" s="270">
        <f t="shared" si="4"/>
        <v>295923</v>
      </c>
      <c r="G60" s="268">
        <f>40676+3556</f>
        <v>44232</v>
      </c>
      <c r="H60" s="271"/>
      <c r="I60" s="272">
        <f t="shared" si="5"/>
        <v>44232</v>
      </c>
      <c r="J60" s="268"/>
      <c r="K60" s="271"/>
      <c r="L60" s="272">
        <f t="shared" si="6"/>
        <v>0</v>
      </c>
      <c r="M60" s="273"/>
      <c r="N60" s="274"/>
      <c r="O60" s="272">
        <f t="shared" si="7"/>
        <v>0</v>
      </c>
      <c r="P60" s="275"/>
      <c r="R60" s="53"/>
      <c r="S60" s="53"/>
      <c r="T60" s="53"/>
    </row>
    <row r="61" spans="1:20" x14ac:dyDescent="0.25">
      <c r="A61" s="276">
        <v>1140</v>
      </c>
      <c r="B61" s="127" t="s">
        <v>79</v>
      </c>
      <c r="C61" s="128">
        <f t="shared" si="3"/>
        <v>34900</v>
      </c>
      <c r="D61" s="277">
        <f>SUM(D62:D68)</f>
        <v>33897</v>
      </c>
      <c r="E61" s="278">
        <f>SUM(E62:E68)</f>
        <v>0</v>
      </c>
      <c r="F61" s="279">
        <f>D61+E61</f>
        <v>33897</v>
      </c>
      <c r="G61" s="277">
        <f>SUM(G62:G68)</f>
        <v>1003</v>
      </c>
      <c r="H61" s="280">
        <f>SUM(H62:H68)</f>
        <v>0</v>
      </c>
      <c r="I61" s="136">
        <f t="shared" si="5"/>
        <v>1003</v>
      </c>
      <c r="J61" s="277">
        <f>SUM(J62:J68)</f>
        <v>0</v>
      </c>
      <c r="K61" s="280">
        <f>SUM(K62:K68)</f>
        <v>0</v>
      </c>
      <c r="L61" s="136">
        <f t="shared" si="6"/>
        <v>0</v>
      </c>
      <c r="M61" s="281">
        <f>SUM(M62:M68)</f>
        <v>0</v>
      </c>
      <c r="N61" s="282">
        <f>SUM(N62:N68)</f>
        <v>0</v>
      </c>
      <c r="O61" s="136">
        <f t="shared" si="7"/>
        <v>0</v>
      </c>
      <c r="P61" s="85"/>
      <c r="R61" s="53"/>
      <c r="S61" s="53"/>
      <c r="T61" s="53"/>
    </row>
    <row r="62" spans="1:20" x14ac:dyDescent="0.25">
      <c r="A62" s="76">
        <v>1141</v>
      </c>
      <c r="B62" s="127" t="s">
        <v>80</v>
      </c>
      <c r="C62" s="128">
        <f t="shared" si="3"/>
        <v>3748</v>
      </c>
      <c r="D62" s="134">
        <v>3748</v>
      </c>
      <c r="E62" s="283"/>
      <c r="F62" s="279">
        <f t="shared" si="4"/>
        <v>3748</v>
      </c>
      <c r="G62" s="134"/>
      <c r="H62" s="135"/>
      <c r="I62" s="136">
        <f t="shared" si="5"/>
        <v>0</v>
      </c>
      <c r="J62" s="134"/>
      <c r="K62" s="135"/>
      <c r="L62" s="136">
        <f t="shared" si="6"/>
        <v>0</v>
      </c>
      <c r="M62" s="284"/>
      <c r="N62" s="285"/>
      <c r="O62" s="136">
        <f t="shared" si="7"/>
        <v>0</v>
      </c>
      <c r="P62" s="85"/>
      <c r="R62" s="53"/>
      <c r="S62" s="53"/>
      <c r="T62" s="53"/>
    </row>
    <row r="63" spans="1:20" ht="24" x14ac:dyDescent="0.25">
      <c r="A63" s="76">
        <v>1142</v>
      </c>
      <c r="B63" s="127" t="s">
        <v>81</v>
      </c>
      <c r="C63" s="128">
        <f t="shared" si="3"/>
        <v>922</v>
      </c>
      <c r="D63" s="134">
        <v>922</v>
      </c>
      <c r="E63" s="283"/>
      <c r="F63" s="279">
        <f t="shared" si="4"/>
        <v>922</v>
      </c>
      <c r="G63" s="134"/>
      <c r="H63" s="135"/>
      <c r="I63" s="136">
        <f t="shared" si="5"/>
        <v>0</v>
      </c>
      <c r="J63" s="134"/>
      <c r="K63" s="135"/>
      <c r="L63" s="136">
        <f t="shared" si="6"/>
        <v>0</v>
      </c>
      <c r="M63" s="284"/>
      <c r="N63" s="285"/>
      <c r="O63" s="136">
        <f t="shared" si="7"/>
        <v>0</v>
      </c>
      <c r="P63" s="85"/>
      <c r="R63" s="53"/>
      <c r="S63" s="53"/>
      <c r="T63" s="53"/>
    </row>
    <row r="64" spans="1:20" ht="24" x14ac:dyDescent="0.25">
      <c r="A64" s="265">
        <v>1145</v>
      </c>
      <c r="B64" s="266" t="s">
        <v>82</v>
      </c>
      <c r="C64" s="267">
        <f t="shared" si="3"/>
        <v>1330</v>
      </c>
      <c r="D64" s="268">
        <v>1255</v>
      </c>
      <c r="E64" s="269"/>
      <c r="F64" s="270">
        <f t="shared" si="4"/>
        <v>1255</v>
      </c>
      <c r="G64" s="268">
        <f>74+1</f>
        <v>75</v>
      </c>
      <c r="H64" s="271"/>
      <c r="I64" s="272">
        <f t="shared" si="5"/>
        <v>75</v>
      </c>
      <c r="J64" s="268"/>
      <c r="K64" s="271"/>
      <c r="L64" s="272">
        <f t="shared" si="6"/>
        <v>0</v>
      </c>
      <c r="M64" s="273"/>
      <c r="N64" s="274"/>
      <c r="O64" s="272">
        <f t="shared" si="7"/>
        <v>0</v>
      </c>
      <c r="P64" s="275"/>
      <c r="R64" s="53"/>
      <c r="S64" s="53"/>
      <c r="T64" s="53"/>
    </row>
    <row r="65" spans="1:20" ht="24" hidden="1" x14ac:dyDescent="0.25">
      <c r="A65" s="76">
        <v>1146</v>
      </c>
      <c r="B65" s="127" t="s">
        <v>83</v>
      </c>
      <c r="C65" s="128">
        <f t="shared" si="3"/>
        <v>0</v>
      </c>
      <c r="D65" s="134"/>
      <c r="E65" s="285"/>
      <c r="F65" s="286">
        <f t="shared" si="4"/>
        <v>0</v>
      </c>
      <c r="G65" s="134"/>
      <c r="H65" s="135"/>
      <c r="I65" s="136">
        <f t="shared" si="5"/>
        <v>0</v>
      </c>
      <c r="J65" s="134"/>
      <c r="K65" s="135"/>
      <c r="L65" s="136">
        <f t="shared" si="6"/>
        <v>0</v>
      </c>
      <c r="M65" s="284"/>
      <c r="N65" s="285"/>
      <c r="O65" s="136">
        <f t="shared" si="7"/>
        <v>0</v>
      </c>
      <c r="P65" s="85"/>
      <c r="R65" s="53"/>
      <c r="S65" s="53"/>
      <c r="T65" s="53"/>
    </row>
    <row r="66" spans="1:20" x14ac:dyDescent="0.25">
      <c r="A66" s="76">
        <v>1147</v>
      </c>
      <c r="B66" s="127" t="s">
        <v>84</v>
      </c>
      <c r="C66" s="128">
        <f t="shared" si="3"/>
        <v>2730</v>
      </c>
      <c r="D66" s="134">
        <f>2943-213</f>
        <v>2730</v>
      </c>
      <c r="E66" s="283"/>
      <c r="F66" s="279">
        <f t="shared" si="4"/>
        <v>2730</v>
      </c>
      <c r="G66" s="134"/>
      <c r="H66" s="135"/>
      <c r="I66" s="136">
        <f t="shared" si="5"/>
        <v>0</v>
      </c>
      <c r="J66" s="134"/>
      <c r="K66" s="135"/>
      <c r="L66" s="136">
        <f t="shared" si="6"/>
        <v>0</v>
      </c>
      <c r="M66" s="284"/>
      <c r="N66" s="285"/>
      <c r="O66" s="136">
        <f t="shared" si="7"/>
        <v>0</v>
      </c>
      <c r="P66" s="85"/>
      <c r="R66" s="53"/>
      <c r="S66" s="53"/>
      <c r="T66" s="53"/>
    </row>
    <row r="67" spans="1:20" x14ac:dyDescent="0.25">
      <c r="A67" s="76">
        <v>1148</v>
      </c>
      <c r="B67" s="127" t="s">
        <v>85</v>
      </c>
      <c r="C67" s="128">
        <f t="shared" si="3"/>
        <v>22996</v>
      </c>
      <c r="D67" s="134">
        <f>18065+4931</f>
        <v>22996</v>
      </c>
      <c r="E67" s="283"/>
      <c r="F67" s="279">
        <f t="shared" si="4"/>
        <v>22996</v>
      </c>
      <c r="G67" s="134"/>
      <c r="H67" s="135"/>
      <c r="I67" s="136">
        <f t="shared" si="5"/>
        <v>0</v>
      </c>
      <c r="J67" s="134"/>
      <c r="K67" s="135"/>
      <c r="L67" s="136">
        <f t="shared" si="6"/>
        <v>0</v>
      </c>
      <c r="M67" s="284"/>
      <c r="N67" s="285"/>
      <c r="O67" s="136">
        <f t="shared" si="7"/>
        <v>0</v>
      </c>
      <c r="P67" s="85"/>
      <c r="R67" s="53"/>
      <c r="S67" s="53"/>
      <c r="T67" s="53"/>
    </row>
    <row r="68" spans="1:20" ht="26.25" customHeight="1" x14ac:dyDescent="0.25">
      <c r="A68" s="76">
        <v>1149</v>
      </c>
      <c r="B68" s="127" t="s">
        <v>86</v>
      </c>
      <c r="C68" s="128">
        <f t="shared" si="3"/>
        <v>3174</v>
      </c>
      <c r="D68" s="134">
        <v>2246</v>
      </c>
      <c r="E68" s="283"/>
      <c r="F68" s="279">
        <f t="shared" si="4"/>
        <v>2246</v>
      </c>
      <c r="G68" s="134">
        <f>784+144</f>
        <v>928</v>
      </c>
      <c r="H68" s="135"/>
      <c r="I68" s="136">
        <f t="shared" si="5"/>
        <v>928</v>
      </c>
      <c r="J68" s="134"/>
      <c r="K68" s="135"/>
      <c r="L68" s="136">
        <f t="shared" si="6"/>
        <v>0</v>
      </c>
      <c r="M68" s="284"/>
      <c r="N68" s="285"/>
      <c r="O68" s="136">
        <f t="shared" si="7"/>
        <v>0</v>
      </c>
      <c r="P68" s="85"/>
      <c r="R68" s="53"/>
      <c r="S68" s="53"/>
      <c r="T68" s="53"/>
    </row>
    <row r="69" spans="1:20" ht="36" x14ac:dyDescent="0.25">
      <c r="A69" s="254">
        <v>1150</v>
      </c>
      <c r="B69" s="179" t="s">
        <v>87</v>
      </c>
      <c r="C69" s="128">
        <f t="shared" si="3"/>
        <v>1260</v>
      </c>
      <c r="D69" s="287">
        <f>1275-15</f>
        <v>1260</v>
      </c>
      <c r="E69" s="288"/>
      <c r="F69" s="257">
        <f t="shared" si="4"/>
        <v>1260</v>
      </c>
      <c r="G69" s="287"/>
      <c r="H69" s="289"/>
      <c r="I69" s="259">
        <f t="shared" si="5"/>
        <v>0</v>
      </c>
      <c r="J69" s="287"/>
      <c r="K69" s="289"/>
      <c r="L69" s="259">
        <f t="shared" si="6"/>
        <v>0</v>
      </c>
      <c r="M69" s="290"/>
      <c r="N69" s="291"/>
      <c r="O69" s="259">
        <f t="shared" si="7"/>
        <v>0</v>
      </c>
      <c r="P69" s="189"/>
      <c r="R69" s="53"/>
      <c r="S69" s="53"/>
      <c r="T69" s="53"/>
    </row>
    <row r="70" spans="1:20" ht="36" x14ac:dyDescent="0.25">
      <c r="A70" s="99">
        <v>1200</v>
      </c>
      <c r="B70" s="247" t="s">
        <v>88</v>
      </c>
      <c r="C70" s="100">
        <f t="shared" si="3"/>
        <v>119065</v>
      </c>
      <c r="D70" s="112">
        <f>SUM(D71:D72)</f>
        <v>107714</v>
      </c>
      <c r="E70" s="248">
        <f>SUM(E71:E72)</f>
        <v>0</v>
      </c>
      <c r="F70" s="249">
        <f>D70+E70</f>
        <v>107714</v>
      </c>
      <c r="G70" s="112">
        <f>SUM(G71:G72)</f>
        <v>11351</v>
      </c>
      <c r="H70" s="113">
        <f>SUM(H71:H72)</f>
        <v>0</v>
      </c>
      <c r="I70" s="114">
        <f t="shared" si="5"/>
        <v>11351</v>
      </c>
      <c r="J70" s="112">
        <f>SUM(J71:J72)</f>
        <v>0</v>
      </c>
      <c r="K70" s="113">
        <f>SUM(K71:K72)</f>
        <v>0</v>
      </c>
      <c r="L70" s="114">
        <f t="shared" si="6"/>
        <v>0</v>
      </c>
      <c r="M70" s="292">
        <f>SUM(M71:M72)</f>
        <v>0</v>
      </c>
      <c r="N70" s="293">
        <f>SUM(N71:N72)</f>
        <v>0</v>
      </c>
      <c r="O70" s="114">
        <f t="shared" si="7"/>
        <v>0</v>
      </c>
      <c r="P70" s="109"/>
      <c r="R70" s="53"/>
      <c r="S70" s="53"/>
      <c r="T70" s="53"/>
    </row>
    <row r="71" spans="1:20" ht="24" x14ac:dyDescent="0.25">
      <c r="A71" s="294">
        <v>1210</v>
      </c>
      <c r="B71" s="116" t="s">
        <v>89</v>
      </c>
      <c r="C71" s="117">
        <f t="shared" si="3"/>
        <v>92573</v>
      </c>
      <c r="D71" s="123">
        <f>80793+979</f>
        <v>81772</v>
      </c>
      <c r="E71" s="295"/>
      <c r="F71" s="296">
        <f t="shared" si="4"/>
        <v>81772</v>
      </c>
      <c r="G71" s="123">
        <f>9928+873</f>
        <v>10801</v>
      </c>
      <c r="H71" s="124"/>
      <c r="I71" s="125">
        <f t="shared" si="5"/>
        <v>10801</v>
      </c>
      <c r="J71" s="123"/>
      <c r="K71" s="124"/>
      <c r="L71" s="125">
        <f t="shared" si="6"/>
        <v>0</v>
      </c>
      <c r="M71" s="264"/>
      <c r="N71" s="262"/>
      <c r="O71" s="125">
        <f t="shared" si="7"/>
        <v>0</v>
      </c>
      <c r="P71" s="74"/>
      <c r="R71" s="53"/>
      <c r="S71" s="53"/>
      <c r="T71" s="53"/>
    </row>
    <row r="72" spans="1:20" ht="24" x14ac:dyDescent="0.25">
      <c r="A72" s="276">
        <v>1220</v>
      </c>
      <c r="B72" s="127" t="s">
        <v>90</v>
      </c>
      <c r="C72" s="128">
        <f t="shared" si="3"/>
        <v>26492</v>
      </c>
      <c r="D72" s="277">
        <f>SUM(D73:D77)</f>
        <v>25942</v>
      </c>
      <c r="E72" s="278">
        <f>SUM(E73:E77)</f>
        <v>0</v>
      </c>
      <c r="F72" s="279">
        <f t="shared" si="4"/>
        <v>25942</v>
      </c>
      <c r="G72" s="277">
        <f>SUM(G73:G77)</f>
        <v>550</v>
      </c>
      <c r="H72" s="280">
        <f>SUM(H73:H77)</f>
        <v>0</v>
      </c>
      <c r="I72" s="136">
        <f t="shared" si="5"/>
        <v>550</v>
      </c>
      <c r="J72" s="277">
        <f>SUM(J73:J77)</f>
        <v>0</v>
      </c>
      <c r="K72" s="280">
        <f>SUM(K73:K77)</f>
        <v>0</v>
      </c>
      <c r="L72" s="136">
        <f t="shared" si="6"/>
        <v>0</v>
      </c>
      <c r="M72" s="281">
        <f>SUM(M73:M77)</f>
        <v>0</v>
      </c>
      <c r="N72" s="282">
        <f>SUM(N73:N77)</f>
        <v>0</v>
      </c>
      <c r="O72" s="136">
        <f t="shared" si="7"/>
        <v>0</v>
      </c>
      <c r="P72" s="85"/>
      <c r="R72" s="53"/>
      <c r="S72" s="53"/>
      <c r="T72" s="53"/>
    </row>
    <row r="73" spans="1:20" ht="48" x14ac:dyDescent="0.25">
      <c r="A73" s="76">
        <v>1221</v>
      </c>
      <c r="B73" s="127" t="s">
        <v>91</v>
      </c>
      <c r="C73" s="128">
        <f t="shared" si="3"/>
        <v>15484</v>
      </c>
      <c r="D73" s="134">
        <v>14934</v>
      </c>
      <c r="E73" s="283"/>
      <c r="F73" s="279">
        <f t="shared" si="4"/>
        <v>14934</v>
      </c>
      <c r="G73" s="134">
        <v>550</v>
      </c>
      <c r="H73" s="135"/>
      <c r="I73" s="136">
        <f t="shared" si="5"/>
        <v>550</v>
      </c>
      <c r="J73" s="134"/>
      <c r="K73" s="135"/>
      <c r="L73" s="136">
        <f t="shared" si="6"/>
        <v>0</v>
      </c>
      <c r="M73" s="284"/>
      <c r="N73" s="285"/>
      <c r="O73" s="136">
        <f t="shared" si="7"/>
        <v>0</v>
      </c>
      <c r="P73" s="85"/>
      <c r="R73" s="53"/>
      <c r="S73" s="53"/>
      <c r="T73" s="53"/>
    </row>
    <row r="74" spans="1:20" hidden="1" x14ac:dyDescent="0.25">
      <c r="A74" s="76">
        <v>1223</v>
      </c>
      <c r="B74" s="127" t="s">
        <v>92</v>
      </c>
      <c r="C74" s="128">
        <f t="shared" si="3"/>
        <v>0</v>
      </c>
      <c r="D74" s="134"/>
      <c r="E74" s="285"/>
      <c r="F74" s="286">
        <f t="shared" si="4"/>
        <v>0</v>
      </c>
      <c r="G74" s="134"/>
      <c r="H74" s="135"/>
      <c r="I74" s="136">
        <f t="shared" si="5"/>
        <v>0</v>
      </c>
      <c r="J74" s="134"/>
      <c r="K74" s="135"/>
      <c r="L74" s="136">
        <f t="shared" si="6"/>
        <v>0</v>
      </c>
      <c r="M74" s="284"/>
      <c r="N74" s="285"/>
      <c r="O74" s="136">
        <f t="shared" si="7"/>
        <v>0</v>
      </c>
      <c r="P74" s="85"/>
      <c r="R74" s="53"/>
      <c r="S74" s="53"/>
      <c r="T74" s="53"/>
    </row>
    <row r="75" spans="1:20" hidden="1" x14ac:dyDescent="0.25">
      <c r="A75" s="76">
        <v>1225</v>
      </c>
      <c r="B75" s="127" t="s">
        <v>93</v>
      </c>
      <c r="C75" s="128">
        <f t="shared" si="3"/>
        <v>0</v>
      </c>
      <c r="D75" s="134"/>
      <c r="E75" s="285"/>
      <c r="F75" s="286">
        <f t="shared" si="4"/>
        <v>0</v>
      </c>
      <c r="G75" s="134"/>
      <c r="H75" s="135"/>
      <c r="I75" s="136">
        <f t="shared" si="5"/>
        <v>0</v>
      </c>
      <c r="J75" s="134"/>
      <c r="K75" s="135"/>
      <c r="L75" s="136">
        <f t="shared" si="6"/>
        <v>0</v>
      </c>
      <c r="M75" s="284"/>
      <c r="N75" s="285"/>
      <c r="O75" s="136">
        <f t="shared" si="7"/>
        <v>0</v>
      </c>
      <c r="P75" s="85"/>
      <c r="R75" s="53"/>
      <c r="S75" s="53"/>
      <c r="T75" s="53"/>
    </row>
    <row r="76" spans="1:20" ht="36" x14ac:dyDescent="0.25">
      <c r="A76" s="76">
        <v>1227</v>
      </c>
      <c r="B76" s="127" t="s">
        <v>94</v>
      </c>
      <c r="C76" s="128">
        <f t="shared" si="3"/>
        <v>10367</v>
      </c>
      <c r="D76" s="134">
        <f>10352+15</f>
        <v>10367</v>
      </c>
      <c r="E76" s="283"/>
      <c r="F76" s="279">
        <f t="shared" si="4"/>
        <v>10367</v>
      </c>
      <c r="G76" s="134"/>
      <c r="H76" s="135"/>
      <c r="I76" s="136">
        <f t="shared" si="5"/>
        <v>0</v>
      </c>
      <c r="J76" s="134"/>
      <c r="K76" s="135"/>
      <c r="L76" s="136">
        <f t="shared" si="6"/>
        <v>0</v>
      </c>
      <c r="M76" s="284"/>
      <c r="N76" s="285"/>
      <c r="O76" s="136">
        <f t="shared" si="7"/>
        <v>0</v>
      </c>
      <c r="P76" s="85"/>
      <c r="R76" s="53"/>
      <c r="S76" s="53"/>
      <c r="T76" s="53"/>
    </row>
    <row r="77" spans="1:20" ht="48" x14ac:dyDescent="0.25">
      <c r="A77" s="76">
        <v>1228</v>
      </c>
      <c r="B77" s="127" t="s">
        <v>95</v>
      </c>
      <c r="C77" s="128">
        <f t="shared" si="3"/>
        <v>641</v>
      </c>
      <c r="D77" s="134">
        <f>428+213</f>
        <v>641</v>
      </c>
      <c r="E77" s="283"/>
      <c r="F77" s="279">
        <f t="shared" si="4"/>
        <v>641</v>
      </c>
      <c r="G77" s="134"/>
      <c r="H77" s="135"/>
      <c r="I77" s="136">
        <f t="shared" si="5"/>
        <v>0</v>
      </c>
      <c r="J77" s="134"/>
      <c r="K77" s="135"/>
      <c r="L77" s="136">
        <f t="shared" si="6"/>
        <v>0</v>
      </c>
      <c r="M77" s="284"/>
      <c r="N77" s="285"/>
      <c r="O77" s="136">
        <f t="shared" si="7"/>
        <v>0</v>
      </c>
      <c r="P77" s="85"/>
      <c r="R77" s="53"/>
      <c r="S77" s="53"/>
      <c r="T77" s="53"/>
    </row>
    <row r="78" spans="1:20" x14ac:dyDescent="0.25">
      <c r="A78" s="237">
        <v>2000</v>
      </c>
      <c r="B78" s="237" t="s">
        <v>96</v>
      </c>
      <c r="C78" s="238">
        <f t="shared" si="3"/>
        <v>79357</v>
      </c>
      <c r="D78" s="239">
        <f>SUM(D79,D86,D133,D167,D168,D175)</f>
        <v>72930</v>
      </c>
      <c r="E78" s="240">
        <f>SUM(E79,E86,E133,E167,E168,E175)</f>
        <v>0</v>
      </c>
      <c r="F78" s="241">
        <f t="shared" si="4"/>
        <v>72930</v>
      </c>
      <c r="G78" s="239">
        <f>SUM(G79,G86,G133,G167,G168,G175)</f>
        <v>1100</v>
      </c>
      <c r="H78" s="242">
        <f>SUM(H79,H86,H133,H167,H168,H175)</f>
        <v>0</v>
      </c>
      <c r="I78" s="243">
        <f t="shared" si="5"/>
        <v>1100</v>
      </c>
      <c r="J78" s="239">
        <f>SUM(J79,J86,J133,J167,J168,J175)</f>
        <v>5327</v>
      </c>
      <c r="K78" s="242">
        <f>SUM(K79,K86,K133,K167,K168,K175)</f>
        <v>0</v>
      </c>
      <c r="L78" s="243">
        <f t="shared" si="6"/>
        <v>5327</v>
      </c>
      <c r="M78" s="244">
        <f>SUM(M79,M86,M133,M167,M168,M175)</f>
        <v>0</v>
      </c>
      <c r="N78" s="245">
        <f>SUM(N79,N86,N133,N167,N168,N175)</f>
        <v>0</v>
      </c>
      <c r="O78" s="243">
        <f t="shared" si="7"/>
        <v>0</v>
      </c>
      <c r="P78" s="246"/>
      <c r="R78" s="53"/>
      <c r="S78" s="53"/>
      <c r="T78" s="53"/>
    </row>
    <row r="79" spans="1:20" ht="24" x14ac:dyDescent="0.25">
      <c r="A79" s="99">
        <v>2100</v>
      </c>
      <c r="B79" s="247" t="s">
        <v>97</v>
      </c>
      <c r="C79" s="100">
        <f t="shared" si="3"/>
        <v>168</v>
      </c>
      <c r="D79" s="112">
        <f>SUM(D80,D83)</f>
        <v>168</v>
      </c>
      <c r="E79" s="248">
        <f>SUM(E80,E83)</f>
        <v>0</v>
      </c>
      <c r="F79" s="249">
        <f t="shared" si="4"/>
        <v>168</v>
      </c>
      <c r="G79" s="112">
        <f>SUM(G80,G83)</f>
        <v>0</v>
      </c>
      <c r="H79" s="113">
        <f>SUM(H80,H83)</f>
        <v>0</v>
      </c>
      <c r="I79" s="114">
        <f t="shared" si="5"/>
        <v>0</v>
      </c>
      <c r="J79" s="112">
        <f>SUM(J80,J83)</f>
        <v>0</v>
      </c>
      <c r="K79" s="113">
        <f>SUM(K80,K83)</f>
        <v>0</v>
      </c>
      <c r="L79" s="114">
        <f t="shared" si="6"/>
        <v>0</v>
      </c>
      <c r="M79" s="292">
        <f>SUM(M80,M83)</f>
        <v>0</v>
      </c>
      <c r="N79" s="293">
        <f>SUM(N80,N83)</f>
        <v>0</v>
      </c>
      <c r="O79" s="114">
        <f t="shared" si="7"/>
        <v>0</v>
      </c>
      <c r="P79" s="109"/>
      <c r="R79" s="53"/>
      <c r="S79" s="53"/>
      <c r="T79" s="53"/>
    </row>
    <row r="80" spans="1:20" ht="24" x14ac:dyDescent="0.25">
      <c r="A80" s="294">
        <v>2110</v>
      </c>
      <c r="B80" s="116" t="s">
        <v>98</v>
      </c>
      <c r="C80" s="117">
        <f t="shared" si="3"/>
        <v>168</v>
      </c>
      <c r="D80" s="297">
        <f>SUM(D81:D82)</f>
        <v>168</v>
      </c>
      <c r="E80" s="298">
        <f>SUM(E81:E82)</f>
        <v>0</v>
      </c>
      <c r="F80" s="296">
        <f t="shared" si="4"/>
        <v>168</v>
      </c>
      <c r="G80" s="297">
        <f>SUM(G81:G82)</f>
        <v>0</v>
      </c>
      <c r="H80" s="299">
        <f>SUM(H81:H82)</f>
        <v>0</v>
      </c>
      <c r="I80" s="125">
        <f t="shared" si="5"/>
        <v>0</v>
      </c>
      <c r="J80" s="297">
        <f>SUM(J81:J82)</f>
        <v>0</v>
      </c>
      <c r="K80" s="299">
        <f>SUM(K81:K82)</f>
        <v>0</v>
      </c>
      <c r="L80" s="125">
        <f t="shared" si="6"/>
        <v>0</v>
      </c>
      <c r="M80" s="300">
        <f>SUM(M81:M82)</f>
        <v>0</v>
      </c>
      <c r="N80" s="301">
        <f>SUM(N81:N82)</f>
        <v>0</v>
      </c>
      <c r="O80" s="125">
        <f t="shared" si="7"/>
        <v>0</v>
      </c>
      <c r="P80" s="74"/>
      <c r="R80" s="53"/>
      <c r="S80" s="53"/>
      <c r="T80" s="53"/>
    </row>
    <row r="81" spans="1:20" hidden="1" x14ac:dyDescent="0.25">
      <c r="A81" s="76">
        <v>2111</v>
      </c>
      <c r="B81" s="127" t="s">
        <v>99</v>
      </c>
      <c r="C81" s="128">
        <f t="shared" si="3"/>
        <v>0</v>
      </c>
      <c r="D81" s="134"/>
      <c r="E81" s="285"/>
      <c r="F81" s="286">
        <f t="shared" si="4"/>
        <v>0</v>
      </c>
      <c r="G81" s="134"/>
      <c r="H81" s="135"/>
      <c r="I81" s="136">
        <f t="shared" si="5"/>
        <v>0</v>
      </c>
      <c r="J81" s="134"/>
      <c r="K81" s="135"/>
      <c r="L81" s="136">
        <f t="shared" si="6"/>
        <v>0</v>
      </c>
      <c r="M81" s="284"/>
      <c r="N81" s="285"/>
      <c r="O81" s="136">
        <f t="shared" si="7"/>
        <v>0</v>
      </c>
      <c r="P81" s="85"/>
      <c r="R81" s="53"/>
      <c r="S81" s="53"/>
      <c r="T81" s="53"/>
    </row>
    <row r="82" spans="1:20" ht="24" x14ac:dyDescent="0.25">
      <c r="A82" s="76">
        <v>2112</v>
      </c>
      <c r="B82" s="127" t="s">
        <v>100</v>
      </c>
      <c r="C82" s="128">
        <f t="shared" si="3"/>
        <v>168</v>
      </c>
      <c r="D82" s="134">
        <v>168</v>
      </c>
      <c r="E82" s="283"/>
      <c r="F82" s="279">
        <f t="shared" si="4"/>
        <v>168</v>
      </c>
      <c r="G82" s="134"/>
      <c r="H82" s="135"/>
      <c r="I82" s="136">
        <f t="shared" si="5"/>
        <v>0</v>
      </c>
      <c r="J82" s="134"/>
      <c r="K82" s="135"/>
      <c r="L82" s="136">
        <f t="shared" si="6"/>
        <v>0</v>
      </c>
      <c r="M82" s="284"/>
      <c r="N82" s="285"/>
      <c r="O82" s="136">
        <f t="shared" si="7"/>
        <v>0</v>
      </c>
      <c r="P82" s="85"/>
      <c r="R82" s="53"/>
      <c r="S82" s="53"/>
      <c r="T82" s="53"/>
    </row>
    <row r="83" spans="1:20" ht="24" hidden="1" x14ac:dyDescent="0.25">
      <c r="A83" s="276">
        <v>2120</v>
      </c>
      <c r="B83" s="127" t="s">
        <v>101</v>
      </c>
      <c r="C83" s="128">
        <f t="shared" si="3"/>
        <v>0</v>
      </c>
      <c r="D83" s="277">
        <f>SUM(D84:D85)</f>
        <v>0</v>
      </c>
      <c r="E83" s="282">
        <f>SUM(E84:E85)</f>
        <v>0</v>
      </c>
      <c r="F83" s="286">
        <f t="shared" si="4"/>
        <v>0</v>
      </c>
      <c r="G83" s="277">
        <f>SUM(G84:G85)</f>
        <v>0</v>
      </c>
      <c r="H83" s="280">
        <f>SUM(H84:H85)</f>
        <v>0</v>
      </c>
      <c r="I83" s="136">
        <f t="shared" si="5"/>
        <v>0</v>
      </c>
      <c r="J83" s="277">
        <f>SUM(J84:J85)</f>
        <v>0</v>
      </c>
      <c r="K83" s="280">
        <f>SUM(K84:K85)</f>
        <v>0</v>
      </c>
      <c r="L83" s="136">
        <f t="shared" si="6"/>
        <v>0</v>
      </c>
      <c r="M83" s="281">
        <f>SUM(M84:M85)</f>
        <v>0</v>
      </c>
      <c r="N83" s="282">
        <f>SUM(N84:N85)</f>
        <v>0</v>
      </c>
      <c r="O83" s="136">
        <f t="shared" si="7"/>
        <v>0</v>
      </c>
      <c r="P83" s="85"/>
      <c r="R83" s="53"/>
      <c r="S83" s="53"/>
      <c r="T83" s="53"/>
    </row>
    <row r="84" spans="1:20" hidden="1" x14ac:dyDescent="0.25">
      <c r="A84" s="76">
        <v>2121</v>
      </c>
      <c r="B84" s="127" t="s">
        <v>99</v>
      </c>
      <c r="C84" s="128">
        <f t="shared" si="3"/>
        <v>0</v>
      </c>
      <c r="D84" s="134"/>
      <c r="E84" s="285"/>
      <c r="F84" s="286">
        <f t="shared" si="4"/>
        <v>0</v>
      </c>
      <c r="G84" s="134"/>
      <c r="H84" s="135"/>
      <c r="I84" s="136">
        <f t="shared" si="5"/>
        <v>0</v>
      </c>
      <c r="J84" s="134"/>
      <c r="K84" s="135"/>
      <c r="L84" s="136">
        <f t="shared" si="6"/>
        <v>0</v>
      </c>
      <c r="M84" s="284"/>
      <c r="N84" s="285"/>
      <c r="O84" s="136">
        <f t="shared" si="7"/>
        <v>0</v>
      </c>
      <c r="P84" s="85"/>
      <c r="R84" s="53"/>
      <c r="S84" s="53"/>
      <c r="T84" s="53"/>
    </row>
    <row r="85" spans="1:20" ht="24" hidden="1" x14ac:dyDescent="0.25">
      <c r="A85" s="76">
        <v>2122</v>
      </c>
      <c r="B85" s="127" t="s">
        <v>100</v>
      </c>
      <c r="C85" s="128">
        <f t="shared" si="3"/>
        <v>0</v>
      </c>
      <c r="D85" s="134"/>
      <c r="E85" s="285"/>
      <c r="F85" s="286">
        <f t="shared" si="4"/>
        <v>0</v>
      </c>
      <c r="G85" s="134"/>
      <c r="H85" s="135"/>
      <c r="I85" s="136">
        <f t="shared" si="5"/>
        <v>0</v>
      </c>
      <c r="J85" s="134"/>
      <c r="K85" s="135"/>
      <c r="L85" s="136">
        <f t="shared" si="6"/>
        <v>0</v>
      </c>
      <c r="M85" s="284"/>
      <c r="N85" s="285"/>
      <c r="O85" s="136">
        <f t="shared" si="7"/>
        <v>0</v>
      </c>
      <c r="P85" s="85"/>
      <c r="R85" s="53"/>
      <c r="S85" s="53"/>
      <c r="T85" s="53"/>
    </row>
    <row r="86" spans="1:20" x14ac:dyDescent="0.25">
      <c r="A86" s="99">
        <v>2200</v>
      </c>
      <c r="B86" s="247" t="s">
        <v>102</v>
      </c>
      <c r="C86" s="302">
        <f t="shared" si="3"/>
        <v>55906</v>
      </c>
      <c r="D86" s="112">
        <f>SUM(D87,D92,D98,D106,D115,D119,D125,D131)</f>
        <v>54902</v>
      </c>
      <c r="E86" s="248">
        <f>SUM(E87,E92,E98,E106,E115,E119,E125,E131)</f>
        <v>0</v>
      </c>
      <c r="F86" s="249">
        <f t="shared" si="4"/>
        <v>54902</v>
      </c>
      <c r="G86" s="112">
        <f>SUM(G87,G92,G98,G106,G115,G119,G125,G131)</f>
        <v>0</v>
      </c>
      <c r="H86" s="113">
        <f>SUM(H87,H92,H98,H106,H115,H119,H125,H131)</f>
        <v>0</v>
      </c>
      <c r="I86" s="114">
        <f t="shared" si="5"/>
        <v>0</v>
      </c>
      <c r="J86" s="112">
        <f>SUM(J87,J92,J98,J106,J115,J119,J125,J131)</f>
        <v>1004</v>
      </c>
      <c r="K86" s="113">
        <f>SUM(K87,K92,K98,K106,K115,K119,K125,K131)</f>
        <v>0</v>
      </c>
      <c r="L86" s="114">
        <f t="shared" si="6"/>
        <v>1004</v>
      </c>
      <c r="M86" s="303">
        <f>SUM(M87,M92,M98,M106,M115,M119,M125,M131)</f>
        <v>0</v>
      </c>
      <c r="N86" s="304">
        <f>SUM(N87,N92,N98,N106,N115,N119,N125,N131)</f>
        <v>0</v>
      </c>
      <c r="O86" s="305">
        <f t="shared" si="7"/>
        <v>0</v>
      </c>
      <c r="P86" s="306"/>
      <c r="R86" s="53"/>
      <c r="S86" s="53"/>
      <c r="T86" s="53"/>
    </row>
    <row r="87" spans="1:20" ht="24" x14ac:dyDescent="0.25">
      <c r="A87" s="254">
        <v>2210</v>
      </c>
      <c r="B87" s="179" t="s">
        <v>103</v>
      </c>
      <c r="C87" s="191">
        <f t="shared" si="3"/>
        <v>801</v>
      </c>
      <c r="D87" s="255">
        <f>SUM(D88:D91)</f>
        <v>801</v>
      </c>
      <c r="E87" s="256">
        <f>SUM(E88:E91)</f>
        <v>0</v>
      </c>
      <c r="F87" s="257">
        <f t="shared" si="4"/>
        <v>801</v>
      </c>
      <c r="G87" s="255">
        <f>SUM(G88:G91)</f>
        <v>0</v>
      </c>
      <c r="H87" s="258">
        <f>SUM(H88:H91)</f>
        <v>0</v>
      </c>
      <c r="I87" s="259">
        <f t="shared" si="5"/>
        <v>0</v>
      </c>
      <c r="J87" s="255">
        <f>SUM(J88:J91)</f>
        <v>0</v>
      </c>
      <c r="K87" s="258">
        <f>SUM(K88:K91)</f>
        <v>0</v>
      </c>
      <c r="L87" s="259">
        <f t="shared" si="6"/>
        <v>0</v>
      </c>
      <c r="M87" s="260">
        <f>SUM(M88:M91)</f>
        <v>0</v>
      </c>
      <c r="N87" s="261">
        <f>SUM(N88:N91)</f>
        <v>0</v>
      </c>
      <c r="O87" s="259">
        <f t="shared" si="7"/>
        <v>0</v>
      </c>
      <c r="P87" s="189"/>
      <c r="R87" s="53"/>
      <c r="S87" s="53"/>
      <c r="T87" s="53"/>
    </row>
    <row r="88" spans="1:20" ht="24" hidden="1" x14ac:dyDescent="0.25">
      <c r="A88" s="66">
        <v>2211</v>
      </c>
      <c r="B88" s="116" t="s">
        <v>104</v>
      </c>
      <c r="C88" s="128">
        <f t="shared" si="3"/>
        <v>0</v>
      </c>
      <c r="D88" s="123"/>
      <c r="E88" s="262"/>
      <c r="F88" s="263">
        <f t="shared" si="4"/>
        <v>0</v>
      </c>
      <c r="G88" s="123"/>
      <c r="H88" s="124"/>
      <c r="I88" s="125">
        <f t="shared" si="5"/>
        <v>0</v>
      </c>
      <c r="J88" s="123"/>
      <c r="K88" s="124"/>
      <c r="L88" s="125">
        <f t="shared" si="6"/>
        <v>0</v>
      </c>
      <c r="M88" s="264"/>
      <c r="N88" s="262"/>
      <c r="O88" s="125">
        <f t="shared" si="7"/>
        <v>0</v>
      </c>
      <c r="P88" s="74"/>
      <c r="R88" s="53"/>
      <c r="S88" s="53"/>
      <c r="T88" s="53"/>
    </row>
    <row r="89" spans="1:20" ht="36" x14ac:dyDescent="0.25">
      <c r="A89" s="76">
        <v>2212</v>
      </c>
      <c r="B89" s="127" t="s">
        <v>105</v>
      </c>
      <c r="C89" s="128">
        <f t="shared" si="3"/>
        <v>718</v>
      </c>
      <c r="D89" s="134">
        <v>718</v>
      </c>
      <c r="E89" s="283"/>
      <c r="F89" s="279">
        <f t="shared" si="4"/>
        <v>718</v>
      </c>
      <c r="G89" s="134"/>
      <c r="H89" s="135"/>
      <c r="I89" s="136">
        <f t="shared" si="5"/>
        <v>0</v>
      </c>
      <c r="J89" s="134"/>
      <c r="K89" s="135"/>
      <c r="L89" s="136">
        <f t="shared" si="6"/>
        <v>0</v>
      </c>
      <c r="M89" s="284"/>
      <c r="N89" s="285"/>
      <c r="O89" s="136">
        <f t="shared" si="7"/>
        <v>0</v>
      </c>
      <c r="P89" s="85"/>
      <c r="R89" s="53"/>
      <c r="S89" s="53"/>
      <c r="T89" s="53"/>
    </row>
    <row r="90" spans="1:20" ht="24" x14ac:dyDescent="0.25">
      <c r="A90" s="76">
        <v>2214</v>
      </c>
      <c r="B90" s="127" t="s">
        <v>106</v>
      </c>
      <c r="C90" s="128">
        <f t="shared" si="3"/>
        <v>48</v>
      </c>
      <c r="D90" s="134">
        <v>48</v>
      </c>
      <c r="E90" s="283"/>
      <c r="F90" s="279">
        <f t="shared" si="4"/>
        <v>48</v>
      </c>
      <c r="G90" s="134"/>
      <c r="H90" s="135"/>
      <c r="I90" s="136">
        <f t="shared" si="5"/>
        <v>0</v>
      </c>
      <c r="J90" s="134"/>
      <c r="K90" s="135"/>
      <c r="L90" s="136">
        <f t="shared" si="6"/>
        <v>0</v>
      </c>
      <c r="M90" s="284"/>
      <c r="N90" s="285"/>
      <c r="O90" s="136">
        <f t="shared" si="7"/>
        <v>0</v>
      </c>
      <c r="P90" s="85"/>
      <c r="R90" s="53"/>
      <c r="S90" s="53"/>
      <c r="T90" s="53"/>
    </row>
    <row r="91" spans="1:20" x14ac:dyDescent="0.25">
      <c r="A91" s="76">
        <v>2219</v>
      </c>
      <c r="B91" s="127" t="s">
        <v>107</v>
      </c>
      <c r="C91" s="128">
        <f t="shared" si="3"/>
        <v>35</v>
      </c>
      <c r="D91" s="134">
        <v>35</v>
      </c>
      <c r="E91" s="283"/>
      <c r="F91" s="279">
        <f t="shared" si="4"/>
        <v>35</v>
      </c>
      <c r="G91" s="134"/>
      <c r="H91" s="135"/>
      <c r="I91" s="136">
        <f t="shared" si="5"/>
        <v>0</v>
      </c>
      <c r="J91" s="134"/>
      <c r="K91" s="135"/>
      <c r="L91" s="136">
        <f t="shared" si="6"/>
        <v>0</v>
      </c>
      <c r="M91" s="284"/>
      <c r="N91" s="285"/>
      <c r="O91" s="136">
        <f t="shared" si="7"/>
        <v>0</v>
      </c>
      <c r="P91" s="85"/>
      <c r="R91" s="53"/>
      <c r="S91" s="53"/>
      <c r="T91" s="53"/>
    </row>
    <row r="92" spans="1:20" ht="24" x14ac:dyDescent="0.25">
      <c r="A92" s="276">
        <v>2220</v>
      </c>
      <c r="B92" s="127" t="s">
        <v>108</v>
      </c>
      <c r="C92" s="128">
        <f t="shared" si="3"/>
        <v>49205</v>
      </c>
      <c r="D92" s="277">
        <f>SUM(D93:D97)</f>
        <v>49105</v>
      </c>
      <c r="E92" s="278">
        <f>SUM(E93:E97)</f>
        <v>0</v>
      </c>
      <c r="F92" s="279">
        <f t="shared" si="4"/>
        <v>49105</v>
      </c>
      <c r="G92" s="277">
        <f>SUM(G93:G97)</f>
        <v>0</v>
      </c>
      <c r="H92" s="280">
        <f>SUM(H93:H97)</f>
        <v>0</v>
      </c>
      <c r="I92" s="136">
        <f t="shared" si="5"/>
        <v>0</v>
      </c>
      <c r="J92" s="277">
        <f>SUM(J93:J97)</f>
        <v>100</v>
      </c>
      <c r="K92" s="280">
        <f>SUM(K93:K97)</f>
        <v>0</v>
      </c>
      <c r="L92" s="136">
        <f t="shared" si="6"/>
        <v>100</v>
      </c>
      <c r="M92" s="281">
        <f>SUM(M93:M97)</f>
        <v>0</v>
      </c>
      <c r="N92" s="282">
        <f>SUM(N93:N97)</f>
        <v>0</v>
      </c>
      <c r="O92" s="136">
        <f t="shared" si="7"/>
        <v>0</v>
      </c>
      <c r="P92" s="85"/>
      <c r="R92" s="53"/>
      <c r="S92" s="53"/>
      <c r="T92" s="53"/>
    </row>
    <row r="93" spans="1:20" x14ac:dyDescent="0.25">
      <c r="A93" s="76">
        <v>2221</v>
      </c>
      <c r="B93" s="127" t="s">
        <v>109</v>
      </c>
      <c r="C93" s="128">
        <f t="shared" si="3"/>
        <v>33496</v>
      </c>
      <c r="D93" s="134">
        <v>33496</v>
      </c>
      <c r="E93" s="283"/>
      <c r="F93" s="279">
        <f t="shared" si="4"/>
        <v>33496</v>
      </c>
      <c r="G93" s="134"/>
      <c r="H93" s="135"/>
      <c r="I93" s="136">
        <f t="shared" si="5"/>
        <v>0</v>
      </c>
      <c r="J93" s="134"/>
      <c r="K93" s="135"/>
      <c r="L93" s="136">
        <f t="shared" si="6"/>
        <v>0</v>
      </c>
      <c r="M93" s="284"/>
      <c r="N93" s="285"/>
      <c r="O93" s="136">
        <f t="shared" si="7"/>
        <v>0</v>
      </c>
      <c r="P93" s="85"/>
      <c r="R93" s="53"/>
      <c r="S93" s="53"/>
      <c r="T93" s="53"/>
    </row>
    <row r="94" spans="1:20" x14ac:dyDescent="0.25">
      <c r="A94" s="76">
        <v>2222</v>
      </c>
      <c r="B94" s="127" t="s">
        <v>110</v>
      </c>
      <c r="C94" s="128">
        <f t="shared" si="3"/>
        <v>7252</v>
      </c>
      <c r="D94" s="134">
        <v>7252</v>
      </c>
      <c r="E94" s="283"/>
      <c r="F94" s="279">
        <f t="shared" si="4"/>
        <v>7252</v>
      </c>
      <c r="G94" s="134"/>
      <c r="H94" s="135"/>
      <c r="I94" s="136">
        <f t="shared" si="5"/>
        <v>0</v>
      </c>
      <c r="J94" s="134"/>
      <c r="K94" s="135"/>
      <c r="L94" s="136">
        <f t="shared" si="6"/>
        <v>0</v>
      </c>
      <c r="M94" s="284"/>
      <c r="N94" s="285"/>
      <c r="O94" s="136">
        <f t="shared" si="7"/>
        <v>0</v>
      </c>
      <c r="P94" s="85"/>
      <c r="R94" s="53"/>
      <c r="S94" s="53"/>
      <c r="T94" s="53"/>
    </row>
    <row r="95" spans="1:20" x14ac:dyDescent="0.25">
      <c r="A95" s="76">
        <v>2223</v>
      </c>
      <c r="B95" s="127" t="s">
        <v>111</v>
      </c>
      <c r="C95" s="128">
        <f t="shared" si="3"/>
        <v>7751</v>
      </c>
      <c r="D95" s="134">
        <v>7651</v>
      </c>
      <c r="E95" s="283"/>
      <c r="F95" s="279">
        <f t="shared" si="4"/>
        <v>7651</v>
      </c>
      <c r="G95" s="134"/>
      <c r="H95" s="135"/>
      <c r="I95" s="136">
        <f t="shared" si="5"/>
        <v>0</v>
      </c>
      <c r="J95" s="134">
        <v>100</v>
      </c>
      <c r="K95" s="135"/>
      <c r="L95" s="136">
        <f t="shared" si="6"/>
        <v>100</v>
      </c>
      <c r="M95" s="284"/>
      <c r="N95" s="285"/>
      <c r="O95" s="136">
        <f t="shared" si="7"/>
        <v>0</v>
      </c>
      <c r="P95" s="85"/>
      <c r="R95" s="53"/>
      <c r="S95" s="53"/>
      <c r="T95" s="53"/>
    </row>
    <row r="96" spans="1:20" ht="48" x14ac:dyDescent="0.25">
      <c r="A96" s="76">
        <v>2224</v>
      </c>
      <c r="B96" s="127" t="s">
        <v>112</v>
      </c>
      <c r="C96" s="128">
        <f t="shared" si="3"/>
        <v>706</v>
      </c>
      <c r="D96" s="134">
        <v>706</v>
      </c>
      <c r="E96" s="283"/>
      <c r="F96" s="279">
        <f t="shared" si="4"/>
        <v>706</v>
      </c>
      <c r="G96" s="134"/>
      <c r="H96" s="135"/>
      <c r="I96" s="136">
        <f t="shared" si="5"/>
        <v>0</v>
      </c>
      <c r="J96" s="134"/>
      <c r="K96" s="135"/>
      <c r="L96" s="136">
        <f t="shared" si="6"/>
        <v>0</v>
      </c>
      <c r="M96" s="284"/>
      <c r="N96" s="285"/>
      <c r="O96" s="136">
        <f t="shared" si="7"/>
        <v>0</v>
      </c>
      <c r="P96" s="85"/>
      <c r="R96" s="53"/>
      <c r="S96" s="53"/>
      <c r="T96" s="53"/>
    </row>
    <row r="97" spans="1:20" ht="24" hidden="1" x14ac:dyDescent="0.25">
      <c r="A97" s="76">
        <v>2229</v>
      </c>
      <c r="B97" s="127" t="s">
        <v>113</v>
      </c>
      <c r="C97" s="128">
        <f t="shared" si="3"/>
        <v>0</v>
      </c>
      <c r="D97" s="134"/>
      <c r="E97" s="285"/>
      <c r="F97" s="286">
        <f t="shared" si="4"/>
        <v>0</v>
      </c>
      <c r="G97" s="134"/>
      <c r="H97" s="135"/>
      <c r="I97" s="136">
        <f t="shared" si="5"/>
        <v>0</v>
      </c>
      <c r="J97" s="134"/>
      <c r="K97" s="135"/>
      <c r="L97" s="136">
        <f t="shared" si="6"/>
        <v>0</v>
      </c>
      <c r="M97" s="284"/>
      <c r="N97" s="285"/>
      <c r="O97" s="136">
        <f t="shared" si="7"/>
        <v>0</v>
      </c>
      <c r="P97" s="85"/>
      <c r="R97" s="53"/>
      <c r="S97" s="53"/>
      <c r="T97" s="53"/>
    </row>
    <row r="98" spans="1:20" ht="36" x14ac:dyDescent="0.25">
      <c r="A98" s="276">
        <v>2230</v>
      </c>
      <c r="B98" s="127" t="s">
        <v>114</v>
      </c>
      <c r="C98" s="128">
        <f t="shared" si="3"/>
        <v>1227</v>
      </c>
      <c r="D98" s="277">
        <f>SUM(D99:D105)</f>
        <v>1227</v>
      </c>
      <c r="E98" s="278">
        <f>SUM(E99:E105)</f>
        <v>0</v>
      </c>
      <c r="F98" s="279">
        <f t="shared" si="4"/>
        <v>1227</v>
      </c>
      <c r="G98" s="277">
        <f>SUM(G99:G105)</f>
        <v>0</v>
      </c>
      <c r="H98" s="280">
        <f>SUM(H99:H105)</f>
        <v>0</v>
      </c>
      <c r="I98" s="136">
        <f t="shared" si="5"/>
        <v>0</v>
      </c>
      <c r="J98" s="277">
        <f>SUM(J99:J105)</f>
        <v>0</v>
      </c>
      <c r="K98" s="280">
        <f>SUM(K99:K105)</f>
        <v>0</v>
      </c>
      <c r="L98" s="136">
        <f t="shared" si="6"/>
        <v>0</v>
      </c>
      <c r="M98" s="281">
        <f>SUM(M99:M105)</f>
        <v>0</v>
      </c>
      <c r="N98" s="282">
        <f>SUM(N99:N105)</f>
        <v>0</v>
      </c>
      <c r="O98" s="136">
        <f t="shared" si="7"/>
        <v>0</v>
      </c>
      <c r="P98" s="85"/>
      <c r="R98" s="53"/>
      <c r="S98" s="53"/>
      <c r="T98" s="53"/>
    </row>
    <row r="99" spans="1:20" ht="24" hidden="1" x14ac:dyDescent="0.25">
      <c r="A99" s="76">
        <v>2231</v>
      </c>
      <c r="B99" s="127" t="s">
        <v>115</v>
      </c>
      <c r="C99" s="128">
        <f t="shared" si="3"/>
        <v>0</v>
      </c>
      <c r="D99" s="134"/>
      <c r="E99" s="285"/>
      <c r="F99" s="286">
        <f t="shared" si="4"/>
        <v>0</v>
      </c>
      <c r="G99" s="134"/>
      <c r="H99" s="135"/>
      <c r="I99" s="136">
        <f t="shared" si="5"/>
        <v>0</v>
      </c>
      <c r="J99" s="134"/>
      <c r="K99" s="135"/>
      <c r="L99" s="136">
        <f t="shared" si="6"/>
        <v>0</v>
      </c>
      <c r="M99" s="284"/>
      <c r="N99" s="285"/>
      <c r="O99" s="136">
        <f t="shared" si="7"/>
        <v>0</v>
      </c>
      <c r="P99" s="85"/>
      <c r="R99" s="53"/>
      <c r="S99" s="53"/>
      <c r="T99" s="53"/>
    </row>
    <row r="100" spans="1:20" ht="24" hidden="1" x14ac:dyDescent="0.25">
      <c r="A100" s="76">
        <v>2232</v>
      </c>
      <c r="B100" s="127" t="s">
        <v>116</v>
      </c>
      <c r="C100" s="128">
        <f t="shared" si="3"/>
        <v>0</v>
      </c>
      <c r="D100" s="134"/>
      <c r="E100" s="285"/>
      <c r="F100" s="286">
        <f t="shared" si="4"/>
        <v>0</v>
      </c>
      <c r="G100" s="134"/>
      <c r="H100" s="135"/>
      <c r="I100" s="136">
        <f t="shared" si="5"/>
        <v>0</v>
      </c>
      <c r="J100" s="134"/>
      <c r="K100" s="135"/>
      <c r="L100" s="136">
        <f t="shared" si="6"/>
        <v>0</v>
      </c>
      <c r="M100" s="284"/>
      <c r="N100" s="285"/>
      <c r="O100" s="136">
        <f t="shared" si="7"/>
        <v>0</v>
      </c>
      <c r="P100" s="85"/>
      <c r="R100" s="53"/>
      <c r="S100" s="53"/>
      <c r="T100" s="53"/>
    </row>
    <row r="101" spans="1:20" hidden="1" x14ac:dyDescent="0.25">
      <c r="A101" s="66">
        <v>2233</v>
      </c>
      <c r="B101" s="116" t="s">
        <v>117</v>
      </c>
      <c r="C101" s="128">
        <f t="shared" si="3"/>
        <v>0</v>
      </c>
      <c r="D101" s="123"/>
      <c r="E101" s="262"/>
      <c r="F101" s="263">
        <f t="shared" si="4"/>
        <v>0</v>
      </c>
      <c r="G101" s="123"/>
      <c r="H101" s="124"/>
      <c r="I101" s="125">
        <f t="shared" si="5"/>
        <v>0</v>
      </c>
      <c r="J101" s="123"/>
      <c r="K101" s="124"/>
      <c r="L101" s="125">
        <f t="shared" si="6"/>
        <v>0</v>
      </c>
      <c r="M101" s="264"/>
      <c r="N101" s="262"/>
      <c r="O101" s="125">
        <f t="shared" si="7"/>
        <v>0</v>
      </c>
      <c r="P101" s="74"/>
      <c r="R101" s="53"/>
      <c r="S101" s="53"/>
      <c r="T101" s="53"/>
    </row>
    <row r="102" spans="1:20" ht="36" hidden="1" x14ac:dyDescent="0.25">
      <c r="A102" s="76">
        <v>2234</v>
      </c>
      <c r="B102" s="127" t="s">
        <v>118</v>
      </c>
      <c r="C102" s="128">
        <f t="shared" si="3"/>
        <v>0</v>
      </c>
      <c r="D102" s="134"/>
      <c r="E102" s="285"/>
      <c r="F102" s="286">
        <f t="shared" si="4"/>
        <v>0</v>
      </c>
      <c r="G102" s="134"/>
      <c r="H102" s="135"/>
      <c r="I102" s="136">
        <f t="shared" si="5"/>
        <v>0</v>
      </c>
      <c r="J102" s="134"/>
      <c r="K102" s="135"/>
      <c r="L102" s="136">
        <f t="shared" si="6"/>
        <v>0</v>
      </c>
      <c r="M102" s="284"/>
      <c r="N102" s="285"/>
      <c r="O102" s="136">
        <f t="shared" si="7"/>
        <v>0</v>
      </c>
      <c r="P102" s="85"/>
      <c r="R102" s="53"/>
      <c r="S102" s="53"/>
      <c r="T102" s="53"/>
    </row>
    <row r="103" spans="1:20" ht="24" x14ac:dyDescent="0.25">
      <c r="A103" s="76">
        <v>2235</v>
      </c>
      <c r="B103" s="127" t="s">
        <v>119</v>
      </c>
      <c r="C103" s="128">
        <f t="shared" si="3"/>
        <v>180</v>
      </c>
      <c r="D103" s="134">
        <v>180</v>
      </c>
      <c r="E103" s="283"/>
      <c r="F103" s="279">
        <f t="shared" si="4"/>
        <v>180</v>
      </c>
      <c r="G103" s="134"/>
      <c r="H103" s="135"/>
      <c r="I103" s="136">
        <f t="shared" si="5"/>
        <v>0</v>
      </c>
      <c r="J103" s="134"/>
      <c r="K103" s="135"/>
      <c r="L103" s="136">
        <f t="shared" si="6"/>
        <v>0</v>
      </c>
      <c r="M103" s="284"/>
      <c r="N103" s="285"/>
      <c r="O103" s="136">
        <f t="shared" si="7"/>
        <v>0</v>
      </c>
      <c r="P103" s="85"/>
      <c r="R103" s="53"/>
      <c r="S103" s="53"/>
      <c r="T103" s="53"/>
    </row>
    <row r="104" spans="1:20" hidden="1" x14ac:dyDescent="0.25">
      <c r="A104" s="76">
        <v>2236</v>
      </c>
      <c r="B104" s="127" t="s">
        <v>120</v>
      </c>
      <c r="C104" s="128">
        <f t="shared" si="3"/>
        <v>0</v>
      </c>
      <c r="D104" s="134"/>
      <c r="E104" s="285"/>
      <c r="F104" s="286">
        <f t="shared" si="4"/>
        <v>0</v>
      </c>
      <c r="G104" s="134"/>
      <c r="H104" s="135"/>
      <c r="I104" s="136">
        <f t="shared" si="5"/>
        <v>0</v>
      </c>
      <c r="J104" s="134"/>
      <c r="K104" s="135"/>
      <c r="L104" s="136">
        <f t="shared" si="6"/>
        <v>0</v>
      </c>
      <c r="M104" s="284"/>
      <c r="N104" s="285"/>
      <c r="O104" s="136">
        <f t="shared" si="7"/>
        <v>0</v>
      </c>
      <c r="P104" s="85"/>
      <c r="R104" s="53"/>
      <c r="S104" s="53"/>
      <c r="T104" s="53"/>
    </row>
    <row r="105" spans="1:20" x14ac:dyDescent="0.25">
      <c r="A105" s="76">
        <v>2239</v>
      </c>
      <c r="B105" s="127" t="s">
        <v>121</v>
      </c>
      <c r="C105" s="128">
        <f t="shared" si="3"/>
        <v>1047</v>
      </c>
      <c r="D105" s="134">
        <v>1047</v>
      </c>
      <c r="E105" s="283"/>
      <c r="F105" s="279">
        <f t="shared" si="4"/>
        <v>1047</v>
      </c>
      <c r="G105" s="134"/>
      <c r="H105" s="135"/>
      <c r="I105" s="136">
        <f t="shared" si="5"/>
        <v>0</v>
      </c>
      <c r="J105" s="134"/>
      <c r="K105" s="135"/>
      <c r="L105" s="136">
        <f t="shared" si="6"/>
        <v>0</v>
      </c>
      <c r="M105" s="284"/>
      <c r="N105" s="285"/>
      <c r="O105" s="136">
        <f t="shared" si="7"/>
        <v>0</v>
      </c>
      <c r="P105" s="85"/>
      <c r="R105" s="53"/>
      <c r="S105" s="53"/>
      <c r="T105" s="53"/>
    </row>
    <row r="106" spans="1:20" ht="24" x14ac:dyDescent="0.25">
      <c r="A106" s="276">
        <v>2240</v>
      </c>
      <c r="B106" s="127" t="s">
        <v>122</v>
      </c>
      <c r="C106" s="128">
        <f t="shared" si="3"/>
        <v>3529</v>
      </c>
      <c r="D106" s="277">
        <f>SUM(D107:D114)</f>
        <v>3529</v>
      </c>
      <c r="E106" s="278">
        <f>SUM(E107:E114)</f>
        <v>0</v>
      </c>
      <c r="F106" s="279">
        <f t="shared" si="4"/>
        <v>3529</v>
      </c>
      <c r="G106" s="277">
        <f>SUM(G107:G114)</f>
        <v>0</v>
      </c>
      <c r="H106" s="280">
        <f>SUM(H107:H114)</f>
        <v>0</v>
      </c>
      <c r="I106" s="136">
        <f t="shared" si="5"/>
        <v>0</v>
      </c>
      <c r="J106" s="277">
        <f>SUM(J107:J114)</f>
        <v>0</v>
      </c>
      <c r="K106" s="280">
        <f>SUM(K107:K114)</f>
        <v>0</v>
      </c>
      <c r="L106" s="136">
        <f t="shared" si="6"/>
        <v>0</v>
      </c>
      <c r="M106" s="281">
        <f>SUM(M107:M114)</f>
        <v>0</v>
      </c>
      <c r="N106" s="282">
        <f>SUM(N107:N114)</f>
        <v>0</v>
      </c>
      <c r="O106" s="136">
        <f t="shared" si="7"/>
        <v>0</v>
      </c>
      <c r="P106" s="85"/>
      <c r="R106" s="53"/>
      <c r="S106" s="53"/>
      <c r="T106" s="53"/>
    </row>
    <row r="107" spans="1:20" hidden="1" x14ac:dyDescent="0.25">
      <c r="A107" s="76">
        <v>2241</v>
      </c>
      <c r="B107" s="127" t="s">
        <v>123</v>
      </c>
      <c r="C107" s="128">
        <f t="shared" si="3"/>
        <v>0</v>
      </c>
      <c r="D107" s="134"/>
      <c r="E107" s="285"/>
      <c r="F107" s="286">
        <f t="shared" si="4"/>
        <v>0</v>
      </c>
      <c r="G107" s="134"/>
      <c r="H107" s="135"/>
      <c r="I107" s="136">
        <f t="shared" si="5"/>
        <v>0</v>
      </c>
      <c r="J107" s="134"/>
      <c r="K107" s="135"/>
      <c r="L107" s="136">
        <f t="shared" si="6"/>
        <v>0</v>
      </c>
      <c r="M107" s="284"/>
      <c r="N107" s="285"/>
      <c r="O107" s="136">
        <f t="shared" si="7"/>
        <v>0</v>
      </c>
      <c r="P107" s="85"/>
      <c r="R107" s="53"/>
      <c r="S107" s="53"/>
      <c r="T107" s="53"/>
    </row>
    <row r="108" spans="1:20" ht="24" hidden="1" x14ac:dyDescent="0.25">
      <c r="A108" s="76">
        <v>2242</v>
      </c>
      <c r="B108" s="127" t="s">
        <v>124</v>
      </c>
      <c r="C108" s="128">
        <f t="shared" si="3"/>
        <v>0</v>
      </c>
      <c r="D108" s="134"/>
      <c r="E108" s="285"/>
      <c r="F108" s="286">
        <f t="shared" si="4"/>
        <v>0</v>
      </c>
      <c r="G108" s="134"/>
      <c r="H108" s="135"/>
      <c r="I108" s="136">
        <f t="shared" si="5"/>
        <v>0</v>
      </c>
      <c r="J108" s="134"/>
      <c r="K108" s="135"/>
      <c r="L108" s="136">
        <f t="shared" si="6"/>
        <v>0</v>
      </c>
      <c r="M108" s="284"/>
      <c r="N108" s="285"/>
      <c r="O108" s="136">
        <f t="shared" si="7"/>
        <v>0</v>
      </c>
      <c r="P108" s="85"/>
      <c r="R108" s="53"/>
      <c r="S108" s="53"/>
      <c r="T108" s="53"/>
    </row>
    <row r="109" spans="1:20" ht="24" x14ac:dyDescent="0.25">
      <c r="A109" s="76">
        <v>2243</v>
      </c>
      <c r="B109" s="127" t="s">
        <v>125</v>
      </c>
      <c r="C109" s="128">
        <f t="shared" si="3"/>
        <v>675</v>
      </c>
      <c r="D109" s="134">
        <v>475</v>
      </c>
      <c r="E109" s="283">
        <v>200</v>
      </c>
      <c r="F109" s="279">
        <f t="shared" si="4"/>
        <v>675</v>
      </c>
      <c r="G109" s="134"/>
      <c r="H109" s="135"/>
      <c r="I109" s="136">
        <f t="shared" si="5"/>
        <v>0</v>
      </c>
      <c r="J109" s="134"/>
      <c r="K109" s="135"/>
      <c r="L109" s="136">
        <f t="shared" si="6"/>
        <v>0</v>
      </c>
      <c r="M109" s="284"/>
      <c r="N109" s="285"/>
      <c r="O109" s="136">
        <f t="shared" si="7"/>
        <v>0</v>
      </c>
      <c r="P109" s="85" t="s">
        <v>499</v>
      </c>
      <c r="R109" s="53"/>
      <c r="S109" s="53"/>
      <c r="T109" s="53"/>
    </row>
    <row r="110" spans="1:20" x14ac:dyDescent="0.25">
      <c r="A110" s="265">
        <v>2244</v>
      </c>
      <c r="B110" s="266" t="s">
        <v>126</v>
      </c>
      <c r="C110" s="267">
        <f t="shared" si="3"/>
        <v>2854</v>
      </c>
      <c r="D110" s="268">
        <v>3054</v>
      </c>
      <c r="E110" s="269">
        <v>-200</v>
      </c>
      <c r="F110" s="270">
        <f t="shared" si="4"/>
        <v>2854</v>
      </c>
      <c r="G110" s="268"/>
      <c r="H110" s="271"/>
      <c r="I110" s="272">
        <f t="shared" si="5"/>
        <v>0</v>
      </c>
      <c r="J110" s="268"/>
      <c r="K110" s="271"/>
      <c r="L110" s="272">
        <f t="shared" si="6"/>
        <v>0</v>
      </c>
      <c r="M110" s="273"/>
      <c r="N110" s="274"/>
      <c r="O110" s="272">
        <f t="shared" si="7"/>
        <v>0</v>
      </c>
      <c r="P110" s="275"/>
      <c r="R110" s="53"/>
      <c r="S110" s="53"/>
      <c r="T110" s="53"/>
    </row>
    <row r="111" spans="1:20" ht="24" hidden="1" x14ac:dyDescent="0.25">
      <c r="A111" s="76">
        <v>2246</v>
      </c>
      <c r="B111" s="127" t="s">
        <v>127</v>
      </c>
      <c r="C111" s="128">
        <f t="shared" si="3"/>
        <v>0</v>
      </c>
      <c r="D111" s="134"/>
      <c r="E111" s="285"/>
      <c r="F111" s="286">
        <f t="shared" si="4"/>
        <v>0</v>
      </c>
      <c r="G111" s="134"/>
      <c r="H111" s="135"/>
      <c r="I111" s="136">
        <f t="shared" si="5"/>
        <v>0</v>
      </c>
      <c r="J111" s="134"/>
      <c r="K111" s="135"/>
      <c r="L111" s="136">
        <f t="shared" si="6"/>
        <v>0</v>
      </c>
      <c r="M111" s="284"/>
      <c r="N111" s="285"/>
      <c r="O111" s="136">
        <f t="shared" si="7"/>
        <v>0</v>
      </c>
      <c r="P111" s="85"/>
      <c r="R111" s="53"/>
      <c r="S111" s="53"/>
      <c r="T111" s="53"/>
    </row>
    <row r="112" spans="1:20" hidden="1" x14ac:dyDescent="0.25">
      <c r="A112" s="76">
        <v>2247</v>
      </c>
      <c r="B112" s="127" t="s">
        <v>128</v>
      </c>
      <c r="C112" s="128">
        <f t="shared" si="3"/>
        <v>0</v>
      </c>
      <c r="D112" s="134"/>
      <c r="E112" s="285"/>
      <c r="F112" s="286">
        <f t="shared" si="4"/>
        <v>0</v>
      </c>
      <c r="G112" s="134"/>
      <c r="H112" s="135"/>
      <c r="I112" s="136">
        <f t="shared" si="5"/>
        <v>0</v>
      </c>
      <c r="J112" s="134"/>
      <c r="K112" s="135"/>
      <c r="L112" s="136">
        <f t="shared" si="6"/>
        <v>0</v>
      </c>
      <c r="M112" s="284"/>
      <c r="N112" s="285"/>
      <c r="O112" s="136">
        <f t="shared" si="7"/>
        <v>0</v>
      </c>
      <c r="P112" s="85"/>
      <c r="R112" s="53"/>
      <c r="S112" s="53"/>
      <c r="T112" s="53"/>
    </row>
    <row r="113" spans="1:20" ht="24" hidden="1" x14ac:dyDescent="0.25">
      <c r="A113" s="76">
        <v>2248</v>
      </c>
      <c r="B113" s="127" t="s">
        <v>129</v>
      </c>
      <c r="C113" s="128">
        <f t="shared" si="3"/>
        <v>0</v>
      </c>
      <c r="D113" s="134"/>
      <c r="E113" s="285"/>
      <c r="F113" s="286">
        <f t="shared" si="4"/>
        <v>0</v>
      </c>
      <c r="G113" s="134"/>
      <c r="H113" s="135"/>
      <c r="I113" s="136">
        <f t="shared" si="5"/>
        <v>0</v>
      </c>
      <c r="J113" s="134"/>
      <c r="K113" s="135"/>
      <c r="L113" s="136">
        <f t="shared" si="6"/>
        <v>0</v>
      </c>
      <c r="M113" s="284"/>
      <c r="N113" s="285"/>
      <c r="O113" s="136">
        <f t="shared" si="7"/>
        <v>0</v>
      </c>
      <c r="P113" s="85"/>
      <c r="R113" s="53"/>
      <c r="S113" s="53"/>
      <c r="T113" s="53"/>
    </row>
    <row r="114" spans="1:20" ht="24" hidden="1" x14ac:dyDescent="0.25">
      <c r="A114" s="76">
        <v>2249</v>
      </c>
      <c r="B114" s="127" t="s">
        <v>130</v>
      </c>
      <c r="C114" s="128">
        <f t="shared" si="3"/>
        <v>0</v>
      </c>
      <c r="D114" s="134"/>
      <c r="E114" s="285"/>
      <c r="F114" s="286">
        <f t="shared" si="4"/>
        <v>0</v>
      </c>
      <c r="G114" s="134"/>
      <c r="H114" s="135"/>
      <c r="I114" s="136">
        <f t="shared" si="5"/>
        <v>0</v>
      </c>
      <c r="J114" s="134"/>
      <c r="K114" s="135"/>
      <c r="L114" s="136">
        <f t="shared" si="6"/>
        <v>0</v>
      </c>
      <c r="M114" s="284"/>
      <c r="N114" s="285"/>
      <c r="O114" s="136">
        <f t="shared" si="7"/>
        <v>0</v>
      </c>
      <c r="P114" s="85"/>
      <c r="R114" s="53"/>
      <c r="S114" s="53"/>
      <c r="T114" s="53"/>
    </row>
    <row r="115" spans="1:20" x14ac:dyDescent="0.25">
      <c r="A115" s="276">
        <v>2250</v>
      </c>
      <c r="B115" s="127" t="s">
        <v>131</v>
      </c>
      <c r="C115" s="128">
        <f t="shared" si="3"/>
        <v>205</v>
      </c>
      <c r="D115" s="277">
        <f>SUM(D116:D118)</f>
        <v>205</v>
      </c>
      <c r="E115" s="278">
        <f>SUM(E116:E118)</f>
        <v>0</v>
      </c>
      <c r="F115" s="279">
        <f t="shared" si="4"/>
        <v>205</v>
      </c>
      <c r="G115" s="277">
        <f>SUM(G116:G118)</f>
        <v>0</v>
      </c>
      <c r="H115" s="280">
        <f>SUM(H116:H118)</f>
        <v>0</v>
      </c>
      <c r="I115" s="136">
        <f t="shared" si="5"/>
        <v>0</v>
      </c>
      <c r="J115" s="277">
        <f>SUM(J116:J118)</f>
        <v>0</v>
      </c>
      <c r="K115" s="280">
        <f>SUM(K116:K118)</f>
        <v>0</v>
      </c>
      <c r="L115" s="136">
        <f t="shared" si="6"/>
        <v>0</v>
      </c>
      <c r="M115" s="281">
        <f>SUM(M116:M118)</f>
        <v>0</v>
      </c>
      <c r="N115" s="282">
        <f>SUM(N116:N118)</f>
        <v>0</v>
      </c>
      <c r="O115" s="136">
        <f t="shared" si="7"/>
        <v>0</v>
      </c>
      <c r="P115" s="85"/>
      <c r="R115" s="53"/>
      <c r="S115" s="53"/>
      <c r="T115" s="53"/>
    </row>
    <row r="116" spans="1:20" x14ac:dyDescent="0.25">
      <c r="A116" s="265">
        <v>2251</v>
      </c>
      <c r="B116" s="266" t="s">
        <v>132</v>
      </c>
      <c r="C116" s="267">
        <f t="shared" si="3"/>
        <v>155</v>
      </c>
      <c r="D116" s="268">
        <v>155</v>
      </c>
      <c r="E116" s="269"/>
      <c r="F116" s="270">
        <f t="shared" si="4"/>
        <v>155</v>
      </c>
      <c r="G116" s="268"/>
      <c r="H116" s="271"/>
      <c r="I116" s="272">
        <f t="shared" si="5"/>
        <v>0</v>
      </c>
      <c r="J116" s="268"/>
      <c r="K116" s="271"/>
      <c r="L116" s="272">
        <f t="shared" si="6"/>
        <v>0</v>
      </c>
      <c r="M116" s="273"/>
      <c r="N116" s="274"/>
      <c r="O116" s="272">
        <f t="shared" si="7"/>
        <v>0</v>
      </c>
      <c r="P116" s="275"/>
      <c r="R116" s="53"/>
      <c r="S116" s="53"/>
      <c r="T116" s="53"/>
    </row>
    <row r="117" spans="1:20" ht="24" hidden="1" x14ac:dyDescent="0.25">
      <c r="A117" s="76">
        <v>2252</v>
      </c>
      <c r="B117" s="127" t="s">
        <v>133</v>
      </c>
      <c r="C117" s="128">
        <f t="shared" ref="C117:C181" si="8">F117+I117+L117+O117</f>
        <v>0</v>
      </c>
      <c r="D117" s="134"/>
      <c r="E117" s="285"/>
      <c r="F117" s="286">
        <f t="shared" si="4"/>
        <v>0</v>
      </c>
      <c r="G117" s="134"/>
      <c r="H117" s="135"/>
      <c r="I117" s="136">
        <f t="shared" si="5"/>
        <v>0</v>
      </c>
      <c r="J117" s="134"/>
      <c r="K117" s="135"/>
      <c r="L117" s="136">
        <f t="shared" si="6"/>
        <v>0</v>
      </c>
      <c r="M117" s="284"/>
      <c r="N117" s="285"/>
      <c r="O117" s="136">
        <f t="shared" si="7"/>
        <v>0</v>
      </c>
      <c r="P117" s="85"/>
      <c r="R117" s="53"/>
      <c r="S117" s="53"/>
      <c r="T117" s="53"/>
    </row>
    <row r="118" spans="1:20" ht="24" x14ac:dyDescent="0.25">
      <c r="A118" s="76">
        <v>2259</v>
      </c>
      <c r="B118" s="127" t="s">
        <v>134</v>
      </c>
      <c r="C118" s="128">
        <f t="shared" si="8"/>
        <v>50</v>
      </c>
      <c r="D118" s="134">
        <v>50</v>
      </c>
      <c r="E118" s="283"/>
      <c r="F118" s="279">
        <f t="shared" ref="F118:F182" si="9">D118+E118</f>
        <v>50</v>
      </c>
      <c r="G118" s="134"/>
      <c r="H118" s="135"/>
      <c r="I118" s="136">
        <f t="shared" ref="I118:I182" si="10">G118+H118</f>
        <v>0</v>
      </c>
      <c r="J118" s="134"/>
      <c r="K118" s="135"/>
      <c r="L118" s="136">
        <f t="shared" ref="L118:L182" si="11">J118+K118</f>
        <v>0</v>
      </c>
      <c r="M118" s="284"/>
      <c r="N118" s="285"/>
      <c r="O118" s="136">
        <f t="shared" ref="O118:O182" si="12">M118+N118</f>
        <v>0</v>
      </c>
      <c r="P118" s="85"/>
      <c r="R118" s="53"/>
      <c r="S118" s="53"/>
      <c r="T118" s="53"/>
    </row>
    <row r="119" spans="1:20" x14ac:dyDescent="0.25">
      <c r="A119" s="276">
        <v>2260</v>
      </c>
      <c r="B119" s="127" t="s">
        <v>135</v>
      </c>
      <c r="C119" s="128">
        <f t="shared" si="8"/>
        <v>24</v>
      </c>
      <c r="D119" s="277">
        <f>SUM(D120:D124)</f>
        <v>24</v>
      </c>
      <c r="E119" s="278">
        <f>SUM(E120:E124)</f>
        <v>0</v>
      </c>
      <c r="F119" s="279">
        <f t="shared" si="9"/>
        <v>24</v>
      </c>
      <c r="G119" s="277">
        <f>SUM(G120:G124)</f>
        <v>0</v>
      </c>
      <c r="H119" s="280">
        <f>SUM(H120:H124)</f>
        <v>0</v>
      </c>
      <c r="I119" s="136">
        <f t="shared" si="10"/>
        <v>0</v>
      </c>
      <c r="J119" s="277">
        <f>SUM(J120:J124)</f>
        <v>0</v>
      </c>
      <c r="K119" s="280">
        <f>SUM(K120:K124)</f>
        <v>0</v>
      </c>
      <c r="L119" s="136">
        <f t="shared" si="11"/>
        <v>0</v>
      </c>
      <c r="M119" s="281">
        <f>SUM(M120:M124)</f>
        <v>0</v>
      </c>
      <c r="N119" s="282">
        <f>SUM(N120:N124)</f>
        <v>0</v>
      </c>
      <c r="O119" s="136">
        <f t="shared" si="12"/>
        <v>0</v>
      </c>
      <c r="P119" s="85"/>
      <c r="R119" s="53"/>
      <c r="S119" s="53"/>
      <c r="T119" s="53"/>
    </row>
    <row r="120" spans="1:20" hidden="1" x14ac:dyDescent="0.25">
      <c r="A120" s="76">
        <v>2261</v>
      </c>
      <c r="B120" s="127" t="s">
        <v>136</v>
      </c>
      <c r="C120" s="128">
        <f t="shared" si="8"/>
        <v>0</v>
      </c>
      <c r="D120" s="134"/>
      <c r="E120" s="285"/>
      <c r="F120" s="286">
        <f t="shared" si="9"/>
        <v>0</v>
      </c>
      <c r="G120" s="134"/>
      <c r="H120" s="135"/>
      <c r="I120" s="136">
        <f t="shared" si="10"/>
        <v>0</v>
      </c>
      <c r="J120" s="134"/>
      <c r="K120" s="135"/>
      <c r="L120" s="136">
        <f t="shared" si="11"/>
        <v>0</v>
      </c>
      <c r="M120" s="284"/>
      <c r="N120" s="285"/>
      <c r="O120" s="136">
        <f t="shared" si="12"/>
        <v>0</v>
      </c>
      <c r="P120" s="85"/>
      <c r="R120" s="53"/>
      <c r="S120" s="53"/>
      <c r="T120" s="53"/>
    </row>
    <row r="121" spans="1:20" hidden="1" x14ac:dyDescent="0.25">
      <c r="A121" s="76">
        <v>2262</v>
      </c>
      <c r="B121" s="127" t="s">
        <v>137</v>
      </c>
      <c r="C121" s="128">
        <f t="shared" si="8"/>
        <v>0</v>
      </c>
      <c r="D121" s="134"/>
      <c r="E121" s="285"/>
      <c r="F121" s="286">
        <f t="shared" si="9"/>
        <v>0</v>
      </c>
      <c r="G121" s="134"/>
      <c r="H121" s="135"/>
      <c r="I121" s="136">
        <f t="shared" si="10"/>
        <v>0</v>
      </c>
      <c r="J121" s="134"/>
      <c r="K121" s="135"/>
      <c r="L121" s="136">
        <f t="shared" si="11"/>
        <v>0</v>
      </c>
      <c r="M121" s="284"/>
      <c r="N121" s="285"/>
      <c r="O121" s="136">
        <f t="shared" si="12"/>
        <v>0</v>
      </c>
      <c r="P121" s="85"/>
      <c r="R121" s="53"/>
      <c r="S121" s="53"/>
      <c r="T121" s="53"/>
    </row>
    <row r="122" spans="1:20" hidden="1" x14ac:dyDescent="0.25">
      <c r="A122" s="76">
        <v>2263</v>
      </c>
      <c r="B122" s="127" t="s">
        <v>138</v>
      </c>
      <c r="C122" s="128">
        <f t="shared" si="8"/>
        <v>0</v>
      </c>
      <c r="D122" s="134"/>
      <c r="E122" s="285"/>
      <c r="F122" s="286">
        <f t="shared" si="9"/>
        <v>0</v>
      </c>
      <c r="G122" s="134"/>
      <c r="H122" s="135"/>
      <c r="I122" s="136">
        <f t="shared" si="10"/>
        <v>0</v>
      </c>
      <c r="J122" s="134"/>
      <c r="K122" s="135"/>
      <c r="L122" s="136">
        <f t="shared" si="11"/>
        <v>0</v>
      </c>
      <c r="M122" s="284"/>
      <c r="N122" s="285"/>
      <c r="O122" s="136">
        <f t="shared" si="12"/>
        <v>0</v>
      </c>
      <c r="P122" s="85"/>
      <c r="R122" s="53"/>
      <c r="S122" s="53"/>
      <c r="T122" s="53"/>
    </row>
    <row r="123" spans="1:20" ht="24" hidden="1" x14ac:dyDescent="0.25">
      <c r="A123" s="76">
        <v>2264</v>
      </c>
      <c r="B123" s="127" t="s">
        <v>139</v>
      </c>
      <c r="C123" s="128">
        <f t="shared" si="8"/>
        <v>0</v>
      </c>
      <c r="D123" s="134"/>
      <c r="E123" s="285"/>
      <c r="F123" s="286">
        <f t="shared" si="9"/>
        <v>0</v>
      </c>
      <c r="G123" s="134"/>
      <c r="H123" s="135"/>
      <c r="I123" s="136">
        <f t="shared" si="10"/>
        <v>0</v>
      </c>
      <c r="J123" s="134"/>
      <c r="K123" s="135"/>
      <c r="L123" s="136">
        <f t="shared" si="11"/>
        <v>0</v>
      </c>
      <c r="M123" s="284"/>
      <c r="N123" s="285"/>
      <c r="O123" s="136">
        <f t="shared" si="12"/>
        <v>0</v>
      </c>
      <c r="P123" s="85"/>
      <c r="R123" s="53"/>
      <c r="S123" s="53"/>
      <c r="T123" s="53"/>
    </row>
    <row r="124" spans="1:20" x14ac:dyDescent="0.25">
      <c r="A124" s="76">
        <v>2269</v>
      </c>
      <c r="B124" s="127" t="s">
        <v>140</v>
      </c>
      <c r="C124" s="128">
        <f t="shared" si="8"/>
        <v>24</v>
      </c>
      <c r="D124" s="134">
        <v>24</v>
      </c>
      <c r="E124" s="283"/>
      <c r="F124" s="279">
        <f t="shared" si="9"/>
        <v>24</v>
      </c>
      <c r="G124" s="134"/>
      <c r="H124" s="135"/>
      <c r="I124" s="136">
        <f t="shared" si="10"/>
        <v>0</v>
      </c>
      <c r="J124" s="134"/>
      <c r="K124" s="135"/>
      <c r="L124" s="136">
        <f t="shared" si="11"/>
        <v>0</v>
      </c>
      <c r="M124" s="284"/>
      <c r="N124" s="285"/>
      <c r="O124" s="136">
        <f t="shared" si="12"/>
        <v>0</v>
      </c>
      <c r="P124" s="85"/>
      <c r="R124" s="53"/>
      <c r="S124" s="53"/>
      <c r="T124" s="53"/>
    </row>
    <row r="125" spans="1:20" x14ac:dyDescent="0.25">
      <c r="A125" s="276">
        <v>2270</v>
      </c>
      <c r="B125" s="127" t="s">
        <v>141</v>
      </c>
      <c r="C125" s="128">
        <f t="shared" si="8"/>
        <v>915</v>
      </c>
      <c r="D125" s="277">
        <f>SUM(D126:D130)</f>
        <v>11</v>
      </c>
      <c r="E125" s="278">
        <f>SUM(E126:E130)</f>
        <v>0</v>
      </c>
      <c r="F125" s="279">
        <f t="shared" si="9"/>
        <v>11</v>
      </c>
      <c r="G125" s="277">
        <f>SUM(G126:G130)</f>
        <v>0</v>
      </c>
      <c r="H125" s="280">
        <f>SUM(H126:H130)</f>
        <v>0</v>
      </c>
      <c r="I125" s="136">
        <f t="shared" si="10"/>
        <v>0</v>
      </c>
      <c r="J125" s="277">
        <f>SUM(J126:J130)</f>
        <v>904</v>
      </c>
      <c r="K125" s="280">
        <f>SUM(K126:K130)</f>
        <v>0</v>
      </c>
      <c r="L125" s="136">
        <f t="shared" si="11"/>
        <v>904</v>
      </c>
      <c r="M125" s="281">
        <f>SUM(M126:M130)</f>
        <v>0</v>
      </c>
      <c r="N125" s="282">
        <f>SUM(N126:N130)</f>
        <v>0</v>
      </c>
      <c r="O125" s="136">
        <f t="shared" si="12"/>
        <v>0</v>
      </c>
      <c r="P125" s="85"/>
      <c r="R125" s="53"/>
      <c r="S125" s="53"/>
      <c r="T125" s="53"/>
    </row>
    <row r="126" spans="1:20" x14ac:dyDescent="0.25">
      <c r="A126" s="265">
        <v>2272</v>
      </c>
      <c r="B126" s="307" t="s">
        <v>142</v>
      </c>
      <c r="C126" s="267">
        <f t="shared" si="8"/>
        <v>11</v>
      </c>
      <c r="D126" s="268">
        <v>11</v>
      </c>
      <c r="E126" s="269"/>
      <c r="F126" s="270">
        <f t="shared" si="9"/>
        <v>11</v>
      </c>
      <c r="G126" s="268"/>
      <c r="H126" s="271"/>
      <c r="I126" s="272">
        <f t="shared" si="10"/>
        <v>0</v>
      </c>
      <c r="J126" s="268"/>
      <c r="K126" s="271"/>
      <c r="L126" s="272">
        <f t="shared" si="11"/>
        <v>0</v>
      </c>
      <c r="M126" s="273"/>
      <c r="N126" s="274"/>
      <c r="O126" s="272">
        <f t="shared" si="12"/>
        <v>0</v>
      </c>
      <c r="P126" s="275"/>
      <c r="R126" s="53"/>
      <c r="S126" s="53"/>
      <c r="T126" s="53"/>
    </row>
    <row r="127" spans="1:20" ht="24" hidden="1" x14ac:dyDescent="0.25">
      <c r="A127" s="76">
        <v>2275</v>
      </c>
      <c r="B127" s="127" t="s">
        <v>143</v>
      </c>
      <c r="C127" s="128">
        <f t="shared" si="8"/>
        <v>0</v>
      </c>
      <c r="D127" s="134"/>
      <c r="E127" s="285"/>
      <c r="F127" s="286">
        <f t="shared" si="9"/>
        <v>0</v>
      </c>
      <c r="G127" s="134"/>
      <c r="H127" s="135"/>
      <c r="I127" s="136">
        <f t="shared" si="10"/>
        <v>0</v>
      </c>
      <c r="J127" s="134"/>
      <c r="K127" s="135"/>
      <c r="L127" s="136">
        <f t="shared" si="11"/>
        <v>0</v>
      </c>
      <c r="M127" s="284"/>
      <c r="N127" s="285"/>
      <c r="O127" s="136">
        <f t="shared" si="12"/>
        <v>0</v>
      </c>
      <c r="P127" s="85"/>
      <c r="R127" s="53"/>
      <c r="S127" s="53"/>
      <c r="T127" s="53"/>
    </row>
    <row r="128" spans="1:20" ht="36" hidden="1" x14ac:dyDescent="0.25">
      <c r="A128" s="76">
        <v>2276</v>
      </c>
      <c r="B128" s="127" t="s">
        <v>144</v>
      </c>
      <c r="C128" s="128">
        <f t="shared" si="8"/>
        <v>0</v>
      </c>
      <c r="D128" s="134"/>
      <c r="E128" s="285"/>
      <c r="F128" s="286">
        <f t="shared" si="9"/>
        <v>0</v>
      </c>
      <c r="G128" s="134"/>
      <c r="H128" s="135"/>
      <c r="I128" s="136">
        <f t="shared" si="10"/>
        <v>0</v>
      </c>
      <c r="J128" s="134"/>
      <c r="K128" s="135"/>
      <c r="L128" s="136">
        <f t="shared" si="11"/>
        <v>0</v>
      </c>
      <c r="M128" s="284"/>
      <c r="N128" s="285"/>
      <c r="O128" s="136">
        <f t="shared" si="12"/>
        <v>0</v>
      </c>
      <c r="P128" s="85"/>
      <c r="R128" s="53"/>
      <c r="S128" s="53"/>
      <c r="T128" s="53"/>
    </row>
    <row r="129" spans="1:20" ht="24" hidden="1" x14ac:dyDescent="0.25">
      <c r="A129" s="76">
        <v>2278</v>
      </c>
      <c r="B129" s="127" t="s">
        <v>145</v>
      </c>
      <c r="C129" s="128">
        <f t="shared" si="8"/>
        <v>0</v>
      </c>
      <c r="D129" s="134"/>
      <c r="E129" s="285"/>
      <c r="F129" s="286">
        <f t="shared" si="9"/>
        <v>0</v>
      </c>
      <c r="G129" s="134"/>
      <c r="H129" s="135"/>
      <c r="I129" s="136">
        <f t="shared" si="10"/>
        <v>0</v>
      </c>
      <c r="J129" s="134"/>
      <c r="K129" s="135"/>
      <c r="L129" s="136">
        <f t="shared" si="11"/>
        <v>0</v>
      </c>
      <c r="M129" s="284"/>
      <c r="N129" s="285"/>
      <c r="O129" s="136">
        <f t="shared" si="12"/>
        <v>0</v>
      </c>
      <c r="P129" s="85"/>
      <c r="R129" s="53"/>
      <c r="S129" s="53"/>
      <c r="T129" s="53"/>
    </row>
    <row r="130" spans="1:20" ht="24" x14ac:dyDescent="0.25">
      <c r="A130" s="76">
        <v>2279</v>
      </c>
      <c r="B130" s="127" t="s">
        <v>146</v>
      </c>
      <c r="C130" s="128">
        <f t="shared" si="8"/>
        <v>904</v>
      </c>
      <c r="D130" s="134"/>
      <c r="E130" s="283"/>
      <c r="F130" s="279">
        <f t="shared" si="9"/>
        <v>0</v>
      </c>
      <c r="G130" s="134"/>
      <c r="H130" s="135"/>
      <c r="I130" s="136">
        <f t="shared" si="10"/>
        <v>0</v>
      </c>
      <c r="J130" s="134">
        <v>904</v>
      </c>
      <c r="K130" s="135"/>
      <c r="L130" s="136">
        <f t="shared" si="11"/>
        <v>904</v>
      </c>
      <c r="M130" s="284"/>
      <c r="N130" s="285"/>
      <c r="O130" s="136">
        <f t="shared" si="12"/>
        <v>0</v>
      </c>
      <c r="P130" s="85"/>
      <c r="R130" s="53"/>
      <c r="S130" s="53"/>
      <c r="T130" s="53"/>
    </row>
    <row r="131" spans="1:20" ht="24" hidden="1" x14ac:dyDescent="0.25">
      <c r="A131" s="294">
        <v>2280</v>
      </c>
      <c r="B131" s="116" t="s">
        <v>147</v>
      </c>
      <c r="C131" s="128">
        <f t="shared" si="8"/>
        <v>0</v>
      </c>
      <c r="D131" s="297">
        <f t="shared" ref="D131:N131" si="13">SUM(D132)</f>
        <v>0</v>
      </c>
      <c r="E131" s="301">
        <f t="shared" si="13"/>
        <v>0</v>
      </c>
      <c r="F131" s="263">
        <f t="shared" si="9"/>
        <v>0</v>
      </c>
      <c r="G131" s="297">
        <f>SUM(G132)</f>
        <v>0</v>
      </c>
      <c r="H131" s="299">
        <f t="shared" si="13"/>
        <v>0</v>
      </c>
      <c r="I131" s="125">
        <f t="shared" si="10"/>
        <v>0</v>
      </c>
      <c r="J131" s="297">
        <f>SUM(J132)</f>
        <v>0</v>
      </c>
      <c r="K131" s="299">
        <f t="shared" si="13"/>
        <v>0</v>
      </c>
      <c r="L131" s="125">
        <f t="shared" si="11"/>
        <v>0</v>
      </c>
      <c r="M131" s="281">
        <f t="shared" si="13"/>
        <v>0</v>
      </c>
      <c r="N131" s="282">
        <f t="shared" si="13"/>
        <v>0</v>
      </c>
      <c r="O131" s="136">
        <f t="shared" si="12"/>
        <v>0</v>
      </c>
      <c r="P131" s="85"/>
      <c r="R131" s="53"/>
      <c r="S131" s="53"/>
      <c r="T131" s="53"/>
    </row>
    <row r="132" spans="1:20" ht="24" hidden="1" x14ac:dyDescent="0.25">
      <c r="A132" s="76">
        <v>2283</v>
      </c>
      <c r="B132" s="127" t="s">
        <v>148</v>
      </c>
      <c r="C132" s="128">
        <f t="shared" si="8"/>
        <v>0</v>
      </c>
      <c r="D132" s="134"/>
      <c r="E132" s="285"/>
      <c r="F132" s="286">
        <f t="shared" si="9"/>
        <v>0</v>
      </c>
      <c r="G132" s="134"/>
      <c r="H132" s="135"/>
      <c r="I132" s="136">
        <f t="shared" si="10"/>
        <v>0</v>
      </c>
      <c r="J132" s="134"/>
      <c r="K132" s="135"/>
      <c r="L132" s="136">
        <f t="shared" si="11"/>
        <v>0</v>
      </c>
      <c r="M132" s="284"/>
      <c r="N132" s="285"/>
      <c r="O132" s="136">
        <f t="shared" si="12"/>
        <v>0</v>
      </c>
      <c r="P132" s="85"/>
      <c r="R132" s="53"/>
      <c r="S132" s="53"/>
      <c r="T132" s="53"/>
    </row>
    <row r="133" spans="1:20" ht="36" x14ac:dyDescent="0.25">
      <c r="A133" s="99">
        <v>2300</v>
      </c>
      <c r="B133" s="247" t="s">
        <v>149</v>
      </c>
      <c r="C133" s="100">
        <f t="shared" si="8"/>
        <v>23081</v>
      </c>
      <c r="D133" s="112">
        <f>SUM(D134,D139,D143,D144,D147,D154,D162,D163,D166)</f>
        <v>17658</v>
      </c>
      <c r="E133" s="248">
        <f>SUM(E134,E139,E143,E144,E147,E154,E162,E163,E166)</f>
        <v>0</v>
      </c>
      <c r="F133" s="249">
        <f t="shared" si="9"/>
        <v>17658</v>
      </c>
      <c r="G133" s="112">
        <f>SUM(G134,G139,G143,G144,G147,G154,G162,G163,G166)</f>
        <v>1100</v>
      </c>
      <c r="H133" s="113">
        <f>SUM(H134,H139,H143,H144,H147,H154,H162,H163,H166)</f>
        <v>0</v>
      </c>
      <c r="I133" s="114">
        <f t="shared" si="10"/>
        <v>1100</v>
      </c>
      <c r="J133" s="112">
        <f>SUM(J134,J139,J143,J144,J147,J154,J162,J163,J166)</f>
        <v>4323</v>
      </c>
      <c r="K133" s="113">
        <f>SUM(K134,K139,K143,K144,K147,K154,K162,K163,K166)</f>
        <v>0</v>
      </c>
      <c r="L133" s="114">
        <f t="shared" si="11"/>
        <v>4323</v>
      </c>
      <c r="M133" s="292">
        <f>SUM(M134,M139,M143,M144,M147,M154,M162,M163,M166)</f>
        <v>0</v>
      </c>
      <c r="N133" s="293">
        <f>SUM(N134,N139,N143,N144,N147,N154,N162,N163,N166)</f>
        <v>0</v>
      </c>
      <c r="O133" s="114">
        <f t="shared" si="12"/>
        <v>0</v>
      </c>
      <c r="P133" s="109"/>
      <c r="R133" s="53"/>
      <c r="S133" s="53"/>
      <c r="T133" s="53"/>
    </row>
    <row r="134" spans="1:20" ht="24" x14ac:dyDescent="0.25">
      <c r="A134" s="294">
        <v>2310</v>
      </c>
      <c r="B134" s="116" t="s">
        <v>150</v>
      </c>
      <c r="C134" s="117">
        <f t="shared" si="8"/>
        <v>10378</v>
      </c>
      <c r="D134" s="308">
        <f>SUM(D135:D138)</f>
        <v>10278</v>
      </c>
      <c r="E134" s="300">
        <f>SUM(E135:E138)</f>
        <v>0</v>
      </c>
      <c r="F134" s="296">
        <f t="shared" si="9"/>
        <v>10278</v>
      </c>
      <c r="G134" s="297">
        <f>SUM(G135:G138)</f>
        <v>0</v>
      </c>
      <c r="H134" s="299">
        <f>SUM(H135:H138)</f>
        <v>0</v>
      </c>
      <c r="I134" s="125">
        <f t="shared" si="10"/>
        <v>0</v>
      </c>
      <c r="J134" s="297">
        <f>SUM(J135:J138)</f>
        <v>100</v>
      </c>
      <c r="K134" s="299">
        <f>SUM(K135:K138)</f>
        <v>0</v>
      </c>
      <c r="L134" s="125">
        <f t="shared" si="11"/>
        <v>100</v>
      </c>
      <c r="M134" s="300">
        <f>SUM(M135:M138)</f>
        <v>0</v>
      </c>
      <c r="N134" s="301">
        <f>SUM(N135:N138)</f>
        <v>0</v>
      </c>
      <c r="O134" s="125">
        <f t="shared" si="12"/>
        <v>0</v>
      </c>
      <c r="P134" s="74"/>
      <c r="R134" s="53"/>
      <c r="S134" s="53"/>
      <c r="T134" s="53"/>
    </row>
    <row r="135" spans="1:20" x14ac:dyDescent="0.25">
      <c r="A135" s="76">
        <v>2311</v>
      </c>
      <c r="B135" s="127" t="s">
        <v>151</v>
      </c>
      <c r="C135" s="128">
        <f t="shared" si="8"/>
        <v>590</v>
      </c>
      <c r="D135" s="134">
        <v>590</v>
      </c>
      <c r="E135" s="283"/>
      <c r="F135" s="279">
        <f t="shared" si="9"/>
        <v>590</v>
      </c>
      <c r="G135" s="134"/>
      <c r="H135" s="135"/>
      <c r="I135" s="136">
        <f t="shared" si="10"/>
        <v>0</v>
      </c>
      <c r="J135" s="134"/>
      <c r="K135" s="135"/>
      <c r="L135" s="136">
        <f t="shared" si="11"/>
        <v>0</v>
      </c>
      <c r="M135" s="284"/>
      <c r="N135" s="285"/>
      <c r="O135" s="136">
        <f t="shared" si="12"/>
        <v>0</v>
      </c>
      <c r="P135" s="85"/>
      <c r="R135" s="53"/>
      <c r="S135" s="53"/>
      <c r="T135" s="53"/>
    </row>
    <row r="136" spans="1:20" x14ac:dyDescent="0.25">
      <c r="A136" s="76">
        <v>2312</v>
      </c>
      <c r="B136" s="127" t="s">
        <v>152</v>
      </c>
      <c r="C136" s="128">
        <f t="shared" si="8"/>
        <v>9558</v>
      </c>
      <c r="D136" s="134">
        <f>5958+3500</f>
        <v>9458</v>
      </c>
      <c r="E136" s="283"/>
      <c r="F136" s="279">
        <f t="shared" si="9"/>
        <v>9458</v>
      </c>
      <c r="G136" s="134"/>
      <c r="H136" s="135"/>
      <c r="I136" s="136">
        <f t="shared" si="10"/>
        <v>0</v>
      </c>
      <c r="J136" s="134">
        <v>100</v>
      </c>
      <c r="K136" s="135"/>
      <c r="L136" s="136">
        <f t="shared" si="11"/>
        <v>100</v>
      </c>
      <c r="M136" s="284"/>
      <c r="N136" s="285"/>
      <c r="O136" s="136">
        <f t="shared" si="12"/>
        <v>0</v>
      </c>
      <c r="P136" s="309"/>
      <c r="R136" s="53"/>
      <c r="S136" s="53"/>
      <c r="T136" s="53"/>
    </row>
    <row r="137" spans="1:20" x14ac:dyDescent="0.25">
      <c r="A137" s="76">
        <v>2313</v>
      </c>
      <c r="B137" s="127" t="s">
        <v>153</v>
      </c>
      <c r="C137" s="128">
        <f t="shared" si="8"/>
        <v>130</v>
      </c>
      <c r="D137" s="134">
        <f>330-200</f>
        <v>130</v>
      </c>
      <c r="E137" s="283"/>
      <c r="F137" s="279">
        <f t="shared" si="9"/>
        <v>130</v>
      </c>
      <c r="G137" s="134"/>
      <c r="H137" s="135"/>
      <c r="I137" s="136">
        <f t="shared" si="10"/>
        <v>0</v>
      </c>
      <c r="J137" s="134"/>
      <c r="K137" s="135"/>
      <c r="L137" s="136">
        <f t="shared" si="11"/>
        <v>0</v>
      </c>
      <c r="M137" s="284"/>
      <c r="N137" s="285"/>
      <c r="O137" s="136">
        <f t="shared" si="12"/>
        <v>0</v>
      </c>
      <c r="P137" s="85"/>
      <c r="R137" s="53"/>
      <c r="S137" s="53"/>
      <c r="T137" s="53"/>
    </row>
    <row r="138" spans="1:20" ht="26.25" customHeight="1" x14ac:dyDescent="0.25">
      <c r="A138" s="76">
        <v>2314</v>
      </c>
      <c r="B138" s="127" t="s">
        <v>154</v>
      </c>
      <c r="C138" s="128">
        <f t="shared" si="8"/>
        <v>100</v>
      </c>
      <c r="D138" s="134">
        <v>100</v>
      </c>
      <c r="E138" s="283"/>
      <c r="F138" s="279">
        <f t="shared" si="9"/>
        <v>100</v>
      </c>
      <c r="G138" s="134"/>
      <c r="H138" s="135"/>
      <c r="I138" s="136">
        <f t="shared" si="10"/>
        <v>0</v>
      </c>
      <c r="J138" s="134"/>
      <c r="K138" s="135"/>
      <c r="L138" s="136">
        <f t="shared" si="11"/>
        <v>0</v>
      </c>
      <c r="M138" s="284"/>
      <c r="N138" s="285"/>
      <c r="O138" s="136">
        <f t="shared" si="12"/>
        <v>0</v>
      </c>
      <c r="P138" s="85"/>
      <c r="R138" s="53"/>
      <c r="S138" s="53"/>
      <c r="T138" s="53"/>
    </row>
    <row r="139" spans="1:20" x14ac:dyDescent="0.25">
      <c r="A139" s="276">
        <v>2320</v>
      </c>
      <c r="B139" s="127" t="s">
        <v>155</v>
      </c>
      <c r="C139" s="128">
        <f t="shared" si="8"/>
        <v>55</v>
      </c>
      <c r="D139" s="277">
        <f>SUM(D140:D142)</f>
        <v>55</v>
      </c>
      <c r="E139" s="278">
        <f>SUM(E140:E142)</f>
        <v>0</v>
      </c>
      <c r="F139" s="279">
        <f t="shared" si="9"/>
        <v>55</v>
      </c>
      <c r="G139" s="277">
        <f>SUM(G140:G142)</f>
        <v>0</v>
      </c>
      <c r="H139" s="280">
        <f>SUM(H140:H142)</f>
        <v>0</v>
      </c>
      <c r="I139" s="136">
        <f t="shared" si="10"/>
        <v>0</v>
      </c>
      <c r="J139" s="277">
        <f>SUM(J140:J142)</f>
        <v>0</v>
      </c>
      <c r="K139" s="280">
        <f>SUM(K140:K142)</f>
        <v>0</v>
      </c>
      <c r="L139" s="136">
        <f t="shared" si="11"/>
        <v>0</v>
      </c>
      <c r="M139" s="281">
        <f>SUM(M140:M142)</f>
        <v>0</v>
      </c>
      <c r="N139" s="282">
        <f>SUM(N140:N142)</f>
        <v>0</v>
      </c>
      <c r="O139" s="136">
        <f t="shared" si="12"/>
        <v>0</v>
      </c>
      <c r="P139" s="85"/>
      <c r="R139" s="53"/>
      <c r="S139" s="53"/>
      <c r="T139" s="53"/>
    </row>
    <row r="140" spans="1:20" hidden="1" x14ac:dyDescent="0.25">
      <c r="A140" s="76">
        <v>2321</v>
      </c>
      <c r="B140" s="127" t="s">
        <v>156</v>
      </c>
      <c r="C140" s="128">
        <f t="shared" si="8"/>
        <v>0</v>
      </c>
      <c r="D140" s="134"/>
      <c r="E140" s="285"/>
      <c r="F140" s="286">
        <f t="shared" si="9"/>
        <v>0</v>
      </c>
      <c r="G140" s="134"/>
      <c r="H140" s="135"/>
      <c r="I140" s="136">
        <f t="shared" si="10"/>
        <v>0</v>
      </c>
      <c r="J140" s="134"/>
      <c r="K140" s="135"/>
      <c r="L140" s="136">
        <f t="shared" si="11"/>
        <v>0</v>
      </c>
      <c r="M140" s="284"/>
      <c r="N140" s="285"/>
      <c r="O140" s="136">
        <f t="shared" si="12"/>
        <v>0</v>
      </c>
      <c r="P140" s="85"/>
      <c r="R140" s="53"/>
      <c r="S140" s="53"/>
      <c r="T140" s="53"/>
    </row>
    <row r="141" spans="1:20" x14ac:dyDescent="0.25">
      <c r="A141" s="76">
        <v>2322</v>
      </c>
      <c r="B141" s="127" t="s">
        <v>157</v>
      </c>
      <c r="C141" s="128">
        <f t="shared" si="8"/>
        <v>55</v>
      </c>
      <c r="D141" s="134">
        <v>55</v>
      </c>
      <c r="E141" s="283"/>
      <c r="F141" s="279">
        <f t="shared" si="9"/>
        <v>55</v>
      </c>
      <c r="G141" s="134"/>
      <c r="H141" s="135"/>
      <c r="I141" s="136">
        <f t="shared" si="10"/>
        <v>0</v>
      </c>
      <c r="J141" s="134"/>
      <c r="K141" s="135"/>
      <c r="L141" s="136">
        <f t="shared" si="11"/>
        <v>0</v>
      </c>
      <c r="M141" s="284"/>
      <c r="N141" s="285"/>
      <c r="O141" s="136">
        <f t="shared" si="12"/>
        <v>0</v>
      </c>
      <c r="P141" s="85"/>
      <c r="R141" s="53"/>
      <c r="S141" s="53"/>
      <c r="T141" s="53"/>
    </row>
    <row r="142" spans="1:20" hidden="1" x14ac:dyDescent="0.25">
      <c r="A142" s="76">
        <v>2329</v>
      </c>
      <c r="B142" s="127" t="s">
        <v>158</v>
      </c>
      <c r="C142" s="128">
        <f t="shared" si="8"/>
        <v>0</v>
      </c>
      <c r="D142" s="134"/>
      <c r="E142" s="285"/>
      <c r="F142" s="286">
        <f t="shared" si="9"/>
        <v>0</v>
      </c>
      <c r="G142" s="134"/>
      <c r="H142" s="135"/>
      <c r="I142" s="136">
        <f t="shared" si="10"/>
        <v>0</v>
      </c>
      <c r="J142" s="134"/>
      <c r="K142" s="135"/>
      <c r="L142" s="136">
        <f t="shared" si="11"/>
        <v>0</v>
      </c>
      <c r="M142" s="284"/>
      <c r="N142" s="285"/>
      <c r="O142" s="136">
        <f t="shared" si="12"/>
        <v>0</v>
      </c>
      <c r="P142" s="85"/>
      <c r="R142" s="53"/>
      <c r="S142" s="53"/>
      <c r="T142" s="53"/>
    </row>
    <row r="143" spans="1:20" hidden="1" x14ac:dyDescent="0.25">
      <c r="A143" s="276">
        <v>2330</v>
      </c>
      <c r="B143" s="127" t="s">
        <v>159</v>
      </c>
      <c r="C143" s="128">
        <f t="shared" si="8"/>
        <v>0</v>
      </c>
      <c r="D143" s="134"/>
      <c r="E143" s="285"/>
      <c r="F143" s="286">
        <f t="shared" si="9"/>
        <v>0</v>
      </c>
      <c r="G143" s="134"/>
      <c r="H143" s="135"/>
      <c r="I143" s="136">
        <f t="shared" si="10"/>
        <v>0</v>
      </c>
      <c r="J143" s="134"/>
      <c r="K143" s="135"/>
      <c r="L143" s="136">
        <f t="shared" si="11"/>
        <v>0</v>
      </c>
      <c r="M143" s="284"/>
      <c r="N143" s="285"/>
      <c r="O143" s="136">
        <f t="shared" si="12"/>
        <v>0</v>
      </c>
      <c r="P143" s="85"/>
      <c r="R143" s="53"/>
      <c r="S143" s="53"/>
      <c r="T143" s="53"/>
    </row>
    <row r="144" spans="1:20" ht="36" customHeight="1" x14ac:dyDescent="0.25">
      <c r="A144" s="276">
        <v>2340</v>
      </c>
      <c r="B144" s="127" t="s">
        <v>160</v>
      </c>
      <c r="C144" s="128">
        <f t="shared" si="8"/>
        <v>300</v>
      </c>
      <c r="D144" s="277">
        <f>SUM(D145:D146)</f>
        <v>300</v>
      </c>
      <c r="E144" s="278">
        <f>SUM(E145:E146)</f>
        <v>0</v>
      </c>
      <c r="F144" s="279">
        <f t="shared" si="9"/>
        <v>300</v>
      </c>
      <c r="G144" s="277">
        <f>SUM(G145:G146)</f>
        <v>0</v>
      </c>
      <c r="H144" s="280">
        <f>SUM(H145:H146)</f>
        <v>0</v>
      </c>
      <c r="I144" s="136">
        <f t="shared" si="10"/>
        <v>0</v>
      </c>
      <c r="J144" s="277">
        <f>SUM(J145:J146)</f>
        <v>0</v>
      </c>
      <c r="K144" s="280">
        <f>SUM(K145:K146)</f>
        <v>0</v>
      </c>
      <c r="L144" s="136">
        <f t="shared" si="11"/>
        <v>0</v>
      </c>
      <c r="M144" s="281">
        <f>SUM(M145:M146)</f>
        <v>0</v>
      </c>
      <c r="N144" s="282">
        <f>SUM(N145:N146)</f>
        <v>0</v>
      </c>
      <c r="O144" s="136">
        <f t="shared" si="12"/>
        <v>0</v>
      </c>
      <c r="P144" s="85"/>
      <c r="R144" s="53"/>
      <c r="S144" s="53"/>
      <c r="T144" s="53"/>
    </row>
    <row r="145" spans="1:20" x14ac:dyDescent="0.25">
      <c r="A145" s="76">
        <v>2341</v>
      </c>
      <c r="B145" s="127" t="s">
        <v>161</v>
      </c>
      <c r="C145" s="128">
        <f t="shared" si="8"/>
        <v>300</v>
      </c>
      <c r="D145" s="134">
        <v>300</v>
      </c>
      <c r="E145" s="283"/>
      <c r="F145" s="279">
        <f t="shared" si="9"/>
        <v>300</v>
      </c>
      <c r="G145" s="134"/>
      <c r="H145" s="135"/>
      <c r="I145" s="136">
        <f t="shared" si="10"/>
        <v>0</v>
      </c>
      <c r="J145" s="134"/>
      <c r="K145" s="135"/>
      <c r="L145" s="136">
        <f t="shared" si="11"/>
        <v>0</v>
      </c>
      <c r="M145" s="284"/>
      <c r="N145" s="285"/>
      <c r="O145" s="136">
        <f t="shared" si="12"/>
        <v>0</v>
      </c>
      <c r="P145" s="85"/>
      <c r="R145" s="53"/>
      <c r="S145" s="53"/>
      <c r="T145" s="53"/>
    </row>
    <row r="146" spans="1:20" ht="24" hidden="1" x14ac:dyDescent="0.25">
      <c r="A146" s="76">
        <v>2344</v>
      </c>
      <c r="B146" s="127" t="s">
        <v>162</v>
      </c>
      <c r="C146" s="128">
        <f t="shared" si="8"/>
        <v>0</v>
      </c>
      <c r="D146" s="134"/>
      <c r="E146" s="285"/>
      <c r="F146" s="286">
        <f t="shared" si="9"/>
        <v>0</v>
      </c>
      <c r="G146" s="134"/>
      <c r="H146" s="135"/>
      <c r="I146" s="136">
        <f t="shared" si="10"/>
        <v>0</v>
      </c>
      <c r="J146" s="134"/>
      <c r="K146" s="135"/>
      <c r="L146" s="136">
        <f t="shared" si="11"/>
        <v>0</v>
      </c>
      <c r="M146" s="284"/>
      <c r="N146" s="285"/>
      <c r="O146" s="136">
        <f t="shared" si="12"/>
        <v>0</v>
      </c>
      <c r="P146" s="85"/>
      <c r="R146" s="53"/>
      <c r="S146" s="53"/>
      <c r="T146" s="53"/>
    </row>
    <row r="147" spans="1:20" ht="24" x14ac:dyDescent="0.25">
      <c r="A147" s="254">
        <v>2350</v>
      </c>
      <c r="B147" s="179" t="s">
        <v>163</v>
      </c>
      <c r="C147" s="128">
        <f t="shared" si="8"/>
        <v>3564</v>
      </c>
      <c r="D147" s="255">
        <f>SUM(D148:D153)</f>
        <v>3564</v>
      </c>
      <c r="E147" s="256">
        <f>SUM(E148:E153)</f>
        <v>0</v>
      </c>
      <c r="F147" s="257">
        <f t="shared" si="9"/>
        <v>3564</v>
      </c>
      <c r="G147" s="255">
        <f>SUM(G148:G153)</f>
        <v>0</v>
      </c>
      <c r="H147" s="258">
        <f>SUM(H148:H153)</f>
        <v>0</v>
      </c>
      <c r="I147" s="259">
        <f t="shared" si="10"/>
        <v>0</v>
      </c>
      <c r="J147" s="255">
        <f>SUM(J148:J153)</f>
        <v>0</v>
      </c>
      <c r="K147" s="258">
        <f>SUM(K148:K153)</f>
        <v>0</v>
      </c>
      <c r="L147" s="259">
        <f t="shared" si="11"/>
        <v>0</v>
      </c>
      <c r="M147" s="260">
        <f>SUM(M148:M153)</f>
        <v>0</v>
      </c>
      <c r="N147" s="261">
        <f>SUM(N148:N153)</f>
        <v>0</v>
      </c>
      <c r="O147" s="259">
        <f t="shared" si="12"/>
        <v>0</v>
      </c>
      <c r="P147" s="189"/>
      <c r="R147" s="53"/>
      <c r="S147" s="53"/>
      <c r="T147" s="53"/>
    </row>
    <row r="148" spans="1:20" x14ac:dyDescent="0.25">
      <c r="A148" s="66">
        <v>2351</v>
      </c>
      <c r="B148" s="116" t="s">
        <v>164</v>
      </c>
      <c r="C148" s="128">
        <f t="shared" si="8"/>
        <v>650</v>
      </c>
      <c r="D148" s="123">
        <f>450+200</f>
        <v>650</v>
      </c>
      <c r="E148" s="295"/>
      <c r="F148" s="296">
        <f t="shared" si="9"/>
        <v>650</v>
      </c>
      <c r="G148" s="123"/>
      <c r="H148" s="124"/>
      <c r="I148" s="125">
        <f t="shared" si="10"/>
        <v>0</v>
      </c>
      <c r="J148" s="123"/>
      <c r="K148" s="124"/>
      <c r="L148" s="125">
        <f t="shared" si="11"/>
        <v>0</v>
      </c>
      <c r="M148" s="264"/>
      <c r="N148" s="262"/>
      <c r="O148" s="125">
        <f t="shared" si="12"/>
        <v>0</v>
      </c>
      <c r="P148" s="74"/>
      <c r="R148" s="53"/>
      <c r="S148" s="53"/>
      <c r="T148" s="53"/>
    </row>
    <row r="149" spans="1:20" x14ac:dyDescent="0.25">
      <c r="A149" s="76">
        <v>2352</v>
      </c>
      <c r="B149" s="127" t="s">
        <v>165</v>
      </c>
      <c r="C149" s="128">
        <f t="shared" si="8"/>
        <v>2864</v>
      </c>
      <c r="D149" s="134">
        <v>2864</v>
      </c>
      <c r="E149" s="283"/>
      <c r="F149" s="279">
        <f t="shared" si="9"/>
        <v>2864</v>
      </c>
      <c r="G149" s="134"/>
      <c r="H149" s="135"/>
      <c r="I149" s="136">
        <f t="shared" si="10"/>
        <v>0</v>
      </c>
      <c r="J149" s="134"/>
      <c r="K149" s="135"/>
      <c r="L149" s="136">
        <f t="shared" si="11"/>
        <v>0</v>
      </c>
      <c r="M149" s="284"/>
      <c r="N149" s="285"/>
      <c r="O149" s="136">
        <f t="shared" si="12"/>
        <v>0</v>
      </c>
      <c r="P149" s="85"/>
      <c r="R149" s="53"/>
      <c r="S149" s="53"/>
      <c r="T149" s="53"/>
    </row>
    <row r="150" spans="1:20" ht="24" hidden="1" x14ac:dyDescent="0.25">
      <c r="A150" s="76">
        <v>2353</v>
      </c>
      <c r="B150" s="127" t="s">
        <v>166</v>
      </c>
      <c r="C150" s="128">
        <f t="shared" si="8"/>
        <v>0</v>
      </c>
      <c r="D150" s="134"/>
      <c r="E150" s="285"/>
      <c r="F150" s="286">
        <f t="shared" si="9"/>
        <v>0</v>
      </c>
      <c r="G150" s="134"/>
      <c r="H150" s="135"/>
      <c r="I150" s="136">
        <f t="shared" si="10"/>
        <v>0</v>
      </c>
      <c r="J150" s="134"/>
      <c r="K150" s="135"/>
      <c r="L150" s="136">
        <f t="shared" si="11"/>
        <v>0</v>
      </c>
      <c r="M150" s="284"/>
      <c r="N150" s="285"/>
      <c r="O150" s="136">
        <f t="shared" si="12"/>
        <v>0</v>
      </c>
      <c r="P150" s="85"/>
      <c r="R150" s="53"/>
      <c r="S150" s="53"/>
      <c r="T150" s="53"/>
    </row>
    <row r="151" spans="1:20" ht="24" hidden="1" x14ac:dyDescent="0.25">
      <c r="A151" s="76">
        <v>2354</v>
      </c>
      <c r="B151" s="127" t="s">
        <v>167</v>
      </c>
      <c r="C151" s="128">
        <f t="shared" si="8"/>
        <v>0</v>
      </c>
      <c r="D151" s="134"/>
      <c r="E151" s="285"/>
      <c r="F151" s="286">
        <f t="shared" si="9"/>
        <v>0</v>
      </c>
      <c r="G151" s="134"/>
      <c r="H151" s="135"/>
      <c r="I151" s="136">
        <f t="shared" si="10"/>
        <v>0</v>
      </c>
      <c r="J151" s="134"/>
      <c r="K151" s="135"/>
      <c r="L151" s="136">
        <f t="shared" si="11"/>
        <v>0</v>
      </c>
      <c r="M151" s="284"/>
      <c r="N151" s="285"/>
      <c r="O151" s="136">
        <f t="shared" si="12"/>
        <v>0</v>
      </c>
      <c r="P151" s="85"/>
      <c r="R151" s="53"/>
      <c r="S151" s="53"/>
      <c r="T151" s="53"/>
    </row>
    <row r="152" spans="1:20" ht="24" x14ac:dyDescent="0.25">
      <c r="A152" s="76">
        <v>2355</v>
      </c>
      <c r="B152" s="127" t="s">
        <v>168</v>
      </c>
      <c r="C152" s="128">
        <f t="shared" si="8"/>
        <v>50</v>
      </c>
      <c r="D152" s="134">
        <v>50</v>
      </c>
      <c r="E152" s="283"/>
      <c r="F152" s="279">
        <f t="shared" si="9"/>
        <v>50</v>
      </c>
      <c r="G152" s="134"/>
      <c r="H152" s="135"/>
      <c r="I152" s="136">
        <f t="shared" si="10"/>
        <v>0</v>
      </c>
      <c r="J152" s="134"/>
      <c r="K152" s="135"/>
      <c r="L152" s="136">
        <f t="shared" si="11"/>
        <v>0</v>
      </c>
      <c r="M152" s="284"/>
      <c r="N152" s="285"/>
      <c r="O152" s="136">
        <f t="shared" si="12"/>
        <v>0</v>
      </c>
      <c r="P152" s="85"/>
      <c r="R152" s="53"/>
      <c r="S152" s="53"/>
      <c r="T152" s="53"/>
    </row>
    <row r="153" spans="1:20" ht="24" hidden="1" x14ac:dyDescent="0.25">
      <c r="A153" s="76">
        <v>2359</v>
      </c>
      <c r="B153" s="127" t="s">
        <v>169</v>
      </c>
      <c r="C153" s="128">
        <f t="shared" si="8"/>
        <v>0</v>
      </c>
      <c r="D153" s="134"/>
      <c r="E153" s="285"/>
      <c r="F153" s="286">
        <f t="shared" si="9"/>
        <v>0</v>
      </c>
      <c r="G153" s="134"/>
      <c r="H153" s="135"/>
      <c r="I153" s="136">
        <f t="shared" si="10"/>
        <v>0</v>
      </c>
      <c r="J153" s="134"/>
      <c r="K153" s="135"/>
      <c r="L153" s="136">
        <f t="shared" si="11"/>
        <v>0</v>
      </c>
      <c r="M153" s="284"/>
      <c r="N153" s="285"/>
      <c r="O153" s="136">
        <f t="shared" si="12"/>
        <v>0</v>
      </c>
      <c r="P153" s="85"/>
      <c r="R153" s="53"/>
      <c r="S153" s="53"/>
      <c r="T153" s="53"/>
    </row>
    <row r="154" spans="1:20" ht="24" x14ac:dyDescent="0.25">
      <c r="A154" s="276">
        <v>2360</v>
      </c>
      <c r="B154" s="127" t="s">
        <v>170</v>
      </c>
      <c r="C154" s="128">
        <f t="shared" si="8"/>
        <v>6259</v>
      </c>
      <c r="D154" s="277">
        <f>SUM(D155:D161)</f>
        <v>2036</v>
      </c>
      <c r="E154" s="278">
        <f>SUM(E155:E161)</f>
        <v>0</v>
      </c>
      <c r="F154" s="279">
        <f t="shared" si="9"/>
        <v>2036</v>
      </c>
      <c r="G154" s="277">
        <f>SUM(G155:G161)</f>
        <v>0</v>
      </c>
      <c r="H154" s="280">
        <f>SUM(H155:H161)</f>
        <v>0</v>
      </c>
      <c r="I154" s="136">
        <f t="shared" si="10"/>
        <v>0</v>
      </c>
      <c r="J154" s="277">
        <f>SUM(J155:J161)</f>
        <v>4223</v>
      </c>
      <c r="K154" s="280">
        <f>SUM(K155:K161)</f>
        <v>0</v>
      </c>
      <c r="L154" s="136">
        <f t="shared" si="11"/>
        <v>4223</v>
      </c>
      <c r="M154" s="281">
        <f>SUM(M155:M161)</f>
        <v>0</v>
      </c>
      <c r="N154" s="282">
        <f>SUM(N155:N161)</f>
        <v>0</v>
      </c>
      <c r="O154" s="136">
        <f t="shared" si="12"/>
        <v>0</v>
      </c>
      <c r="P154" s="85"/>
      <c r="R154" s="53"/>
      <c r="S154" s="53"/>
      <c r="T154" s="53"/>
    </row>
    <row r="155" spans="1:20" x14ac:dyDescent="0.25">
      <c r="A155" s="75">
        <v>2361</v>
      </c>
      <c r="B155" s="127" t="s">
        <v>171</v>
      </c>
      <c r="C155" s="128">
        <f t="shared" si="8"/>
        <v>1586</v>
      </c>
      <c r="D155" s="134">
        <v>1586</v>
      </c>
      <c r="E155" s="283"/>
      <c r="F155" s="279">
        <f t="shared" si="9"/>
        <v>1586</v>
      </c>
      <c r="G155" s="134"/>
      <c r="H155" s="135"/>
      <c r="I155" s="136">
        <f t="shared" si="10"/>
        <v>0</v>
      </c>
      <c r="J155" s="134"/>
      <c r="K155" s="135"/>
      <c r="L155" s="136">
        <f t="shared" si="11"/>
        <v>0</v>
      </c>
      <c r="M155" s="284"/>
      <c r="N155" s="285"/>
      <c r="O155" s="136">
        <f t="shared" si="12"/>
        <v>0</v>
      </c>
      <c r="P155" s="85"/>
      <c r="R155" s="53"/>
      <c r="S155" s="53"/>
      <c r="T155" s="53"/>
    </row>
    <row r="156" spans="1:20" ht="24" x14ac:dyDescent="0.25">
      <c r="A156" s="75">
        <v>2362</v>
      </c>
      <c r="B156" s="127" t="s">
        <v>172</v>
      </c>
      <c r="C156" s="128">
        <f t="shared" si="8"/>
        <v>450</v>
      </c>
      <c r="D156" s="134">
        <v>450</v>
      </c>
      <c r="E156" s="283"/>
      <c r="F156" s="279">
        <f t="shared" si="9"/>
        <v>450</v>
      </c>
      <c r="G156" s="134"/>
      <c r="H156" s="135"/>
      <c r="I156" s="136">
        <f t="shared" si="10"/>
        <v>0</v>
      </c>
      <c r="J156" s="134"/>
      <c r="K156" s="135"/>
      <c r="L156" s="136">
        <f t="shared" si="11"/>
        <v>0</v>
      </c>
      <c r="M156" s="284"/>
      <c r="N156" s="285"/>
      <c r="O156" s="136">
        <f t="shared" si="12"/>
        <v>0</v>
      </c>
      <c r="P156" s="85"/>
      <c r="R156" s="53"/>
      <c r="S156" s="53"/>
      <c r="T156" s="53"/>
    </row>
    <row r="157" spans="1:20" x14ac:dyDescent="0.25">
      <c r="A157" s="75">
        <v>2363</v>
      </c>
      <c r="B157" s="127" t="s">
        <v>173</v>
      </c>
      <c r="C157" s="128">
        <f t="shared" si="8"/>
        <v>4223</v>
      </c>
      <c r="D157" s="134"/>
      <c r="E157" s="283"/>
      <c r="F157" s="279">
        <f t="shared" si="9"/>
        <v>0</v>
      </c>
      <c r="G157" s="134"/>
      <c r="H157" s="135"/>
      <c r="I157" s="136">
        <f t="shared" si="10"/>
        <v>0</v>
      </c>
      <c r="J157" s="134">
        <v>4223</v>
      </c>
      <c r="K157" s="135"/>
      <c r="L157" s="136">
        <f t="shared" si="11"/>
        <v>4223</v>
      </c>
      <c r="M157" s="284"/>
      <c r="N157" s="285"/>
      <c r="O157" s="136">
        <f t="shared" si="12"/>
        <v>0</v>
      </c>
      <c r="P157" s="85"/>
      <c r="R157" s="53"/>
      <c r="S157" s="53"/>
      <c r="T157" s="53"/>
    </row>
    <row r="158" spans="1:20" hidden="1" x14ac:dyDescent="0.25">
      <c r="A158" s="75">
        <v>2364</v>
      </c>
      <c r="B158" s="127" t="s">
        <v>174</v>
      </c>
      <c r="C158" s="128">
        <f t="shared" si="8"/>
        <v>0</v>
      </c>
      <c r="D158" s="134"/>
      <c r="E158" s="285"/>
      <c r="F158" s="286">
        <f t="shared" si="9"/>
        <v>0</v>
      </c>
      <c r="G158" s="134"/>
      <c r="H158" s="135"/>
      <c r="I158" s="136">
        <f t="shared" si="10"/>
        <v>0</v>
      </c>
      <c r="J158" s="134"/>
      <c r="K158" s="135"/>
      <c r="L158" s="136">
        <f t="shared" si="11"/>
        <v>0</v>
      </c>
      <c r="M158" s="284"/>
      <c r="N158" s="285"/>
      <c r="O158" s="136">
        <f t="shared" si="12"/>
        <v>0</v>
      </c>
      <c r="P158" s="85"/>
      <c r="R158" s="53"/>
      <c r="S158" s="53"/>
      <c r="T158" s="53"/>
    </row>
    <row r="159" spans="1:20" hidden="1" x14ac:dyDescent="0.25">
      <c r="A159" s="75">
        <v>2365</v>
      </c>
      <c r="B159" s="127" t="s">
        <v>175</v>
      </c>
      <c r="C159" s="128">
        <f t="shared" si="8"/>
        <v>0</v>
      </c>
      <c r="D159" s="134"/>
      <c r="E159" s="285"/>
      <c r="F159" s="286">
        <f t="shared" si="9"/>
        <v>0</v>
      </c>
      <c r="G159" s="134"/>
      <c r="H159" s="135"/>
      <c r="I159" s="136">
        <f t="shared" si="10"/>
        <v>0</v>
      </c>
      <c r="J159" s="134"/>
      <c r="K159" s="135"/>
      <c r="L159" s="136">
        <f t="shared" si="11"/>
        <v>0</v>
      </c>
      <c r="M159" s="284"/>
      <c r="N159" s="285"/>
      <c r="O159" s="136">
        <f t="shared" si="12"/>
        <v>0</v>
      </c>
      <c r="P159" s="85"/>
      <c r="R159" s="53"/>
      <c r="S159" s="53"/>
      <c r="T159" s="53"/>
    </row>
    <row r="160" spans="1:20" ht="36" hidden="1" x14ac:dyDescent="0.25">
      <c r="A160" s="75">
        <v>2366</v>
      </c>
      <c r="B160" s="127" t="s">
        <v>176</v>
      </c>
      <c r="C160" s="128">
        <f t="shared" si="8"/>
        <v>0</v>
      </c>
      <c r="D160" s="134"/>
      <c r="E160" s="285"/>
      <c r="F160" s="286">
        <f t="shared" si="9"/>
        <v>0</v>
      </c>
      <c r="G160" s="134"/>
      <c r="H160" s="135"/>
      <c r="I160" s="136">
        <f t="shared" si="10"/>
        <v>0</v>
      </c>
      <c r="J160" s="134"/>
      <c r="K160" s="135"/>
      <c r="L160" s="136">
        <f t="shared" si="11"/>
        <v>0</v>
      </c>
      <c r="M160" s="284"/>
      <c r="N160" s="285"/>
      <c r="O160" s="136">
        <f t="shared" si="12"/>
        <v>0</v>
      </c>
      <c r="P160" s="85"/>
      <c r="R160" s="53"/>
      <c r="S160" s="53"/>
      <c r="T160" s="53"/>
    </row>
    <row r="161" spans="1:20" ht="48" hidden="1" x14ac:dyDescent="0.25">
      <c r="A161" s="75">
        <v>2369</v>
      </c>
      <c r="B161" s="127" t="s">
        <v>177</v>
      </c>
      <c r="C161" s="128">
        <f t="shared" si="8"/>
        <v>0</v>
      </c>
      <c r="D161" s="134"/>
      <c r="E161" s="285"/>
      <c r="F161" s="286">
        <f t="shared" si="9"/>
        <v>0</v>
      </c>
      <c r="G161" s="134"/>
      <c r="H161" s="135"/>
      <c r="I161" s="136">
        <f t="shared" si="10"/>
        <v>0</v>
      </c>
      <c r="J161" s="134"/>
      <c r="K161" s="135"/>
      <c r="L161" s="136">
        <f t="shared" si="11"/>
        <v>0</v>
      </c>
      <c r="M161" s="284"/>
      <c r="N161" s="285"/>
      <c r="O161" s="136">
        <f t="shared" si="12"/>
        <v>0</v>
      </c>
      <c r="P161" s="85"/>
      <c r="R161" s="53"/>
      <c r="S161" s="53"/>
      <c r="T161" s="53"/>
    </row>
    <row r="162" spans="1:20" x14ac:dyDescent="0.25">
      <c r="A162" s="254">
        <v>2370</v>
      </c>
      <c r="B162" s="179" t="s">
        <v>178</v>
      </c>
      <c r="C162" s="128">
        <f t="shared" si="8"/>
        <v>2525</v>
      </c>
      <c r="D162" s="287">
        <v>1425</v>
      </c>
      <c r="E162" s="288"/>
      <c r="F162" s="257">
        <f t="shared" si="9"/>
        <v>1425</v>
      </c>
      <c r="G162" s="287">
        <v>1100</v>
      </c>
      <c r="H162" s="289"/>
      <c r="I162" s="259">
        <f t="shared" si="10"/>
        <v>1100</v>
      </c>
      <c r="J162" s="287"/>
      <c r="K162" s="289"/>
      <c r="L162" s="259">
        <f t="shared" si="11"/>
        <v>0</v>
      </c>
      <c r="M162" s="290"/>
      <c r="N162" s="291"/>
      <c r="O162" s="286">
        <f t="shared" si="12"/>
        <v>0</v>
      </c>
      <c r="P162" s="189"/>
      <c r="R162" s="53"/>
      <c r="S162" s="53"/>
      <c r="T162" s="53"/>
    </row>
    <row r="163" spans="1:20" hidden="1" x14ac:dyDescent="0.25">
      <c r="A163" s="254">
        <v>2380</v>
      </c>
      <c r="B163" s="179" t="s">
        <v>179</v>
      </c>
      <c r="C163" s="128">
        <f t="shared" si="8"/>
        <v>0</v>
      </c>
      <c r="D163" s="255">
        <f>SUM(D164:D165)</f>
        <v>0</v>
      </c>
      <c r="E163" s="261">
        <f>SUM(E164:E165)</f>
        <v>0</v>
      </c>
      <c r="F163" s="310">
        <f t="shared" si="9"/>
        <v>0</v>
      </c>
      <c r="G163" s="255">
        <f>SUM(G164:G165)</f>
        <v>0</v>
      </c>
      <c r="H163" s="258">
        <f>SUM(H164:H165)</f>
        <v>0</v>
      </c>
      <c r="I163" s="259">
        <f t="shared" si="10"/>
        <v>0</v>
      </c>
      <c r="J163" s="255">
        <f>SUM(J164:J165)</f>
        <v>0</v>
      </c>
      <c r="K163" s="258">
        <f>SUM(K164:K165)</f>
        <v>0</v>
      </c>
      <c r="L163" s="259">
        <f t="shared" si="11"/>
        <v>0</v>
      </c>
      <c r="M163" s="260">
        <f>SUM(M164:M165)</f>
        <v>0</v>
      </c>
      <c r="N163" s="261">
        <f>SUM(N164:N165)</f>
        <v>0</v>
      </c>
      <c r="O163" s="259">
        <f t="shared" si="12"/>
        <v>0</v>
      </c>
      <c r="P163" s="189"/>
      <c r="R163" s="53"/>
      <c r="S163" s="53"/>
      <c r="T163" s="53"/>
    </row>
    <row r="164" spans="1:20" hidden="1" x14ac:dyDescent="0.25">
      <c r="A164" s="65">
        <v>2381</v>
      </c>
      <c r="B164" s="116" t="s">
        <v>180</v>
      </c>
      <c r="C164" s="128">
        <f t="shared" si="8"/>
        <v>0</v>
      </c>
      <c r="D164" s="123"/>
      <c r="E164" s="262"/>
      <c r="F164" s="263">
        <f t="shared" si="9"/>
        <v>0</v>
      </c>
      <c r="G164" s="123"/>
      <c r="H164" s="124"/>
      <c r="I164" s="125">
        <f t="shared" si="10"/>
        <v>0</v>
      </c>
      <c r="J164" s="123"/>
      <c r="K164" s="124"/>
      <c r="L164" s="125">
        <f t="shared" si="11"/>
        <v>0</v>
      </c>
      <c r="M164" s="264"/>
      <c r="N164" s="262"/>
      <c r="O164" s="125">
        <f t="shared" si="12"/>
        <v>0</v>
      </c>
      <c r="P164" s="74"/>
      <c r="R164" s="53"/>
      <c r="S164" s="53"/>
      <c r="T164" s="53"/>
    </row>
    <row r="165" spans="1:20" ht="24" hidden="1" x14ac:dyDescent="0.25">
      <c r="A165" s="75">
        <v>2389</v>
      </c>
      <c r="B165" s="127" t="s">
        <v>181</v>
      </c>
      <c r="C165" s="128">
        <f t="shared" si="8"/>
        <v>0</v>
      </c>
      <c r="D165" s="134"/>
      <c r="E165" s="285"/>
      <c r="F165" s="286">
        <f t="shared" si="9"/>
        <v>0</v>
      </c>
      <c r="G165" s="134"/>
      <c r="H165" s="135"/>
      <c r="I165" s="136">
        <f t="shared" si="10"/>
        <v>0</v>
      </c>
      <c r="J165" s="134"/>
      <c r="K165" s="135"/>
      <c r="L165" s="136">
        <f t="shared" si="11"/>
        <v>0</v>
      </c>
      <c r="M165" s="284"/>
      <c r="N165" s="285"/>
      <c r="O165" s="136">
        <f t="shared" si="12"/>
        <v>0</v>
      </c>
      <c r="P165" s="85"/>
      <c r="R165" s="53"/>
      <c r="S165" s="53"/>
      <c r="T165" s="53"/>
    </row>
    <row r="166" spans="1:20" hidden="1" x14ac:dyDescent="0.25">
      <c r="A166" s="254">
        <v>2390</v>
      </c>
      <c r="B166" s="179" t="s">
        <v>182</v>
      </c>
      <c r="C166" s="128">
        <f t="shared" si="8"/>
        <v>0</v>
      </c>
      <c r="D166" s="287"/>
      <c r="E166" s="291"/>
      <c r="F166" s="310">
        <f t="shared" si="9"/>
        <v>0</v>
      </c>
      <c r="G166" s="287"/>
      <c r="H166" s="289"/>
      <c r="I166" s="259">
        <f t="shared" si="10"/>
        <v>0</v>
      </c>
      <c r="J166" s="287"/>
      <c r="K166" s="289"/>
      <c r="L166" s="259">
        <f t="shared" si="11"/>
        <v>0</v>
      </c>
      <c r="M166" s="290"/>
      <c r="N166" s="291"/>
      <c r="O166" s="259">
        <f t="shared" si="12"/>
        <v>0</v>
      </c>
      <c r="P166" s="189"/>
      <c r="R166" s="53"/>
      <c r="S166" s="53"/>
      <c r="T166" s="53"/>
    </row>
    <row r="167" spans="1:20" hidden="1" x14ac:dyDescent="0.25">
      <c r="A167" s="99">
        <v>2400</v>
      </c>
      <c r="B167" s="247" t="s">
        <v>183</v>
      </c>
      <c r="C167" s="100">
        <f t="shared" si="8"/>
        <v>0</v>
      </c>
      <c r="D167" s="311"/>
      <c r="E167" s="312"/>
      <c r="F167" s="313">
        <f t="shared" si="9"/>
        <v>0</v>
      </c>
      <c r="G167" s="311"/>
      <c r="H167" s="314"/>
      <c r="I167" s="114">
        <f t="shared" si="10"/>
        <v>0</v>
      </c>
      <c r="J167" s="311"/>
      <c r="K167" s="314"/>
      <c r="L167" s="114">
        <f t="shared" si="11"/>
        <v>0</v>
      </c>
      <c r="M167" s="315"/>
      <c r="N167" s="312"/>
      <c r="O167" s="125">
        <f t="shared" si="12"/>
        <v>0</v>
      </c>
      <c r="P167" s="109"/>
      <c r="R167" s="53"/>
      <c r="S167" s="53"/>
      <c r="T167" s="53"/>
    </row>
    <row r="168" spans="1:20" ht="24" x14ac:dyDescent="0.25">
      <c r="A168" s="99">
        <v>2500</v>
      </c>
      <c r="B168" s="247" t="s">
        <v>184</v>
      </c>
      <c r="C168" s="100">
        <f t="shared" si="8"/>
        <v>202</v>
      </c>
      <c r="D168" s="112">
        <f>SUM(D169,D174)</f>
        <v>202</v>
      </c>
      <c r="E168" s="248">
        <f>SUM(E169,E174)</f>
        <v>0</v>
      </c>
      <c r="F168" s="249">
        <f t="shared" si="9"/>
        <v>202</v>
      </c>
      <c r="G168" s="112">
        <f>SUM(G169,G174)</f>
        <v>0</v>
      </c>
      <c r="H168" s="113">
        <f>SUM(H169,H174)</f>
        <v>0</v>
      </c>
      <c r="I168" s="114">
        <f t="shared" si="10"/>
        <v>0</v>
      </c>
      <c r="J168" s="112">
        <f>SUM(J169,J174)</f>
        <v>0</v>
      </c>
      <c r="K168" s="113">
        <f>SUM(K169,K174)</f>
        <v>0</v>
      </c>
      <c r="L168" s="114">
        <f t="shared" si="11"/>
        <v>0</v>
      </c>
      <c r="M168" s="250">
        <f>SUM(M169,M174)</f>
        <v>0</v>
      </c>
      <c r="N168" s="251">
        <f>SUM(N169,N174)</f>
        <v>0</v>
      </c>
      <c r="O168" s="316">
        <f t="shared" si="12"/>
        <v>0</v>
      </c>
      <c r="P168" s="253"/>
      <c r="R168" s="53"/>
      <c r="S168" s="53"/>
      <c r="T168" s="53"/>
    </row>
    <row r="169" spans="1:20" x14ac:dyDescent="0.25">
      <c r="A169" s="294">
        <v>2510</v>
      </c>
      <c r="B169" s="116" t="s">
        <v>185</v>
      </c>
      <c r="C169" s="117">
        <f t="shared" si="8"/>
        <v>202</v>
      </c>
      <c r="D169" s="297">
        <f>SUM(D170:D173)</f>
        <v>202</v>
      </c>
      <c r="E169" s="298">
        <f>SUM(E170:E173)</f>
        <v>0</v>
      </c>
      <c r="F169" s="296">
        <f t="shared" si="9"/>
        <v>202</v>
      </c>
      <c r="G169" s="297">
        <f>SUM(G170:G173)</f>
        <v>0</v>
      </c>
      <c r="H169" s="299">
        <f>SUM(H170:H173)</f>
        <v>0</v>
      </c>
      <c r="I169" s="125">
        <f t="shared" si="10"/>
        <v>0</v>
      </c>
      <c r="J169" s="297">
        <f>SUM(J170:J173)</f>
        <v>0</v>
      </c>
      <c r="K169" s="299">
        <f>SUM(K170:K173)</f>
        <v>0</v>
      </c>
      <c r="L169" s="125">
        <f t="shared" si="11"/>
        <v>0</v>
      </c>
      <c r="M169" s="317">
        <f>SUM(M170:M173)</f>
        <v>0</v>
      </c>
      <c r="N169" s="318">
        <f>SUM(N170:N173)</f>
        <v>0</v>
      </c>
      <c r="O169" s="151">
        <f t="shared" si="12"/>
        <v>0</v>
      </c>
      <c r="P169" s="153"/>
      <c r="R169" s="53"/>
      <c r="S169" s="53"/>
      <c r="T169" s="53"/>
    </row>
    <row r="170" spans="1:20" ht="24" hidden="1" x14ac:dyDescent="0.25">
      <c r="A170" s="76">
        <v>2512</v>
      </c>
      <c r="B170" s="127" t="s">
        <v>186</v>
      </c>
      <c r="C170" s="128">
        <f t="shared" si="8"/>
        <v>0</v>
      </c>
      <c r="D170" s="134"/>
      <c r="E170" s="285"/>
      <c r="F170" s="286">
        <f t="shared" si="9"/>
        <v>0</v>
      </c>
      <c r="G170" s="134"/>
      <c r="H170" s="135"/>
      <c r="I170" s="136">
        <f t="shared" si="10"/>
        <v>0</v>
      </c>
      <c r="J170" s="134"/>
      <c r="K170" s="135"/>
      <c r="L170" s="136">
        <f t="shared" si="11"/>
        <v>0</v>
      </c>
      <c r="M170" s="284"/>
      <c r="N170" s="285"/>
      <c r="O170" s="136">
        <f t="shared" si="12"/>
        <v>0</v>
      </c>
      <c r="P170" s="85"/>
      <c r="R170" s="53"/>
      <c r="S170" s="53"/>
      <c r="T170" s="53"/>
    </row>
    <row r="171" spans="1:20" ht="36" hidden="1" x14ac:dyDescent="0.25">
      <c r="A171" s="76">
        <v>2513</v>
      </c>
      <c r="B171" s="127" t="s">
        <v>187</v>
      </c>
      <c r="C171" s="128">
        <f t="shared" si="8"/>
        <v>0</v>
      </c>
      <c r="D171" s="134"/>
      <c r="E171" s="285"/>
      <c r="F171" s="286">
        <f t="shared" si="9"/>
        <v>0</v>
      </c>
      <c r="G171" s="134"/>
      <c r="H171" s="135"/>
      <c r="I171" s="136">
        <f t="shared" si="10"/>
        <v>0</v>
      </c>
      <c r="J171" s="134"/>
      <c r="K171" s="135"/>
      <c r="L171" s="136">
        <f t="shared" si="11"/>
        <v>0</v>
      </c>
      <c r="M171" s="284"/>
      <c r="N171" s="285"/>
      <c r="O171" s="136">
        <f t="shared" si="12"/>
        <v>0</v>
      </c>
      <c r="P171" s="85"/>
      <c r="R171" s="53"/>
      <c r="S171" s="53"/>
      <c r="T171" s="53"/>
    </row>
    <row r="172" spans="1:20" ht="24" hidden="1" x14ac:dyDescent="0.25">
      <c r="A172" s="76">
        <v>2515</v>
      </c>
      <c r="B172" s="127" t="s">
        <v>188</v>
      </c>
      <c r="C172" s="128">
        <f t="shared" si="8"/>
        <v>0</v>
      </c>
      <c r="D172" s="134"/>
      <c r="E172" s="285"/>
      <c r="F172" s="286">
        <f t="shared" si="9"/>
        <v>0</v>
      </c>
      <c r="G172" s="134"/>
      <c r="H172" s="135"/>
      <c r="I172" s="136">
        <f t="shared" si="10"/>
        <v>0</v>
      </c>
      <c r="J172" s="134"/>
      <c r="K172" s="135"/>
      <c r="L172" s="136">
        <f t="shared" si="11"/>
        <v>0</v>
      </c>
      <c r="M172" s="284"/>
      <c r="N172" s="285"/>
      <c r="O172" s="136">
        <f t="shared" si="12"/>
        <v>0</v>
      </c>
      <c r="P172" s="85"/>
      <c r="R172" s="53"/>
      <c r="S172" s="53"/>
      <c r="T172" s="53"/>
    </row>
    <row r="173" spans="1:20" ht="24" x14ac:dyDescent="0.25">
      <c r="A173" s="265">
        <v>2519</v>
      </c>
      <c r="B173" s="266" t="s">
        <v>189</v>
      </c>
      <c r="C173" s="267">
        <f t="shared" si="8"/>
        <v>202</v>
      </c>
      <c r="D173" s="268">
        <v>202</v>
      </c>
      <c r="E173" s="269"/>
      <c r="F173" s="270">
        <f t="shared" si="9"/>
        <v>202</v>
      </c>
      <c r="G173" s="268"/>
      <c r="H173" s="271"/>
      <c r="I173" s="272">
        <f t="shared" si="10"/>
        <v>0</v>
      </c>
      <c r="J173" s="268"/>
      <c r="K173" s="271"/>
      <c r="L173" s="272">
        <f t="shared" si="11"/>
        <v>0</v>
      </c>
      <c r="M173" s="273"/>
      <c r="N173" s="274"/>
      <c r="O173" s="272">
        <f t="shared" si="12"/>
        <v>0</v>
      </c>
      <c r="P173" s="275"/>
      <c r="R173" s="53"/>
      <c r="S173" s="53"/>
      <c r="T173" s="53"/>
    </row>
    <row r="174" spans="1:20" hidden="1" x14ac:dyDescent="0.25">
      <c r="A174" s="276">
        <v>2520</v>
      </c>
      <c r="B174" s="127" t="s">
        <v>190</v>
      </c>
      <c r="C174" s="128">
        <f t="shared" si="8"/>
        <v>0</v>
      </c>
      <c r="D174" s="134"/>
      <c r="E174" s="285"/>
      <c r="F174" s="286">
        <f t="shared" si="9"/>
        <v>0</v>
      </c>
      <c r="G174" s="134"/>
      <c r="H174" s="135"/>
      <c r="I174" s="136">
        <f t="shared" si="10"/>
        <v>0</v>
      </c>
      <c r="J174" s="134"/>
      <c r="K174" s="135"/>
      <c r="L174" s="136">
        <f t="shared" si="11"/>
        <v>0</v>
      </c>
      <c r="M174" s="284"/>
      <c r="N174" s="285"/>
      <c r="O174" s="136">
        <f t="shared" si="12"/>
        <v>0</v>
      </c>
      <c r="P174" s="85"/>
      <c r="R174" s="53"/>
      <c r="S174" s="53"/>
      <c r="T174" s="53"/>
    </row>
    <row r="175" spans="1:20" s="319" customFormat="1" ht="36" hidden="1" x14ac:dyDescent="0.25">
      <c r="A175" s="31">
        <v>2800</v>
      </c>
      <c r="B175" s="116" t="s">
        <v>191</v>
      </c>
      <c r="C175" s="117">
        <f t="shared" si="8"/>
        <v>0</v>
      </c>
      <c r="D175" s="68"/>
      <c r="E175" s="69"/>
      <c r="F175" s="70">
        <f t="shared" si="9"/>
        <v>0</v>
      </c>
      <c r="G175" s="68"/>
      <c r="H175" s="71"/>
      <c r="I175" s="72">
        <f t="shared" si="10"/>
        <v>0</v>
      </c>
      <c r="J175" s="68"/>
      <c r="K175" s="71"/>
      <c r="L175" s="72">
        <f t="shared" si="11"/>
        <v>0</v>
      </c>
      <c r="M175" s="73"/>
      <c r="N175" s="69"/>
      <c r="O175" s="72">
        <f t="shared" si="12"/>
        <v>0</v>
      </c>
      <c r="P175" s="74"/>
      <c r="R175" s="53"/>
      <c r="S175" s="53"/>
      <c r="T175" s="53"/>
    </row>
    <row r="176" spans="1:20" hidden="1" x14ac:dyDescent="0.25">
      <c r="A176" s="237">
        <v>3000</v>
      </c>
      <c r="B176" s="237" t="s">
        <v>192</v>
      </c>
      <c r="C176" s="238">
        <f t="shared" si="8"/>
        <v>0</v>
      </c>
      <c r="D176" s="239">
        <f>SUM(D177,D187)</f>
        <v>0</v>
      </c>
      <c r="E176" s="245">
        <f>SUM(E177,E187)</f>
        <v>0</v>
      </c>
      <c r="F176" s="320">
        <f t="shared" si="9"/>
        <v>0</v>
      </c>
      <c r="G176" s="239">
        <f>SUM(G177,G187)</f>
        <v>0</v>
      </c>
      <c r="H176" s="242">
        <f>SUM(H177,H187)</f>
        <v>0</v>
      </c>
      <c r="I176" s="243">
        <f t="shared" si="10"/>
        <v>0</v>
      </c>
      <c r="J176" s="239">
        <f>SUM(J177,J187)</f>
        <v>0</v>
      </c>
      <c r="K176" s="242">
        <f>SUM(K177,K187)</f>
        <v>0</v>
      </c>
      <c r="L176" s="243">
        <f t="shared" si="11"/>
        <v>0</v>
      </c>
      <c r="M176" s="244">
        <f>SUM(M177,M187)</f>
        <v>0</v>
      </c>
      <c r="N176" s="245">
        <f>SUM(N177,N187)</f>
        <v>0</v>
      </c>
      <c r="O176" s="243">
        <f t="shared" si="12"/>
        <v>0</v>
      </c>
      <c r="P176" s="246"/>
      <c r="R176" s="53"/>
      <c r="S176" s="53"/>
      <c r="T176" s="53"/>
    </row>
    <row r="177" spans="1:20" ht="24" hidden="1" x14ac:dyDescent="0.25">
      <c r="A177" s="99">
        <v>3200</v>
      </c>
      <c r="B177" s="321" t="s">
        <v>193</v>
      </c>
      <c r="C177" s="100">
        <f t="shared" si="8"/>
        <v>0</v>
      </c>
      <c r="D177" s="112">
        <f>SUM(D178,D182)</f>
        <v>0</v>
      </c>
      <c r="E177" s="293">
        <f>SUM(E178,E182)</f>
        <v>0</v>
      </c>
      <c r="F177" s="313">
        <f t="shared" si="9"/>
        <v>0</v>
      </c>
      <c r="G177" s="112">
        <f>SUM(G178,G182)</f>
        <v>0</v>
      </c>
      <c r="H177" s="113">
        <f>SUM(H178,H182)</f>
        <v>0</v>
      </c>
      <c r="I177" s="114">
        <f t="shared" si="10"/>
        <v>0</v>
      </c>
      <c r="J177" s="112">
        <f>SUM(J178,J182)</f>
        <v>0</v>
      </c>
      <c r="K177" s="113">
        <f>SUM(K178,K182)</f>
        <v>0</v>
      </c>
      <c r="L177" s="114">
        <f t="shared" si="11"/>
        <v>0</v>
      </c>
      <c r="M177" s="250">
        <f>SUM(M178,M182)</f>
        <v>0</v>
      </c>
      <c r="N177" s="251">
        <f>SUM(N178,N182)</f>
        <v>0</v>
      </c>
      <c r="O177" s="252">
        <f t="shared" si="12"/>
        <v>0</v>
      </c>
      <c r="P177" s="253"/>
      <c r="R177" s="53"/>
      <c r="S177" s="53"/>
      <c r="T177" s="53"/>
    </row>
    <row r="178" spans="1:20" ht="36" hidden="1" x14ac:dyDescent="0.25">
      <c r="A178" s="294">
        <v>3260</v>
      </c>
      <c r="B178" s="116" t="s">
        <v>194</v>
      </c>
      <c r="C178" s="117">
        <f t="shared" si="8"/>
        <v>0</v>
      </c>
      <c r="D178" s="297">
        <f>SUM(D179:D181)</f>
        <v>0</v>
      </c>
      <c r="E178" s="301">
        <f>SUM(E179:E181)</f>
        <v>0</v>
      </c>
      <c r="F178" s="263">
        <f t="shared" si="9"/>
        <v>0</v>
      </c>
      <c r="G178" s="297">
        <f>SUM(G179:G181)</f>
        <v>0</v>
      </c>
      <c r="H178" s="299">
        <f>SUM(H179:H181)</f>
        <v>0</v>
      </c>
      <c r="I178" s="125">
        <f t="shared" si="10"/>
        <v>0</v>
      </c>
      <c r="J178" s="297">
        <f>SUM(J179:J181)</f>
        <v>0</v>
      </c>
      <c r="K178" s="299">
        <f>SUM(K179:K181)</f>
        <v>0</v>
      </c>
      <c r="L178" s="125">
        <f t="shared" si="11"/>
        <v>0</v>
      </c>
      <c r="M178" s="300">
        <f>SUM(M179:M181)</f>
        <v>0</v>
      </c>
      <c r="N178" s="301">
        <f>SUM(N179:N181)</f>
        <v>0</v>
      </c>
      <c r="O178" s="125">
        <f t="shared" si="12"/>
        <v>0</v>
      </c>
      <c r="P178" s="74"/>
      <c r="R178" s="53"/>
      <c r="S178" s="53"/>
      <c r="T178" s="53"/>
    </row>
    <row r="179" spans="1:20" ht="24" hidden="1" x14ac:dyDescent="0.25">
      <c r="A179" s="76">
        <v>3261</v>
      </c>
      <c r="B179" s="127" t="s">
        <v>195</v>
      </c>
      <c r="C179" s="128">
        <f t="shared" si="8"/>
        <v>0</v>
      </c>
      <c r="D179" s="134"/>
      <c r="E179" s="285"/>
      <c r="F179" s="286">
        <f t="shared" si="9"/>
        <v>0</v>
      </c>
      <c r="G179" s="134"/>
      <c r="H179" s="135"/>
      <c r="I179" s="136">
        <f t="shared" si="10"/>
        <v>0</v>
      </c>
      <c r="J179" s="134"/>
      <c r="K179" s="135"/>
      <c r="L179" s="136">
        <f t="shared" si="11"/>
        <v>0</v>
      </c>
      <c r="M179" s="284"/>
      <c r="N179" s="285"/>
      <c r="O179" s="136">
        <f t="shared" si="12"/>
        <v>0</v>
      </c>
      <c r="P179" s="85"/>
      <c r="R179" s="53"/>
      <c r="S179" s="53"/>
      <c r="T179" s="53"/>
    </row>
    <row r="180" spans="1:20" ht="36" hidden="1" x14ac:dyDescent="0.25">
      <c r="A180" s="76">
        <v>3262</v>
      </c>
      <c r="B180" s="127" t="s">
        <v>196</v>
      </c>
      <c r="C180" s="128">
        <f t="shared" si="8"/>
        <v>0</v>
      </c>
      <c r="D180" s="134"/>
      <c r="E180" s="285"/>
      <c r="F180" s="286">
        <f t="shared" si="9"/>
        <v>0</v>
      </c>
      <c r="G180" s="134"/>
      <c r="H180" s="135"/>
      <c r="I180" s="136">
        <f t="shared" si="10"/>
        <v>0</v>
      </c>
      <c r="J180" s="134"/>
      <c r="K180" s="135"/>
      <c r="L180" s="136">
        <f t="shared" si="11"/>
        <v>0</v>
      </c>
      <c r="M180" s="284"/>
      <c r="N180" s="285"/>
      <c r="O180" s="136">
        <f t="shared" si="12"/>
        <v>0</v>
      </c>
      <c r="P180" s="85"/>
      <c r="R180" s="53"/>
      <c r="S180" s="53"/>
      <c r="T180" s="53"/>
    </row>
    <row r="181" spans="1:20" ht="24" hidden="1" x14ac:dyDescent="0.25">
      <c r="A181" s="76">
        <v>3263</v>
      </c>
      <c r="B181" s="127" t="s">
        <v>197</v>
      </c>
      <c r="C181" s="128">
        <f t="shared" si="8"/>
        <v>0</v>
      </c>
      <c r="D181" s="134"/>
      <c r="E181" s="285"/>
      <c r="F181" s="286">
        <f t="shared" si="9"/>
        <v>0</v>
      </c>
      <c r="G181" s="134"/>
      <c r="H181" s="135"/>
      <c r="I181" s="136">
        <f t="shared" si="10"/>
        <v>0</v>
      </c>
      <c r="J181" s="134"/>
      <c r="K181" s="135"/>
      <c r="L181" s="136">
        <f t="shared" si="11"/>
        <v>0</v>
      </c>
      <c r="M181" s="284"/>
      <c r="N181" s="285"/>
      <c r="O181" s="136">
        <f t="shared" si="12"/>
        <v>0</v>
      </c>
      <c r="P181" s="85"/>
      <c r="R181" s="53"/>
      <c r="S181" s="53"/>
      <c r="T181" s="53"/>
    </row>
    <row r="182" spans="1:20" ht="84" hidden="1" x14ac:dyDescent="0.25">
      <c r="A182" s="294">
        <v>3290</v>
      </c>
      <c r="B182" s="116" t="s">
        <v>198</v>
      </c>
      <c r="C182" s="128">
        <f t="shared" ref="C182:C258" si="14">F182+I182+L182+O182</f>
        <v>0</v>
      </c>
      <c r="D182" s="297">
        <f>SUM(D183:D186)</f>
        <v>0</v>
      </c>
      <c r="E182" s="301">
        <f>SUM(E183:E186)</f>
        <v>0</v>
      </c>
      <c r="F182" s="263">
        <f t="shared" si="9"/>
        <v>0</v>
      </c>
      <c r="G182" s="297">
        <f>SUM(G183:G186)</f>
        <v>0</v>
      </c>
      <c r="H182" s="299">
        <f>SUM(H183:H186)</f>
        <v>0</v>
      </c>
      <c r="I182" s="125">
        <f t="shared" si="10"/>
        <v>0</v>
      </c>
      <c r="J182" s="297">
        <f>SUM(J183:J186)</f>
        <v>0</v>
      </c>
      <c r="K182" s="299">
        <f>SUM(K183:K186)</f>
        <v>0</v>
      </c>
      <c r="L182" s="125">
        <f t="shared" si="11"/>
        <v>0</v>
      </c>
      <c r="M182" s="322">
        <f>SUM(M183:M186)</f>
        <v>0</v>
      </c>
      <c r="N182" s="323">
        <f>SUM(N183:N186)</f>
        <v>0</v>
      </c>
      <c r="O182" s="324">
        <f t="shared" si="12"/>
        <v>0</v>
      </c>
      <c r="P182" s="325"/>
      <c r="R182" s="53"/>
      <c r="S182" s="53"/>
      <c r="T182" s="53"/>
    </row>
    <row r="183" spans="1:20" ht="60" hidden="1" x14ac:dyDescent="0.25">
      <c r="A183" s="76">
        <v>3291</v>
      </c>
      <c r="B183" s="127" t="s">
        <v>199</v>
      </c>
      <c r="C183" s="128">
        <f t="shared" si="14"/>
        <v>0</v>
      </c>
      <c r="D183" s="134"/>
      <c r="E183" s="285"/>
      <c r="F183" s="286">
        <f t="shared" ref="F183:F246" si="15">D183+E183</f>
        <v>0</v>
      </c>
      <c r="G183" s="134"/>
      <c r="H183" s="135"/>
      <c r="I183" s="136">
        <f t="shared" ref="I183:I246" si="16">G183+H183</f>
        <v>0</v>
      </c>
      <c r="J183" s="134"/>
      <c r="K183" s="135"/>
      <c r="L183" s="136">
        <f t="shared" ref="L183:L246" si="17">J183+K183</f>
        <v>0</v>
      </c>
      <c r="M183" s="284"/>
      <c r="N183" s="285"/>
      <c r="O183" s="136">
        <f t="shared" ref="O183:O246" si="18">M183+N183</f>
        <v>0</v>
      </c>
      <c r="P183" s="85"/>
      <c r="R183" s="53"/>
      <c r="S183" s="53"/>
      <c r="T183" s="53"/>
    </row>
    <row r="184" spans="1:20" ht="72" hidden="1" x14ac:dyDescent="0.25">
      <c r="A184" s="76">
        <v>3292</v>
      </c>
      <c r="B184" s="127" t="s">
        <v>200</v>
      </c>
      <c r="C184" s="128">
        <f t="shared" si="14"/>
        <v>0</v>
      </c>
      <c r="D184" s="134"/>
      <c r="E184" s="285"/>
      <c r="F184" s="286">
        <f t="shared" si="15"/>
        <v>0</v>
      </c>
      <c r="G184" s="134"/>
      <c r="H184" s="135"/>
      <c r="I184" s="136">
        <f t="shared" si="16"/>
        <v>0</v>
      </c>
      <c r="J184" s="134"/>
      <c r="K184" s="135"/>
      <c r="L184" s="136">
        <f t="shared" si="17"/>
        <v>0</v>
      </c>
      <c r="M184" s="284"/>
      <c r="N184" s="285"/>
      <c r="O184" s="136">
        <f t="shared" si="18"/>
        <v>0</v>
      </c>
      <c r="P184" s="85"/>
      <c r="R184" s="53"/>
      <c r="S184" s="53"/>
      <c r="T184" s="53"/>
    </row>
    <row r="185" spans="1:20" ht="60" hidden="1" x14ac:dyDescent="0.25">
      <c r="A185" s="76">
        <v>3293</v>
      </c>
      <c r="B185" s="127" t="s">
        <v>201</v>
      </c>
      <c r="C185" s="128">
        <f t="shared" si="14"/>
        <v>0</v>
      </c>
      <c r="D185" s="134"/>
      <c r="E185" s="285"/>
      <c r="F185" s="286">
        <f t="shared" si="15"/>
        <v>0</v>
      </c>
      <c r="G185" s="134"/>
      <c r="H185" s="135"/>
      <c r="I185" s="136">
        <f t="shared" si="16"/>
        <v>0</v>
      </c>
      <c r="J185" s="134"/>
      <c r="K185" s="135"/>
      <c r="L185" s="136">
        <f t="shared" si="17"/>
        <v>0</v>
      </c>
      <c r="M185" s="284"/>
      <c r="N185" s="285"/>
      <c r="O185" s="136">
        <f t="shared" si="18"/>
        <v>0</v>
      </c>
      <c r="P185" s="85"/>
      <c r="R185" s="53"/>
      <c r="S185" s="53"/>
      <c r="T185" s="53"/>
    </row>
    <row r="186" spans="1:20" ht="60" hidden="1" x14ac:dyDescent="0.25">
      <c r="A186" s="326">
        <v>3294</v>
      </c>
      <c r="B186" s="127" t="s">
        <v>202</v>
      </c>
      <c r="C186" s="327">
        <f t="shared" si="14"/>
        <v>0</v>
      </c>
      <c r="D186" s="328"/>
      <c r="E186" s="329"/>
      <c r="F186" s="330">
        <f t="shared" si="15"/>
        <v>0</v>
      </c>
      <c r="G186" s="328"/>
      <c r="H186" s="331"/>
      <c r="I186" s="324">
        <f t="shared" si="16"/>
        <v>0</v>
      </c>
      <c r="J186" s="328"/>
      <c r="K186" s="331"/>
      <c r="L186" s="324">
        <f t="shared" si="17"/>
        <v>0</v>
      </c>
      <c r="M186" s="332"/>
      <c r="N186" s="329"/>
      <c r="O186" s="324">
        <f t="shared" si="18"/>
        <v>0</v>
      </c>
      <c r="P186" s="325"/>
      <c r="R186" s="53"/>
      <c r="S186" s="53"/>
      <c r="T186" s="53"/>
    </row>
    <row r="187" spans="1:20" ht="48" hidden="1" x14ac:dyDescent="0.25">
      <c r="A187" s="160">
        <v>3300</v>
      </c>
      <c r="B187" s="321" t="s">
        <v>203</v>
      </c>
      <c r="C187" s="333">
        <f t="shared" si="14"/>
        <v>0</v>
      </c>
      <c r="D187" s="334">
        <f>SUM(D188:D189)</f>
        <v>0</v>
      </c>
      <c r="E187" s="251">
        <f>SUM(E188:E189)</f>
        <v>0</v>
      </c>
      <c r="F187" s="335">
        <f t="shared" si="15"/>
        <v>0</v>
      </c>
      <c r="G187" s="334">
        <f>SUM(G188:G189)</f>
        <v>0</v>
      </c>
      <c r="H187" s="336">
        <f>SUM(H188:H189)</f>
        <v>0</v>
      </c>
      <c r="I187" s="252">
        <f t="shared" si="16"/>
        <v>0</v>
      </c>
      <c r="J187" s="334">
        <f>SUM(J188:J189)</f>
        <v>0</v>
      </c>
      <c r="K187" s="336">
        <f>SUM(K188:K189)</f>
        <v>0</v>
      </c>
      <c r="L187" s="252">
        <f t="shared" si="17"/>
        <v>0</v>
      </c>
      <c r="M187" s="250">
        <f>SUM(M188:M189)</f>
        <v>0</v>
      </c>
      <c r="N187" s="251">
        <f>SUM(N188:N189)</f>
        <v>0</v>
      </c>
      <c r="O187" s="252">
        <f t="shared" si="18"/>
        <v>0</v>
      </c>
      <c r="P187" s="253"/>
      <c r="R187" s="53"/>
      <c r="S187" s="53"/>
      <c r="T187" s="53"/>
    </row>
    <row r="188" spans="1:20" ht="42.75" hidden="1" customHeight="1" x14ac:dyDescent="0.25">
      <c r="A188" s="178">
        <v>3310</v>
      </c>
      <c r="B188" s="179" t="s">
        <v>204</v>
      </c>
      <c r="C188" s="191">
        <f t="shared" si="14"/>
        <v>0</v>
      </c>
      <c r="D188" s="287"/>
      <c r="E188" s="291"/>
      <c r="F188" s="310">
        <f t="shared" si="15"/>
        <v>0</v>
      </c>
      <c r="G188" s="287"/>
      <c r="H188" s="289"/>
      <c r="I188" s="259">
        <f t="shared" si="16"/>
        <v>0</v>
      </c>
      <c r="J188" s="287"/>
      <c r="K188" s="289"/>
      <c r="L188" s="259">
        <f t="shared" si="17"/>
        <v>0</v>
      </c>
      <c r="M188" s="290"/>
      <c r="N188" s="291"/>
      <c r="O188" s="259">
        <f t="shared" si="18"/>
        <v>0</v>
      </c>
      <c r="P188" s="189"/>
      <c r="R188" s="53"/>
      <c r="S188" s="53"/>
      <c r="T188" s="53"/>
    </row>
    <row r="189" spans="1:20" ht="48" hidden="1" x14ac:dyDescent="0.25">
      <c r="A189" s="66">
        <v>3320</v>
      </c>
      <c r="B189" s="116" t="s">
        <v>205</v>
      </c>
      <c r="C189" s="117">
        <f t="shared" si="14"/>
        <v>0</v>
      </c>
      <c r="D189" s="123"/>
      <c r="E189" s="262"/>
      <c r="F189" s="263">
        <f t="shared" si="15"/>
        <v>0</v>
      </c>
      <c r="G189" s="123"/>
      <c r="H189" s="124"/>
      <c r="I189" s="125">
        <f t="shared" si="16"/>
        <v>0</v>
      </c>
      <c r="J189" s="123"/>
      <c r="K189" s="124"/>
      <c r="L189" s="125">
        <f t="shared" si="17"/>
        <v>0</v>
      </c>
      <c r="M189" s="264"/>
      <c r="N189" s="262"/>
      <c r="O189" s="125">
        <f t="shared" si="18"/>
        <v>0</v>
      </c>
      <c r="P189" s="74"/>
      <c r="R189" s="53"/>
      <c r="S189" s="53"/>
      <c r="T189" s="53"/>
    </row>
    <row r="190" spans="1:20" hidden="1" x14ac:dyDescent="0.25">
      <c r="A190" s="337">
        <v>4000</v>
      </c>
      <c r="B190" s="237" t="s">
        <v>206</v>
      </c>
      <c r="C190" s="238">
        <f t="shared" si="14"/>
        <v>0</v>
      </c>
      <c r="D190" s="239">
        <f>SUM(D191,D194)</f>
        <v>0</v>
      </c>
      <c r="E190" s="245">
        <f>SUM(E191,E194)</f>
        <v>0</v>
      </c>
      <c r="F190" s="320">
        <f t="shared" si="15"/>
        <v>0</v>
      </c>
      <c r="G190" s="239">
        <f>SUM(G191,G194)</f>
        <v>0</v>
      </c>
      <c r="H190" s="242">
        <f>SUM(H191,H194)</f>
        <v>0</v>
      </c>
      <c r="I190" s="243">
        <f t="shared" si="16"/>
        <v>0</v>
      </c>
      <c r="J190" s="239">
        <f>SUM(J191,J194)</f>
        <v>0</v>
      </c>
      <c r="K190" s="242">
        <f>SUM(K191,K194)</f>
        <v>0</v>
      </c>
      <c r="L190" s="243">
        <f t="shared" si="17"/>
        <v>0</v>
      </c>
      <c r="M190" s="244">
        <f>SUM(M191,M194)</f>
        <v>0</v>
      </c>
      <c r="N190" s="245">
        <f>SUM(N191,N194)</f>
        <v>0</v>
      </c>
      <c r="O190" s="243">
        <f t="shared" si="18"/>
        <v>0</v>
      </c>
      <c r="P190" s="246"/>
      <c r="R190" s="53"/>
      <c r="S190" s="53"/>
      <c r="T190" s="53"/>
    </row>
    <row r="191" spans="1:20" ht="24" hidden="1" x14ac:dyDescent="0.25">
      <c r="A191" s="338">
        <v>4200</v>
      </c>
      <c r="B191" s="247" t="s">
        <v>207</v>
      </c>
      <c r="C191" s="100">
        <f t="shared" si="14"/>
        <v>0</v>
      </c>
      <c r="D191" s="112">
        <f>SUM(D192,D193)</f>
        <v>0</v>
      </c>
      <c r="E191" s="293">
        <f>SUM(E192,E193)</f>
        <v>0</v>
      </c>
      <c r="F191" s="313">
        <f t="shared" si="15"/>
        <v>0</v>
      </c>
      <c r="G191" s="112">
        <f>SUM(G192,G193)</f>
        <v>0</v>
      </c>
      <c r="H191" s="113">
        <f>SUM(H192,H193)</f>
        <v>0</v>
      </c>
      <c r="I191" s="114">
        <f t="shared" si="16"/>
        <v>0</v>
      </c>
      <c r="J191" s="112">
        <f>SUM(J192,J193)</f>
        <v>0</v>
      </c>
      <c r="K191" s="113">
        <f>SUM(K192,K193)</f>
        <v>0</v>
      </c>
      <c r="L191" s="114">
        <f t="shared" si="17"/>
        <v>0</v>
      </c>
      <c r="M191" s="292">
        <f>SUM(M192,M193)</f>
        <v>0</v>
      </c>
      <c r="N191" s="293">
        <f>SUM(N192,N193)</f>
        <v>0</v>
      </c>
      <c r="O191" s="114">
        <f t="shared" si="18"/>
        <v>0</v>
      </c>
      <c r="P191" s="109"/>
      <c r="R191" s="53"/>
      <c r="S191" s="53"/>
      <c r="T191" s="53"/>
    </row>
    <row r="192" spans="1:20" ht="36" hidden="1" x14ac:dyDescent="0.25">
      <c r="A192" s="294">
        <v>4240</v>
      </c>
      <c r="B192" s="116" t="s">
        <v>208</v>
      </c>
      <c r="C192" s="117">
        <f t="shared" si="14"/>
        <v>0</v>
      </c>
      <c r="D192" s="123"/>
      <c r="E192" s="262"/>
      <c r="F192" s="263">
        <f t="shared" si="15"/>
        <v>0</v>
      </c>
      <c r="G192" s="123"/>
      <c r="H192" s="124"/>
      <c r="I192" s="125">
        <f t="shared" si="16"/>
        <v>0</v>
      </c>
      <c r="J192" s="123"/>
      <c r="K192" s="124"/>
      <c r="L192" s="125">
        <f t="shared" si="17"/>
        <v>0</v>
      </c>
      <c r="M192" s="264"/>
      <c r="N192" s="262"/>
      <c r="O192" s="125">
        <f t="shared" si="18"/>
        <v>0</v>
      </c>
      <c r="P192" s="74"/>
      <c r="R192" s="53"/>
      <c r="S192" s="53"/>
      <c r="T192" s="53"/>
    </row>
    <row r="193" spans="1:20" ht="24" hidden="1" x14ac:dyDescent="0.25">
      <c r="A193" s="276">
        <v>4250</v>
      </c>
      <c r="B193" s="127" t="s">
        <v>209</v>
      </c>
      <c r="C193" s="128">
        <f t="shared" si="14"/>
        <v>0</v>
      </c>
      <c r="D193" s="134"/>
      <c r="E193" s="285"/>
      <c r="F193" s="286">
        <f t="shared" si="15"/>
        <v>0</v>
      </c>
      <c r="G193" s="134"/>
      <c r="H193" s="135"/>
      <c r="I193" s="136">
        <f t="shared" si="16"/>
        <v>0</v>
      </c>
      <c r="J193" s="134"/>
      <c r="K193" s="135"/>
      <c r="L193" s="136">
        <f t="shared" si="17"/>
        <v>0</v>
      </c>
      <c r="M193" s="284"/>
      <c r="N193" s="285"/>
      <c r="O193" s="136">
        <f t="shared" si="18"/>
        <v>0</v>
      </c>
      <c r="P193" s="85"/>
      <c r="R193" s="53"/>
      <c r="S193" s="53"/>
      <c r="T193" s="53"/>
    </row>
    <row r="194" spans="1:20" hidden="1" x14ac:dyDescent="0.25">
      <c r="A194" s="99">
        <v>4300</v>
      </c>
      <c r="B194" s="247" t="s">
        <v>210</v>
      </c>
      <c r="C194" s="100">
        <f t="shared" si="14"/>
        <v>0</v>
      </c>
      <c r="D194" s="112">
        <f>SUM(D195)</f>
        <v>0</v>
      </c>
      <c r="E194" s="293">
        <f>SUM(E195)</f>
        <v>0</v>
      </c>
      <c r="F194" s="313">
        <f t="shared" si="15"/>
        <v>0</v>
      </c>
      <c r="G194" s="112">
        <f>SUM(G195)</f>
        <v>0</v>
      </c>
      <c r="H194" s="113">
        <f>SUM(H195)</f>
        <v>0</v>
      </c>
      <c r="I194" s="114">
        <f t="shared" si="16"/>
        <v>0</v>
      </c>
      <c r="J194" s="112">
        <f>SUM(J195)</f>
        <v>0</v>
      </c>
      <c r="K194" s="113">
        <f>SUM(K195)</f>
        <v>0</v>
      </c>
      <c r="L194" s="114">
        <f t="shared" si="17"/>
        <v>0</v>
      </c>
      <c r="M194" s="292">
        <f>SUM(M195)</f>
        <v>0</v>
      </c>
      <c r="N194" s="293">
        <f>SUM(N195)</f>
        <v>0</v>
      </c>
      <c r="O194" s="114">
        <f t="shared" si="18"/>
        <v>0</v>
      </c>
      <c r="P194" s="109"/>
      <c r="R194" s="53"/>
      <c r="S194" s="53"/>
      <c r="T194" s="53"/>
    </row>
    <row r="195" spans="1:20" ht="24" hidden="1" x14ac:dyDescent="0.25">
      <c r="A195" s="294">
        <v>4310</v>
      </c>
      <c r="B195" s="116" t="s">
        <v>211</v>
      </c>
      <c r="C195" s="117">
        <f t="shared" si="14"/>
        <v>0</v>
      </c>
      <c r="D195" s="297">
        <f>SUM(D196:D196)</f>
        <v>0</v>
      </c>
      <c r="E195" s="301">
        <f>SUM(E196:E196)</f>
        <v>0</v>
      </c>
      <c r="F195" s="263">
        <f t="shared" si="15"/>
        <v>0</v>
      </c>
      <c r="G195" s="297">
        <f>SUM(G196:G196)</f>
        <v>0</v>
      </c>
      <c r="H195" s="299">
        <f>SUM(H196:H196)</f>
        <v>0</v>
      </c>
      <c r="I195" s="125">
        <f t="shared" si="16"/>
        <v>0</v>
      </c>
      <c r="J195" s="297">
        <f>SUM(J196:J196)</f>
        <v>0</v>
      </c>
      <c r="K195" s="299">
        <f>SUM(K196:K196)</f>
        <v>0</v>
      </c>
      <c r="L195" s="125">
        <f t="shared" si="17"/>
        <v>0</v>
      </c>
      <c r="M195" s="300">
        <f>SUM(M196:M196)</f>
        <v>0</v>
      </c>
      <c r="N195" s="301">
        <f>SUM(N196:N196)</f>
        <v>0</v>
      </c>
      <c r="O195" s="125">
        <f t="shared" si="18"/>
        <v>0</v>
      </c>
      <c r="P195" s="74"/>
      <c r="R195" s="53"/>
      <c r="S195" s="53"/>
      <c r="T195" s="53"/>
    </row>
    <row r="196" spans="1:20" ht="36" hidden="1" x14ac:dyDescent="0.25">
      <c r="A196" s="76">
        <v>4311</v>
      </c>
      <c r="B196" s="127" t="s">
        <v>212</v>
      </c>
      <c r="C196" s="128">
        <f t="shared" si="14"/>
        <v>0</v>
      </c>
      <c r="D196" s="134"/>
      <c r="E196" s="285"/>
      <c r="F196" s="286">
        <f t="shared" si="15"/>
        <v>0</v>
      </c>
      <c r="G196" s="134"/>
      <c r="H196" s="135"/>
      <c r="I196" s="136">
        <f t="shared" si="16"/>
        <v>0</v>
      </c>
      <c r="J196" s="134"/>
      <c r="K196" s="135"/>
      <c r="L196" s="136">
        <f t="shared" si="17"/>
        <v>0</v>
      </c>
      <c r="M196" s="284"/>
      <c r="N196" s="285"/>
      <c r="O196" s="136">
        <f t="shared" si="18"/>
        <v>0</v>
      </c>
      <c r="P196" s="85"/>
      <c r="R196" s="53"/>
      <c r="S196" s="53"/>
      <c r="T196" s="53"/>
    </row>
    <row r="197" spans="1:20" s="41" customFormat="1" ht="24" x14ac:dyDescent="0.25">
      <c r="A197" s="339"/>
      <c r="B197" s="31" t="s">
        <v>213</v>
      </c>
      <c r="C197" s="229">
        <f t="shared" si="14"/>
        <v>657</v>
      </c>
      <c r="D197" s="230">
        <f>SUM(D198,D233,D271)</f>
        <v>320</v>
      </c>
      <c r="E197" s="231">
        <f>SUM(E198,E233,E271)</f>
        <v>0</v>
      </c>
      <c r="F197" s="232">
        <f t="shared" si="15"/>
        <v>320</v>
      </c>
      <c r="G197" s="230">
        <f>SUM(G198,G233,G271)</f>
        <v>300</v>
      </c>
      <c r="H197" s="233">
        <f>SUM(H198,H233,H271)</f>
        <v>0</v>
      </c>
      <c r="I197" s="234">
        <f t="shared" si="16"/>
        <v>300</v>
      </c>
      <c r="J197" s="230">
        <f>SUM(J198,J233,J271)</f>
        <v>37</v>
      </c>
      <c r="K197" s="233">
        <f>SUM(K198,K233,K271)</f>
        <v>0</v>
      </c>
      <c r="L197" s="234">
        <f t="shared" si="17"/>
        <v>37</v>
      </c>
      <c r="M197" s="340">
        <f>SUM(M198,M233,M271)</f>
        <v>0</v>
      </c>
      <c r="N197" s="341">
        <f>SUM(N198,N233,N271)</f>
        <v>0</v>
      </c>
      <c r="O197" s="342">
        <f t="shared" si="18"/>
        <v>0</v>
      </c>
      <c r="P197" s="343"/>
      <c r="R197" s="53"/>
      <c r="S197" s="53"/>
      <c r="T197" s="53"/>
    </row>
    <row r="198" spans="1:20" x14ac:dyDescent="0.25">
      <c r="A198" s="237">
        <v>5000</v>
      </c>
      <c r="B198" s="237" t="s">
        <v>214</v>
      </c>
      <c r="C198" s="238">
        <f>F198+I198+L198+O198</f>
        <v>620</v>
      </c>
      <c r="D198" s="239">
        <f>D199+D207</f>
        <v>320</v>
      </c>
      <c r="E198" s="240">
        <f>E199+E207</f>
        <v>0</v>
      </c>
      <c r="F198" s="241">
        <f t="shared" si="15"/>
        <v>320</v>
      </c>
      <c r="G198" s="239">
        <f>G199+G207</f>
        <v>300</v>
      </c>
      <c r="H198" s="242">
        <f>H199+H207</f>
        <v>0</v>
      </c>
      <c r="I198" s="243">
        <f t="shared" si="16"/>
        <v>300</v>
      </c>
      <c r="J198" s="239">
        <f>J199+J207</f>
        <v>0</v>
      </c>
      <c r="K198" s="242">
        <f>K199+K207</f>
        <v>0</v>
      </c>
      <c r="L198" s="243">
        <f t="shared" si="17"/>
        <v>0</v>
      </c>
      <c r="M198" s="244">
        <f>M199+M207</f>
        <v>0</v>
      </c>
      <c r="N198" s="245">
        <f>N199+N207</f>
        <v>0</v>
      </c>
      <c r="O198" s="243">
        <f t="shared" si="18"/>
        <v>0</v>
      </c>
      <c r="P198" s="246"/>
      <c r="R198" s="53"/>
      <c r="S198" s="53"/>
      <c r="T198" s="53"/>
    </row>
    <row r="199" spans="1:20" hidden="1" x14ac:dyDescent="0.25">
      <c r="A199" s="99">
        <v>5100</v>
      </c>
      <c r="B199" s="247" t="s">
        <v>215</v>
      </c>
      <c r="C199" s="100">
        <f t="shared" si="14"/>
        <v>0</v>
      </c>
      <c r="D199" s="112">
        <f>D200+D201+D204+D205+D206</f>
        <v>0</v>
      </c>
      <c r="E199" s="293">
        <f>E200+E201+E204+E205+E206</f>
        <v>0</v>
      </c>
      <c r="F199" s="313">
        <f t="shared" si="15"/>
        <v>0</v>
      </c>
      <c r="G199" s="112">
        <f>G200+G201+G204+G205+G206</f>
        <v>0</v>
      </c>
      <c r="H199" s="113">
        <f>H200+H201+H204+H205+H206</f>
        <v>0</v>
      </c>
      <c r="I199" s="114">
        <f t="shared" si="16"/>
        <v>0</v>
      </c>
      <c r="J199" s="112">
        <f>J200+J201+J204+J205+J206</f>
        <v>0</v>
      </c>
      <c r="K199" s="113">
        <f>K200+K201+K204+K205+K206</f>
        <v>0</v>
      </c>
      <c r="L199" s="114">
        <f t="shared" si="17"/>
        <v>0</v>
      </c>
      <c r="M199" s="292">
        <f>M200+M201+M204+M205+M206</f>
        <v>0</v>
      </c>
      <c r="N199" s="293">
        <f>N200+N201+N204+N205+N206</f>
        <v>0</v>
      </c>
      <c r="O199" s="114">
        <f t="shared" si="18"/>
        <v>0</v>
      </c>
      <c r="P199" s="109"/>
      <c r="R199" s="53"/>
      <c r="S199" s="53"/>
      <c r="T199" s="53"/>
    </row>
    <row r="200" spans="1:20" hidden="1" x14ac:dyDescent="0.25">
      <c r="A200" s="294">
        <v>5110</v>
      </c>
      <c r="B200" s="116" t="s">
        <v>216</v>
      </c>
      <c r="C200" s="117">
        <f t="shared" si="14"/>
        <v>0</v>
      </c>
      <c r="D200" s="123"/>
      <c r="E200" s="262"/>
      <c r="F200" s="263">
        <f t="shared" si="15"/>
        <v>0</v>
      </c>
      <c r="G200" s="123"/>
      <c r="H200" s="124"/>
      <c r="I200" s="125">
        <f t="shared" si="16"/>
        <v>0</v>
      </c>
      <c r="J200" s="123"/>
      <c r="K200" s="124"/>
      <c r="L200" s="125">
        <f t="shared" si="17"/>
        <v>0</v>
      </c>
      <c r="M200" s="264"/>
      <c r="N200" s="262"/>
      <c r="O200" s="125">
        <f t="shared" si="18"/>
        <v>0</v>
      </c>
      <c r="P200" s="74"/>
      <c r="R200" s="53"/>
      <c r="S200" s="53"/>
      <c r="T200" s="53"/>
    </row>
    <row r="201" spans="1:20" ht="24" hidden="1" x14ac:dyDescent="0.25">
      <c r="A201" s="276">
        <v>5120</v>
      </c>
      <c r="B201" s="127" t="s">
        <v>217</v>
      </c>
      <c r="C201" s="128">
        <f t="shared" si="14"/>
        <v>0</v>
      </c>
      <c r="D201" s="277">
        <f>D202+D203</f>
        <v>0</v>
      </c>
      <c r="E201" s="282">
        <f>E202+E203</f>
        <v>0</v>
      </c>
      <c r="F201" s="286">
        <f t="shared" si="15"/>
        <v>0</v>
      </c>
      <c r="G201" s="277">
        <f>G202+G203</f>
        <v>0</v>
      </c>
      <c r="H201" s="280">
        <f>H202+H203</f>
        <v>0</v>
      </c>
      <c r="I201" s="136">
        <f t="shared" si="16"/>
        <v>0</v>
      </c>
      <c r="J201" s="277">
        <f>J202+J203</f>
        <v>0</v>
      </c>
      <c r="K201" s="280">
        <f>K202+K203</f>
        <v>0</v>
      </c>
      <c r="L201" s="136">
        <f t="shared" si="17"/>
        <v>0</v>
      </c>
      <c r="M201" s="281">
        <f>M202+M203</f>
        <v>0</v>
      </c>
      <c r="N201" s="282">
        <f>N202+N203</f>
        <v>0</v>
      </c>
      <c r="O201" s="136">
        <f t="shared" si="18"/>
        <v>0</v>
      </c>
      <c r="P201" s="85"/>
      <c r="R201" s="53"/>
      <c r="S201" s="53"/>
      <c r="T201" s="53"/>
    </row>
    <row r="202" spans="1:20" hidden="1" x14ac:dyDescent="0.25">
      <c r="A202" s="76">
        <v>5121</v>
      </c>
      <c r="B202" s="127" t="s">
        <v>218</v>
      </c>
      <c r="C202" s="128">
        <f t="shared" si="14"/>
        <v>0</v>
      </c>
      <c r="D202" s="134"/>
      <c r="E202" s="285"/>
      <c r="F202" s="286">
        <f t="shared" si="15"/>
        <v>0</v>
      </c>
      <c r="G202" s="134"/>
      <c r="H202" s="135"/>
      <c r="I202" s="136">
        <f t="shared" si="16"/>
        <v>0</v>
      </c>
      <c r="J202" s="134"/>
      <c r="K202" s="135"/>
      <c r="L202" s="136">
        <f t="shared" si="17"/>
        <v>0</v>
      </c>
      <c r="M202" s="284"/>
      <c r="N202" s="285"/>
      <c r="O202" s="136">
        <f t="shared" si="18"/>
        <v>0</v>
      </c>
      <c r="P202" s="85"/>
      <c r="R202" s="53"/>
      <c r="S202" s="53"/>
      <c r="T202" s="53"/>
    </row>
    <row r="203" spans="1:20" ht="24" hidden="1" x14ac:dyDescent="0.25">
      <c r="A203" s="76">
        <v>5129</v>
      </c>
      <c r="B203" s="127" t="s">
        <v>219</v>
      </c>
      <c r="C203" s="128">
        <f t="shared" si="14"/>
        <v>0</v>
      </c>
      <c r="D203" s="134"/>
      <c r="E203" s="285"/>
      <c r="F203" s="286">
        <f t="shared" si="15"/>
        <v>0</v>
      </c>
      <c r="G203" s="134"/>
      <c r="H203" s="135"/>
      <c r="I203" s="136">
        <f t="shared" si="16"/>
        <v>0</v>
      </c>
      <c r="J203" s="134"/>
      <c r="K203" s="135"/>
      <c r="L203" s="136">
        <f t="shared" si="17"/>
        <v>0</v>
      </c>
      <c r="M203" s="284"/>
      <c r="N203" s="285"/>
      <c r="O203" s="136">
        <f t="shared" si="18"/>
        <v>0</v>
      </c>
      <c r="P203" s="85"/>
      <c r="R203" s="53"/>
      <c r="S203" s="53"/>
      <c r="T203" s="53"/>
    </row>
    <row r="204" spans="1:20" hidden="1" x14ac:dyDescent="0.25">
      <c r="A204" s="276">
        <v>5130</v>
      </c>
      <c r="B204" s="127" t="s">
        <v>220</v>
      </c>
      <c r="C204" s="128">
        <f t="shared" si="14"/>
        <v>0</v>
      </c>
      <c r="D204" s="134"/>
      <c r="E204" s="285"/>
      <c r="F204" s="286">
        <f t="shared" si="15"/>
        <v>0</v>
      </c>
      <c r="G204" s="134"/>
      <c r="H204" s="135"/>
      <c r="I204" s="136">
        <f t="shared" si="16"/>
        <v>0</v>
      </c>
      <c r="J204" s="134"/>
      <c r="K204" s="135"/>
      <c r="L204" s="136">
        <f t="shared" si="17"/>
        <v>0</v>
      </c>
      <c r="M204" s="284"/>
      <c r="N204" s="285"/>
      <c r="O204" s="136">
        <f t="shared" si="18"/>
        <v>0</v>
      </c>
      <c r="P204" s="85"/>
      <c r="R204" s="53"/>
      <c r="S204" s="53"/>
      <c r="T204" s="53"/>
    </row>
    <row r="205" spans="1:20" hidden="1" x14ac:dyDescent="0.25">
      <c r="A205" s="276">
        <v>5140</v>
      </c>
      <c r="B205" s="127" t="s">
        <v>221</v>
      </c>
      <c r="C205" s="128">
        <f t="shared" si="14"/>
        <v>0</v>
      </c>
      <c r="D205" s="134"/>
      <c r="E205" s="285"/>
      <c r="F205" s="286">
        <f t="shared" si="15"/>
        <v>0</v>
      </c>
      <c r="G205" s="134"/>
      <c r="H205" s="135"/>
      <c r="I205" s="136">
        <f t="shared" si="16"/>
        <v>0</v>
      </c>
      <c r="J205" s="134"/>
      <c r="K205" s="135"/>
      <c r="L205" s="136">
        <f t="shared" si="17"/>
        <v>0</v>
      </c>
      <c r="M205" s="284"/>
      <c r="N205" s="285"/>
      <c r="O205" s="136">
        <f t="shared" si="18"/>
        <v>0</v>
      </c>
      <c r="P205" s="85"/>
      <c r="R205" s="53"/>
      <c r="S205" s="53"/>
      <c r="T205" s="53"/>
    </row>
    <row r="206" spans="1:20" ht="24" hidden="1" x14ac:dyDescent="0.25">
      <c r="A206" s="276">
        <v>5170</v>
      </c>
      <c r="B206" s="127" t="s">
        <v>222</v>
      </c>
      <c r="C206" s="128">
        <f t="shared" si="14"/>
        <v>0</v>
      </c>
      <c r="D206" s="134"/>
      <c r="E206" s="285"/>
      <c r="F206" s="286">
        <f t="shared" si="15"/>
        <v>0</v>
      </c>
      <c r="G206" s="134"/>
      <c r="H206" s="135"/>
      <c r="I206" s="136">
        <f t="shared" si="16"/>
        <v>0</v>
      </c>
      <c r="J206" s="134"/>
      <c r="K206" s="135"/>
      <c r="L206" s="136">
        <f t="shared" si="17"/>
        <v>0</v>
      </c>
      <c r="M206" s="284"/>
      <c r="N206" s="285"/>
      <c r="O206" s="136">
        <f t="shared" si="18"/>
        <v>0</v>
      </c>
      <c r="P206" s="85"/>
      <c r="R206" s="53"/>
      <c r="S206" s="53"/>
      <c r="T206" s="53"/>
    </row>
    <row r="207" spans="1:20" x14ac:dyDescent="0.25">
      <c r="A207" s="99">
        <v>5200</v>
      </c>
      <c r="B207" s="247" t="s">
        <v>223</v>
      </c>
      <c r="C207" s="100">
        <f t="shared" si="14"/>
        <v>620</v>
      </c>
      <c r="D207" s="112">
        <f>D208+D218+D219+D228+D229+D230+D232</f>
        <v>320</v>
      </c>
      <c r="E207" s="248">
        <f>E208+E218+E219+E228+E229+E230+E232</f>
        <v>0</v>
      </c>
      <c r="F207" s="249">
        <f t="shared" si="15"/>
        <v>320</v>
      </c>
      <c r="G207" s="112">
        <f>G208+G218+G219+G228+G229+G230+G232</f>
        <v>300</v>
      </c>
      <c r="H207" s="113">
        <f>H208+H218+H219+H228+H229+H230+H232</f>
        <v>0</v>
      </c>
      <c r="I207" s="114">
        <f t="shared" si="16"/>
        <v>300</v>
      </c>
      <c r="J207" s="112">
        <f>J208+J218+J219+J228+J229+J230+J232</f>
        <v>0</v>
      </c>
      <c r="K207" s="113">
        <f>K208+K218+K219+K228+K229+K230+K232</f>
        <v>0</v>
      </c>
      <c r="L207" s="114">
        <f t="shared" si="17"/>
        <v>0</v>
      </c>
      <c r="M207" s="292">
        <f>M208+M218+M219+M228+M229+M230+M232</f>
        <v>0</v>
      </c>
      <c r="N207" s="293">
        <f>N208+N218+N219+N228+N229+N230+N232</f>
        <v>0</v>
      </c>
      <c r="O207" s="114">
        <f t="shared" si="18"/>
        <v>0</v>
      </c>
      <c r="P207" s="109"/>
      <c r="R207" s="53"/>
      <c r="S207" s="53"/>
      <c r="T207" s="53"/>
    </row>
    <row r="208" spans="1:20" hidden="1" x14ac:dyDescent="0.25">
      <c r="A208" s="254">
        <v>5210</v>
      </c>
      <c r="B208" s="179" t="s">
        <v>224</v>
      </c>
      <c r="C208" s="191">
        <f t="shared" si="14"/>
        <v>0</v>
      </c>
      <c r="D208" s="255">
        <f>SUM(D209:D217)</f>
        <v>0</v>
      </c>
      <c r="E208" s="261">
        <f>SUM(E209:E217)</f>
        <v>0</v>
      </c>
      <c r="F208" s="310">
        <f t="shared" si="15"/>
        <v>0</v>
      </c>
      <c r="G208" s="255">
        <f>SUM(G209:G217)</f>
        <v>0</v>
      </c>
      <c r="H208" s="258">
        <f>SUM(H209:H217)</f>
        <v>0</v>
      </c>
      <c r="I208" s="259">
        <f t="shared" si="16"/>
        <v>0</v>
      </c>
      <c r="J208" s="255">
        <f>SUM(J209:J217)</f>
        <v>0</v>
      </c>
      <c r="K208" s="258">
        <f>SUM(K209:K217)</f>
        <v>0</v>
      </c>
      <c r="L208" s="259">
        <f t="shared" si="17"/>
        <v>0</v>
      </c>
      <c r="M208" s="260">
        <f>SUM(M209:M217)</f>
        <v>0</v>
      </c>
      <c r="N208" s="261">
        <f>SUM(N209:N217)</f>
        <v>0</v>
      </c>
      <c r="O208" s="259">
        <f t="shared" si="18"/>
        <v>0</v>
      </c>
      <c r="P208" s="189"/>
      <c r="R208" s="53"/>
      <c r="S208" s="53"/>
      <c r="T208" s="53"/>
    </row>
    <row r="209" spans="1:20" hidden="1" x14ac:dyDescent="0.25">
      <c r="A209" s="66">
        <v>5211</v>
      </c>
      <c r="B209" s="116" t="s">
        <v>225</v>
      </c>
      <c r="C209" s="279">
        <f t="shared" si="14"/>
        <v>0</v>
      </c>
      <c r="D209" s="123"/>
      <c r="E209" s="262"/>
      <c r="F209" s="263">
        <f t="shared" si="15"/>
        <v>0</v>
      </c>
      <c r="G209" s="123"/>
      <c r="H209" s="124"/>
      <c r="I209" s="125">
        <f t="shared" si="16"/>
        <v>0</v>
      </c>
      <c r="J209" s="123"/>
      <c r="K209" s="124"/>
      <c r="L209" s="125">
        <f t="shared" si="17"/>
        <v>0</v>
      </c>
      <c r="M209" s="264"/>
      <c r="N209" s="262"/>
      <c r="O209" s="125">
        <f t="shared" si="18"/>
        <v>0</v>
      </c>
      <c r="P209" s="74"/>
      <c r="R209" s="53"/>
      <c r="S209" s="53"/>
      <c r="T209" s="53"/>
    </row>
    <row r="210" spans="1:20" hidden="1" x14ac:dyDescent="0.25">
      <c r="A210" s="76">
        <v>5212</v>
      </c>
      <c r="B210" s="127" t="s">
        <v>226</v>
      </c>
      <c r="C210" s="279">
        <f t="shared" si="14"/>
        <v>0</v>
      </c>
      <c r="D210" s="134"/>
      <c r="E210" s="285"/>
      <c r="F210" s="286">
        <f t="shared" si="15"/>
        <v>0</v>
      </c>
      <c r="G210" s="134"/>
      <c r="H210" s="135"/>
      <c r="I210" s="136">
        <f t="shared" si="16"/>
        <v>0</v>
      </c>
      <c r="J210" s="134"/>
      <c r="K210" s="135"/>
      <c r="L210" s="136">
        <f t="shared" si="17"/>
        <v>0</v>
      </c>
      <c r="M210" s="284"/>
      <c r="N210" s="285"/>
      <c r="O210" s="136">
        <f t="shared" si="18"/>
        <v>0</v>
      </c>
      <c r="P210" s="85"/>
      <c r="R210" s="53"/>
      <c r="S210" s="53"/>
      <c r="T210" s="53"/>
    </row>
    <row r="211" spans="1:20" hidden="1" x14ac:dyDescent="0.25">
      <c r="A211" s="76">
        <v>5213</v>
      </c>
      <c r="B211" s="127" t="s">
        <v>227</v>
      </c>
      <c r="C211" s="279">
        <f t="shared" si="14"/>
        <v>0</v>
      </c>
      <c r="D211" s="134"/>
      <c r="E211" s="285"/>
      <c r="F211" s="286">
        <f t="shared" si="15"/>
        <v>0</v>
      </c>
      <c r="G211" s="134"/>
      <c r="H211" s="135"/>
      <c r="I211" s="136">
        <f t="shared" si="16"/>
        <v>0</v>
      </c>
      <c r="J211" s="134"/>
      <c r="K211" s="135"/>
      <c r="L211" s="136">
        <f t="shared" si="17"/>
        <v>0</v>
      </c>
      <c r="M211" s="284"/>
      <c r="N211" s="285"/>
      <c r="O211" s="136">
        <f t="shared" si="18"/>
        <v>0</v>
      </c>
      <c r="P211" s="85"/>
      <c r="R211" s="53"/>
      <c r="S211" s="53"/>
      <c r="T211" s="53"/>
    </row>
    <row r="212" spans="1:20" hidden="1" x14ac:dyDescent="0.25">
      <c r="A212" s="76">
        <v>5214</v>
      </c>
      <c r="B212" s="127" t="s">
        <v>228</v>
      </c>
      <c r="C212" s="279">
        <f t="shared" si="14"/>
        <v>0</v>
      </c>
      <c r="D212" s="134"/>
      <c r="E212" s="285"/>
      <c r="F212" s="286">
        <f t="shared" si="15"/>
        <v>0</v>
      </c>
      <c r="G212" s="134"/>
      <c r="H212" s="135"/>
      <c r="I212" s="136">
        <f t="shared" si="16"/>
        <v>0</v>
      </c>
      <c r="J212" s="134"/>
      <c r="K212" s="135"/>
      <c r="L212" s="136">
        <f t="shared" si="17"/>
        <v>0</v>
      </c>
      <c r="M212" s="284"/>
      <c r="N212" s="285"/>
      <c r="O212" s="136">
        <f t="shared" si="18"/>
        <v>0</v>
      </c>
      <c r="P212" s="85"/>
      <c r="R212" s="53"/>
      <c r="S212" s="53"/>
      <c r="T212" s="53"/>
    </row>
    <row r="213" spans="1:20" hidden="1" x14ac:dyDescent="0.25">
      <c r="A213" s="76">
        <v>5215</v>
      </c>
      <c r="B213" s="127" t="s">
        <v>229</v>
      </c>
      <c r="C213" s="279">
        <f t="shared" si="14"/>
        <v>0</v>
      </c>
      <c r="D213" s="134"/>
      <c r="E213" s="285"/>
      <c r="F213" s="286">
        <f t="shared" si="15"/>
        <v>0</v>
      </c>
      <c r="G213" s="134"/>
      <c r="H213" s="135"/>
      <c r="I213" s="136">
        <f t="shared" si="16"/>
        <v>0</v>
      </c>
      <c r="J213" s="134"/>
      <c r="K213" s="135"/>
      <c r="L213" s="136">
        <f t="shared" si="17"/>
        <v>0</v>
      </c>
      <c r="M213" s="284"/>
      <c r="N213" s="285"/>
      <c r="O213" s="136">
        <f t="shared" si="18"/>
        <v>0</v>
      </c>
      <c r="P213" s="85"/>
      <c r="R213" s="53"/>
      <c r="S213" s="53"/>
      <c r="T213" s="53"/>
    </row>
    <row r="214" spans="1:20" hidden="1" x14ac:dyDescent="0.25">
      <c r="A214" s="76">
        <v>5216</v>
      </c>
      <c r="B214" s="127" t="s">
        <v>230</v>
      </c>
      <c r="C214" s="279">
        <f t="shared" si="14"/>
        <v>0</v>
      </c>
      <c r="D214" s="134"/>
      <c r="E214" s="285"/>
      <c r="F214" s="286">
        <f t="shared" si="15"/>
        <v>0</v>
      </c>
      <c r="G214" s="134"/>
      <c r="H214" s="135"/>
      <c r="I214" s="136">
        <f t="shared" si="16"/>
        <v>0</v>
      </c>
      <c r="J214" s="134"/>
      <c r="K214" s="135"/>
      <c r="L214" s="136">
        <f t="shared" si="17"/>
        <v>0</v>
      </c>
      <c r="M214" s="284"/>
      <c r="N214" s="285"/>
      <c r="O214" s="136">
        <f t="shared" si="18"/>
        <v>0</v>
      </c>
      <c r="P214" s="85"/>
      <c r="R214" s="53"/>
      <c r="S214" s="53"/>
      <c r="T214" s="53"/>
    </row>
    <row r="215" spans="1:20" hidden="1" x14ac:dyDescent="0.25">
      <c r="A215" s="76">
        <v>5217</v>
      </c>
      <c r="B215" s="127" t="s">
        <v>231</v>
      </c>
      <c r="C215" s="279">
        <f t="shared" si="14"/>
        <v>0</v>
      </c>
      <c r="D215" s="134"/>
      <c r="E215" s="285"/>
      <c r="F215" s="286">
        <f t="shared" si="15"/>
        <v>0</v>
      </c>
      <c r="G215" s="134"/>
      <c r="H215" s="135"/>
      <c r="I215" s="136">
        <f t="shared" si="16"/>
        <v>0</v>
      </c>
      <c r="J215" s="134"/>
      <c r="K215" s="135"/>
      <c r="L215" s="136">
        <f t="shared" si="17"/>
        <v>0</v>
      </c>
      <c r="M215" s="284"/>
      <c r="N215" s="285"/>
      <c r="O215" s="136">
        <f t="shared" si="18"/>
        <v>0</v>
      </c>
      <c r="P215" s="85"/>
      <c r="R215" s="53"/>
      <c r="S215" s="53"/>
      <c r="T215" s="53"/>
    </row>
    <row r="216" spans="1:20" hidden="1" x14ac:dyDescent="0.25">
      <c r="A216" s="76">
        <v>5218</v>
      </c>
      <c r="B216" s="127" t="s">
        <v>232</v>
      </c>
      <c r="C216" s="279">
        <f t="shared" si="14"/>
        <v>0</v>
      </c>
      <c r="D216" s="134"/>
      <c r="E216" s="285"/>
      <c r="F216" s="286">
        <f t="shared" si="15"/>
        <v>0</v>
      </c>
      <c r="G216" s="134"/>
      <c r="H216" s="135"/>
      <c r="I216" s="136">
        <f t="shared" si="16"/>
        <v>0</v>
      </c>
      <c r="J216" s="134"/>
      <c r="K216" s="135"/>
      <c r="L216" s="136">
        <f t="shared" si="17"/>
        <v>0</v>
      </c>
      <c r="M216" s="284"/>
      <c r="N216" s="285"/>
      <c r="O216" s="136">
        <f t="shared" si="18"/>
        <v>0</v>
      </c>
      <c r="P216" s="85"/>
      <c r="R216" s="53"/>
      <c r="S216" s="53"/>
      <c r="T216" s="53"/>
    </row>
    <row r="217" spans="1:20" hidden="1" x14ac:dyDescent="0.25">
      <c r="A217" s="76">
        <v>5219</v>
      </c>
      <c r="B217" s="127" t="s">
        <v>233</v>
      </c>
      <c r="C217" s="279">
        <f t="shared" si="14"/>
        <v>0</v>
      </c>
      <c r="D217" s="134"/>
      <c r="E217" s="285"/>
      <c r="F217" s="286">
        <f t="shared" si="15"/>
        <v>0</v>
      </c>
      <c r="G217" s="134"/>
      <c r="H217" s="135"/>
      <c r="I217" s="136">
        <f t="shared" si="16"/>
        <v>0</v>
      </c>
      <c r="J217" s="134"/>
      <c r="K217" s="135"/>
      <c r="L217" s="136">
        <f t="shared" si="17"/>
        <v>0</v>
      </c>
      <c r="M217" s="284"/>
      <c r="N217" s="285"/>
      <c r="O217" s="136">
        <f t="shared" si="18"/>
        <v>0</v>
      </c>
      <c r="P217" s="85"/>
      <c r="R217" s="53"/>
      <c r="S217" s="53"/>
      <c r="T217" s="53"/>
    </row>
    <row r="218" spans="1:20" hidden="1" x14ac:dyDescent="0.25">
      <c r="A218" s="276">
        <v>5220</v>
      </c>
      <c r="B218" s="127" t="s">
        <v>234</v>
      </c>
      <c r="C218" s="279">
        <f t="shared" si="14"/>
        <v>0</v>
      </c>
      <c r="D218" s="134"/>
      <c r="E218" s="285"/>
      <c r="F218" s="286">
        <f t="shared" si="15"/>
        <v>0</v>
      </c>
      <c r="G218" s="134"/>
      <c r="H218" s="135"/>
      <c r="I218" s="136">
        <f t="shared" si="16"/>
        <v>0</v>
      </c>
      <c r="J218" s="134"/>
      <c r="K218" s="135"/>
      <c r="L218" s="136">
        <f t="shared" si="17"/>
        <v>0</v>
      </c>
      <c r="M218" s="284"/>
      <c r="N218" s="285"/>
      <c r="O218" s="136">
        <f t="shared" si="18"/>
        <v>0</v>
      </c>
      <c r="P218" s="85"/>
      <c r="R218" s="53"/>
      <c r="S218" s="53"/>
      <c r="T218" s="53"/>
    </row>
    <row r="219" spans="1:20" x14ac:dyDescent="0.25">
      <c r="A219" s="276">
        <v>5230</v>
      </c>
      <c r="B219" s="127" t="s">
        <v>235</v>
      </c>
      <c r="C219" s="279">
        <f t="shared" si="14"/>
        <v>620</v>
      </c>
      <c r="D219" s="277">
        <f>SUM(D220:D227)</f>
        <v>320</v>
      </c>
      <c r="E219" s="278">
        <f>SUM(E220:E227)</f>
        <v>0</v>
      </c>
      <c r="F219" s="279">
        <f t="shared" si="15"/>
        <v>320</v>
      </c>
      <c r="G219" s="277">
        <f>SUM(G220:G227)</f>
        <v>300</v>
      </c>
      <c r="H219" s="280">
        <f>SUM(H220:H227)</f>
        <v>0</v>
      </c>
      <c r="I219" s="136">
        <f t="shared" si="16"/>
        <v>300</v>
      </c>
      <c r="J219" s="277">
        <f>SUM(J220:J227)</f>
        <v>0</v>
      </c>
      <c r="K219" s="280">
        <f>SUM(K220:K227)</f>
        <v>0</v>
      </c>
      <c r="L219" s="136">
        <f t="shared" si="17"/>
        <v>0</v>
      </c>
      <c r="M219" s="281">
        <f>SUM(M220:M227)</f>
        <v>0</v>
      </c>
      <c r="N219" s="282">
        <f>SUM(N220:N227)</f>
        <v>0</v>
      </c>
      <c r="O219" s="136">
        <f t="shared" si="18"/>
        <v>0</v>
      </c>
      <c r="P219" s="85"/>
      <c r="R219" s="53"/>
      <c r="S219" s="53"/>
      <c r="T219" s="53"/>
    </row>
    <row r="220" spans="1:20" hidden="1" x14ac:dyDescent="0.25">
      <c r="A220" s="76">
        <v>5231</v>
      </c>
      <c r="B220" s="127" t="s">
        <v>236</v>
      </c>
      <c r="C220" s="279">
        <f t="shared" si="14"/>
        <v>0</v>
      </c>
      <c r="D220" s="134"/>
      <c r="E220" s="285"/>
      <c r="F220" s="286">
        <f t="shared" si="15"/>
        <v>0</v>
      </c>
      <c r="G220" s="134"/>
      <c r="H220" s="135"/>
      <c r="I220" s="136">
        <f t="shared" si="16"/>
        <v>0</v>
      </c>
      <c r="J220" s="134"/>
      <c r="K220" s="135"/>
      <c r="L220" s="136">
        <f t="shared" si="17"/>
        <v>0</v>
      </c>
      <c r="M220" s="284"/>
      <c r="N220" s="285"/>
      <c r="O220" s="136">
        <f t="shared" si="18"/>
        <v>0</v>
      </c>
      <c r="P220" s="85"/>
      <c r="R220" s="53"/>
      <c r="S220" s="53"/>
      <c r="T220" s="53"/>
    </row>
    <row r="221" spans="1:20" hidden="1" x14ac:dyDescent="0.25">
      <c r="A221" s="76">
        <v>5232</v>
      </c>
      <c r="B221" s="127" t="s">
        <v>237</v>
      </c>
      <c r="C221" s="279">
        <f t="shared" si="14"/>
        <v>0</v>
      </c>
      <c r="D221" s="134">
        <f>3500-3500</f>
        <v>0</v>
      </c>
      <c r="E221" s="285"/>
      <c r="F221" s="286">
        <f t="shared" si="15"/>
        <v>0</v>
      </c>
      <c r="G221" s="134"/>
      <c r="H221" s="135"/>
      <c r="I221" s="136">
        <f t="shared" si="16"/>
        <v>0</v>
      </c>
      <c r="J221" s="134"/>
      <c r="K221" s="135"/>
      <c r="L221" s="136">
        <f t="shared" si="17"/>
        <v>0</v>
      </c>
      <c r="M221" s="284"/>
      <c r="N221" s="285"/>
      <c r="O221" s="136">
        <f t="shared" si="18"/>
        <v>0</v>
      </c>
      <c r="P221" s="85"/>
      <c r="R221" s="53"/>
      <c r="S221" s="53"/>
      <c r="T221" s="53"/>
    </row>
    <row r="222" spans="1:20" x14ac:dyDescent="0.25">
      <c r="A222" s="76">
        <v>5233</v>
      </c>
      <c r="B222" s="127" t="s">
        <v>238</v>
      </c>
      <c r="C222" s="279">
        <f t="shared" si="14"/>
        <v>620</v>
      </c>
      <c r="D222" s="134">
        <v>320</v>
      </c>
      <c r="E222" s="283"/>
      <c r="F222" s="279">
        <f t="shared" si="15"/>
        <v>320</v>
      </c>
      <c r="G222" s="134">
        <v>300</v>
      </c>
      <c r="H222" s="135"/>
      <c r="I222" s="136">
        <f t="shared" si="16"/>
        <v>300</v>
      </c>
      <c r="J222" s="134"/>
      <c r="K222" s="135"/>
      <c r="L222" s="136">
        <f t="shared" si="17"/>
        <v>0</v>
      </c>
      <c r="M222" s="284"/>
      <c r="N222" s="285"/>
      <c r="O222" s="136">
        <f t="shared" si="18"/>
        <v>0</v>
      </c>
      <c r="P222" s="85"/>
      <c r="R222" s="53"/>
      <c r="S222" s="53"/>
      <c r="T222" s="53"/>
    </row>
    <row r="223" spans="1:20" ht="24" hidden="1" x14ac:dyDescent="0.25">
      <c r="A223" s="76">
        <v>5234</v>
      </c>
      <c r="B223" s="127" t="s">
        <v>239</v>
      </c>
      <c r="C223" s="279">
        <f t="shared" si="14"/>
        <v>0</v>
      </c>
      <c r="D223" s="134"/>
      <c r="E223" s="285"/>
      <c r="F223" s="286">
        <f t="shared" si="15"/>
        <v>0</v>
      </c>
      <c r="G223" s="134"/>
      <c r="H223" s="135"/>
      <c r="I223" s="136">
        <f t="shared" si="16"/>
        <v>0</v>
      </c>
      <c r="J223" s="134"/>
      <c r="K223" s="135"/>
      <c r="L223" s="136">
        <f t="shared" si="17"/>
        <v>0</v>
      </c>
      <c r="M223" s="284"/>
      <c r="N223" s="285"/>
      <c r="O223" s="136">
        <f t="shared" si="18"/>
        <v>0</v>
      </c>
      <c r="P223" s="85"/>
      <c r="R223" s="53"/>
      <c r="S223" s="53"/>
      <c r="T223" s="53"/>
    </row>
    <row r="224" spans="1:20" hidden="1" x14ac:dyDescent="0.25">
      <c r="A224" s="76">
        <v>5236</v>
      </c>
      <c r="B224" s="127" t="s">
        <v>240</v>
      </c>
      <c r="C224" s="279">
        <f t="shared" si="14"/>
        <v>0</v>
      </c>
      <c r="D224" s="134"/>
      <c r="E224" s="285"/>
      <c r="F224" s="286">
        <f t="shared" si="15"/>
        <v>0</v>
      </c>
      <c r="G224" s="134"/>
      <c r="H224" s="135"/>
      <c r="I224" s="136">
        <f t="shared" si="16"/>
        <v>0</v>
      </c>
      <c r="J224" s="134"/>
      <c r="K224" s="135"/>
      <c r="L224" s="136">
        <f t="shared" si="17"/>
        <v>0</v>
      </c>
      <c r="M224" s="284"/>
      <c r="N224" s="285"/>
      <c r="O224" s="136">
        <f t="shared" si="18"/>
        <v>0</v>
      </c>
      <c r="P224" s="85"/>
      <c r="R224" s="53"/>
      <c r="S224" s="53"/>
      <c r="T224" s="53"/>
    </row>
    <row r="225" spans="1:20" hidden="1" x14ac:dyDescent="0.25">
      <c r="A225" s="76">
        <v>5237</v>
      </c>
      <c r="B225" s="127" t="s">
        <v>241</v>
      </c>
      <c r="C225" s="279">
        <f t="shared" si="14"/>
        <v>0</v>
      </c>
      <c r="D225" s="134"/>
      <c r="E225" s="285"/>
      <c r="F225" s="286">
        <f t="shared" si="15"/>
        <v>0</v>
      </c>
      <c r="G225" s="134"/>
      <c r="H225" s="135"/>
      <c r="I225" s="136">
        <f t="shared" si="16"/>
        <v>0</v>
      </c>
      <c r="J225" s="134"/>
      <c r="K225" s="135"/>
      <c r="L225" s="136">
        <f t="shared" si="17"/>
        <v>0</v>
      </c>
      <c r="M225" s="284"/>
      <c r="N225" s="285"/>
      <c r="O225" s="136">
        <f t="shared" si="18"/>
        <v>0</v>
      </c>
      <c r="P225" s="85"/>
      <c r="R225" s="53"/>
      <c r="S225" s="53"/>
      <c r="T225" s="53"/>
    </row>
    <row r="226" spans="1:20" ht="24" hidden="1" x14ac:dyDescent="0.25">
      <c r="A226" s="76">
        <v>5238</v>
      </c>
      <c r="B226" s="127" t="s">
        <v>242</v>
      </c>
      <c r="C226" s="279">
        <f t="shared" si="14"/>
        <v>0</v>
      </c>
      <c r="D226" s="134"/>
      <c r="E226" s="285"/>
      <c r="F226" s="286">
        <f t="shared" si="15"/>
        <v>0</v>
      </c>
      <c r="G226" s="134"/>
      <c r="H226" s="135"/>
      <c r="I226" s="136">
        <f t="shared" si="16"/>
        <v>0</v>
      </c>
      <c r="J226" s="134"/>
      <c r="K226" s="135"/>
      <c r="L226" s="136">
        <f t="shared" si="17"/>
        <v>0</v>
      </c>
      <c r="M226" s="284"/>
      <c r="N226" s="285"/>
      <c r="O226" s="136">
        <f t="shared" si="18"/>
        <v>0</v>
      </c>
      <c r="P226" s="85"/>
      <c r="R226" s="53"/>
      <c r="S226" s="53"/>
      <c r="T226" s="53"/>
    </row>
    <row r="227" spans="1:20" ht="24" hidden="1" x14ac:dyDescent="0.25">
      <c r="A227" s="76">
        <v>5239</v>
      </c>
      <c r="B227" s="127" t="s">
        <v>243</v>
      </c>
      <c r="C227" s="279">
        <f t="shared" si="14"/>
        <v>0</v>
      </c>
      <c r="D227" s="134"/>
      <c r="E227" s="285"/>
      <c r="F227" s="286">
        <f t="shared" si="15"/>
        <v>0</v>
      </c>
      <c r="G227" s="134"/>
      <c r="H227" s="135"/>
      <c r="I227" s="136">
        <f t="shared" si="16"/>
        <v>0</v>
      </c>
      <c r="J227" s="134"/>
      <c r="K227" s="135"/>
      <c r="L227" s="136">
        <f t="shared" si="17"/>
        <v>0</v>
      </c>
      <c r="M227" s="284"/>
      <c r="N227" s="285"/>
      <c r="O227" s="136">
        <f t="shared" si="18"/>
        <v>0</v>
      </c>
      <c r="P227" s="85"/>
      <c r="R227" s="53"/>
      <c r="S227" s="53"/>
      <c r="T227" s="53"/>
    </row>
    <row r="228" spans="1:20" ht="24" hidden="1" x14ac:dyDescent="0.25">
      <c r="A228" s="276">
        <v>5240</v>
      </c>
      <c r="B228" s="127" t="s">
        <v>244</v>
      </c>
      <c r="C228" s="279">
        <f t="shared" si="14"/>
        <v>0</v>
      </c>
      <c r="D228" s="134"/>
      <c r="E228" s="285"/>
      <c r="F228" s="286">
        <f t="shared" si="15"/>
        <v>0</v>
      </c>
      <c r="G228" s="134"/>
      <c r="H228" s="135"/>
      <c r="I228" s="136">
        <f t="shared" si="16"/>
        <v>0</v>
      </c>
      <c r="J228" s="134"/>
      <c r="K228" s="135"/>
      <c r="L228" s="136">
        <f t="shared" si="17"/>
        <v>0</v>
      </c>
      <c r="M228" s="284"/>
      <c r="N228" s="285"/>
      <c r="O228" s="136">
        <f t="shared" si="18"/>
        <v>0</v>
      </c>
      <c r="P228" s="85"/>
      <c r="R228" s="53"/>
      <c r="S228" s="53"/>
      <c r="T228" s="53"/>
    </row>
    <row r="229" spans="1:20" hidden="1" x14ac:dyDescent="0.25">
      <c r="A229" s="276">
        <v>5250</v>
      </c>
      <c r="B229" s="127" t="s">
        <v>245</v>
      </c>
      <c r="C229" s="279">
        <f t="shared" si="14"/>
        <v>0</v>
      </c>
      <c r="D229" s="134"/>
      <c r="E229" s="285"/>
      <c r="F229" s="286">
        <f t="shared" si="15"/>
        <v>0</v>
      </c>
      <c r="G229" s="134"/>
      <c r="H229" s="135"/>
      <c r="I229" s="136">
        <f t="shared" si="16"/>
        <v>0</v>
      </c>
      <c r="J229" s="134"/>
      <c r="K229" s="135"/>
      <c r="L229" s="136">
        <f t="shared" si="17"/>
        <v>0</v>
      </c>
      <c r="M229" s="284"/>
      <c r="N229" s="285"/>
      <c r="O229" s="136">
        <f t="shared" si="18"/>
        <v>0</v>
      </c>
      <c r="P229" s="85"/>
      <c r="R229" s="53"/>
      <c r="S229" s="53"/>
      <c r="T229" s="53"/>
    </row>
    <row r="230" spans="1:20" hidden="1" x14ac:dyDescent="0.25">
      <c r="A230" s="276">
        <v>5260</v>
      </c>
      <c r="B230" s="127" t="s">
        <v>246</v>
      </c>
      <c r="C230" s="279">
        <f t="shared" si="14"/>
        <v>0</v>
      </c>
      <c r="D230" s="277">
        <f>SUM(D231)</f>
        <v>0</v>
      </c>
      <c r="E230" s="282">
        <f>SUM(E231)</f>
        <v>0</v>
      </c>
      <c r="F230" s="286">
        <f t="shared" si="15"/>
        <v>0</v>
      </c>
      <c r="G230" s="277">
        <f>SUM(G231)</f>
        <v>0</v>
      </c>
      <c r="H230" s="280">
        <f>SUM(H231)</f>
        <v>0</v>
      </c>
      <c r="I230" s="136">
        <f t="shared" si="16"/>
        <v>0</v>
      </c>
      <c r="J230" s="277">
        <f>SUM(J231)</f>
        <v>0</v>
      </c>
      <c r="K230" s="280">
        <f>SUM(K231)</f>
        <v>0</v>
      </c>
      <c r="L230" s="136">
        <f t="shared" si="17"/>
        <v>0</v>
      </c>
      <c r="M230" s="281">
        <f>SUM(M231)</f>
        <v>0</v>
      </c>
      <c r="N230" s="282">
        <f>SUM(N231)</f>
        <v>0</v>
      </c>
      <c r="O230" s="136">
        <f t="shared" si="18"/>
        <v>0</v>
      </c>
      <c r="P230" s="85"/>
      <c r="R230" s="53"/>
      <c r="S230" s="53"/>
      <c r="T230" s="53"/>
    </row>
    <row r="231" spans="1:20" ht="24" hidden="1" x14ac:dyDescent="0.25">
      <c r="A231" s="76">
        <v>5269</v>
      </c>
      <c r="B231" s="127" t="s">
        <v>247</v>
      </c>
      <c r="C231" s="279">
        <f t="shared" si="14"/>
        <v>0</v>
      </c>
      <c r="D231" s="134"/>
      <c r="E231" s="285"/>
      <c r="F231" s="286">
        <f t="shared" si="15"/>
        <v>0</v>
      </c>
      <c r="G231" s="134"/>
      <c r="H231" s="135"/>
      <c r="I231" s="136">
        <f t="shared" si="16"/>
        <v>0</v>
      </c>
      <c r="J231" s="134"/>
      <c r="K231" s="135"/>
      <c r="L231" s="136">
        <f t="shared" si="17"/>
        <v>0</v>
      </c>
      <c r="M231" s="284"/>
      <c r="N231" s="285"/>
      <c r="O231" s="136">
        <f t="shared" si="18"/>
        <v>0</v>
      </c>
      <c r="P231" s="85"/>
      <c r="R231" s="53"/>
      <c r="S231" s="53"/>
      <c r="T231" s="53"/>
    </row>
    <row r="232" spans="1:20" ht="24" hidden="1" x14ac:dyDescent="0.25">
      <c r="A232" s="254">
        <v>5270</v>
      </c>
      <c r="B232" s="179" t="s">
        <v>248</v>
      </c>
      <c r="C232" s="302">
        <f t="shared" si="14"/>
        <v>0</v>
      </c>
      <c r="D232" s="287"/>
      <c r="E232" s="291"/>
      <c r="F232" s="310">
        <f t="shared" si="15"/>
        <v>0</v>
      </c>
      <c r="G232" s="287"/>
      <c r="H232" s="289"/>
      <c r="I232" s="259">
        <f t="shared" si="16"/>
        <v>0</v>
      </c>
      <c r="J232" s="287"/>
      <c r="K232" s="289"/>
      <c r="L232" s="259">
        <f t="shared" si="17"/>
        <v>0</v>
      </c>
      <c r="M232" s="290"/>
      <c r="N232" s="291"/>
      <c r="O232" s="259">
        <f t="shared" si="18"/>
        <v>0</v>
      </c>
      <c r="P232" s="189"/>
      <c r="R232" s="53"/>
      <c r="S232" s="53"/>
      <c r="T232" s="53"/>
    </row>
    <row r="233" spans="1:20" hidden="1" x14ac:dyDescent="0.25">
      <c r="A233" s="237">
        <v>6000</v>
      </c>
      <c r="B233" s="237" t="s">
        <v>249</v>
      </c>
      <c r="C233" s="238">
        <f t="shared" si="14"/>
        <v>0</v>
      </c>
      <c r="D233" s="239">
        <f>D234+D254+D261</f>
        <v>0</v>
      </c>
      <c r="E233" s="245">
        <f>E234+E254+E261</f>
        <v>0</v>
      </c>
      <c r="F233" s="320">
        <f t="shared" si="15"/>
        <v>0</v>
      </c>
      <c r="G233" s="239">
        <f>G234+G254+G261</f>
        <v>0</v>
      </c>
      <c r="H233" s="242">
        <f>H234+H254+H261</f>
        <v>0</v>
      </c>
      <c r="I233" s="243">
        <f t="shared" si="16"/>
        <v>0</v>
      </c>
      <c r="J233" s="239">
        <f>J234+J254+J261</f>
        <v>0</v>
      </c>
      <c r="K233" s="242">
        <f>K234+K254+K261</f>
        <v>0</v>
      </c>
      <c r="L233" s="243">
        <f t="shared" si="17"/>
        <v>0</v>
      </c>
      <c r="M233" s="244">
        <f>M234+M254+M261</f>
        <v>0</v>
      </c>
      <c r="N233" s="245">
        <f>N234+N254+N261</f>
        <v>0</v>
      </c>
      <c r="O233" s="243">
        <f t="shared" si="18"/>
        <v>0</v>
      </c>
      <c r="P233" s="246"/>
      <c r="R233" s="53"/>
      <c r="S233" s="53"/>
      <c r="T233" s="53"/>
    </row>
    <row r="234" spans="1:20"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16"/>
        <v>0</v>
      </c>
      <c r="J234" s="334">
        <f>SUM(J235,J236,J238,J241,J247,J248,J249)</f>
        <v>0</v>
      </c>
      <c r="K234" s="336">
        <f>SUM(K235,K236,K238,K241,K247,K248,K249)</f>
        <v>0</v>
      </c>
      <c r="L234" s="252">
        <f t="shared" si="17"/>
        <v>0</v>
      </c>
      <c r="M234" s="250">
        <f>SUM(M235,M236,M238,M241,M247,M248,M249)</f>
        <v>0</v>
      </c>
      <c r="N234" s="251">
        <f>SUM(N235,N236,N238,N241,N247,N248,N249)</f>
        <v>0</v>
      </c>
      <c r="O234" s="252">
        <f t="shared" si="18"/>
        <v>0</v>
      </c>
      <c r="P234" s="253"/>
      <c r="R234" s="53"/>
      <c r="S234" s="53"/>
      <c r="T234" s="53"/>
    </row>
    <row r="235" spans="1:20" ht="24" hidden="1" x14ac:dyDescent="0.25">
      <c r="A235" s="294">
        <v>6220</v>
      </c>
      <c r="B235" s="116" t="s">
        <v>251</v>
      </c>
      <c r="C235" s="298">
        <f t="shared" si="14"/>
        <v>0</v>
      </c>
      <c r="D235" s="123"/>
      <c r="E235" s="262"/>
      <c r="F235" s="263">
        <f t="shared" si="15"/>
        <v>0</v>
      </c>
      <c r="G235" s="123"/>
      <c r="H235" s="124"/>
      <c r="I235" s="125">
        <f t="shared" si="16"/>
        <v>0</v>
      </c>
      <c r="J235" s="123"/>
      <c r="K235" s="124"/>
      <c r="L235" s="125">
        <f t="shared" si="17"/>
        <v>0</v>
      </c>
      <c r="M235" s="264"/>
      <c r="N235" s="262"/>
      <c r="O235" s="125">
        <f t="shared" si="18"/>
        <v>0</v>
      </c>
      <c r="P235" s="74"/>
      <c r="R235" s="53"/>
      <c r="S235" s="53"/>
      <c r="T235" s="53"/>
    </row>
    <row r="236" spans="1:20" hidden="1" x14ac:dyDescent="0.25">
      <c r="A236" s="276">
        <v>6230</v>
      </c>
      <c r="B236" s="127" t="s">
        <v>252</v>
      </c>
      <c r="C236" s="278">
        <f t="shared" si="14"/>
        <v>0</v>
      </c>
      <c r="D236" s="277">
        <f>SUM(D237)</f>
        <v>0</v>
      </c>
      <c r="E236" s="280">
        <f>SUM(E237)</f>
        <v>0</v>
      </c>
      <c r="F236" s="286">
        <f t="shared" si="15"/>
        <v>0</v>
      </c>
      <c r="G236" s="277">
        <f>SUM(G237)</f>
        <v>0</v>
      </c>
      <c r="H236" s="280">
        <f>SUM(H237)</f>
        <v>0</v>
      </c>
      <c r="I236" s="136">
        <f t="shared" si="16"/>
        <v>0</v>
      </c>
      <c r="J236" s="277">
        <f>SUM(J237)</f>
        <v>0</v>
      </c>
      <c r="K236" s="280">
        <f>SUM(K237)</f>
        <v>0</v>
      </c>
      <c r="L236" s="136">
        <f t="shared" si="17"/>
        <v>0</v>
      </c>
      <c r="M236" s="277">
        <f>SUM(M237)</f>
        <v>0</v>
      </c>
      <c r="N236" s="280">
        <f>SUM(N237)</f>
        <v>0</v>
      </c>
      <c r="O236" s="136">
        <f t="shared" si="18"/>
        <v>0</v>
      </c>
      <c r="P236" s="85"/>
      <c r="R236" s="53"/>
      <c r="S236" s="53"/>
      <c r="T236" s="53"/>
    </row>
    <row r="237" spans="1:20" hidden="1" x14ac:dyDescent="0.25">
      <c r="A237" s="76">
        <v>6239</v>
      </c>
      <c r="B237" s="116" t="s">
        <v>253</v>
      </c>
      <c r="C237" s="278">
        <f t="shared" si="14"/>
        <v>0</v>
      </c>
      <c r="D237" s="134"/>
      <c r="E237" s="285"/>
      <c r="F237" s="286">
        <f t="shared" si="15"/>
        <v>0</v>
      </c>
      <c r="G237" s="134"/>
      <c r="H237" s="135"/>
      <c r="I237" s="136">
        <f t="shared" si="16"/>
        <v>0</v>
      </c>
      <c r="J237" s="134"/>
      <c r="K237" s="135"/>
      <c r="L237" s="136">
        <f t="shared" si="17"/>
        <v>0</v>
      </c>
      <c r="M237" s="284"/>
      <c r="N237" s="285"/>
      <c r="O237" s="136">
        <f t="shared" si="18"/>
        <v>0</v>
      </c>
      <c r="P237" s="85"/>
      <c r="R237" s="53"/>
      <c r="S237" s="53"/>
      <c r="T237" s="53"/>
    </row>
    <row r="238" spans="1:20" ht="24" hidden="1" x14ac:dyDescent="0.25">
      <c r="A238" s="276">
        <v>6240</v>
      </c>
      <c r="B238" s="127" t="s">
        <v>254</v>
      </c>
      <c r="C238" s="278">
        <f t="shared" si="14"/>
        <v>0</v>
      </c>
      <c r="D238" s="277">
        <f>SUM(D239:D240)</f>
        <v>0</v>
      </c>
      <c r="E238" s="282">
        <f>SUM(E239:E240)</f>
        <v>0</v>
      </c>
      <c r="F238" s="286">
        <f t="shared" si="15"/>
        <v>0</v>
      </c>
      <c r="G238" s="277">
        <f>SUM(G239:G240)</f>
        <v>0</v>
      </c>
      <c r="H238" s="280">
        <f>SUM(H239:H240)</f>
        <v>0</v>
      </c>
      <c r="I238" s="136">
        <f t="shared" si="16"/>
        <v>0</v>
      </c>
      <c r="J238" s="277">
        <f>SUM(J239:J240)</f>
        <v>0</v>
      </c>
      <c r="K238" s="280">
        <f>SUM(K239:K240)</f>
        <v>0</v>
      </c>
      <c r="L238" s="136">
        <f t="shared" si="17"/>
        <v>0</v>
      </c>
      <c r="M238" s="281">
        <f>SUM(M239:M240)</f>
        <v>0</v>
      </c>
      <c r="N238" s="282">
        <f>SUM(N239:N240)</f>
        <v>0</v>
      </c>
      <c r="O238" s="136">
        <f t="shared" si="18"/>
        <v>0</v>
      </c>
      <c r="P238" s="85"/>
      <c r="R238" s="53"/>
      <c r="S238" s="53"/>
      <c r="T238" s="53"/>
    </row>
    <row r="239" spans="1:20" hidden="1" x14ac:dyDescent="0.25">
      <c r="A239" s="76">
        <v>6241</v>
      </c>
      <c r="B239" s="127" t="s">
        <v>255</v>
      </c>
      <c r="C239" s="278">
        <f t="shared" si="14"/>
        <v>0</v>
      </c>
      <c r="D239" s="134"/>
      <c r="E239" s="285"/>
      <c r="F239" s="286">
        <f t="shared" si="15"/>
        <v>0</v>
      </c>
      <c r="G239" s="134"/>
      <c r="H239" s="135"/>
      <c r="I239" s="136">
        <f t="shared" si="16"/>
        <v>0</v>
      </c>
      <c r="J239" s="134"/>
      <c r="K239" s="135"/>
      <c r="L239" s="136">
        <f t="shared" si="17"/>
        <v>0</v>
      </c>
      <c r="M239" s="284"/>
      <c r="N239" s="285"/>
      <c r="O239" s="136">
        <f t="shared" si="18"/>
        <v>0</v>
      </c>
      <c r="P239" s="85"/>
      <c r="R239" s="53"/>
      <c r="S239" s="53"/>
      <c r="T239" s="53"/>
    </row>
    <row r="240" spans="1:20" hidden="1" x14ac:dyDescent="0.25">
      <c r="A240" s="76">
        <v>6242</v>
      </c>
      <c r="B240" s="127" t="s">
        <v>256</v>
      </c>
      <c r="C240" s="278">
        <f t="shared" si="14"/>
        <v>0</v>
      </c>
      <c r="D240" s="134"/>
      <c r="E240" s="285"/>
      <c r="F240" s="286">
        <f t="shared" si="15"/>
        <v>0</v>
      </c>
      <c r="G240" s="134"/>
      <c r="H240" s="135"/>
      <c r="I240" s="136">
        <f t="shared" si="16"/>
        <v>0</v>
      </c>
      <c r="J240" s="134"/>
      <c r="K240" s="135"/>
      <c r="L240" s="136">
        <f t="shared" si="17"/>
        <v>0</v>
      </c>
      <c r="M240" s="284"/>
      <c r="N240" s="285"/>
      <c r="O240" s="136">
        <f t="shared" si="18"/>
        <v>0</v>
      </c>
      <c r="P240" s="85"/>
      <c r="R240" s="53"/>
      <c r="S240" s="53"/>
      <c r="T240" s="53"/>
    </row>
    <row r="241" spans="1:20" ht="24" hidden="1" x14ac:dyDescent="0.25">
      <c r="A241" s="276">
        <v>6250</v>
      </c>
      <c r="B241" s="127" t="s">
        <v>257</v>
      </c>
      <c r="C241" s="278">
        <f t="shared" si="14"/>
        <v>0</v>
      </c>
      <c r="D241" s="277">
        <f>SUM(D242:D246)</f>
        <v>0</v>
      </c>
      <c r="E241" s="282">
        <f>SUM(E242:E246)</f>
        <v>0</v>
      </c>
      <c r="F241" s="286">
        <f t="shared" si="15"/>
        <v>0</v>
      </c>
      <c r="G241" s="277">
        <f>SUM(G242:G246)</f>
        <v>0</v>
      </c>
      <c r="H241" s="280">
        <f>SUM(H242:H246)</f>
        <v>0</v>
      </c>
      <c r="I241" s="136">
        <f t="shared" si="16"/>
        <v>0</v>
      </c>
      <c r="J241" s="277">
        <f>SUM(J242:J246)</f>
        <v>0</v>
      </c>
      <c r="K241" s="280">
        <f>SUM(K242:K246)</f>
        <v>0</v>
      </c>
      <c r="L241" s="136">
        <f t="shared" si="17"/>
        <v>0</v>
      </c>
      <c r="M241" s="281">
        <f>SUM(M242:M246)</f>
        <v>0</v>
      </c>
      <c r="N241" s="282">
        <f>SUM(N242:N246)</f>
        <v>0</v>
      </c>
      <c r="O241" s="136">
        <f t="shared" si="18"/>
        <v>0</v>
      </c>
      <c r="P241" s="85"/>
      <c r="R241" s="53"/>
      <c r="S241" s="53"/>
      <c r="T241" s="53"/>
    </row>
    <row r="242" spans="1:20" hidden="1" x14ac:dyDescent="0.25">
      <c r="A242" s="76">
        <v>6252</v>
      </c>
      <c r="B242" s="127" t="s">
        <v>258</v>
      </c>
      <c r="C242" s="278">
        <f t="shared" si="14"/>
        <v>0</v>
      </c>
      <c r="D242" s="134"/>
      <c r="E242" s="285"/>
      <c r="F242" s="286">
        <f t="shared" si="15"/>
        <v>0</v>
      </c>
      <c r="G242" s="134"/>
      <c r="H242" s="135"/>
      <c r="I242" s="136">
        <f t="shared" si="16"/>
        <v>0</v>
      </c>
      <c r="J242" s="134"/>
      <c r="K242" s="135"/>
      <c r="L242" s="136">
        <f t="shared" si="17"/>
        <v>0</v>
      </c>
      <c r="M242" s="284"/>
      <c r="N242" s="285"/>
      <c r="O242" s="136">
        <f t="shared" si="18"/>
        <v>0</v>
      </c>
      <c r="P242" s="85"/>
      <c r="R242" s="53"/>
      <c r="S242" s="53"/>
      <c r="T242" s="53"/>
    </row>
    <row r="243" spans="1:20" hidden="1" x14ac:dyDescent="0.25">
      <c r="A243" s="76">
        <v>6253</v>
      </c>
      <c r="B243" s="127" t="s">
        <v>259</v>
      </c>
      <c r="C243" s="278">
        <f t="shared" si="14"/>
        <v>0</v>
      </c>
      <c r="D243" s="134"/>
      <c r="E243" s="285"/>
      <c r="F243" s="286">
        <f t="shared" si="15"/>
        <v>0</v>
      </c>
      <c r="G243" s="134"/>
      <c r="H243" s="135"/>
      <c r="I243" s="136">
        <f t="shared" si="16"/>
        <v>0</v>
      </c>
      <c r="J243" s="134"/>
      <c r="K243" s="135"/>
      <c r="L243" s="136">
        <f t="shared" si="17"/>
        <v>0</v>
      </c>
      <c r="M243" s="284"/>
      <c r="N243" s="285"/>
      <c r="O243" s="136">
        <f t="shared" si="18"/>
        <v>0</v>
      </c>
      <c r="P243" s="85"/>
      <c r="R243" s="53"/>
      <c r="S243" s="53"/>
      <c r="T243" s="53"/>
    </row>
    <row r="244" spans="1:20" ht="24" hidden="1" x14ac:dyDescent="0.25">
      <c r="A244" s="76">
        <v>6254</v>
      </c>
      <c r="B244" s="127" t="s">
        <v>260</v>
      </c>
      <c r="C244" s="278">
        <f t="shared" si="14"/>
        <v>0</v>
      </c>
      <c r="D244" s="134"/>
      <c r="E244" s="285"/>
      <c r="F244" s="286">
        <f t="shared" si="15"/>
        <v>0</v>
      </c>
      <c r="G244" s="134"/>
      <c r="H244" s="135"/>
      <c r="I244" s="136">
        <f t="shared" si="16"/>
        <v>0</v>
      </c>
      <c r="J244" s="134"/>
      <c r="K244" s="135"/>
      <c r="L244" s="136">
        <f t="shared" si="17"/>
        <v>0</v>
      </c>
      <c r="M244" s="284"/>
      <c r="N244" s="285"/>
      <c r="O244" s="136">
        <f t="shared" si="18"/>
        <v>0</v>
      </c>
      <c r="P244" s="85"/>
      <c r="R244" s="53"/>
      <c r="S244" s="53"/>
      <c r="T244" s="53"/>
    </row>
    <row r="245" spans="1:20" ht="24" hidden="1" x14ac:dyDescent="0.25">
      <c r="A245" s="76">
        <v>6255</v>
      </c>
      <c r="B245" s="127" t="s">
        <v>261</v>
      </c>
      <c r="C245" s="278">
        <f t="shared" si="14"/>
        <v>0</v>
      </c>
      <c r="D245" s="134"/>
      <c r="E245" s="285"/>
      <c r="F245" s="286">
        <f t="shared" si="15"/>
        <v>0</v>
      </c>
      <c r="G245" s="134"/>
      <c r="H245" s="135"/>
      <c r="I245" s="136">
        <f t="shared" si="16"/>
        <v>0</v>
      </c>
      <c r="J245" s="134"/>
      <c r="K245" s="135"/>
      <c r="L245" s="136">
        <f t="shared" si="17"/>
        <v>0</v>
      </c>
      <c r="M245" s="284"/>
      <c r="N245" s="285"/>
      <c r="O245" s="136">
        <f t="shared" si="18"/>
        <v>0</v>
      </c>
      <c r="P245" s="85"/>
      <c r="R245" s="53"/>
      <c r="S245" s="53"/>
      <c r="T245" s="53"/>
    </row>
    <row r="246" spans="1:20" hidden="1" x14ac:dyDescent="0.25">
      <c r="A246" s="76">
        <v>6259</v>
      </c>
      <c r="B246" s="127" t="s">
        <v>262</v>
      </c>
      <c r="C246" s="278">
        <f t="shared" si="14"/>
        <v>0</v>
      </c>
      <c r="D246" s="134"/>
      <c r="E246" s="285"/>
      <c r="F246" s="286">
        <f t="shared" si="15"/>
        <v>0</v>
      </c>
      <c r="G246" s="134"/>
      <c r="H246" s="135"/>
      <c r="I246" s="136">
        <f t="shared" si="16"/>
        <v>0</v>
      </c>
      <c r="J246" s="134"/>
      <c r="K246" s="135"/>
      <c r="L246" s="136">
        <f t="shared" si="17"/>
        <v>0</v>
      </c>
      <c r="M246" s="284"/>
      <c r="N246" s="285"/>
      <c r="O246" s="136">
        <f t="shared" si="18"/>
        <v>0</v>
      </c>
      <c r="P246" s="85"/>
      <c r="R246" s="53"/>
      <c r="S246" s="53"/>
      <c r="T246" s="53"/>
    </row>
    <row r="247" spans="1:20" ht="24" hidden="1" x14ac:dyDescent="0.25">
      <c r="A247" s="276">
        <v>6260</v>
      </c>
      <c r="B247" s="127" t="s">
        <v>263</v>
      </c>
      <c r="C247" s="278">
        <f t="shared" si="14"/>
        <v>0</v>
      </c>
      <c r="D247" s="134"/>
      <c r="E247" s="285"/>
      <c r="F247" s="286">
        <f t="shared" ref="F247:F299" si="19">D247+E247</f>
        <v>0</v>
      </c>
      <c r="G247" s="134"/>
      <c r="H247" s="135"/>
      <c r="I247" s="136">
        <f t="shared" ref="I247:I299" si="20">G247+H247</f>
        <v>0</v>
      </c>
      <c r="J247" s="134"/>
      <c r="K247" s="135"/>
      <c r="L247" s="136">
        <f t="shared" ref="L247:L299" si="21">J247+K247</f>
        <v>0</v>
      </c>
      <c r="M247" s="284"/>
      <c r="N247" s="285"/>
      <c r="O247" s="136">
        <f t="shared" ref="O247:O276" si="22">M247+N247</f>
        <v>0</v>
      </c>
      <c r="P247" s="85"/>
      <c r="R247" s="53"/>
      <c r="S247" s="53"/>
      <c r="T247" s="53"/>
    </row>
    <row r="248" spans="1:20" hidden="1" x14ac:dyDescent="0.25">
      <c r="A248" s="276">
        <v>6270</v>
      </c>
      <c r="B248" s="127" t="s">
        <v>264</v>
      </c>
      <c r="C248" s="278">
        <f t="shared" si="14"/>
        <v>0</v>
      </c>
      <c r="D248" s="134"/>
      <c r="E248" s="285"/>
      <c r="F248" s="286">
        <f t="shared" si="19"/>
        <v>0</v>
      </c>
      <c r="G248" s="134"/>
      <c r="H248" s="135"/>
      <c r="I248" s="136">
        <f t="shared" si="20"/>
        <v>0</v>
      </c>
      <c r="J248" s="134"/>
      <c r="K248" s="135"/>
      <c r="L248" s="136">
        <f t="shared" si="21"/>
        <v>0</v>
      </c>
      <c r="M248" s="284"/>
      <c r="N248" s="285"/>
      <c r="O248" s="136">
        <f t="shared" si="22"/>
        <v>0</v>
      </c>
      <c r="P248" s="85"/>
      <c r="R248" s="53"/>
      <c r="S248" s="53"/>
      <c r="T248" s="53"/>
    </row>
    <row r="249" spans="1:20" hidden="1" x14ac:dyDescent="0.25">
      <c r="A249" s="294">
        <v>6290</v>
      </c>
      <c r="B249" s="116" t="s">
        <v>265</v>
      </c>
      <c r="C249" s="278">
        <f t="shared" si="14"/>
        <v>0</v>
      </c>
      <c r="D249" s="297">
        <f>SUM(D250:D253)</f>
        <v>0</v>
      </c>
      <c r="E249" s="301">
        <f>SUM(E250:E253)</f>
        <v>0</v>
      </c>
      <c r="F249" s="263">
        <f t="shared" si="19"/>
        <v>0</v>
      </c>
      <c r="G249" s="297">
        <f>SUM(G250:G253)</f>
        <v>0</v>
      </c>
      <c r="H249" s="299">
        <f>SUM(H250:H253)</f>
        <v>0</v>
      </c>
      <c r="I249" s="125">
        <f t="shared" si="20"/>
        <v>0</v>
      </c>
      <c r="J249" s="297">
        <f>SUM(J250:J253)</f>
        <v>0</v>
      </c>
      <c r="K249" s="299">
        <f>SUM(K250:K253)</f>
        <v>0</v>
      </c>
      <c r="L249" s="125">
        <f t="shared" si="21"/>
        <v>0</v>
      </c>
      <c r="M249" s="322">
        <f>SUM(M250:M253)</f>
        <v>0</v>
      </c>
      <c r="N249" s="323">
        <f>SUM(N250:N253)</f>
        <v>0</v>
      </c>
      <c r="O249" s="324">
        <f t="shared" si="22"/>
        <v>0</v>
      </c>
      <c r="P249" s="325"/>
      <c r="R249" s="53"/>
      <c r="S249" s="53"/>
      <c r="T249" s="53"/>
    </row>
    <row r="250" spans="1:20" hidden="1" x14ac:dyDescent="0.25">
      <c r="A250" s="76">
        <v>6291</v>
      </c>
      <c r="B250" s="127" t="s">
        <v>266</v>
      </c>
      <c r="C250" s="278">
        <f t="shared" si="14"/>
        <v>0</v>
      </c>
      <c r="D250" s="134"/>
      <c r="E250" s="285"/>
      <c r="F250" s="286">
        <f t="shared" si="19"/>
        <v>0</v>
      </c>
      <c r="G250" s="134"/>
      <c r="H250" s="135"/>
      <c r="I250" s="136">
        <f t="shared" si="20"/>
        <v>0</v>
      </c>
      <c r="J250" s="134"/>
      <c r="K250" s="135"/>
      <c r="L250" s="136">
        <f t="shared" si="21"/>
        <v>0</v>
      </c>
      <c r="M250" s="284"/>
      <c r="N250" s="285"/>
      <c r="O250" s="136">
        <f t="shared" si="22"/>
        <v>0</v>
      </c>
      <c r="P250" s="85"/>
      <c r="R250" s="53"/>
      <c r="S250" s="53"/>
      <c r="T250" s="53"/>
    </row>
    <row r="251" spans="1:20" hidden="1" x14ac:dyDescent="0.25">
      <c r="A251" s="76">
        <v>6292</v>
      </c>
      <c r="B251" s="127" t="s">
        <v>267</v>
      </c>
      <c r="C251" s="278">
        <f t="shared" si="14"/>
        <v>0</v>
      </c>
      <c r="D251" s="134"/>
      <c r="E251" s="285"/>
      <c r="F251" s="286">
        <f t="shared" si="19"/>
        <v>0</v>
      </c>
      <c r="G251" s="134"/>
      <c r="H251" s="135"/>
      <c r="I251" s="136">
        <f t="shared" si="20"/>
        <v>0</v>
      </c>
      <c r="J251" s="134"/>
      <c r="K251" s="135"/>
      <c r="L251" s="136">
        <f t="shared" si="21"/>
        <v>0</v>
      </c>
      <c r="M251" s="284"/>
      <c r="N251" s="285"/>
      <c r="O251" s="136">
        <f t="shared" si="22"/>
        <v>0</v>
      </c>
      <c r="P251" s="85"/>
      <c r="R251" s="53"/>
      <c r="S251" s="53"/>
      <c r="T251" s="53"/>
    </row>
    <row r="252" spans="1:20" ht="72" hidden="1" x14ac:dyDescent="0.25">
      <c r="A252" s="76">
        <v>6296</v>
      </c>
      <c r="B252" s="127" t="s">
        <v>268</v>
      </c>
      <c r="C252" s="278">
        <f t="shared" si="14"/>
        <v>0</v>
      </c>
      <c r="D252" s="134"/>
      <c r="E252" s="285"/>
      <c r="F252" s="286">
        <f t="shared" si="19"/>
        <v>0</v>
      </c>
      <c r="G252" s="134"/>
      <c r="H252" s="135"/>
      <c r="I252" s="136">
        <f t="shared" si="20"/>
        <v>0</v>
      </c>
      <c r="J252" s="134"/>
      <c r="K252" s="135"/>
      <c r="L252" s="136">
        <f t="shared" si="21"/>
        <v>0</v>
      </c>
      <c r="M252" s="284"/>
      <c r="N252" s="285"/>
      <c r="O252" s="136">
        <f t="shared" si="22"/>
        <v>0</v>
      </c>
      <c r="P252" s="85"/>
      <c r="R252" s="53"/>
      <c r="S252" s="53"/>
      <c r="T252" s="53"/>
    </row>
    <row r="253" spans="1:20" ht="36" hidden="1" x14ac:dyDescent="0.25">
      <c r="A253" s="76">
        <v>6299</v>
      </c>
      <c r="B253" s="127" t="s">
        <v>269</v>
      </c>
      <c r="C253" s="278">
        <f t="shared" si="14"/>
        <v>0</v>
      </c>
      <c r="D253" s="134"/>
      <c r="E253" s="285"/>
      <c r="F253" s="286">
        <f t="shared" si="19"/>
        <v>0</v>
      </c>
      <c r="G253" s="134"/>
      <c r="H253" s="135"/>
      <c r="I253" s="136">
        <f t="shared" si="20"/>
        <v>0</v>
      </c>
      <c r="J253" s="134"/>
      <c r="K253" s="135"/>
      <c r="L253" s="136">
        <f t="shared" si="21"/>
        <v>0</v>
      </c>
      <c r="M253" s="284"/>
      <c r="N253" s="285"/>
      <c r="O253" s="136">
        <f t="shared" si="22"/>
        <v>0</v>
      </c>
      <c r="P253" s="85"/>
      <c r="R253" s="53"/>
      <c r="S253" s="53"/>
      <c r="T253" s="53"/>
    </row>
    <row r="254" spans="1:20" hidden="1" x14ac:dyDescent="0.25">
      <c r="A254" s="99">
        <v>6300</v>
      </c>
      <c r="B254" s="247" t="s">
        <v>270</v>
      </c>
      <c r="C254" s="100">
        <f t="shared" si="14"/>
        <v>0</v>
      </c>
      <c r="D254" s="112">
        <f>SUM(D255,D259,D260)</f>
        <v>0</v>
      </c>
      <c r="E254" s="293">
        <f>SUM(E255,E259,E260)</f>
        <v>0</v>
      </c>
      <c r="F254" s="313">
        <f t="shared" si="19"/>
        <v>0</v>
      </c>
      <c r="G254" s="112">
        <f>SUM(G255,G259,G260)</f>
        <v>0</v>
      </c>
      <c r="H254" s="113">
        <f>SUM(H255,H259,H260)</f>
        <v>0</v>
      </c>
      <c r="I254" s="114">
        <f t="shared" si="20"/>
        <v>0</v>
      </c>
      <c r="J254" s="112">
        <f>SUM(J255,J259,J260)</f>
        <v>0</v>
      </c>
      <c r="K254" s="113">
        <f>SUM(K255,K259,K260)</f>
        <v>0</v>
      </c>
      <c r="L254" s="114">
        <f t="shared" si="21"/>
        <v>0</v>
      </c>
      <c r="M254" s="303">
        <f>SUM(M255,M259,M260)</f>
        <v>0</v>
      </c>
      <c r="N254" s="304">
        <f>SUM(N255,N259,N260)</f>
        <v>0</v>
      </c>
      <c r="O254" s="305">
        <f t="shared" si="22"/>
        <v>0</v>
      </c>
      <c r="P254" s="306"/>
      <c r="R254" s="53"/>
      <c r="S254" s="53"/>
      <c r="T254" s="53"/>
    </row>
    <row r="255" spans="1:20" ht="24" hidden="1" x14ac:dyDescent="0.25">
      <c r="A255" s="294">
        <v>6320</v>
      </c>
      <c r="B255" s="116" t="s">
        <v>271</v>
      </c>
      <c r="C255" s="322">
        <f t="shared" si="14"/>
        <v>0</v>
      </c>
      <c r="D255" s="297">
        <f>SUM(D256:D258)</f>
        <v>0</v>
      </c>
      <c r="E255" s="301">
        <f>SUM(E256:E258)</f>
        <v>0</v>
      </c>
      <c r="F255" s="263">
        <f t="shared" si="19"/>
        <v>0</v>
      </c>
      <c r="G255" s="297">
        <f>SUM(G256:G258)</f>
        <v>0</v>
      </c>
      <c r="H255" s="299">
        <f>SUM(H256:H258)</f>
        <v>0</v>
      </c>
      <c r="I255" s="125">
        <f t="shared" si="20"/>
        <v>0</v>
      </c>
      <c r="J255" s="297">
        <f>SUM(J256:J258)</f>
        <v>0</v>
      </c>
      <c r="K255" s="299">
        <f>SUM(K256:K258)</f>
        <v>0</v>
      </c>
      <c r="L255" s="125">
        <f t="shared" si="21"/>
        <v>0</v>
      </c>
      <c r="M255" s="300">
        <f>SUM(M256:M258)</f>
        <v>0</v>
      </c>
      <c r="N255" s="301">
        <f>SUM(N256:N258)</f>
        <v>0</v>
      </c>
      <c r="O255" s="125">
        <f t="shared" si="22"/>
        <v>0</v>
      </c>
      <c r="P255" s="74"/>
      <c r="R255" s="53"/>
      <c r="S255" s="53"/>
      <c r="T255" s="53"/>
    </row>
    <row r="256" spans="1:20" hidden="1" x14ac:dyDescent="0.25">
      <c r="A256" s="76">
        <v>6322</v>
      </c>
      <c r="B256" s="127" t="s">
        <v>272</v>
      </c>
      <c r="C256" s="281">
        <f t="shared" si="14"/>
        <v>0</v>
      </c>
      <c r="D256" s="134"/>
      <c r="E256" s="285"/>
      <c r="F256" s="286">
        <f t="shared" si="19"/>
        <v>0</v>
      </c>
      <c r="G256" s="134"/>
      <c r="H256" s="135"/>
      <c r="I256" s="136">
        <f t="shared" si="20"/>
        <v>0</v>
      </c>
      <c r="J256" s="134"/>
      <c r="K256" s="135"/>
      <c r="L256" s="136">
        <f t="shared" si="21"/>
        <v>0</v>
      </c>
      <c r="M256" s="284"/>
      <c r="N256" s="285"/>
      <c r="O256" s="136">
        <f t="shared" si="22"/>
        <v>0</v>
      </c>
      <c r="P256" s="85"/>
      <c r="R256" s="53"/>
      <c r="S256" s="53"/>
      <c r="T256" s="53"/>
    </row>
    <row r="257" spans="1:20" ht="24" hidden="1" x14ac:dyDescent="0.25">
      <c r="A257" s="76">
        <v>6323</v>
      </c>
      <c r="B257" s="127" t="s">
        <v>273</v>
      </c>
      <c r="C257" s="281">
        <f t="shared" si="14"/>
        <v>0</v>
      </c>
      <c r="D257" s="134"/>
      <c r="E257" s="285"/>
      <c r="F257" s="286">
        <f t="shared" si="19"/>
        <v>0</v>
      </c>
      <c r="G257" s="134"/>
      <c r="H257" s="135"/>
      <c r="I257" s="136">
        <f t="shared" si="20"/>
        <v>0</v>
      </c>
      <c r="J257" s="134"/>
      <c r="K257" s="135"/>
      <c r="L257" s="136">
        <f t="shared" si="21"/>
        <v>0</v>
      </c>
      <c r="M257" s="284"/>
      <c r="N257" s="285"/>
      <c r="O257" s="136">
        <f t="shared" si="22"/>
        <v>0</v>
      </c>
      <c r="P257" s="85"/>
      <c r="R257" s="53"/>
      <c r="S257" s="53"/>
      <c r="T257" s="53"/>
    </row>
    <row r="258" spans="1:20" ht="24" hidden="1" x14ac:dyDescent="0.25">
      <c r="A258" s="66">
        <v>6324</v>
      </c>
      <c r="B258" s="116" t="s">
        <v>274</v>
      </c>
      <c r="C258" s="281">
        <f t="shared" si="14"/>
        <v>0</v>
      </c>
      <c r="D258" s="123"/>
      <c r="E258" s="262"/>
      <c r="F258" s="263">
        <f t="shared" si="19"/>
        <v>0</v>
      </c>
      <c r="G258" s="123"/>
      <c r="H258" s="124"/>
      <c r="I258" s="125">
        <f t="shared" si="20"/>
        <v>0</v>
      </c>
      <c r="J258" s="123"/>
      <c r="K258" s="124"/>
      <c r="L258" s="125">
        <f t="shared" si="21"/>
        <v>0</v>
      </c>
      <c r="M258" s="264"/>
      <c r="N258" s="262"/>
      <c r="O258" s="125">
        <f t="shared" si="22"/>
        <v>0</v>
      </c>
      <c r="P258" s="74"/>
      <c r="R258" s="53"/>
      <c r="S258" s="53"/>
      <c r="T258" s="53"/>
    </row>
    <row r="259" spans="1:20" ht="24" hidden="1" x14ac:dyDescent="0.25">
      <c r="A259" s="344">
        <v>6330</v>
      </c>
      <c r="B259" s="345" t="s">
        <v>275</v>
      </c>
      <c r="C259" s="281">
        <f t="shared" ref="C259:C286" si="23">F259+I259+L259+O259</f>
        <v>0</v>
      </c>
      <c r="D259" s="328"/>
      <c r="E259" s="329"/>
      <c r="F259" s="330">
        <f t="shared" si="19"/>
        <v>0</v>
      </c>
      <c r="G259" s="328"/>
      <c r="H259" s="331"/>
      <c r="I259" s="324">
        <f t="shared" si="20"/>
        <v>0</v>
      </c>
      <c r="J259" s="328"/>
      <c r="K259" s="331"/>
      <c r="L259" s="324">
        <f t="shared" si="21"/>
        <v>0</v>
      </c>
      <c r="M259" s="332"/>
      <c r="N259" s="329"/>
      <c r="O259" s="324">
        <f t="shared" si="22"/>
        <v>0</v>
      </c>
      <c r="P259" s="325"/>
      <c r="R259" s="53"/>
      <c r="S259" s="53"/>
      <c r="T259" s="53"/>
    </row>
    <row r="260" spans="1:20" hidden="1" x14ac:dyDescent="0.25">
      <c r="A260" s="276">
        <v>6360</v>
      </c>
      <c r="B260" s="127" t="s">
        <v>276</v>
      </c>
      <c r="C260" s="281">
        <f t="shared" si="23"/>
        <v>0</v>
      </c>
      <c r="D260" s="134"/>
      <c r="E260" s="285"/>
      <c r="F260" s="286">
        <f t="shared" si="19"/>
        <v>0</v>
      </c>
      <c r="G260" s="134"/>
      <c r="H260" s="135"/>
      <c r="I260" s="136">
        <f t="shared" si="20"/>
        <v>0</v>
      </c>
      <c r="J260" s="134"/>
      <c r="K260" s="135"/>
      <c r="L260" s="136">
        <f t="shared" si="21"/>
        <v>0</v>
      </c>
      <c r="M260" s="284"/>
      <c r="N260" s="285"/>
      <c r="O260" s="136">
        <f t="shared" si="22"/>
        <v>0</v>
      </c>
      <c r="P260" s="85"/>
      <c r="R260" s="53"/>
      <c r="S260" s="53"/>
      <c r="T260" s="53"/>
    </row>
    <row r="261" spans="1:20" ht="24" hidden="1" x14ac:dyDescent="0.25">
      <c r="A261" s="99">
        <v>6400</v>
      </c>
      <c r="B261" s="247" t="s">
        <v>277</v>
      </c>
      <c r="C261" s="100">
        <f t="shared" si="23"/>
        <v>0</v>
      </c>
      <c r="D261" s="112">
        <f>SUM(D262,D266)</f>
        <v>0</v>
      </c>
      <c r="E261" s="293">
        <f>SUM(E262,E266)</f>
        <v>0</v>
      </c>
      <c r="F261" s="313">
        <f t="shared" si="19"/>
        <v>0</v>
      </c>
      <c r="G261" s="112">
        <f>SUM(G262,G266)</f>
        <v>0</v>
      </c>
      <c r="H261" s="113">
        <f>SUM(H262,H266)</f>
        <v>0</v>
      </c>
      <c r="I261" s="114">
        <f t="shared" si="20"/>
        <v>0</v>
      </c>
      <c r="J261" s="112">
        <f>SUM(J262,J266)</f>
        <v>0</v>
      </c>
      <c r="K261" s="113">
        <f>SUM(K262,K266)</f>
        <v>0</v>
      </c>
      <c r="L261" s="114">
        <f t="shared" si="21"/>
        <v>0</v>
      </c>
      <c r="M261" s="303">
        <f>SUM(M262,M266)</f>
        <v>0</v>
      </c>
      <c r="N261" s="304">
        <f>SUM(N262,N266)</f>
        <v>0</v>
      </c>
      <c r="O261" s="305">
        <f t="shared" si="22"/>
        <v>0</v>
      </c>
      <c r="P261" s="306"/>
      <c r="R261" s="53"/>
      <c r="S261" s="53"/>
      <c r="T261" s="53"/>
    </row>
    <row r="262" spans="1:20" ht="24" hidden="1" x14ac:dyDescent="0.25">
      <c r="A262" s="294">
        <v>6410</v>
      </c>
      <c r="B262" s="116" t="s">
        <v>278</v>
      </c>
      <c r="C262" s="300">
        <f t="shared" si="23"/>
        <v>0</v>
      </c>
      <c r="D262" s="297">
        <f>SUM(D263:D265)</f>
        <v>0</v>
      </c>
      <c r="E262" s="301">
        <f>SUM(E263:E265)</f>
        <v>0</v>
      </c>
      <c r="F262" s="263">
        <f t="shared" si="19"/>
        <v>0</v>
      </c>
      <c r="G262" s="297">
        <f>SUM(G263:G265)</f>
        <v>0</v>
      </c>
      <c r="H262" s="299">
        <f>SUM(H263:H265)</f>
        <v>0</v>
      </c>
      <c r="I262" s="125">
        <f t="shared" si="20"/>
        <v>0</v>
      </c>
      <c r="J262" s="297">
        <f>SUM(J263:J265)</f>
        <v>0</v>
      </c>
      <c r="K262" s="299">
        <f>SUM(K263:K265)</f>
        <v>0</v>
      </c>
      <c r="L262" s="125">
        <f t="shared" si="21"/>
        <v>0</v>
      </c>
      <c r="M262" s="317">
        <f>SUM(M263:M265)</f>
        <v>0</v>
      </c>
      <c r="N262" s="318">
        <f>SUM(N263:N265)</f>
        <v>0</v>
      </c>
      <c r="O262" s="151">
        <f t="shared" si="22"/>
        <v>0</v>
      </c>
      <c r="P262" s="153"/>
      <c r="R262" s="53"/>
      <c r="S262" s="53"/>
      <c r="T262" s="53"/>
    </row>
    <row r="263" spans="1:20" hidden="1" x14ac:dyDescent="0.25">
      <c r="A263" s="76">
        <v>6411</v>
      </c>
      <c r="B263" s="346" t="s">
        <v>279</v>
      </c>
      <c r="C263" s="278">
        <f t="shared" si="23"/>
        <v>0</v>
      </c>
      <c r="D263" s="134"/>
      <c r="E263" s="285"/>
      <c r="F263" s="286">
        <f t="shared" si="19"/>
        <v>0</v>
      </c>
      <c r="G263" s="134"/>
      <c r="H263" s="135"/>
      <c r="I263" s="136">
        <f t="shared" si="20"/>
        <v>0</v>
      </c>
      <c r="J263" s="134"/>
      <c r="K263" s="135"/>
      <c r="L263" s="136">
        <f t="shared" si="21"/>
        <v>0</v>
      </c>
      <c r="M263" s="284"/>
      <c r="N263" s="285"/>
      <c r="O263" s="136">
        <f t="shared" si="22"/>
        <v>0</v>
      </c>
      <c r="P263" s="85"/>
      <c r="R263" s="53"/>
      <c r="S263" s="53"/>
      <c r="T263" s="53"/>
    </row>
    <row r="264" spans="1:20" ht="36" hidden="1" x14ac:dyDescent="0.25">
      <c r="A264" s="76">
        <v>6412</v>
      </c>
      <c r="B264" s="127" t="s">
        <v>280</v>
      </c>
      <c r="C264" s="278">
        <f t="shared" si="23"/>
        <v>0</v>
      </c>
      <c r="D264" s="134"/>
      <c r="E264" s="285"/>
      <c r="F264" s="286">
        <f t="shared" si="19"/>
        <v>0</v>
      </c>
      <c r="G264" s="134"/>
      <c r="H264" s="135"/>
      <c r="I264" s="136">
        <f t="shared" si="20"/>
        <v>0</v>
      </c>
      <c r="J264" s="134"/>
      <c r="K264" s="135"/>
      <c r="L264" s="136">
        <f t="shared" si="21"/>
        <v>0</v>
      </c>
      <c r="M264" s="284"/>
      <c r="N264" s="285"/>
      <c r="O264" s="136">
        <f t="shared" si="22"/>
        <v>0</v>
      </c>
      <c r="P264" s="85"/>
      <c r="R264" s="53"/>
      <c r="S264" s="53"/>
      <c r="T264" s="53"/>
    </row>
    <row r="265" spans="1:20" ht="36" hidden="1" x14ac:dyDescent="0.25">
      <c r="A265" s="76">
        <v>6419</v>
      </c>
      <c r="B265" s="127" t="s">
        <v>281</v>
      </c>
      <c r="C265" s="278">
        <f t="shared" si="23"/>
        <v>0</v>
      </c>
      <c r="D265" s="134"/>
      <c r="E265" s="285"/>
      <c r="F265" s="286">
        <f t="shared" si="19"/>
        <v>0</v>
      </c>
      <c r="G265" s="134"/>
      <c r="H265" s="135"/>
      <c r="I265" s="136">
        <f t="shared" si="20"/>
        <v>0</v>
      </c>
      <c r="J265" s="134"/>
      <c r="K265" s="135"/>
      <c r="L265" s="136">
        <f t="shared" si="21"/>
        <v>0</v>
      </c>
      <c r="M265" s="284"/>
      <c r="N265" s="285"/>
      <c r="O265" s="136">
        <f t="shared" si="22"/>
        <v>0</v>
      </c>
      <c r="P265" s="85"/>
      <c r="R265" s="53"/>
      <c r="S265" s="53"/>
      <c r="T265" s="53"/>
    </row>
    <row r="266" spans="1:20" ht="36" hidden="1" x14ac:dyDescent="0.25">
      <c r="A266" s="276">
        <v>6420</v>
      </c>
      <c r="B266" s="127" t="s">
        <v>282</v>
      </c>
      <c r="C266" s="278">
        <f t="shared" si="23"/>
        <v>0</v>
      </c>
      <c r="D266" s="277">
        <f>SUM(D267:D270)</f>
        <v>0</v>
      </c>
      <c r="E266" s="282">
        <f>SUM(E267:E270)</f>
        <v>0</v>
      </c>
      <c r="F266" s="286">
        <f t="shared" si="19"/>
        <v>0</v>
      </c>
      <c r="G266" s="277">
        <f>SUM(G267:G270)</f>
        <v>0</v>
      </c>
      <c r="H266" s="280">
        <f>SUM(H267:H270)</f>
        <v>0</v>
      </c>
      <c r="I266" s="136">
        <f t="shared" si="20"/>
        <v>0</v>
      </c>
      <c r="J266" s="277">
        <f>SUM(J267:J270)</f>
        <v>0</v>
      </c>
      <c r="K266" s="280">
        <f>SUM(K267:K270)</f>
        <v>0</v>
      </c>
      <c r="L266" s="136">
        <f t="shared" si="21"/>
        <v>0</v>
      </c>
      <c r="M266" s="281">
        <f>SUM(M267:M270)</f>
        <v>0</v>
      </c>
      <c r="N266" s="282">
        <f>SUM(N267:N270)</f>
        <v>0</v>
      </c>
      <c r="O266" s="136">
        <f t="shared" si="22"/>
        <v>0</v>
      </c>
      <c r="P266" s="85"/>
      <c r="R266" s="53"/>
      <c r="S266" s="53"/>
      <c r="T266" s="53"/>
    </row>
    <row r="267" spans="1:20" hidden="1" x14ac:dyDescent="0.25">
      <c r="A267" s="76">
        <v>6421</v>
      </c>
      <c r="B267" s="127" t="s">
        <v>283</v>
      </c>
      <c r="C267" s="278">
        <f t="shared" si="23"/>
        <v>0</v>
      </c>
      <c r="D267" s="134"/>
      <c r="E267" s="285"/>
      <c r="F267" s="286">
        <f t="shared" si="19"/>
        <v>0</v>
      </c>
      <c r="G267" s="134"/>
      <c r="H267" s="135"/>
      <c r="I267" s="136">
        <f t="shared" si="20"/>
        <v>0</v>
      </c>
      <c r="J267" s="134"/>
      <c r="K267" s="135"/>
      <c r="L267" s="136">
        <f t="shared" si="21"/>
        <v>0</v>
      </c>
      <c r="M267" s="284"/>
      <c r="N267" s="285"/>
      <c r="O267" s="136">
        <f t="shared" si="22"/>
        <v>0</v>
      </c>
      <c r="P267" s="85"/>
      <c r="R267" s="53"/>
      <c r="S267" s="53"/>
      <c r="T267" s="53"/>
    </row>
    <row r="268" spans="1:20" hidden="1" x14ac:dyDescent="0.25">
      <c r="A268" s="76">
        <v>6422</v>
      </c>
      <c r="B268" s="127" t="s">
        <v>284</v>
      </c>
      <c r="C268" s="278">
        <f t="shared" si="23"/>
        <v>0</v>
      </c>
      <c r="D268" s="134"/>
      <c r="E268" s="285"/>
      <c r="F268" s="286">
        <f t="shared" si="19"/>
        <v>0</v>
      </c>
      <c r="G268" s="134"/>
      <c r="H268" s="135"/>
      <c r="I268" s="136">
        <f t="shared" si="20"/>
        <v>0</v>
      </c>
      <c r="J268" s="134"/>
      <c r="K268" s="135"/>
      <c r="L268" s="136">
        <f t="shared" si="21"/>
        <v>0</v>
      </c>
      <c r="M268" s="284"/>
      <c r="N268" s="285"/>
      <c r="O268" s="136">
        <f t="shared" si="22"/>
        <v>0</v>
      </c>
      <c r="P268" s="85"/>
      <c r="R268" s="53"/>
      <c r="S268" s="53"/>
      <c r="T268" s="53"/>
    </row>
    <row r="269" spans="1:20" hidden="1" x14ac:dyDescent="0.25">
      <c r="A269" s="76">
        <v>6423</v>
      </c>
      <c r="B269" s="127" t="s">
        <v>285</v>
      </c>
      <c r="C269" s="278">
        <f t="shared" si="23"/>
        <v>0</v>
      </c>
      <c r="D269" s="134"/>
      <c r="E269" s="285"/>
      <c r="F269" s="286">
        <f t="shared" si="19"/>
        <v>0</v>
      </c>
      <c r="G269" s="134"/>
      <c r="H269" s="135"/>
      <c r="I269" s="136">
        <f t="shared" si="20"/>
        <v>0</v>
      </c>
      <c r="J269" s="134"/>
      <c r="K269" s="135"/>
      <c r="L269" s="136">
        <f t="shared" si="21"/>
        <v>0</v>
      </c>
      <c r="M269" s="284"/>
      <c r="N269" s="285"/>
      <c r="O269" s="136">
        <f t="shared" si="22"/>
        <v>0</v>
      </c>
      <c r="P269" s="85"/>
      <c r="R269" s="53"/>
      <c r="S269" s="53"/>
      <c r="T269" s="53"/>
    </row>
    <row r="270" spans="1:20" ht="36" hidden="1" x14ac:dyDescent="0.25">
      <c r="A270" s="76">
        <v>6424</v>
      </c>
      <c r="B270" s="127" t="s">
        <v>286</v>
      </c>
      <c r="C270" s="278">
        <f t="shared" si="23"/>
        <v>0</v>
      </c>
      <c r="D270" s="134"/>
      <c r="E270" s="285"/>
      <c r="F270" s="286">
        <f t="shared" si="19"/>
        <v>0</v>
      </c>
      <c r="G270" s="134"/>
      <c r="H270" s="135"/>
      <c r="I270" s="136">
        <f t="shared" si="20"/>
        <v>0</v>
      </c>
      <c r="J270" s="134"/>
      <c r="K270" s="135"/>
      <c r="L270" s="136">
        <f t="shared" si="21"/>
        <v>0</v>
      </c>
      <c r="M270" s="284"/>
      <c r="N270" s="285"/>
      <c r="O270" s="136">
        <f t="shared" si="22"/>
        <v>0</v>
      </c>
      <c r="P270" s="85"/>
      <c r="R270" s="53"/>
      <c r="S270" s="53"/>
      <c r="T270" s="53"/>
    </row>
    <row r="271" spans="1:20" ht="36" x14ac:dyDescent="0.25">
      <c r="A271" s="347">
        <v>7000</v>
      </c>
      <c r="B271" s="347" t="s">
        <v>287</v>
      </c>
      <c r="C271" s="348">
        <f t="shared" si="23"/>
        <v>37</v>
      </c>
      <c r="D271" s="349">
        <f>SUM(D272,D282)</f>
        <v>0</v>
      </c>
      <c r="E271" s="350">
        <f>SUM(E272,E282)</f>
        <v>0</v>
      </c>
      <c r="F271" s="351">
        <f t="shared" si="19"/>
        <v>0</v>
      </c>
      <c r="G271" s="349">
        <f>SUM(G272,G282)</f>
        <v>0</v>
      </c>
      <c r="H271" s="352">
        <f>SUM(H272,H282)</f>
        <v>0</v>
      </c>
      <c r="I271" s="353">
        <f t="shared" si="20"/>
        <v>0</v>
      </c>
      <c r="J271" s="349">
        <f>SUM(J272,J282)</f>
        <v>37</v>
      </c>
      <c r="K271" s="352">
        <f>SUM(K272,K282)</f>
        <v>0</v>
      </c>
      <c r="L271" s="353">
        <f t="shared" si="21"/>
        <v>37</v>
      </c>
      <c r="M271" s="354">
        <f>SUM(M272,M282)</f>
        <v>0</v>
      </c>
      <c r="N271" s="355">
        <f>SUM(N272,N282)</f>
        <v>0</v>
      </c>
      <c r="O271" s="356">
        <f t="shared" si="22"/>
        <v>0</v>
      </c>
      <c r="P271" s="357"/>
      <c r="R271" s="53"/>
      <c r="S271" s="53"/>
      <c r="T271" s="53"/>
    </row>
    <row r="272" spans="1:20" ht="24" x14ac:dyDescent="0.25">
      <c r="A272" s="99">
        <v>7200</v>
      </c>
      <c r="B272" s="247" t="s">
        <v>288</v>
      </c>
      <c r="C272" s="100">
        <f t="shared" si="23"/>
        <v>37</v>
      </c>
      <c r="D272" s="112">
        <f>SUM(D273,D274,D277,D278,D281)</f>
        <v>0</v>
      </c>
      <c r="E272" s="248">
        <f>SUM(E273,E274,E277,E278,E281)</f>
        <v>0</v>
      </c>
      <c r="F272" s="249">
        <f t="shared" si="19"/>
        <v>0</v>
      </c>
      <c r="G272" s="112">
        <f>SUM(G273,G274,G277,G278,G281)</f>
        <v>0</v>
      </c>
      <c r="H272" s="113">
        <f>SUM(H273,H274,H277,H278,H281)</f>
        <v>0</v>
      </c>
      <c r="I272" s="114">
        <f t="shared" si="20"/>
        <v>0</v>
      </c>
      <c r="J272" s="112">
        <f>SUM(J273,J274,J277,J278,J281)</f>
        <v>37</v>
      </c>
      <c r="K272" s="113">
        <f>SUM(K273,K274,K277,K278,K281)</f>
        <v>0</v>
      </c>
      <c r="L272" s="114">
        <f t="shared" si="21"/>
        <v>37</v>
      </c>
      <c r="M272" s="250">
        <f>SUM(M273,M274,M277,M278,M281)</f>
        <v>0</v>
      </c>
      <c r="N272" s="251">
        <f>SUM(N273,N274,N277,N278,N281)</f>
        <v>0</v>
      </c>
      <c r="O272" s="252">
        <f t="shared" si="22"/>
        <v>0</v>
      </c>
      <c r="P272" s="253"/>
      <c r="R272" s="53"/>
      <c r="S272" s="53"/>
      <c r="T272" s="53"/>
    </row>
    <row r="273" spans="1:20" ht="24" hidden="1" x14ac:dyDescent="0.25">
      <c r="A273" s="294">
        <v>7210</v>
      </c>
      <c r="B273" s="116" t="s">
        <v>289</v>
      </c>
      <c r="C273" s="117">
        <f t="shared" si="23"/>
        <v>0</v>
      </c>
      <c r="D273" s="123"/>
      <c r="E273" s="262"/>
      <c r="F273" s="263">
        <f t="shared" si="19"/>
        <v>0</v>
      </c>
      <c r="G273" s="123"/>
      <c r="H273" s="124"/>
      <c r="I273" s="125">
        <f t="shared" si="20"/>
        <v>0</v>
      </c>
      <c r="J273" s="123"/>
      <c r="K273" s="124"/>
      <c r="L273" s="125">
        <f t="shared" si="21"/>
        <v>0</v>
      </c>
      <c r="M273" s="264"/>
      <c r="N273" s="262"/>
      <c r="O273" s="125">
        <f t="shared" si="22"/>
        <v>0</v>
      </c>
      <c r="P273" s="74"/>
      <c r="R273" s="53"/>
      <c r="S273" s="53"/>
      <c r="T273" s="53"/>
    </row>
    <row r="274" spans="1:20" s="358" customFormat="1" ht="36" hidden="1" x14ac:dyDescent="0.25">
      <c r="A274" s="276">
        <v>7220</v>
      </c>
      <c r="B274" s="127" t="s">
        <v>290</v>
      </c>
      <c r="C274" s="128">
        <f t="shared" si="23"/>
        <v>0</v>
      </c>
      <c r="D274" s="277">
        <f>SUM(D275:D276)</f>
        <v>0</v>
      </c>
      <c r="E274" s="282">
        <f>SUM(E275:E276)</f>
        <v>0</v>
      </c>
      <c r="F274" s="286">
        <f t="shared" si="19"/>
        <v>0</v>
      </c>
      <c r="G274" s="277">
        <f>SUM(G275:G276)</f>
        <v>0</v>
      </c>
      <c r="H274" s="280">
        <f>SUM(H275:H276)</f>
        <v>0</v>
      </c>
      <c r="I274" s="136">
        <f t="shared" si="20"/>
        <v>0</v>
      </c>
      <c r="J274" s="277">
        <f>SUM(J275:J276)</f>
        <v>0</v>
      </c>
      <c r="K274" s="280">
        <f>SUM(K275:K276)</f>
        <v>0</v>
      </c>
      <c r="L274" s="136">
        <f t="shared" si="21"/>
        <v>0</v>
      </c>
      <c r="M274" s="281">
        <f>SUM(M275:M276)</f>
        <v>0</v>
      </c>
      <c r="N274" s="282">
        <f>SUM(N275:N276)</f>
        <v>0</v>
      </c>
      <c r="O274" s="136">
        <f t="shared" si="22"/>
        <v>0</v>
      </c>
      <c r="P274" s="85"/>
      <c r="R274" s="53"/>
      <c r="S274" s="53"/>
      <c r="T274" s="53"/>
    </row>
    <row r="275" spans="1:20" s="358" customFormat="1" ht="36" hidden="1" x14ac:dyDescent="0.25">
      <c r="A275" s="76">
        <v>7221</v>
      </c>
      <c r="B275" s="127" t="s">
        <v>291</v>
      </c>
      <c r="C275" s="128">
        <f t="shared" si="23"/>
        <v>0</v>
      </c>
      <c r="D275" s="134"/>
      <c r="E275" s="285"/>
      <c r="F275" s="286">
        <f t="shared" si="19"/>
        <v>0</v>
      </c>
      <c r="G275" s="134"/>
      <c r="H275" s="135"/>
      <c r="I275" s="136">
        <f t="shared" si="20"/>
        <v>0</v>
      </c>
      <c r="J275" s="134"/>
      <c r="K275" s="135"/>
      <c r="L275" s="136">
        <f t="shared" si="21"/>
        <v>0</v>
      </c>
      <c r="M275" s="284"/>
      <c r="N275" s="285"/>
      <c r="O275" s="136">
        <f t="shared" si="22"/>
        <v>0</v>
      </c>
      <c r="P275" s="85"/>
      <c r="R275" s="53"/>
      <c r="S275" s="53"/>
      <c r="T275" s="53"/>
    </row>
    <row r="276" spans="1:20" s="358" customFormat="1" ht="36" hidden="1" x14ac:dyDescent="0.25">
      <c r="A276" s="76">
        <v>7222</v>
      </c>
      <c r="B276" s="127" t="s">
        <v>292</v>
      </c>
      <c r="C276" s="128">
        <f t="shared" si="23"/>
        <v>0</v>
      </c>
      <c r="D276" s="134"/>
      <c r="E276" s="285"/>
      <c r="F276" s="286">
        <f t="shared" si="19"/>
        <v>0</v>
      </c>
      <c r="G276" s="134"/>
      <c r="H276" s="135"/>
      <c r="I276" s="136">
        <f t="shared" si="20"/>
        <v>0</v>
      </c>
      <c r="J276" s="134"/>
      <c r="K276" s="135"/>
      <c r="L276" s="136">
        <f t="shared" si="21"/>
        <v>0</v>
      </c>
      <c r="M276" s="284"/>
      <c r="N276" s="285"/>
      <c r="O276" s="136">
        <f t="shared" si="22"/>
        <v>0</v>
      </c>
      <c r="P276" s="85"/>
      <c r="R276" s="53"/>
      <c r="S276" s="53"/>
      <c r="T276" s="53"/>
    </row>
    <row r="277" spans="1:20" s="358" customFormat="1" ht="24" x14ac:dyDescent="0.25">
      <c r="A277" s="276">
        <v>7230</v>
      </c>
      <c r="B277" s="127" t="s">
        <v>293</v>
      </c>
      <c r="C277" s="128">
        <f t="shared" si="23"/>
        <v>37</v>
      </c>
      <c r="D277" s="134"/>
      <c r="E277" s="283"/>
      <c r="F277" s="279">
        <f t="shared" si="19"/>
        <v>0</v>
      </c>
      <c r="G277" s="134"/>
      <c r="H277" s="135"/>
      <c r="I277" s="136">
        <f t="shared" si="20"/>
        <v>0</v>
      </c>
      <c r="J277" s="134">
        <v>37</v>
      </c>
      <c r="K277" s="135"/>
      <c r="L277" s="136">
        <f t="shared" si="21"/>
        <v>37</v>
      </c>
      <c r="M277" s="284"/>
      <c r="N277" s="285"/>
      <c r="O277" s="136">
        <f>M277+N277</f>
        <v>0</v>
      </c>
      <c r="P277" s="85"/>
      <c r="R277" s="53"/>
      <c r="S277" s="53"/>
      <c r="T277" s="53"/>
    </row>
    <row r="278" spans="1:20" ht="24" hidden="1" x14ac:dyDescent="0.25">
      <c r="A278" s="276">
        <v>7240</v>
      </c>
      <c r="B278" s="127" t="s">
        <v>294</v>
      </c>
      <c r="C278" s="128">
        <f t="shared" si="23"/>
        <v>0</v>
      </c>
      <c r="D278" s="277">
        <f>SUM(D279:D280)</f>
        <v>0</v>
      </c>
      <c r="E278" s="282">
        <f>SUM(E279:E280)</f>
        <v>0</v>
      </c>
      <c r="F278" s="286">
        <f t="shared" si="19"/>
        <v>0</v>
      </c>
      <c r="G278" s="277">
        <f>SUM(G279:G280)</f>
        <v>0</v>
      </c>
      <c r="H278" s="280">
        <f>SUM(H279:H280)</f>
        <v>0</v>
      </c>
      <c r="I278" s="136">
        <f t="shared" si="20"/>
        <v>0</v>
      </c>
      <c r="J278" s="277">
        <f>SUM(J279:J280)</f>
        <v>0</v>
      </c>
      <c r="K278" s="280">
        <f>SUM(K279:K280)</f>
        <v>0</v>
      </c>
      <c r="L278" s="136">
        <f t="shared" si="21"/>
        <v>0</v>
      </c>
      <c r="M278" s="281">
        <f>SUM(M279:M280)</f>
        <v>0</v>
      </c>
      <c r="N278" s="282">
        <f>SUM(N279:N280)</f>
        <v>0</v>
      </c>
      <c r="O278" s="136">
        <f>SUM(O279:O280)</f>
        <v>0</v>
      </c>
      <c r="P278" s="85"/>
      <c r="R278" s="53"/>
      <c r="S278" s="53"/>
      <c r="T278" s="53"/>
    </row>
    <row r="279" spans="1:20" ht="48" hidden="1" x14ac:dyDescent="0.25">
      <c r="A279" s="76">
        <v>7245</v>
      </c>
      <c r="B279" s="127" t="s">
        <v>295</v>
      </c>
      <c r="C279" s="128">
        <f t="shared" si="23"/>
        <v>0</v>
      </c>
      <c r="D279" s="134"/>
      <c r="E279" s="285"/>
      <c r="F279" s="286">
        <f t="shared" si="19"/>
        <v>0</v>
      </c>
      <c r="G279" s="134"/>
      <c r="H279" s="135"/>
      <c r="I279" s="136">
        <f t="shared" si="20"/>
        <v>0</v>
      </c>
      <c r="J279" s="134"/>
      <c r="K279" s="135"/>
      <c r="L279" s="136">
        <f t="shared" si="21"/>
        <v>0</v>
      </c>
      <c r="M279" s="284"/>
      <c r="N279" s="285"/>
      <c r="O279" s="136">
        <f>M279+N279</f>
        <v>0</v>
      </c>
      <c r="P279" s="85"/>
      <c r="R279" s="53"/>
      <c r="S279" s="53"/>
      <c r="T279" s="53"/>
    </row>
    <row r="280" spans="1:20" ht="84" hidden="1" x14ac:dyDescent="0.25">
      <c r="A280" s="76">
        <v>7246</v>
      </c>
      <c r="B280" s="127" t="s">
        <v>296</v>
      </c>
      <c r="C280" s="128">
        <f t="shared" si="23"/>
        <v>0</v>
      </c>
      <c r="D280" s="134"/>
      <c r="E280" s="285"/>
      <c r="F280" s="286">
        <f t="shared" si="19"/>
        <v>0</v>
      </c>
      <c r="G280" s="134"/>
      <c r="H280" s="135"/>
      <c r="I280" s="136">
        <f t="shared" si="20"/>
        <v>0</v>
      </c>
      <c r="J280" s="134"/>
      <c r="K280" s="135"/>
      <c r="L280" s="136">
        <f t="shared" si="21"/>
        <v>0</v>
      </c>
      <c r="M280" s="284"/>
      <c r="N280" s="285"/>
      <c r="O280" s="136">
        <f>M280+N280</f>
        <v>0</v>
      </c>
      <c r="P280" s="85"/>
      <c r="R280" s="53"/>
      <c r="S280" s="53"/>
      <c r="T280" s="53"/>
    </row>
    <row r="281" spans="1:20" ht="24" hidden="1" x14ac:dyDescent="0.25">
      <c r="A281" s="276">
        <v>7260</v>
      </c>
      <c r="B281" s="127" t="s">
        <v>297</v>
      </c>
      <c r="C281" s="128">
        <f t="shared" si="23"/>
        <v>0</v>
      </c>
      <c r="D281" s="123"/>
      <c r="E281" s="262"/>
      <c r="F281" s="263">
        <f t="shared" si="19"/>
        <v>0</v>
      </c>
      <c r="G281" s="123"/>
      <c r="H281" s="124"/>
      <c r="I281" s="125">
        <f t="shared" si="20"/>
        <v>0</v>
      </c>
      <c r="J281" s="123"/>
      <c r="K281" s="124"/>
      <c r="L281" s="125">
        <f t="shared" si="21"/>
        <v>0</v>
      </c>
      <c r="M281" s="264"/>
      <c r="N281" s="262"/>
      <c r="O281" s="125">
        <f>M281+N281</f>
        <v>0</v>
      </c>
      <c r="P281" s="74"/>
      <c r="R281" s="53"/>
      <c r="S281" s="53"/>
      <c r="T281" s="53"/>
    </row>
    <row r="282" spans="1:20" hidden="1" x14ac:dyDescent="0.25">
      <c r="A282" s="99">
        <v>7700</v>
      </c>
      <c r="B282" s="247" t="s">
        <v>298</v>
      </c>
      <c r="C282" s="359">
        <f t="shared" si="23"/>
        <v>0</v>
      </c>
      <c r="D282" s="360">
        <f>D283</f>
        <v>0</v>
      </c>
      <c r="E282" s="304">
        <f>SUM(E283)</f>
        <v>0</v>
      </c>
      <c r="F282" s="316">
        <f t="shared" si="19"/>
        <v>0</v>
      </c>
      <c r="G282" s="360">
        <f>G283</f>
        <v>0</v>
      </c>
      <c r="H282" s="361">
        <f>SUM(H283)</f>
        <v>0</v>
      </c>
      <c r="I282" s="305">
        <f t="shared" si="20"/>
        <v>0</v>
      </c>
      <c r="J282" s="360">
        <f>J283</f>
        <v>0</v>
      </c>
      <c r="K282" s="361">
        <f>SUM(K283)</f>
        <v>0</v>
      </c>
      <c r="L282" s="305">
        <f t="shared" si="21"/>
        <v>0</v>
      </c>
      <c r="M282" s="303">
        <f>SUM(M283)</f>
        <v>0</v>
      </c>
      <c r="N282" s="304">
        <f>SUM(N283)</f>
        <v>0</v>
      </c>
      <c r="O282" s="305">
        <f>M282+N282</f>
        <v>0</v>
      </c>
      <c r="P282" s="306"/>
      <c r="R282" s="53"/>
      <c r="S282" s="53"/>
      <c r="T282" s="53"/>
    </row>
    <row r="283" spans="1:20" hidden="1" x14ac:dyDescent="0.25">
      <c r="A283" s="141">
        <v>7720</v>
      </c>
      <c r="B283" s="142" t="s">
        <v>299</v>
      </c>
      <c r="C283" s="362">
        <f t="shared" si="23"/>
        <v>0</v>
      </c>
      <c r="D283" s="149"/>
      <c r="E283" s="363"/>
      <c r="F283" s="364">
        <f t="shared" si="19"/>
        <v>0</v>
      </c>
      <c r="G283" s="149"/>
      <c r="H283" s="150"/>
      <c r="I283" s="151">
        <f t="shared" si="20"/>
        <v>0</v>
      </c>
      <c r="J283" s="149"/>
      <c r="K283" s="150"/>
      <c r="L283" s="151">
        <f t="shared" si="21"/>
        <v>0</v>
      </c>
      <c r="M283" s="365"/>
      <c r="N283" s="363"/>
      <c r="O283" s="151">
        <f>M283+N283</f>
        <v>0</v>
      </c>
      <c r="P283" s="153"/>
      <c r="R283" s="53"/>
      <c r="S283" s="53"/>
      <c r="T283" s="53"/>
    </row>
    <row r="284" spans="1:20" x14ac:dyDescent="0.25">
      <c r="A284" s="366"/>
      <c r="B284" s="179" t="s">
        <v>300</v>
      </c>
      <c r="C284" s="117">
        <f t="shared" si="23"/>
        <v>443</v>
      </c>
      <c r="D284" s="255">
        <f>SUM(D285:D286)</f>
        <v>0</v>
      </c>
      <c r="E284" s="256">
        <f>SUM(E285:E286)</f>
        <v>0</v>
      </c>
      <c r="F284" s="257">
        <f t="shared" si="19"/>
        <v>0</v>
      </c>
      <c r="G284" s="255">
        <f>SUM(G285:G286)</f>
        <v>0</v>
      </c>
      <c r="H284" s="258">
        <f>SUM(H285:H286)</f>
        <v>0</v>
      </c>
      <c r="I284" s="259">
        <f t="shared" si="20"/>
        <v>0</v>
      </c>
      <c r="J284" s="255">
        <f>SUM(J285:J286)</f>
        <v>443</v>
      </c>
      <c r="K284" s="258">
        <f>SUM(K285:K286)</f>
        <v>0</v>
      </c>
      <c r="L284" s="259">
        <f t="shared" si="21"/>
        <v>443</v>
      </c>
      <c r="M284" s="260">
        <f>SUM(M285:M286)</f>
        <v>0</v>
      </c>
      <c r="N284" s="261">
        <f>SUM(N285:N286)</f>
        <v>0</v>
      </c>
      <c r="O284" s="259">
        <f t="shared" ref="O284:O299" si="24">M284+N284</f>
        <v>0</v>
      </c>
      <c r="P284" s="189"/>
      <c r="R284" s="53"/>
      <c r="S284" s="53"/>
      <c r="T284" s="53"/>
    </row>
    <row r="285" spans="1:20" hidden="1" x14ac:dyDescent="0.25">
      <c r="A285" s="346" t="s">
        <v>301</v>
      </c>
      <c r="B285" s="76" t="s">
        <v>302</v>
      </c>
      <c r="C285" s="279">
        <f t="shared" si="23"/>
        <v>0</v>
      </c>
      <c r="D285" s="134"/>
      <c r="E285" s="285"/>
      <c r="F285" s="286">
        <f t="shared" si="19"/>
        <v>0</v>
      </c>
      <c r="G285" s="134"/>
      <c r="H285" s="135"/>
      <c r="I285" s="136">
        <f t="shared" si="20"/>
        <v>0</v>
      </c>
      <c r="J285" s="134"/>
      <c r="K285" s="135"/>
      <c r="L285" s="136">
        <f t="shared" si="21"/>
        <v>0</v>
      </c>
      <c r="M285" s="284"/>
      <c r="N285" s="285"/>
      <c r="O285" s="136">
        <f t="shared" si="24"/>
        <v>0</v>
      </c>
      <c r="P285" s="85"/>
      <c r="R285" s="53"/>
      <c r="S285" s="53"/>
      <c r="T285" s="53"/>
    </row>
    <row r="286" spans="1:20" ht="24" x14ac:dyDescent="0.25">
      <c r="A286" s="346" t="s">
        <v>303</v>
      </c>
      <c r="B286" s="367" t="s">
        <v>304</v>
      </c>
      <c r="C286" s="117">
        <f t="shared" si="23"/>
        <v>443</v>
      </c>
      <c r="D286" s="123"/>
      <c r="E286" s="295"/>
      <c r="F286" s="296">
        <f t="shared" si="19"/>
        <v>0</v>
      </c>
      <c r="G286" s="123"/>
      <c r="H286" s="124"/>
      <c r="I286" s="125">
        <f t="shared" si="20"/>
        <v>0</v>
      </c>
      <c r="J286" s="123">
        <v>443</v>
      </c>
      <c r="K286" s="124"/>
      <c r="L286" s="125">
        <f t="shared" si="21"/>
        <v>443</v>
      </c>
      <c r="M286" s="264"/>
      <c r="N286" s="262"/>
      <c r="O286" s="125">
        <f t="shared" si="24"/>
        <v>0</v>
      </c>
      <c r="P286" s="74"/>
      <c r="R286" s="53"/>
      <c r="S286" s="53"/>
      <c r="T286" s="53"/>
    </row>
    <row r="287" spans="1:20" x14ac:dyDescent="0.25">
      <c r="A287" s="368"/>
      <c r="B287" s="369" t="s">
        <v>305</v>
      </c>
      <c r="C287" s="370">
        <f>SUM(C284,C271,C233,C198,C190,C176,C78,C56)</f>
        <v>575837</v>
      </c>
      <c r="D287" s="371">
        <f>SUM(D284,D271,D233,D198,D190,D176,D78,D56)</f>
        <v>512044</v>
      </c>
      <c r="E287" s="372">
        <f>SUM(E284,E271,E233,E198,E190,E176,E78,E56)</f>
        <v>0</v>
      </c>
      <c r="F287" s="373">
        <f t="shared" si="19"/>
        <v>512044</v>
      </c>
      <c r="G287" s="371">
        <f>SUM(G284,G271,G233,G198,G190,G176,G78,G56)</f>
        <v>57986</v>
      </c>
      <c r="H287" s="374">
        <f>SUM(H284,H271,H233,H198,H190,H176,H78,H56)</f>
        <v>0</v>
      </c>
      <c r="I287" s="375">
        <f t="shared" si="20"/>
        <v>57986</v>
      </c>
      <c r="J287" s="371">
        <f>SUM(J284,J271,J233,J198,J190,J176,J78,J56)</f>
        <v>5807</v>
      </c>
      <c r="K287" s="374">
        <f>SUM(K284,K271,K233,K198,K190,K176,K78,K56)</f>
        <v>0</v>
      </c>
      <c r="L287" s="375">
        <f t="shared" si="21"/>
        <v>5807</v>
      </c>
      <c r="M287" s="250">
        <f>SUM(M284,M271,M233,M198,M190,M176,M78,M56)</f>
        <v>0</v>
      </c>
      <c r="N287" s="251">
        <f>SUM(N284,N271,N233,N198,N190,N176,N78,N56)</f>
        <v>0</v>
      </c>
      <c r="O287" s="252">
        <f t="shared" si="24"/>
        <v>0</v>
      </c>
      <c r="P287" s="253"/>
      <c r="R287" s="53"/>
      <c r="S287" s="53"/>
      <c r="T287" s="53"/>
    </row>
    <row r="288" spans="1:20" x14ac:dyDescent="0.25">
      <c r="A288" s="376" t="s">
        <v>306</v>
      </c>
      <c r="B288" s="377"/>
      <c r="C288" s="378">
        <f>F288+I288+L288+O288</f>
        <v>-738</v>
      </c>
      <c r="D288" s="379">
        <f>SUM(D28,D29,D45)-D54</f>
        <v>0</v>
      </c>
      <c r="E288" s="380">
        <f>SUM(E28,E29,E45)-E54</f>
        <v>0</v>
      </c>
      <c r="F288" s="381">
        <f t="shared" si="19"/>
        <v>0</v>
      </c>
      <c r="G288" s="379">
        <f>SUM(G28,G29,G45)-G54</f>
        <v>0</v>
      </c>
      <c r="H288" s="382">
        <f>SUM(H28,H29,H45)-H54</f>
        <v>0</v>
      </c>
      <c r="I288" s="383">
        <f t="shared" si="20"/>
        <v>0</v>
      </c>
      <c r="J288" s="379">
        <f>(J30+J46)-J54</f>
        <v>-738</v>
      </c>
      <c r="K288" s="382">
        <f>(K30+K46)-K54</f>
        <v>0</v>
      </c>
      <c r="L288" s="383">
        <f t="shared" si="21"/>
        <v>-738</v>
      </c>
      <c r="M288" s="378">
        <f>M48-M54</f>
        <v>0</v>
      </c>
      <c r="N288" s="384">
        <f>N48-N54</f>
        <v>0</v>
      </c>
      <c r="O288" s="383">
        <f t="shared" si="24"/>
        <v>0</v>
      </c>
      <c r="P288" s="385"/>
      <c r="R288" s="53"/>
      <c r="S288" s="53"/>
      <c r="T288" s="53"/>
    </row>
    <row r="289" spans="1:20" s="41" customFormat="1" x14ac:dyDescent="0.25">
      <c r="A289" s="376" t="s">
        <v>307</v>
      </c>
      <c r="B289" s="377"/>
      <c r="C289" s="380">
        <f>SUM(C290,C291)-C298+C299</f>
        <v>738</v>
      </c>
      <c r="D289" s="379">
        <f>SUM(D290,D291)-D298+D299</f>
        <v>0</v>
      </c>
      <c r="E289" s="380">
        <f>SUM(E290,E291)-E298+E299</f>
        <v>0</v>
      </c>
      <c r="F289" s="381">
        <f t="shared" si="19"/>
        <v>0</v>
      </c>
      <c r="G289" s="379">
        <f>SUM(G290,G291)-G298+G299</f>
        <v>0</v>
      </c>
      <c r="H289" s="382">
        <f>SUM(H290,H291)-H298+H299</f>
        <v>0</v>
      </c>
      <c r="I289" s="383">
        <f t="shared" si="20"/>
        <v>0</v>
      </c>
      <c r="J289" s="379">
        <f>SUM(J290,J291)-J298+J299</f>
        <v>738</v>
      </c>
      <c r="K289" s="382">
        <f>SUM(K290,K291)-K298+K299</f>
        <v>0</v>
      </c>
      <c r="L289" s="383">
        <f t="shared" si="21"/>
        <v>738</v>
      </c>
      <c r="M289" s="378">
        <f>SUM(M290,M291)-M298+M299</f>
        <v>0</v>
      </c>
      <c r="N289" s="384">
        <f>SUM(N290,N291)-N298+N299</f>
        <v>0</v>
      </c>
      <c r="O289" s="383">
        <f t="shared" si="24"/>
        <v>0</v>
      </c>
      <c r="P289" s="385"/>
      <c r="R289" s="53"/>
      <c r="S289" s="53"/>
      <c r="T289" s="53"/>
    </row>
    <row r="290" spans="1:20" s="41" customFormat="1" x14ac:dyDescent="0.25">
      <c r="A290" s="386" t="s">
        <v>308</v>
      </c>
      <c r="B290" s="386" t="s">
        <v>309</v>
      </c>
      <c r="C290" s="380">
        <f>C25-C284</f>
        <v>738</v>
      </c>
      <c r="D290" s="379">
        <f>D25-D284</f>
        <v>0</v>
      </c>
      <c r="E290" s="380">
        <f>E25-E284</f>
        <v>0</v>
      </c>
      <c r="F290" s="381">
        <f t="shared" si="19"/>
        <v>0</v>
      </c>
      <c r="G290" s="379">
        <f>G25-G284</f>
        <v>0</v>
      </c>
      <c r="H290" s="382">
        <f>H25-H284</f>
        <v>0</v>
      </c>
      <c r="I290" s="383">
        <f t="shared" si="20"/>
        <v>0</v>
      </c>
      <c r="J290" s="379">
        <f>J25-J284</f>
        <v>738</v>
      </c>
      <c r="K290" s="382">
        <f>K25-K284</f>
        <v>0</v>
      </c>
      <c r="L290" s="383">
        <f t="shared" si="21"/>
        <v>738</v>
      </c>
      <c r="M290" s="378">
        <f>M25-M284</f>
        <v>0</v>
      </c>
      <c r="N290" s="384">
        <f>N25-N284</f>
        <v>0</v>
      </c>
      <c r="O290" s="383">
        <f t="shared" si="24"/>
        <v>0</v>
      </c>
      <c r="P290" s="385"/>
      <c r="R290" s="53"/>
      <c r="S290" s="53"/>
      <c r="T290" s="53"/>
    </row>
    <row r="291" spans="1:20" s="41" customFormat="1" hidden="1" x14ac:dyDescent="0.25">
      <c r="A291" s="387" t="s">
        <v>310</v>
      </c>
      <c r="B291" s="387" t="s">
        <v>311</v>
      </c>
      <c r="C291" s="380">
        <f>SUM(C292,C294,C296)-SUM(C293,C295,C297)</f>
        <v>0</v>
      </c>
      <c r="D291" s="379">
        <f>SUM(D292,D294,D296)-SUM(D293,D295,D297)</f>
        <v>0</v>
      </c>
      <c r="E291" s="384">
        <f>SUM(E292,E294,E296)-SUM(E293,E295,E297)</f>
        <v>0</v>
      </c>
      <c r="F291" s="388">
        <f t="shared" si="19"/>
        <v>0</v>
      </c>
      <c r="G291" s="379">
        <f>SUM(G292,G294,G296)-SUM(G293,G295,G297)</f>
        <v>0</v>
      </c>
      <c r="H291" s="382">
        <f>SUM(H292,H294,H296)-SUM(H293,H295,H297)</f>
        <v>0</v>
      </c>
      <c r="I291" s="383">
        <f t="shared" si="20"/>
        <v>0</v>
      </c>
      <c r="J291" s="379">
        <f>SUM(J292,J294,J296)-SUM(J293,J295,J297)</f>
        <v>0</v>
      </c>
      <c r="K291" s="382">
        <f>SUM(K292,K294,K296)-SUM(K293,K295,K297)</f>
        <v>0</v>
      </c>
      <c r="L291" s="383">
        <f t="shared" si="21"/>
        <v>0</v>
      </c>
      <c r="M291" s="378">
        <f>SUM(M292,M294,M296)-SUM(M293,M295,M297)</f>
        <v>0</v>
      </c>
      <c r="N291" s="384">
        <f>SUM(N292,N294,N296)-SUM(N293,N295,N297)</f>
        <v>0</v>
      </c>
      <c r="O291" s="383">
        <f t="shared" si="24"/>
        <v>0</v>
      </c>
      <c r="P291" s="385"/>
      <c r="R291" s="53"/>
      <c r="S291" s="53"/>
      <c r="T291" s="53"/>
    </row>
    <row r="292" spans="1:20" s="41" customFormat="1" hidden="1" x14ac:dyDescent="0.25">
      <c r="A292" s="366" t="s">
        <v>312</v>
      </c>
      <c r="B292" s="190" t="s">
        <v>313</v>
      </c>
      <c r="C292" s="143">
        <f t="shared" ref="C292:C299" si="25">F292+I292+L292+O292</f>
        <v>0</v>
      </c>
      <c r="D292" s="149"/>
      <c r="E292" s="363"/>
      <c r="F292" s="364">
        <f t="shared" si="19"/>
        <v>0</v>
      </c>
      <c r="G292" s="149"/>
      <c r="H292" s="150"/>
      <c r="I292" s="151">
        <f t="shared" si="20"/>
        <v>0</v>
      </c>
      <c r="J292" s="149"/>
      <c r="K292" s="150"/>
      <c r="L292" s="151">
        <f t="shared" si="21"/>
        <v>0</v>
      </c>
      <c r="M292" s="365"/>
      <c r="N292" s="363"/>
      <c r="O292" s="151">
        <f t="shared" si="24"/>
        <v>0</v>
      </c>
      <c r="P292" s="153"/>
      <c r="R292" s="53"/>
      <c r="S292" s="53"/>
      <c r="T292" s="53"/>
    </row>
    <row r="293" spans="1:20" hidden="1" x14ac:dyDescent="0.25">
      <c r="A293" s="346" t="s">
        <v>314</v>
      </c>
      <c r="B293" s="75" t="s">
        <v>315</v>
      </c>
      <c r="C293" s="128">
        <f t="shared" si="25"/>
        <v>0</v>
      </c>
      <c r="D293" s="134"/>
      <c r="E293" s="285"/>
      <c r="F293" s="286">
        <f t="shared" si="19"/>
        <v>0</v>
      </c>
      <c r="G293" s="134"/>
      <c r="H293" s="135"/>
      <c r="I293" s="136">
        <f t="shared" si="20"/>
        <v>0</v>
      </c>
      <c r="J293" s="134"/>
      <c r="K293" s="135"/>
      <c r="L293" s="136">
        <f t="shared" si="21"/>
        <v>0</v>
      </c>
      <c r="M293" s="284"/>
      <c r="N293" s="285"/>
      <c r="O293" s="136">
        <f t="shared" si="24"/>
        <v>0</v>
      </c>
      <c r="P293" s="85"/>
      <c r="R293" s="53"/>
      <c r="S293" s="53"/>
      <c r="T293" s="53"/>
    </row>
    <row r="294" spans="1:20" hidden="1" x14ac:dyDescent="0.25">
      <c r="A294" s="346" t="s">
        <v>316</v>
      </c>
      <c r="B294" s="75" t="s">
        <v>317</v>
      </c>
      <c r="C294" s="128">
        <f t="shared" si="25"/>
        <v>0</v>
      </c>
      <c r="D294" s="134"/>
      <c r="E294" s="285"/>
      <c r="F294" s="286">
        <f t="shared" si="19"/>
        <v>0</v>
      </c>
      <c r="G294" s="134"/>
      <c r="H294" s="135"/>
      <c r="I294" s="136">
        <f t="shared" si="20"/>
        <v>0</v>
      </c>
      <c r="J294" s="134"/>
      <c r="K294" s="135"/>
      <c r="L294" s="136">
        <f t="shared" si="21"/>
        <v>0</v>
      </c>
      <c r="M294" s="284"/>
      <c r="N294" s="285"/>
      <c r="O294" s="136">
        <f t="shared" si="24"/>
        <v>0</v>
      </c>
      <c r="P294" s="85"/>
      <c r="R294" s="53"/>
      <c r="S294" s="53"/>
      <c r="T294" s="53"/>
    </row>
    <row r="295" spans="1:20" ht="24" hidden="1" x14ac:dyDescent="0.25">
      <c r="A295" s="346" t="s">
        <v>318</v>
      </c>
      <c r="B295" s="75" t="s">
        <v>319</v>
      </c>
      <c r="C295" s="128">
        <f t="shared" si="25"/>
        <v>0</v>
      </c>
      <c r="D295" s="134"/>
      <c r="E295" s="285"/>
      <c r="F295" s="286">
        <f t="shared" si="19"/>
        <v>0</v>
      </c>
      <c r="G295" s="134"/>
      <c r="H295" s="135"/>
      <c r="I295" s="136">
        <f t="shared" si="20"/>
        <v>0</v>
      </c>
      <c r="J295" s="134"/>
      <c r="K295" s="135"/>
      <c r="L295" s="136">
        <f t="shared" si="21"/>
        <v>0</v>
      </c>
      <c r="M295" s="284"/>
      <c r="N295" s="285"/>
      <c r="O295" s="136">
        <f t="shared" si="24"/>
        <v>0</v>
      </c>
      <c r="P295" s="85"/>
      <c r="R295" s="53"/>
      <c r="S295" s="53"/>
      <c r="T295" s="53"/>
    </row>
    <row r="296" spans="1:20" hidden="1" x14ac:dyDescent="0.25">
      <c r="A296" s="346" t="s">
        <v>320</v>
      </c>
      <c r="B296" s="75" t="s">
        <v>321</v>
      </c>
      <c r="C296" s="128">
        <f t="shared" si="25"/>
        <v>0</v>
      </c>
      <c r="D296" s="134"/>
      <c r="E296" s="285"/>
      <c r="F296" s="286">
        <f t="shared" si="19"/>
        <v>0</v>
      </c>
      <c r="G296" s="134"/>
      <c r="H296" s="135"/>
      <c r="I296" s="136">
        <f t="shared" si="20"/>
        <v>0</v>
      </c>
      <c r="J296" s="134"/>
      <c r="K296" s="135"/>
      <c r="L296" s="136">
        <f t="shared" si="21"/>
        <v>0</v>
      </c>
      <c r="M296" s="284"/>
      <c r="N296" s="285"/>
      <c r="O296" s="136">
        <f t="shared" si="24"/>
        <v>0</v>
      </c>
      <c r="P296" s="85"/>
      <c r="R296" s="53"/>
      <c r="S296" s="53"/>
      <c r="T296" s="53"/>
    </row>
    <row r="297" spans="1:20" hidden="1" x14ac:dyDescent="0.25">
      <c r="A297" s="389" t="s">
        <v>322</v>
      </c>
      <c r="B297" s="390" t="s">
        <v>323</v>
      </c>
      <c r="C297" s="327">
        <f t="shared" si="25"/>
        <v>0</v>
      </c>
      <c r="D297" s="328"/>
      <c r="E297" s="329"/>
      <c r="F297" s="330">
        <f t="shared" si="19"/>
        <v>0</v>
      </c>
      <c r="G297" s="328"/>
      <c r="H297" s="331"/>
      <c r="I297" s="324">
        <f t="shared" si="20"/>
        <v>0</v>
      </c>
      <c r="J297" s="328"/>
      <c r="K297" s="331"/>
      <c r="L297" s="324">
        <f t="shared" si="21"/>
        <v>0</v>
      </c>
      <c r="M297" s="332"/>
      <c r="N297" s="329"/>
      <c r="O297" s="324">
        <f t="shared" si="24"/>
        <v>0</v>
      </c>
      <c r="P297" s="325"/>
      <c r="R297" s="53"/>
      <c r="S297" s="53"/>
      <c r="T297" s="53"/>
    </row>
    <row r="298" spans="1:20" hidden="1" x14ac:dyDescent="0.25">
      <c r="A298" s="387" t="s">
        <v>324</v>
      </c>
      <c r="B298" s="387" t="s">
        <v>325</v>
      </c>
      <c r="C298" s="391">
        <f t="shared" si="25"/>
        <v>0</v>
      </c>
      <c r="D298" s="392"/>
      <c r="E298" s="393"/>
      <c r="F298" s="388">
        <f t="shared" si="19"/>
        <v>0</v>
      </c>
      <c r="G298" s="392"/>
      <c r="H298" s="394"/>
      <c r="I298" s="383">
        <f t="shared" si="20"/>
        <v>0</v>
      </c>
      <c r="J298" s="392"/>
      <c r="K298" s="394"/>
      <c r="L298" s="383">
        <f t="shared" si="21"/>
        <v>0</v>
      </c>
      <c r="M298" s="395"/>
      <c r="N298" s="393"/>
      <c r="O298" s="383">
        <f t="shared" si="24"/>
        <v>0</v>
      </c>
      <c r="P298" s="385"/>
      <c r="R298" s="53"/>
      <c r="S298" s="53"/>
      <c r="T298" s="53"/>
    </row>
    <row r="299" spans="1:20" s="41" customFormat="1" ht="36" hidden="1" x14ac:dyDescent="0.25">
      <c r="A299" s="387" t="s">
        <v>326</v>
      </c>
      <c r="B299" s="396" t="s">
        <v>327</v>
      </c>
      <c r="C299" s="397">
        <f t="shared" si="25"/>
        <v>0</v>
      </c>
      <c r="D299" s="398"/>
      <c r="E299" s="399"/>
      <c r="F299" s="400">
        <f t="shared" si="19"/>
        <v>0</v>
      </c>
      <c r="G299" s="392"/>
      <c r="H299" s="394"/>
      <c r="I299" s="383">
        <f t="shared" si="20"/>
        <v>0</v>
      </c>
      <c r="J299" s="392"/>
      <c r="K299" s="394"/>
      <c r="L299" s="383">
        <f t="shared" si="21"/>
        <v>0</v>
      </c>
      <c r="M299" s="395"/>
      <c r="N299" s="393"/>
      <c r="O299" s="383">
        <f t="shared" si="24"/>
        <v>0</v>
      </c>
      <c r="P299" s="385"/>
      <c r="R299" s="53"/>
      <c r="S299" s="53"/>
      <c r="T299" s="53"/>
    </row>
    <row r="300" spans="1:20"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20" ht="6" customHeight="1" thickBot="1" x14ac:dyDescent="0.3">
      <c r="A301" s="404"/>
      <c r="B301" s="405"/>
      <c r="C301" s="405"/>
      <c r="D301" s="405"/>
      <c r="E301" s="405"/>
      <c r="F301" s="405"/>
      <c r="G301" s="405"/>
      <c r="H301" s="405"/>
      <c r="I301" s="405"/>
      <c r="J301" s="405"/>
      <c r="K301" s="405"/>
      <c r="L301" s="405"/>
      <c r="M301" s="405"/>
      <c r="N301" s="405"/>
      <c r="O301" s="405"/>
      <c r="P301" s="406"/>
      <c r="Q301" s="7"/>
    </row>
    <row r="302" spans="1:20" x14ac:dyDescent="0.25">
      <c r="A302" s="5"/>
      <c r="B302" s="5"/>
      <c r="C302" s="5"/>
      <c r="D302" s="5"/>
      <c r="E302" s="5"/>
      <c r="F302" s="5"/>
      <c r="G302" s="5"/>
      <c r="H302" s="5"/>
      <c r="I302" s="5"/>
      <c r="J302" s="5"/>
      <c r="K302" s="5"/>
      <c r="L302" s="5"/>
      <c r="M302" s="5"/>
      <c r="N302" s="5"/>
      <c r="O302" s="5"/>
    </row>
    <row r="303" spans="1:20" x14ac:dyDescent="0.25">
      <c r="A303" s="5"/>
      <c r="B303" s="5"/>
      <c r="C303" s="5"/>
      <c r="D303" s="5"/>
      <c r="E303" s="5"/>
      <c r="F303" s="5"/>
      <c r="G303" s="5"/>
      <c r="H303" s="5"/>
      <c r="I303" s="5"/>
      <c r="J303" s="5"/>
      <c r="K303" s="5"/>
      <c r="L303" s="5"/>
      <c r="M303" s="5"/>
      <c r="N303" s="5"/>
      <c r="O303" s="5"/>
    </row>
    <row r="304" spans="1:20"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YH+spBll8ynPvz4LbrbwMR4lm9nsmoX1vPHJANa4ehTpBfqTmMI/Yg72VjY9dD9QBwpDpIeLcX92UDXhL32XAw==" saltValue="KRZ2cQq72tY7FReGphGPfA==" spinCount="100000" sheet="1" objects="1" scenarios="1" formatCells="0" formatColumns="0" formatRows="0"/>
  <autoFilter ref="A22:P300">
    <filterColumn colId="2">
      <filters blank="1">
        <filter val="1 047"/>
        <filter val="1 181"/>
        <filter val="1 227"/>
        <filter val="1 260"/>
        <filter val="1 330"/>
        <filter val="1 586"/>
        <filter val="10 367"/>
        <filter val="10 378"/>
        <filter val="100"/>
        <filter val="11"/>
        <filter val="119 065"/>
        <filter val="130"/>
        <filter val="15 484"/>
        <filter val="155"/>
        <filter val="168"/>
        <filter val="180"/>
        <filter val="2 525"/>
        <filter val="2 730"/>
        <filter val="2 854"/>
        <filter val="2 864"/>
        <filter val="200"/>
        <filter val="202"/>
        <filter val="205"/>
        <filter val="22 996"/>
        <filter val="23 081"/>
        <filter val="24"/>
        <filter val="26 492"/>
        <filter val="3 174"/>
        <filter val="3 529"/>
        <filter val="3 564"/>
        <filter val="3 748"/>
        <filter val="3 983"/>
        <filter val="300"/>
        <filter val="33 496"/>
        <filter val="34 900"/>
        <filter val="340 155"/>
        <filter val="35"/>
        <filter val="37"/>
        <filter val="376 315"/>
        <filter val="4 223"/>
        <filter val="4 626"/>
        <filter val="443"/>
        <filter val="450"/>
        <filter val="48"/>
        <filter val="49 205"/>
        <filter val="495 380"/>
        <filter val="50"/>
        <filter val="55"/>
        <filter val="55 906"/>
        <filter val="570 030"/>
        <filter val="574 737"/>
        <filter val="575 394"/>
        <filter val="575 837"/>
        <filter val="590"/>
        <filter val="6 259"/>
        <filter val="620"/>
        <filter val="641"/>
        <filter val="650"/>
        <filter val="657"/>
        <filter val="675"/>
        <filter val="7 252"/>
        <filter val="7 751"/>
        <filter val="706"/>
        <filter val="718"/>
        <filter val="738"/>
        <filter val="-738"/>
        <filter val="79 357"/>
        <filter val="801"/>
        <filter val="9 558"/>
        <filter val="904"/>
        <filter val="915"/>
        <filter val="92 573"/>
        <filter val="922"/>
      </filters>
    </filterColumn>
  </autoFilter>
  <mergeCells count="3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 ref="C16:P16"/>
    <mergeCell ref="A3:P3"/>
    <mergeCell ref="A4:P4"/>
    <mergeCell ref="C6:P6"/>
    <mergeCell ref="C7:P7"/>
    <mergeCell ref="C8:P8"/>
    <mergeCell ref="C9:P9"/>
    <mergeCell ref="C10:P10"/>
    <mergeCell ref="C11:P11"/>
    <mergeCell ref="C13:P13"/>
    <mergeCell ref="C14:P14"/>
    <mergeCell ref="C15:P15"/>
    <mergeCell ref="A19:A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97.pielikums Jūrmalas pilsētas domes
2017.gada 30.janvāra saistošajiem noteikumiem Nr.10
(Protokols Nr.4, 1.punkts)
 </firstHeader>
    <firstFooter>&amp;L&amp;9&amp;D; &amp;T&amp;R&amp;9&amp;P (&amp;N)</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3"/>
  <sheetViews>
    <sheetView view="pageLayout" zoomScaleNormal="90" workbookViewId="0">
      <selection activeCell="S13" sqref="S13"/>
    </sheetView>
  </sheetViews>
  <sheetFormatPr defaultRowHeight="12" outlineLevelCol="1" x14ac:dyDescent="0.25"/>
  <cols>
    <col min="1" max="1" width="10.85546875" style="1" customWidth="1"/>
    <col min="2" max="2" width="29.85546875"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0</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7"/>
    </row>
    <row r="4" spans="1:17" ht="10.5" customHeight="1"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3</v>
      </c>
      <c r="D6" s="1555"/>
      <c r="E6" s="1555"/>
      <c r="F6" s="1555"/>
      <c r="G6" s="1555"/>
      <c r="H6" s="1555"/>
      <c r="I6" s="1555"/>
      <c r="J6" s="1555"/>
      <c r="K6" s="1555"/>
      <c r="L6" s="1555"/>
      <c r="M6" s="1555"/>
      <c r="N6" s="1555"/>
      <c r="O6" s="1555"/>
      <c r="P6" s="1556"/>
      <c r="Q6" s="7"/>
    </row>
    <row r="7" spans="1:17" ht="12.75" x14ac:dyDescent="0.25">
      <c r="A7" s="13" t="s">
        <v>4</v>
      </c>
      <c r="B7" s="14"/>
      <c r="C7" s="1555" t="s">
        <v>5</v>
      </c>
      <c r="D7" s="1555"/>
      <c r="E7" s="1555"/>
      <c r="F7" s="1555"/>
      <c r="G7" s="1555"/>
      <c r="H7" s="1555"/>
      <c r="I7" s="1555"/>
      <c r="J7" s="1555"/>
      <c r="K7" s="1555"/>
      <c r="L7" s="1555"/>
      <c r="M7" s="1555"/>
      <c r="N7" s="1555"/>
      <c r="O7" s="1555"/>
      <c r="P7" s="1556"/>
      <c r="Q7" s="7"/>
    </row>
    <row r="8" spans="1:17" x14ac:dyDescent="0.25">
      <c r="A8" s="8" t="s">
        <v>6</v>
      </c>
      <c r="B8" s="9"/>
      <c r="C8" s="1553" t="s">
        <v>7</v>
      </c>
      <c r="D8" s="1553"/>
      <c r="E8" s="1553"/>
      <c r="F8" s="1553"/>
      <c r="G8" s="1553"/>
      <c r="H8" s="1553"/>
      <c r="I8" s="1553"/>
      <c r="J8" s="1553"/>
      <c r="K8" s="1553"/>
      <c r="L8" s="1553"/>
      <c r="M8" s="1553"/>
      <c r="N8" s="1553"/>
      <c r="O8" s="1553"/>
      <c r="P8" s="1554"/>
      <c r="Q8" s="7"/>
    </row>
    <row r="9" spans="1:17" x14ac:dyDescent="0.25">
      <c r="A9" s="8" t="s">
        <v>8</v>
      </c>
      <c r="B9" s="9"/>
      <c r="C9" s="1553" t="s">
        <v>9</v>
      </c>
      <c r="D9" s="1553"/>
      <c r="E9" s="1553"/>
      <c r="F9" s="1553"/>
      <c r="G9" s="1553"/>
      <c r="H9" s="1553"/>
      <c r="I9" s="1553"/>
      <c r="J9" s="1553"/>
      <c r="K9" s="1553"/>
      <c r="L9" s="1553"/>
      <c r="M9" s="1553"/>
      <c r="N9" s="1553"/>
      <c r="O9" s="1553"/>
      <c r="P9" s="1554"/>
      <c r="Q9" s="7"/>
    </row>
    <row r="10" spans="1:17" ht="25.5" customHeight="1" x14ac:dyDescent="0.25">
      <c r="A10" s="8" t="s">
        <v>10</v>
      </c>
      <c r="B10" s="9"/>
      <c r="C10" s="1555" t="s">
        <v>11</v>
      </c>
      <c r="D10" s="1555"/>
      <c r="E10" s="1555"/>
      <c r="F10" s="1555"/>
      <c r="G10" s="1555"/>
      <c r="H10" s="1555"/>
      <c r="I10" s="1555"/>
      <c r="J10" s="1555"/>
      <c r="K10" s="1555"/>
      <c r="L10" s="1555"/>
      <c r="M10" s="1555"/>
      <c r="N10" s="1555"/>
      <c r="O10" s="1555"/>
      <c r="P10" s="1556"/>
      <c r="Q10" s="7"/>
    </row>
    <row r="11" spans="1:17" x14ac:dyDescent="0.25">
      <c r="A11" s="8" t="s">
        <v>12</v>
      </c>
      <c r="B11" s="9"/>
      <c r="C11" s="1555" t="s">
        <v>13</v>
      </c>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16</v>
      </c>
      <c r="D13" s="1553"/>
      <c r="E13" s="1553"/>
      <c r="F13" s="1553"/>
      <c r="G13" s="1553"/>
      <c r="H13" s="1553"/>
      <c r="I13" s="1553"/>
      <c r="J13" s="1553"/>
      <c r="K13" s="1553"/>
      <c r="L13" s="1553"/>
      <c r="M13" s="1553"/>
      <c r="N13" s="1553"/>
      <c r="O13" s="1553"/>
      <c r="P13" s="1554"/>
      <c r="Q13" s="7"/>
    </row>
    <row r="14" spans="1:17" x14ac:dyDescent="0.25">
      <c r="A14" s="8"/>
      <c r="B14" s="9" t="s">
        <v>17</v>
      </c>
      <c r="C14" s="1553" t="s">
        <v>18</v>
      </c>
      <c r="D14" s="1553"/>
      <c r="E14" s="1553"/>
      <c r="F14" s="1553"/>
      <c r="G14" s="1553"/>
      <c r="H14" s="1553"/>
      <c r="I14" s="1553"/>
      <c r="J14" s="1553"/>
      <c r="K14" s="1553"/>
      <c r="L14" s="1553"/>
      <c r="M14" s="1553"/>
      <c r="N14" s="1553"/>
      <c r="O14" s="1553"/>
      <c r="P14" s="1554"/>
      <c r="Q14" s="7"/>
    </row>
    <row r="15" spans="1:17" x14ac:dyDescent="0.25">
      <c r="A15" s="8"/>
      <c r="B15" s="9" t="s">
        <v>19</v>
      </c>
      <c r="C15" s="1553"/>
      <c r="D15" s="1553"/>
      <c r="E15" s="1553"/>
      <c r="F15" s="1553"/>
      <c r="G15" s="1553"/>
      <c r="H15" s="1553"/>
      <c r="I15" s="1553"/>
      <c r="J15" s="1553"/>
      <c r="K15" s="1553"/>
      <c r="L15" s="1553"/>
      <c r="M15" s="1553"/>
      <c r="N15" s="1553"/>
      <c r="O15" s="1553"/>
      <c r="P15" s="1554"/>
      <c r="Q15" s="7"/>
    </row>
    <row r="16" spans="1:17" x14ac:dyDescent="0.25">
      <c r="A16" s="8"/>
      <c r="B16" s="9" t="s">
        <v>20</v>
      </c>
      <c r="C16" s="1553" t="s">
        <v>21</v>
      </c>
      <c r="D16" s="1553"/>
      <c r="E16" s="1553"/>
      <c r="F16" s="1553"/>
      <c r="G16" s="1553"/>
      <c r="H16" s="1553"/>
      <c r="I16" s="1553"/>
      <c r="J16" s="1553"/>
      <c r="K16" s="1553"/>
      <c r="L16" s="1553"/>
      <c r="M16" s="1553"/>
      <c r="N16" s="1553"/>
      <c r="O16" s="1553"/>
      <c r="P16" s="1554"/>
      <c r="Q16" s="7"/>
    </row>
    <row r="17" spans="1:20" x14ac:dyDescent="0.25">
      <c r="A17" s="8"/>
      <c r="B17" s="9" t="s">
        <v>22</v>
      </c>
      <c r="C17" s="1553"/>
      <c r="D17" s="1553"/>
      <c r="E17" s="1553"/>
      <c r="F17" s="1553"/>
      <c r="G17" s="1553"/>
      <c r="H17" s="1553"/>
      <c r="I17" s="1553"/>
      <c r="J17" s="1553"/>
      <c r="K17" s="1553"/>
      <c r="L17" s="1553"/>
      <c r="M17" s="1553"/>
      <c r="N17" s="1553"/>
      <c r="O17" s="1553"/>
      <c r="P17" s="1554"/>
      <c r="Q17" s="7"/>
    </row>
    <row r="18" spans="1:20" x14ac:dyDescent="0.25">
      <c r="A18" s="18"/>
      <c r="B18" s="19"/>
      <c r="C18" s="1569"/>
      <c r="D18" s="1569"/>
      <c r="E18" s="1569"/>
      <c r="F18" s="1569"/>
      <c r="G18" s="1569"/>
      <c r="H18" s="1569"/>
      <c r="I18" s="1569"/>
      <c r="J18" s="1569"/>
      <c r="K18" s="1569"/>
      <c r="L18" s="1569"/>
      <c r="M18" s="1569"/>
      <c r="N18" s="1569"/>
      <c r="O18" s="1569"/>
      <c r="P18" s="1570"/>
      <c r="Q18" s="7"/>
    </row>
    <row r="19" spans="1:20"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c r="Q19" s="954"/>
    </row>
    <row r="20" spans="1:20"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20" s="21" customFormat="1" ht="56.25" customHeight="1" thickBot="1" x14ac:dyDescent="0.3">
      <c r="A21" s="1573"/>
      <c r="B21" s="1576"/>
      <c r="C21" s="1581"/>
      <c r="D21" s="1566"/>
      <c r="E21" s="1568"/>
      <c r="F21" s="1564"/>
      <c r="G21" s="1566"/>
      <c r="H21" s="1568"/>
      <c r="I21" s="1564"/>
      <c r="J21" s="1566"/>
      <c r="K21" s="1568"/>
      <c r="L21" s="1564"/>
      <c r="M21" s="1566"/>
      <c r="N21" s="1568"/>
      <c r="O21" s="1564"/>
      <c r="P21" s="1576"/>
    </row>
    <row r="22" spans="1:20"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0" s="41" customFormat="1" x14ac:dyDescent="0.25">
      <c r="A23" s="30"/>
      <c r="B23" s="31" t="s">
        <v>41</v>
      </c>
      <c r="C23" s="32"/>
      <c r="D23" s="33"/>
      <c r="E23" s="34"/>
      <c r="F23" s="35"/>
      <c r="G23" s="33"/>
      <c r="H23" s="36"/>
      <c r="I23" s="37"/>
      <c r="J23" s="33"/>
      <c r="K23" s="38"/>
      <c r="L23" s="37"/>
      <c r="M23" s="38"/>
      <c r="N23" s="39"/>
      <c r="O23" s="37"/>
      <c r="P23" s="40"/>
    </row>
    <row r="24" spans="1:20" s="41" customFormat="1" ht="12.75" thickBot="1" x14ac:dyDescent="0.3">
      <c r="A24" s="42"/>
      <c r="B24" s="43" t="s">
        <v>42</v>
      </c>
      <c r="C24" s="44">
        <f>F24+I24+L24+O24</f>
        <v>575837</v>
      </c>
      <c r="D24" s="45">
        <f>SUM(D25,D28,D29,D45,D46)</f>
        <v>512044</v>
      </c>
      <c r="E24" s="46">
        <f>SUM(E25,E28,E29,E45,E46)</f>
        <v>0</v>
      </c>
      <c r="F24" s="47">
        <f t="shared" ref="F24:F29" si="0">D24+E24</f>
        <v>512044</v>
      </c>
      <c r="G24" s="45">
        <f>SUM(G25,G28,G46)</f>
        <v>57986</v>
      </c>
      <c r="H24" s="48">
        <f>SUM(H25,H28,H46)</f>
        <v>0</v>
      </c>
      <c r="I24" s="49">
        <f>G24+H24</f>
        <v>57986</v>
      </c>
      <c r="J24" s="45">
        <f>SUM(J25,J30,J46)</f>
        <v>5807</v>
      </c>
      <c r="K24" s="48">
        <f>SUM(K25,K30,K46)</f>
        <v>0</v>
      </c>
      <c r="L24" s="49">
        <f>J24+K24</f>
        <v>5807</v>
      </c>
      <c r="M24" s="50">
        <f>SUM(M25,M48)</f>
        <v>0</v>
      </c>
      <c r="N24" s="51">
        <f>SUM(N25,N48)</f>
        <v>0</v>
      </c>
      <c r="O24" s="49">
        <f>M24+N24</f>
        <v>0</v>
      </c>
      <c r="P24" s="52"/>
      <c r="R24" s="53"/>
      <c r="S24" s="53"/>
      <c r="T24" s="53"/>
    </row>
    <row r="25" spans="1:20" ht="12.75" thickTop="1" x14ac:dyDescent="0.25">
      <c r="A25" s="54"/>
      <c r="B25" s="55" t="s">
        <v>43</v>
      </c>
      <c r="C25" s="56">
        <f>F25+I25+L25+O25</f>
        <v>1181</v>
      </c>
      <c r="D25" s="57">
        <f>SUM(D26:D27)</f>
        <v>0</v>
      </c>
      <c r="E25" s="58">
        <f>SUM(E26:E27)</f>
        <v>0</v>
      </c>
      <c r="F25" s="59">
        <f t="shared" si="0"/>
        <v>0</v>
      </c>
      <c r="G25" s="57">
        <f>SUM(G26:G27)</f>
        <v>0</v>
      </c>
      <c r="H25" s="60">
        <f>SUM(H26:H27)</f>
        <v>0</v>
      </c>
      <c r="I25" s="61">
        <f>G25+H25</f>
        <v>0</v>
      </c>
      <c r="J25" s="57">
        <f>SUM(J26:J27)</f>
        <v>1181</v>
      </c>
      <c r="K25" s="60">
        <f>SUM(K26:K27)</f>
        <v>0</v>
      </c>
      <c r="L25" s="61">
        <f>J25+K25</f>
        <v>1181</v>
      </c>
      <c r="M25" s="62">
        <f>SUM(M26:M27)</f>
        <v>0</v>
      </c>
      <c r="N25" s="63">
        <f>SUM(N26:N27)</f>
        <v>0</v>
      </c>
      <c r="O25" s="61">
        <f>M25+N25</f>
        <v>0</v>
      </c>
      <c r="P25" s="64"/>
      <c r="R25" s="53"/>
      <c r="S25" s="53"/>
      <c r="T25" s="53"/>
    </row>
    <row r="26" spans="1:20" hidden="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c r="R26" s="53"/>
      <c r="S26" s="53"/>
      <c r="T26" s="53"/>
    </row>
    <row r="27" spans="1:20" x14ac:dyDescent="0.25">
      <c r="A27" s="75"/>
      <c r="B27" s="76" t="s">
        <v>45</v>
      </c>
      <c r="C27" s="77">
        <f>F27+I27+L27+O27</f>
        <v>1181</v>
      </c>
      <c r="D27" s="78"/>
      <c r="E27" s="79"/>
      <c r="F27" s="80">
        <f t="shared" si="0"/>
        <v>0</v>
      </c>
      <c r="G27" s="78"/>
      <c r="H27" s="81"/>
      <c r="I27" s="82">
        <f>G27+H27</f>
        <v>0</v>
      </c>
      <c r="J27" s="78">
        <v>1181</v>
      </c>
      <c r="K27" s="81"/>
      <c r="L27" s="82">
        <f>J27+K27</f>
        <v>1181</v>
      </c>
      <c r="M27" s="83"/>
      <c r="N27" s="84"/>
      <c r="O27" s="82">
        <f>M27+N27</f>
        <v>0</v>
      </c>
      <c r="P27" s="85"/>
      <c r="R27" s="53"/>
      <c r="S27" s="53"/>
      <c r="T27" s="53"/>
    </row>
    <row r="28" spans="1:20" s="41" customFormat="1" ht="24.75" thickBot="1" x14ac:dyDescent="0.3">
      <c r="A28" s="86">
        <v>19300</v>
      </c>
      <c r="B28" s="86" t="s">
        <v>46</v>
      </c>
      <c r="C28" s="87">
        <f>SUM(F28,I28)</f>
        <v>570030</v>
      </c>
      <c r="D28" s="88">
        <v>512044</v>
      </c>
      <c r="E28" s="89"/>
      <c r="F28" s="90">
        <f t="shared" si="0"/>
        <v>512044</v>
      </c>
      <c r="G28" s="88">
        <v>57986</v>
      </c>
      <c r="H28" s="91"/>
      <c r="I28" s="92">
        <f>G28+H28</f>
        <v>57986</v>
      </c>
      <c r="J28" s="93" t="s">
        <v>47</v>
      </c>
      <c r="K28" s="94" t="s">
        <v>47</v>
      </c>
      <c r="L28" s="95" t="s">
        <v>47</v>
      </c>
      <c r="M28" s="96" t="s">
        <v>47</v>
      </c>
      <c r="N28" s="97" t="s">
        <v>47</v>
      </c>
      <c r="O28" s="95" t="s">
        <v>47</v>
      </c>
      <c r="P28" s="98"/>
      <c r="R28" s="53"/>
      <c r="S28" s="53"/>
      <c r="T28" s="53"/>
    </row>
    <row r="29" spans="1:20" s="41" customFormat="1" ht="24.75" hidden="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c r="R29" s="53"/>
      <c r="S29" s="53"/>
      <c r="T29" s="53"/>
    </row>
    <row r="30" spans="1:20" s="41" customFormat="1" ht="24.75" customHeight="1" thickTop="1" x14ac:dyDescent="0.25">
      <c r="A30" s="99">
        <v>21300</v>
      </c>
      <c r="B30" s="99" t="s">
        <v>49</v>
      </c>
      <c r="C30" s="100">
        <f t="shared" ref="C30:C44" si="1">L30</f>
        <v>4626</v>
      </c>
      <c r="D30" s="104" t="s">
        <v>47</v>
      </c>
      <c r="E30" s="110" t="s">
        <v>47</v>
      </c>
      <c r="F30" s="111" t="s">
        <v>47</v>
      </c>
      <c r="G30" s="104" t="s">
        <v>47</v>
      </c>
      <c r="H30" s="105" t="s">
        <v>47</v>
      </c>
      <c r="I30" s="106" t="s">
        <v>47</v>
      </c>
      <c r="J30" s="112">
        <f>SUM(J31,J35,J37,J40)</f>
        <v>4626</v>
      </c>
      <c r="K30" s="113">
        <f>SUM(K31,K35,K37,K40)</f>
        <v>0</v>
      </c>
      <c r="L30" s="114">
        <f t="shared" ref="L30:L44" si="2">J30+K30</f>
        <v>4626</v>
      </c>
      <c r="M30" s="107" t="s">
        <v>47</v>
      </c>
      <c r="N30" s="108" t="s">
        <v>47</v>
      </c>
      <c r="O30" s="106" t="s">
        <v>47</v>
      </c>
      <c r="P30" s="109"/>
      <c r="R30" s="53"/>
      <c r="S30" s="53"/>
      <c r="T30" s="53"/>
    </row>
    <row r="31" spans="1:20" s="41" customFormat="1" x14ac:dyDescent="0.25">
      <c r="A31" s="115">
        <v>21350</v>
      </c>
      <c r="B31" s="99" t="s">
        <v>50</v>
      </c>
      <c r="C31" s="100">
        <f t="shared" si="1"/>
        <v>443</v>
      </c>
      <c r="D31" s="104" t="s">
        <v>47</v>
      </c>
      <c r="E31" s="110" t="s">
        <v>47</v>
      </c>
      <c r="F31" s="111" t="s">
        <v>47</v>
      </c>
      <c r="G31" s="104" t="s">
        <v>47</v>
      </c>
      <c r="H31" s="105" t="s">
        <v>47</v>
      </c>
      <c r="I31" s="106" t="s">
        <v>47</v>
      </c>
      <c r="J31" s="112">
        <f>SUM(J32:J34)</f>
        <v>443</v>
      </c>
      <c r="K31" s="113">
        <f>SUM(K32:K34)</f>
        <v>0</v>
      </c>
      <c r="L31" s="114">
        <f t="shared" si="2"/>
        <v>443</v>
      </c>
      <c r="M31" s="107" t="s">
        <v>47</v>
      </c>
      <c r="N31" s="108" t="s">
        <v>47</v>
      </c>
      <c r="O31" s="106" t="s">
        <v>47</v>
      </c>
      <c r="P31" s="109"/>
      <c r="R31" s="53"/>
      <c r="S31" s="53"/>
      <c r="T31" s="53"/>
    </row>
    <row r="32" spans="1:20" hidden="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c r="R32" s="53"/>
      <c r="S32" s="53"/>
      <c r="T32" s="53"/>
    </row>
    <row r="33" spans="1:20" x14ac:dyDescent="0.25">
      <c r="A33" s="75">
        <v>21352</v>
      </c>
      <c r="B33" s="127" t="s">
        <v>52</v>
      </c>
      <c r="C33" s="128">
        <f t="shared" si="1"/>
        <v>443</v>
      </c>
      <c r="D33" s="129" t="s">
        <v>47</v>
      </c>
      <c r="E33" s="130" t="s">
        <v>47</v>
      </c>
      <c r="F33" s="131" t="s">
        <v>47</v>
      </c>
      <c r="G33" s="129" t="s">
        <v>47</v>
      </c>
      <c r="H33" s="132" t="s">
        <v>47</v>
      </c>
      <c r="I33" s="133" t="s">
        <v>47</v>
      </c>
      <c r="J33" s="134">
        <v>443</v>
      </c>
      <c r="K33" s="135"/>
      <c r="L33" s="136">
        <f t="shared" si="2"/>
        <v>443</v>
      </c>
      <c r="M33" s="137" t="s">
        <v>47</v>
      </c>
      <c r="N33" s="138" t="s">
        <v>47</v>
      </c>
      <c r="O33" s="133" t="s">
        <v>47</v>
      </c>
      <c r="P33" s="85"/>
      <c r="R33" s="53"/>
      <c r="S33" s="53"/>
      <c r="T33" s="53"/>
    </row>
    <row r="34" spans="1:20" ht="24" hidden="1" x14ac:dyDescent="0.25">
      <c r="A34" s="75">
        <v>21359</v>
      </c>
      <c r="B34" s="127" t="s">
        <v>53</v>
      </c>
      <c r="C34" s="128">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c r="R34" s="53"/>
      <c r="S34" s="53"/>
      <c r="T34" s="53"/>
    </row>
    <row r="35" spans="1:20" s="41" customFormat="1" ht="36" hidden="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c r="R35" s="53"/>
      <c r="S35" s="53"/>
      <c r="T35" s="53"/>
    </row>
    <row r="36" spans="1:20" ht="36" hidden="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c r="R36" s="53"/>
      <c r="S36" s="53"/>
      <c r="T36" s="53"/>
    </row>
    <row r="37" spans="1:20" s="41" customFormat="1" x14ac:dyDescent="0.25">
      <c r="A37" s="115">
        <v>21380</v>
      </c>
      <c r="B37" s="99" t="s">
        <v>56</v>
      </c>
      <c r="C37" s="100">
        <f t="shared" si="1"/>
        <v>200</v>
      </c>
      <c r="D37" s="104" t="s">
        <v>47</v>
      </c>
      <c r="E37" s="110" t="s">
        <v>47</v>
      </c>
      <c r="F37" s="111" t="s">
        <v>47</v>
      </c>
      <c r="G37" s="104" t="s">
        <v>47</v>
      </c>
      <c r="H37" s="105" t="s">
        <v>47</v>
      </c>
      <c r="I37" s="106" t="s">
        <v>47</v>
      </c>
      <c r="J37" s="112">
        <f>SUM(J38:J39)</f>
        <v>200</v>
      </c>
      <c r="K37" s="113">
        <f>SUM(K38:K39)</f>
        <v>0</v>
      </c>
      <c r="L37" s="114">
        <f t="shared" si="2"/>
        <v>200</v>
      </c>
      <c r="M37" s="107" t="s">
        <v>47</v>
      </c>
      <c r="N37" s="108" t="s">
        <v>47</v>
      </c>
      <c r="O37" s="106" t="s">
        <v>47</v>
      </c>
      <c r="P37" s="109"/>
      <c r="R37" s="53"/>
      <c r="S37" s="53"/>
      <c r="T37" s="53"/>
    </row>
    <row r="38" spans="1:20" x14ac:dyDescent="0.25">
      <c r="A38" s="66">
        <v>21381</v>
      </c>
      <c r="B38" s="116" t="s">
        <v>57</v>
      </c>
      <c r="C38" s="117">
        <f t="shared" si="1"/>
        <v>200</v>
      </c>
      <c r="D38" s="118" t="s">
        <v>47</v>
      </c>
      <c r="E38" s="154" t="s">
        <v>47</v>
      </c>
      <c r="F38" s="155" t="s">
        <v>47</v>
      </c>
      <c r="G38" s="118" t="s">
        <v>47</v>
      </c>
      <c r="H38" s="121" t="s">
        <v>47</v>
      </c>
      <c r="I38" s="122" t="s">
        <v>47</v>
      </c>
      <c r="J38" s="123">
        <v>200</v>
      </c>
      <c r="K38" s="124"/>
      <c r="L38" s="125">
        <f t="shared" si="2"/>
        <v>200</v>
      </c>
      <c r="M38" s="126" t="s">
        <v>47</v>
      </c>
      <c r="N38" s="119" t="s">
        <v>47</v>
      </c>
      <c r="O38" s="122" t="s">
        <v>47</v>
      </c>
      <c r="P38" s="74"/>
      <c r="R38" s="53"/>
      <c r="S38" s="53"/>
      <c r="T38" s="53"/>
    </row>
    <row r="39" spans="1:20" ht="24" hidden="1" x14ac:dyDescent="0.25">
      <c r="A39" s="76">
        <v>21383</v>
      </c>
      <c r="B39" s="127" t="s">
        <v>58</v>
      </c>
      <c r="C39" s="128">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c r="R39" s="53"/>
      <c r="S39" s="53"/>
      <c r="T39" s="53"/>
    </row>
    <row r="40" spans="1:20" s="41" customFormat="1" ht="24" x14ac:dyDescent="0.25">
      <c r="A40" s="115">
        <v>21390</v>
      </c>
      <c r="B40" s="99" t="s">
        <v>59</v>
      </c>
      <c r="C40" s="100">
        <f t="shared" si="1"/>
        <v>3983</v>
      </c>
      <c r="D40" s="104" t="s">
        <v>47</v>
      </c>
      <c r="E40" s="110" t="s">
        <v>47</v>
      </c>
      <c r="F40" s="111" t="s">
        <v>47</v>
      </c>
      <c r="G40" s="104" t="s">
        <v>47</v>
      </c>
      <c r="H40" s="105" t="s">
        <v>47</v>
      </c>
      <c r="I40" s="106" t="s">
        <v>47</v>
      </c>
      <c r="J40" s="112">
        <f>SUM(J41:J44)</f>
        <v>3983</v>
      </c>
      <c r="K40" s="113">
        <f>SUM(K41:K44)</f>
        <v>0</v>
      </c>
      <c r="L40" s="114">
        <f t="shared" si="2"/>
        <v>3983</v>
      </c>
      <c r="M40" s="107" t="s">
        <v>47</v>
      </c>
      <c r="N40" s="108" t="s">
        <v>47</v>
      </c>
      <c r="O40" s="106" t="s">
        <v>47</v>
      </c>
      <c r="P40" s="109"/>
      <c r="R40" s="53"/>
      <c r="S40" s="53"/>
      <c r="T40" s="53"/>
    </row>
    <row r="41" spans="1:20" ht="24" hidden="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c r="R41" s="53"/>
      <c r="S41" s="53"/>
      <c r="T41" s="53"/>
    </row>
    <row r="42" spans="1:20" hidden="1" x14ac:dyDescent="0.25">
      <c r="A42" s="76">
        <v>21393</v>
      </c>
      <c r="B42" s="127" t="s">
        <v>61</v>
      </c>
      <c r="C42" s="128">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c r="R42" s="53"/>
      <c r="S42" s="53"/>
      <c r="T42" s="53"/>
    </row>
    <row r="43" spans="1:20" hidden="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c r="R43" s="53"/>
      <c r="S43" s="53"/>
      <c r="T43" s="53"/>
    </row>
    <row r="44" spans="1:20" ht="17.25" customHeight="1" x14ac:dyDescent="0.25">
      <c r="A44" s="76">
        <v>21399</v>
      </c>
      <c r="B44" s="127" t="s">
        <v>63</v>
      </c>
      <c r="C44" s="128">
        <f t="shared" si="1"/>
        <v>3983</v>
      </c>
      <c r="D44" s="129" t="s">
        <v>47</v>
      </c>
      <c r="E44" s="130" t="s">
        <v>47</v>
      </c>
      <c r="F44" s="131" t="s">
        <v>47</v>
      </c>
      <c r="G44" s="129" t="s">
        <v>47</v>
      </c>
      <c r="H44" s="132" t="s">
        <v>47</v>
      </c>
      <c r="I44" s="133" t="s">
        <v>47</v>
      </c>
      <c r="J44" s="134">
        <v>3983</v>
      </c>
      <c r="K44" s="135"/>
      <c r="L44" s="136">
        <f t="shared" si="2"/>
        <v>3983</v>
      </c>
      <c r="M44" s="137" t="s">
        <v>47</v>
      </c>
      <c r="N44" s="138" t="s">
        <v>47</v>
      </c>
      <c r="O44" s="133" t="s">
        <v>47</v>
      </c>
      <c r="P44" s="85"/>
      <c r="R44" s="53"/>
      <c r="S44" s="53"/>
      <c r="T44" s="53"/>
    </row>
    <row r="45" spans="1:20" s="41" customFormat="1" ht="24" hidden="1" x14ac:dyDescent="0.25">
      <c r="A45" s="115">
        <v>21420</v>
      </c>
      <c r="B45" s="99" t="s">
        <v>64</v>
      </c>
      <c r="C45" s="156">
        <f>F45</f>
        <v>0</v>
      </c>
      <c r="D45" s="157"/>
      <c r="E45" s="158"/>
      <c r="F45" s="103">
        <f>D45+E45</f>
        <v>0</v>
      </c>
      <c r="G45" s="104" t="s">
        <v>47</v>
      </c>
      <c r="H45" s="105" t="s">
        <v>47</v>
      </c>
      <c r="I45" s="106" t="s">
        <v>47</v>
      </c>
      <c r="J45" s="104" t="s">
        <v>47</v>
      </c>
      <c r="K45" s="105" t="s">
        <v>47</v>
      </c>
      <c r="L45" s="106" t="s">
        <v>47</v>
      </c>
      <c r="M45" s="107" t="s">
        <v>47</v>
      </c>
      <c r="N45" s="108" t="s">
        <v>47</v>
      </c>
      <c r="O45" s="106" t="s">
        <v>47</v>
      </c>
      <c r="P45" s="109"/>
      <c r="R45" s="53"/>
      <c r="S45" s="53"/>
      <c r="T45" s="53"/>
    </row>
    <row r="46" spans="1:20" s="41" customFormat="1" ht="24" hidden="1" x14ac:dyDescent="0.25">
      <c r="A46" s="159">
        <v>21490</v>
      </c>
      <c r="B46" s="160" t="s">
        <v>65</v>
      </c>
      <c r="C46" s="156">
        <f>F46+I46+L46</f>
        <v>0</v>
      </c>
      <c r="D46" s="161">
        <f>D47</f>
        <v>0</v>
      </c>
      <c r="E46" s="162">
        <f>E47</f>
        <v>0</v>
      </c>
      <c r="F46" s="163">
        <f>D46+E46</f>
        <v>0</v>
      </c>
      <c r="G46" s="161">
        <f>G47</f>
        <v>0</v>
      </c>
      <c r="H46" s="164">
        <f t="shared" ref="H46:K46" si="3">H47</f>
        <v>0</v>
      </c>
      <c r="I46" s="165">
        <f>G46+H46</f>
        <v>0</v>
      </c>
      <c r="J46" s="161">
        <f>J47</f>
        <v>0</v>
      </c>
      <c r="K46" s="164">
        <f t="shared" si="3"/>
        <v>0</v>
      </c>
      <c r="L46" s="165">
        <f>J46+K46</f>
        <v>0</v>
      </c>
      <c r="M46" s="107" t="s">
        <v>47</v>
      </c>
      <c r="N46" s="108" t="s">
        <v>47</v>
      </c>
      <c r="O46" s="106" t="s">
        <v>47</v>
      </c>
      <c r="P46" s="109"/>
      <c r="R46" s="53"/>
      <c r="S46" s="53"/>
      <c r="T46" s="53"/>
    </row>
    <row r="47" spans="1:20" s="41" customFormat="1" ht="24" hidden="1" x14ac:dyDescent="0.25">
      <c r="A47" s="76">
        <v>21499</v>
      </c>
      <c r="B47" s="127" t="s">
        <v>66</v>
      </c>
      <c r="C47" s="166">
        <f>F47+I47+L47</f>
        <v>0</v>
      </c>
      <c r="D47" s="68"/>
      <c r="E47" s="69"/>
      <c r="F47" s="70">
        <f>D47+E47</f>
        <v>0</v>
      </c>
      <c r="G47" s="167"/>
      <c r="H47" s="71"/>
      <c r="I47" s="72">
        <f>G47+H47</f>
        <v>0</v>
      </c>
      <c r="J47" s="68"/>
      <c r="K47" s="71"/>
      <c r="L47" s="72">
        <f>J47+K47</f>
        <v>0</v>
      </c>
      <c r="M47" s="152" t="s">
        <v>47</v>
      </c>
      <c r="N47" s="145" t="s">
        <v>47</v>
      </c>
      <c r="O47" s="148" t="s">
        <v>47</v>
      </c>
      <c r="P47" s="153"/>
      <c r="R47" s="53"/>
      <c r="S47" s="53"/>
      <c r="T47" s="53"/>
    </row>
    <row r="48" spans="1:20" hidden="1" x14ac:dyDescent="0.25">
      <c r="A48" s="168">
        <v>23000</v>
      </c>
      <c r="B48" s="169" t="s">
        <v>67</v>
      </c>
      <c r="C48" s="156">
        <f>O48</f>
        <v>0</v>
      </c>
      <c r="D48" s="170" t="s">
        <v>47</v>
      </c>
      <c r="E48" s="171" t="s">
        <v>47</v>
      </c>
      <c r="F48" s="172" t="s">
        <v>47</v>
      </c>
      <c r="G48" s="170" t="s">
        <v>47</v>
      </c>
      <c r="H48" s="173" t="s">
        <v>47</v>
      </c>
      <c r="I48" s="174" t="s">
        <v>47</v>
      </c>
      <c r="J48" s="170" t="s">
        <v>47</v>
      </c>
      <c r="K48" s="173" t="s">
        <v>47</v>
      </c>
      <c r="L48" s="174" t="s">
        <v>47</v>
      </c>
      <c r="M48" s="175">
        <f>SUM(M49:M50)</f>
        <v>0</v>
      </c>
      <c r="N48" s="176">
        <f>SUM(N49:N50)</f>
        <v>0</v>
      </c>
      <c r="O48" s="177">
        <f>M48+N48</f>
        <v>0</v>
      </c>
      <c r="P48" s="109"/>
      <c r="R48" s="53"/>
      <c r="S48" s="53"/>
      <c r="T48" s="53"/>
    </row>
    <row r="49" spans="1:20" ht="24" hidden="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c r="R49" s="53"/>
      <c r="S49" s="53"/>
      <c r="T49" s="53"/>
    </row>
    <row r="50" spans="1:20" ht="24" hidden="1" x14ac:dyDescent="0.25">
      <c r="A50" s="178">
        <v>23510</v>
      </c>
      <c r="B50" s="179" t="s">
        <v>69</v>
      </c>
      <c r="C50" s="180">
        <f>O50</f>
        <v>0</v>
      </c>
      <c r="D50" s="181" t="s">
        <v>47</v>
      </c>
      <c r="E50" s="182" t="s">
        <v>47</v>
      </c>
      <c r="F50" s="183" t="s">
        <v>47</v>
      </c>
      <c r="G50" s="181" t="s">
        <v>47</v>
      </c>
      <c r="H50" s="184" t="s">
        <v>47</v>
      </c>
      <c r="I50" s="185" t="s">
        <v>47</v>
      </c>
      <c r="J50" s="181" t="s">
        <v>47</v>
      </c>
      <c r="K50" s="184" t="s">
        <v>47</v>
      </c>
      <c r="L50" s="185" t="s">
        <v>47</v>
      </c>
      <c r="M50" s="186"/>
      <c r="N50" s="187"/>
      <c r="O50" s="188">
        <f>M50+N50</f>
        <v>0</v>
      </c>
      <c r="P50" s="189"/>
      <c r="R50" s="53"/>
      <c r="S50" s="53"/>
      <c r="T50" s="53"/>
    </row>
    <row r="51" spans="1:20" x14ac:dyDescent="0.25">
      <c r="A51" s="190"/>
      <c r="B51" s="179"/>
      <c r="C51" s="191"/>
      <c r="D51" s="192"/>
      <c r="E51" s="193"/>
      <c r="F51" s="194"/>
      <c r="G51" s="192"/>
      <c r="H51" s="195"/>
      <c r="I51" s="185"/>
      <c r="J51" s="196"/>
      <c r="K51" s="197"/>
      <c r="L51" s="188"/>
      <c r="M51" s="186"/>
      <c r="N51" s="187"/>
      <c r="O51" s="188"/>
      <c r="P51" s="189"/>
      <c r="R51" s="53"/>
      <c r="S51" s="53"/>
      <c r="T51" s="53"/>
    </row>
    <row r="52" spans="1:20" s="41" customFormat="1" x14ac:dyDescent="0.25">
      <c r="A52" s="198"/>
      <c r="B52" s="199" t="s">
        <v>70</v>
      </c>
      <c r="C52" s="200"/>
      <c r="D52" s="201"/>
      <c r="E52" s="202"/>
      <c r="F52" s="203"/>
      <c r="G52" s="201"/>
      <c r="H52" s="204"/>
      <c r="I52" s="205"/>
      <c r="J52" s="201"/>
      <c r="K52" s="204"/>
      <c r="L52" s="205"/>
      <c r="M52" s="206"/>
      <c r="N52" s="207"/>
      <c r="O52" s="205"/>
      <c r="P52" s="208"/>
      <c r="R52" s="53"/>
      <c r="S52" s="53"/>
      <c r="T52" s="53"/>
    </row>
    <row r="53" spans="1:20" s="41" customFormat="1" ht="12.75" thickBot="1" x14ac:dyDescent="0.3">
      <c r="A53" s="209"/>
      <c r="B53" s="42" t="s">
        <v>71</v>
      </c>
      <c r="C53" s="210">
        <f t="shared" ref="C53:C116" si="4">F53+I53+L53+O53</f>
        <v>575837</v>
      </c>
      <c r="D53" s="211">
        <f>SUM(D54,D284)</f>
        <v>512044</v>
      </c>
      <c r="E53" s="212">
        <f>SUM(E54,E284)</f>
        <v>0</v>
      </c>
      <c r="F53" s="213">
        <f t="shared" ref="F53:F117" si="5">D53+E53</f>
        <v>512044</v>
      </c>
      <c r="G53" s="211">
        <f>SUM(G54,G284)</f>
        <v>57986</v>
      </c>
      <c r="H53" s="214">
        <f>SUM(H54,H284)</f>
        <v>0</v>
      </c>
      <c r="I53" s="215">
        <f t="shared" ref="I53:I117" si="6">G53+H53</f>
        <v>57986</v>
      </c>
      <c r="J53" s="211">
        <f>SUM(J54,J284)</f>
        <v>5807</v>
      </c>
      <c r="K53" s="214">
        <f>SUM(K54,K284)</f>
        <v>0</v>
      </c>
      <c r="L53" s="215">
        <f t="shared" ref="L53:L117" si="7">J53+K53</f>
        <v>5807</v>
      </c>
      <c r="M53" s="216">
        <f>SUM(M54,M284)</f>
        <v>0</v>
      </c>
      <c r="N53" s="217">
        <f>SUM(N54,N284)</f>
        <v>0</v>
      </c>
      <c r="O53" s="215">
        <f t="shared" ref="O53:O117" si="8">M53+N53</f>
        <v>0</v>
      </c>
      <c r="P53" s="52"/>
      <c r="R53" s="53"/>
      <c r="S53" s="53"/>
      <c r="T53" s="53"/>
    </row>
    <row r="54" spans="1:20" s="41" customFormat="1" ht="36.75" thickTop="1" x14ac:dyDescent="0.25">
      <c r="A54" s="218"/>
      <c r="B54" s="219" t="s">
        <v>72</v>
      </c>
      <c r="C54" s="220">
        <f t="shared" si="4"/>
        <v>575394</v>
      </c>
      <c r="D54" s="221">
        <f>SUM(D55,D197)</f>
        <v>512044</v>
      </c>
      <c r="E54" s="222">
        <f>SUM(E55,E197)</f>
        <v>0</v>
      </c>
      <c r="F54" s="223">
        <f t="shared" si="5"/>
        <v>512044</v>
      </c>
      <c r="G54" s="221">
        <f>SUM(G55,G197)</f>
        <v>57986</v>
      </c>
      <c r="H54" s="224">
        <f>SUM(H55,H197)</f>
        <v>0</v>
      </c>
      <c r="I54" s="225">
        <f t="shared" si="6"/>
        <v>57986</v>
      </c>
      <c r="J54" s="221">
        <f>SUM(J55,J197)</f>
        <v>5364</v>
      </c>
      <c r="K54" s="224">
        <f>SUM(K55,K197)</f>
        <v>0</v>
      </c>
      <c r="L54" s="225">
        <f t="shared" si="7"/>
        <v>5364</v>
      </c>
      <c r="M54" s="226">
        <f>SUM(M55,M197)</f>
        <v>0</v>
      </c>
      <c r="N54" s="227">
        <f>SUM(N55,N197)</f>
        <v>0</v>
      </c>
      <c r="O54" s="225">
        <f t="shared" si="8"/>
        <v>0</v>
      </c>
      <c r="P54" s="228"/>
      <c r="R54" s="53"/>
      <c r="S54" s="53"/>
      <c r="T54" s="53"/>
    </row>
    <row r="55" spans="1:20" s="41" customFormat="1" ht="24" x14ac:dyDescent="0.25">
      <c r="A55" s="35"/>
      <c r="B55" s="30" t="s">
        <v>73</v>
      </c>
      <c r="C55" s="229">
        <f t="shared" si="4"/>
        <v>574737</v>
      </c>
      <c r="D55" s="230">
        <f>SUM(D56,D78,D176,D190)</f>
        <v>511724</v>
      </c>
      <c r="E55" s="231">
        <f>SUM(E56,E78,E176,E190)</f>
        <v>0</v>
      </c>
      <c r="F55" s="232">
        <f t="shared" si="5"/>
        <v>511724</v>
      </c>
      <c r="G55" s="230">
        <f>SUM(G56,G78,G176,G190)</f>
        <v>57686</v>
      </c>
      <c r="H55" s="233">
        <f>SUM(H56,H78,H176,H190)</f>
        <v>0</v>
      </c>
      <c r="I55" s="234">
        <f t="shared" si="6"/>
        <v>57686</v>
      </c>
      <c r="J55" s="230">
        <f>SUM(J56,J78,J176,J190)</f>
        <v>5327</v>
      </c>
      <c r="K55" s="233">
        <f>SUM(K56,K78,K176,K190)</f>
        <v>0</v>
      </c>
      <c r="L55" s="234">
        <f t="shared" si="7"/>
        <v>5327</v>
      </c>
      <c r="M55" s="53">
        <f>SUM(M56,M78,M176,M190)</f>
        <v>0</v>
      </c>
      <c r="N55" s="235">
        <f>SUM(N56,N78,N176,N190)</f>
        <v>0</v>
      </c>
      <c r="O55" s="234">
        <f t="shared" si="8"/>
        <v>0</v>
      </c>
      <c r="P55" s="236"/>
      <c r="R55" s="53"/>
      <c r="S55" s="53"/>
      <c r="T55" s="53"/>
    </row>
    <row r="56" spans="1:20" s="41" customFormat="1" x14ac:dyDescent="0.25">
      <c r="A56" s="237">
        <v>1000</v>
      </c>
      <c r="B56" s="237" t="s">
        <v>74</v>
      </c>
      <c r="C56" s="238">
        <f t="shared" si="4"/>
        <v>495380</v>
      </c>
      <c r="D56" s="239">
        <f>SUM(D57,D70)</f>
        <v>438794</v>
      </c>
      <c r="E56" s="240">
        <f>SUM(E57,E70)</f>
        <v>0</v>
      </c>
      <c r="F56" s="241">
        <f t="shared" si="5"/>
        <v>438794</v>
      </c>
      <c r="G56" s="239">
        <f>SUM(G57,G70)</f>
        <v>56586</v>
      </c>
      <c r="H56" s="242">
        <f>SUM(H57,H70)</f>
        <v>0</v>
      </c>
      <c r="I56" s="243">
        <f t="shared" si="6"/>
        <v>56586</v>
      </c>
      <c r="J56" s="239">
        <f>SUM(J57,J70)</f>
        <v>0</v>
      </c>
      <c r="K56" s="242">
        <f>SUM(K57,K70)</f>
        <v>0</v>
      </c>
      <c r="L56" s="243">
        <f t="shared" si="7"/>
        <v>0</v>
      </c>
      <c r="M56" s="244">
        <f>SUM(M57,M70)</f>
        <v>0</v>
      </c>
      <c r="N56" s="245">
        <f>SUM(N57,N70)</f>
        <v>0</v>
      </c>
      <c r="O56" s="243">
        <f t="shared" si="8"/>
        <v>0</v>
      </c>
      <c r="P56" s="246"/>
      <c r="R56" s="53"/>
      <c r="S56" s="53"/>
      <c r="T56" s="53"/>
    </row>
    <row r="57" spans="1:20" x14ac:dyDescent="0.25">
      <c r="A57" s="99">
        <v>1100</v>
      </c>
      <c r="B57" s="247" t="s">
        <v>75</v>
      </c>
      <c r="C57" s="100">
        <f t="shared" si="4"/>
        <v>376853</v>
      </c>
      <c r="D57" s="112">
        <f>SUM(D58,D61,D69)</f>
        <v>331080</v>
      </c>
      <c r="E57" s="248">
        <f>SUM(E58,E61,E69)</f>
        <v>0</v>
      </c>
      <c r="F57" s="249">
        <f t="shared" si="5"/>
        <v>331080</v>
      </c>
      <c r="G57" s="112">
        <f>SUM(G58,G61,G69)</f>
        <v>45235</v>
      </c>
      <c r="H57" s="113">
        <f>SUM(H58,H61,H69)</f>
        <v>538</v>
      </c>
      <c r="I57" s="114">
        <f t="shared" si="6"/>
        <v>45773</v>
      </c>
      <c r="J57" s="112">
        <f>SUM(J58,J61,J69)</f>
        <v>0</v>
      </c>
      <c r="K57" s="113">
        <f>SUM(K58,K61,K69)</f>
        <v>0</v>
      </c>
      <c r="L57" s="114">
        <f t="shared" si="7"/>
        <v>0</v>
      </c>
      <c r="M57" s="250">
        <f>SUM(M58,M61,M69)</f>
        <v>0</v>
      </c>
      <c r="N57" s="251">
        <f>SUM(N58,N61,N69)</f>
        <v>0</v>
      </c>
      <c r="O57" s="252">
        <f t="shared" si="8"/>
        <v>0</v>
      </c>
      <c r="P57" s="253"/>
      <c r="R57" s="53"/>
      <c r="S57" s="53"/>
      <c r="T57" s="53"/>
    </row>
    <row r="58" spans="1:20" x14ac:dyDescent="0.25">
      <c r="A58" s="254">
        <v>1110</v>
      </c>
      <c r="B58" s="179" t="s">
        <v>76</v>
      </c>
      <c r="C58" s="191">
        <f t="shared" si="4"/>
        <v>340914</v>
      </c>
      <c r="D58" s="255">
        <f>SUM(D59:D60)</f>
        <v>295923</v>
      </c>
      <c r="E58" s="256">
        <f>SUM(E59:E60)</f>
        <v>0</v>
      </c>
      <c r="F58" s="257">
        <f t="shared" si="5"/>
        <v>295923</v>
      </c>
      <c r="G58" s="255">
        <f>SUM(G59:G60)</f>
        <v>44232</v>
      </c>
      <c r="H58" s="258">
        <f>SUM(H59:H60)</f>
        <v>759</v>
      </c>
      <c r="I58" s="259">
        <f t="shared" si="6"/>
        <v>44991</v>
      </c>
      <c r="J58" s="255">
        <f>SUM(J59:J60)</f>
        <v>0</v>
      </c>
      <c r="K58" s="258">
        <f>SUM(K59:K60)</f>
        <v>0</v>
      </c>
      <c r="L58" s="259">
        <f t="shared" si="7"/>
        <v>0</v>
      </c>
      <c r="M58" s="260">
        <f>SUM(M59:M60)</f>
        <v>0</v>
      </c>
      <c r="N58" s="261">
        <f>SUM(N59:N60)</f>
        <v>0</v>
      </c>
      <c r="O58" s="259">
        <f t="shared" si="8"/>
        <v>0</v>
      </c>
      <c r="P58" s="189"/>
      <c r="R58" s="53"/>
      <c r="S58" s="53"/>
      <c r="T58" s="53"/>
    </row>
    <row r="59" spans="1:20" hidden="1" x14ac:dyDescent="0.25">
      <c r="A59" s="66">
        <v>1111</v>
      </c>
      <c r="B59" s="116" t="s">
        <v>77</v>
      </c>
      <c r="C59" s="117">
        <f t="shared" si="4"/>
        <v>0</v>
      </c>
      <c r="D59" s="123"/>
      <c r="E59" s="262"/>
      <c r="F59" s="263">
        <f t="shared" si="5"/>
        <v>0</v>
      </c>
      <c r="G59" s="123"/>
      <c r="H59" s="124"/>
      <c r="I59" s="125">
        <f t="shared" si="6"/>
        <v>0</v>
      </c>
      <c r="J59" s="123"/>
      <c r="K59" s="124"/>
      <c r="L59" s="125">
        <f t="shared" si="7"/>
        <v>0</v>
      </c>
      <c r="M59" s="264"/>
      <c r="N59" s="262"/>
      <c r="O59" s="125">
        <f t="shared" si="8"/>
        <v>0</v>
      </c>
      <c r="P59" s="74"/>
      <c r="R59" s="53"/>
      <c r="S59" s="53"/>
      <c r="T59" s="53"/>
    </row>
    <row r="60" spans="1:20" ht="19.5" customHeight="1" x14ac:dyDescent="0.25">
      <c r="A60" s="76">
        <v>1119</v>
      </c>
      <c r="B60" s="127" t="s">
        <v>78</v>
      </c>
      <c r="C60" s="128">
        <f t="shared" si="4"/>
        <v>340914</v>
      </c>
      <c r="D60" s="134">
        <v>295923</v>
      </c>
      <c r="E60" s="283"/>
      <c r="F60" s="279">
        <f t="shared" si="5"/>
        <v>295923</v>
      </c>
      <c r="G60" s="134">
        <v>44232</v>
      </c>
      <c r="H60" s="135">
        <v>759</v>
      </c>
      <c r="I60" s="136">
        <f t="shared" si="6"/>
        <v>44991</v>
      </c>
      <c r="J60" s="134"/>
      <c r="K60" s="135"/>
      <c r="L60" s="136">
        <f t="shared" si="7"/>
        <v>0</v>
      </c>
      <c r="M60" s="284"/>
      <c r="N60" s="285"/>
      <c r="O60" s="136">
        <f t="shared" si="8"/>
        <v>0</v>
      </c>
      <c r="P60" s="85" t="s">
        <v>1124</v>
      </c>
      <c r="R60" s="53"/>
      <c r="S60" s="53"/>
      <c r="T60" s="53"/>
    </row>
    <row r="61" spans="1:20" x14ac:dyDescent="0.25">
      <c r="A61" s="276">
        <v>1140</v>
      </c>
      <c r="B61" s="127" t="s">
        <v>79</v>
      </c>
      <c r="C61" s="128">
        <f t="shared" si="4"/>
        <v>34679</v>
      </c>
      <c r="D61" s="277">
        <f>SUM(D62:D68)</f>
        <v>33897</v>
      </c>
      <c r="E61" s="278">
        <f>SUM(E62:E68)</f>
        <v>0</v>
      </c>
      <c r="F61" s="279">
        <f>D61+E61</f>
        <v>33897</v>
      </c>
      <c r="G61" s="277">
        <f>SUM(G62:G68)</f>
        <v>1003</v>
      </c>
      <c r="H61" s="280">
        <f>SUM(H62:H68)</f>
        <v>-221</v>
      </c>
      <c r="I61" s="136">
        <f t="shared" si="6"/>
        <v>782</v>
      </c>
      <c r="J61" s="277">
        <f>SUM(J62:J68)</f>
        <v>0</v>
      </c>
      <c r="K61" s="280">
        <f>SUM(K62:K68)</f>
        <v>0</v>
      </c>
      <c r="L61" s="136">
        <f t="shared" si="7"/>
        <v>0</v>
      </c>
      <c r="M61" s="281">
        <f>SUM(M62:M68)</f>
        <v>0</v>
      </c>
      <c r="N61" s="282">
        <f>SUM(N62:N68)</f>
        <v>0</v>
      </c>
      <c r="O61" s="136">
        <f t="shared" si="8"/>
        <v>0</v>
      </c>
      <c r="P61" s="85"/>
      <c r="R61" s="53"/>
      <c r="S61" s="53"/>
      <c r="T61" s="53"/>
    </row>
    <row r="62" spans="1:20" x14ac:dyDescent="0.25">
      <c r="A62" s="76">
        <v>1141</v>
      </c>
      <c r="B62" s="127" t="s">
        <v>80</v>
      </c>
      <c r="C62" s="128">
        <f t="shared" si="4"/>
        <v>3748</v>
      </c>
      <c r="D62" s="134">
        <v>3748</v>
      </c>
      <c r="E62" s="283"/>
      <c r="F62" s="279">
        <f t="shared" si="5"/>
        <v>3748</v>
      </c>
      <c r="G62" s="134"/>
      <c r="H62" s="135"/>
      <c r="I62" s="136">
        <f t="shared" si="6"/>
        <v>0</v>
      </c>
      <c r="J62" s="134"/>
      <c r="K62" s="135"/>
      <c r="L62" s="136">
        <f t="shared" si="7"/>
        <v>0</v>
      </c>
      <c r="M62" s="284"/>
      <c r="N62" s="285"/>
      <c r="O62" s="136">
        <f t="shared" si="8"/>
        <v>0</v>
      </c>
      <c r="P62" s="85"/>
      <c r="R62" s="53"/>
      <c r="S62" s="53"/>
      <c r="T62" s="53"/>
    </row>
    <row r="63" spans="1:20" ht="24" x14ac:dyDescent="0.25">
      <c r="A63" s="76">
        <v>1142</v>
      </c>
      <c r="B63" s="127" t="s">
        <v>81</v>
      </c>
      <c r="C63" s="128">
        <f t="shared" si="4"/>
        <v>922</v>
      </c>
      <c r="D63" s="134">
        <v>922</v>
      </c>
      <c r="E63" s="283"/>
      <c r="F63" s="279">
        <f t="shared" si="5"/>
        <v>922</v>
      </c>
      <c r="G63" s="134"/>
      <c r="H63" s="135"/>
      <c r="I63" s="136">
        <f t="shared" si="6"/>
        <v>0</v>
      </c>
      <c r="J63" s="134"/>
      <c r="K63" s="135"/>
      <c r="L63" s="136">
        <f t="shared" si="7"/>
        <v>0</v>
      </c>
      <c r="M63" s="284"/>
      <c r="N63" s="285"/>
      <c r="O63" s="136">
        <f t="shared" si="8"/>
        <v>0</v>
      </c>
      <c r="P63" s="85"/>
      <c r="R63" s="53"/>
      <c r="S63" s="53"/>
      <c r="T63" s="53"/>
    </row>
    <row r="64" spans="1:20" ht="24" x14ac:dyDescent="0.25">
      <c r="A64" s="76">
        <v>1145</v>
      </c>
      <c r="B64" s="127" t="s">
        <v>82</v>
      </c>
      <c r="C64" s="128">
        <f t="shared" si="4"/>
        <v>1330</v>
      </c>
      <c r="D64" s="134">
        <v>1255</v>
      </c>
      <c r="E64" s="283"/>
      <c r="F64" s="279">
        <f t="shared" si="5"/>
        <v>1255</v>
      </c>
      <c r="G64" s="134">
        <v>75</v>
      </c>
      <c r="H64" s="135"/>
      <c r="I64" s="136">
        <f t="shared" si="6"/>
        <v>75</v>
      </c>
      <c r="J64" s="134"/>
      <c r="K64" s="135"/>
      <c r="L64" s="136">
        <f t="shared" si="7"/>
        <v>0</v>
      </c>
      <c r="M64" s="284"/>
      <c r="N64" s="285"/>
      <c r="O64" s="136">
        <f t="shared" si="8"/>
        <v>0</v>
      </c>
      <c r="P64" s="85"/>
      <c r="R64" s="53"/>
      <c r="S64" s="53"/>
      <c r="T64" s="53"/>
    </row>
    <row r="65" spans="1:20" ht="24" hidden="1" x14ac:dyDescent="0.25">
      <c r="A65" s="76">
        <v>1146</v>
      </c>
      <c r="B65" s="127" t="s">
        <v>83</v>
      </c>
      <c r="C65" s="128">
        <f t="shared" si="4"/>
        <v>0</v>
      </c>
      <c r="D65" s="134"/>
      <c r="E65" s="285"/>
      <c r="F65" s="286">
        <f t="shared" si="5"/>
        <v>0</v>
      </c>
      <c r="G65" s="134"/>
      <c r="H65" s="135"/>
      <c r="I65" s="136">
        <f t="shared" si="6"/>
        <v>0</v>
      </c>
      <c r="J65" s="134"/>
      <c r="K65" s="135"/>
      <c r="L65" s="136">
        <f t="shared" si="7"/>
        <v>0</v>
      </c>
      <c r="M65" s="284"/>
      <c r="N65" s="285"/>
      <c r="O65" s="136">
        <f t="shared" si="8"/>
        <v>0</v>
      </c>
      <c r="P65" s="85"/>
      <c r="R65" s="53"/>
      <c r="S65" s="53"/>
      <c r="T65" s="53"/>
    </row>
    <row r="66" spans="1:20" x14ac:dyDescent="0.25">
      <c r="A66" s="76">
        <v>1147</v>
      </c>
      <c r="B66" s="127" t="s">
        <v>84</v>
      </c>
      <c r="C66" s="128">
        <f t="shared" si="4"/>
        <v>2730</v>
      </c>
      <c r="D66" s="134">
        <v>2730</v>
      </c>
      <c r="E66" s="283"/>
      <c r="F66" s="279">
        <f t="shared" si="5"/>
        <v>2730</v>
      </c>
      <c r="G66" s="134"/>
      <c r="H66" s="135"/>
      <c r="I66" s="136">
        <f t="shared" si="6"/>
        <v>0</v>
      </c>
      <c r="J66" s="134"/>
      <c r="K66" s="135"/>
      <c r="L66" s="136">
        <f t="shared" si="7"/>
        <v>0</v>
      </c>
      <c r="M66" s="284"/>
      <c r="N66" s="285"/>
      <c r="O66" s="136">
        <f t="shared" si="8"/>
        <v>0</v>
      </c>
      <c r="P66" s="85"/>
      <c r="R66" s="53"/>
      <c r="S66" s="53"/>
      <c r="T66" s="53"/>
    </row>
    <row r="67" spans="1:20" x14ac:dyDescent="0.25">
      <c r="A67" s="76">
        <v>1148</v>
      </c>
      <c r="B67" s="127" t="s">
        <v>85</v>
      </c>
      <c r="C67" s="128">
        <f t="shared" si="4"/>
        <v>22996</v>
      </c>
      <c r="D67" s="134">
        <v>22996</v>
      </c>
      <c r="E67" s="283"/>
      <c r="F67" s="279">
        <f t="shared" si="5"/>
        <v>22996</v>
      </c>
      <c r="G67" s="134"/>
      <c r="H67" s="135"/>
      <c r="I67" s="136">
        <f t="shared" si="6"/>
        <v>0</v>
      </c>
      <c r="J67" s="134"/>
      <c r="K67" s="135"/>
      <c r="L67" s="136">
        <f t="shared" si="7"/>
        <v>0</v>
      </c>
      <c r="M67" s="284"/>
      <c r="N67" s="285"/>
      <c r="O67" s="136">
        <f t="shared" si="8"/>
        <v>0</v>
      </c>
      <c r="P67" s="85"/>
      <c r="R67" s="53"/>
      <c r="S67" s="53"/>
      <c r="T67" s="53"/>
    </row>
    <row r="68" spans="1:20" ht="25.5" customHeight="1" x14ac:dyDescent="0.25">
      <c r="A68" s="76">
        <v>1149</v>
      </c>
      <c r="B68" s="127" t="s">
        <v>86</v>
      </c>
      <c r="C68" s="128">
        <f t="shared" si="4"/>
        <v>2953</v>
      </c>
      <c r="D68" s="134">
        <v>2246</v>
      </c>
      <c r="E68" s="283"/>
      <c r="F68" s="279">
        <f t="shared" si="5"/>
        <v>2246</v>
      </c>
      <c r="G68" s="134">
        <v>928</v>
      </c>
      <c r="H68" s="135">
        <v>-221</v>
      </c>
      <c r="I68" s="136">
        <f t="shared" si="6"/>
        <v>707</v>
      </c>
      <c r="J68" s="134"/>
      <c r="K68" s="135"/>
      <c r="L68" s="136">
        <f t="shared" si="7"/>
        <v>0</v>
      </c>
      <c r="M68" s="284"/>
      <c r="N68" s="285"/>
      <c r="O68" s="136">
        <f t="shared" si="8"/>
        <v>0</v>
      </c>
      <c r="P68" s="85" t="s">
        <v>550</v>
      </c>
      <c r="R68" s="53"/>
      <c r="S68" s="53"/>
      <c r="T68" s="53"/>
    </row>
    <row r="69" spans="1:20" ht="36" x14ac:dyDescent="0.25">
      <c r="A69" s="254">
        <v>1150</v>
      </c>
      <c r="B69" s="179" t="s">
        <v>87</v>
      </c>
      <c r="C69" s="128">
        <f t="shared" si="4"/>
        <v>1260</v>
      </c>
      <c r="D69" s="287">
        <f>1275-15</f>
        <v>1260</v>
      </c>
      <c r="E69" s="288"/>
      <c r="F69" s="257">
        <f t="shared" si="5"/>
        <v>1260</v>
      </c>
      <c r="G69" s="287"/>
      <c r="H69" s="289"/>
      <c r="I69" s="259">
        <f t="shared" si="6"/>
        <v>0</v>
      </c>
      <c r="J69" s="287"/>
      <c r="K69" s="289"/>
      <c r="L69" s="259">
        <f t="shared" si="7"/>
        <v>0</v>
      </c>
      <c r="M69" s="290"/>
      <c r="N69" s="291"/>
      <c r="O69" s="259">
        <f t="shared" si="8"/>
        <v>0</v>
      </c>
      <c r="P69" s="189"/>
      <c r="R69" s="53"/>
      <c r="S69" s="53"/>
      <c r="T69" s="53"/>
    </row>
    <row r="70" spans="1:20" ht="36" x14ac:dyDescent="0.25">
      <c r="A70" s="99">
        <v>1200</v>
      </c>
      <c r="B70" s="247" t="s">
        <v>88</v>
      </c>
      <c r="C70" s="100">
        <f t="shared" si="4"/>
        <v>118527</v>
      </c>
      <c r="D70" s="112">
        <f>SUM(D71:D72)</f>
        <v>107714</v>
      </c>
      <c r="E70" s="248">
        <f>SUM(E71:E72)</f>
        <v>0</v>
      </c>
      <c r="F70" s="249">
        <f>D70+E70</f>
        <v>107714</v>
      </c>
      <c r="G70" s="112">
        <f>SUM(G71:G72)</f>
        <v>11351</v>
      </c>
      <c r="H70" s="113">
        <f>SUM(H71:H72)</f>
        <v>-538</v>
      </c>
      <c r="I70" s="114">
        <f t="shared" si="6"/>
        <v>10813</v>
      </c>
      <c r="J70" s="112">
        <f>SUM(J71:J72)</f>
        <v>0</v>
      </c>
      <c r="K70" s="113">
        <f>SUM(K71:K72)</f>
        <v>0</v>
      </c>
      <c r="L70" s="114">
        <f t="shared" si="7"/>
        <v>0</v>
      </c>
      <c r="M70" s="292">
        <f>SUM(M71:M72)</f>
        <v>0</v>
      </c>
      <c r="N70" s="293">
        <f>SUM(N71:N72)</f>
        <v>0</v>
      </c>
      <c r="O70" s="114">
        <f t="shared" si="8"/>
        <v>0</v>
      </c>
      <c r="P70" s="109"/>
      <c r="R70" s="53"/>
      <c r="S70" s="53"/>
      <c r="T70" s="53"/>
    </row>
    <row r="71" spans="1:20" ht="24" x14ac:dyDescent="0.25">
      <c r="A71" s="656">
        <v>1210</v>
      </c>
      <c r="B71" s="116" t="s">
        <v>89</v>
      </c>
      <c r="C71" s="117">
        <f t="shared" si="4"/>
        <v>92380</v>
      </c>
      <c r="D71" s="123">
        <v>81772</v>
      </c>
      <c r="E71" s="295"/>
      <c r="F71" s="296">
        <f t="shared" si="5"/>
        <v>81772</v>
      </c>
      <c r="G71" s="123">
        <v>10801</v>
      </c>
      <c r="H71" s="124">
        <v>-193</v>
      </c>
      <c r="I71" s="125">
        <f t="shared" si="6"/>
        <v>10608</v>
      </c>
      <c r="J71" s="123"/>
      <c r="K71" s="124"/>
      <c r="L71" s="125">
        <f t="shared" si="7"/>
        <v>0</v>
      </c>
      <c r="M71" s="264"/>
      <c r="N71" s="262"/>
      <c r="O71" s="125">
        <f t="shared" si="8"/>
        <v>0</v>
      </c>
      <c r="P71" s="85" t="s">
        <v>550</v>
      </c>
      <c r="R71" s="53"/>
      <c r="S71" s="53"/>
      <c r="T71" s="53"/>
    </row>
    <row r="72" spans="1:20" ht="24" x14ac:dyDescent="0.25">
      <c r="A72" s="276">
        <v>1220</v>
      </c>
      <c r="B72" s="127" t="s">
        <v>90</v>
      </c>
      <c r="C72" s="128">
        <f t="shared" si="4"/>
        <v>26147</v>
      </c>
      <c r="D72" s="277">
        <f>SUM(D73:D77)</f>
        <v>25942</v>
      </c>
      <c r="E72" s="278">
        <f>SUM(E73:E77)</f>
        <v>0</v>
      </c>
      <c r="F72" s="279">
        <f t="shared" si="5"/>
        <v>25942</v>
      </c>
      <c r="G72" s="277">
        <f>SUM(G73:G77)</f>
        <v>550</v>
      </c>
      <c r="H72" s="280">
        <f>SUM(H73:H77)</f>
        <v>-345</v>
      </c>
      <c r="I72" s="136">
        <f t="shared" si="6"/>
        <v>205</v>
      </c>
      <c r="J72" s="277">
        <f>SUM(J73:J77)</f>
        <v>0</v>
      </c>
      <c r="K72" s="280">
        <f>SUM(K73:K77)</f>
        <v>0</v>
      </c>
      <c r="L72" s="136">
        <f t="shared" si="7"/>
        <v>0</v>
      </c>
      <c r="M72" s="281">
        <f>SUM(M73:M77)</f>
        <v>0</v>
      </c>
      <c r="N72" s="282">
        <f>SUM(N73:N77)</f>
        <v>0</v>
      </c>
      <c r="O72" s="136">
        <f t="shared" si="8"/>
        <v>0</v>
      </c>
      <c r="P72" s="85"/>
      <c r="R72" s="53"/>
      <c r="S72" s="53"/>
      <c r="T72" s="53"/>
    </row>
    <row r="73" spans="1:20" ht="48" x14ac:dyDescent="0.25">
      <c r="A73" s="76">
        <v>1221</v>
      </c>
      <c r="B73" s="127" t="s">
        <v>91</v>
      </c>
      <c r="C73" s="128">
        <f t="shared" si="4"/>
        <v>15139</v>
      </c>
      <c r="D73" s="134">
        <v>14934</v>
      </c>
      <c r="E73" s="283"/>
      <c r="F73" s="279">
        <f t="shared" si="5"/>
        <v>14934</v>
      </c>
      <c r="G73" s="134">
        <v>550</v>
      </c>
      <c r="H73" s="135">
        <v>-345</v>
      </c>
      <c r="I73" s="136">
        <f t="shared" si="6"/>
        <v>205</v>
      </c>
      <c r="J73" s="134"/>
      <c r="K73" s="135"/>
      <c r="L73" s="136">
        <f t="shared" si="7"/>
        <v>0</v>
      </c>
      <c r="M73" s="284"/>
      <c r="N73" s="285"/>
      <c r="O73" s="136">
        <f t="shared" si="8"/>
        <v>0</v>
      </c>
      <c r="P73" s="85" t="s">
        <v>550</v>
      </c>
      <c r="R73" s="53"/>
      <c r="S73" s="53"/>
      <c r="T73" s="53"/>
    </row>
    <row r="74" spans="1:20" hidden="1" x14ac:dyDescent="0.25">
      <c r="A74" s="76">
        <v>1223</v>
      </c>
      <c r="B74" s="127" t="s">
        <v>92</v>
      </c>
      <c r="C74" s="128">
        <f t="shared" si="4"/>
        <v>0</v>
      </c>
      <c r="D74" s="134"/>
      <c r="E74" s="285"/>
      <c r="F74" s="286">
        <f t="shared" si="5"/>
        <v>0</v>
      </c>
      <c r="G74" s="134"/>
      <c r="H74" s="135"/>
      <c r="I74" s="136">
        <f t="shared" si="6"/>
        <v>0</v>
      </c>
      <c r="J74" s="134"/>
      <c r="K74" s="135"/>
      <c r="L74" s="136">
        <f t="shared" si="7"/>
        <v>0</v>
      </c>
      <c r="M74" s="284"/>
      <c r="N74" s="285"/>
      <c r="O74" s="136">
        <f t="shared" si="8"/>
        <v>0</v>
      </c>
      <c r="P74" s="85"/>
      <c r="R74" s="53"/>
      <c r="S74" s="53"/>
      <c r="T74" s="53"/>
    </row>
    <row r="75" spans="1:20" hidden="1" x14ac:dyDescent="0.25">
      <c r="A75" s="76">
        <v>1225</v>
      </c>
      <c r="B75" s="127" t="s">
        <v>93</v>
      </c>
      <c r="C75" s="128">
        <f t="shared" si="4"/>
        <v>0</v>
      </c>
      <c r="D75" s="134"/>
      <c r="E75" s="285"/>
      <c r="F75" s="286">
        <f t="shared" si="5"/>
        <v>0</v>
      </c>
      <c r="G75" s="134"/>
      <c r="H75" s="135"/>
      <c r="I75" s="136">
        <f t="shared" si="6"/>
        <v>0</v>
      </c>
      <c r="J75" s="134"/>
      <c r="K75" s="135"/>
      <c r="L75" s="136">
        <f t="shared" si="7"/>
        <v>0</v>
      </c>
      <c r="M75" s="284"/>
      <c r="N75" s="285"/>
      <c r="O75" s="136">
        <f t="shared" si="8"/>
        <v>0</v>
      </c>
      <c r="P75" s="85"/>
      <c r="R75" s="53"/>
      <c r="S75" s="53"/>
      <c r="T75" s="53"/>
    </row>
    <row r="76" spans="1:20" ht="27.75" customHeight="1" x14ac:dyDescent="0.25">
      <c r="A76" s="265">
        <v>1227</v>
      </c>
      <c r="B76" s="266" t="s">
        <v>94</v>
      </c>
      <c r="C76" s="267">
        <f t="shared" si="4"/>
        <v>10367</v>
      </c>
      <c r="D76" s="268">
        <f>10352+15</f>
        <v>10367</v>
      </c>
      <c r="E76" s="269"/>
      <c r="F76" s="270">
        <f t="shared" si="5"/>
        <v>10367</v>
      </c>
      <c r="G76" s="268"/>
      <c r="H76" s="271"/>
      <c r="I76" s="272">
        <f t="shared" si="6"/>
        <v>0</v>
      </c>
      <c r="J76" s="268"/>
      <c r="K76" s="271"/>
      <c r="L76" s="272">
        <f t="shared" si="7"/>
        <v>0</v>
      </c>
      <c r="M76" s="273"/>
      <c r="N76" s="274"/>
      <c r="O76" s="272">
        <f t="shared" si="8"/>
        <v>0</v>
      </c>
      <c r="P76" s="275"/>
      <c r="R76" s="53"/>
      <c r="S76" s="53"/>
      <c r="T76" s="53"/>
    </row>
    <row r="77" spans="1:20" ht="48" x14ac:dyDescent="0.25">
      <c r="A77" s="265">
        <v>1228</v>
      </c>
      <c r="B77" s="266" t="s">
        <v>95</v>
      </c>
      <c r="C77" s="267">
        <f t="shared" si="4"/>
        <v>641</v>
      </c>
      <c r="D77" s="268">
        <v>641</v>
      </c>
      <c r="E77" s="269"/>
      <c r="F77" s="270">
        <f t="shared" si="5"/>
        <v>641</v>
      </c>
      <c r="G77" s="268"/>
      <c r="H77" s="271"/>
      <c r="I77" s="272">
        <f t="shared" si="6"/>
        <v>0</v>
      </c>
      <c r="J77" s="268"/>
      <c r="K77" s="271"/>
      <c r="L77" s="272">
        <f t="shared" si="7"/>
        <v>0</v>
      </c>
      <c r="M77" s="273"/>
      <c r="N77" s="274"/>
      <c r="O77" s="272">
        <f t="shared" si="8"/>
        <v>0</v>
      </c>
      <c r="P77" s="275"/>
      <c r="R77" s="53"/>
      <c r="S77" s="53"/>
      <c r="T77" s="53"/>
    </row>
    <row r="78" spans="1:20" x14ac:dyDescent="0.25">
      <c r="A78" s="237">
        <v>2000</v>
      </c>
      <c r="B78" s="237" t="s">
        <v>96</v>
      </c>
      <c r="C78" s="238">
        <f t="shared" si="4"/>
        <v>79357</v>
      </c>
      <c r="D78" s="239">
        <f>SUM(D79,D86,D133,D167,D168,D175)</f>
        <v>72930</v>
      </c>
      <c r="E78" s="240">
        <f>SUM(E79,E86,E133,E167,E168,E175)</f>
        <v>0</v>
      </c>
      <c r="F78" s="241">
        <f t="shared" si="5"/>
        <v>72930</v>
      </c>
      <c r="G78" s="239">
        <f>SUM(G79,G86,G133,G167,G168,G175)</f>
        <v>1100</v>
      </c>
      <c r="H78" s="242">
        <f>SUM(H79,H86,H133,H167,H168,H175)</f>
        <v>0</v>
      </c>
      <c r="I78" s="243">
        <f t="shared" si="6"/>
        <v>1100</v>
      </c>
      <c r="J78" s="239">
        <f>SUM(J79,J86,J133,J167,J168,J175)</f>
        <v>5327</v>
      </c>
      <c r="K78" s="242">
        <f>SUM(K79,K86,K133,K167,K168,K175)</f>
        <v>0</v>
      </c>
      <c r="L78" s="243">
        <f t="shared" si="7"/>
        <v>5327</v>
      </c>
      <c r="M78" s="244">
        <f>SUM(M79,M86,M133,M167,M168,M175)</f>
        <v>0</v>
      </c>
      <c r="N78" s="245">
        <f>SUM(N79,N86,N133,N167,N168,N175)</f>
        <v>0</v>
      </c>
      <c r="O78" s="243">
        <f t="shared" si="8"/>
        <v>0</v>
      </c>
      <c r="P78" s="246"/>
      <c r="R78" s="53"/>
      <c r="S78" s="53"/>
      <c r="T78" s="53"/>
    </row>
    <row r="79" spans="1:20" ht="24" x14ac:dyDescent="0.25">
      <c r="A79" s="99">
        <v>2100</v>
      </c>
      <c r="B79" s="247" t="s">
        <v>97</v>
      </c>
      <c r="C79" s="100">
        <f t="shared" si="4"/>
        <v>168</v>
      </c>
      <c r="D79" s="112">
        <f>SUM(D80,D83)</f>
        <v>168</v>
      </c>
      <c r="E79" s="248">
        <f>SUM(E80,E83)</f>
        <v>0</v>
      </c>
      <c r="F79" s="249">
        <f t="shared" si="5"/>
        <v>168</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c r="R79" s="53"/>
      <c r="S79" s="53"/>
      <c r="T79" s="53"/>
    </row>
    <row r="80" spans="1:20" ht="24" x14ac:dyDescent="0.25">
      <c r="A80" s="656">
        <v>2110</v>
      </c>
      <c r="B80" s="116" t="s">
        <v>98</v>
      </c>
      <c r="C80" s="117">
        <f t="shared" si="4"/>
        <v>168</v>
      </c>
      <c r="D80" s="297">
        <f>SUM(D81:D82)</f>
        <v>168</v>
      </c>
      <c r="E80" s="298">
        <f>SUM(E81:E82)</f>
        <v>0</v>
      </c>
      <c r="F80" s="296">
        <f t="shared" si="5"/>
        <v>168</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c r="R80" s="53"/>
      <c r="S80" s="53"/>
      <c r="T80" s="53"/>
    </row>
    <row r="81" spans="1:20" hidden="1" x14ac:dyDescent="0.25">
      <c r="A81" s="76">
        <v>2111</v>
      </c>
      <c r="B81" s="127" t="s">
        <v>99</v>
      </c>
      <c r="C81" s="128">
        <f t="shared" si="4"/>
        <v>0</v>
      </c>
      <c r="D81" s="134"/>
      <c r="E81" s="285"/>
      <c r="F81" s="286">
        <f t="shared" si="5"/>
        <v>0</v>
      </c>
      <c r="G81" s="134"/>
      <c r="H81" s="135"/>
      <c r="I81" s="136">
        <f t="shared" si="6"/>
        <v>0</v>
      </c>
      <c r="J81" s="134"/>
      <c r="K81" s="135"/>
      <c r="L81" s="136">
        <f t="shared" si="7"/>
        <v>0</v>
      </c>
      <c r="M81" s="284"/>
      <c r="N81" s="285"/>
      <c r="O81" s="136">
        <f t="shared" si="8"/>
        <v>0</v>
      </c>
      <c r="P81" s="85"/>
      <c r="R81" s="53"/>
      <c r="S81" s="53"/>
      <c r="T81" s="53"/>
    </row>
    <row r="82" spans="1:20" ht="24" x14ac:dyDescent="0.25">
      <c r="A82" s="76">
        <v>2112</v>
      </c>
      <c r="B82" s="127" t="s">
        <v>100</v>
      </c>
      <c r="C82" s="128">
        <f t="shared" si="4"/>
        <v>168</v>
      </c>
      <c r="D82" s="134">
        <v>168</v>
      </c>
      <c r="E82" s="283"/>
      <c r="F82" s="279">
        <f t="shared" si="5"/>
        <v>168</v>
      </c>
      <c r="G82" s="134"/>
      <c r="H82" s="135"/>
      <c r="I82" s="136">
        <f t="shared" si="6"/>
        <v>0</v>
      </c>
      <c r="J82" s="134"/>
      <c r="K82" s="135"/>
      <c r="L82" s="136">
        <f t="shared" si="7"/>
        <v>0</v>
      </c>
      <c r="M82" s="284"/>
      <c r="N82" s="285"/>
      <c r="O82" s="136">
        <f t="shared" si="8"/>
        <v>0</v>
      </c>
      <c r="P82" s="85"/>
      <c r="R82" s="53"/>
      <c r="S82" s="53"/>
      <c r="T82" s="53"/>
    </row>
    <row r="83" spans="1:20" ht="24" hidden="1" x14ac:dyDescent="0.25">
      <c r="A83" s="276">
        <v>2120</v>
      </c>
      <c r="B83" s="127" t="s">
        <v>101</v>
      </c>
      <c r="C83" s="128">
        <f t="shared" si="4"/>
        <v>0</v>
      </c>
      <c r="D83" s="277">
        <f>SUM(D84:D85)</f>
        <v>0</v>
      </c>
      <c r="E83" s="282">
        <f>SUM(E84:E85)</f>
        <v>0</v>
      </c>
      <c r="F83" s="28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c r="R83" s="53"/>
      <c r="S83" s="53"/>
      <c r="T83" s="53"/>
    </row>
    <row r="84" spans="1:20" hidden="1" x14ac:dyDescent="0.25">
      <c r="A84" s="76">
        <v>2121</v>
      </c>
      <c r="B84" s="127" t="s">
        <v>99</v>
      </c>
      <c r="C84" s="128">
        <f t="shared" si="4"/>
        <v>0</v>
      </c>
      <c r="D84" s="134"/>
      <c r="E84" s="285"/>
      <c r="F84" s="286">
        <f t="shared" si="5"/>
        <v>0</v>
      </c>
      <c r="G84" s="134"/>
      <c r="H84" s="135"/>
      <c r="I84" s="136">
        <f t="shared" si="6"/>
        <v>0</v>
      </c>
      <c r="J84" s="134"/>
      <c r="K84" s="135"/>
      <c r="L84" s="136">
        <f t="shared" si="7"/>
        <v>0</v>
      </c>
      <c r="M84" s="284"/>
      <c r="N84" s="285"/>
      <c r="O84" s="136">
        <f t="shared" si="8"/>
        <v>0</v>
      </c>
      <c r="P84" s="85"/>
      <c r="R84" s="53"/>
      <c r="S84" s="53"/>
      <c r="T84" s="53"/>
    </row>
    <row r="85" spans="1:20" ht="24" hidden="1" x14ac:dyDescent="0.25">
      <c r="A85" s="76">
        <v>2122</v>
      </c>
      <c r="B85" s="127" t="s">
        <v>100</v>
      </c>
      <c r="C85" s="128">
        <f t="shared" si="4"/>
        <v>0</v>
      </c>
      <c r="D85" s="134"/>
      <c r="E85" s="285"/>
      <c r="F85" s="286">
        <f t="shared" si="5"/>
        <v>0</v>
      </c>
      <c r="G85" s="134"/>
      <c r="H85" s="135"/>
      <c r="I85" s="136">
        <f t="shared" si="6"/>
        <v>0</v>
      </c>
      <c r="J85" s="134"/>
      <c r="K85" s="135"/>
      <c r="L85" s="136">
        <f t="shared" si="7"/>
        <v>0</v>
      </c>
      <c r="M85" s="284"/>
      <c r="N85" s="285"/>
      <c r="O85" s="136">
        <f t="shared" si="8"/>
        <v>0</v>
      </c>
      <c r="P85" s="85"/>
      <c r="R85" s="53"/>
      <c r="S85" s="53"/>
      <c r="T85" s="53"/>
    </row>
    <row r="86" spans="1:20" x14ac:dyDescent="0.25">
      <c r="A86" s="99">
        <v>2200</v>
      </c>
      <c r="B86" s="247" t="s">
        <v>102</v>
      </c>
      <c r="C86" s="302">
        <f t="shared" si="4"/>
        <v>55906</v>
      </c>
      <c r="D86" s="112">
        <f>SUM(D87,D92,D98,D106,D115,D119,D125,D131)</f>
        <v>54902</v>
      </c>
      <c r="E86" s="248">
        <f>SUM(E87,E92,E98,E106,E115,E119,E125,E131)</f>
        <v>0</v>
      </c>
      <c r="F86" s="249">
        <f t="shared" si="5"/>
        <v>54902</v>
      </c>
      <c r="G86" s="112">
        <f>SUM(G87,G92,G98,G106,G115,G119,G125,G131)</f>
        <v>0</v>
      </c>
      <c r="H86" s="113">
        <f>SUM(H87,H92,H98,H106,H115,H119,H125,H131)</f>
        <v>0</v>
      </c>
      <c r="I86" s="114">
        <f t="shared" si="6"/>
        <v>0</v>
      </c>
      <c r="J86" s="112">
        <f>SUM(J87,J92,J98,J106,J115,J119,J125,J131)</f>
        <v>1004</v>
      </c>
      <c r="K86" s="113">
        <f>SUM(K87,K92,K98,K106,K115,K119,K125,K131)</f>
        <v>0</v>
      </c>
      <c r="L86" s="114">
        <f t="shared" si="7"/>
        <v>1004</v>
      </c>
      <c r="M86" s="303">
        <f>SUM(M87,M92,M98,M106,M115,M119,M125,M131)</f>
        <v>0</v>
      </c>
      <c r="N86" s="304">
        <f>SUM(N87,N92,N98,N106,N115,N119,N125,N131)</f>
        <v>0</v>
      </c>
      <c r="O86" s="305">
        <f t="shared" si="8"/>
        <v>0</v>
      </c>
      <c r="P86" s="306"/>
      <c r="R86" s="53"/>
      <c r="S86" s="53"/>
      <c r="T86" s="53"/>
    </row>
    <row r="87" spans="1:20" ht="16.5" customHeight="1" x14ac:dyDescent="0.25">
      <c r="A87" s="254">
        <v>2210</v>
      </c>
      <c r="B87" s="179" t="s">
        <v>103</v>
      </c>
      <c r="C87" s="191">
        <f t="shared" si="4"/>
        <v>801</v>
      </c>
      <c r="D87" s="255">
        <f>SUM(D88:D91)</f>
        <v>801</v>
      </c>
      <c r="E87" s="256">
        <f>SUM(E88:E91)</f>
        <v>0</v>
      </c>
      <c r="F87" s="257">
        <f t="shared" si="5"/>
        <v>801</v>
      </c>
      <c r="G87" s="255">
        <f>SUM(G88:G91)</f>
        <v>0</v>
      </c>
      <c r="H87" s="258">
        <f>SUM(H88:H91)</f>
        <v>0</v>
      </c>
      <c r="I87" s="259">
        <f t="shared" si="6"/>
        <v>0</v>
      </c>
      <c r="J87" s="255">
        <f>SUM(J88:J91)</f>
        <v>0</v>
      </c>
      <c r="K87" s="258">
        <f>SUM(K88:K91)</f>
        <v>0</v>
      </c>
      <c r="L87" s="259">
        <f t="shared" si="7"/>
        <v>0</v>
      </c>
      <c r="M87" s="260">
        <f>SUM(M88:M91)</f>
        <v>0</v>
      </c>
      <c r="N87" s="261">
        <f>SUM(N88:N91)</f>
        <v>0</v>
      </c>
      <c r="O87" s="259">
        <f t="shared" si="8"/>
        <v>0</v>
      </c>
      <c r="P87" s="189"/>
      <c r="R87" s="53"/>
      <c r="S87" s="53"/>
      <c r="T87" s="53"/>
    </row>
    <row r="88" spans="1:20" ht="24" hidden="1" x14ac:dyDescent="0.25">
      <c r="A88" s="66">
        <v>2211</v>
      </c>
      <c r="B88" s="116" t="s">
        <v>104</v>
      </c>
      <c r="C88" s="128">
        <f t="shared" si="4"/>
        <v>0</v>
      </c>
      <c r="D88" s="123"/>
      <c r="E88" s="262"/>
      <c r="F88" s="263">
        <f t="shared" si="5"/>
        <v>0</v>
      </c>
      <c r="G88" s="123"/>
      <c r="H88" s="124"/>
      <c r="I88" s="125">
        <f t="shared" si="6"/>
        <v>0</v>
      </c>
      <c r="J88" s="123"/>
      <c r="K88" s="124"/>
      <c r="L88" s="125">
        <f t="shared" si="7"/>
        <v>0</v>
      </c>
      <c r="M88" s="264"/>
      <c r="N88" s="262"/>
      <c r="O88" s="125">
        <f t="shared" si="8"/>
        <v>0</v>
      </c>
      <c r="P88" s="74"/>
      <c r="R88" s="53"/>
      <c r="S88" s="53"/>
      <c r="T88" s="53"/>
    </row>
    <row r="89" spans="1:20" ht="36" x14ac:dyDescent="0.25">
      <c r="A89" s="76">
        <v>2212</v>
      </c>
      <c r="B89" s="127" t="s">
        <v>105</v>
      </c>
      <c r="C89" s="128">
        <f t="shared" si="4"/>
        <v>715</v>
      </c>
      <c r="D89" s="134">
        <v>718</v>
      </c>
      <c r="E89" s="283">
        <v>-3</v>
      </c>
      <c r="F89" s="279">
        <f t="shared" si="5"/>
        <v>715</v>
      </c>
      <c r="G89" s="134"/>
      <c r="H89" s="135"/>
      <c r="I89" s="136">
        <f t="shared" si="6"/>
        <v>0</v>
      </c>
      <c r="J89" s="134"/>
      <c r="K89" s="135"/>
      <c r="L89" s="136">
        <f t="shared" si="7"/>
        <v>0</v>
      </c>
      <c r="M89" s="284"/>
      <c r="N89" s="285"/>
      <c r="O89" s="136">
        <f t="shared" si="8"/>
        <v>0</v>
      </c>
      <c r="P89" s="85" t="s">
        <v>550</v>
      </c>
      <c r="R89" s="53"/>
      <c r="S89" s="53"/>
      <c r="T89" s="53"/>
    </row>
    <row r="90" spans="1:20" ht="24" x14ac:dyDescent="0.25">
      <c r="A90" s="76">
        <v>2214</v>
      </c>
      <c r="B90" s="127" t="s">
        <v>106</v>
      </c>
      <c r="C90" s="128">
        <f t="shared" si="4"/>
        <v>51</v>
      </c>
      <c r="D90" s="134">
        <v>48</v>
      </c>
      <c r="E90" s="283">
        <v>3</v>
      </c>
      <c r="F90" s="279">
        <f t="shared" si="5"/>
        <v>51</v>
      </c>
      <c r="G90" s="134"/>
      <c r="H90" s="135"/>
      <c r="I90" s="136">
        <f t="shared" si="6"/>
        <v>0</v>
      </c>
      <c r="J90" s="134"/>
      <c r="K90" s="135"/>
      <c r="L90" s="136">
        <f t="shared" si="7"/>
        <v>0</v>
      </c>
      <c r="M90" s="284"/>
      <c r="N90" s="285"/>
      <c r="O90" s="136">
        <f t="shared" si="8"/>
        <v>0</v>
      </c>
      <c r="P90" s="85" t="s">
        <v>1133</v>
      </c>
      <c r="R90" s="53"/>
      <c r="S90" s="53"/>
      <c r="T90" s="53"/>
    </row>
    <row r="91" spans="1:20" x14ac:dyDescent="0.25">
      <c r="A91" s="76">
        <v>2219</v>
      </c>
      <c r="B91" s="127" t="s">
        <v>107</v>
      </c>
      <c r="C91" s="128">
        <f t="shared" si="4"/>
        <v>35</v>
      </c>
      <c r="D91" s="134">
        <v>35</v>
      </c>
      <c r="E91" s="283"/>
      <c r="F91" s="279">
        <f t="shared" si="5"/>
        <v>35</v>
      </c>
      <c r="G91" s="134"/>
      <c r="H91" s="135"/>
      <c r="I91" s="136">
        <f t="shared" si="6"/>
        <v>0</v>
      </c>
      <c r="J91" s="134"/>
      <c r="K91" s="135"/>
      <c r="L91" s="136">
        <f t="shared" si="7"/>
        <v>0</v>
      </c>
      <c r="M91" s="284"/>
      <c r="N91" s="285"/>
      <c r="O91" s="136">
        <f t="shared" si="8"/>
        <v>0</v>
      </c>
      <c r="P91" s="85"/>
      <c r="R91" s="53"/>
      <c r="S91" s="53"/>
      <c r="T91" s="53"/>
    </row>
    <row r="92" spans="1:20" ht="24" x14ac:dyDescent="0.25">
      <c r="A92" s="276">
        <v>2220</v>
      </c>
      <c r="B92" s="127" t="s">
        <v>108</v>
      </c>
      <c r="C92" s="128">
        <f t="shared" si="4"/>
        <v>49205</v>
      </c>
      <c r="D92" s="277">
        <f>SUM(D93:D97)</f>
        <v>49105</v>
      </c>
      <c r="E92" s="278">
        <f>SUM(E93:E97)</f>
        <v>0</v>
      </c>
      <c r="F92" s="279">
        <f t="shared" si="5"/>
        <v>49105</v>
      </c>
      <c r="G92" s="277">
        <f>SUM(G93:G97)</f>
        <v>0</v>
      </c>
      <c r="H92" s="280">
        <f>SUM(H93:H97)</f>
        <v>0</v>
      </c>
      <c r="I92" s="136">
        <f t="shared" si="6"/>
        <v>0</v>
      </c>
      <c r="J92" s="277">
        <f>SUM(J93:J97)</f>
        <v>100</v>
      </c>
      <c r="K92" s="280">
        <f>SUM(K93:K97)</f>
        <v>0</v>
      </c>
      <c r="L92" s="136">
        <f t="shared" si="7"/>
        <v>100</v>
      </c>
      <c r="M92" s="281">
        <f>SUM(M93:M97)</f>
        <v>0</v>
      </c>
      <c r="N92" s="282">
        <f>SUM(N93:N97)</f>
        <v>0</v>
      </c>
      <c r="O92" s="136">
        <f t="shared" si="8"/>
        <v>0</v>
      </c>
      <c r="P92" s="85"/>
      <c r="R92" s="53"/>
      <c r="S92" s="53"/>
      <c r="T92" s="53"/>
    </row>
    <row r="93" spans="1:20" x14ac:dyDescent="0.25">
      <c r="A93" s="76">
        <v>2221</v>
      </c>
      <c r="B93" s="127" t="s">
        <v>109</v>
      </c>
      <c r="C93" s="128">
        <f t="shared" si="4"/>
        <v>33287</v>
      </c>
      <c r="D93" s="134">
        <v>33496</v>
      </c>
      <c r="E93" s="283">
        <v>-209</v>
      </c>
      <c r="F93" s="279">
        <f t="shared" si="5"/>
        <v>33287</v>
      </c>
      <c r="G93" s="134"/>
      <c r="H93" s="135"/>
      <c r="I93" s="136">
        <f t="shared" si="6"/>
        <v>0</v>
      </c>
      <c r="J93" s="134"/>
      <c r="K93" s="135"/>
      <c r="L93" s="136">
        <f t="shared" si="7"/>
        <v>0</v>
      </c>
      <c r="M93" s="284"/>
      <c r="N93" s="285"/>
      <c r="O93" s="136">
        <f t="shared" si="8"/>
        <v>0</v>
      </c>
      <c r="P93" s="85" t="s">
        <v>550</v>
      </c>
      <c r="R93" s="53"/>
      <c r="S93" s="53"/>
      <c r="T93" s="53"/>
    </row>
    <row r="94" spans="1:20" x14ac:dyDescent="0.25">
      <c r="A94" s="76">
        <v>2222</v>
      </c>
      <c r="B94" s="127" t="s">
        <v>110</v>
      </c>
      <c r="C94" s="128">
        <f t="shared" si="4"/>
        <v>7252</v>
      </c>
      <c r="D94" s="134">
        <v>7252</v>
      </c>
      <c r="E94" s="283"/>
      <c r="F94" s="279">
        <f t="shared" si="5"/>
        <v>7252</v>
      </c>
      <c r="G94" s="134"/>
      <c r="H94" s="135"/>
      <c r="I94" s="136">
        <f t="shared" si="6"/>
        <v>0</v>
      </c>
      <c r="J94" s="134"/>
      <c r="K94" s="135"/>
      <c r="L94" s="136">
        <f t="shared" si="7"/>
        <v>0</v>
      </c>
      <c r="M94" s="284"/>
      <c r="N94" s="285"/>
      <c r="O94" s="136">
        <f t="shared" si="8"/>
        <v>0</v>
      </c>
      <c r="P94" s="85"/>
      <c r="R94" s="53"/>
      <c r="S94" s="53"/>
      <c r="T94" s="53"/>
    </row>
    <row r="95" spans="1:20" ht="14.25" customHeight="1" x14ac:dyDescent="0.25">
      <c r="A95" s="76">
        <v>2223</v>
      </c>
      <c r="B95" s="127" t="s">
        <v>111</v>
      </c>
      <c r="C95" s="128">
        <f t="shared" si="4"/>
        <v>7960</v>
      </c>
      <c r="D95" s="134">
        <v>7651</v>
      </c>
      <c r="E95" s="283">
        <v>209</v>
      </c>
      <c r="F95" s="279">
        <f t="shared" si="5"/>
        <v>7860</v>
      </c>
      <c r="G95" s="134"/>
      <c r="H95" s="135"/>
      <c r="I95" s="136">
        <f t="shared" si="6"/>
        <v>0</v>
      </c>
      <c r="J95" s="134">
        <v>100</v>
      </c>
      <c r="K95" s="135"/>
      <c r="L95" s="136">
        <f t="shared" si="7"/>
        <v>100</v>
      </c>
      <c r="M95" s="284"/>
      <c r="N95" s="285"/>
      <c r="O95" s="136">
        <f t="shared" si="8"/>
        <v>0</v>
      </c>
      <c r="P95" s="85" t="s">
        <v>1134</v>
      </c>
      <c r="R95" s="53"/>
      <c r="S95" s="53"/>
      <c r="T95" s="53"/>
    </row>
    <row r="96" spans="1:20" ht="48" x14ac:dyDescent="0.25">
      <c r="A96" s="76">
        <v>2224</v>
      </c>
      <c r="B96" s="127" t="s">
        <v>112</v>
      </c>
      <c r="C96" s="128">
        <f t="shared" si="4"/>
        <v>706</v>
      </c>
      <c r="D96" s="134">
        <v>706</v>
      </c>
      <c r="E96" s="283"/>
      <c r="F96" s="279">
        <f t="shared" si="5"/>
        <v>706</v>
      </c>
      <c r="G96" s="134"/>
      <c r="H96" s="135"/>
      <c r="I96" s="136">
        <f t="shared" si="6"/>
        <v>0</v>
      </c>
      <c r="J96" s="134"/>
      <c r="K96" s="135"/>
      <c r="L96" s="136">
        <f t="shared" si="7"/>
        <v>0</v>
      </c>
      <c r="M96" s="284"/>
      <c r="N96" s="285"/>
      <c r="O96" s="136">
        <f t="shared" si="8"/>
        <v>0</v>
      </c>
      <c r="P96" s="85"/>
      <c r="R96" s="53"/>
      <c r="S96" s="53"/>
      <c r="T96" s="53"/>
    </row>
    <row r="97" spans="1:20" ht="24" hidden="1" x14ac:dyDescent="0.25">
      <c r="A97" s="76">
        <v>2229</v>
      </c>
      <c r="B97" s="127" t="s">
        <v>113</v>
      </c>
      <c r="C97" s="128">
        <f t="shared" si="4"/>
        <v>0</v>
      </c>
      <c r="D97" s="134"/>
      <c r="E97" s="285"/>
      <c r="F97" s="286">
        <f t="shared" si="5"/>
        <v>0</v>
      </c>
      <c r="G97" s="134"/>
      <c r="H97" s="135"/>
      <c r="I97" s="136">
        <f t="shared" si="6"/>
        <v>0</v>
      </c>
      <c r="J97" s="134"/>
      <c r="K97" s="135"/>
      <c r="L97" s="136">
        <f t="shared" si="7"/>
        <v>0</v>
      </c>
      <c r="M97" s="284"/>
      <c r="N97" s="285"/>
      <c r="O97" s="136">
        <f t="shared" si="8"/>
        <v>0</v>
      </c>
      <c r="P97" s="85"/>
      <c r="R97" s="53"/>
      <c r="S97" s="53"/>
      <c r="T97" s="53"/>
    </row>
    <row r="98" spans="1:20" ht="36" x14ac:dyDescent="0.25">
      <c r="A98" s="276">
        <v>2230</v>
      </c>
      <c r="B98" s="127" t="s">
        <v>114</v>
      </c>
      <c r="C98" s="128">
        <f t="shared" si="4"/>
        <v>1227</v>
      </c>
      <c r="D98" s="277">
        <f>SUM(D99:D105)</f>
        <v>1227</v>
      </c>
      <c r="E98" s="278">
        <f>SUM(E99:E105)</f>
        <v>0</v>
      </c>
      <c r="F98" s="279">
        <f t="shared" si="5"/>
        <v>1227</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c r="R98" s="53"/>
      <c r="S98" s="53"/>
      <c r="T98" s="53"/>
    </row>
    <row r="99" spans="1:20" ht="24" hidden="1" x14ac:dyDescent="0.25">
      <c r="A99" s="76">
        <v>2231</v>
      </c>
      <c r="B99" s="127" t="s">
        <v>115</v>
      </c>
      <c r="C99" s="128">
        <f t="shared" si="4"/>
        <v>0</v>
      </c>
      <c r="D99" s="134"/>
      <c r="E99" s="285"/>
      <c r="F99" s="286">
        <f t="shared" si="5"/>
        <v>0</v>
      </c>
      <c r="G99" s="134"/>
      <c r="H99" s="135"/>
      <c r="I99" s="136">
        <f t="shared" si="6"/>
        <v>0</v>
      </c>
      <c r="J99" s="134"/>
      <c r="K99" s="135"/>
      <c r="L99" s="136">
        <f t="shared" si="7"/>
        <v>0</v>
      </c>
      <c r="M99" s="284"/>
      <c r="N99" s="285"/>
      <c r="O99" s="136">
        <f t="shared" si="8"/>
        <v>0</v>
      </c>
      <c r="P99" s="85"/>
      <c r="R99" s="53"/>
      <c r="S99" s="53"/>
      <c r="T99" s="53"/>
    </row>
    <row r="100" spans="1:20" ht="24" hidden="1" x14ac:dyDescent="0.25">
      <c r="A100" s="76">
        <v>2232</v>
      </c>
      <c r="B100" s="127" t="s">
        <v>116</v>
      </c>
      <c r="C100" s="128">
        <f t="shared" si="4"/>
        <v>0</v>
      </c>
      <c r="D100" s="134"/>
      <c r="E100" s="285"/>
      <c r="F100" s="286">
        <f t="shared" si="5"/>
        <v>0</v>
      </c>
      <c r="G100" s="134"/>
      <c r="H100" s="135"/>
      <c r="I100" s="136">
        <f t="shared" si="6"/>
        <v>0</v>
      </c>
      <c r="J100" s="134"/>
      <c r="K100" s="135"/>
      <c r="L100" s="136">
        <f t="shared" si="7"/>
        <v>0</v>
      </c>
      <c r="M100" s="284"/>
      <c r="N100" s="285"/>
      <c r="O100" s="136">
        <f t="shared" si="8"/>
        <v>0</v>
      </c>
      <c r="P100" s="85"/>
      <c r="R100" s="53"/>
      <c r="S100" s="53"/>
      <c r="T100" s="53"/>
    </row>
    <row r="101" spans="1:20" hidden="1" x14ac:dyDescent="0.25">
      <c r="A101" s="66">
        <v>2233</v>
      </c>
      <c r="B101" s="116" t="s">
        <v>117</v>
      </c>
      <c r="C101" s="128">
        <f t="shared" si="4"/>
        <v>0</v>
      </c>
      <c r="D101" s="123"/>
      <c r="E101" s="262"/>
      <c r="F101" s="263">
        <f t="shared" si="5"/>
        <v>0</v>
      </c>
      <c r="G101" s="123"/>
      <c r="H101" s="124"/>
      <c r="I101" s="125">
        <f t="shared" si="6"/>
        <v>0</v>
      </c>
      <c r="J101" s="123"/>
      <c r="K101" s="124"/>
      <c r="L101" s="125">
        <f t="shared" si="7"/>
        <v>0</v>
      </c>
      <c r="M101" s="264"/>
      <c r="N101" s="262"/>
      <c r="O101" s="125">
        <f t="shared" si="8"/>
        <v>0</v>
      </c>
      <c r="P101" s="74"/>
      <c r="R101" s="53"/>
      <c r="S101" s="53"/>
      <c r="T101" s="53"/>
    </row>
    <row r="102" spans="1:20" ht="36" hidden="1" x14ac:dyDescent="0.25">
      <c r="A102" s="76">
        <v>2234</v>
      </c>
      <c r="B102" s="127" t="s">
        <v>118</v>
      </c>
      <c r="C102" s="128">
        <f t="shared" si="4"/>
        <v>0</v>
      </c>
      <c r="D102" s="134"/>
      <c r="E102" s="285"/>
      <c r="F102" s="286">
        <f t="shared" si="5"/>
        <v>0</v>
      </c>
      <c r="G102" s="134"/>
      <c r="H102" s="135"/>
      <c r="I102" s="136">
        <f t="shared" si="6"/>
        <v>0</v>
      </c>
      <c r="J102" s="134"/>
      <c r="K102" s="135"/>
      <c r="L102" s="136">
        <f t="shared" si="7"/>
        <v>0</v>
      </c>
      <c r="M102" s="284"/>
      <c r="N102" s="285"/>
      <c r="O102" s="136">
        <f t="shared" si="8"/>
        <v>0</v>
      </c>
      <c r="P102" s="85"/>
      <c r="R102" s="53"/>
      <c r="S102" s="53"/>
      <c r="T102" s="53"/>
    </row>
    <row r="103" spans="1:20" ht="24" x14ac:dyDescent="0.25">
      <c r="A103" s="76">
        <v>2235</v>
      </c>
      <c r="B103" s="127" t="s">
        <v>119</v>
      </c>
      <c r="C103" s="128">
        <f t="shared" si="4"/>
        <v>180</v>
      </c>
      <c r="D103" s="134">
        <v>180</v>
      </c>
      <c r="E103" s="283"/>
      <c r="F103" s="279">
        <f t="shared" si="5"/>
        <v>180</v>
      </c>
      <c r="G103" s="134"/>
      <c r="H103" s="135"/>
      <c r="I103" s="136">
        <f t="shared" si="6"/>
        <v>0</v>
      </c>
      <c r="J103" s="134"/>
      <c r="K103" s="135"/>
      <c r="L103" s="136">
        <f t="shared" si="7"/>
        <v>0</v>
      </c>
      <c r="M103" s="284"/>
      <c r="N103" s="285"/>
      <c r="O103" s="136">
        <f t="shared" si="8"/>
        <v>0</v>
      </c>
      <c r="P103" s="85"/>
      <c r="R103" s="53"/>
      <c r="S103" s="53"/>
      <c r="T103" s="53"/>
    </row>
    <row r="104" spans="1:20" hidden="1" x14ac:dyDescent="0.25">
      <c r="A104" s="76">
        <v>2236</v>
      </c>
      <c r="B104" s="127" t="s">
        <v>120</v>
      </c>
      <c r="C104" s="128">
        <f t="shared" si="4"/>
        <v>0</v>
      </c>
      <c r="D104" s="134"/>
      <c r="E104" s="285"/>
      <c r="F104" s="286">
        <f t="shared" si="5"/>
        <v>0</v>
      </c>
      <c r="G104" s="134"/>
      <c r="H104" s="135"/>
      <c r="I104" s="136">
        <f t="shared" si="6"/>
        <v>0</v>
      </c>
      <c r="J104" s="134"/>
      <c r="K104" s="135"/>
      <c r="L104" s="136">
        <f t="shared" si="7"/>
        <v>0</v>
      </c>
      <c r="M104" s="284"/>
      <c r="N104" s="285"/>
      <c r="O104" s="136">
        <f t="shared" si="8"/>
        <v>0</v>
      </c>
      <c r="P104" s="85"/>
      <c r="R104" s="53"/>
      <c r="S104" s="53"/>
      <c r="T104" s="53"/>
    </row>
    <row r="105" spans="1:20" x14ac:dyDescent="0.25">
      <c r="A105" s="76">
        <v>2239</v>
      </c>
      <c r="B105" s="127" t="s">
        <v>121</v>
      </c>
      <c r="C105" s="128">
        <f t="shared" si="4"/>
        <v>1047</v>
      </c>
      <c r="D105" s="134">
        <v>1047</v>
      </c>
      <c r="E105" s="283"/>
      <c r="F105" s="279">
        <f t="shared" si="5"/>
        <v>1047</v>
      </c>
      <c r="G105" s="134"/>
      <c r="H105" s="135"/>
      <c r="I105" s="136">
        <f t="shared" si="6"/>
        <v>0</v>
      </c>
      <c r="J105" s="134"/>
      <c r="K105" s="135"/>
      <c r="L105" s="136">
        <f t="shared" si="7"/>
        <v>0</v>
      </c>
      <c r="M105" s="284"/>
      <c r="N105" s="285"/>
      <c r="O105" s="136">
        <f t="shared" si="8"/>
        <v>0</v>
      </c>
      <c r="P105" s="85"/>
      <c r="R105" s="53"/>
      <c r="S105" s="53"/>
      <c r="T105" s="53"/>
    </row>
    <row r="106" spans="1:20" ht="24" x14ac:dyDescent="0.25">
      <c r="A106" s="276">
        <v>2240</v>
      </c>
      <c r="B106" s="127" t="s">
        <v>122</v>
      </c>
      <c r="C106" s="128">
        <f t="shared" si="4"/>
        <v>3529</v>
      </c>
      <c r="D106" s="277">
        <f>SUM(D107:D114)</f>
        <v>3529</v>
      </c>
      <c r="E106" s="278">
        <f>SUM(E107:E114)</f>
        <v>0</v>
      </c>
      <c r="F106" s="279">
        <f t="shared" si="5"/>
        <v>3529</v>
      </c>
      <c r="G106" s="277">
        <f>SUM(G107:G114)</f>
        <v>0</v>
      </c>
      <c r="H106" s="280">
        <f>SUM(H107:H114)</f>
        <v>0</v>
      </c>
      <c r="I106" s="136">
        <f t="shared" si="6"/>
        <v>0</v>
      </c>
      <c r="J106" s="277">
        <f>SUM(J107:J114)</f>
        <v>0</v>
      </c>
      <c r="K106" s="280">
        <f>SUM(K107:K114)</f>
        <v>0</v>
      </c>
      <c r="L106" s="136">
        <f t="shared" si="7"/>
        <v>0</v>
      </c>
      <c r="M106" s="281">
        <f>SUM(M107:M114)</f>
        <v>0</v>
      </c>
      <c r="N106" s="282">
        <f>SUM(N107:N114)</f>
        <v>0</v>
      </c>
      <c r="O106" s="136">
        <f t="shared" si="8"/>
        <v>0</v>
      </c>
      <c r="P106" s="85"/>
      <c r="R106" s="53"/>
      <c r="S106" s="53"/>
      <c r="T106" s="53"/>
    </row>
    <row r="107" spans="1:20" hidden="1" x14ac:dyDescent="0.25">
      <c r="A107" s="76">
        <v>2241</v>
      </c>
      <c r="B107" s="127" t="s">
        <v>123</v>
      </c>
      <c r="C107" s="128">
        <f t="shared" si="4"/>
        <v>0</v>
      </c>
      <c r="D107" s="134"/>
      <c r="E107" s="285"/>
      <c r="F107" s="286">
        <f t="shared" si="5"/>
        <v>0</v>
      </c>
      <c r="G107" s="134"/>
      <c r="H107" s="135"/>
      <c r="I107" s="136">
        <f t="shared" si="6"/>
        <v>0</v>
      </c>
      <c r="J107" s="134"/>
      <c r="K107" s="135"/>
      <c r="L107" s="136">
        <f t="shared" si="7"/>
        <v>0</v>
      </c>
      <c r="M107" s="284"/>
      <c r="N107" s="285"/>
      <c r="O107" s="136">
        <f t="shared" si="8"/>
        <v>0</v>
      </c>
      <c r="P107" s="85"/>
      <c r="R107" s="53"/>
      <c r="S107" s="53"/>
      <c r="T107" s="53"/>
    </row>
    <row r="108" spans="1:20" ht="24" hidden="1" x14ac:dyDescent="0.25">
      <c r="A108" s="76">
        <v>2242</v>
      </c>
      <c r="B108" s="127" t="s">
        <v>124</v>
      </c>
      <c r="C108" s="128">
        <f t="shared" si="4"/>
        <v>0</v>
      </c>
      <c r="D108" s="134"/>
      <c r="E108" s="285"/>
      <c r="F108" s="286">
        <f t="shared" si="5"/>
        <v>0</v>
      </c>
      <c r="G108" s="134"/>
      <c r="H108" s="135"/>
      <c r="I108" s="136">
        <f t="shared" si="6"/>
        <v>0</v>
      </c>
      <c r="J108" s="134"/>
      <c r="K108" s="135"/>
      <c r="L108" s="136">
        <f t="shared" si="7"/>
        <v>0</v>
      </c>
      <c r="M108" s="284"/>
      <c r="N108" s="285"/>
      <c r="O108" s="136">
        <f t="shared" si="8"/>
        <v>0</v>
      </c>
      <c r="P108" s="85"/>
      <c r="R108" s="53"/>
      <c r="S108" s="53"/>
      <c r="T108" s="53"/>
    </row>
    <row r="109" spans="1:20" ht="24" x14ac:dyDescent="0.25">
      <c r="A109" s="265">
        <v>2243</v>
      </c>
      <c r="B109" s="266" t="s">
        <v>125</v>
      </c>
      <c r="C109" s="267">
        <f t="shared" si="4"/>
        <v>675</v>
      </c>
      <c r="D109" s="268">
        <v>675</v>
      </c>
      <c r="E109" s="269"/>
      <c r="F109" s="270">
        <f t="shared" si="5"/>
        <v>675</v>
      </c>
      <c r="G109" s="268"/>
      <c r="H109" s="271"/>
      <c r="I109" s="272">
        <f t="shared" si="6"/>
        <v>0</v>
      </c>
      <c r="J109" s="268"/>
      <c r="K109" s="271"/>
      <c r="L109" s="272">
        <f t="shared" si="7"/>
        <v>0</v>
      </c>
      <c r="M109" s="273"/>
      <c r="N109" s="274"/>
      <c r="O109" s="272">
        <f t="shared" si="8"/>
        <v>0</v>
      </c>
      <c r="P109" s="275"/>
      <c r="R109" s="53"/>
      <c r="S109" s="53"/>
      <c r="T109" s="53"/>
    </row>
    <row r="110" spans="1:20" x14ac:dyDescent="0.25">
      <c r="A110" s="265">
        <v>2244</v>
      </c>
      <c r="B110" s="266" t="s">
        <v>126</v>
      </c>
      <c r="C110" s="267">
        <f t="shared" si="4"/>
        <v>2854</v>
      </c>
      <c r="D110" s="268">
        <v>2854</v>
      </c>
      <c r="E110" s="269"/>
      <c r="F110" s="270">
        <f t="shared" si="5"/>
        <v>2854</v>
      </c>
      <c r="G110" s="268"/>
      <c r="H110" s="271"/>
      <c r="I110" s="272">
        <f t="shared" si="6"/>
        <v>0</v>
      </c>
      <c r="J110" s="268"/>
      <c r="K110" s="271"/>
      <c r="L110" s="272">
        <f t="shared" si="7"/>
        <v>0</v>
      </c>
      <c r="M110" s="273"/>
      <c r="N110" s="274"/>
      <c r="O110" s="272">
        <f t="shared" si="8"/>
        <v>0</v>
      </c>
      <c r="P110" s="275"/>
      <c r="R110" s="53"/>
      <c r="S110" s="53"/>
      <c r="T110" s="53"/>
    </row>
    <row r="111" spans="1:20" ht="24" hidden="1" x14ac:dyDescent="0.25">
      <c r="A111" s="76">
        <v>2246</v>
      </c>
      <c r="B111" s="127" t="s">
        <v>127</v>
      </c>
      <c r="C111" s="128">
        <f t="shared" si="4"/>
        <v>0</v>
      </c>
      <c r="D111" s="134"/>
      <c r="E111" s="285"/>
      <c r="F111" s="286">
        <f t="shared" si="5"/>
        <v>0</v>
      </c>
      <c r="G111" s="134"/>
      <c r="H111" s="135"/>
      <c r="I111" s="136">
        <f t="shared" si="6"/>
        <v>0</v>
      </c>
      <c r="J111" s="134"/>
      <c r="K111" s="135"/>
      <c r="L111" s="136">
        <f t="shared" si="7"/>
        <v>0</v>
      </c>
      <c r="M111" s="284"/>
      <c r="N111" s="285"/>
      <c r="O111" s="136">
        <f t="shared" si="8"/>
        <v>0</v>
      </c>
      <c r="P111" s="85"/>
      <c r="R111" s="53"/>
      <c r="S111" s="53"/>
      <c r="T111" s="53"/>
    </row>
    <row r="112" spans="1:20" hidden="1" x14ac:dyDescent="0.25">
      <c r="A112" s="76">
        <v>2247</v>
      </c>
      <c r="B112" s="127" t="s">
        <v>128</v>
      </c>
      <c r="C112" s="128">
        <f t="shared" si="4"/>
        <v>0</v>
      </c>
      <c r="D112" s="134"/>
      <c r="E112" s="285"/>
      <c r="F112" s="286">
        <f t="shared" si="5"/>
        <v>0</v>
      </c>
      <c r="G112" s="134"/>
      <c r="H112" s="135"/>
      <c r="I112" s="136">
        <f t="shared" si="6"/>
        <v>0</v>
      </c>
      <c r="J112" s="134"/>
      <c r="K112" s="135"/>
      <c r="L112" s="136">
        <f t="shared" si="7"/>
        <v>0</v>
      </c>
      <c r="M112" s="284"/>
      <c r="N112" s="285"/>
      <c r="O112" s="136">
        <f t="shared" si="8"/>
        <v>0</v>
      </c>
      <c r="P112" s="85"/>
      <c r="R112" s="53"/>
      <c r="S112" s="53"/>
      <c r="T112" s="53"/>
    </row>
    <row r="113" spans="1:20" ht="24" hidden="1" x14ac:dyDescent="0.25">
      <c r="A113" s="76">
        <v>2248</v>
      </c>
      <c r="B113" s="127" t="s">
        <v>129</v>
      </c>
      <c r="C113" s="128">
        <f t="shared" si="4"/>
        <v>0</v>
      </c>
      <c r="D113" s="134"/>
      <c r="E113" s="285"/>
      <c r="F113" s="286">
        <f t="shared" si="5"/>
        <v>0</v>
      </c>
      <c r="G113" s="134"/>
      <c r="H113" s="135"/>
      <c r="I113" s="136">
        <f t="shared" si="6"/>
        <v>0</v>
      </c>
      <c r="J113" s="134"/>
      <c r="K113" s="135"/>
      <c r="L113" s="136">
        <f t="shared" si="7"/>
        <v>0</v>
      </c>
      <c r="M113" s="284"/>
      <c r="N113" s="285"/>
      <c r="O113" s="136">
        <f t="shared" si="8"/>
        <v>0</v>
      </c>
      <c r="P113" s="85"/>
      <c r="R113" s="53"/>
      <c r="S113" s="53"/>
      <c r="T113" s="53"/>
    </row>
    <row r="114" spans="1:20" ht="24" hidden="1" x14ac:dyDescent="0.25">
      <c r="A114" s="76">
        <v>2249</v>
      </c>
      <c r="B114" s="127" t="s">
        <v>130</v>
      </c>
      <c r="C114" s="128">
        <f t="shared" si="4"/>
        <v>0</v>
      </c>
      <c r="D114" s="134"/>
      <c r="E114" s="285"/>
      <c r="F114" s="286">
        <f t="shared" si="5"/>
        <v>0</v>
      </c>
      <c r="G114" s="134"/>
      <c r="H114" s="135"/>
      <c r="I114" s="136">
        <f t="shared" si="6"/>
        <v>0</v>
      </c>
      <c r="J114" s="134"/>
      <c r="K114" s="135"/>
      <c r="L114" s="136">
        <f t="shared" si="7"/>
        <v>0</v>
      </c>
      <c r="M114" s="284"/>
      <c r="N114" s="285"/>
      <c r="O114" s="136">
        <f t="shared" si="8"/>
        <v>0</v>
      </c>
      <c r="P114" s="85"/>
      <c r="R114" s="53"/>
      <c r="S114" s="53"/>
      <c r="T114" s="53"/>
    </row>
    <row r="115" spans="1:20" x14ac:dyDescent="0.25">
      <c r="A115" s="276">
        <v>2250</v>
      </c>
      <c r="B115" s="127" t="s">
        <v>131</v>
      </c>
      <c r="C115" s="128">
        <f t="shared" si="4"/>
        <v>205</v>
      </c>
      <c r="D115" s="277">
        <f>SUM(D116:D118)</f>
        <v>205</v>
      </c>
      <c r="E115" s="278">
        <f>SUM(E116:E118)</f>
        <v>0</v>
      </c>
      <c r="F115" s="279">
        <f t="shared" si="5"/>
        <v>205</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c r="R115" s="53"/>
      <c r="S115" s="53"/>
      <c r="T115" s="53"/>
    </row>
    <row r="116" spans="1:20" x14ac:dyDescent="0.25">
      <c r="A116" s="265">
        <v>2251</v>
      </c>
      <c r="B116" s="266" t="s">
        <v>132</v>
      </c>
      <c r="C116" s="267">
        <f t="shared" si="4"/>
        <v>155</v>
      </c>
      <c r="D116" s="268">
        <v>155</v>
      </c>
      <c r="E116" s="269"/>
      <c r="F116" s="270">
        <f t="shared" si="5"/>
        <v>155</v>
      </c>
      <c r="G116" s="268"/>
      <c r="H116" s="271"/>
      <c r="I116" s="272">
        <f t="shared" si="6"/>
        <v>0</v>
      </c>
      <c r="J116" s="268"/>
      <c r="K116" s="271"/>
      <c r="L116" s="272">
        <f t="shared" si="7"/>
        <v>0</v>
      </c>
      <c r="M116" s="273"/>
      <c r="N116" s="274"/>
      <c r="O116" s="272">
        <f t="shared" si="8"/>
        <v>0</v>
      </c>
      <c r="P116" s="275"/>
      <c r="R116" s="53"/>
      <c r="S116" s="53"/>
      <c r="T116" s="53"/>
    </row>
    <row r="117" spans="1:20" ht="24" hidden="1" x14ac:dyDescent="0.25">
      <c r="A117" s="76">
        <v>2252</v>
      </c>
      <c r="B117" s="127" t="s">
        <v>133</v>
      </c>
      <c r="C117" s="128">
        <f t="shared" ref="C117:C181" si="9">F117+I117+L117+O117</f>
        <v>0</v>
      </c>
      <c r="D117" s="134"/>
      <c r="E117" s="285"/>
      <c r="F117" s="286">
        <f t="shared" si="5"/>
        <v>0</v>
      </c>
      <c r="G117" s="134"/>
      <c r="H117" s="135"/>
      <c r="I117" s="136">
        <f t="shared" si="6"/>
        <v>0</v>
      </c>
      <c r="J117" s="134"/>
      <c r="K117" s="135"/>
      <c r="L117" s="136">
        <f t="shared" si="7"/>
        <v>0</v>
      </c>
      <c r="M117" s="284"/>
      <c r="N117" s="285"/>
      <c r="O117" s="136">
        <f t="shared" si="8"/>
        <v>0</v>
      </c>
      <c r="P117" s="85"/>
      <c r="R117" s="53"/>
      <c r="S117" s="53"/>
      <c r="T117" s="53"/>
    </row>
    <row r="118" spans="1:20" ht="24" x14ac:dyDescent="0.25">
      <c r="A118" s="76">
        <v>2259</v>
      </c>
      <c r="B118" s="127" t="s">
        <v>134</v>
      </c>
      <c r="C118" s="128">
        <f t="shared" si="9"/>
        <v>50</v>
      </c>
      <c r="D118" s="134">
        <v>50</v>
      </c>
      <c r="E118" s="283"/>
      <c r="F118" s="279">
        <f t="shared" ref="F118:F182" si="10">D118+E118</f>
        <v>50</v>
      </c>
      <c r="G118" s="134"/>
      <c r="H118" s="135"/>
      <c r="I118" s="136">
        <f t="shared" ref="I118:I182" si="11">G118+H118</f>
        <v>0</v>
      </c>
      <c r="J118" s="134"/>
      <c r="K118" s="135"/>
      <c r="L118" s="136">
        <f t="shared" ref="L118:L182" si="12">J118+K118</f>
        <v>0</v>
      </c>
      <c r="M118" s="284"/>
      <c r="N118" s="285"/>
      <c r="O118" s="136">
        <f t="shared" ref="O118:O182" si="13">M118+N118</f>
        <v>0</v>
      </c>
      <c r="P118" s="85"/>
      <c r="R118" s="53"/>
      <c r="S118" s="53"/>
      <c r="T118" s="53"/>
    </row>
    <row r="119" spans="1:20" x14ac:dyDescent="0.25">
      <c r="A119" s="276">
        <v>2260</v>
      </c>
      <c r="B119" s="127" t="s">
        <v>135</v>
      </c>
      <c r="C119" s="128">
        <f t="shared" si="9"/>
        <v>24</v>
      </c>
      <c r="D119" s="277">
        <f>SUM(D120:D124)</f>
        <v>24</v>
      </c>
      <c r="E119" s="278">
        <f>SUM(E120:E124)</f>
        <v>0</v>
      </c>
      <c r="F119" s="279">
        <f t="shared" si="10"/>
        <v>24</v>
      </c>
      <c r="G119" s="277">
        <f>SUM(G120:G124)</f>
        <v>0</v>
      </c>
      <c r="H119" s="280">
        <f>SUM(H120:H124)</f>
        <v>0</v>
      </c>
      <c r="I119" s="136">
        <f t="shared" si="11"/>
        <v>0</v>
      </c>
      <c r="J119" s="277">
        <f>SUM(J120:J124)</f>
        <v>0</v>
      </c>
      <c r="K119" s="280">
        <f>SUM(K120:K124)</f>
        <v>0</v>
      </c>
      <c r="L119" s="136">
        <f t="shared" si="12"/>
        <v>0</v>
      </c>
      <c r="M119" s="281">
        <f>SUM(M120:M124)</f>
        <v>0</v>
      </c>
      <c r="N119" s="282">
        <f>SUM(N120:N124)</f>
        <v>0</v>
      </c>
      <c r="O119" s="136">
        <f t="shared" si="13"/>
        <v>0</v>
      </c>
      <c r="P119" s="85"/>
      <c r="R119" s="53"/>
      <c r="S119" s="53"/>
      <c r="T119" s="53"/>
    </row>
    <row r="120" spans="1:20" hidden="1" x14ac:dyDescent="0.25">
      <c r="A120" s="76">
        <v>2261</v>
      </c>
      <c r="B120" s="127" t="s">
        <v>136</v>
      </c>
      <c r="C120" s="128">
        <f t="shared" si="9"/>
        <v>0</v>
      </c>
      <c r="D120" s="134"/>
      <c r="E120" s="285"/>
      <c r="F120" s="286">
        <f t="shared" si="10"/>
        <v>0</v>
      </c>
      <c r="G120" s="134"/>
      <c r="H120" s="135"/>
      <c r="I120" s="136">
        <f t="shared" si="11"/>
        <v>0</v>
      </c>
      <c r="J120" s="134"/>
      <c r="K120" s="135"/>
      <c r="L120" s="136">
        <f t="shared" si="12"/>
        <v>0</v>
      </c>
      <c r="M120" s="284"/>
      <c r="N120" s="285"/>
      <c r="O120" s="136">
        <f t="shared" si="13"/>
        <v>0</v>
      </c>
      <c r="P120" s="85"/>
      <c r="R120" s="53"/>
      <c r="S120" s="53"/>
      <c r="T120" s="53"/>
    </row>
    <row r="121" spans="1:20" hidden="1" x14ac:dyDescent="0.25">
      <c r="A121" s="76">
        <v>2262</v>
      </c>
      <c r="B121" s="127" t="s">
        <v>137</v>
      </c>
      <c r="C121" s="128">
        <f t="shared" si="9"/>
        <v>0</v>
      </c>
      <c r="D121" s="134"/>
      <c r="E121" s="285"/>
      <c r="F121" s="286">
        <f t="shared" si="10"/>
        <v>0</v>
      </c>
      <c r="G121" s="134"/>
      <c r="H121" s="135"/>
      <c r="I121" s="136">
        <f t="shared" si="11"/>
        <v>0</v>
      </c>
      <c r="J121" s="134"/>
      <c r="K121" s="135"/>
      <c r="L121" s="136">
        <f t="shared" si="12"/>
        <v>0</v>
      </c>
      <c r="M121" s="284"/>
      <c r="N121" s="285"/>
      <c r="O121" s="136">
        <f t="shared" si="13"/>
        <v>0</v>
      </c>
      <c r="P121" s="85"/>
      <c r="R121" s="53"/>
      <c r="S121" s="53"/>
      <c r="T121" s="53"/>
    </row>
    <row r="122" spans="1:20" hidden="1" x14ac:dyDescent="0.25">
      <c r="A122" s="76">
        <v>2263</v>
      </c>
      <c r="B122" s="127" t="s">
        <v>138</v>
      </c>
      <c r="C122" s="128">
        <f t="shared" si="9"/>
        <v>0</v>
      </c>
      <c r="D122" s="134"/>
      <c r="E122" s="285"/>
      <c r="F122" s="286">
        <f t="shared" si="10"/>
        <v>0</v>
      </c>
      <c r="G122" s="134"/>
      <c r="H122" s="135"/>
      <c r="I122" s="136">
        <f t="shared" si="11"/>
        <v>0</v>
      </c>
      <c r="J122" s="134"/>
      <c r="K122" s="135"/>
      <c r="L122" s="136">
        <f t="shared" si="12"/>
        <v>0</v>
      </c>
      <c r="M122" s="284"/>
      <c r="N122" s="285"/>
      <c r="O122" s="136">
        <f t="shared" si="13"/>
        <v>0</v>
      </c>
      <c r="P122" s="85"/>
      <c r="R122" s="53"/>
      <c r="S122" s="53"/>
      <c r="T122" s="53"/>
    </row>
    <row r="123" spans="1:20" ht="24" hidden="1" x14ac:dyDescent="0.25">
      <c r="A123" s="76">
        <v>2264</v>
      </c>
      <c r="B123" s="127" t="s">
        <v>139</v>
      </c>
      <c r="C123" s="128">
        <f t="shared" si="9"/>
        <v>0</v>
      </c>
      <c r="D123" s="134"/>
      <c r="E123" s="285"/>
      <c r="F123" s="286">
        <f t="shared" si="10"/>
        <v>0</v>
      </c>
      <c r="G123" s="134"/>
      <c r="H123" s="135"/>
      <c r="I123" s="136">
        <f t="shared" si="11"/>
        <v>0</v>
      </c>
      <c r="J123" s="134"/>
      <c r="K123" s="135"/>
      <c r="L123" s="136">
        <f t="shared" si="12"/>
        <v>0</v>
      </c>
      <c r="M123" s="284"/>
      <c r="N123" s="285"/>
      <c r="O123" s="136">
        <f t="shared" si="13"/>
        <v>0</v>
      </c>
      <c r="P123" s="85"/>
      <c r="R123" s="53"/>
      <c r="S123" s="53"/>
      <c r="T123" s="53"/>
    </row>
    <row r="124" spans="1:20" x14ac:dyDescent="0.25">
      <c r="A124" s="76">
        <v>2269</v>
      </c>
      <c r="B124" s="127" t="s">
        <v>140</v>
      </c>
      <c r="C124" s="128">
        <f t="shared" si="9"/>
        <v>24</v>
      </c>
      <c r="D124" s="134">
        <v>24</v>
      </c>
      <c r="E124" s="283"/>
      <c r="F124" s="279">
        <f t="shared" si="10"/>
        <v>24</v>
      </c>
      <c r="G124" s="134"/>
      <c r="H124" s="135"/>
      <c r="I124" s="136">
        <f t="shared" si="11"/>
        <v>0</v>
      </c>
      <c r="J124" s="134"/>
      <c r="K124" s="135"/>
      <c r="L124" s="136">
        <f t="shared" si="12"/>
        <v>0</v>
      </c>
      <c r="M124" s="284"/>
      <c r="N124" s="285"/>
      <c r="O124" s="136">
        <f t="shared" si="13"/>
        <v>0</v>
      </c>
      <c r="P124" s="85"/>
      <c r="R124" s="53"/>
      <c r="S124" s="53"/>
      <c r="T124" s="53"/>
    </row>
    <row r="125" spans="1:20" x14ac:dyDescent="0.25">
      <c r="A125" s="276">
        <v>2270</v>
      </c>
      <c r="B125" s="127" t="s">
        <v>141</v>
      </c>
      <c r="C125" s="128">
        <f t="shared" si="9"/>
        <v>915</v>
      </c>
      <c r="D125" s="277">
        <f>SUM(D126:D130)</f>
        <v>11</v>
      </c>
      <c r="E125" s="278">
        <f>SUM(E126:E130)</f>
        <v>0</v>
      </c>
      <c r="F125" s="279">
        <f t="shared" si="10"/>
        <v>11</v>
      </c>
      <c r="G125" s="277">
        <f>SUM(G126:G130)</f>
        <v>0</v>
      </c>
      <c r="H125" s="280">
        <f>SUM(H126:H130)</f>
        <v>0</v>
      </c>
      <c r="I125" s="136">
        <f t="shared" si="11"/>
        <v>0</v>
      </c>
      <c r="J125" s="277">
        <f>SUM(J126:J130)</f>
        <v>904</v>
      </c>
      <c r="K125" s="280">
        <f>SUM(K126:K130)</f>
        <v>0</v>
      </c>
      <c r="L125" s="136">
        <f t="shared" si="12"/>
        <v>904</v>
      </c>
      <c r="M125" s="281">
        <f>SUM(M126:M130)</f>
        <v>0</v>
      </c>
      <c r="N125" s="282">
        <f>SUM(N126:N130)</f>
        <v>0</v>
      </c>
      <c r="O125" s="136">
        <f t="shared" si="13"/>
        <v>0</v>
      </c>
      <c r="P125" s="85"/>
      <c r="R125" s="53"/>
      <c r="S125" s="53"/>
      <c r="T125" s="53"/>
    </row>
    <row r="126" spans="1:20" x14ac:dyDescent="0.25">
      <c r="A126" s="265">
        <v>2272</v>
      </c>
      <c r="B126" s="307" t="s">
        <v>142</v>
      </c>
      <c r="C126" s="267">
        <f t="shared" si="9"/>
        <v>11</v>
      </c>
      <c r="D126" s="268">
        <v>11</v>
      </c>
      <c r="E126" s="269"/>
      <c r="F126" s="270">
        <f t="shared" si="10"/>
        <v>11</v>
      </c>
      <c r="G126" s="268"/>
      <c r="H126" s="271"/>
      <c r="I126" s="272">
        <f t="shared" si="11"/>
        <v>0</v>
      </c>
      <c r="J126" s="268"/>
      <c r="K126" s="271"/>
      <c r="L126" s="272">
        <f t="shared" si="12"/>
        <v>0</v>
      </c>
      <c r="M126" s="273"/>
      <c r="N126" s="274"/>
      <c r="O126" s="272">
        <f t="shared" si="13"/>
        <v>0</v>
      </c>
      <c r="P126" s="275"/>
      <c r="R126" s="53"/>
      <c r="S126" s="53"/>
      <c r="T126" s="53"/>
    </row>
    <row r="127" spans="1:20" ht="24" hidden="1" x14ac:dyDescent="0.25">
      <c r="A127" s="76">
        <v>2275</v>
      </c>
      <c r="B127" s="127" t="s">
        <v>143</v>
      </c>
      <c r="C127" s="128">
        <f t="shared" si="9"/>
        <v>0</v>
      </c>
      <c r="D127" s="134"/>
      <c r="E127" s="285"/>
      <c r="F127" s="286">
        <f t="shared" si="10"/>
        <v>0</v>
      </c>
      <c r="G127" s="134"/>
      <c r="H127" s="135"/>
      <c r="I127" s="136">
        <f t="shared" si="11"/>
        <v>0</v>
      </c>
      <c r="J127" s="134"/>
      <c r="K127" s="135"/>
      <c r="L127" s="136">
        <f t="shared" si="12"/>
        <v>0</v>
      </c>
      <c r="M127" s="284"/>
      <c r="N127" s="285"/>
      <c r="O127" s="136">
        <f t="shared" si="13"/>
        <v>0</v>
      </c>
      <c r="P127" s="85"/>
      <c r="R127" s="53"/>
      <c r="S127" s="53"/>
      <c r="T127" s="53"/>
    </row>
    <row r="128" spans="1:20" ht="36" hidden="1" x14ac:dyDescent="0.25">
      <c r="A128" s="76">
        <v>2276</v>
      </c>
      <c r="B128" s="127" t="s">
        <v>144</v>
      </c>
      <c r="C128" s="128">
        <f t="shared" si="9"/>
        <v>0</v>
      </c>
      <c r="D128" s="134"/>
      <c r="E128" s="285"/>
      <c r="F128" s="286">
        <f t="shared" si="10"/>
        <v>0</v>
      </c>
      <c r="G128" s="134"/>
      <c r="H128" s="135"/>
      <c r="I128" s="136">
        <f t="shared" si="11"/>
        <v>0</v>
      </c>
      <c r="J128" s="134"/>
      <c r="K128" s="135"/>
      <c r="L128" s="136">
        <f t="shared" si="12"/>
        <v>0</v>
      </c>
      <c r="M128" s="284"/>
      <c r="N128" s="285"/>
      <c r="O128" s="136">
        <f t="shared" si="13"/>
        <v>0</v>
      </c>
      <c r="P128" s="85"/>
      <c r="R128" s="53"/>
      <c r="S128" s="53"/>
      <c r="T128" s="53"/>
    </row>
    <row r="129" spans="1:20" ht="24" hidden="1" x14ac:dyDescent="0.25">
      <c r="A129" s="76">
        <v>2278</v>
      </c>
      <c r="B129" s="127" t="s">
        <v>145</v>
      </c>
      <c r="C129" s="128">
        <f t="shared" si="9"/>
        <v>0</v>
      </c>
      <c r="D129" s="134"/>
      <c r="E129" s="285"/>
      <c r="F129" s="286">
        <f t="shared" si="10"/>
        <v>0</v>
      </c>
      <c r="G129" s="134"/>
      <c r="H129" s="135"/>
      <c r="I129" s="136">
        <f t="shared" si="11"/>
        <v>0</v>
      </c>
      <c r="J129" s="134"/>
      <c r="K129" s="135"/>
      <c r="L129" s="136">
        <f t="shared" si="12"/>
        <v>0</v>
      </c>
      <c r="M129" s="284"/>
      <c r="N129" s="285"/>
      <c r="O129" s="136">
        <f t="shared" si="13"/>
        <v>0</v>
      </c>
      <c r="P129" s="85"/>
      <c r="R129" s="53"/>
      <c r="S129" s="53"/>
      <c r="T129" s="53"/>
    </row>
    <row r="130" spans="1:20" ht="24" x14ac:dyDescent="0.25">
      <c r="A130" s="76">
        <v>2279</v>
      </c>
      <c r="B130" s="127" t="s">
        <v>146</v>
      </c>
      <c r="C130" s="128">
        <f t="shared" si="9"/>
        <v>904</v>
      </c>
      <c r="D130" s="134"/>
      <c r="E130" s="283"/>
      <c r="F130" s="279">
        <f t="shared" si="10"/>
        <v>0</v>
      </c>
      <c r="G130" s="134"/>
      <c r="H130" s="135"/>
      <c r="I130" s="136">
        <f t="shared" si="11"/>
        <v>0</v>
      </c>
      <c r="J130" s="134">
        <v>904</v>
      </c>
      <c r="K130" s="135"/>
      <c r="L130" s="136">
        <f t="shared" si="12"/>
        <v>904</v>
      </c>
      <c r="M130" s="284"/>
      <c r="N130" s="285"/>
      <c r="O130" s="136">
        <f t="shared" si="13"/>
        <v>0</v>
      </c>
      <c r="P130" s="85"/>
      <c r="R130" s="53"/>
      <c r="S130" s="53"/>
      <c r="T130" s="53"/>
    </row>
    <row r="131" spans="1:20" ht="24" hidden="1" x14ac:dyDescent="0.25">
      <c r="A131" s="656">
        <v>2280</v>
      </c>
      <c r="B131" s="116" t="s">
        <v>147</v>
      </c>
      <c r="C131" s="128">
        <f t="shared" si="9"/>
        <v>0</v>
      </c>
      <c r="D131" s="297">
        <f t="shared" ref="D131:N131" si="14">SUM(D132)</f>
        <v>0</v>
      </c>
      <c r="E131" s="301">
        <f t="shared" si="14"/>
        <v>0</v>
      </c>
      <c r="F131" s="263">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c r="R131" s="53"/>
      <c r="S131" s="53"/>
      <c r="T131" s="53"/>
    </row>
    <row r="132" spans="1:20" ht="24" hidden="1" x14ac:dyDescent="0.25">
      <c r="A132" s="76">
        <v>2283</v>
      </c>
      <c r="B132" s="127" t="s">
        <v>148</v>
      </c>
      <c r="C132" s="128">
        <f t="shared" si="9"/>
        <v>0</v>
      </c>
      <c r="D132" s="134"/>
      <c r="E132" s="285"/>
      <c r="F132" s="286">
        <f t="shared" si="10"/>
        <v>0</v>
      </c>
      <c r="G132" s="134"/>
      <c r="H132" s="135"/>
      <c r="I132" s="136">
        <f t="shared" si="11"/>
        <v>0</v>
      </c>
      <c r="J132" s="134"/>
      <c r="K132" s="135"/>
      <c r="L132" s="136">
        <f t="shared" si="12"/>
        <v>0</v>
      </c>
      <c r="M132" s="284"/>
      <c r="N132" s="285"/>
      <c r="O132" s="136">
        <f t="shared" si="13"/>
        <v>0</v>
      </c>
      <c r="P132" s="85"/>
      <c r="R132" s="53"/>
      <c r="S132" s="53"/>
      <c r="T132" s="53"/>
    </row>
    <row r="133" spans="1:20" ht="36" x14ac:dyDescent="0.25">
      <c r="A133" s="99">
        <v>2300</v>
      </c>
      <c r="B133" s="247" t="s">
        <v>149</v>
      </c>
      <c r="C133" s="100">
        <f t="shared" si="9"/>
        <v>23081</v>
      </c>
      <c r="D133" s="112">
        <f>SUM(D134,D139,D143,D144,D147,D154,D162,D163,D166)</f>
        <v>17658</v>
      </c>
      <c r="E133" s="248">
        <f>SUM(E134,E139,E143,E144,E147,E154,E162,E163,E166)</f>
        <v>0</v>
      </c>
      <c r="F133" s="249">
        <f t="shared" si="10"/>
        <v>17658</v>
      </c>
      <c r="G133" s="112">
        <f>SUM(G134,G139,G143,G144,G147,G154,G162,G163,G166)</f>
        <v>1100</v>
      </c>
      <c r="H133" s="113">
        <f>SUM(H134,H139,H143,H144,H147,H154,H162,H163,H166)</f>
        <v>0</v>
      </c>
      <c r="I133" s="114">
        <f t="shared" si="11"/>
        <v>1100</v>
      </c>
      <c r="J133" s="112">
        <f>SUM(J134,J139,J143,J144,J147,J154,J162,J163,J166)</f>
        <v>4323</v>
      </c>
      <c r="K133" s="113">
        <f>SUM(K134,K139,K143,K144,K147,K154,K162,K163,K166)</f>
        <v>0</v>
      </c>
      <c r="L133" s="114">
        <f t="shared" si="12"/>
        <v>4323</v>
      </c>
      <c r="M133" s="292">
        <f>SUM(M134,M139,M143,M144,M147,M154,M162,M163,M166)</f>
        <v>0</v>
      </c>
      <c r="N133" s="293">
        <f>SUM(N134,N139,N143,N144,N147,N154,N162,N163,N166)</f>
        <v>0</v>
      </c>
      <c r="O133" s="114">
        <f t="shared" si="13"/>
        <v>0</v>
      </c>
      <c r="P133" s="109"/>
      <c r="R133" s="53"/>
      <c r="S133" s="53"/>
      <c r="T133" s="53"/>
    </row>
    <row r="134" spans="1:20" ht="24" x14ac:dyDescent="0.25">
      <c r="A134" s="656">
        <v>2310</v>
      </c>
      <c r="B134" s="116" t="s">
        <v>150</v>
      </c>
      <c r="C134" s="117">
        <f t="shared" si="9"/>
        <v>10378</v>
      </c>
      <c r="D134" s="308">
        <f>SUM(D135:D138)</f>
        <v>10278</v>
      </c>
      <c r="E134" s="300">
        <f>SUM(E135:E138)</f>
        <v>0</v>
      </c>
      <c r="F134" s="296">
        <f t="shared" si="10"/>
        <v>10278</v>
      </c>
      <c r="G134" s="297">
        <f>SUM(G135:G138)</f>
        <v>0</v>
      </c>
      <c r="H134" s="299">
        <f>SUM(H135:H138)</f>
        <v>0</v>
      </c>
      <c r="I134" s="125">
        <f t="shared" si="11"/>
        <v>0</v>
      </c>
      <c r="J134" s="297">
        <f>SUM(J135:J138)</f>
        <v>100</v>
      </c>
      <c r="K134" s="299">
        <f>SUM(K135:K138)</f>
        <v>0</v>
      </c>
      <c r="L134" s="125">
        <f t="shared" si="12"/>
        <v>100</v>
      </c>
      <c r="M134" s="300">
        <f>SUM(M135:M138)</f>
        <v>0</v>
      </c>
      <c r="N134" s="301">
        <f>SUM(N135:N138)</f>
        <v>0</v>
      </c>
      <c r="O134" s="125">
        <f t="shared" si="13"/>
        <v>0</v>
      </c>
      <c r="P134" s="74"/>
      <c r="R134" s="53"/>
      <c r="S134" s="53"/>
      <c r="T134" s="53"/>
    </row>
    <row r="135" spans="1:20" x14ac:dyDescent="0.25">
      <c r="A135" s="76">
        <v>2311</v>
      </c>
      <c r="B135" s="127" t="s">
        <v>151</v>
      </c>
      <c r="C135" s="128">
        <f t="shared" si="9"/>
        <v>590</v>
      </c>
      <c r="D135" s="134">
        <v>590</v>
      </c>
      <c r="E135" s="283"/>
      <c r="F135" s="279">
        <f t="shared" si="10"/>
        <v>590</v>
      </c>
      <c r="G135" s="134"/>
      <c r="H135" s="135"/>
      <c r="I135" s="136">
        <f t="shared" si="11"/>
        <v>0</v>
      </c>
      <c r="J135" s="134"/>
      <c r="K135" s="135"/>
      <c r="L135" s="136">
        <f t="shared" si="12"/>
        <v>0</v>
      </c>
      <c r="M135" s="284"/>
      <c r="N135" s="285"/>
      <c r="O135" s="136">
        <f t="shared" si="13"/>
        <v>0</v>
      </c>
      <c r="P135" s="85"/>
      <c r="R135" s="53"/>
      <c r="S135" s="53"/>
      <c r="T135" s="53"/>
    </row>
    <row r="136" spans="1:20" x14ac:dyDescent="0.25">
      <c r="A136" s="76">
        <v>2312</v>
      </c>
      <c r="B136" s="127" t="s">
        <v>152</v>
      </c>
      <c r="C136" s="128">
        <f t="shared" si="9"/>
        <v>9558</v>
      </c>
      <c r="D136" s="134">
        <v>9458</v>
      </c>
      <c r="E136" s="283"/>
      <c r="F136" s="279">
        <f t="shared" si="10"/>
        <v>9458</v>
      </c>
      <c r="G136" s="134"/>
      <c r="H136" s="135"/>
      <c r="I136" s="136">
        <f t="shared" si="11"/>
        <v>0</v>
      </c>
      <c r="J136" s="134">
        <v>100</v>
      </c>
      <c r="K136" s="135"/>
      <c r="L136" s="136">
        <f t="shared" si="12"/>
        <v>100</v>
      </c>
      <c r="M136" s="284"/>
      <c r="N136" s="285"/>
      <c r="O136" s="136">
        <f t="shared" si="13"/>
        <v>0</v>
      </c>
      <c r="P136" s="309"/>
      <c r="R136" s="53"/>
      <c r="S136" s="53"/>
      <c r="T136" s="53"/>
    </row>
    <row r="137" spans="1:20" x14ac:dyDescent="0.25">
      <c r="A137" s="76">
        <v>2313</v>
      </c>
      <c r="B137" s="127" t="s">
        <v>153</v>
      </c>
      <c r="C137" s="128">
        <f t="shared" si="9"/>
        <v>130</v>
      </c>
      <c r="D137" s="134">
        <v>130</v>
      </c>
      <c r="E137" s="283"/>
      <c r="F137" s="279">
        <f t="shared" si="10"/>
        <v>130</v>
      </c>
      <c r="G137" s="134"/>
      <c r="H137" s="135"/>
      <c r="I137" s="136">
        <f t="shared" si="11"/>
        <v>0</v>
      </c>
      <c r="J137" s="134"/>
      <c r="K137" s="135"/>
      <c r="L137" s="136">
        <f t="shared" si="12"/>
        <v>0</v>
      </c>
      <c r="M137" s="284"/>
      <c r="N137" s="285"/>
      <c r="O137" s="136">
        <f t="shared" si="13"/>
        <v>0</v>
      </c>
      <c r="P137" s="85"/>
      <c r="R137" s="53"/>
      <c r="S137" s="53"/>
      <c r="T137" s="53"/>
    </row>
    <row r="138" spans="1:20" ht="24.75" customHeight="1" x14ac:dyDescent="0.25">
      <c r="A138" s="76">
        <v>2314</v>
      </c>
      <c r="B138" s="127" t="s">
        <v>154</v>
      </c>
      <c r="C138" s="128">
        <f t="shared" si="9"/>
        <v>100</v>
      </c>
      <c r="D138" s="134">
        <v>100</v>
      </c>
      <c r="E138" s="283"/>
      <c r="F138" s="279">
        <f t="shared" si="10"/>
        <v>100</v>
      </c>
      <c r="G138" s="134"/>
      <c r="H138" s="135"/>
      <c r="I138" s="136">
        <f t="shared" si="11"/>
        <v>0</v>
      </c>
      <c r="J138" s="134"/>
      <c r="K138" s="135"/>
      <c r="L138" s="136">
        <f t="shared" si="12"/>
        <v>0</v>
      </c>
      <c r="M138" s="284"/>
      <c r="N138" s="285"/>
      <c r="O138" s="136">
        <f t="shared" si="13"/>
        <v>0</v>
      </c>
      <c r="P138" s="85"/>
      <c r="R138" s="53"/>
      <c r="S138" s="53"/>
      <c r="T138" s="53"/>
    </row>
    <row r="139" spans="1:20" x14ac:dyDescent="0.25">
      <c r="A139" s="276">
        <v>2320</v>
      </c>
      <c r="B139" s="127" t="s">
        <v>155</v>
      </c>
      <c r="C139" s="128">
        <f t="shared" si="9"/>
        <v>55</v>
      </c>
      <c r="D139" s="277">
        <f>SUM(D140:D142)</f>
        <v>55</v>
      </c>
      <c r="E139" s="278">
        <f>SUM(E140:E142)</f>
        <v>0</v>
      </c>
      <c r="F139" s="279">
        <f t="shared" si="10"/>
        <v>55</v>
      </c>
      <c r="G139" s="277">
        <f>SUM(G140:G142)</f>
        <v>0</v>
      </c>
      <c r="H139" s="280">
        <f>SUM(H140:H142)</f>
        <v>0</v>
      </c>
      <c r="I139" s="136">
        <f t="shared" si="11"/>
        <v>0</v>
      </c>
      <c r="J139" s="277">
        <f>SUM(J140:J142)</f>
        <v>0</v>
      </c>
      <c r="K139" s="280">
        <f>SUM(K140:K142)</f>
        <v>0</v>
      </c>
      <c r="L139" s="136">
        <f t="shared" si="12"/>
        <v>0</v>
      </c>
      <c r="M139" s="281">
        <f>SUM(M140:M142)</f>
        <v>0</v>
      </c>
      <c r="N139" s="282">
        <f>SUM(N140:N142)</f>
        <v>0</v>
      </c>
      <c r="O139" s="136">
        <f t="shared" si="13"/>
        <v>0</v>
      </c>
      <c r="P139" s="85"/>
      <c r="R139" s="53"/>
      <c r="S139" s="53"/>
      <c r="T139" s="53"/>
    </row>
    <row r="140" spans="1:20" hidden="1" x14ac:dyDescent="0.25">
      <c r="A140" s="76">
        <v>2321</v>
      </c>
      <c r="B140" s="127" t="s">
        <v>156</v>
      </c>
      <c r="C140" s="128">
        <f t="shared" si="9"/>
        <v>0</v>
      </c>
      <c r="D140" s="134"/>
      <c r="E140" s="285"/>
      <c r="F140" s="286">
        <f t="shared" si="10"/>
        <v>0</v>
      </c>
      <c r="G140" s="134"/>
      <c r="H140" s="135"/>
      <c r="I140" s="136">
        <f t="shared" si="11"/>
        <v>0</v>
      </c>
      <c r="J140" s="134"/>
      <c r="K140" s="135"/>
      <c r="L140" s="136">
        <f t="shared" si="12"/>
        <v>0</v>
      </c>
      <c r="M140" s="284"/>
      <c r="N140" s="285"/>
      <c r="O140" s="136">
        <f t="shared" si="13"/>
        <v>0</v>
      </c>
      <c r="P140" s="85"/>
      <c r="R140" s="53"/>
      <c r="S140" s="53"/>
      <c r="T140" s="53"/>
    </row>
    <row r="141" spans="1:20" x14ac:dyDescent="0.25">
      <c r="A141" s="76">
        <v>2322</v>
      </c>
      <c r="B141" s="127" t="s">
        <v>157</v>
      </c>
      <c r="C141" s="128">
        <f t="shared" si="9"/>
        <v>55</v>
      </c>
      <c r="D141" s="134">
        <v>55</v>
      </c>
      <c r="E141" s="283"/>
      <c r="F141" s="279">
        <f t="shared" si="10"/>
        <v>55</v>
      </c>
      <c r="G141" s="134"/>
      <c r="H141" s="135"/>
      <c r="I141" s="136">
        <f t="shared" si="11"/>
        <v>0</v>
      </c>
      <c r="J141" s="134"/>
      <c r="K141" s="135"/>
      <c r="L141" s="136">
        <f t="shared" si="12"/>
        <v>0</v>
      </c>
      <c r="M141" s="284"/>
      <c r="N141" s="285"/>
      <c r="O141" s="136">
        <f t="shared" si="13"/>
        <v>0</v>
      </c>
      <c r="P141" s="85"/>
      <c r="R141" s="53"/>
      <c r="S141" s="53"/>
      <c r="T141" s="53"/>
    </row>
    <row r="142" spans="1:20" hidden="1" x14ac:dyDescent="0.25">
      <c r="A142" s="76">
        <v>2329</v>
      </c>
      <c r="B142" s="127" t="s">
        <v>158</v>
      </c>
      <c r="C142" s="128">
        <f t="shared" si="9"/>
        <v>0</v>
      </c>
      <c r="D142" s="134"/>
      <c r="E142" s="285"/>
      <c r="F142" s="286">
        <f t="shared" si="10"/>
        <v>0</v>
      </c>
      <c r="G142" s="134"/>
      <c r="H142" s="135"/>
      <c r="I142" s="136">
        <f t="shared" si="11"/>
        <v>0</v>
      </c>
      <c r="J142" s="134"/>
      <c r="K142" s="135"/>
      <c r="L142" s="136">
        <f t="shared" si="12"/>
        <v>0</v>
      </c>
      <c r="M142" s="284"/>
      <c r="N142" s="285"/>
      <c r="O142" s="136">
        <f t="shared" si="13"/>
        <v>0</v>
      </c>
      <c r="P142" s="85"/>
      <c r="R142" s="53"/>
      <c r="S142" s="53"/>
      <c r="T142" s="53"/>
    </row>
    <row r="143" spans="1:20" hidden="1" x14ac:dyDescent="0.25">
      <c r="A143" s="276">
        <v>2330</v>
      </c>
      <c r="B143" s="127" t="s">
        <v>159</v>
      </c>
      <c r="C143" s="128">
        <f t="shared" si="9"/>
        <v>0</v>
      </c>
      <c r="D143" s="134"/>
      <c r="E143" s="285"/>
      <c r="F143" s="286">
        <f t="shared" si="10"/>
        <v>0</v>
      </c>
      <c r="G143" s="134"/>
      <c r="H143" s="135"/>
      <c r="I143" s="136">
        <f t="shared" si="11"/>
        <v>0</v>
      </c>
      <c r="J143" s="134"/>
      <c r="K143" s="135"/>
      <c r="L143" s="136">
        <f t="shared" si="12"/>
        <v>0</v>
      </c>
      <c r="M143" s="284"/>
      <c r="N143" s="285"/>
      <c r="O143" s="136">
        <f t="shared" si="13"/>
        <v>0</v>
      </c>
      <c r="P143" s="85"/>
      <c r="R143" s="53"/>
      <c r="S143" s="53"/>
      <c r="T143" s="53"/>
    </row>
    <row r="144" spans="1:20" ht="37.5" customHeight="1" x14ac:dyDescent="0.25">
      <c r="A144" s="276">
        <v>2340</v>
      </c>
      <c r="B144" s="127" t="s">
        <v>160</v>
      </c>
      <c r="C144" s="128">
        <f t="shared" si="9"/>
        <v>300</v>
      </c>
      <c r="D144" s="277">
        <f>SUM(D145:D146)</f>
        <v>300</v>
      </c>
      <c r="E144" s="278">
        <f>SUM(E145:E146)</f>
        <v>0</v>
      </c>
      <c r="F144" s="279">
        <f t="shared" si="10"/>
        <v>300</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c r="R144" s="53"/>
      <c r="S144" s="53"/>
      <c r="T144" s="53"/>
    </row>
    <row r="145" spans="1:20" x14ac:dyDescent="0.25">
      <c r="A145" s="76">
        <v>2341</v>
      </c>
      <c r="B145" s="127" t="s">
        <v>161</v>
      </c>
      <c r="C145" s="128">
        <f t="shared" si="9"/>
        <v>300</v>
      </c>
      <c r="D145" s="134">
        <v>300</v>
      </c>
      <c r="E145" s="283"/>
      <c r="F145" s="279">
        <f t="shared" si="10"/>
        <v>300</v>
      </c>
      <c r="G145" s="134"/>
      <c r="H145" s="135"/>
      <c r="I145" s="136">
        <f t="shared" si="11"/>
        <v>0</v>
      </c>
      <c r="J145" s="134"/>
      <c r="K145" s="135"/>
      <c r="L145" s="136">
        <f t="shared" si="12"/>
        <v>0</v>
      </c>
      <c r="M145" s="284"/>
      <c r="N145" s="285"/>
      <c r="O145" s="136">
        <f t="shared" si="13"/>
        <v>0</v>
      </c>
      <c r="P145" s="85"/>
      <c r="R145" s="53"/>
      <c r="S145" s="53"/>
      <c r="T145" s="53"/>
    </row>
    <row r="146" spans="1:20" ht="24" hidden="1" x14ac:dyDescent="0.25">
      <c r="A146" s="76">
        <v>2344</v>
      </c>
      <c r="B146" s="127" t="s">
        <v>162</v>
      </c>
      <c r="C146" s="128">
        <f t="shared" si="9"/>
        <v>0</v>
      </c>
      <c r="D146" s="134"/>
      <c r="E146" s="285"/>
      <c r="F146" s="286">
        <f t="shared" si="10"/>
        <v>0</v>
      </c>
      <c r="G146" s="134"/>
      <c r="H146" s="135"/>
      <c r="I146" s="136">
        <f t="shared" si="11"/>
        <v>0</v>
      </c>
      <c r="J146" s="134"/>
      <c r="K146" s="135"/>
      <c r="L146" s="136">
        <f t="shared" si="12"/>
        <v>0</v>
      </c>
      <c r="M146" s="284"/>
      <c r="N146" s="285"/>
      <c r="O146" s="136">
        <f t="shared" si="13"/>
        <v>0</v>
      </c>
      <c r="P146" s="85"/>
      <c r="R146" s="53"/>
      <c r="S146" s="53"/>
      <c r="T146" s="53"/>
    </row>
    <row r="147" spans="1:20" ht="24" x14ac:dyDescent="0.25">
      <c r="A147" s="254">
        <v>2350</v>
      </c>
      <c r="B147" s="179" t="s">
        <v>163</v>
      </c>
      <c r="C147" s="128">
        <f t="shared" si="9"/>
        <v>3564</v>
      </c>
      <c r="D147" s="255">
        <f>SUM(D148:D153)</f>
        <v>3564</v>
      </c>
      <c r="E147" s="256">
        <f>SUM(E148:E153)</f>
        <v>0</v>
      </c>
      <c r="F147" s="257">
        <f t="shared" si="10"/>
        <v>3564</v>
      </c>
      <c r="G147" s="255">
        <f>SUM(G148:G153)</f>
        <v>0</v>
      </c>
      <c r="H147" s="258">
        <f>SUM(H148:H153)</f>
        <v>0</v>
      </c>
      <c r="I147" s="259">
        <f t="shared" si="11"/>
        <v>0</v>
      </c>
      <c r="J147" s="255">
        <f>SUM(J148:J153)</f>
        <v>0</v>
      </c>
      <c r="K147" s="258">
        <f>SUM(K148:K153)</f>
        <v>0</v>
      </c>
      <c r="L147" s="259">
        <f t="shared" si="12"/>
        <v>0</v>
      </c>
      <c r="M147" s="260">
        <f>SUM(M148:M153)</f>
        <v>0</v>
      </c>
      <c r="N147" s="261">
        <f>SUM(N148:N153)</f>
        <v>0</v>
      </c>
      <c r="O147" s="259">
        <f t="shared" si="13"/>
        <v>0</v>
      </c>
      <c r="P147" s="189"/>
      <c r="R147" s="53"/>
      <c r="S147" s="53"/>
      <c r="T147" s="53"/>
    </row>
    <row r="148" spans="1:20" x14ac:dyDescent="0.25">
      <c r="A148" s="66">
        <v>2351</v>
      </c>
      <c r="B148" s="116" t="s">
        <v>164</v>
      </c>
      <c r="C148" s="128">
        <f t="shared" si="9"/>
        <v>650</v>
      </c>
      <c r="D148" s="123">
        <v>650</v>
      </c>
      <c r="E148" s="295"/>
      <c r="F148" s="296">
        <f t="shared" si="10"/>
        <v>650</v>
      </c>
      <c r="G148" s="123"/>
      <c r="H148" s="124"/>
      <c r="I148" s="125">
        <f t="shared" si="11"/>
        <v>0</v>
      </c>
      <c r="J148" s="123"/>
      <c r="K148" s="124"/>
      <c r="L148" s="125">
        <f t="shared" si="12"/>
        <v>0</v>
      </c>
      <c r="M148" s="264"/>
      <c r="N148" s="262"/>
      <c r="O148" s="125">
        <f t="shared" si="13"/>
        <v>0</v>
      </c>
      <c r="P148" s="74"/>
      <c r="R148" s="53"/>
      <c r="S148" s="53"/>
      <c r="T148" s="53"/>
    </row>
    <row r="149" spans="1:20" x14ac:dyDescent="0.25">
      <c r="A149" s="76">
        <v>2352</v>
      </c>
      <c r="B149" s="127" t="s">
        <v>165</v>
      </c>
      <c r="C149" s="128">
        <f t="shared" si="9"/>
        <v>2864</v>
      </c>
      <c r="D149" s="134">
        <v>2864</v>
      </c>
      <c r="E149" s="283"/>
      <c r="F149" s="279">
        <f t="shared" si="10"/>
        <v>2864</v>
      </c>
      <c r="G149" s="134"/>
      <c r="H149" s="135"/>
      <c r="I149" s="136">
        <f t="shared" si="11"/>
        <v>0</v>
      </c>
      <c r="J149" s="134"/>
      <c r="K149" s="135"/>
      <c r="L149" s="136">
        <f t="shared" si="12"/>
        <v>0</v>
      </c>
      <c r="M149" s="284"/>
      <c r="N149" s="285"/>
      <c r="O149" s="136">
        <f t="shared" si="13"/>
        <v>0</v>
      </c>
      <c r="P149" s="85"/>
      <c r="R149" s="53"/>
      <c r="S149" s="53"/>
      <c r="T149" s="53"/>
    </row>
    <row r="150" spans="1:20" ht="24" hidden="1" x14ac:dyDescent="0.25">
      <c r="A150" s="76">
        <v>2353</v>
      </c>
      <c r="B150" s="127" t="s">
        <v>166</v>
      </c>
      <c r="C150" s="128">
        <f t="shared" si="9"/>
        <v>0</v>
      </c>
      <c r="D150" s="134"/>
      <c r="E150" s="285"/>
      <c r="F150" s="286">
        <f t="shared" si="10"/>
        <v>0</v>
      </c>
      <c r="G150" s="134"/>
      <c r="H150" s="135"/>
      <c r="I150" s="136">
        <f t="shared" si="11"/>
        <v>0</v>
      </c>
      <c r="J150" s="134"/>
      <c r="K150" s="135"/>
      <c r="L150" s="136">
        <f t="shared" si="12"/>
        <v>0</v>
      </c>
      <c r="M150" s="284"/>
      <c r="N150" s="285"/>
      <c r="O150" s="136">
        <f t="shared" si="13"/>
        <v>0</v>
      </c>
      <c r="P150" s="85"/>
      <c r="R150" s="53"/>
      <c r="S150" s="53"/>
      <c r="T150" s="53"/>
    </row>
    <row r="151" spans="1:20" ht="24" hidden="1" x14ac:dyDescent="0.25">
      <c r="A151" s="76">
        <v>2354</v>
      </c>
      <c r="B151" s="127" t="s">
        <v>167</v>
      </c>
      <c r="C151" s="128">
        <f t="shared" si="9"/>
        <v>0</v>
      </c>
      <c r="D151" s="134"/>
      <c r="E151" s="285"/>
      <c r="F151" s="286">
        <f t="shared" si="10"/>
        <v>0</v>
      </c>
      <c r="G151" s="134"/>
      <c r="H151" s="135"/>
      <c r="I151" s="136">
        <f t="shared" si="11"/>
        <v>0</v>
      </c>
      <c r="J151" s="134"/>
      <c r="K151" s="135"/>
      <c r="L151" s="136">
        <f t="shared" si="12"/>
        <v>0</v>
      </c>
      <c r="M151" s="284"/>
      <c r="N151" s="285"/>
      <c r="O151" s="136">
        <f t="shared" si="13"/>
        <v>0</v>
      </c>
      <c r="P151" s="85"/>
      <c r="R151" s="53"/>
      <c r="S151" s="53"/>
      <c r="T151" s="53"/>
    </row>
    <row r="152" spans="1:20" ht="24" x14ac:dyDescent="0.25">
      <c r="A152" s="76">
        <v>2355</v>
      </c>
      <c r="B152" s="127" t="s">
        <v>168</v>
      </c>
      <c r="C152" s="128">
        <f t="shared" si="9"/>
        <v>50</v>
      </c>
      <c r="D152" s="134">
        <v>50</v>
      </c>
      <c r="E152" s="283"/>
      <c r="F152" s="279">
        <f t="shared" si="10"/>
        <v>50</v>
      </c>
      <c r="G152" s="134"/>
      <c r="H152" s="135"/>
      <c r="I152" s="136">
        <f t="shared" si="11"/>
        <v>0</v>
      </c>
      <c r="J152" s="134"/>
      <c r="K152" s="135"/>
      <c r="L152" s="136">
        <f t="shared" si="12"/>
        <v>0</v>
      </c>
      <c r="M152" s="284"/>
      <c r="N152" s="285"/>
      <c r="O152" s="136">
        <f t="shared" si="13"/>
        <v>0</v>
      </c>
      <c r="P152" s="85"/>
      <c r="R152" s="53"/>
      <c r="S152" s="53"/>
      <c r="T152" s="53"/>
    </row>
    <row r="153" spans="1:20" ht="24" hidden="1" x14ac:dyDescent="0.25">
      <c r="A153" s="76">
        <v>2359</v>
      </c>
      <c r="B153" s="127" t="s">
        <v>169</v>
      </c>
      <c r="C153" s="128">
        <f t="shared" si="9"/>
        <v>0</v>
      </c>
      <c r="D153" s="134"/>
      <c r="E153" s="285"/>
      <c r="F153" s="286">
        <f t="shared" si="10"/>
        <v>0</v>
      </c>
      <c r="G153" s="134"/>
      <c r="H153" s="135"/>
      <c r="I153" s="136">
        <f t="shared" si="11"/>
        <v>0</v>
      </c>
      <c r="J153" s="134"/>
      <c r="K153" s="135"/>
      <c r="L153" s="136">
        <f t="shared" si="12"/>
        <v>0</v>
      </c>
      <c r="M153" s="284"/>
      <c r="N153" s="285"/>
      <c r="O153" s="136">
        <f t="shared" si="13"/>
        <v>0</v>
      </c>
      <c r="P153" s="85"/>
      <c r="R153" s="53"/>
      <c r="S153" s="53"/>
      <c r="T153" s="53"/>
    </row>
    <row r="154" spans="1:20" ht="24" x14ac:dyDescent="0.25">
      <c r="A154" s="276">
        <v>2360</v>
      </c>
      <c r="B154" s="127" t="s">
        <v>170</v>
      </c>
      <c r="C154" s="128">
        <f t="shared" si="9"/>
        <v>6259</v>
      </c>
      <c r="D154" s="277">
        <f>SUM(D155:D161)</f>
        <v>2036</v>
      </c>
      <c r="E154" s="278">
        <f>SUM(E155:E161)</f>
        <v>0</v>
      </c>
      <c r="F154" s="279">
        <f t="shared" si="10"/>
        <v>2036</v>
      </c>
      <c r="G154" s="277">
        <f>SUM(G155:G161)</f>
        <v>0</v>
      </c>
      <c r="H154" s="280">
        <f>SUM(H155:H161)</f>
        <v>0</v>
      </c>
      <c r="I154" s="136">
        <f t="shared" si="11"/>
        <v>0</v>
      </c>
      <c r="J154" s="277">
        <f>SUM(J155:J161)</f>
        <v>4223</v>
      </c>
      <c r="K154" s="280">
        <f>SUM(K155:K161)</f>
        <v>0</v>
      </c>
      <c r="L154" s="136">
        <f t="shared" si="12"/>
        <v>4223</v>
      </c>
      <c r="M154" s="281">
        <f>SUM(M155:M161)</f>
        <v>0</v>
      </c>
      <c r="N154" s="282">
        <f>SUM(N155:N161)</f>
        <v>0</v>
      </c>
      <c r="O154" s="136">
        <f t="shared" si="13"/>
        <v>0</v>
      </c>
      <c r="P154" s="85"/>
      <c r="R154" s="53"/>
      <c r="S154" s="53"/>
      <c r="T154" s="53"/>
    </row>
    <row r="155" spans="1:20" x14ac:dyDescent="0.25">
      <c r="A155" s="75">
        <v>2361</v>
      </c>
      <c r="B155" s="127" t="s">
        <v>171</v>
      </c>
      <c r="C155" s="128">
        <f t="shared" si="9"/>
        <v>1586</v>
      </c>
      <c r="D155" s="134">
        <v>1586</v>
      </c>
      <c r="E155" s="283"/>
      <c r="F155" s="279">
        <f t="shared" si="10"/>
        <v>1586</v>
      </c>
      <c r="G155" s="134"/>
      <c r="H155" s="135"/>
      <c r="I155" s="136">
        <f t="shared" si="11"/>
        <v>0</v>
      </c>
      <c r="J155" s="134"/>
      <c r="K155" s="135"/>
      <c r="L155" s="136">
        <f t="shared" si="12"/>
        <v>0</v>
      </c>
      <c r="M155" s="284"/>
      <c r="N155" s="285"/>
      <c r="O155" s="136">
        <f t="shared" si="13"/>
        <v>0</v>
      </c>
      <c r="P155" s="85"/>
      <c r="R155" s="53"/>
      <c r="S155" s="53"/>
      <c r="T155" s="53"/>
    </row>
    <row r="156" spans="1:20" ht="24" x14ac:dyDescent="0.25">
      <c r="A156" s="75">
        <v>2362</v>
      </c>
      <c r="B156" s="127" t="s">
        <v>172</v>
      </c>
      <c r="C156" s="128">
        <f t="shared" si="9"/>
        <v>450</v>
      </c>
      <c r="D156" s="134">
        <v>450</v>
      </c>
      <c r="E156" s="283"/>
      <c r="F156" s="279">
        <f t="shared" si="10"/>
        <v>450</v>
      </c>
      <c r="G156" s="134"/>
      <c r="H156" s="135"/>
      <c r="I156" s="136">
        <f t="shared" si="11"/>
        <v>0</v>
      </c>
      <c r="J156" s="134"/>
      <c r="K156" s="135"/>
      <c r="L156" s="136">
        <f t="shared" si="12"/>
        <v>0</v>
      </c>
      <c r="M156" s="284"/>
      <c r="N156" s="285"/>
      <c r="O156" s="136">
        <f t="shared" si="13"/>
        <v>0</v>
      </c>
      <c r="P156" s="85"/>
      <c r="R156" s="53"/>
      <c r="S156" s="53"/>
      <c r="T156" s="53"/>
    </row>
    <row r="157" spans="1:20" x14ac:dyDescent="0.25">
      <c r="A157" s="75">
        <v>2363</v>
      </c>
      <c r="B157" s="127" t="s">
        <v>173</v>
      </c>
      <c r="C157" s="128">
        <f t="shared" si="9"/>
        <v>4223</v>
      </c>
      <c r="D157" s="134"/>
      <c r="E157" s="283"/>
      <c r="F157" s="279">
        <f t="shared" si="10"/>
        <v>0</v>
      </c>
      <c r="G157" s="134"/>
      <c r="H157" s="135"/>
      <c r="I157" s="136">
        <f t="shared" si="11"/>
        <v>0</v>
      </c>
      <c r="J157" s="134">
        <v>4223</v>
      </c>
      <c r="K157" s="135"/>
      <c r="L157" s="136">
        <f t="shared" si="12"/>
        <v>4223</v>
      </c>
      <c r="M157" s="284"/>
      <c r="N157" s="285"/>
      <c r="O157" s="136">
        <f t="shared" si="13"/>
        <v>0</v>
      </c>
      <c r="P157" s="85"/>
      <c r="R157" s="53"/>
      <c r="S157" s="53"/>
      <c r="T157" s="53"/>
    </row>
    <row r="158" spans="1:20" hidden="1" x14ac:dyDescent="0.25">
      <c r="A158" s="75">
        <v>2364</v>
      </c>
      <c r="B158" s="127" t="s">
        <v>174</v>
      </c>
      <c r="C158" s="128">
        <f t="shared" si="9"/>
        <v>0</v>
      </c>
      <c r="D158" s="134"/>
      <c r="E158" s="285"/>
      <c r="F158" s="286">
        <f t="shared" si="10"/>
        <v>0</v>
      </c>
      <c r="G158" s="134"/>
      <c r="H158" s="135"/>
      <c r="I158" s="136">
        <f t="shared" si="11"/>
        <v>0</v>
      </c>
      <c r="J158" s="134"/>
      <c r="K158" s="135"/>
      <c r="L158" s="136">
        <f t="shared" si="12"/>
        <v>0</v>
      </c>
      <c r="M158" s="284"/>
      <c r="N158" s="285"/>
      <c r="O158" s="136">
        <f t="shared" si="13"/>
        <v>0</v>
      </c>
      <c r="P158" s="85"/>
      <c r="R158" s="53"/>
      <c r="S158" s="53"/>
      <c r="T158" s="53"/>
    </row>
    <row r="159" spans="1:20" hidden="1" x14ac:dyDescent="0.25">
      <c r="A159" s="75">
        <v>2365</v>
      </c>
      <c r="B159" s="127" t="s">
        <v>175</v>
      </c>
      <c r="C159" s="128">
        <f t="shared" si="9"/>
        <v>0</v>
      </c>
      <c r="D159" s="134"/>
      <c r="E159" s="285"/>
      <c r="F159" s="286">
        <f t="shared" si="10"/>
        <v>0</v>
      </c>
      <c r="G159" s="134"/>
      <c r="H159" s="135"/>
      <c r="I159" s="136">
        <f t="shared" si="11"/>
        <v>0</v>
      </c>
      <c r="J159" s="134"/>
      <c r="K159" s="135"/>
      <c r="L159" s="136">
        <f t="shared" si="12"/>
        <v>0</v>
      </c>
      <c r="M159" s="284"/>
      <c r="N159" s="285"/>
      <c r="O159" s="136">
        <f t="shared" si="13"/>
        <v>0</v>
      </c>
      <c r="P159" s="85"/>
      <c r="R159" s="53"/>
      <c r="S159" s="53"/>
      <c r="T159" s="53"/>
    </row>
    <row r="160" spans="1:20" ht="36" hidden="1" x14ac:dyDescent="0.25">
      <c r="A160" s="75">
        <v>2366</v>
      </c>
      <c r="B160" s="127" t="s">
        <v>176</v>
      </c>
      <c r="C160" s="128">
        <f t="shared" si="9"/>
        <v>0</v>
      </c>
      <c r="D160" s="134"/>
      <c r="E160" s="285"/>
      <c r="F160" s="286">
        <f t="shared" si="10"/>
        <v>0</v>
      </c>
      <c r="G160" s="134"/>
      <c r="H160" s="135"/>
      <c r="I160" s="136">
        <f t="shared" si="11"/>
        <v>0</v>
      </c>
      <c r="J160" s="134"/>
      <c r="K160" s="135"/>
      <c r="L160" s="136">
        <f t="shared" si="12"/>
        <v>0</v>
      </c>
      <c r="M160" s="284"/>
      <c r="N160" s="285"/>
      <c r="O160" s="136">
        <f t="shared" si="13"/>
        <v>0</v>
      </c>
      <c r="P160" s="85"/>
      <c r="R160" s="53"/>
      <c r="S160" s="53"/>
      <c r="T160" s="53"/>
    </row>
    <row r="161" spans="1:20" ht="48" hidden="1" x14ac:dyDescent="0.25">
      <c r="A161" s="75">
        <v>2369</v>
      </c>
      <c r="B161" s="127" t="s">
        <v>177</v>
      </c>
      <c r="C161" s="128">
        <f t="shared" si="9"/>
        <v>0</v>
      </c>
      <c r="D161" s="134"/>
      <c r="E161" s="285"/>
      <c r="F161" s="286">
        <f t="shared" si="10"/>
        <v>0</v>
      </c>
      <c r="G161" s="134"/>
      <c r="H161" s="135"/>
      <c r="I161" s="136">
        <f t="shared" si="11"/>
        <v>0</v>
      </c>
      <c r="J161" s="134"/>
      <c r="K161" s="135"/>
      <c r="L161" s="136">
        <f t="shared" si="12"/>
        <v>0</v>
      </c>
      <c r="M161" s="284"/>
      <c r="N161" s="285"/>
      <c r="O161" s="136">
        <f t="shared" si="13"/>
        <v>0</v>
      </c>
      <c r="P161" s="85"/>
      <c r="R161" s="53"/>
      <c r="S161" s="53"/>
      <c r="T161" s="53"/>
    </row>
    <row r="162" spans="1:20" x14ac:dyDescent="0.25">
      <c r="A162" s="254">
        <v>2370</v>
      </c>
      <c r="B162" s="179" t="s">
        <v>178</v>
      </c>
      <c r="C162" s="128">
        <f t="shared" si="9"/>
        <v>2525</v>
      </c>
      <c r="D162" s="287">
        <v>1425</v>
      </c>
      <c r="E162" s="288"/>
      <c r="F162" s="257">
        <f t="shared" si="10"/>
        <v>1425</v>
      </c>
      <c r="G162" s="287">
        <v>1100</v>
      </c>
      <c r="H162" s="289"/>
      <c r="I162" s="259">
        <f t="shared" si="11"/>
        <v>1100</v>
      </c>
      <c r="J162" s="287"/>
      <c r="K162" s="289"/>
      <c r="L162" s="259">
        <f t="shared" si="12"/>
        <v>0</v>
      </c>
      <c r="M162" s="290"/>
      <c r="N162" s="291"/>
      <c r="O162" s="259">
        <f t="shared" si="13"/>
        <v>0</v>
      </c>
      <c r="P162" s="189"/>
      <c r="R162" s="53"/>
      <c r="S162" s="53"/>
      <c r="T162" s="53"/>
    </row>
    <row r="163" spans="1:20" hidden="1" x14ac:dyDescent="0.25">
      <c r="A163" s="254">
        <v>2380</v>
      </c>
      <c r="B163" s="179" t="s">
        <v>179</v>
      </c>
      <c r="C163" s="128">
        <f t="shared" si="9"/>
        <v>0</v>
      </c>
      <c r="D163" s="255">
        <f>SUM(D164:D165)</f>
        <v>0</v>
      </c>
      <c r="E163" s="261">
        <f>SUM(E164:E165)</f>
        <v>0</v>
      </c>
      <c r="F163" s="310">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c r="S163" s="53"/>
      <c r="T163" s="53"/>
    </row>
    <row r="164" spans="1:20" hidden="1" x14ac:dyDescent="0.25">
      <c r="A164" s="65">
        <v>2381</v>
      </c>
      <c r="B164" s="116" t="s">
        <v>180</v>
      </c>
      <c r="C164" s="128">
        <f t="shared" si="9"/>
        <v>0</v>
      </c>
      <c r="D164" s="123"/>
      <c r="E164" s="262"/>
      <c r="F164" s="263">
        <f t="shared" si="10"/>
        <v>0</v>
      </c>
      <c r="G164" s="123"/>
      <c r="H164" s="124"/>
      <c r="I164" s="125">
        <f t="shared" si="11"/>
        <v>0</v>
      </c>
      <c r="J164" s="123"/>
      <c r="K164" s="124"/>
      <c r="L164" s="125">
        <f t="shared" si="12"/>
        <v>0</v>
      </c>
      <c r="M164" s="264"/>
      <c r="N164" s="262"/>
      <c r="O164" s="125">
        <f t="shared" si="13"/>
        <v>0</v>
      </c>
      <c r="P164" s="74"/>
      <c r="R164" s="53"/>
      <c r="S164" s="53"/>
      <c r="T164" s="53"/>
    </row>
    <row r="165" spans="1:20" ht="24" hidden="1" x14ac:dyDescent="0.25">
      <c r="A165" s="75">
        <v>2389</v>
      </c>
      <c r="B165" s="127" t="s">
        <v>181</v>
      </c>
      <c r="C165" s="128">
        <f t="shared" si="9"/>
        <v>0</v>
      </c>
      <c r="D165" s="134"/>
      <c r="E165" s="285"/>
      <c r="F165" s="286">
        <f t="shared" si="10"/>
        <v>0</v>
      </c>
      <c r="G165" s="134"/>
      <c r="H165" s="135"/>
      <c r="I165" s="136">
        <f t="shared" si="11"/>
        <v>0</v>
      </c>
      <c r="J165" s="134"/>
      <c r="K165" s="135"/>
      <c r="L165" s="136">
        <f t="shared" si="12"/>
        <v>0</v>
      </c>
      <c r="M165" s="284"/>
      <c r="N165" s="285"/>
      <c r="O165" s="136">
        <f t="shared" si="13"/>
        <v>0</v>
      </c>
      <c r="P165" s="85"/>
      <c r="R165" s="53"/>
      <c r="S165" s="53"/>
      <c r="T165" s="53"/>
    </row>
    <row r="166" spans="1:20" hidden="1" x14ac:dyDescent="0.25">
      <c r="A166" s="254">
        <v>2390</v>
      </c>
      <c r="B166" s="179" t="s">
        <v>182</v>
      </c>
      <c r="C166" s="128">
        <f t="shared" si="9"/>
        <v>0</v>
      </c>
      <c r="D166" s="287"/>
      <c r="E166" s="291"/>
      <c r="F166" s="310">
        <f t="shared" si="10"/>
        <v>0</v>
      </c>
      <c r="G166" s="287"/>
      <c r="H166" s="289"/>
      <c r="I166" s="259">
        <f t="shared" si="11"/>
        <v>0</v>
      </c>
      <c r="J166" s="287"/>
      <c r="K166" s="289"/>
      <c r="L166" s="259">
        <f t="shared" si="12"/>
        <v>0</v>
      </c>
      <c r="M166" s="290"/>
      <c r="N166" s="291"/>
      <c r="O166" s="259">
        <f t="shared" si="13"/>
        <v>0</v>
      </c>
      <c r="P166" s="189"/>
      <c r="R166" s="53"/>
      <c r="S166" s="53"/>
      <c r="T166" s="53"/>
    </row>
    <row r="167" spans="1:20" hidden="1" x14ac:dyDescent="0.25">
      <c r="A167" s="99">
        <v>2400</v>
      </c>
      <c r="B167" s="247" t="s">
        <v>183</v>
      </c>
      <c r="C167" s="100">
        <f t="shared" si="9"/>
        <v>0</v>
      </c>
      <c r="D167" s="311"/>
      <c r="E167" s="312"/>
      <c r="F167" s="313">
        <f t="shared" si="10"/>
        <v>0</v>
      </c>
      <c r="G167" s="311"/>
      <c r="H167" s="314"/>
      <c r="I167" s="114">
        <f t="shared" si="11"/>
        <v>0</v>
      </c>
      <c r="J167" s="311"/>
      <c r="K167" s="314"/>
      <c r="L167" s="114">
        <f t="shared" si="12"/>
        <v>0</v>
      </c>
      <c r="M167" s="315"/>
      <c r="N167" s="312"/>
      <c r="O167" s="114">
        <f t="shared" si="13"/>
        <v>0</v>
      </c>
      <c r="P167" s="109"/>
      <c r="R167" s="53"/>
      <c r="S167" s="53"/>
      <c r="T167" s="53"/>
    </row>
    <row r="168" spans="1:20" ht="24" x14ac:dyDescent="0.25">
      <c r="A168" s="99">
        <v>2500</v>
      </c>
      <c r="B168" s="247" t="s">
        <v>184</v>
      </c>
      <c r="C168" s="100">
        <f t="shared" si="9"/>
        <v>202</v>
      </c>
      <c r="D168" s="112">
        <f>SUM(D169,D174)</f>
        <v>202</v>
      </c>
      <c r="E168" s="248">
        <f>SUM(E169,E174)</f>
        <v>0</v>
      </c>
      <c r="F168" s="249">
        <f t="shared" si="10"/>
        <v>202</v>
      </c>
      <c r="G168" s="112">
        <f>SUM(G169,G174)</f>
        <v>0</v>
      </c>
      <c r="H168" s="113">
        <f t="shared" ref="H168" si="17">SUM(H169,H174)</f>
        <v>0</v>
      </c>
      <c r="I168" s="114">
        <f t="shared" si="11"/>
        <v>0</v>
      </c>
      <c r="J168" s="112">
        <f>SUM(J169,J174)</f>
        <v>0</v>
      </c>
      <c r="K168" s="113">
        <f t="shared" ref="K168" si="18">SUM(K169,K174)</f>
        <v>0</v>
      </c>
      <c r="L168" s="114">
        <f t="shared" si="12"/>
        <v>0</v>
      </c>
      <c r="M168" s="250">
        <f t="shared" ref="M168:N168" si="19">SUM(M169,M174)</f>
        <v>0</v>
      </c>
      <c r="N168" s="251">
        <f t="shared" si="19"/>
        <v>0</v>
      </c>
      <c r="O168" s="252">
        <f t="shared" si="13"/>
        <v>0</v>
      </c>
      <c r="P168" s="253"/>
      <c r="R168" s="53"/>
      <c r="S168" s="53"/>
      <c r="T168" s="53"/>
    </row>
    <row r="169" spans="1:20" x14ac:dyDescent="0.25">
      <c r="A169" s="656">
        <v>2510</v>
      </c>
      <c r="B169" s="116" t="s">
        <v>185</v>
      </c>
      <c r="C169" s="117">
        <f t="shared" si="9"/>
        <v>202</v>
      </c>
      <c r="D169" s="297">
        <f>SUM(D170:D173)</f>
        <v>202</v>
      </c>
      <c r="E169" s="298">
        <f>SUM(E170:E173)</f>
        <v>0</v>
      </c>
      <c r="F169" s="296">
        <f t="shared" si="10"/>
        <v>202</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c r="R169" s="53"/>
      <c r="S169" s="53"/>
      <c r="T169" s="53"/>
    </row>
    <row r="170" spans="1:20" ht="24" hidden="1" x14ac:dyDescent="0.25">
      <c r="A170" s="76">
        <v>2512</v>
      </c>
      <c r="B170" s="127" t="s">
        <v>186</v>
      </c>
      <c r="C170" s="128">
        <f t="shared" si="9"/>
        <v>0</v>
      </c>
      <c r="D170" s="134"/>
      <c r="E170" s="285"/>
      <c r="F170" s="286">
        <f t="shared" si="10"/>
        <v>0</v>
      </c>
      <c r="G170" s="134"/>
      <c r="H170" s="135"/>
      <c r="I170" s="136">
        <f t="shared" si="11"/>
        <v>0</v>
      </c>
      <c r="J170" s="134"/>
      <c r="K170" s="135"/>
      <c r="L170" s="136">
        <f t="shared" si="12"/>
        <v>0</v>
      </c>
      <c r="M170" s="284"/>
      <c r="N170" s="285"/>
      <c r="O170" s="136">
        <f t="shared" si="13"/>
        <v>0</v>
      </c>
      <c r="P170" s="85"/>
      <c r="R170" s="53"/>
      <c r="S170" s="53"/>
      <c r="T170" s="53"/>
    </row>
    <row r="171" spans="1:20" ht="36" hidden="1" x14ac:dyDescent="0.25">
      <c r="A171" s="76">
        <v>2513</v>
      </c>
      <c r="B171" s="127" t="s">
        <v>187</v>
      </c>
      <c r="C171" s="128">
        <f t="shared" si="9"/>
        <v>0</v>
      </c>
      <c r="D171" s="134"/>
      <c r="E171" s="285"/>
      <c r="F171" s="286">
        <f t="shared" si="10"/>
        <v>0</v>
      </c>
      <c r="G171" s="134"/>
      <c r="H171" s="135"/>
      <c r="I171" s="136">
        <f t="shared" si="11"/>
        <v>0</v>
      </c>
      <c r="J171" s="134"/>
      <c r="K171" s="135"/>
      <c r="L171" s="136">
        <f t="shared" si="12"/>
        <v>0</v>
      </c>
      <c r="M171" s="284"/>
      <c r="N171" s="285"/>
      <c r="O171" s="136">
        <f t="shared" si="13"/>
        <v>0</v>
      </c>
      <c r="P171" s="85"/>
      <c r="R171" s="53"/>
      <c r="S171" s="53"/>
      <c r="T171" s="53"/>
    </row>
    <row r="172" spans="1:20" ht="24" hidden="1" x14ac:dyDescent="0.25">
      <c r="A172" s="76">
        <v>2515</v>
      </c>
      <c r="B172" s="127" t="s">
        <v>188</v>
      </c>
      <c r="C172" s="128">
        <f t="shared" si="9"/>
        <v>0</v>
      </c>
      <c r="D172" s="134"/>
      <c r="E172" s="285"/>
      <c r="F172" s="286">
        <f t="shared" si="10"/>
        <v>0</v>
      </c>
      <c r="G172" s="134"/>
      <c r="H172" s="135"/>
      <c r="I172" s="136">
        <f t="shared" si="11"/>
        <v>0</v>
      </c>
      <c r="J172" s="134"/>
      <c r="K172" s="135"/>
      <c r="L172" s="136">
        <f t="shared" si="12"/>
        <v>0</v>
      </c>
      <c r="M172" s="284"/>
      <c r="N172" s="285"/>
      <c r="O172" s="136">
        <f t="shared" si="13"/>
        <v>0</v>
      </c>
      <c r="P172" s="85"/>
      <c r="R172" s="53"/>
      <c r="S172" s="53"/>
      <c r="T172" s="53"/>
    </row>
    <row r="173" spans="1:20" ht="24" x14ac:dyDescent="0.25">
      <c r="A173" s="265">
        <v>2519</v>
      </c>
      <c r="B173" s="266" t="s">
        <v>189</v>
      </c>
      <c r="C173" s="267">
        <f t="shared" si="9"/>
        <v>202</v>
      </c>
      <c r="D173" s="268">
        <v>202</v>
      </c>
      <c r="E173" s="269"/>
      <c r="F173" s="270">
        <f t="shared" si="10"/>
        <v>202</v>
      </c>
      <c r="G173" s="268"/>
      <c r="H173" s="271"/>
      <c r="I173" s="272">
        <f t="shared" si="11"/>
        <v>0</v>
      </c>
      <c r="J173" s="268"/>
      <c r="K173" s="271"/>
      <c r="L173" s="272">
        <f t="shared" si="12"/>
        <v>0</v>
      </c>
      <c r="M173" s="273"/>
      <c r="N173" s="274"/>
      <c r="O173" s="272">
        <f t="shared" si="13"/>
        <v>0</v>
      </c>
      <c r="P173" s="275"/>
      <c r="R173" s="53"/>
      <c r="S173" s="53"/>
      <c r="T173" s="53"/>
    </row>
    <row r="174" spans="1:20" hidden="1" x14ac:dyDescent="0.25">
      <c r="A174" s="276">
        <v>2520</v>
      </c>
      <c r="B174" s="127" t="s">
        <v>190</v>
      </c>
      <c r="C174" s="128">
        <f t="shared" si="9"/>
        <v>0</v>
      </c>
      <c r="D174" s="134"/>
      <c r="E174" s="285"/>
      <c r="F174" s="286">
        <f t="shared" si="10"/>
        <v>0</v>
      </c>
      <c r="G174" s="134"/>
      <c r="H174" s="135"/>
      <c r="I174" s="136">
        <f t="shared" si="11"/>
        <v>0</v>
      </c>
      <c r="J174" s="134"/>
      <c r="K174" s="135"/>
      <c r="L174" s="136">
        <f t="shared" si="12"/>
        <v>0</v>
      </c>
      <c r="M174" s="284"/>
      <c r="N174" s="285"/>
      <c r="O174" s="136">
        <f t="shared" si="13"/>
        <v>0</v>
      </c>
      <c r="P174" s="85"/>
      <c r="R174" s="53"/>
      <c r="S174" s="53"/>
      <c r="T174" s="53"/>
    </row>
    <row r="175" spans="1:20" s="319" customFormat="1" ht="36" hidden="1" x14ac:dyDescent="0.25">
      <c r="A175" s="31">
        <v>2800</v>
      </c>
      <c r="B175" s="116" t="s">
        <v>191</v>
      </c>
      <c r="C175" s="117">
        <f t="shared" si="9"/>
        <v>0</v>
      </c>
      <c r="D175" s="68"/>
      <c r="E175" s="69"/>
      <c r="F175" s="70">
        <f t="shared" si="10"/>
        <v>0</v>
      </c>
      <c r="G175" s="68"/>
      <c r="H175" s="71"/>
      <c r="I175" s="72">
        <f t="shared" si="11"/>
        <v>0</v>
      </c>
      <c r="J175" s="68"/>
      <c r="K175" s="71"/>
      <c r="L175" s="72">
        <f t="shared" si="12"/>
        <v>0</v>
      </c>
      <c r="M175" s="73"/>
      <c r="N175" s="69"/>
      <c r="O175" s="72">
        <f t="shared" si="13"/>
        <v>0</v>
      </c>
      <c r="P175" s="74"/>
      <c r="R175" s="53"/>
      <c r="S175" s="53"/>
      <c r="T175" s="53"/>
    </row>
    <row r="176" spans="1:20" hidden="1" x14ac:dyDescent="0.25">
      <c r="A176" s="237">
        <v>3000</v>
      </c>
      <c r="B176" s="237" t="s">
        <v>192</v>
      </c>
      <c r="C176" s="238">
        <f t="shared" si="9"/>
        <v>0</v>
      </c>
      <c r="D176" s="239">
        <f>SUM(D177,D187)</f>
        <v>0</v>
      </c>
      <c r="E176" s="245">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c r="S176" s="53"/>
      <c r="T176" s="53"/>
    </row>
    <row r="177" spans="1:20" ht="24" hidden="1" x14ac:dyDescent="0.25">
      <c r="A177" s="99">
        <v>3200</v>
      </c>
      <c r="B177" s="321" t="s">
        <v>193</v>
      </c>
      <c r="C177" s="100">
        <f t="shared" si="9"/>
        <v>0</v>
      </c>
      <c r="D177" s="112">
        <f>SUM(D178,D182)</f>
        <v>0</v>
      </c>
      <c r="E177" s="293">
        <f>SUM(E178,E182)</f>
        <v>0</v>
      </c>
      <c r="F177" s="313">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c r="R177" s="53"/>
      <c r="S177" s="53"/>
      <c r="T177" s="53"/>
    </row>
    <row r="178" spans="1:20" ht="36" hidden="1" x14ac:dyDescent="0.25">
      <c r="A178" s="656">
        <v>3260</v>
      </c>
      <c r="B178" s="116" t="s">
        <v>194</v>
      </c>
      <c r="C178" s="117">
        <f t="shared" si="9"/>
        <v>0</v>
      </c>
      <c r="D178" s="297">
        <f>SUM(D179:D181)</f>
        <v>0</v>
      </c>
      <c r="E178" s="301">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c r="S178" s="53"/>
      <c r="T178" s="53"/>
    </row>
    <row r="179" spans="1:20" ht="24" hidden="1" x14ac:dyDescent="0.25">
      <c r="A179" s="76">
        <v>3261</v>
      </c>
      <c r="B179" s="127" t="s">
        <v>195</v>
      </c>
      <c r="C179" s="128">
        <f t="shared" si="9"/>
        <v>0</v>
      </c>
      <c r="D179" s="134"/>
      <c r="E179" s="285"/>
      <c r="F179" s="286">
        <f t="shared" si="10"/>
        <v>0</v>
      </c>
      <c r="G179" s="134"/>
      <c r="H179" s="135"/>
      <c r="I179" s="136">
        <f t="shared" si="11"/>
        <v>0</v>
      </c>
      <c r="J179" s="134"/>
      <c r="K179" s="135"/>
      <c r="L179" s="136">
        <f t="shared" si="12"/>
        <v>0</v>
      </c>
      <c r="M179" s="284"/>
      <c r="N179" s="285"/>
      <c r="O179" s="136">
        <f t="shared" si="13"/>
        <v>0</v>
      </c>
      <c r="P179" s="85"/>
      <c r="R179" s="53"/>
      <c r="S179" s="53"/>
      <c r="T179" s="53"/>
    </row>
    <row r="180" spans="1:20" ht="36" hidden="1" x14ac:dyDescent="0.25">
      <c r="A180" s="76">
        <v>3262</v>
      </c>
      <c r="B180" s="127" t="s">
        <v>196</v>
      </c>
      <c r="C180" s="128">
        <f t="shared" si="9"/>
        <v>0</v>
      </c>
      <c r="D180" s="134"/>
      <c r="E180" s="285"/>
      <c r="F180" s="286">
        <f t="shared" si="10"/>
        <v>0</v>
      </c>
      <c r="G180" s="134"/>
      <c r="H180" s="135"/>
      <c r="I180" s="136">
        <f t="shared" si="11"/>
        <v>0</v>
      </c>
      <c r="J180" s="134"/>
      <c r="K180" s="135"/>
      <c r="L180" s="136">
        <f t="shared" si="12"/>
        <v>0</v>
      </c>
      <c r="M180" s="284"/>
      <c r="N180" s="285"/>
      <c r="O180" s="136">
        <f t="shared" si="13"/>
        <v>0</v>
      </c>
      <c r="P180" s="85"/>
      <c r="R180" s="53"/>
      <c r="S180" s="53"/>
      <c r="T180" s="53"/>
    </row>
    <row r="181" spans="1:20" ht="24" hidden="1" x14ac:dyDescent="0.25">
      <c r="A181" s="76">
        <v>3263</v>
      </c>
      <c r="B181" s="127" t="s">
        <v>197</v>
      </c>
      <c r="C181" s="128">
        <f t="shared" si="9"/>
        <v>0</v>
      </c>
      <c r="D181" s="134"/>
      <c r="E181" s="285"/>
      <c r="F181" s="286">
        <f t="shared" si="10"/>
        <v>0</v>
      </c>
      <c r="G181" s="134"/>
      <c r="H181" s="135"/>
      <c r="I181" s="136">
        <f t="shared" si="11"/>
        <v>0</v>
      </c>
      <c r="J181" s="134"/>
      <c r="K181" s="135"/>
      <c r="L181" s="136">
        <f t="shared" si="12"/>
        <v>0</v>
      </c>
      <c r="M181" s="284"/>
      <c r="N181" s="285"/>
      <c r="O181" s="136">
        <f t="shared" si="13"/>
        <v>0</v>
      </c>
      <c r="P181" s="85"/>
      <c r="R181" s="53"/>
      <c r="S181" s="53"/>
      <c r="T181" s="53"/>
    </row>
    <row r="182" spans="1:20" ht="84" hidden="1" x14ac:dyDescent="0.25">
      <c r="A182" s="656">
        <v>3290</v>
      </c>
      <c r="B182" s="116" t="s">
        <v>198</v>
      </c>
      <c r="C182" s="128">
        <f t="shared" ref="C182:C258" si="26">F182+I182+L182+O182</f>
        <v>0</v>
      </c>
      <c r="D182" s="297">
        <f>SUM(D183:D186)</f>
        <v>0</v>
      </c>
      <c r="E182" s="301">
        <f>SUM(E183:E186)</f>
        <v>0</v>
      </c>
      <c r="F182" s="263">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c r="R182" s="53"/>
      <c r="S182" s="53"/>
      <c r="T182" s="53"/>
    </row>
    <row r="183" spans="1:20" ht="60" hidden="1" x14ac:dyDescent="0.25">
      <c r="A183" s="76">
        <v>3291</v>
      </c>
      <c r="B183" s="127" t="s">
        <v>199</v>
      </c>
      <c r="C183" s="128">
        <f t="shared" si="26"/>
        <v>0</v>
      </c>
      <c r="D183" s="134"/>
      <c r="E183" s="285"/>
      <c r="F183" s="286">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c r="R183" s="53"/>
      <c r="S183" s="53"/>
      <c r="T183" s="53"/>
    </row>
    <row r="184" spans="1:20" ht="72" hidden="1" x14ac:dyDescent="0.25">
      <c r="A184" s="76">
        <v>3292</v>
      </c>
      <c r="B184" s="127" t="s">
        <v>200</v>
      </c>
      <c r="C184" s="128">
        <f t="shared" si="26"/>
        <v>0</v>
      </c>
      <c r="D184" s="134"/>
      <c r="E184" s="285"/>
      <c r="F184" s="286">
        <f t="shared" si="30"/>
        <v>0</v>
      </c>
      <c r="G184" s="134"/>
      <c r="H184" s="135"/>
      <c r="I184" s="136">
        <f t="shared" si="31"/>
        <v>0</v>
      </c>
      <c r="J184" s="134"/>
      <c r="K184" s="135"/>
      <c r="L184" s="136">
        <f t="shared" si="32"/>
        <v>0</v>
      </c>
      <c r="M184" s="284"/>
      <c r="N184" s="285"/>
      <c r="O184" s="136">
        <f t="shared" si="33"/>
        <v>0</v>
      </c>
      <c r="P184" s="85"/>
      <c r="R184" s="53"/>
      <c r="S184" s="53"/>
      <c r="T184" s="53"/>
    </row>
    <row r="185" spans="1:20" ht="60" hidden="1" x14ac:dyDescent="0.25">
      <c r="A185" s="76">
        <v>3293</v>
      </c>
      <c r="B185" s="127" t="s">
        <v>201</v>
      </c>
      <c r="C185" s="128">
        <f t="shared" si="26"/>
        <v>0</v>
      </c>
      <c r="D185" s="134"/>
      <c r="E185" s="285"/>
      <c r="F185" s="286">
        <f t="shared" si="30"/>
        <v>0</v>
      </c>
      <c r="G185" s="134"/>
      <c r="H185" s="135"/>
      <c r="I185" s="136">
        <f t="shared" si="31"/>
        <v>0</v>
      </c>
      <c r="J185" s="134"/>
      <c r="K185" s="135"/>
      <c r="L185" s="136">
        <f t="shared" si="32"/>
        <v>0</v>
      </c>
      <c r="M185" s="284"/>
      <c r="N185" s="285"/>
      <c r="O185" s="136">
        <f t="shared" si="33"/>
        <v>0</v>
      </c>
      <c r="P185" s="85"/>
      <c r="R185" s="53"/>
      <c r="S185" s="53"/>
      <c r="T185" s="53"/>
    </row>
    <row r="186" spans="1:20" ht="60" hidden="1" x14ac:dyDescent="0.25">
      <c r="A186" s="326">
        <v>3294</v>
      </c>
      <c r="B186" s="127" t="s">
        <v>202</v>
      </c>
      <c r="C186" s="327">
        <f t="shared" si="26"/>
        <v>0</v>
      </c>
      <c r="D186" s="328"/>
      <c r="E186" s="329"/>
      <c r="F186" s="330">
        <f t="shared" si="30"/>
        <v>0</v>
      </c>
      <c r="G186" s="328"/>
      <c r="H186" s="331"/>
      <c r="I186" s="324">
        <f t="shared" si="31"/>
        <v>0</v>
      </c>
      <c r="J186" s="328"/>
      <c r="K186" s="331"/>
      <c r="L186" s="324">
        <f t="shared" si="32"/>
        <v>0</v>
      </c>
      <c r="M186" s="332"/>
      <c r="N186" s="329"/>
      <c r="O186" s="324">
        <f t="shared" si="33"/>
        <v>0</v>
      </c>
      <c r="P186" s="325"/>
      <c r="R186" s="53"/>
      <c r="S186" s="53"/>
      <c r="T186" s="53"/>
    </row>
    <row r="187" spans="1:20" ht="48" hidden="1" x14ac:dyDescent="0.25">
      <c r="A187" s="160">
        <v>3300</v>
      </c>
      <c r="B187" s="321" t="s">
        <v>203</v>
      </c>
      <c r="C187" s="333">
        <f t="shared" si="26"/>
        <v>0</v>
      </c>
      <c r="D187" s="334">
        <f>SUM(D188:D189)</f>
        <v>0</v>
      </c>
      <c r="E187" s="251">
        <f>SUM(E188:E189)</f>
        <v>0</v>
      </c>
      <c r="F187" s="335">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c r="R187" s="53"/>
      <c r="S187" s="53"/>
      <c r="T187" s="53"/>
    </row>
    <row r="188" spans="1:20" ht="42.75" hidden="1" customHeight="1" x14ac:dyDescent="0.25">
      <c r="A188" s="178">
        <v>3310</v>
      </c>
      <c r="B188" s="179" t="s">
        <v>204</v>
      </c>
      <c r="C188" s="191">
        <f t="shared" si="26"/>
        <v>0</v>
      </c>
      <c r="D188" s="287"/>
      <c r="E188" s="291"/>
      <c r="F188" s="310">
        <f t="shared" si="30"/>
        <v>0</v>
      </c>
      <c r="G188" s="287"/>
      <c r="H188" s="289"/>
      <c r="I188" s="259">
        <f t="shared" si="31"/>
        <v>0</v>
      </c>
      <c r="J188" s="287"/>
      <c r="K188" s="289"/>
      <c r="L188" s="259">
        <f t="shared" si="32"/>
        <v>0</v>
      </c>
      <c r="M188" s="290"/>
      <c r="N188" s="291"/>
      <c r="O188" s="259">
        <f t="shared" si="33"/>
        <v>0</v>
      </c>
      <c r="P188" s="189"/>
      <c r="R188" s="53"/>
      <c r="S188" s="53"/>
      <c r="T188" s="53"/>
    </row>
    <row r="189" spans="1:20" ht="48" hidden="1" x14ac:dyDescent="0.25">
      <c r="A189" s="66">
        <v>3320</v>
      </c>
      <c r="B189" s="116" t="s">
        <v>205</v>
      </c>
      <c r="C189" s="117">
        <f t="shared" si="26"/>
        <v>0</v>
      </c>
      <c r="D189" s="123"/>
      <c r="E189" s="262"/>
      <c r="F189" s="263">
        <f t="shared" si="30"/>
        <v>0</v>
      </c>
      <c r="G189" s="123"/>
      <c r="H189" s="124"/>
      <c r="I189" s="125">
        <f t="shared" si="31"/>
        <v>0</v>
      </c>
      <c r="J189" s="123"/>
      <c r="K189" s="124"/>
      <c r="L189" s="125">
        <f t="shared" si="32"/>
        <v>0</v>
      </c>
      <c r="M189" s="264"/>
      <c r="N189" s="262"/>
      <c r="O189" s="125">
        <f t="shared" si="33"/>
        <v>0</v>
      </c>
      <c r="P189" s="74"/>
      <c r="R189" s="53"/>
      <c r="S189" s="53"/>
      <c r="T189" s="53"/>
    </row>
    <row r="190" spans="1:20" hidden="1" x14ac:dyDescent="0.25">
      <c r="A190" s="337">
        <v>4000</v>
      </c>
      <c r="B190" s="237" t="s">
        <v>206</v>
      </c>
      <c r="C190" s="238">
        <f t="shared" si="26"/>
        <v>0</v>
      </c>
      <c r="D190" s="239">
        <f>SUM(D191,D194)</f>
        <v>0</v>
      </c>
      <c r="E190" s="245">
        <f>SUM(E191,E194)</f>
        <v>0</v>
      </c>
      <c r="F190" s="320">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c r="R190" s="53"/>
      <c r="S190" s="53"/>
      <c r="T190" s="53"/>
    </row>
    <row r="191" spans="1:20" ht="24" hidden="1" x14ac:dyDescent="0.25">
      <c r="A191" s="338">
        <v>4200</v>
      </c>
      <c r="B191" s="247" t="s">
        <v>207</v>
      </c>
      <c r="C191" s="100">
        <f t="shared" si="26"/>
        <v>0</v>
      </c>
      <c r="D191" s="112">
        <f>SUM(D192,D193)</f>
        <v>0</v>
      </c>
      <c r="E191" s="293">
        <f>SUM(E192,E193)</f>
        <v>0</v>
      </c>
      <c r="F191" s="313">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c r="R191" s="53"/>
      <c r="S191" s="53"/>
      <c r="T191" s="53"/>
    </row>
    <row r="192" spans="1:20" ht="36" hidden="1" x14ac:dyDescent="0.25">
      <c r="A192" s="656">
        <v>4240</v>
      </c>
      <c r="B192" s="116" t="s">
        <v>208</v>
      </c>
      <c r="C192" s="117">
        <f t="shared" si="26"/>
        <v>0</v>
      </c>
      <c r="D192" s="123"/>
      <c r="E192" s="262"/>
      <c r="F192" s="263">
        <f t="shared" si="30"/>
        <v>0</v>
      </c>
      <c r="G192" s="123"/>
      <c r="H192" s="124"/>
      <c r="I192" s="125">
        <f t="shared" si="31"/>
        <v>0</v>
      </c>
      <c r="J192" s="123"/>
      <c r="K192" s="124"/>
      <c r="L192" s="125">
        <f t="shared" si="32"/>
        <v>0</v>
      </c>
      <c r="M192" s="264"/>
      <c r="N192" s="262"/>
      <c r="O192" s="125">
        <f t="shared" si="33"/>
        <v>0</v>
      </c>
      <c r="P192" s="74"/>
      <c r="R192" s="53"/>
      <c r="S192" s="53"/>
      <c r="T192" s="53"/>
    </row>
    <row r="193" spans="1:20" ht="24" hidden="1" x14ac:dyDescent="0.25">
      <c r="A193" s="276">
        <v>4250</v>
      </c>
      <c r="B193" s="127" t="s">
        <v>209</v>
      </c>
      <c r="C193" s="128">
        <f t="shared" si="26"/>
        <v>0</v>
      </c>
      <c r="D193" s="134"/>
      <c r="E193" s="285"/>
      <c r="F193" s="286">
        <f t="shared" si="30"/>
        <v>0</v>
      </c>
      <c r="G193" s="134"/>
      <c r="H193" s="135"/>
      <c r="I193" s="136">
        <f t="shared" si="31"/>
        <v>0</v>
      </c>
      <c r="J193" s="134"/>
      <c r="K193" s="135"/>
      <c r="L193" s="136">
        <f t="shared" si="32"/>
        <v>0</v>
      </c>
      <c r="M193" s="284"/>
      <c r="N193" s="285"/>
      <c r="O193" s="136">
        <f t="shared" si="33"/>
        <v>0</v>
      </c>
      <c r="P193" s="85"/>
      <c r="R193" s="53"/>
      <c r="S193" s="53"/>
      <c r="T193" s="53"/>
    </row>
    <row r="194" spans="1:20" hidden="1" x14ac:dyDescent="0.25">
      <c r="A194" s="99">
        <v>4300</v>
      </c>
      <c r="B194" s="247" t="s">
        <v>210</v>
      </c>
      <c r="C194" s="100">
        <f t="shared" si="26"/>
        <v>0</v>
      </c>
      <c r="D194" s="112">
        <f>SUM(D195)</f>
        <v>0</v>
      </c>
      <c r="E194" s="293">
        <f>SUM(E195)</f>
        <v>0</v>
      </c>
      <c r="F194" s="313">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c r="R194" s="53"/>
      <c r="S194" s="53"/>
      <c r="T194" s="53"/>
    </row>
    <row r="195" spans="1:20" ht="24" hidden="1" x14ac:dyDescent="0.25">
      <c r="A195" s="656">
        <v>4310</v>
      </c>
      <c r="B195" s="116" t="s">
        <v>211</v>
      </c>
      <c r="C195" s="117">
        <f t="shared" si="26"/>
        <v>0</v>
      </c>
      <c r="D195" s="297">
        <f>SUM(D196:D196)</f>
        <v>0</v>
      </c>
      <c r="E195" s="301">
        <f>SUM(E196:E196)</f>
        <v>0</v>
      </c>
      <c r="F195" s="263">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c r="R195" s="53"/>
      <c r="S195" s="53"/>
      <c r="T195" s="53"/>
    </row>
    <row r="196" spans="1:20" ht="36" hidden="1" x14ac:dyDescent="0.25">
      <c r="A196" s="76">
        <v>4311</v>
      </c>
      <c r="B196" s="127" t="s">
        <v>212</v>
      </c>
      <c r="C196" s="128">
        <f t="shared" si="26"/>
        <v>0</v>
      </c>
      <c r="D196" s="134"/>
      <c r="E196" s="285"/>
      <c r="F196" s="286">
        <f t="shared" si="30"/>
        <v>0</v>
      </c>
      <c r="G196" s="134"/>
      <c r="H196" s="135"/>
      <c r="I196" s="136">
        <f t="shared" si="31"/>
        <v>0</v>
      </c>
      <c r="J196" s="134"/>
      <c r="K196" s="135"/>
      <c r="L196" s="136">
        <f t="shared" si="32"/>
        <v>0</v>
      </c>
      <c r="M196" s="284"/>
      <c r="N196" s="285"/>
      <c r="O196" s="136">
        <f t="shared" si="33"/>
        <v>0</v>
      </c>
      <c r="P196" s="85"/>
      <c r="R196" s="53"/>
      <c r="S196" s="53"/>
      <c r="T196" s="53"/>
    </row>
    <row r="197" spans="1:20" s="41" customFormat="1" ht="17.25" customHeight="1" x14ac:dyDescent="0.25">
      <c r="A197" s="339"/>
      <c r="B197" s="31" t="s">
        <v>213</v>
      </c>
      <c r="C197" s="229">
        <f t="shared" si="26"/>
        <v>657</v>
      </c>
      <c r="D197" s="230">
        <f>SUM(D198,D233,D271)</f>
        <v>320</v>
      </c>
      <c r="E197" s="231">
        <f>SUM(E198,E233,E271)</f>
        <v>0</v>
      </c>
      <c r="F197" s="232">
        <f t="shared" si="30"/>
        <v>320</v>
      </c>
      <c r="G197" s="230">
        <f>SUM(G198,G233,G271)</f>
        <v>300</v>
      </c>
      <c r="H197" s="233">
        <f>SUM(H198,H233,H271)</f>
        <v>0</v>
      </c>
      <c r="I197" s="234">
        <f t="shared" si="31"/>
        <v>300</v>
      </c>
      <c r="J197" s="230">
        <f>SUM(J198,J233,J271)</f>
        <v>37</v>
      </c>
      <c r="K197" s="233">
        <f>SUM(K198,K233,K271)</f>
        <v>0</v>
      </c>
      <c r="L197" s="234">
        <f t="shared" si="32"/>
        <v>37</v>
      </c>
      <c r="M197" s="340">
        <f>SUM(M198,M233,M271)</f>
        <v>0</v>
      </c>
      <c r="N197" s="341">
        <f>SUM(N198,N233,N271)</f>
        <v>0</v>
      </c>
      <c r="O197" s="342">
        <f t="shared" si="33"/>
        <v>0</v>
      </c>
      <c r="P197" s="343"/>
      <c r="R197" s="53"/>
      <c r="S197" s="53"/>
      <c r="T197" s="53"/>
    </row>
    <row r="198" spans="1:20" x14ac:dyDescent="0.25">
      <c r="A198" s="237">
        <v>5000</v>
      </c>
      <c r="B198" s="237" t="s">
        <v>214</v>
      </c>
      <c r="C198" s="238">
        <f>F198+I198+L198+O198</f>
        <v>620</v>
      </c>
      <c r="D198" s="239">
        <f>D199+D207</f>
        <v>320</v>
      </c>
      <c r="E198" s="240">
        <f>E199+E207</f>
        <v>0</v>
      </c>
      <c r="F198" s="241">
        <f t="shared" si="30"/>
        <v>320</v>
      </c>
      <c r="G198" s="239">
        <f>G199+G207</f>
        <v>300</v>
      </c>
      <c r="H198" s="242">
        <f>H199+H207</f>
        <v>0</v>
      </c>
      <c r="I198" s="243">
        <f t="shared" si="31"/>
        <v>300</v>
      </c>
      <c r="J198" s="239">
        <f>J199+J207</f>
        <v>0</v>
      </c>
      <c r="K198" s="242">
        <f>K199+K207</f>
        <v>0</v>
      </c>
      <c r="L198" s="243">
        <f t="shared" si="32"/>
        <v>0</v>
      </c>
      <c r="M198" s="244">
        <f>M199+M207</f>
        <v>0</v>
      </c>
      <c r="N198" s="245">
        <f>N199+N207</f>
        <v>0</v>
      </c>
      <c r="O198" s="243">
        <f t="shared" si="33"/>
        <v>0</v>
      </c>
      <c r="P198" s="246"/>
      <c r="R198" s="53"/>
      <c r="S198" s="53"/>
      <c r="T198" s="53"/>
    </row>
    <row r="199" spans="1:20" hidden="1" x14ac:dyDescent="0.25">
      <c r="A199" s="99">
        <v>5100</v>
      </c>
      <c r="B199" s="247" t="s">
        <v>215</v>
      </c>
      <c r="C199" s="100">
        <f t="shared" si="26"/>
        <v>0</v>
      </c>
      <c r="D199" s="112">
        <f>D200+D201+D204+D205+D206</f>
        <v>0</v>
      </c>
      <c r="E199" s="293">
        <f>E200+E201+E204+E205+E206</f>
        <v>0</v>
      </c>
      <c r="F199" s="313">
        <f t="shared" si="30"/>
        <v>0</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c r="R199" s="53"/>
      <c r="S199" s="53"/>
      <c r="T199" s="53"/>
    </row>
    <row r="200" spans="1:20" hidden="1" x14ac:dyDescent="0.25">
      <c r="A200" s="656">
        <v>5110</v>
      </c>
      <c r="B200" s="116" t="s">
        <v>216</v>
      </c>
      <c r="C200" s="117">
        <f t="shared" si="26"/>
        <v>0</v>
      </c>
      <c r="D200" s="123"/>
      <c r="E200" s="262"/>
      <c r="F200" s="263">
        <f t="shared" si="30"/>
        <v>0</v>
      </c>
      <c r="G200" s="123"/>
      <c r="H200" s="124"/>
      <c r="I200" s="125">
        <f t="shared" si="31"/>
        <v>0</v>
      </c>
      <c r="J200" s="123"/>
      <c r="K200" s="124"/>
      <c r="L200" s="125">
        <f t="shared" si="32"/>
        <v>0</v>
      </c>
      <c r="M200" s="264"/>
      <c r="N200" s="262"/>
      <c r="O200" s="125">
        <f t="shared" si="33"/>
        <v>0</v>
      </c>
      <c r="P200" s="74"/>
      <c r="R200" s="53"/>
      <c r="S200" s="53"/>
      <c r="T200" s="53"/>
    </row>
    <row r="201" spans="1:20" ht="24" hidden="1" x14ac:dyDescent="0.25">
      <c r="A201" s="276">
        <v>5120</v>
      </c>
      <c r="B201" s="127" t="s">
        <v>217</v>
      </c>
      <c r="C201" s="128">
        <f t="shared" si="26"/>
        <v>0</v>
      </c>
      <c r="D201" s="277">
        <f>D202+D203</f>
        <v>0</v>
      </c>
      <c r="E201" s="282">
        <f>E202+E203</f>
        <v>0</v>
      </c>
      <c r="F201" s="286">
        <f t="shared" si="30"/>
        <v>0</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c r="R201" s="53"/>
      <c r="S201" s="53"/>
      <c r="T201" s="53"/>
    </row>
    <row r="202" spans="1:20" hidden="1" x14ac:dyDescent="0.25">
      <c r="A202" s="76">
        <v>5121</v>
      </c>
      <c r="B202" s="127" t="s">
        <v>218</v>
      </c>
      <c r="C202" s="128">
        <f t="shared" si="26"/>
        <v>0</v>
      </c>
      <c r="D202" s="134"/>
      <c r="E202" s="285"/>
      <c r="F202" s="286">
        <f t="shared" si="30"/>
        <v>0</v>
      </c>
      <c r="G202" s="134"/>
      <c r="H202" s="135"/>
      <c r="I202" s="136">
        <f t="shared" si="31"/>
        <v>0</v>
      </c>
      <c r="J202" s="134"/>
      <c r="K202" s="135"/>
      <c r="L202" s="136">
        <f t="shared" si="32"/>
        <v>0</v>
      </c>
      <c r="M202" s="284"/>
      <c r="N202" s="285"/>
      <c r="O202" s="136">
        <f t="shared" si="33"/>
        <v>0</v>
      </c>
      <c r="P202" s="85"/>
      <c r="R202" s="53"/>
      <c r="S202" s="53"/>
      <c r="T202" s="53"/>
    </row>
    <row r="203" spans="1:20" ht="24" hidden="1" x14ac:dyDescent="0.25">
      <c r="A203" s="76">
        <v>5129</v>
      </c>
      <c r="B203" s="127" t="s">
        <v>219</v>
      </c>
      <c r="C203" s="128">
        <f t="shared" si="26"/>
        <v>0</v>
      </c>
      <c r="D203" s="134"/>
      <c r="E203" s="285"/>
      <c r="F203" s="286">
        <f t="shared" si="30"/>
        <v>0</v>
      </c>
      <c r="G203" s="134"/>
      <c r="H203" s="135"/>
      <c r="I203" s="136">
        <f t="shared" si="31"/>
        <v>0</v>
      </c>
      <c r="J203" s="134"/>
      <c r="K203" s="135"/>
      <c r="L203" s="136">
        <f t="shared" si="32"/>
        <v>0</v>
      </c>
      <c r="M203" s="284"/>
      <c r="N203" s="285"/>
      <c r="O203" s="136">
        <f t="shared" si="33"/>
        <v>0</v>
      </c>
      <c r="P203" s="85"/>
      <c r="R203" s="53"/>
      <c r="S203" s="53"/>
      <c r="T203" s="53"/>
    </row>
    <row r="204" spans="1:20" hidden="1" x14ac:dyDescent="0.25">
      <c r="A204" s="276">
        <v>5130</v>
      </c>
      <c r="B204" s="127" t="s">
        <v>220</v>
      </c>
      <c r="C204" s="128">
        <f t="shared" si="26"/>
        <v>0</v>
      </c>
      <c r="D204" s="134"/>
      <c r="E204" s="285"/>
      <c r="F204" s="286">
        <f t="shared" si="30"/>
        <v>0</v>
      </c>
      <c r="G204" s="134"/>
      <c r="H204" s="135"/>
      <c r="I204" s="136">
        <f t="shared" si="31"/>
        <v>0</v>
      </c>
      <c r="J204" s="134"/>
      <c r="K204" s="135"/>
      <c r="L204" s="136">
        <f t="shared" si="32"/>
        <v>0</v>
      </c>
      <c r="M204" s="284"/>
      <c r="N204" s="285"/>
      <c r="O204" s="136">
        <f t="shared" si="33"/>
        <v>0</v>
      </c>
      <c r="P204" s="85"/>
      <c r="R204" s="53"/>
      <c r="S204" s="53"/>
      <c r="T204" s="53"/>
    </row>
    <row r="205" spans="1:20" hidden="1" x14ac:dyDescent="0.25">
      <c r="A205" s="276">
        <v>5140</v>
      </c>
      <c r="B205" s="127" t="s">
        <v>221</v>
      </c>
      <c r="C205" s="128">
        <f t="shared" si="26"/>
        <v>0</v>
      </c>
      <c r="D205" s="134"/>
      <c r="E205" s="285"/>
      <c r="F205" s="286">
        <f t="shared" si="30"/>
        <v>0</v>
      </c>
      <c r="G205" s="134"/>
      <c r="H205" s="135"/>
      <c r="I205" s="136">
        <f t="shared" si="31"/>
        <v>0</v>
      </c>
      <c r="J205" s="134"/>
      <c r="K205" s="135"/>
      <c r="L205" s="136">
        <f t="shared" si="32"/>
        <v>0</v>
      </c>
      <c r="M205" s="284"/>
      <c r="N205" s="285"/>
      <c r="O205" s="136">
        <f t="shared" si="33"/>
        <v>0</v>
      </c>
      <c r="P205" s="85"/>
      <c r="R205" s="53"/>
      <c r="S205" s="53"/>
      <c r="T205" s="53"/>
    </row>
    <row r="206" spans="1:20" ht="24" hidden="1" x14ac:dyDescent="0.25">
      <c r="A206" s="276">
        <v>5170</v>
      </c>
      <c r="B206" s="127" t="s">
        <v>222</v>
      </c>
      <c r="C206" s="128">
        <f t="shared" si="26"/>
        <v>0</v>
      </c>
      <c r="D206" s="134"/>
      <c r="E206" s="285"/>
      <c r="F206" s="286">
        <f t="shared" si="30"/>
        <v>0</v>
      </c>
      <c r="G206" s="134"/>
      <c r="H206" s="135"/>
      <c r="I206" s="136">
        <f t="shared" si="31"/>
        <v>0</v>
      </c>
      <c r="J206" s="134"/>
      <c r="K206" s="135"/>
      <c r="L206" s="136">
        <f t="shared" si="32"/>
        <v>0</v>
      </c>
      <c r="M206" s="284"/>
      <c r="N206" s="285"/>
      <c r="O206" s="136">
        <f t="shared" si="33"/>
        <v>0</v>
      </c>
      <c r="P206" s="85"/>
      <c r="R206" s="53"/>
      <c r="S206" s="53"/>
      <c r="T206" s="53"/>
    </row>
    <row r="207" spans="1:20" x14ac:dyDescent="0.25">
      <c r="A207" s="99">
        <v>5200</v>
      </c>
      <c r="B207" s="247" t="s">
        <v>223</v>
      </c>
      <c r="C207" s="100">
        <f t="shared" si="26"/>
        <v>620</v>
      </c>
      <c r="D207" s="112">
        <f>D208+D218+D219+D228+D229+D230+D232</f>
        <v>320</v>
      </c>
      <c r="E207" s="248">
        <f>E208+E218+E219+E228+E229+E230+E232</f>
        <v>0</v>
      </c>
      <c r="F207" s="249">
        <f t="shared" si="30"/>
        <v>320</v>
      </c>
      <c r="G207" s="112">
        <f>G208+G218+G219+G228+G229+G230+G232</f>
        <v>300</v>
      </c>
      <c r="H207" s="113">
        <f>H208+H218+H219+H228+H229+H230+H232</f>
        <v>0</v>
      </c>
      <c r="I207" s="114">
        <f t="shared" si="31"/>
        <v>300</v>
      </c>
      <c r="J207" s="112">
        <f>J208+J218+J219+J228+J229+J230+J232</f>
        <v>0</v>
      </c>
      <c r="K207" s="113">
        <f>K208+K218+K219+K228+K229+K230+K232</f>
        <v>0</v>
      </c>
      <c r="L207" s="114">
        <f t="shared" si="32"/>
        <v>0</v>
      </c>
      <c r="M207" s="292">
        <f>M208+M218+M219+M228+M229+M230+M232</f>
        <v>0</v>
      </c>
      <c r="N207" s="293">
        <f>N208+N218+N219+N228+N229+N230+N232</f>
        <v>0</v>
      </c>
      <c r="O207" s="114">
        <f t="shared" si="33"/>
        <v>0</v>
      </c>
      <c r="P207" s="109"/>
      <c r="R207" s="53"/>
      <c r="S207" s="53"/>
      <c r="T207" s="53"/>
    </row>
    <row r="208" spans="1:20" hidden="1" x14ac:dyDescent="0.25">
      <c r="A208" s="254">
        <v>5210</v>
      </c>
      <c r="B208" s="179" t="s">
        <v>224</v>
      </c>
      <c r="C208" s="191">
        <f t="shared" si="26"/>
        <v>0</v>
      </c>
      <c r="D208" s="255">
        <f>SUM(D209:D217)</f>
        <v>0</v>
      </c>
      <c r="E208" s="261">
        <f>SUM(E209:E217)</f>
        <v>0</v>
      </c>
      <c r="F208" s="310">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c r="R208" s="53"/>
      <c r="S208" s="53"/>
      <c r="T208" s="53"/>
    </row>
    <row r="209" spans="1:20" hidden="1" x14ac:dyDescent="0.25">
      <c r="A209" s="66">
        <v>5211</v>
      </c>
      <c r="B209" s="116" t="s">
        <v>225</v>
      </c>
      <c r="C209" s="279">
        <f t="shared" si="26"/>
        <v>0</v>
      </c>
      <c r="D209" s="123"/>
      <c r="E209" s="262"/>
      <c r="F209" s="263">
        <f t="shared" si="30"/>
        <v>0</v>
      </c>
      <c r="G209" s="123"/>
      <c r="H209" s="124"/>
      <c r="I209" s="125">
        <f t="shared" si="31"/>
        <v>0</v>
      </c>
      <c r="J209" s="123"/>
      <c r="K209" s="124"/>
      <c r="L209" s="125">
        <f t="shared" si="32"/>
        <v>0</v>
      </c>
      <c r="M209" s="264"/>
      <c r="N209" s="262"/>
      <c r="O209" s="125">
        <f t="shared" si="33"/>
        <v>0</v>
      </c>
      <c r="P209" s="74"/>
      <c r="R209" s="53"/>
      <c r="S209" s="53"/>
      <c r="T209" s="53"/>
    </row>
    <row r="210" spans="1:20" hidden="1" x14ac:dyDescent="0.25">
      <c r="A210" s="76">
        <v>5212</v>
      </c>
      <c r="B210" s="127" t="s">
        <v>226</v>
      </c>
      <c r="C210" s="279">
        <f t="shared" si="26"/>
        <v>0</v>
      </c>
      <c r="D210" s="134"/>
      <c r="E210" s="285"/>
      <c r="F210" s="286">
        <f t="shared" si="30"/>
        <v>0</v>
      </c>
      <c r="G210" s="134"/>
      <c r="H210" s="135"/>
      <c r="I210" s="136">
        <f t="shared" si="31"/>
        <v>0</v>
      </c>
      <c r="J210" s="134"/>
      <c r="K210" s="135"/>
      <c r="L210" s="136">
        <f t="shared" si="32"/>
        <v>0</v>
      </c>
      <c r="M210" s="284"/>
      <c r="N210" s="285"/>
      <c r="O210" s="136">
        <f t="shared" si="33"/>
        <v>0</v>
      </c>
      <c r="P210" s="85"/>
      <c r="R210" s="53"/>
      <c r="S210" s="53"/>
      <c r="T210" s="53"/>
    </row>
    <row r="211" spans="1:20" hidden="1" x14ac:dyDescent="0.25">
      <c r="A211" s="76">
        <v>5213</v>
      </c>
      <c r="B211" s="127" t="s">
        <v>227</v>
      </c>
      <c r="C211" s="279">
        <f t="shared" si="26"/>
        <v>0</v>
      </c>
      <c r="D211" s="134"/>
      <c r="E211" s="285"/>
      <c r="F211" s="286">
        <f t="shared" si="30"/>
        <v>0</v>
      </c>
      <c r="G211" s="134"/>
      <c r="H211" s="135"/>
      <c r="I211" s="136">
        <f t="shared" si="31"/>
        <v>0</v>
      </c>
      <c r="J211" s="134"/>
      <c r="K211" s="135"/>
      <c r="L211" s="136">
        <f t="shared" si="32"/>
        <v>0</v>
      </c>
      <c r="M211" s="284"/>
      <c r="N211" s="285"/>
      <c r="O211" s="136">
        <f t="shared" si="33"/>
        <v>0</v>
      </c>
      <c r="P211" s="85"/>
      <c r="R211" s="53"/>
      <c r="S211" s="53"/>
      <c r="T211" s="53"/>
    </row>
    <row r="212" spans="1:20" hidden="1" x14ac:dyDescent="0.25">
      <c r="A212" s="76">
        <v>5214</v>
      </c>
      <c r="B212" s="127" t="s">
        <v>228</v>
      </c>
      <c r="C212" s="279">
        <f t="shared" si="26"/>
        <v>0</v>
      </c>
      <c r="D212" s="134"/>
      <c r="E212" s="285"/>
      <c r="F212" s="286">
        <f t="shared" si="30"/>
        <v>0</v>
      </c>
      <c r="G212" s="134"/>
      <c r="H212" s="135"/>
      <c r="I212" s="136">
        <f t="shared" si="31"/>
        <v>0</v>
      </c>
      <c r="J212" s="134"/>
      <c r="K212" s="135"/>
      <c r="L212" s="136">
        <f t="shared" si="32"/>
        <v>0</v>
      </c>
      <c r="M212" s="284"/>
      <c r="N212" s="285"/>
      <c r="O212" s="136">
        <f t="shared" si="33"/>
        <v>0</v>
      </c>
      <c r="P212" s="85"/>
      <c r="R212" s="53"/>
      <c r="S212" s="53"/>
      <c r="T212" s="53"/>
    </row>
    <row r="213" spans="1:20" hidden="1" x14ac:dyDescent="0.25">
      <c r="A213" s="76">
        <v>5215</v>
      </c>
      <c r="B213" s="127" t="s">
        <v>229</v>
      </c>
      <c r="C213" s="279">
        <f t="shared" si="26"/>
        <v>0</v>
      </c>
      <c r="D213" s="134"/>
      <c r="E213" s="285"/>
      <c r="F213" s="286">
        <f t="shared" si="30"/>
        <v>0</v>
      </c>
      <c r="G213" s="134"/>
      <c r="H213" s="135"/>
      <c r="I213" s="136">
        <f t="shared" si="31"/>
        <v>0</v>
      </c>
      <c r="J213" s="134"/>
      <c r="K213" s="135"/>
      <c r="L213" s="136">
        <f t="shared" si="32"/>
        <v>0</v>
      </c>
      <c r="M213" s="284"/>
      <c r="N213" s="285"/>
      <c r="O213" s="136">
        <f t="shared" si="33"/>
        <v>0</v>
      </c>
      <c r="P213" s="85"/>
      <c r="R213" s="53"/>
      <c r="S213" s="53"/>
      <c r="T213" s="53"/>
    </row>
    <row r="214" spans="1:20" hidden="1" x14ac:dyDescent="0.25">
      <c r="A214" s="76">
        <v>5216</v>
      </c>
      <c r="B214" s="127" t="s">
        <v>230</v>
      </c>
      <c r="C214" s="279">
        <f t="shared" si="26"/>
        <v>0</v>
      </c>
      <c r="D214" s="134"/>
      <c r="E214" s="285"/>
      <c r="F214" s="286">
        <f t="shared" si="30"/>
        <v>0</v>
      </c>
      <c r="G214" s="134"/>
      <c r="H214" s="135"/>
      <c r="I214" s="136">
        <f t="shared" si="31"/>
        <v>0</v>
      </c>
      <c r="J214" s="134"/>
      <c r="K214" s="135"/>
      <c r="L214" s="136">
        <f t="shared" si="32"/>
        <v>0</v>
      </c>
      <c r="M214" s="284"/>
      <c r="N214" s="285"/>
      <c r="O214" s="136">
        <f t="shared" si="33"/>
        <v>0</v>
      </c>
      <c r="P214" s="85"/>
      <c r="R214" s="53"/>
      <c r="S214" s="53"/>
      <c r="T214" s="53"/>
    </row>
    <row r="215" spans="1:20" hidden="1" x14ac:dyDescent="0.25">
      <c r="A215" s="76">
        <v>5217</v>
      </c>
      <c r="B215" s="127" t="s">
        <v>231</v>
      </c>
      <c r="C215" s="279">
        <f t="shared" si="26"/>
        <v>0</v>
      </c>
      <c r="D215" s="134"/>
      <c r="E215" s="285"/>
      <c r="F215" s="286">
        <f t="shared" si="30"/>
        <v>0</v>
      </c>
      <c r="G215" s="134"/>
      <c r="H215" s="135"/>
      <c r="I215" s="136">
        <f t="shared" si="31"/>
        <v>0</v>
      </c>
      <c r="J215" s="134"/>
      <c r="K215" s="135"/>
      <c r="L215" s="136">
        <f t="shared" si="32"/>
        <v>0</v>
      </c>
      <c r="M215" s="284"/>
      <c r="N215" s="285"/>
      <c r="O215" s="136">
        <f t="shared" si="33"/>
        <v>0</v>
      </c>
      <c r="P215" s="85"/>
      <c r="R215" s="53"/>
      <c r="S215" s="53"/>
      <c r="T215" s="53"/>
    </row>
    <row r="216" spans="1:20" hidden="1" x14ac:dyDescent="0.25">
      <c r="A216" s="76">
        <v>5218</v>
      </c>
      <c r="B216" s="127" t="s">
        <v>232</v>
      </c>
      <c r="C216" s="279">
        <f t="shared" si="26"/>
        <v>0</v>
      </c>
      <c r="D216" s="134"/>
      <c r="E216" s="285"/>
      <c r="F216" s="286">
        <f t="shared" si="30"/>
        <v>0</v>
      </c>
      <c r="G216" s="134"/>
      <c r="H216" s="135"/>
      <c r="I216" s="136">
        <f t="shared" si="31"/>
        <v>0</v>
      </c>
      <c r="J216" s="134"/>
      <c r="K216" s="135"/>
      <c r="L216" s="136">
        <f t="shared" si="32"/>
        <v>0</v>
      </c>
      <c r="M216" s="284"/>
      <c r="N216" s="285"/>
      <c r="O216" s="136">
        <f t="shared" si="33"/>
        <v>0</v>
      </c>
      <c r="P216" s="85"/>
      <c r="R216" s="53"/>
      <c r="S216" s="53"/>
      <c r="T216" s="53"/>
    </row>
    <row r="217" spans="1:20" hidden="1" x14ac:dyDescent="0.25">
      <c r="A217" s="76">
        <v>5219</v>
      </c>
      <c r="B217" s="127" t="s">
        <v>233</v>
      </c>
      <c r="C217" s="279">
        <f t="shared" si="26"/>
        <v>0</v>
      </c>
      <c r="D217" s="134"/>
      <c r="E217" s="285"/>
      <c r="F217" s="286">
        <f t="shared" si="30"/>
        <v>0</v>
      </c>
      <c r="G217" s="134"/>
      <c r="H217" s="135"/>
      <c r="I217" s="136">
        <f t="shared" si="31"/>
        <v>0</v>
      </c>
      <c r="J217" s="134"/>
      <c r="K217" s="135"/>
      <c r="L217" s="136">
        <f t="shared" si="32"/>
        <v>0</v>
      </c>
      <c r="M217" s="284"/>
      <c r="N217" s="285"/>
      <c r="O217" s="136">
        <f t="shared" si="33"/>
        <v>0</v>
      </c>
      <c r="P217" s="85"/>
      <c r="R217" s="53"/>
      <c r="S217" s="53"/>
      <c r="T217" s="53"/>
    </row>
    <row r="218" spans="1:20" hidden="1" x14ac:dyDescent="0.25">
      <c r="A218" s="276">
        <v>5220</v>
      </c>
      <c r="B218" s="127" t="s">
        <v>234</v>
      </c>
      <c r="C218" s="279">
        <f t="shared" si="26"/>
        <v>0</v>
      </c>
      <c r="D218" s="134"/>
      <c r="E218" s="285"/>
      <c r="F218" s="286">
        <f t="shared" si="30"/>
        <v>0</v>
      </c>
      <c r="G218" s="134"/>
      <c r="H218" s="135"/>
      <c r="I218" s="136">
        <f t="shared" si="31"/>
        <v>0</v>
      </c>
      <c r="J218" s="134"/>
      <c r="K218" s="135"/>
      <c r="L218" s="136">
        <f t="shared" si="32"/>
        <v>0</v>
      </c>
      <c r="M218" s="284"/>
      <c r="N218" s="285"/>
      <c r="O218" s="136">
        <f t="shared" si="33"/>
        <v>0</v>
      </c>
      <c r="P218" s="85"/>
      <c r="R218" s="53"/>
      <c r="S218" s="53"/>
      <c r="T218" s="53"/>
    </row>
    <row r="219" spans="1:20" x14ac:dyDescent="0.25">
      <c r="A219" s="276">
        <v>5230</v>
      </c>
      <c r="B219" s="127" t="s">
        <v>235</v>
      </c>
      <c r="C219" s="279">
        <f t="shared" si="26"/>
        <v>620</v>
      </c>
      <c r="D219" s="277">
        <f>SUM(D220:D227)</f>
        <v>320</v>
      </c>
      <c r="E219" s="278">
        <f>SUM(E220:E227)</f>
        <v>0</v>
      </c>
      <c r="F219" s="279">
        <f t="shared" si="30"/>
        <v>320</v>
      </c>
      <c r="G219" s="277">
        <f>SUM(G220:G227)</f>
        <v>300</v>
      </c>
      <c r="H219" s="280">
        <f>SUM(H220:H227)</f>
        <v>0</v>
      </c>
      <c r="I219" s="136">
        <f t="shared" si="31"/>
        <v>300</v>
      </c>
      <c r="J219" s="277">
        <f>SUM(J220:J227)</f>
        <v>0</v>
      </c>
      <c r="K219" s="280">
        <f>SUM(K220:K227)</f>
        <v>0</v>
      </c>
      <c r="L219" s="136">
        <f t="shared" si="32"/>
        <v>0</v>
      </c>
      <c r="M219" s="281">
        <f>SUM(M220:M227)</f>
        <v>0</v>
      </c>
      <c r="N219" s="282">
        <f>SUM(N220:N227)</f>
        <v>0</v>
      </c>
      <c r="O219" s="136">
        <f t="shared" si="33"/>
        <v>0</v>
      </c>
      <c r="P219" s="85"/>
      <c r="R219" s="53"/>
      <c r="S219" s="53"/>
      <c r="T219" s="53"/>
    </row>
    <row r="220" spans="1:20" hidden="1" x14ac:dyDescent="0.25">
      <c r="A220" s="76">
        <v>5231</v>
      </c>
      <c r="B220" s="127" t="s">
        <v>236</v>
      </c>
      <c r="C220" s="279">
        <f t="shared" si="26"/>
        <v>0</v>
      </c>
      <c r="D220" s="134"/>
      <c r="E220" s="285"/>
      <c r="F220" s="286">
        <f t="shared" si="30"/>
        <v>0</v>
      </c>
      <c r="G220" s="134"/>
      <c r="H220" s="135"/>
      <c r="I220" s="136">
        <f t="shared" si="31"/>
        <v>0</v>
      </c>
      <c r="J220" s="134"/>
      <c r="K220" s="135"/>
      <c r="L220" s="136">
        <f t="shared" si="32"/>
        <v>0</v>
      </c>
      <c r="M220" s="284"/>
      <c r="N220" s="285"/>
      <c r="O220" s="136">
        <f t="shared" si="33"/>
        <v>0</v>
      </c>
      <c r="P220" s="85"/>
      <c r="R220" s="53"/>
      <c r="S220" s="53"/>
      <c r="T220" s="53"/>
    </row>
    <row r="221" spans="1:20" hidden="1" x14ac:dyDescent="0.25">
      <c r="A221" s="76">
        <v>5232</v>
      </c>
      <c r="B221" s="127" t="s">
        <v>237</v>
      </c>
      <c r="C221" s="279">
        <f t="shared" si="26"/>
        <v>0</v>
      </c>
      <c r="D221" s="134">
        <v>0</v>
      </c>
      <c r="E221" s="285"/>
      <c r="F221" s="286">
        <f t="shared" si="30"/>
        <v>0</v>
      </c>
      <c r="G221" s="134"/>
      <c r="H221" s="135"/>
      <c r="I221" s="136">
        <f t="shared" si="31"/>
        <v>0</v>
      </c>
      <c r="J221" s="134"/>
      <c r="K221" s="135"/>
      <c r="L221" s="136">
        <f t="shared" si="32"/>
        <v>0</v>
      </c>
      <c r="M221" s="284"/>
      <c r="N221" s="285"/>
      <c r="O221" s="136">
        <f t="shared" si="33"/>
        <v>0</v>
      </c>
      <c r="P221" s="85"/>
      <c r="R221" s="53"/>
      <c r="S221" s="53"/>
      <c r="T221" s="53"/>
    </row>
    <row r="222" spans="1:20" x14ac:dyDescent="0.25">
      <c r="A222" s="76">
        <v>5233</v>
      </c>
      <c r="B222" s="127" t="s">
        <v>238</v>
      </c>
      <c r="C222" s="279">
        <f t="shared" si="26"/>
        <v>620</v>
      </c>
      <c r="D222" s="134">
        <v>320</v>
      </c>
      <c r="E222" s="283"/>
      <c r="F222" s="279">
        <f t="shared" si="30"/>
        <v>320</v>
      </c>
      <c r="G222" s="134">
        <v>300</v>
      </c>
      <c r="H222" s="135"/>
      <c r="I222" s="136">
        <f t="shared" si="31"/>
        <v>300</v>
      </c>
      <c r="J222" s="134"/>
      <c r="K222" s="135"/>
      <c r="L222" s="136">
        <f t="shared" si="32"/>
        <v>0</v>
      </c>
      <c r="M222" s="284"/>
      <c r="N222" s="285"/>
      <c r="O222" s="136">
        <f t="shared" si="33"/>
        <v>0</v>
      </c>
      <c r="P222" s="85"/>
      <c r="R222" s="53"/>
      <c r="S222" s="53"/>
      <c r="T222" s="53"/>
    </row>
    <row r="223" spans="1:20" ht="24" hidden="1" x14ac:dyDescent="0.25">
      <c r="A223" s="76">
        <v>5234</v>
      </c>
      <c r="B223" s="127" t="s">
        <v>239</v>
      </c>
      <c r="C223" s="279">
        <f t="shared" si="26"/>
        <v>0</v>
      </c>
      <c r="D223" s="134"/>
      <c r="E223" s="285"/>
      <c r="F223" s="286">
        <f t="shared" si="30"/>
        <v>0</v>
      </c>
      <c r="G223" s="134"/>
      <c r="H223" s="135"/>
      <c r="I223" s="136">
        <f t="shared" si="31"/>
        <v>0</v>
      </c>
      <c r="J223" s="134"/>
      <c r="K223" s="135"/>
      <c r="L223" s="136">
        <f t="shared" si="32"/>
        <v>0</v>
      </c>
      <c r="M223" s="284"/>
      <c r="N223" s="285"/>
      <c r="O223" s="136">
        <f t="shared" si="33"/>
        <v>0</v>
      </c>
      <c r="P223" s="85"/>
      <c r="R223" s="53"/>
      <c r="S223" s="53"/>
      <c r="T223" s="53"/>
    </row>
    <row r="224" spans="1:20" hidden="1" x14ac:dyDescent="0.25">
      <c r="A224" s="76">
        <v>5236</v>
      </c>
      <c r="B224" s="127" t="s">
        <v>240</v>
      </c>
      <c r="C224" s="279">
        <f t="shared" si="26"/>
        <v>0</v>
      </c>
      <c r="D224" s="134"/>
      <c r="E224" s="285"/>
      <c r="F224" s="286">
        <f t="shared" si="30"/>
        <v>0</v>
      </c>
      <c r="G224" s="134"/>
      <c r="H224" s="135"/>
      <c r="I224" s="136">
        <f t="shared" si="31"/>
        <v>0</v>
      </c>
      <c r="J224" s="134"/>
      <c r="K224" s="135"/>
      <c r="L224" s="136">
        <f t="shared" si="32"/>
        <v>0</v>
      </c>
      <c r="M224" s="284"/>
      <c r="N224" s="285"/>
      <c r="O224" s="136">
        <f t="shared" si="33"/>
        <v>0</v>
      </c>
      <c r="P224" s="85"/>
      <c r="R224" s="53"/>
      <c r="S224" s="53"/>
      <c r="T224" s="53"/>
    </row>
    <row r="225" spans="1:20" hidden="1" x14ac:dyDescent="0.25">
      <c r="A225" s="76">
        <v>5237</v>
      </c>
      <c r="B225" s="127" t="s">
        <v>241</v>
      </c>
      <c r="C225" s="279">
        <f t="shared" si="26"/>
        <v>0</v>
      </c>
      <c r="D225" s="134"/>
      <c r="E225" s="285"/>
      <c r="F225" s="286">
        <f t="shared" si="30"/>
        <v>0</v>
      </c>
      <c r="G225" s="134"/>
      <c r="H225" s="135"/>
      <c r="I225" s="136">
        <f t="shared" si="31"/>
        <v>0</v>
      </c>
      <c r="J225" s="134"/>
      <c r="K225" s="135"/>
      <c r="L225" s="136">
        <f t="shared" si="32"/>
        <v>0</v>
      </c>
      <c r="M225" s="284"/>
      <c r="N225" s="285"/>
      <c r="O225" s="136">
        <f t="shared" si="33"/>
        <v>0</v>
      </c>
      <c r="P225" s="85"/>
      <c r="R225" s="53"/>
      <c r="S225" s="53"/>
      <c r="T225" s="53"/>
    </row>
    <row r="226" spans="1:20" ht="24" hidden="1" x14ac:dyDescent="0.25">
      <c r="A226" s="76">
        <v>5238</v>
      </c>
      <c r="B226" s="127" t="s">
        <v>242</v>
      </c>
      <c r="C226" s="279">
        <f t="shared" si="26"/>
        <v>0</v>
      </c>
      <c r="D226" s="134"/>
      <c r="E226" s="285"/>
      <c r="F226" s="286">
        <f t="shared" si="30"/>
        <v>0</v>
      </c>
      <c r="G226" s="134"/>
      <c r="H226" s="135"/>
      <c r="I226" s="136">
        <f t="shared" si="31"/>
        <v>0</v>
      </c>
      <c r="J226" s="134"/>
      <c r="K226" s="135"/>
      <c r="L226" s="136">
        <f t="shared" si="32"/>
        <v>0</v>
      </c>
      <c r="M226" s="284"/>
      <c r="N226" s="285"/>
      <c r="O226" s="136">
        <f t="shared" si="33"/>
        <v>0</v>
      </c>
      <c r="P226" s="85"/>
      <c r="R226" s="53"/>
      <c r="S226" s="53"/>
      <c r="T226" s="53"/>
    </row>
    <row r="227" spans="1:20" ht="24" hidden="1" x14ac:dyDescent="0.25">
      <c r="A227" s="76">
        <v>5239</v>
      </c>
      <c r="B227" s="127" t="s">
        <v>243</v>
      </c>
      <c r="C227" s="279">
        <f t="shared" si="26"/>
        <v>0</v>
      </c>
      <c r="D227" s="134"/>
      <c r="E227" s="285"/>
      <c r="F227" s="286">
        <f t="shared" si="30"/>
        <v>0</v>
      </c>
      <c r="G227" s="134"/>
      <c r="H227" s="135"/>
      <c r="I227" s="136">
        <f t="shared" si="31"/>
        <v>0</v>
      </c>
      <c r="J227" s="134"/>
      <c r="K227" s="135"/>
      <c r="L227" s="136">
        <f t="shared" si="32"/>
        <v>0</v>
      </c>
      <c r="M227" s="284"/>
      <c r="N227" s="285"/>
      <c r="O227" s="136">
        <f t="shared" si="33"/>
        <v>0</v>
      </c>
      <c r="P227" s="85"/>
      <c r="R227" s="53"/>
      <c r="S227" s="53"/>
      <c r="T227" s="53"/>
    </row>
    <row r="228" spans="1:20" ht="24" hidden="1" x14ac:dyDescent="0.25">
      <c r="A228" s="276">
        <v>5240</v>
      </c>
      <c r="B228" s="127" t="s">
        <v>244</v>
      </c>
      <c r="C228" s="279">
        <f t="shared" si="26"/>
        <v>0</v>
      </c>
      <c r="D228" s="134"/>
      <c r="E228" s="285"/>
      <c r="F228" s="286">
        <f t="shared" si="30"/>
        <v>0</v>
      </c>
      <c r="G228" s="134"/>
      <c r="H228" s="135"/>
      <c r="I228" s="136">
        <f t="shared" si="31"/>
        <v>0</v>
      </c>
      <c r="J228" s="134"/>
      <c r="K228" s="135"/>
      <c r="L228" s="136">
        <f t="shared" si="32"/>
        <v>0</v>
      </c>
      <c r="M228" s="284"/>
      <c r="N228" s="285"/>
      <c r="O228" s="136">
        <f t="shared" si="33"/>
        <v>0</v>
      </c>
      <c r="P228" s="85"/>
      <c r="R228" s="53"/>
      <c r="S228" s="53"/>
      <c r="T228" s="53"/>
    </row>
    <row r="229" spans="1:20" hidden="1" x14ac:dyDescent="0.25">
      <c r="A229" s="276">
        <v>5250</v>
      </c>
      <c r="B229" s="127" t="s">
        <v>245</v>
      </c>
      <c r="C229" s="279">
        <f t="shared" si="26"/>
        <v>0</v>
      </c>
      <c r="D229" s="134"/>
      <c r="E229" s="285"/>
      <c r="F229" s="286">
        <f t="shared" si="30"/>
        <v>0</v>
      </c>
      <c r="G229" s="134"/>
      <c r="H229" s="135"/>
      <c r="I229" s="136">
        <f t="shared" si="31"/>
        <v>0</v>
      </c>
      <c r="J229" s="134"/>
      <c r="K229" s="135"/>
      <c r="L229" s="136">
        <f t="shared" si="32"/>
        <v>0</v>
      </c>
      <c r="M229" s="284"/>
      <c r="N229" s="285"/>
      <c r="O229" s="136">
        <f t="shared" si="33"/>
        <v>0</v>
      </c>
      <c r="P229" s="85"/>
      <c r="R229" s="53"/>
      <c r="S229" s="53"/>
      <c r="T229" s="53"/>
    </row>
    <row r="230" spans="1:20" hidden="1" x14ac:dyDescent="0.25">
      <c r="A230" s="276">
        <v>5260</v>
      </c>
      <c r="B230" s="127" t="s">
        <v>246</v>
      </c>
      <c r="C230" s="279">
        <f t="shared" si="26"/>
        <v>0</v>
      </c>
      <c r="D230" s="277">
        <f>SUM(D231)</f>
        <v>0</v>
      </c>
      <c r="E230" s="282">
        <f>SUM(E231)</f>
        <v>0</v>
      </c>
      <c r="F230" s="286">
        <f t="shared" si="30"/>
        <v>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c r="R230" s="53"/>
      <c r="S230" s="53"/>
      <c r="T230" s="53"/>
    </row>
    <row r="231" spans="1:20" ht="24" hidden="1" x14ac:dyDescent="0.25">
      <c r="A231" s="76">
        <v>5269</v>
      </c>
      <c r="B231" s="127" t="s">
        <v>247</v>
      </c>
      <c r="C231" s="279">
        <f t="shared" si="26"/>
        <v>0</v>
      </c>
      <c r="D231" s="134"/>
      <c r="E231" s="285"/>
      <c r="F231" s="286">
        <f t="shared" si="30"/>
        <v>0</v>
      </c>
      <c r="G231" s="134"/>
      <c r="H231" s="135"/>
      <c r="I231" s="136">
        <f t="shared" si="31"/>
        <v>0</v>
      </c>
      <c r="J231" s="134"/>
      <c r="K231" s="135"/>
      <c r="L231" s="136">
        <f t="shared" si="32"/>
        <v>0</v>
      </c>
      <c r="M231" s="284"/>
      <c r="N231" s="285"/>
      <c r="O231" s="136">
        <f t="shared" si="33"/>
        <v>0</v>
      </c>
      <c r="P231" s="85"/>
      <c r="R231" s="53"/>
      <c r="S231" s="53"/>
      <c r="T231" s="53"/>
    </row>
    <row r="232" spans="1:20" ht="24" hidden="1" x14ac:dyDescent="0.25">
      <c r="A232" s="254">
        <v>5270</v>
      </c>
      <c r="B232" s="179" t="s">
        <v>248</v>
      </c>
      <c r="C232" s="302">
        <f t="shared" si="26"/>
        <v>0</v>
      </c>
      <c r="D232" s="287"/>
      <c r="E232" s="291"/>
      <c r="F232" s="310">
        <f t="shared" si="30"/>
        <v>0</v>
      </c>
      <c r="G232" s="287"/>
      <c r="H232" s="289"/>
      <c r="I232" s="259">
        <f t="shared" si="31"/>
        <v>0</v>
      </c>
      <c r="J232" s="287"/>
      <c r="K232" s="289"/>
      <c r="L232" s="259">
        <f t="shared" si="32"/>
        <v>0</v>
      </c>
      <c r="M232" s="290"/>
      <c r="N232" s="291"/>
      <c r="O232" s="259">
        <f t="shared" si="33"/>
        <v>0</v>
      </c>
      <c r="P232" s="189"/>
      <c r="R232" s="53"/>
      <c r="S232" s="53"/>
      <c r="T232" s="53"/>
    </row>
    <row r="233" spans="1:20" hidden="1" x14ac:dyDescent="0.25">
      <c r="A233" s="237">
        <v>6000</v>
      </c>
      <c r="B233" s="237" t="s">
        <v>249</v>
      </c>
      <c r="C233" s="238">
        <f t="shared" si="26"/>
        <v>0</v>
      </c>
      <c r="D233" s="239">
        <f>D234+D254+D261</f>
        <v>0</v>
      </c>
      <c r="E233" s="245">
        <f>E234+E254+E261</f>
        <v>0</v>
      </c>
      <c r="F233" s="320">
        <f t="shared" si="30"/>
        <v>0</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c r="R233" s="53"/>
      <c r="S233" s="53"/>
      <c r="T233" s="53"/>
    </row>
    <row r="234" spans="1:20"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c r="R234" s="53"/>
      <c r="S234" s="53"/>
      <c r="T234" s="53"/>
    </row>
    <row r="235" spans="1:20" ht="24" hidden="1" x14ac:dyDescent="0.25">
      <c r="A235" s="656">
        <v>6220</v>
      </c>
      <c r="B235" s="116" t="s">
        <v>251</v>
      </c>
      <c r="C235" s="298">
        <f t="shared" si="26"/>
        <v>0</v>
      </c>
      <c r="D235" s="123"/>
      <c r="E235" s="262"/>
      <c r="F235" s="263">
        <f t="shared" si="30"/>
        <v>0</v>
      </c>
      <c r="G235" s="123"/>
      <c r="H235" s="124"/>
      <c r="I235" s="125">
        <f t="shared" si="31"/>
        <v>0</v>
      </c>
      <c r="J235" s="123"/>
      <c r="K235" s="124"/>
      <c r="L235" s="125">
        <f t="shared" si="32"/>
        <v>0</v>
      </c>
      <c r="M235" s="264"/>
      <c r="N235" s="262"/>
      <c r="O235" s="125">
        <f t="shared" si="33"/>
        <v>0</v>
      </c>
      <c r="P235" s="74"/>
      <c r="R235" s="53"/>
      <c r="S235" s="53"/>
      <c r="T235" s="53"/>
    </row>
    <row r="236" spans="1:20" hidden="1" x14ac:dyDescent="0.25">
      <c r="A236" s="276">
        <v>6230</v>
      </c>
      <c r="B236" s="127" t="s">
        <v>252</v>
      </c>
      <c r="C236" s="278">
        <f t="shared" si="26"/>
        <v>0</v>
      </c>
      <c r="D236" s="277">
        <f>SUM(D237)</f>
        <v>0</v>
      </c>
      <c r="E236" s="280">
        <f>SUM(E237)</f>
        <v>0</v>
      </c>
      <c r="F236" s="28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c r="R236" s="53"/>
      <c r="S236" s="53"/>
      <c r="T236" s="53"/>
    </row>
    <row r="237" spans="1:20" hidden="1" x14ac:dyDescent="0.25">
      <c r="A237" s="76">
        <v>6239</v>
      </c>
      <c r="B237" s="116" t="s">
        <v>253</v>
      </c>
      <c r="C237" s="278">
        <f t="shared" si="26"/>
        <v>0</v>
      </c>
      <c r="D237" s="134"/>
      <c r="E237" s="285"/>
      <c r="F237" s="286">
        <f t="shared" si="30"/>
        <v>0</v>
      </c>
      <c r="G237" s="134"/>
      <c r="H237" s="135"/>
      <c r="I237" s="136">
        <f t="shared" si="31"/>
        <v>0</v>
      </c>
      <c r="J237" s="134"/>
      <c r="K237" s="135"/>
      <c r="L237" s="136">
        <f t="shared" si="32"/>
        <v>0</v>
      </c>
      <c r="M237" s="284"/>
      <c r="N237" s="285"/>
      <c r="O237" s="136">
        <f t="shared" si="33"/>
        <v>0</v>
      </c>
      <c r="P237" s="85"/>
      <c r="R237" s="53"/>
      <c r="S237" s="53"/>
      <c r="T237" s="53"/>
    </row>
    <row r="238" spans="1:20" ht="24" hidden="1" x14ac:dyDescent="0.25">
      <c r="A238" s="276">
        <v>6240</v>
      </c>
      <c r="B238" s="127" t="s">
        <v>254</v>
      </c>
      <c r="C238" s="278">
        <f t="shared" si="26"/>
        <v>0</v>
      </c>
      <c r="D238" s="277">
        <f>SUM(D239:D240)</f>
        <v>0</v>
      </c>
      <c r="E238" s="282">
        <f>SUM(E239:E240)</f>
        <v>0</v>
      </c>
      <c r="F238" s="28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c r="R238" s="53"/>
      <c r="S238" s="53"/>
      <c r="T238" s="53"/>
    </row>
    <row r="239" spans="1:20" hidden="1" x14ac:dyDescent="0.25">
      <c r="A239" s="76">
        <v>6241</v>
      </c>
      <c r="B239" s="127" t="s">
        <v>255</v>
      </c>
      <c r="C239" s="278">
        <f t="shared" si="26"/>
        <v>0</v>
      </c>
      <c r="D239" s="134"/>
      <c r="E239" s="285"/>
      <c r="F239" s="286">
        <f t="shared" si="30"/>
        <v>0</v>
      </c>
      <c r="G239" s="134"/>
      <c r="H239" s="135"/>
      <c r="I239" s="136">
        <f t="shared" si="31"/>
        <v>0</v>
      </c>
      <c r="J239" s="134"/>
      <c r="K239" s="135"/>
      <c r="L239" s="136">
        <f t="shared" si="32"/>
        <v>0</v>
      </c>
      <c r="M239" s="284"/>
      <c r="N239" s="285"/>
      <c r="O239" s="136">
        <f t="shared" si="33"/>
        <v>0</v>
      </c>
      <c r="P239" s="85"/>
      <c r="R239" s="53"/>
      <c r="S239" s="53"/>
      <c r="T239" s="53"/>
    </row>
    <row r="240" spans="1:20" hidden="1" x14ac:dyDescent="0.25">
      <c r="A240" s="76">
        <v>6242</v>
      </c>
      <c r="B240" s="127" t="s">
        <v>256</v>
      </c>
      <c r="C240" s="278">
        <f t="shared" si="26"/>
        <v>0</v>
      </c>
      <c r="D240" s="134"/>
      <c r="E240" s="285"/>
      <c r="F240" s="286">
        <f t="shared" si="30"/>
        <v>0</v>
      </c>
      <c r="G240" s="134"/>
      <c r="H240" s="135"/>
      <c r="I240" s="136">
        <f t="shared" si="31"/>
        <v>0</v>
      </c>
      <c r="J240" s="134"/>
      <c r="K240" s="135"/>
      <c r="L240" s="136">
        <f t="shared" si="32"/>
        <v>0</v>
      </c>
      <c r="M240" s="284"/>
      <c r="N240" s="285"/>
      <c r="O240" s="136">
        <f t="shared" si="33"/>
        <v>0</v>
      </c>
      <c r="P240" s="85"/>
      <c r="R240" s="53"/>
      <c r="S240" s="53"/>
      <c r="T240" s="53"/>
    </row>
    <row r="241" spans="1:20" ht="24" hidden="1" x14ac:dyDescent="0.25">
      <c r="A241" s="276">
        <v>6250</v>
      </c>
      <c r="B241" s="127" t="s">
        <v>257</v>
      </c>
      <c r="C241" s="278">
        <f t="shared" si="26"/>
        <v>0</v>
      </c>
      <c r="D241" s="277">
        <f>SUM(D242:D246)</f>
        <v>0</v>
      </c>
      <c r="E241" s="282">
        <f>SUM(E242:E246)</f>
        <v>0</v>
      </c>
      <c r="F241" s="28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c r="R241" s="53"/>
      <c r="S241" s="53"/>
      <c r="T241" s="53"/>
    </row>
    <row r="242" spans="1:20" hidden="1" x14ac:dyDescent="0.25">
      <c r="A242" s="76">
        <v>6252</v>
      </c>
      <c r="B242" s="127" t="s">
        <v>258</v>
      </c>
      <c r="C242" s="278">
        <f t="shared" si="26"/>
        <v>0</v>
      </c>
      <c r="D242" s="134"/>
      <c r="E242" s="285"/>
      <c r="F242" s="286">
        <f t="shared" si="30"/>
        <v>0</v>
      </c>
      <c r="G242" s="134"/>
      <c r="H242" s="135"/>
      <c r="I242" s="136">
        <f t="shared" si="31"/>
        <v>0</v>
      </c>
      <c r="J242" s="134"/>
      <c r="K242" s="135"/>
      <c r="L242" s="136">
        <f t="shared" si="32"/>
        <v>0</v>
      </c>
      <c r="M242" s="284"/>
      <c r="N242" s="285"/>
      <c r="O242" s="136">
        <f t="shared" si="33"/>
        <v>0</v>
      </c>
      <c r="P242" s="85"/>
      <c r="R242" s="53"/>
      <c r="S242" s="53"/>
      <c r="T242" s="53"/>
    </row>
    <row r="243" spans="1:20" hidden="1" x14ac:dyDescent="0.25">
      <c r="A243" s="76">
        <v>6253</v>
      </c>
      <c r="B243" s="127" t="s">
        <v>259</v>
      </c>
      <c r="C243" s="278">
        <f t="shared" si="26"/>
        <v>0</v>
      </c>
      <c r="D243" s="134"/>
      <c r="E243" s="285"/>
      <c r="F243" s="286">
        <f t="shared" si="30"/>
        <v>0</v>
      </c>
      <c r="G243" s="134"/>
      <c r="H243" s="135"/>
      <c r="I243" s="136">
        <f t="shared" si="31"/>
        <v>0</v>
      </c>
      <c r="J243" s="134"/>
      <c r="K243" s="135"/>
      <c r="L243" s="136">
        <f t="shared" si="32"/>
        <v>0</v>
      </c>
      <c r="M243" s="284"/>
      <c r="N243" s="285"/>
      <c r="O243" s="136">
        <f t="shared" si="33"/>
        <v>0</v>
      </c>
      <c r="P243" s="85"/>
      <c r="R243" s="53"/>
      <c r="S243" s="53"/>
      <c r="T243" s="53"/>
    </row>
    <row r="244" spans="1:20" ht="24" hidden="1" x14ac:dyDescent="0.25">
      <c r="A244" s="76">
        <v>6254</v>
      </c>
      <c r="B244" s="127" t="s">
        <v>260</v>
      </c>
      <c r="C244" s="278">
        <f t="shared" si="26"/>
        <v>0</v>
      </c>
      <c r="D244" s="134"/>
      <c r="E244" s="285"/>
      <c r="F244" s="286">
        <f t="shared" si="30"/>
        <v>0</v>
      </c>
      <c r="G244" s="134"/>
      <c r="H244" s="135"/>
      <c r="I244" s="136">
        <f t="shared" si="31"/>
        <v>0</v>
      </c>
      <c r="J244" s="134"/>
      <c r="K244" s="135"/>
      <c r="L244" s="136">
        <f t="shared" si="32"/>
        <v>0</v>
      </c>
      <c r="M244" s="284"/>
      <c r="N244" s="285"/>
      <c r="O244" s="136">
        <f t="shared" si="33"/>
        <v>0</v>
      </c>
      <c r="P244" s="85"/>
      <c r="R244" s="53"/>
      <c r="S244" s="53"/>
      <c r="T244" s="53"/>
    </row>
    <row r="245" spans="1:20" ht="24" hidden="1" x14ac:dyDescent="0.25">
      <c r="A245" s="76">
        <v>6255</v>
      </c>
      <c r="B245" s="127" t="s">
        <v>261</v>
      </c>
      <c r="C245" s="278">
        <f t="shared" si="26"/>
        <v>0</v>
      </c>
      <c r="D245" s="134"/>
      <c r="E245" s="285"/>
      <c r="F245" s="286">
        <f t="shared" si="30"/>
        <v>0</v>
      </c>
      <c r="G245" s="134"/>
      <c r="H245" s="135"/>
      <c r="I245" s="136">
        <f t="shared" si="31"/>
        <v>0</v>
      </c>
      <c r="J245" s="134"/>
      <c r="K245" s="135"/>
      <c r="L245" s="136">
        <f t="shared" si="32"/>
        <v>0</v>
      </c>
      <c r="M245" s="284"/>
      <c r="N245" s="285"/>
      <c r="O245" s="136">
        <f t="shared" si="33"/>
        <v>0</v>
      </c>
      <c r="P245" s="85"/>
      <c r="R245" s="53"/>
      <c r="S245" s="53"/>
      <c r="T245" s="53"/>
    </row>
    <row r="246" spans="1:20" hidden="1" x14ac:dyDescent="0.25">
      <c r="A246" s="76">
        <v>6259</v>
      </c>
      <c r="B246" s="127" t="s">
        <v>262</v>
      </c>
      <c r="C246" s="278">
        <f t="shared" si="26"/>
        <v>0</v>
      </c>
      <c r="D246" s="134"/>
      <c r="E246" s="285"/>
      <c r="F246" s="286">
        <f t="shared" si="30"/>
        <v>0</v>
      </c>
      <c r="G246" s="134"/>
      <c r="H246" s="135"/>
      <c r="I246" s="136">
        <f t="shared" si="31"/>
        <v>0</v>
      </c>
      <c r="J246" s="134"/>
      <c r="K246" s="135"/>
      <c r="L246" s="136">
        <f t="shared" si="32"/>
        <v>0</v>
      </c>
      <c r="M246" s="284"/>
      <c r="N246" s="285"/>
      <c r="O246" s="136">
        <f t="shared" si="33"/>
        <v>0</v>
      </c>
      <c r="P246" s="85"/>
      <c r="R246" s="53"/>
      <c r="S246" s="53"/>
      <c r="T246" s="53"/>
    </row>
    <row r="247" spans="1:20" ht="24" hidden="1" x14ac:dyDescent="0.25">
      <c r="A247" s="276">
        <v>6260</v>
      </c>
      <c r="B247" s="127" t="s">
        <v>263</v>
      </c>
      <c r="C247" s="278">
        <f t="shared" si="26"/>
        <v>0</v>
      </c>
      <c r="D247" s="134"/>
      <c r="E247" s="285"/>
      <c r="F247" s="286">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c r="R247" s="53"/>
      <c r="S247" s="53"/>
      <c r="T247" s="53"/>
    </row>
    <row r="248" spans="1:20" hidden="1" x14ac:dyDescent="0.25">
      <c r="A248" s="276">
        <v>6270</v>
      </c>
      <c r="B248" s="127" t="s">
        <v>264</v>
      </c>
      <c r="C248" s="278">
        <f t="shared" si="26"/>
        <v>0</v>
      </c>
      <c r="D248" s="134"/>
      <c r="E248" s="285"/>
      <c r="F248" s="286">
        <f t="shared" si="37"/>
        <v>0</v>
      </c>
      <c r="G248" s="134"/>
      <c r="H248" s="135"/>
      <c r="I248" s="136">
        <f t="shared" si="38"/>
        <v>0</v>
      </c>
      <c r="J248" s="134"/>
      <c r="K248" s="135"/>
      <c r="L248" s="136">
        <f t="shared" si="39"/>
        <v>0</v>
      </c>
      <c r="M248" s="284"/>
      <c r="N248" s="285"/>
      <c r="O248" s="136">
        <f t="shared" si="40"/>
        <v>0</v>
      </c>
      <c r="P248" s="85"/>
      <c r="R248" s="53"/>
      <c r="S248" s="53"/>
      <c r="T248" s="53"/>
    </row>
    <row r="249" spans="1:20" hidden="1" x14ac:dyDescent="0.25">
      <c r="A249" s="656">
        <v>6290</v>
      </c>
      <c r="B249" s="116" t="s">
        <v>265</v>
      </c>
      <c r="C249" s="278">
        <f t="shared" si="26"/>
        <v>0</v>
      </c>
      <c r="D249" s="297">
        <f>SUM(D250:D253)</f>
        <v>0</v>
      </c>
      <c r="E249" s="301">
        <f>SUM(E250:E253)</f>
        <v>0</v>
      </c>
      <c r="F249" s="263">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c r="R249" s="53"/>
      <c r="S249" s="53"/>
      <c r="T249" s="53"/>
    </row>
    <row r="250" spans="1:20" hidden="1" x14ac:dyDescent="0.25">
      <c r="A250" s="76">
        <v>6291</v>
      </c>
      <c r="B250" s="127" t="s">
        <v>266</v>
      </c>
      <c r="C250" s="278">
        <f t="shared" si="26"/>
        <v>0</v>
      </c>
      <c r="D250" s="134"/>
      <c r="E250" s="285"/>
      <c r="F250" s="286">
        <f t="shared" si="37"/>
        <v>0</v>
      </c>
      <c r="G250" s="134"/>
      <c r="H250" s="135"/>
      <c r="I250" s="136">
        <f t="shared" si="38"/>
        <v>0</v>
      </c>
      <c r="J250" s="134"/>
      <c r="K250" s="135"/>
      <c r="L250" s="136">
        <f t="shared" si="39"/>
        <v>0</v>
      </c>
      <c r="M250" s="284"/>
      <c r="N250" s="285"/>
      <c r="O250" s="136">
        <f t="shared" si="40"/>
        <v>0</v>
      </c>
      <c r="P250" s="85"/>
      <c r="R250" s="53"/>
      <c r="S250" s="53"/>
      <c r="T250" s="53"/>
    </row>
    <row r="251" spans="1:20" hidden="1" x14ac:dyDescent="0.25">
      <c r="A251" s="76">
        <v>6292</v>
      </c>
      <c r="B251" s="127" t="s">
        <v>267</v>
      </c>
      <c r="C251" s="278">
        <f t="shared" si="26"/>
        <v>0</v>
      </c>
      <c r="D251" s="134"/>
      <c r="E251" s="285"/>
      <c r="F251" s="286">
        <f t="shared" si="37"/>
        <v>0</v>
      </c>
      <c r="G251" s="134"/>
      <c r="H251" s="135"/>
      <c r="I251" s="136">
        <f t="shared" si="38"/>
        <v>0</v>
      </c>
      <c r="J251" s="134"/>
      <c r="K251" s="135"/>
      <c r="L251" s="136">
        <f t="shared" si="39"/>
        <v>0</v>
      </c>
      <c r="M251" s="284"/>
      <c r="N251" s="285"/>
      <c r="O251" s="136">
        <f t="shared" si="40"/>
        <v>0</v>
      </c>
      <c r="P251" s="85"/>
      <c r="R251" s="53"/>
      <c r="S251" s="53"/>
      <c r="T251" s="53"/>
    </row>
    <row r="252" spans="1:20" ht="72" hidden="1" x14ac:dyDescent="0.25">
      <c r="A252" s="76">
        <v>6296</v>
      </c>
      <c r="B252" s="127" t="s">
        <v>268</v>
      </c>
      <c r="C252" s="278">
        <f t="shared" si="26"/>
        <v>0</v>
      </c>
      <c r="D252" s="134"/>
      <c r="E252" s="285"/>
      <c r="F252" s="286">
        <f t="shared" si="37"/>
        <v>0</v>
      </c>
      <c r="G252" s="134"/>
      <c r="H252" s="135"/>
      <c r="I252" s="136">
        <f t="shared" si="38"/>
        <v>0</v>
      </c>
      <c r="J252" s="134"/>
      <c r="K252" s="135"/>
      <c r="L252" s="136">
        <f t="shared" si="39"/>
        <v>0</v>
      </c>
      <c r="M252" s="284"/>
      <c r="N252" s="285"/>
      <c r="O252" s="136">
        <f t="shared" si="40"/>
        <v>0</v>
      </c>
      <c r="P252" s="85"/>
      <c r="R252" s="53"/>
      <c r="S252" s="53"/>
      <c r="T252" s="53"/>
    </row>
    <row r="253" spans="1:20" ht="36" hidden="1" x14ac:dyDescent="0.25">
      <c r="A253" s="76">
        <v>6299</v>
      </c>
      <c r="B253" s="127" t="s">
        <v>269</v>
      </c>
      <c r="C253" s="278">
        <f t="shared" si="26"/>
        <v>0</v>
      </c>
      <c r="D253" s="134"/>
      <c r="E253" s="285"/>
      <c r="F253" s="286">
        <f t="shared" si="37"/>
        <v>0</v>
      </c>
      <c r="G253" s="134"/>
      <c r="H253" s="135"/>
      <c r="I253" s="136">
        <f t="shared" si="38"/>
        <v>0</v>
      </c>
      <c r="J253" s="134"/>
      <c r="K253" s="135"/>
      <c r="L253" s="136">
        <f t="shared" si="39"/>
        <v>0</v>
      </c>
      <c r="M253" s="284"/>
      <c r="N253" s="285"/>
      <c r="O253" s="136">
        <f t="shared" si="40"/>
        <v>0</v>
      </c>
      <c r="P253" s="85"/>
      <c r="R253" s="53"/>
      <c r="S253" s="53"/>
      <c r="T253" s="53"/>
    </row>
    <row r="254" spans="1:20" hidden="1" x14ac:dyDescent="0.25">
      <c r="A254" s="99">
        <v>6300</v>
      </c>
      <c r="B254" s="247" t="s">
        <v>270</v>
      </c>
      <c r="C254" s="100">
        <f t="shared" si="26"/>
        <v>0</v>
      </c>
      <c r="D254" s="112">
        <f>SUM(D255,D259,D260)</f>
        <v>0</v>
      </c>
      <c r="E254" s="293">
        <f>SUM(E255,E259,E260)</f>
        <v>0</v>
      </c>
      <c r="F254" s="313">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c r="R254" s="53"/>
      <c r="S254" s="53"/>
      <c r="T254" s="53"/>
    </row>
    <row r="255" spans="1:20" ht="24" hidden="1" x14ac:dyDescent="0.25">
      <c r="A255" s="656">
        <v>6320</v>
      </c>
      <c r="B255" s="116" t="s">
        <v>271</v>
      </c>
      <c r="C255" s="322">
        <f t="shared" si="26"/>
        <v>0</v>
      </c>
      <c r="D255" s="297">
        <f>SUM(D256:D258)</f>
        <v>0</v>
      </c>
      <c r="E255" s="301">
        <f>SUM(E256:E258)</f>
        <v>0</v>
      </c>
      <c r="F255" s="263">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c r="R255" s="53"/>
      <c r="S255" s="53"/>
      <c r="T255" s="53"/>
    </row>
    <row r="256" spans="1:20" hidden="1" x14ac:dyDescent="0.25">
      <c r="A256" s="76">
        <v>6322</v>
      </c>
      <c r="B256" s="127" t="s">
        <v>272</v>
      </c>
      <c r="C256" s="281">
        <f t="shared" si="26"/>
        <v>0</v>
      </c>
      <c r="D256" s="134"/>
      <c r="E256" s="285"/>
      <c r="F256" s="286">
        <f t="shared" si="37"/>
        <v>0</v>
      </c>
      <c r="G256" s="134"/>
      <c r="H256" s="135"/>
      <c r="I256" s="136">
        <f t="shared" si="38"/>
        <v>0</v>
      </c>
      <c r="J256" s="134"/>
      <c r="K256" s="135"/>
      <c r="L256" s="136">
        <f t="shared" si="39"/>
        <v>0</v>
      </c>
      <c r="M256" s="284"/>
      <c r="N256" s="285"/>
      <c r="O256" s="136">
        <f t="shared" si="40"/>
        <v>0</v>
      </c>
      <c r="P256" s="85"/>
      <c r="R256" s="53"/>
      <c r="S256" s="53"/>
      <c r="T256" s="53"/>
    </row>
    <row r="257" spans="1:20" ht="24" hidden="1" x14ac:dyDescent="0.25">
      <c r="A257" s="76">
        <v>6323</v>
      </c>
      <c r="B257" s="127" t="s">
        <v>273</v>
      </c>
      <c r="C257" s="281">
        <f t="shared" si="26"/>
        <v>0</v>
      </c>
      <c r="D257" s="134"/>
      <c r="E257" s="285"/>
      <c r="F257" s="286">
        <f t="shared" si="37"/>
        <v>0</v>
      </c>
      <c r="G257" s="134"/>
      <c r="H257" s="135"/>
      <c r="I257" s="136">
        <f t="shared" si="38"/>
        <v>0</v>
      </c>
      <c r="J257" s="134"/>
      <c r="K257" s="135"/>
      <c r="L257" s="136">
        <f t="shared" si="39"/>
        <v>0</v>
      </c>
      <c r="M257" s="284"/>
      <c r="N257" s="285"/>
      <c r="O257" s="136">
        <f t="shared" si="40"/>
        <v>0</v>
      </c>
      <c r="P257" s="85"/>
      <c r="R257" s="53"/>
      <c r="S257" s="53"/>
      <c r="T257" s="53"/>
    </row>
    <row r="258" spans="1:20" ht="24" hidden="1" x14ac:dyDescent="0.25">
      <c r="A258" s="66">
        <v>6324</v>
      </c>
      <c r="B258" s="116" t="s">
        <v>274</v>
      </c>
      <c r="C258" s="281">
        <f t="shared" si="26"/>
        <v>0</v>
      </c>
      <c r="D258" s="123"/>
      <c r="E258" s="262"/>
      <c r="F258" s="263">
        <f t="shared" si="37"/>
        <v>0</v>
      </c>
      <c r="G258" s="123"/>
      <c r="H258" s="124"/>
      <c r="I258" s="125">
        <f t="shared" si="38"/>
        <v>0</v>
      </c>
      <c r="J258" s="123"/>
      <c r="K258" s="124"/>
      <c r="L258" s="125">
        <f t="shared" si="39"/>
        <v>0</v>
      </c>
      <c r="M258" s="264"/>
      <c r="N258" s="262"/>
      <c r="O258" s="125">
        <f t="shared" si="40"/>
        <v>0</v>
      </c>
      <c r="P258" s="74"/>
      <c r="R258" s="53"/>
      <c r="S258" s="53"/>
      <c r="T258" s="53"/>
    </row>
    <row r="259" spans="1:20" ht="24" hidden="1" x14ac:dyDescent="0.25">
      <c r="A259" s="344">
        <v>6330</v>
      </c>
      <c r="B259" s="345" t="s">
        <v>275</v>
      </c>
      <c r="C259" s="281">
        <f t="shared" ref="C259:C286" si="50">F259+I259+L259+O259</f>
        <v>0</v>
      </c>
      <c r="D259" s="328"/>
      <c r="E259" s="329"/>
      <c r="F259" s="330">
        <f t="shared" si="37"/>
        <v>0</v>
      </c>
      <c r="G259" s="328"/>
      <c r="H259" s="331"/>
      <c r="I259" s="324">
        <f t="shared" si="38"/>
        <v>0</v>
      </c>
      <c r="J259" s="328"/>
      <c r="K259" s="331"/>
      <c r="L259" s="324">
        <f t="shared" si="39"/>
        <v>0</v>
      </c>
      <c r="M259" s="332"/>
      <c r="N259" s="329"/>
      <c r="O259" s="324">
        <f t="shared" si="40"/>
        <v>0</v>
      </c>
      <c r="P259" s="325"/>
      <c r="R259" s="53"/>
      <c r="S259" s="53"/>
      <c r="T259" s="53"/>
    </row>
    <row r="260" spans="1:20" hidden="1" x14ac:dyDescent="0.25">
      <c r="A260" s="276">
        <v>6360</v>
      </c>
      <c r="B260" s="127" t="s">
        <v>276</v>
      </c>
      <c r="C260" s="281">
        <f t="shared" si="50"/>
        <v>0</v>
      </c>
      <c r="D260" s="134"/>
      <c r="E260" s="285"/>
      <c r="F260" s="286">
        <f t="shared" si="37"/>
        <v>0</v>
      </c>
      <c r="G260" s="134"/>
      <c r="H260" s="135"/>
      <c r="I260" s="136">
        <f t="shared" si="38"/>
        <v>0</v>
      </c>
      <c r="J260" s="134"/>
      <c r="K260" s="135"/>
      <c r="L260" s="136">
        <f t="shared" si="39"/>
        <v>0</v>
      </c>
      <c r="M260" s="284"/>
      <c r="N260" s="285"/>
      <c r="O260" s="136">
        <f t="shared" si="40"/>
        <v>0</v>
      </c>
      <c r="P260" s="85"/>
      <c r="R260" s="53"/>
      <c r="S260" s="53"/>
      <c r="T260" s="53"/>
    </row>
    <row r="261" spans="1:20" ht="24" hidden="1" x14ac:dyDescent="0.25">
      <c r="A261" s="99">
        <v>6400</v>
      </c>
      <c r="B261" s="247" t="s">
        <v>277</v>
      </c>
      <c r="C261" s="100">
        <f t="shared" si="50"/>
        <v>0</v>
      </c>
      <c r="D261" s="112">
        <f>SUM(D262,D266)</f>
        <v>0</v>
      </c>
      <c r="E261" s="293">
        <f>SUM(E262,E266)</f>
        <v>0</v>
      </c>
      <c r="F261" s="313">
        <f t="shared" si="37"/>
        <v>0</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c r="R261" s="53"/>
      <c r="S261" s="53"/>
      <c r="T261" s="53"/>
    </row>
    <row r="262" spans="1:20" ht="24" hidden="1" x14ac:dyDescent="0.25">
      <c r="A262" s="656">
        <v>6410</v>
      </c>
      <c r="B262" s="116" t="s">
        <v>278</v>
      </c>
      <c r="C262" s="300">
        <f t="shared" si="50"/>
        <v>0</v>
      </c>
      <c r="D262" s="297">
        <f>SUM(D263:D265)</f>
        <v>0</v>
      </c>
      <c r="E262" s="301">
        <f>SUM(E263:E265)</f>
        <v>0</v>
      </c>
      <c r="F262" s="263">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c r="R262" s="53"/>
      <c r="S262" s="53"/>
      <c r="T262" s="53"/>
    </row>
    <row r="263" spans="1:20" hidden="1" x14ac:dyDescent="0.25">
      <c r="A263" s="76">
        <v>6411</v>
      </c>
      <c r="B263" s="346" t="s">
        <v>279</v>
      </c>
      <c r="C263" s="278">
        <f t="shared" si="50"/>
        <v>0</v>
      </c>
      <c r="D263" s="134"/>
      <c r="E263" s="285"/>
      <c r="F263" s="286">
        <f t="shared" si="37"/>
        <v>0</v>
      </c>
      <c r="G263" s="134"/>
      <c r="H263" s="135"/>
      <c r="I263" s="136">
        <f t="shared" si="38"/>
        <v>0</v>
      </c>
      <c r="J263" s="134"/>
      <c r="K263" s="135"/>
      <c r="L263" s="136">
        <f t="shared" si="39"/>
        <v>0</v>
      </c>
      <c r="M263" s="284"/>
      <c r="N263" s="285"/>
      <c r="O263" s="136">
        <f t="shared" si="40"/>
        <v>0</v>
      </c>
      <c r="P263" s="85"/>
      <c r="R263" s="53"/>
      <c r="S263" s="53"/>
      <c r="T263" s="53"/>
    </row>
    <row r="264" spans="1:20" ht="36" hidden="1" x14ac:dyDescent="0.25">
      <c r="A264" s="76">
        <v>6412</v>
      </c>
      <c r="B264" s="127" t="s">
        <v>280</v>
      </c>
      <c r="C264" s="278">
        <f t="shared" si="50"/>
        <v>0</v>
      </c>
      <c r="D264" s="134"/>
      <c r="E264" s="285"/>
      <c r="F264" s="286">
        <f t="shared" si="37"/>
        <v>0</v>
      </c>
      <c r="G264" s="134"/>
      <c r="H264" s="135"/>
      <c r="I264" s="136">
        <f t="shared" si="38"/>
        <v>0</v>
      </c>
      <c r="J264" s="134"/>
      <c r="K264" s="135"/>
      <c r="L264" s="136">
        <f t="shared" si="39"/>
        <v>0</v>
      </c>
      <c r="M264" s="284"/>
      <c r="N264" s="285"/>
      <c r="O264" s="136">
        <f t="shared" si="40"/>
        <v>0</v>
      </c>
      <c r="P264" s="85"/>
      <c r="R264" s="53"/>
      <c r="S264" s="53"/>
      <c r="T264" s="53"/>
    </row>
    <row r="265" spans="1:20" ht="36" hidden="1" x14ac:dyDescent="0.25">
      <c r="A265" s="76">
        <v>6419</v>
      </c>
      <c r="B265" s="127" t="s">
        <v>281</v>
      </c>
      <c r="C265" s="278">
        <f t="shared" si="50"/>
        <v>0</v>
      </c>
      <c r="D265" s="134"/>
      <c r="E265" s="285"/>
      <c r="F265" s="286">
        <f t="shared" si="37"/>
        <v>0</v>
      </c>
      <c r="G265" s="134"/>
      <c r="H265" s="135"/>
      <c r="I265" s="136">
        <f t="shared" si="38"/>
        <v>0</v>
      </c>
      <c r="J265" s="134"/>
      <c r="K265" s="135"/>
      <c r="L265" s="136">
        <f t="shared" si="39"/>
        <v>0</v>
      </c>
      <c r="M265" s="284"/>
      <c r="N265" s="285"/>
      <c r="O265" s="136">
        <f t="shared" si="40"/>
        <v>0</v>
      </c>
      <c r="P265" s="85"/>
      <c r="R265" s="53"/>
      <c r="S265" s="53"/>
      <c r="T265" s="53"/>
    </row>
    <row r="266" spans="1:20" ht="36" hidden="1" x14ac:dyDescent="0.25">
      <c r="A266" s="276">
        <v>6420</v>
      </c>
      <c r="B266" s="127" t="s">
        <v>282</v>
      </c>
      <c r="C266" s="278">
        <f t="shared" si="50"/>
        <v>0</v>
      </c>
      <c r="D266" s="277">
        <f>SUM(D267:D270)</f>
        <v>0</v>
      </c>
      <c r="E266" s="282">
        <f>SUM(E267:E270)</f>
        <v>0</v>
      </c>
      <c r="F266" s="286">
        <f t="shared" si="37"/>
        <v>0</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c r="R266" s="53"/>
      <c r="S266" s="53"/>
      <c r="T266" s="53"/>
    </row>
    <row r="267" spans="1:20" hidden="1" x14ac:dyDescent="0.25">
      <c r="A267" s="76">
        <v>6421</v>
      </c>
      <c r="B267" s="127" t="s">
        <v>283</v>
      </c>
      <c r="C267" s="278">
        <f t="shared" si="50"/>
        <v>0</v>
      </c>
      <c r="D267" s="134"/>
      <c r="E267" s="285"/>
      <c r="F267" s="286">
        <f t="shared" si="37"/>
        <v>0</v>
      </c>
      <c r="G267" s="134"/>
      <c r="H267" s="135"/>
      <c r="I267" s="136">
        <f t="shared" si="38"/>
        <v>0</v>
      </c>
      <c r="J267" s="134"/>
      <c r="K267" s="135"/>
      <c r="L267" s="136">
        <f t="shared" si="39"/>
        <v>0</v>
      </c>
      <c r="M267" s="284"/>
      <c r="N267" s="285"/>
      <c r="O267" s="136">
        <f t="shared" si="40"/>
        <v>0</v>
      </c>
      <c r="P267" s="85"/>
      <c r="R267" s="53"/>
      <c r="S267" s="53"/>
      <c r="T267" s="53"/>
    </row>
    <row r="268" spans="1:20" hidden="1" x14ac:dyDescent="0.25">
      <c r="A268" s="76">
        <v>6422</v>
      </c>
      <c r="B268" s="127" t="s">
        <v>284</v>
      </c>
      <c r="C268" s="278">
        <f t="shared" si="50"/>
        <v>0</v>
      </c>
      <c r="D268" s="134"/>
      <c r="E268" s="285"/>
      <c r="F268" s="286">
        <f t="shared" si="37"/>
        <v>0</v>
      </c>
      <c r="G268" s="134"/>
      <c r="H268" s="135"/>
      <c r="I268" s="136">
        <f t="shared" si="38"/>
        <v>0</v>
      </c>
      <c r="J268" s="134"/>
      <c r="K268" s="135"/>
      <c r="L268" s="136">
        <f t="shared" si="39"/>
        <v>0</v>
      </c>
      <c r="M268" s="284"/>
      <c r="N268" s="285"/>
      <c r="O268" s="136">
        <f t="shared" si="40"/>
        <v>0</v>
      </c>
      <c r="P268" s="85"/>
      <c r="R268" s="53"/>
      <c r="S268" s="53"/>
      <c r="T268" s="53"/>
    </row>
    <row r="269" spans="1:20" hidden="1" x14ac:dyDescent="0.25">
      <c r="A269" s="76">
        <v>6423</v>
      </c>
      <c r="B269" s="127" t="s">
        <v>285</v>
      </c>
      <c r="C269" s="278">
        <f t="shared" si="50"/>
        <v>0</v>
      </c>
      <c r="D269" s="134"/>
      <c r="E269" s="285"/>
      <c r="F269" s="286">
        <f t="shared" si="37"/>
        <v>0</v>
      </c>
      <c r="G269" s="134"/>
      <c r="H269" s="135"/>
      <c r="I269" s="136">
        <f t="shared" si="38"/>
        <v>0</v>
      </c>
      <c r="J269" s="134"/>
      <c r="K269" s="135"/>
      <c r="L269" s="136">
        <f t="shared" si="39"/>
        <v>0</v>
      </c>
      <c r="M269" s="284"/>
      <c r="N269" s="285"/>
      <c r="O269" s="136">
        <f t="shared" si="40"/>
        <v>0</v>
      </c>
      <c r="P269" s="85"/>
      <c r="R269" s="53"/>
      <c r="S269" s="53"/>
      <c r="T269" s="53"/>
    </row>
    <row r="270" spans="1:20" ht="36" hidden="1" x14ac:dyDescent="0.25">
      <c r="A270" s="76">
        <v>6424</v>
      </c>
      <c r="B270" s="127" t="s">
        <v>286</v>
      </c>
      <c r="C270" s="278">
        <f t="shared" si="50"/>
        <v>0</v>
      </c>
      <c r="D270" s="134"/>
      <c r="E270" s="285"/>
      <c r="F270" s="286">
        <f t="shared" si="37"/>
        <v>0</v>
      </c>
      <c r="G270" s="134"/>
      <c r="H270" s="135"/>
      <c r="I270" s="136">
        <f t="shared" si="38"/>
        <v>0</v>
      </c>
      <c r="J270" s="134"/>
      <c r="K270" s="135"/>
      <c r="L270" s="136">
        <f t="shared" si="39"/>
        <v>0</v>
      </c>
      <c r="M270" s="284"/>
      <c r="N270" s="285"/>
      <c r="O270" s="136">
        <f t="shared" si="40"/>
        <v>0</v>
      </c>
      <c r="P270" s="85"/>
      <c r="R270" s="53"/>
      <c r="S270" s="53"/>
      <c r="T270" s="53"/>
    </row>
    <row r="271" spans="1:20" ht="36" x14ac:dyDescent="0.25">
      <c r="A271" s="347">
        <v>7000</v>
      </c>
      <c r="B271" s="347" t="s">
        <v>287</v>
      </c>
      <c r="C271" s="348">
        <f t="shared" si="50"/>
        <v>37</v>
      </c>
      <c r="D271" s="349">
        <f>SUM(D272,D282)</f>
        <v>0</v>
      </c>
      <c r="E271" s="350">
        <f>SUM(E272,E282)</f>
        <v>0</v>
      </c>
      <c r="F271" s="351">
        <f t="shared" si="37"/>
        <v>0</v>
      </c>
      <c r="G271" s="349">
        <f>SUM(G272,G282)</f>
        <v>0</v>
      </c>
      <c r="H271" s="352">
        <f>SUM(H272,H282)</f>
        <v>0</v>
      </c>
      <c r="I271" s="353">
        <f t="shared" si="38"/>
        <v>0</v>
      </c>
      <c r="J271" s="349">
        <f>SUM(J272,J282)</f>
        <v>37</v>
      </c>
      <c r="K271" s="352">
        <f>SUM(K272,K282)</f>
        <v>0</v>
      </c>
      <c r="L271" s="353">
        <f t="shared" si="39"/>
        <v>37</v>
      </c>
      <c r="M271" s="354">
        <f>SUM(M272,M282)</f>
        <v>0</v>
      </c>
      <c r="N271" s="355">
        <f>SUM(N272,N282)</f>
        <v>0</v>
      </c>
      <c r="O271" s="356">
        <f t="shared" si="40"/>
        <v>0</v>
      </c>
      <c r="P271" s="357"/>
      <c r="R271" s="53"/>
      <c r="S271" s="53"/>
      <c r="T271" s="53"/>
    </row>
    <row r="272" spans="1:20" ht="24" x14ac:dyDescent="0.25">
      <c r="A272" s="99">
        <v>7200</v>
      </c>
      <c r="B272" s="247" t="s">
        <v>288</v>
      </c>
      <c r="C272" s="100">
        <f t="shared" si="50"/>
        <v>37</v>
      </c>
      <c r="D272" s="112">
        <f>SUM(D273,D274,D277,D278,D281)</f>
        <v>0</v>
      </c>
      <c r="E272" s="248">
        <f>SUM(E273,E274,E277,E278,E281)</f>
        <v>0</v>
      </c>
      <c r="F272" s="249">
        <f t="shared" si="37"/>
        <v>0</v>
      </c>
      <c r="G272" s="112">
        <f>SUM(G273,G274,G277,G278,G281)</f>
        <v>0</v>
      </c>
      <c r="H272" s="113">
        <f>SUM(H273,H274,H277,H278,H281)</f>
        <v>0</v>
      </c>
      <c r="I272" s="114">
        <f t="shared" si="38"/>
        <v>0</v>
      </c>
      <c r="J272" s="112">
        <f>SUM(J273,J274,J277,J278,J281)</f>
        <v>37</v>
      </c>
      <c r="K272" s="113">
        <f>SUM(K273,K274,K277,K278,K281)</f>
        <v>0</v>
      </c>
      <c r="L272" s="114">
        <f t="shared" si="39"/>
        <v>37</v>
      </c>
      <c r="M272" s="250">
        <f>SUM(M273,M274,M277,M278,M281)</f>
        <v>0</v>
      </c>
      <c r="N272" s="251">
        <f>SUM(N273,N274,N277,N278,N281)</f>
        <v>0</v>
      </c>
      <c r="O272" s="252">
        <f t="shared" si="40"/>
        <v>0</v>
      </c>
      <c r="P272" s="253"/>
      <c r="R272" s="53"/>
      <c r="S272" s="53"/>
      <c r="T272" s="53"/>
    </row>
    <row r="273" spans="1:20" ht="24" hidden="1" x14ac:dyDescent="0.25">
      <c r="A273" s="656">
        <v>7210</v>
      </c>
      <c r="B273" s="116" t="s">
        <v>289</v>
      </c>
      <c r="C273" s="117">
        <f t="shared" si="50"/>
        <v>0</v>
      </c>
      <c r="D273" s="123"/>
      <c r="E273" s="262"/>
      <c r="F273" s="263">
        <f t="shared" si="37"/>
        <v>0</v>
      </c>
      <c r="G273" s="123"/>
      <c r="H273" s="124"/>
      <c r="I273" s="125">
        <f t="shared" si="38"/>
        <v>0</v>
      </c>
      <c r="J273" s="123"/>
      <c r="K273" s="124"/>
      <c r="L273" s="125">
        <f t="shared" si="39"/>
        <v>0</v>
      </c>
      <c r="M273" s="264"/>
      <c r="N273" s="262"/>
      <c r="O273" s="125">
        <f t="shared" si="40"/>
        <v>0</v>
      </c>
      <c r="P273" s="74"/>
      <c r="R273" s="53"/>
      <c r="S273" s="53"/>
      <c r="T273" s="53"/>
    </row>
    <row r="274" spans="1:20" s="358" customFormat="1" ht="36" hidden="1" x14ac:dyDescent="0.25">
      <c r="A274" s="276">
        <v>7220</v>
      </c>
      <c r="B274" s="127" t="s">
        <v>290</v>
      </c>
      <c r="C274" s="128">
        <f t="shared" si="50"/>
        <v>0</v>
      </c>
      <c r="D274" s="277">
        <f>SUM(D275:D276)</f>
        <v>0</v>
      </c>
      <c r="E274" s="282">
        <f>SUM(E275:E276)</f>
        <v>0</v>
      </c>
      <c r="F274" s="28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c r="R274" s="53"/>
      <c r="S274" s="53"/>
      <c r="T274" s="53"/>
    </row>
    <row r="275" spans="1:20" s="358" customFormat="1" ht="36" hidden="1" x14ac:dyDescent="0.25">
      <c r="A275" s="76">
        <v>7221</v>
      </c>
      <c r="B275" s="127" t="s">
        <v>291</v>
      </c>
      <c r="C275" s="128">
        <f t="shared" si="50"/>
        <v>0</v>
      </c>
      <c r="D275" s="134"/>
      <c r="E275" s="285"/>
      <c r="F275" s="286">
        <f t="shared" si="37"/>
        <v>0</v>
      </c>
      <c r="G275" s="134"/>
      <c r="H275" s="135"/>
      <c r="I275" s="136">
        <f t="shared" si="38"/>
        <v>0</v>
      </c>
      <c r="J275" s="134"/>
      <c r="K275" s="135"/>
      <c r="L275" s="136">
        <f t="shared" si="39"/>
        <v>0</v>
      </c>
      <c r="M275" s="284"/>
      <c r="N275" s="285"/>
      <c r="O275" s="136">
        <f t="shared" si="40"/>
        <v>0</v>
      </c>
      <c r="P275" s="85"/>
      <c r="R275" s="53"/>
      <c r="S275" s="53"/>
      <c r="T275" s="53"/>
    </row>
    <row r="276" spans="1:20" s="358" customFormat="1" ht="36" hidden="1" x14ac:dyDescent="0.25">
      <c r="A276" s="76">
        <v>7222</v>
      </c>
      <c r="B276" s="127" t="s">
        <v>292</v>
      </c>
      <c r="C276" s="128">
        <f t="shared" si="50"/>
        <v>0</v>
      </c>
      <c r="D276" s="134"/>
      <c r="E276" s="285"/>
      <c r="F276" s="286">
        <f t="shared" si="37"/>
        <v>0</v>
      </c>
      <c r="G276" s="134"/>
      <c r="H276" s="135"/>
      <c r="I276" s="136">
        <f t="shared" si="38"/>
        <v>0</v>
      </c>
      <c r="J276" s="134"/>
      <c r="K276" s="135"/>
      <c r="L276" s="136">
        <f t="shared" si="39"/>
        <v>0</v>
      </c>
      <c r="M276" s="284"/>
      <c r="N276" s="285"/>
      <c r="O276" s="136">
        <f t="shared" si="40"/>
        <v>0</v>
      </c>
      <c r="P276" s="85"/>
      <c r="R276" s="53"/>
      <c r="S276" s="53"/>
      <c r="T276" s="53"/>
    </row>
    <row r="277" spans="1:20" s="358" customFormat="1" ht="24" x14ac:dyDescent="0.25">
      <c r="A277" s="276">
        <v>7230</v>
      </c>
      <c r="B277" s="127" t="s">
        <v>293</v>
      </c>
      <c r="C277" s="128">
        <f t="shared" si="50"/>
        <v>37</v>
      </c>
      <c r="D277" s="134"/>
      <c r="E277" s="283"/>
      <c r="F277" s="279">
        <f t="shared" si="37"/>
        <v>0</v>
      </c>
      <c r="G277" s="134"/>
      <c r="H277" s="135"/>
      <c r="I277" s="136">
        <f t="shared" si="38"/>
        <v>0</v>
      </c>
      <c r="J277" s="134">
        <v>37</v>
      </c>
      <c r="K277" s="135"/>
      <c r="L277" s="136">
        <f t="shared" si="39"/>
        <v>37</v>
      </c>
      <c r="M277" s="284"/>
      <c r="N277" s="285"/>
      <c r="O277" s="136">
        <f>M277+N277</f>
        <v>0</v>
      </c>
      <c r="P277" s="85"/>
      <c r="R277" s="53"/>
      <c r="S277" s="53"/>
      <c r="T277" s="53"/>
    </row>
    <row r="278" spans="1:20" ht="24" hidden="1" x14ac:dyDescent="0.25">
      <c r="A278" s="276">
        <v>7240</v>
      </c>
      <c r="B278" s="127" t="s">
        <v>294</v>
      </c>
      <c r="C278" s="128">
        <f t="shared" si="50"/>
        <v>0</v>
      </c>
      <c r="D278" s="277">
        <f>SUM(D279:D280)</f>
        <v>0</v>
      </c>
      <c r="E278" s="282">
        <f>SUM(E279:E280)</f>
        <v>0</v>
      </c>
      <c r="F278" s="28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c r="R278" s="53"/>
      <c r="S278" s="53"/>
      <c r="T278" s="53"/>
    </row>
    <row r="279" spans="1:20" ht="48" hidden="1" x14ac:dyDescent="0.25">
      <c r="A279" s="76">
        <v>7245</v>
      </c>
      <c r="B279" s="127" t="s">
        <v>295</v>
      </c>
      <c r="C279" s="128">
        <f t="shared" si="50"/>
        <v>0</v>
      </c>
      <c r="D279" s="134"/>
      <c r="E279" s="285"/>
      <c r="F279" s="286">
        <f t="shared" si="37"/>
        <v>0</v>
      </c>
      <c r="G279" s="134"/>
      <c r="H279" s="135"/>
      <c r="I279" s="136">
        <f t="shared" si="38"/>
        <v>0</v>
      </c>
      <c r="J279" s="134"/>
      <c r="K279" s="135"/>
      <c r="L279" s="136">
        <f t="shared" si="39"/>
        <v>0</v>
      </c>
      <c r="M279" s="284"/>
      <c r="N279" s="285"/>
      <c r="O279" s="136">
        <f t="shared" ref="O279:O282" si="57">M279+N279</f>
        <v>0</v>
      </c>
      <c r="P279" s="85"/>
      <c r="R279" s="53"/>
      <c r="S279" s="53"/>
      <c r="T279" s="53"/>
    </row>
    <row r="280" spans="1:20" ht="84" hidden="1" x14ac:dyDescent="0.25">
      <c r="A280" s="76">
        <v>7246</v>
      </c>
      <c r="B280" s="127" t="s">
        <v>296</v>
      </c>
      <c r="C280" s="128">
        <f t="shared" si="50"/>
        <v>0</v>
      </c>
      <c r="D280" s="134"/>
      <c r="E280" s="285"/>
      <c r="F280" s="286">
        <f t="shared" si="37"/>
        <v>0</v>
      </c>
      <c r="G280" s="134"/>
      <c r="H280" s="135"/>
      <c r="I280" s="136">
        <f t="shared" si="38"/>
        <v>0</v>
      </c>
      <c r="J280" s="134"/>
      <c r="K280" s="135"/>
      <c r="L280" s="136">
        <f t="shared" si="39"/>
        <v>0</v>
      </c>
      <c r="M280" s="284"/>
      <c r="N280" s="285"/>
      <c r="O280" s="136">
        <f t="shared" si="57"/>
        <v>0</v>
      </c>
      <c r="P280" s="85"/>
      <c r="R280" s="53"/>
      <c r="S280" s="53"/>
      <c r="T280" s="53"/>
    </row>
    <row r="281" spans="1:20" ht="24" hidden="1" x14ac:dyDescent="0.25">
      <c r="A281" s="276">
        <v>7260</v>
      </c>
      <c r="B281" s="127" t="s">
        <v>297</v>
      </c>
      <c r="C281" s="128">
        <f t="shared" si="50"/>
        <v>0</v>
      </c>
      <c r="D281" s="123"/>
      <c r="E281" s="262"/>
      <c r="F281" s="263">
        <f t="shared" si="37"/>
        <v>0</v>
      </c>
      <c r="G281" s="123"/>
      <c r="H281" s="124"/>
      <c r="I281" s="125">
        <f t="shared" si="38"/>
        <v>0</v>
      </c>
      <c r="J281" s="123"/>
      <c r="K281" s="124"/>
      <c r="L281" s="125">
        <f t="shared" si="39"/>
        <v>0</v>
      </c>
      <c r="M281" s="264"/>
      <c r="N281" s="262"/>
      <c r="O281" s="125">
        <f t="shared" si="57"/>
        <v>0</v>
      </c>
      <c r="P281" s="74"/>
      <c r="R281" s="53"/>
      <c r="S281" s="53"/>
      <c r="T281" s="53"/>
    </row>
    <row r="282" spans="1:20" hidden="1" x14ac:dyDescent="0.25">
      <c r="A282" s="99">
        <v>7700</v>
      </c>
      <c r="B282" s="247" t="s">
        <v>298</v>
      </c>
      <c r="C282" s="359">
        <f t="shared" si="50"/>
        <v>0</v>
      </c>
      <c r="D282" s="360">
        <f>D283</f>
        <v>0</v>
      </c>
      <c r="E282" s="304">
        <f>SUM(E283)</f>
        <v>0</v>
      </c>
      <c r="F282" s="316">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c r="R282" s="53"/>
      <c r="S282" s="53"/>
      <c r="T282" s="53"/>
    </row>
    <row r="283" spans="1:20" hidden="1" x14ac:dyDescent="0.25">
      <c r="A283" s="141">
        <v>7720</v>
      </c>
      <c r="B283" s="142" t="s">
        <v>299</v>
      </c>
      <c r="C283" s="362">
        <f t="shared" si="50"/>
        <v>0</v>
      </c>
      <c r="D283" s="149"/>
      <c r="E283" s="363"/>
      <c r="F283" s="364">
        <f t="shared" si="37"/>
        <v>0</v>
      </c>
      <c r="G283" s="149"/>
      <c r="H283" s="150"/>
      <c r="I283" s="151">
        <f t="shared" si="38"/>
        <v>0</v>
      </c>
      <c r="J283" s="149"/>
      <c r="K283" s="150"/>
      <c r="L283" s="151">
        <f t="shared" si="39"/>
        <v>0</v>
      </c>
      <c r="M283" s="365"/>
      <c r="N283" s="363"/>
      <c r="O283" s="151">
        <f>M283+N283</f>
        <v>0</v>
      </c>
      <c r="P283" s="153"/>
      <c r="R283" s="53"/>
      <c r="S283" s="53"/>
      <c r="T283" s="53"/>
    </row>
    <row r="284" spans="1:20" x14ac:dyDescent="0.25">
      <c r="A284" s="366"/>
      <c r="B284" s="179" t="s">
        <v>300</v>
      </c>
      <c r="C284" s="117">
        <f t="shared" si="50"/>
        <v>443</v>
      </c>
      <c r="D284" s="255">
        <f>SUM(D285:D286)</f>
        <v>0</v>
      </c>
      <c r="E284" s="256">
        <f>SUM(E285:E286)</f>
        <v>0</v>
      </c>
      <c r="F284" s="257">
        <f t="shared" si="37"/>
        <v>0</v>
      </c>
      <c r="G284" s="255">
        <f>SUM(G285:G286)</f>
        <v>0</v>
      </c>
      <c r="H284" s="258">
        <f>SUM(H285:H286)</f>
        <v>0</v>
      </c>
      <c r="I284" s="259">
        <f t="shared" si="38"/>
        <v>0</v>
      </c>
      <c r="J284" s="255">
        <f>SUM(J285:J286)</f>
        <v>443</v>
      </c>
      <c r="K284" s="258">
        <f>SUM(K285:K286)</f>
        <v>0</v>
      </c>
      <c r="L284" s="259">
        <f t="shared" si="39"/>
        <v>443</v>
      </c>
      <c r="M284" s="260">
        <f>SUM(M285:M286)</f>
        <v>0</v>
      </c>
      <c r="N284" s="261">
        <f>SUM(N285:N286)</f>
        <v>0</v>
      </c>
      <c r="O284" s="259">
        <f t="shared" ref="O284:O299" si="58">M284+N284</f>
        <v>0</v>
      </c>
      <c r="P284" s="189"/>
      <c r="R284" s="53"/>
      <c r="S284" s="53"/>
      <c r="T284" s="53"/>
    </row>
    <row r="285" spans="1:20" hidden="1" x14ac:dyDescent="0.25">
      <c r="A285" s="346" t="s">
        <v>301</v>
      </c>
      <c r="B285" s="76" t="s">
        <v>302</v>
      </c>
      <c r="C285" s="279">
        <f t="shared" si="50"/>
        <v>0</v>
      </c>
      <c r="D285" s="134"/>
      <c r="E285" s="285"/>
      <c r="F285" s="286">
        <f t="shared" si="37"/>
        <v>0</v>
      </c>
      <c r="G285" s="134"/>
      <c r="H285" s="135"/>
      <c r="I285" s="136">
        <f t="shared" si="38"/>
        <v>0</v>
      </c>
      <c r="J285" s="134"/>
      <c r="K285" s="135"/>
      <c r="L285" s="136">
        <f t="shared" si="39"/>
        <v>0</v>
      </c>
      <c r="M285" s="284"/>
      <c r="N285" s="285"/>
      <c r="O285" s="136">
        <f t="shared" si="58"/>
        <v>0</v>
      </c>
      <c r="P285" s="85"/>
      <c r="R285" s="53"/>
      <c r="S285" s="53"/>
      <c r="T285" s="53"/>
    </row>
    <row r="286" spans="1:20" ht="24" x14ac:dyDescent="0.25">
      <c r="A286" s="346" t="s">
        <v>303</v>
      </c>
      <c r="B286" s="367" t="s">
        <v>304</v>
      </c>
      <c r="C286" s="117">
        <f t="shared" si="50"/>
        <v>443</v>
      </c>
      <c r="D286" s="123"/>
      <c r="E286" s="295"/>
      <c r="F286" s="296">
        <f t="shared" si="37"/>
        <v>0</v>
      </c>
      <c r="G286" s="123"/>
      <c r="H286" s="124"/>
      <c r="I286" s="125">
        <f t="shared" si="38"/>
        <v>0</v>
      </c>
      <c r="J286" s="123">
        <v>443</v>
      </c>
      <c r="K286" s="124"/>
      <c r="L286" s="125">
        <f t="shared" si="39"/>
        <v>443</v>
      </c>
      <c r="M286" s="264"/>
      <c r="N286" s="262"/>
      <c r="O286" s="125">
        <f t="shared" si="58"/>
        <v>0</v>
      </c>
      <c r="P286" s="74"/>
      <c r="R286" s="53"/>
      <c r="S286" s="53"/>
      <c r="T286" s="53"/>
    </row>
    <row r="287" spans="1:20" x14ac:dyDescent="0.25">
      <c r="A287" s="368"/>
      <c r="B287" s="369" t="s">
        <v>305</v>
      </c>
      <c r="C287" s="370">
        <f>SUM(C284,C271,C233,C198,C190,C176,C78,C56)</f>
        <v>575837</v>
      </c>
      <c r="D287" s="371">
        <f>SUM(D284,D271,D233,D198,D190,D176,D78,D56)</f>
        <v>512044</v>
      </c>
      <c r="E287" s="372">
        <f>SUM(E284,E271,E233,E198,E190,E176,E78,E56)</f>
        <v>0</v>
      </c>
      <c r="F287" s="373">
        <f t="shared" si="37"/>
        <v>512044</v>
      </c>
      <c r="G287" s="371">
        <f>SUM(G284,G271,G233,G198,G190,G176,G78,G56)</f>
        <v>57986</v>
      </c>
      <c r="H287" s="374">
        <f>SUM(H284,H271,H233,H198,H190,H176,H78,H56)</f>
        <v>0</v>
      </c>
      <c r="I287" s="375">
        <f t="shared" si="38"/>
        <v>57986</v>
      </c>
      <c r="J287" s="371">
        <f>SUM(J284,J271,J233,J198,J190,J176,J78,J56)</f>
        <v>5807</v>
      </c>
      <c r="K287" s="374">
        <f>SUM(K284,K271,K233,K198,K190,K176,K78,K56)</f>
        <v>0</v>
      </c>
      <c r="L287" s="375">
        <f t="shared" si="39"/>
        <v>5807</v>
      </c>
      <c r="M287" s="250">
        <f>SUM(M284,M271,M233,M198,M190,M176,M78,M56)</f>
        <v>0</v>
      </c>
      <c r="N287" s="251">
        <f>SUM(N284,N271,N233,N198,N190,N176,N78,N56)</f>
        <v>0</v>
      </c>
      <c r="O287" s="252">
        <f t="shared" si="58"/>
        <v>0</v>
      </c>
      <c r="P287" s="253"/>
      <c r="R287" s="53"/>
      <c r="S287" s="53"/>
      <c r="T287" s="53"/>
    </row>
    <row r="288" spans="1:20" x14ac:dyDescent="0.25">
      <c r="A288" s="376" t="s">
        <v>306</v>
      </c>
      <c r="B288" s="377"/>
      <c r="C288" s="378">
        <f t="shared" ref="C288" si="59">F288+I288+L288+O288</f>
        <v>-738</v>
      </c>
      <c r="D288" s="379">
        <f>SUM(D28,D29,D45)-D54</f>
        <v>0</v>
      </c>
      <c r="E288" s="380">
        <f>SUM(E28,E29,E45)-E54</f>
        <v>0</v>
      </c>
      <c r="F288" s="381">
        <f t="shared" si="37"/>
        <v>0</v>
      </c>
      <c r="G288" s="379">
        <f>SUM(G28,G29,G45)-G54</f>
        <v>0</v>
      </c>
      <c r="H288" s="382">
        <f>SUM(H28,H29,H45)-H54</f>
        <v>0</v>
      </c>
      <c r="I288" s="383">
        <f t="shared" si="38"/>
        <v>0</v>
      </c>
      <c r="J288" s="379">
        <f>(J30+J46)-J54</f>
        <v>-738</v>
      </c>
      <c r="K288" s="382">
        <f>(K30+K46)-K54</f>
        <v>0</v>
      </c>
      <c r="L288" s="383">
        <f t="shared" si="39"/>
        <v>-738</v>
      </c>
      <c r="M288" s="378">
        <f>M48-M54</f>
        <v>0</v>
      </c>
      <c r="N288" s="384">
        <f>N48-N54</f>
        <v>0</v>
      </c>
      <c r="O288" s="383">
        <f t="shared" si="58"/>
        <v>0</v>
      </c>
      <c r="P288" s="385"/>
      <c r="R288" s="53"/>
      <c r="S288" s="53"/>
      <c r="T288" s="53"/>
    </row>
    <row r="289" spans="1:20" s="41" customFormat="1" x14ac:dyDescent="0.25">
      <c r="A289" s="376" t="s">
        <v>307</v>
      </c>
      <c r="B289" s="377"/>
      <c r="C289" s="380">
        <f>SUM(C290,C291)-C298+C299</f>
        <v>738</v>
      </c>
      <c r="D289" s="379">
        <f>SUM(D290,D291)-D298+D299</f>
        <v>0</v>
      </c>
      <c r="E289" s="380">
        <f>SUM(E290,E291)-E298+E299</f>
        <v>0</v>
      </c>
      <c r="F289" s="381">
        <f t="shared" si="37"/>
        <v>0</v>
      </c>
      <c r="G289" s="379">
        <f>SUM(G290,G291)-G298+G299</f>
        <v>0</v>
      </c>
      <c r="H289" s="382">
        <f>SUM(H290,H291)-H298+H299</f>
        <v>0</v>
      </c>
      <c r="I289" s="383">
        <f t="shared" si="38"/>
        <v>0</v>
      </c>
      <c r="J289" s="379">
        <f>SUM(J290,J291)-J298+J299</f>
        <v>738</v>
      </c>
      <c r="K289" s="382">
        <f>SUM(K290,K291)-K298+K299</f>
        <v>0</v>
      </c>
      <c r="L289" s="383">
        <f t="shared" si="39"/>
        <v>738</v>
      </c>
      <c r="M289" s="378">
        <f>SUM(M290,M291)-M298+M299</f>
        <v>0</v>
      </c>
      <c r="N289" s="384">
        <f>SUM(N290,N291)-N298+N299</f>
        <v>0</v>
      </c>
      <c r="O289" s="383">
        <f t="shared" si="58"/>
        <v>0</v>
      </c>
      <c r="P289" s="385"/>
      <c r="R289" s="53"/>
      <c r="S289" s="53"/>
      <c r="T289" s="53"/>
    </row>
    <row r="290" spans="1:20" s="41" customFormat="1" x14ac:dyDescent="0.25">
      <c r="A290" s="386" t="s">
        <v>308</v>
      </c>
      <c r="B290" s="386" t="s">
        <v>309</v>
      </c>
      <c r="C290" s="380">
        <f>C25-C284</f>
        <v>738</v>
      </c>
      <c r="D290" s="379">
        <f>D25-D284</f>
        <v>0</v>
      </c>
      <c r="E290" s="380">
        <f>E25-E284</f>
        <v>0</v>
      </c>
      <c r="F290" s="381">
        <f t="shared" si="37"/>
        <v>0</v>
      </c>
      <c r="G290" s="379">
        <f>G25-G284</f>
        <v>0</v>
      </c>
      <c r="H290" s="382">
        <f>H25-H284</f>
        <v>0</v>
      </c>
      <c r="I290" s="383">
        <f t="shared" si="38"/>
        <v>0</v>
      </c>
      <c r="J290" s="379">
        <f>J25-J284</f>
        <v>738</v>
      </c>
      <c r="K290" s="382">
        <f>K25-K284</f>
        <v>0</v>
      </c>
      <c r="L290" s="383">
        <f t="shared" si="39"/>
        <v>738</v>
      </c>
      <c r="M290" s="378">
        <f>M25-M284</f>
        <v>0</v>
      </c>
      <c r="N290" s="384">
        <f>N25-N284</f>
        <v>0</v>
      </c>
      <c r="O290" s="383">
        <f t="shared" si="58"/>
        <v>0</v>
      </c>
      <c r="P290" s="385"/>
      <c r="R290" s="53"/>
      <c r="S290" s="53"/>
      <c r="T290" s="53"/>
    </row>
    <row r="291" spans="1:20" s="41" customFormat="1" hidden="1" x14ac:dyDescent="0.25">
      <c r="A291" s="387" t="s">
        <v>310</v>
      </c>
      <c r="B291" s="387" t="s">
        <v>311</v>
      </c>
      <c r="C291" s="380">
        <f>SUM(C292,C294,C296)-SUM(C293,C295,C297)</f>
        <v>0</v>
      </c>
      <c r="D291" s="379">
        <f t="shared" ref="D291:E291" si="60">SUM(D292,D294,D296)-SUM(D293,D295,D297)</f>
        <v>0</v>
      </c>
      <c r="E291" s="384">
        <f t="shared" si="60"/>
        <v>0</v>
      </c>
      <c r="F291" s="388">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c r="R291" s="53"/>
      <c r="S291" s="53"/>
      <c r="T291" s="53"/>
    </row>
    <row r="292" spans="1:20" s="41" customFormat="1" hidden="1" x14ac:dyDescent="0.25">
      <c r="A292" s="366" t="s">
        <v>312</v>
      </c>
      <c r="B292" s="190" t="s">
        <v>313</v>
      </c>
      <c r="C292" s="143">
        <f t="shared" ref="C292:C299" si="64">F292+I292+L292+O292</f>
        <v>0</v>
      </c>
      <c r="D292" s="149"/>
      <c r="E292" s="363"/>
      <c r="F292" s="364">
        <f t="shared" si="37"/>
        <v>0</v>
      </c>
      <c r="G292" s="149"/>
      <c r="H292" s="150"/>
      <c r="I292" s="151">
        <f t="shared" si="38"/>
        <v>0</v>
      </c>
      <c r="J292" s="149"/>
      <c r="K292" s="150"/>
      <c r="L292" s="151">
        <f t="shared" si="39"/>
        <v>0</v>
      </c>
      <c r="M292" s="365"/>
      <c r="N292" s="363"/>
      <c r="O292" s="151">
        <f t="shared" si="58"/>
        <v>0</v>
      </c>
      <c r="P292" s="153"/>
      <c r="R292" s="53"/>
      <c r="S292" s="53"/>
      <c r="T292" s="53"/>
    </row>
    <row r="293" spans="1:20" hidden="1" x14ac:dyDescent="0.25">
      <c r="A293" s="346" t="s">
        <v>314</v>
      </c>
      <c r="B293" s="75" t="s">
        <v>315</v>
      </c>
      <c r="C293" s="128">
        <f t="shared" si="64"/>
        <v>0</v>
      </c>
      <c r="D293" s="134"/>
      <c r="E293" s="285"/>
      <c r="F293" s="286">
        <f t="shared" si="37"/>
        <v>0</v>
      </c>
      <c r="G293" s="134"/>
      <c r="H293" s="135"/>
      <c r="I293" s="136">
        <f t="shared" si="38"/>
        <v>0</v>
      </c>
      <c r="J293" s="134"/>
      <c r="K293" s="135"/>
      <c r="L293" s="136">
        <f t="shared" si="39"/>
        <v>0</v>
      </c>
      <c r="M293" s="284"/>
      <c r="N293" s="285"/>
      <c r="O293" s="136">
        <f t="shared" si="58"/>
        <v>0</v>
      </c>
      <c r="P293" s="85"/>
      <c r="R293" s="53"/>
      <c r="S293" s="53"/>
      <c r="T293" s="53"/>
    </row>
    <row r="294" spans="1:20" hidden="1" x14ac:dyDescent="0.25">
      <c r="A294" s="346" t="s">
        <v>316</v>
      </c>
      <c r="B294" s="75" t="s">
        <v>317</v>
      </c>
      <c r="C294" s="128">
        <f t="shared" si="64"/>
        <v>0</v>
      </c>
      <c r="D294" s="134"/>
      <c r="E294" s="285"/>
      <c r="F294" s="286">
        <f t="shared" si="37"/>
        <v>0</v>
      </c>
      <c r="G294" s="134"/>
      <c r="H294" s="135"/>
      <c r="I294" s="136">
        <f t="shared" si="38"/>
        <v>0</v>
      </c>
      <c r="J294" s="134"/>
      <c r="K294" s="135"/>
      <c r="L294" s="136">
        <f t="shared" si="39"/>
        <v>0</v>
      </c>
      <c r="M294" s="284"/>
      <c r="N294" s="285"/>
      <c r="O294" s="136">
        <f t="shared" si="58"/>
        <v>0</v>
      </c>
      <c r="P294" s="85"/>
      <c r="R294" s="53"/>
      <c r="S294" s="53"/>
      <c r="T294" s="53"/>
    </row>
    <row r="295" spans="1:20" ht="24" hidden="1" x14ac:dyDescent="0.25">
      <c r="A295" s="346" t="s">
        <v>318</v>
      </c>
      <c r="B295" s="75" t="s">
        <v>319</v>
      </c>
      <c r="C295" s="128">
        <f t="shared" si="64"/>
        <v>0</v>
      </c>
      <c r="D295" s="134"/>
      <c r="E295" s="285"/>
      <c r="F295" s="286">
        <f t="shared" si="37"/>
        <v>0</v>
      </c>
      <c r="G295" s="134"/>
      <c r="H295" s="135"/>
      <c r="I295" s="136">
        <f t="shared" si="38"/>
        <v>0</v>
      </c>
      <c r="J295" s="134"/>
      <c r="K295" s="135"/>
      <c r="L295" s="136">
        <f t="shared" si="39"/>
        <v>0</v>
      </c>
      <c r="M295" s="284"/>
      <c r="N295" s="285"/>
      <c r="O295" s="136">
        <f t="shared" si="58"/>
        <v>0</v>
      </c>
      <c r="P295" s="85"/>
      <c r="R295" s="53"/>
      <c r="S295" s="53"/>
      <c r="T295" s="53"/>
    </row>
    <row r="296" spans="1:20" hidden="1" x14ac:dyDescent="0.25">
      <c r="A296" s="346" t="s">
        <v>320</v>
      </c>
      <c r="B296" s="75" t="s">
        <v>321</v>
      </c>
      <c r="C296" s="128">
        <f t="shared" si="64"/>
        <v>0</v>
      </c>
      <c r="D296" s="134"/>
      <c r="E296" s="285"/>
      <c r="F296" s="286">
        <f t="shared" si="37"/>
        <v>0</v>
      </c>
      <c r="G296" s="134"/>
      <c r="H296" s="135"/>
      <c r="I296" s="136">
        <f t="shared" si="38"/>
        <v>0</v>
      </c>
      <c r="J296" s="134"/>
      <c r="K296" s="135"/>
      <c r="L296" s="136">
        <f t="shared" si="39"/>
        <v>0</v>
      </c>
      <c r="M296" s="284"/>
      <c r="N296" s="285"/>
      <c r="O296" s="136">
        <f t="shared" si="58"/>
        <v>0</v>
      </c>
      <c r="P296" s="85"/>
      <c r="R296" s="53"/>
      <c r="S296" s="53"/>
      <c r="T296" s="53"/>
    </row>
    <row r="297" spans="1:20" hidden="1" x14ac:dyDescent="0.25">
      <c r="A297" s="389" t="s">
        <v>322</v>
      </c>
      <c r="B297" s="390" t="s">
        <v>323</v>
      </c>
      <c r="C297" s="327">
        <f t="shared" si="64"/>
        <v>0</v>
      </c>
      <c r="D297" s="328"/>
      <c r="E297" s="329"/>
      <c r="F297" s="330">
        <f t="shared" si="37"/>
        <v>0</v>
      </c>
      <c r="G297" s="328"/>
      <c r="H297" s="331"/>
      <c r="I297" s="324">
        <f t="shared" si="38"/>
        <v>0</v>
      </c>
      <c r="J297" s="328"/>
      <c r="K297" s="331"/>
      <c r="L297" s="324">
        <f t="shared" si="39"/>
        <v>0</v>
      </c>
      <c r="M297" s="332"/>
      <c r="N297" s="329"/>
      <c r="O297" s="324">
        <f t="shared" si="58"/>
        <v>0</v>
      </c>
      <c r="P297" s="325"/>
      <c r="R297" s="53"/>
      <c r="S297" s="53"/>
      <c r="T297" s="53"/>
    </row>
    <row r="298" spans="1:20" hidden="1" x14ac:dyDescent="0.25">
      <c r="A298" s="387" t="s">
        <v>324</v>
      </c>
      <c r="B298" s="387" t="s">
        <v>325</v>
      </c>
      <c r="C298" s="391">
        <f t="shared" si="64"/>
        <v>0</v>
      </c>
      <c r="D298" s="392"/>
      <c r="E298" s="393"/>
      <c r="F298" s="388">
        <f t="shared" si="37"/>
        <v>0</v>
      </c>
      <c r="G298" s="392"/>
      <c r="H298" s="394"/>
      <c r="I298" s="383">
        <f t="shared" si="38"/>
        <v>0</v>
      </c>
      <c r="J298" s="392"/>
      <c r="K298" s="394"/>
      <c r="L298" s="383">
        <f t="shared" si="39"/>
        <v>0</v>
      </c>
      <c r="M298" s="395"/>
      <c r="N298" s="393"/>
      <c r="O298" s="383">
        <f t="shared" si="58"/>
        <v>0</v>
      </c>
      <c r="P298" s="385"/>
      <c r="R298" s="53"/>
      <c r="S298" s="53"/>
      <c r="T298" s="53"/>
    </row>
    <row r="299" spans="1:20" s="41" customFormat="1" ht="36" hidden="1" x14ac:dyDescent="0.25">
      <c r="A299" s="387" t="s">
        <v>326</v>
      </c>
      <c r="B299" s="396" t="s">
        <v>327</v>
      </c>
      <c r="C299" s="397">
        <f t="shared" si="64"/>
        <v>0</v>
      </c>
      <c r="D299" s="398"/>
      <c r="E299" s="399"/>
      <c r="F299" s="400">
        <f t="shared" si="37"/>
        <v>0</v>
      </c>
      <c r="G299" s="392"/>
      <c r="H299" s="394"/>
      <c r="I299" s="383">
        <f t="shared" si="38"/>
        <v>0</v>
      </c>
      <c r="J299" s="392"/>
      <c r="K299" s="394"/>
      <c r="L299" s="383">
        <f t="shared" si="39"/>
        <v>0</v>
      </c>
      <c r="M299" s="395"/>
      <c r="N299" s="393"/>
      <c r="O299" s="383">
        <f t="shared" si="58"/>
        <v>0</v>
      </c>
      <c r="P299" s="385"/>
      <c r="R299" s="53"/>
      <c r="S299" s="53"/>
      <c r="T299" s="53"/>
    </row>
    <row r="300" spans="1:20"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20" s="41" customFormat="1" hidden="1" x14ac:dyDescent="0.25">
      <c r="A301" s="721"/>
      <c r="B301" s="722"/>
      <c r="C301" s="722"/>
      <c r="D301" s="722"/>
      <c r="E301" s="722"/>
      <c r="F301" s="722"/>
      <c r="G301" s="722"/>
      <c r="H301" s="722"/>
      <c r="I301" s="722"/>
      <c r="J301" s="722"/>
      <c r="K301" s="722"/>
      <c r="L301" s="722"/>
      <c r="M301" s="722"/>
      <c r="N301" s="722"/>
      <c r="O301" s="722"/>
      <c r="P301" s="723"/>
    </row>
    <row r="302" spans="1:20" s="41" customFormat="1" hidden="1" x14ac:dyDescent="0.25">
      <c r="A302" s="721"/>
      <c r="B302" s="722"/>
      <c r="C302" s="722"/>
      <c r="D302" s="722"/>
      <c r="E302" s="722"/>
      <c r="F302" s="722"/>
      <c r="G302" s="722"/>
      <c r="H302" s="722"/>
      <c r="I302" s="722"/>
      <c r="J302" s="722"/>
      <c r="K302" s="722"/>
      <c r="L302" s="722"/>
      <c r="M302" s="722"/>
      <c r="N302" s="722"/>
      <c r="O302" s="722"/>
      <c r="P302" s="723"/>
    </row>
    <row r="303" spans="1:20" ht="12.75" thickBot="1" x14ac:dyDescent="0.3">
      <c r="A303" s="404"/>
      <c r="B303" s="405"/>
      <c r="C303" s="405"/>
      <c r="D303" s="405"/>
      <c r="E303" s="405"/>
      <c r="F303" s="405"/>
      <c r="G303" s="405"/>
      <c r="H303" s="405"/>
      <c r="I303" s="405"/>
      <c r="J303" s="405"/>
      <c r="K303" s="405"/>
      <c r="L303" s="405"/>
      <c r="M303" s="405"/>
      <c r="N303" s="405"/>
      <c r="O303" s="405"/>
      <c r="P303" s="406"/>
      <c r="Q303" s="7"/>
    </row>
    <row r="304" spans="1:20"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row r="322" spans="1:15" x14ac:dyDescent="0.25">
      <c r="A322" s="5"/>
      <c r="B322" s="5"/>
      <c r="C322" s="5"/>
      <c r="D322" s="5"/>
      <c r="E322" s="5"/>
      <c r="F322" s="5"/>
      <c r="G322" s="5"/>
      <c r="H322" s="5"/>
      <c r="I322" s="5"/>
      <c r="J322" s="5"/>
      <c r="K322" s="5"/>
      <c r="L322" s="5"/>
      <c r="M322" s="5"/>
      <c r="N322" s="5"/>
      <c r="O322" s="5"/>
    </row>
    <row r="323" spans="1:15" x14ac:dyDescent="0.25">
      <c r="A323" s="5"/>
      <c r="B323" s="5"/>
      <c r="C323" s="5"/>
      <c r="D323" s="5"/>
      <c r="E323" s="5"/>
      <c r="F323" s="5"/>
      <c r="G323" s="5"/>
      <c r="H323" s="5"/>
      <c r="I323" s="5"/>
      <c r="J323" s="5"/>
      <c r="K323" s="5"/>
      <c r="L323" s="5"/>
      <c r="M323" s="5"/>
      <c r="N323" s="5"/>
      <c r="O323" s="5"/>
    </row>
  </sheetData>
  <sheetProtection algorithmName="SHA-512" hashValue="rtqmmChNuYHJETRTGeHMP/HX+06Vy8nMCAP6PrCVt4Q9W32eE7D006RAgV+UH6HL5090UTEmdmtZo+px/BC/JQ==" saltValue="9A9iQtDXd6ucG1XO17g5og==" spinCount="100000" sheet="1" objects="1" scenarios="1" selectLockedCells="1" selectUnlockedCells="1"/>
  <autoFilter ref="A22:P300">
    <filterColumn colId="2">
      <filters blank="1">
        <filter val="1 047"/>
        <filter val="1 181"/>
        <filter val="1 227"/>
        <filter val="1 260"/>
        <filter val="1 330"/>
        <filter val="1 586"/>
        <filter val="10 367"/>
        <filter val="10 378"/>
        <filter val="100"/>
        <filter val="11"/>
        <filter val="118 527"/>
        <filter val="130"/>
        <filter val="15 139"/>
        <filter val="155"/>
        <filter val="168"/>
        <filter val="180"/>
        <filter val="2 525"/>
        <filter val="2 730"/>
        <filter val="2 854"/>
        <filter val="2 864"/>
        <filter val="2 953"/>
        <filter val="200"/>
        <filter val="202"/>
        <filter val="205"/>
        <filter val="22 996"/>
        <filter val="23 081"/>
        <filter val="24"/>
        <filter val="26 147"/>
        <filter val="3 529"/>
        <filter val="3 564"/>
        <filter val="3 748"/>
        <filter val="3 983"/>
        <filter val="300"/>
        <filter val="33 287"/>
        <filter val="34 679"/>
        <filter val="340 914"/>
        <filter val="35"/>
        <filter val="37"/>
        <filter val="376 853"/>
        <filter val="4 223"/>
        <filter val="4 626"/>
        <filter val="443"/>
        <filter val="450"/>
        <filter val="49 205"/>
        <filter val="495 380"/>
        <filter val="50"/>
        <filter val="51"/>
        <filter val="55"/>
        <filter val="55 906"/>
        <filter val="570 030"/>
        <filter val="574 737"/>
        <filter val="575 394"/>
        <filter val="575 837"/>
        <filter val="590"/>
        <filter val="6 259"/>
        <filter val="620"/>
        <filter val="641"/>
        <filter val="650"/>
        <filter val="657"/>
        <filter val="675"/>
        <filter val="7 252"/>
        <filter val="7 960"/>
        <filter val="706"/>
        <filter val="715"/>
        <filter val="738"/>
        <filter val="-738"/>
        <filter val="79 357"/>
        <filter val="801"/>
        <filter val="9 558"/>
        <filter val="904"/>
        <filter val="915"/>
        <filter val="92 380"/>
        <filter val="922"/>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98.pielikums Jūrmalas pilsētas domes
2017.gada 30.janvāra saistošajiem noteikumiem Nr.10
(Protokols Nr.4, 1.punkts)
 </firstHeader>
    <firstFooter>&amp;L&amp;9&amp;D; &amp;T&amp;R&amp;9&amp;P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1"/>
  <sheetViews>
    <sheetView view="pageLayout" zoomScaleNormal="100" workbookViewId="0">
      <selection activeCell="S13" sqref="S13"/>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1135</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7"/>
    </row>
    <row r="4" spans="1:17" ht="15.75"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1136</v>
      </c>
      <c r="D6" s="1555"/>
      <c r="E6" s="1555"/>
      <c r="F6" s="1555"/>
      <c r="G6" s="1555"/>
      <c r="H6" s="1555"/>
      <c r="I6" s="1555"/>
      <c r="J6" s="1555"/>
      <c r="K6" s="1555"/>
      <c r="L6" s="1555"/>
      <c r="M6" s="1555"/>
      <c r="N6" s="1555"/>
      <c r="O6" s="1555"/>
      <c r="P6" s="1556"/>
      <c r="Q6" s="7"/>
    </row>
    <row r="7" spans="1:17" ht="12.75" x14ac:dyDescent="0.25">
      <c r="A7" s="13" t="s">
        <v>4</v>
      </c>
      <c r="B7" s="14"/>
      <c r="C7" s="1555" t="s">
        <v>5</v>
      </c>
      <c r="D7" s="1555"/>
      <c r="E7" s="1555"/>
      <c r="F7" s="1555"/>
      <c r="G7" s="1555"/>
      <c r="H7" s="1555"/>
      <c r="I7" s="1555"/>
      <c r="J7" s="1555"/>
      <c r="K7" s="1555"/>
      <c r="L7" s="1555"/>
      <c r="M7" s="1555"/>
      <c r="N7" s="1555"/>
      <c r="O7" s="1555"/>
      <c r="P7" s="1556"/>
      <c r="Q7" s="7"/>
    </row>
    <row r="8" spans="1:17" x14ac:dyDescent="0.25">
      <c r="A8" s="8" t="s">
        <v>6</v>
      </c>
      <c r="B8" s="9"/>
      <c r="C8" s="1553" t="s">
        <v>1137</v>
      </c>
      <c r="D8" s="1553"/>
      <c r="E8" s="1553"/>
      <c r="F8" s="1553"/>
      <c r="G8" s="1553"/>
      <c r="H8" s="1553"/>
      <c r="I8" s="1553"/>
      <c r="J8" s="1553"/>
      <c r="K8" s="1553"/>
      <c r="L8" s="1553"/>
      <c r="M8" s="1553"/>
      <c r="N8" s="1553"/>
      <c r="O8" s="1553"/>
      <c r="P8" s="1554"/>
      <c r="Q8" s="7"/>
    </row>
    <row r="9" spans="1:17" x14ac:dyDescent="0.25">
      <c r="A9" s="8" t="s">
        <v>8</v>
      </c>
      <c r="B9" s="9"/>
      <c r="C9" s="1553" t="s">
        <v>9</v>
      </c>
      <c r="D9" s="1553"/>
      <c r="E9" s="1553"/>
      <c r="F9" s="1553"/>
      <c r="G9" s="1553"/>
      <c r="H9" s="1553"/>
      <c r="I9" s="1553"/>
      <c r="J9" s="1553"/>
      <c r="K9" s="1553"/>
      <c r="L9" s="1553"/>
      <c r="M9" s="1553"/>
      <c r="N9" s="1553"/>
      <c r="O9" s="1553"/>
      <c r="P9" s="1554"/>
      <c r="Q9" s="7"/>
    </row>
    <row r="10" spans="1:17" ht="24" customHeight="1" x14ac:dyDescent="0.25">
      <c r="A10" s="8" t="s">
        <v>10</v>
      </c>
      <c r="B10" s="9"/>
      <c r="C10" s="1555" t="s">
        <v>11</v>
      </c>
      <c r="D10" s="1555"/>
      <c r="E10" s="1555"/>
      <c r="F10" s="1555"/>
      <c r="G10" s="1555"/>
      <c r="H10" s="1555"/>
      <c r="I10" s="1555"/>
      <c r="J10" s="1555"/>
      <c r="K10" s="1555"/>
      <c r="L10" s="1555"/>
      <c r="M10" s="1555"/>
      <c r="N10" s="1555"/>
      <c r="O10" s="1555"/>
      <c r="P10" s="1556"/>
      <c r="Q10" s="7"/>
    </row>
    <row r="11" spans="1:17" x14ac:dyDescent="0.25">
      <c r="A11" s="8" t="s">
        <v>12</v>
      </c>
      <c r="B11" s="9"/>
      <c r="C11" s="1555" t="s">
        <v>13</v>
      </c>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1138</v>
      </c>
      <c r="D13" s="1553"/>
      <c r="E13" s="1553"/>
      <c r="F13" s="1553"/>
      <c r="G13" s="1553"/>
      <c r="H13" s="1553"/>
      <c r="I13" s="1553"/>
      <c r="J13" s="1553"/>
      <c r="K13" s="1553"/>
      <c r="L13" s="1553"/>
      <c r="M13" s="1553"/>
      <c r="N13" s="1553"/>
      <c r="O13" s="1553"/>
      <c r="P13" s="1554"/>
      <c r="Q13" s="7"/>
    </row>
    <row r="14" spans="1:17" x14ac:dyDescent="0.25">
      <c r="A14" s="8"/>
      <c r="B14" s="9" t="s">
        <v>17</v>
      </c>
      <c r="C14" s="1553" t="s">
        <v>1139</v>
      </c>
      <c r="D14" s="1553"/>
      <c r="E14" s="1553"/>
      <c r="F14" s="1553"/>
      <c r="G14" s="1553"/>
      <c r="H14" s="1553"/>
      <c r="I14" s="1553"/>
      <c r="J14" s="1553"/>
      <c r="K14" s="1553"/>
      <c r="L14" s="1553"/>
      <c r="M14" s="1553"/>
      <c r="N14" s="1553"/>
      <c r="O14" s="1553"/>
      <c r="P14" s="1554"/>
      <c r="Q14" s="7"/>
    </row>
    <row r="15" spans="1:17" x14ac:dyDescent="0.25">
      <c r="A15" s="8"/>
      <c r="B15" s="9" t="s">
        <v>19</v>
      </c>
      <c r="C15" s="1553"/>
      <c r="D15" s="1553"/>
      <c r="E15" s="1553"/>
      <c r="F15" s="1553"/>
      <c r="G15" s="1553"/>
      <c r="H15" s="1553"/>
      <c r="I15" s="1553"/>
      <c r="J15" s="1553"/>
      <c r="K15" s="1553"/>
      <c r="L15" s="1553"/>
      <c r="M15" s="1553"/>
      <c r="N15" s="1553"/>
      <c r="O15" s="1553"/>
      <c r="P15" s="1554"/>
      <c r="Q15" s="7"/>
    </row>
    <row r="16" spans="1:17" x14ac:dyDescent="0.25">
      <c r="A16" s="8"/>
      <c r="B16" s="9" t="s">
        <v>20</v>
      </c>
      <c r="C16" s="1553" t="s">
        <v>1140</v>
      </c>
      <c r="D16" s="1553"/>
      <c r="E16" s="1553"/>
      <c r="F16" s="1553"/>
      <c r="G16" s="1553"/>
      <c r="H16" s="1553"/>
      <c r="I16" s="1553"/>
      <c r="J16" s="1553"/>
      <c r="K16" s="1553"/>
      <c r="L16" s="1553"/>
      <c r="M16" s="1553"/>
      <c r="N16" s="1553"/>
      <c r="O16" s="1553"/>
      <c r="P16" s="1554"/>
      <c r="Q16" s="7"/>
    </row>
    <row r="17" spans="1:20" x14ac:dyDescent="0.25">
      <c r="A17" s="8"/>
      <c r="B17" s="9" t="s">
        <v>22</v>
      </c>
      <c r="C17" s="1553"/>
      <c r="D17" s="1553"/>
      <c r="E17" s="1553"/>
      <c r="F17" s="1553"/>
      <c r="G17" s="1553"/>
      <c r="H17" s="1553"/>
      <c r="I17" s="1553"/>
      <c r="J17" s="1553"/>
      <c r="K17" s="1553"/>
      <c r="L17" s="1553"/>
      <c r="M17" s="1553"/>
      <c r="N17" s="1553"/>
      <c r="O17" s="1553"/>
      <c r="P17" s="1554"/>
      <c r="Q17" s="7"/>
    </row>
    <row r="18" spans="1:20" x14ac:dyDescent="0.25">
      <c r="A18" s="18"/>
      <c r="B18" s="19"/>
      <c r="C18" s="1569"/>
      <c r="D18" s="1569"/>
      <c r="E18" s="1569"/>
      <c r="F18" s="1569"/>
      <c r="G18" s="1569"/>
      <c r="H18" s="1569"/>
      <c r="I18" s="1569"/>
      <c r="J18" s="1569"/>
      <c r="K18" s="1569"/>
      <c r="L18" s="1569"/>
      <c r="M18" s="1569"/>
      <c r="N18" s="1569"/>
      <c r="O18" s="1569"/>
      <c r="P18" s="1570"/>
      <c r="Q18" s="7"/>
    </row>
    <row r="19" spans="1:20"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0"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20" s="21" customFormat="1" ht="70.5" customHeight="1" thickBot="1" x14ac:dyDescent="0.3">
      <c r="A21" s="1573"/>
      <c r="B21" s="1576"/>
      <c r="C21" s="1581"/>
      <c r="D21" s="1566"/>
      <c r="E21" s="1568"/>
      <c r="F21" s="1564"/>
      <c r="G21" s="1566"/>
      <c r="H21" s="1568"/>
      <c r="I21" s="1564"/>
      <c r="J21" s="1566"/>
      <c r="K21" s="1568"/>
      <c r="L21" s="1564"/>
      <c r="M21" s="1566"/>
      <c r="N21" s="1568"/>
      <c r="O21" s="1564"/>
      <c r="P21" s="1576"/>
    </row>
    <row r="22" spans="1:20"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0" s="41" customFormat="1" x14ac:dyDescent="0.25">
      <c r="A23" s="30"/>
      <c r="B23" s="31" t="s">
        <v>41</v>
      </c>
      <c r="C23" s="32"/>
      <c r="D23" s="33"/>
      <c r="E23" s="34"/>
      <c r="F23" s="35"/>
      <c r="G23" s="33"/>
      <c r="H23" s="36"/>
      <c r="I23" s="37"/>
      <c r="J23" s="33"/>
      <c r="K23" s="38"/>
      <c r="L23" s="37"/>
      <c r="M23" s="38"/>
      <c r="N23" s="39"/>
      <c r="O23" s="37"/>
      <c r="P23" s="40"/>
    </row>
    <row r="24" spans="1:20" s="41" customFormat="1" ht="12.75" thickBot="1" x14ac:dyDescent="0.3">
      <c r="A24" s="42"/>
      <c r="B24" s="43" t="s">
        <v>42</v>
      </c>
      <c r="C24" s="44">
        <f>F24+I24+L24+O24</f>
        <v>560334</v>
      </c>
      <c r="D24" s="45">
        <f>SUM(D25,D28,D29,D45,D46)</f>
        <v>484708</v>
      </c>
      <c r="E24" s="46">
        <f>SUM(E25,E28,E29,E45,E46)</f>
        <v>0</v>
      </c>
      <c r="F24" s="47">
        <f t="shared" ref="F24:F29" si="0">D24+E24</f>
        <v>484708</v>
      </c>
      <c r="G24" s="45">
        <f>SUM(G25,G28,G46)</f>
        <v>71551</v>
      </c>
      <c r="H24" s="48">
        <f>SUM(H25,H28,H46)</f>
        <v>0</v>
      </c>
      <c r="I24" s="49">
        <f>G24+H24</f>
        <v>71551</v>
      </c>
      <c r="J24" s="45">
        <f>SUM(J25,J30,J46)</f>
        <v>4075</v>
      </c>
      <c r="K24" s="48">
        <f>SUM(K25,K30,K46)</f>
        <v>0</v>
      </c>
      <c r="L24" s="49">
        <f>J24+K24</f>
        <v>4075</v>
      </c>
      <c r="M24" s="50">
        <f>SUM(M25,M48)</f>
        <v>0</v>
      </c>
      <c r="N24" s="51">
        <f>SUM(N25,N48)</f>
        <v>0</v>
      </c>
      <c r="O24" s="49">
        <f>M24+N24</f>
        <v>0</v>
      </c>
      <c r="P24" s="52"/>
      <c r="R24" s="53"/>
      <c r="S24" s="53"/>
      <c r="T24" s="53"/>
    </row>
    <row r="25" spans="1:20" ht="12.75" thickTop="1" x14ac:dyDescent="0.25">
      <c r="A25" s="54"/>
      <c r="B25" s="55" t="s">
        <v>43</v>
      </c>
      <c r="C25" s="56">
        <f>F25+I25+L25+O25</f>
        <v>664</v>
      </c>
      <c r="D25" s="57">
        <f>SUM(D26:D27)</f>
        <v>0</v>
      </c>
      <c r="E25" s="58">
        <f>SUM(E26:E27)</f>
        <v>0</v>
      </c>
      <c r="F25" s="59">
        <f t="shared" si="0"/>
        <v>0</v>
      </c>
      <c r="G25" s="57">
        <f>SUM(G26:G27)</f>
        <v>0</v>
      </c>
      <c r="H25" s="60">
        <f>SUM(H26:H27)</f>
        <v>0</v>
      </c>
      <c r="I25" s="61">
        <f>G25+H25</f>
        <v>0</v>
      </c>
      <c r="J25" s="57">
        <f>SUM(J26:J27)</f>
        <v>664</v>
      </c>
      <c r="K25" s="60">
        <f>SUM(K26:K27)</f>
        <v>0</v>
      </c>
      <c r="L25" s="61">
        <f>J25+K25</f>
        <v>664</v>
      </c>
      <c r="M25" s="62">
        <f>SUM(M26:M27)</f>
        <v>0</v>
      </c>
      <c r="N25" s="63">
        <f>SUM(N26:N27)</f>
        <v>0</v>
      </c>
      <c r="O25" s="61">
        <f>M25+N25</f>
        <v>0</v>
      </c>
      <c r="P25" s="64"/>
      <c r="R25" s="53"/>
      <c r="S25" s="53"/>
      <c r="T25" s="53"/>
    </row>
    <row r="26" spans="1:20" hidden="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c r="R26" s="53"/>
      <c r="S26" s="53"/>
      <c r="T26" s="53"/>
    </row>
    <row r="27" spans="1:20" x14ac:dyDescent="0.25">
      <c r="A27" s="75"/>
      <c r="B27" s="76" t="s">
        <v>45</v>
      </c>
      <c r="C27" s="77">
        <f>F27+I27+L27+O27</f>
        <v>664</v>
      </c>
      <c r="D27" s="78"/>
      <c r="E27" s="79"/>
      <c r="F27" s="80">
        <f t="shared" si="0"/>
        <v>0</v>
      </c>
      <c r="G27" s="78"/>
      <c r="H27" s="81"/>
      <c r="I27" s="82">
        <f>G27+H27</f>
        <v>0</v>
      </c>
      <c r="J27" s="78">
        <v>664</v>
      </c>
      <c r="K27" s="81"/>
      <c r="L27" s="82">
        <f>J27+K27</f>
        <v>664</v>
      </c>
      <c r="M27" s="83"/>
      <c r="N27" s="84"/>
      <c r="O27" s="82">
        <f>M27+N27</f>
        <v>0</v>
      </c>
      <c r="P27" s="85"/>
      <c r="R27" s="53"/>
      <c r="S27" s="53"/>
      <c r="T27" s="53"/>
    </row>
    <row r="28" spans="1:20" s="41" customFormat="1" ht="24.75" thickBot="1" x14ac:dyDescent="0.3">
      <c r="A28" s="86">
        <v>19300</v>
      </c>
      <c r="B28" s="86" t="s">
        <v>46</v>
      </c>
      <c r="C28" s="87">
        <f>SUM(F28,I28)</f>
        <v>556259</v>
      </c>
      <c r="D28" s="88">
        <v>484708</v>
      </c>
      <c r="E28" s="89"/>
      <c r="F28" s="90">
        <f t="shared" si="0"/>
        <v>484708</v>
      </c>
      <c r="G28" s="88">
        <v>71551</v>
      </c>
      <c r="H28" s="91"/>
      <c r="I28" s="92">
        <f>G28+H28</f>
        <v>71551</v>
      </c>
      <c r="J28" s="93" t="s">
        <v>47</v>
      </c>
      <c r="K28" s="94" t="s">
        <v>47</v>
      </c>
      <c r="L28" s="95" t="s">
        <v>47</v>
      </c>
      <c r="M28" s="96" t="s">
        <v>47</v>
      </c>
      <c r="N28" s="97" t="s">
        <v>47</v>
      </c>
      <c r="O28" s="95" t="s">
        <v>47</v>
      </c>
      <c r="P28" s="98"/>
      <c r="R28" s="53"/>
      <c r="S28" s="53"/>
      <c r="T28" s="53"/>
    </row>
    <row r="29" spans="1:20" s="41" customFormat="1" ht="24.75" hidden="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c r="R29" s="53"/>
      <c r="S29" s="53"/>
      <c r="T29" s="53"/>
    </row>
    <row r="30" spans="1:20" s="41" customFormat="1" ht="36.75" thickTop="1" x14ac:dyDescent="0.25">
      <c r="A30" s="99">
        <v>21300</v>
      </c>
      <c r="B30" s="99" t="s">
        <v>49</v>
      </c>
      <c r="C30" s="100">
        <f t="shared" ref="C30:C44" si="1">L30</f>
        <v>3343</v>
      </c>
      <c r="D30" s="104" t="s">
        <v>47</v>
      </c>
      <c r="E30" s="110" t="s">
        <v>47</v>
      </c>
      <c r="F30" s="111" t="s">
        <v>47</v>
      </c>
      <c r="G30" s="104" t="s">
        <v>47</v>
      </c>
      <c r="H30" s="105" t="s">
        <v>47</v>
      </c>
      <c r="I30" s="106" t="s">
        <v>47</v>
      </c>
      <c r="J30" s="112">
        <f>SUM(J31,J35,J37,J40)</f>
        <v>3343</v>
      </c>
      <c r="K30" s="113">
        <f>SUM(K31,K35,K37,K40)</f>
        <v>0</v>
      </c>
      <c r="L30" s="114">
        <f t="shared" ref="L30:L44" si="2">J30+K30</f>
        <v>3343</v>
      </c>
      <c r="M30" s="107" t="s">
        <v>47</v>
      </c>
      <c r="N30" s="108" t="s">
        <v>47</v>
      </c>
      <c r="O30" s="106" t="s">
        <v>47</v>
      </c>
      <c r="P30" s="109"/>
      <c r="R30" s="53"/>
      <c r="S30" s="53"/>
      <c r="T30" s="53"/>
    </row>
    <row r="31" spans="1:20" s="41" customFormat="1" ht="24" hidden="1" x14ac:dyDescent="0.25">
      <c r="A31" s="115">
        <v>21350</v>
      </c>
      <c r="B31" s="99" t="s">
        <v>50</v>
      </c>
      <c r="C31" s="100">
        <f t="shared" si="1"/>
        <v>0</v>
      </c>
      <c r="D31" s="104" t="s">
        <v>47</v>
      </c>
      <c r="E31" s="108" t="s">
        <v>47</v>
      </c>
      <c r="F31" s="140" t="s">
        <v>47</v>
      </c>
      <c r="G31" s="104" t="s">
        <v>47</v>
      </c>
      <c r="H31" s="105" t="s">
        <v>47</v>
      </c>
      <c r="I31" s="106" t="s">
        <v>47</v>
      </c>
      <c r="J31" s="112">
        <f>SUM(J32:J34)</f>
        <v>0</v>
      </c>
      <c r="K31" s="113">
        <f>SUM(K32:K34)</f>
        <v>0</v>
      </c>
      <c r="L31" s="114">
        <f t="shared" si="2"/>
        <v>0</v>
      </c>
      <c r="M31" s="107" t="s">
        <v>47</v>
      </c>
      <c r="N31" s="108" t="s">
        <v>47</v>
      </c>
      <c r="O31" s="106" t="s">
        <v>47</v>
      </c>
      <c r="P31" s="109"/>
      <c r="R31" s="53"/>
      <c r="S31" s="53"/>
      <c r="T31" s="53"/>
    </row>
    <row r="32" spans="1:20" hidden="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c r="R32" s="53"/>
      <c r="S32" s="53"/>
      <c r="T32" s="53"/>
    </row>
    <row r="33" spans="1:20" hidden="1" x14ac:dyDescent="0.25">
      <c r="A33" s="75">
        <v>21352</v>
      </c>
      <c r="B33" s="127" t="s">
        <v>52</v>
      </c>
      <c r="C33" s="128">
        <f t="shared" si="1"/>
        <v>0</v>
      </c>
      <c r="D33" s="129" t="s">
        <v>47</v>
      </c>
      <c r="E33" s="138" t="s">
        <v>47</v>
      </c>
      <c r="F33" s="139" t="s">
        <v>47</v>
      </c>
      <c r="G33" s="129" t="s">
        <v>47</v>
      </c>
      <c r="H33" s="132" t="s">
        <v>47</v>
      </c>
      <c r="I33" s="133" t="s">
        <v>47</v>
      </c>
      <c r="J33" s="134"/>
      <c r="K33" s="135"/>
      <c r="L33" s="136">
        <f t="shared" si="2"/>
        <v>0</v>
      </c>
      <c r="M33" s="137" t="s">
        <v>47</v>
      </c>
      <c r="N33" s="138" t="s">
        <v>47</v>
      </c>
      <c r="O33" s="133" t="s">
        <v>47</v>
      </c>
      <c r="P33" s="85"/>
      <c r="R33" s="53"/>
      <c r="S33" s="53"/>
      <c r="T33" s="53"/>
    </row>
    <row r="34" spans="1:20" ht="24" hidden="1" x14ac:dyDescent="0.25">
      <c r="A34" s="75">
        <v>21359</v>
      </c>
      <c r="B34" s="127" t="s">
        <v>53</v>
      </c>
      <c r="C34" s="128">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c r="R34" s="53"/>
      <c r="S34" s="53"/>
      <c r="T34" s="53"/>
    </row>
    <row r="35" spans="1:20" s="41" customFormat="1" ht="36" hidden="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c r="R35" s="53"/>
      <c r="S35" s="53"/>
      <c r="T35" s="53"/>
    </row>
    <row r="36" spans="1:20" ht="36" hidden="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c r="R36" s="53"/>
      <c r="S36" s="53"/>
      <c r="T36" s="53"/>
    </row>
    <row r="37" spans="1:20" s="41" customFormat="1" x14ac:dyDescent="0.25">
      <c r="A37" s="115">
        <v>21380</v>
      </c>
      <c r="B37" s="99" t="s">
        <v>56</v>
      </c>
      <c r="C37" s="100">
        <f t="shared" si="1"/>
        <v>541</v>
      </c>
      <c r="D37" s="104" t="s">
        <v>47</v>
      </c>
      <c r="E37" s="110" t="s">
        <v>47</v>
      </c>
      <c r="F37" s="111" t="s">
        <v>47</v>
      </c>
      <c r="G37" s="104" t="s">
        <v>47</v>
      </c>
      <c r="H37" s="105" t="s">
        <v>47</v>
      </c>
      <c r="I37" s="106" t="s">
        <v>47</v>
      </c>
      <c r="J37" s="112">
        <f>SUM(J38:J39)</f>
        <v>541</v>
      </c>
      <c r="K37" s="113">
        <f>SUM(K38:K39)</f>
        <v>0</v>
      </c>
      <c r="L37" s="114">
        <f t="shared" si="2"/>
        <v>541</v>
      </c>
      <c r="M37" s="107" t="s">
        <v>47</v>
      </c>
      <c r="N37" s="108" t="s">
        <v>47</v>
      </c>
      <c r="O37" s="106" t="s">
        <v>47</v>
      </c>
      <c r="P37" s="109"/>
      <c r="R37" s="53"/>
      <c r="S37" s="53"/>
      <c r="T37" s="53"/>
    </row>
    <row r="38" spans="1:20" x14ac:dyDescent="0.25">
      <c r="A38" s="66">
        <v>21381</v>
      </c>
      <c r="B38" s="116" t="s">
        <v>57</v>
      </c>
      <c r="C38" s="117">
        <f t="shared" si="1"/>
        <v>541</v>
      </c>
      <c r="D38" s="118" t="s">
        <v>47</v>
      </c>
      <c r="E38" s="154" t="s">
        <v>47</v>
      </c>
      <c r="F38" s="155" t="s">
        <v>47</v>
      </c>
      <c r="G38" s="118" t="s">
        <v>47</v>
      </c>
      <c r="H38" s="121" t="s">
        <v>47</v>
      </c>
      <c r="I38" s="122" t="s">
        <v>47</v>
      </c>
      <c r="J38" s="123">
        <v>541</v>
      </c>
      <c r="K38" s="124"/>
      <c r="L38" s="125">
        <f t="shared" si="2"/>
        <v>541</v>
      </c>
      <c r="M38" s="126" t="s">
        <v>47</v>
      </c>
      <c r="N38" s="119" t="s">
        <v>47</v>
      </c>
      <c r="O38" s="122" t="s">
        <v>47</v>
      </c>
      <c r="P38" s="74"/>
      <c r="R38" s="53"/>
      <c r="S38" s="53"/>
      <c r="T38" s="53"/>
    </row>
    <row r="39" spans="1:20" ht="24" hidden="1" x14ac:dyDescent="0.25">
      <c r="A39" s="76">
        <v>21383</v>
      </c>
      <c r="B39" s="127" t="s">
        <v>58</v>
      </c>
      <c r="C39" s="128">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c r="R39" s="53"/>
      <c r="S39" s="53"/>
      <c r="T39" s="53"/>
    </row>
    <row r="40" spans="1:20" s="41" customFormat="1" ht="24" x14ac:dyDescent="0.25">
      <c r="A40" s="115">
        <v>21390</v>
      </c>
      <c r="B40" s="99" t="s">
        <v>59</v>
      </c>
      <c r="C40" s="100">
        <f t="shared" si="1"/>
        <v>2802</v>
      </c>
      <c r="D40" s="104" t="s">
        <v>47</v>
      </c>
      <c r="E40" s="110" t="s">
        <v>47</v>
      </c>
      <c r="F40" s="111" t="s">
        <v>47</v>
      </c>
      <c r="G40" s="104" t="s">
        <v>47</v>
      </c>
      <c r="H40" s="105" t="s">
        <v>47</v>
      </c>
      <c r="I40" s="106" t="s">
        <v>47</v>
      </c>
      <c r="J40" s="112">
        <f>SUM(J41:J44)</f>
        <v>2802</v>
      </c>
      <c r="K40" s="113">
        <f>SUM(K41:K44)</f>
        <v>0</v>
      </c>
      <c r="L40" s="114">
        <f t="shared" si="2"/>
        <v>2802</v>
      </c>
      <c r="M40" s="107" t="s">
        <v>47</v>
      </c>
      <c r="N40" s="108" t="s">
        <v>47</v>
      </c>
      <c r="O40" s="106" t="s">
        <v>47</v>
      </c>
      <c r="P40" s="109"/>
      <c r="R40" s="53"/>
      <c r="S40" s="53"/>
      <c r="T40" s="53"/>
    </row>
    <row r="41" spans="1:20" ht="24" hidden="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c r="R41" s="53"/>
      <c r="S41" s="53"/>
      <c r="T41" s="53"/>
    </row>
    <row r="42" spans="1:20" hidden="1" x14ac:dyDescent="0.25">
      <c r="A42" s="76">
        <v>21393</v>
      </c>
      <c r="B42" s="127" t="s">
        <v>61</v>
      </c>
      <c r="C42" s="128">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c r="R42" s="53"/>
      <c r="S42" s="53"/>
      <c r="T42" s="53"/>
    </row>
    <row r="43" spans="1:20" hidden="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c r="R43" s="53"/>
      <c r="S43" s="53"/>
      <c r="T43" s="53"/>
    </row>
    <row r="44" spans="1:20" ht="24" x14ac:dyDescent="0.25">
      <c r="A44" s="76">
        <v>21399</v>
      </c>
      <c r="B44" s="127" t="s">
        <v>63</v>
      </c>
      <c r="C44" s="302">
        <f t="shared" si="1"/>
        <v>2802</v>
      </c>
      <c r="D44" s="129" t="s">
        <v>47</v>
      </c>
      <c r="E44" s="130" t="s">
        <v>47</v>
      </c>
      <c r="F44" s="131" t="s">
        <v>47</v>
      </c>
      <c r="G44" s="129" t="s">
        <v>47</v>
      </c>
      <c r="H44" s="132" t="s">
        <v>47</v>
      </c>
      <c r="I44" s="133" t="s">
        <v>47</v>
      </c>
      <c r="J44" s="134">
        <v>2802</v>
      </c>
      <c r="K44" s="135"/>
      <c r="L44" s="136">
        <f t="shared" si="2"/>
        <v>2802</v>
      </c>
      <c r="M44" s="137" t="s">
        <v>47</v>
      </c>
      <c r="N44" s="138" t="s">
        <v>47</v>
      </c>
      <c r="O44" s="133" t="s">
        <v>47</v>
      </c>
      <c r="P44" s="85"/>
      <c r="R44" s="53"/>
      <c r="S44" s="53"/>
      <c r="T44" s="53"/>
    </row>
    <row r="45" spans="1:20" s="41" customFormat="1" ht="24" hidden="1" x14ac:dyDescent="0.25">
      <c r="A45" s="115">
        <v>21420</v>
      </c>
      <c r="B45" s="99" t="s">
        <v>64</v>
      </c>
      <c r="C45" s="156">
        <f>F45</f>
        <v>0</v>
      </c>
      <c r="D45" s="157"/>
      <c r="E45" s="158"/>
      <c r="F45" s="103">
        <f>D45+E45</f>
        <v>0</v>
      </c>
      <c r="G45" s="104" t="s">
        <v>47</v>
      </c>
      <c r="H45" s="105" t="s">
        <v>47</v>
      </c>
      <c r="I45" s="106" t="s">
        <v>47</v>
      </c>
      <c r="J45" s="104" t="s">
        <v>47</v>
      </c>
      <c r="K45" s="105" t="s">
        <v>47</v>
      </c>
      <c r="L45" s="106" t="s">
        <v>47</v>
      </c>
      <c r="M45" s="107" t="s">
        <v>47</v>
      </c>
      <c r="N45" s="108" t="s">
        <v>47</v>
      </c>
      <c r="O45" s="106" t="s">
        <v>47</v>
      </c>
      <c r="P45" s="109"/>
      <c r="R45" s="53"/>
      <c r="S45" s="53"/>
      <c r="T45" s="53"/>
    </row>
    <row r="46" spans="1:20" s="41" customFormat="1" ht="24" x14ac:dyDescent="0.25">
      <c r="A46" s="159">
        <v>21490</v>
      </c>
      <c r="B46" s="160" t="s">
        <v>65</v>
      </c>
      <c r="C46" s="156">
        <f>F46+I46+L46</f>
        <v>68</v>
      </c>
      <c r="D46" s="161">
        <f>D47</f>
        <v>0</v>
      </c>
      <c r="E46" s="672">
        <f>E47</f>
        <v>0</v>
      </c>
      <c r="F46" s="774">
        <f>D46+E46</f>
        <v>0</v>
      </c>
      <c r="G46" s="161">
        <f>G47</f>
        <v>0</v>
      </c>
      <c r="H46" s="164">
        <f t="shared" ref="H46:K46" si="3">H47</f>
        <v>0</v>
      </c>
      <c r="I46" s="165">
        <f>G46+H46</f>
        <v>0</v>
      </c>
      <c r="J46" s="161">
        <f>J47</f>
        <v>68</v>
      </c>
      <c r="K46" s="164">
        <f t="shared" si="3"/>
        <v>0</v>
      </c>
      <c r="L46" s="165">
        <f>J46+K46</f>
        <v>68</v>
      </c>
      <c r="M46" s="107" t="s">
        <v>47</v>
      </c>
      <c r="N46" s="108" t="s">
        <v>47</v>
      </c>
      <c r="O46" s="106" t="s">
        <v>47</v>
      </c>
      <c r="P46" s="109"/>
      <c r="R46" s="53"/>
      <c r="S46" s="53"/>
      <c r="T46" s="53"/>
    </row>
    <row r="47" spans="1:20" s="41" customFormat="1" ht="24" x14ac:dyDescent="0.25">
      <c r="A47" s="76">
        <v>21499</v>
      </c>
      <c r="B47" s="127" t="s">
        <v>66</v>
      </c>
      <c r="C47" s="166">
        <f>F47+I47+L47</f>
        <v>68</v>
      </c>
      <c r="D47" s="68"/>
      <c r="E47" s="673"/>
      <c r="F47" s="638">
        <f>D47+E47</f>
        <v>0</v>
      </c>
      <c r="G47" s="167"/>
      <c r="H47" s="71"/>
      <c r="I47" s="628">
        <f>G47+H47</f>
        <v>0</v>
      </c>
      <c r="J47" s="68">
        <v>68</v>
      </c>
      <c r="K47" s="71"/>
      <c r="L47" s="628">
        <f>J47+K47</f>
        <v>68</v>
      </c>
      <c r="M47" s="152" t="s">
        <v>47</v>
      </c>
      <c r="N47" s="145" t="s">
        <v>47</v>
      </c>
      <c r="O47" s="148" t="s">
        <v>47</v>
      </c>
      <c r="P47" s="153"/>
      <c r="R47" s="53"/>
      <c r="S47" s="53"/>
      <c r="T47" s="53"/>
    </row>
    <row r="48" spans="1:20" ht="24" hidden="1" x14ac:dyDescent="0.25">
      <c r="A48" s="168">
        <v>23000</v>
      </c>
      <c r="B48" s="169" t="s">
        <v>67</v>
      </c>
      <c r="C48" s="156">
        <f>O48</f>
        <v>0</v>
      </c>
      <c r="D48" s="170" t="s">
        <v>47</v>
      </c>
      <c r="E48" s="171" t="s">
        <v>47</v>
      </c>
      <c r="F48" s="172" t="s">
        <v>47</v>
      </c>
      <c r="G48" s="170" t="s">
        <v>47</v>
      </c>
      <c r="H48" s="173" t="s">
        <v>47</v>
      </c>
      <c r="I48" s="174" t="s">
        <v>47</v>
      </c>
      <c r="J48" s="170" t="s">
        <v>47</v>
      </c>
      <c r="K48" s="173" t="s">
        <v>47</v>
      </c>
      <c r="L48" s="174" t="s">
        <v>47</v>
      </c>
      <c r="M48" s="175">
        <f>SUM(M49:M50)</f>
        <v>0</v>
      </c>
      <c r="N48" s="176">
        <f>SUM(N49:N50)</f>
        <v>0</v>
      </c>
      <c r="O48" s="177">
        <f>M48+N48</f>
        <v>0</v>
      </c>
      <c r="P48" s="109"/>
      <c r="R48" s="53"/>
      <c r="S48" s="53"/>
      <c r="T48" s="53"/>
    </row>
    <row r="49" spans="1:20" ht="24" hidden="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c r="R49" s="53"/>
      <c r="S49" s="53"/>
      <c r="T49" s="53"/>
    </row>
    <row r="50" spans="1:20" ht="24" hidden="1" x14ac:dyDescent="0.25">
      <c r="A50" s="178">
        <v>23510</v>
      </c>
      <c r="B50" s="179" t="s">
        <v>69</v>
      </c>
      <c r="C50" s="180">
        <f>O50</f>
        <v>0</v>
      </c>
      <c r="D50" s="181" t="s">
        <v>47</v>
      </c>
      <c r="E50" s="182" t="s">
        <v>47</v>
      </c>
      <c r="F50" s="183" t="s">
        <v>47</v>
      </c>
      <c r="G50" s="181" t="s">
        <v>47</v>
      </c>
      <c r="H50" s="184" t="s">
        <v>47</v>
      </c>
      <c r="I50" s="185" t="s">
        <v>47</v>
      </c>
      <c r="J50" s="181" t="s">
        <v>47</v>
      </c>
      <c r="K50" s="184" t="s">
        <v>47</v>
      </c>
      <c r="L50" s="185" t="s">
        <v>47</v>
      </c>
      <c r="M50" s="186"/>
      <c r="N50" s="187"/>
      <c r="O50" s="188">
        <f>M50+N50</f>
        <v>0</v>
      </c>
      <c r="P50" s="189"/>
      <c r="R50" s="53"/>
      <c r="S50" s="53"/>
      <c r="T50" s="53"/>
    </row>
    <row r="51" spans="1:20" x14ac:dyDescent="0.25">
      <c r="A51" s="190"/>
      <c r="B51" s="179"/>
      <c r="C51" s="191"/>
      <c r="D51" s="192"/>
      <c r="E51" s="193"/>
      <c r="F51" s="194"/>
      <c r="G51" s="192"/>
      <c r="H51" s="195"/>
      <c r="I51" s="185"/>
      <c r="J51" s="196"/>
      <c r="K51" s="197"/>
      <c r="L51" s="188"/>
      <c r="M51" s="186"/>
      <c r="N51" s="187"/>
      <c r="O51" s="188"/>
      <c r="P51" s="189"/>
      <c r="R51" s="53"/>
      <c r="S51" s="53"/>
      <c r="T51" s="53"/>
    </row>
    <row r="52" spans="1:20" s="41" customFormat="1" x14ac:dyDescent="0.25">
      <c r="A52" s="198"/>
      <c r="B52" s="199" t="s">
        <v>70</v>
      </c>
      <c r="C52" s="200"/>
      <c r="D52" s="201"/>
      <c r="E52" s="202"/>
      <c r="F52" s="203"/>
      <c r="G52" s="201"/>
      <c r="H52" s="204"/>
      <c r="I52" s="205"/>
      <c r="J52" s="201"/>
      <c r="K52" s="204"/>
      <c r="L52" s="205"/>
      <c r="M52" s="206"/>
      <c r="N52" s="207"/>
      <c r="O52" s="205"/>
      <c r="P52" s="208"/>
      <c r="R52" s="53"/>
      <c r="S52" s="53"/>
      <c r="T52" s="53"/>
    </row>
    <row r="53" spans="1:20" s="41" customFormat="1" ht="12.75" thickBot="1" x14ac:dyDescent="0.3">
      <c r="A53" s="209"/>
      <c r="B53" s="42" t="s">
        <v>71</v>
      </c>
      <c r="C53" s="210">
        <f t="shared" ref="C53:C116" si="4">F53+I53+L53+O53</f>
        <v>560334</v>
      </c>
      <c r="D53" s="211">
        <f>SUM(D54,D284)</f>
        <v>484708</v>
      </c>
      <c r="E53" s="212">
        <f>SUM(E54,E284)</f>
        <v>0</v>
      </c>
      <c r="F53" s="213">
        <f t="shared" ref="F53:F117" si="5">D53+E53</f>
        <v>484708</v>
      </c>
      <c r="G53" s="211">
        <f>SUM(G54,G284)</f>
        <v>71551</v>
      </c>
      <c r="H53" s="214">
        <f>SUM(H54,H284)</f>
        <v>0</v>
      </c>
      <c r="I53" s="215">
        <f t="shared" ref="I53:I117" si="6">G53+H53</f>
        <v>71551</v>
      </c>
      <c r="J53" s="211">
        <f>SUM(J54,J284)</f>
        <v>4075</v>
      </c>
      <c r="K53" s="214">
        <f>SUM(K54,K284)</f>
        <v>0</v>
      </c>
      <c r="L53" s="215">
        <f t="shared" ref="L53:L117" si="7">J53+K53</f>
        <v>4075</v>
      </c>
      <c r="M53" s="216">
        <f>SUM(M54,M284)</f>
        <v>0</v>
      </c>
      <c r="N53" s="217">
        <f>SUM(N54,N284)</f>
        <v>0</v>
      </c>
      <c r="O53" s="215">
        <f t="shared" ref="O53:O117" si="8">M53+N53</f>
        <v>0</v>
      </c>
      <c r="P53" s="52"/>
      <c r="R53" s="53"/>
      <c r="S53" s="53"/>
      <c r="T53" s="53"/>
    </row>
    <row r="54" spans="1:20" s="41" customFormat="1" ht="36.75" thickTop="1" x14ac:dyDescent="0.25">
      <c r="A54" s="218"/>
      <c r="B54" s="219" t="s">
        <v>72</v>
      </c>
      <c r="C54" s="220">
        <f t="shared" si="4"/>
        <v>560334</v>
      </c>
      <c r="D54" s="221">
        <f>SUM(D55,D197)</f>
        <v>484708</v>
      </c>
      <c r="E54" s="222">
        <f>SUM(E55,E197)</f>
        <v>0</v>
      </c>
      <c r="F54" s="223">
        <f t="shared" si="5"/>
        <v>484708</v>
      </c>
      <c r="G54" s="221">
        <f>SUM(G55,G197)</f>
        <v>71551</v>
      </c>
      <c r="H54" s="224">
        <f>SUM(H55,H197)</f>
        <v>0</v>
      </c>
      <c r="I54" s="225">
        <f t="shared" si="6"/>
        <v>71551</v>
      </c>
      <c r="J54" s="221">
        <f>SUM(J55,J197)</f>
        <v>4075</v>
      </c>
      <c r="K54" s="224">
        <f>SUM(K55,K197)</f>
        <v>0</v>
      </c>
      <c r="L54" s="225">
        <f t="shared" si="7"/>
        <v>4075</v>
      </c>
      <c r="M54" s="226">
        <f>SUM(M55,M197)</f>
        <v>0</v>
      </c>
      <c r="N54" s="227">
        <f>SUM(N55,N197)</f>
        <v>0</v>
      </c>
      <c r="O54" s="225">
        <f t="shared" si="8"/>
        <v>0</v>
      </c>
      <c r="P54" s="228"/>
      <c r="R54" s="53"/>
      <c r="S54" s="53"/>
      <c r="T54" s="53"/>
    </row>
    <row r="55" spans="1:20" s="41" customFormat="1" ht="24" x14ac:dyDescent="0.25">
      <c r="A55" s="35"/>
      <c r="B55" s="30" t="s">
        <v>73</v>
      </c>
      <c r="C55" s="229">
        <f t="shared" si="4"/>
        <v>556464</v>
      </c>
      <c r="D55" s="230">
        <f>SUM(D56,D78,D176,D190)</f>
        <v>481188</v>
      </c>
      <c r="E55" s="231">
        <f>SUM(E56,E78,E176,E190)</f>
        <v>0</v>
      </c>
      <c r="F55" s="232">
        <f t="shared" si="5"/>
        <v>481188</v>
      </c>
      <c r="G55" s="230">
        <f>SUM(G56,G78,G176,G190)</f>
        <v>71201</v>
      </c>
      <c r="H55" s="233">
        <f>SUM(H56,H78,H176,H190)</f>
        <v>0</v>
      </c>
      <c r="I55" s="234">
        <f t="shared" si="6"/>
        <v>71201</v>
      </c>
      <c r="J55" s="230">
        <f>SUM(J56,J78,J176,J190)</f>
        <v>4075</v>
      </c>
      <c r="K55" s="233">
        <f>SUM(K56,K78,K176,K190)</f>
        <v>0</v>
      </c>
      <c r="L55" s="234">
        <f t="shared" si="7"/>
        <v>4075</v>
      </c>
      <c r="M55" s="53">
        <f>SUM(M56,M78,M176,M190)</f>
        <v>0</v>
      </c>
      <c r="N55" s="235">
        <f>SUM(N56,N78,N176,N190)</f>
        <v>0</v>
      </c>
      <c r="O55" s="234">
        <f t="shared" si="8"/>
        <v>0</v>
      </c>
      <c r="P55" s="236"/>
      <c r="R55" s="53"/>
      <c r="S55" s="53"/>
      <c r="T55" s="53"/>
    </row>
    <row r="56" spans="1:20" s="41" customFormat="1" x14ac:dyDescent="0.25">
      <c r="A56" s="237">
        <v>1000</v>
      </c>
      <c r="B56" s="237" t="s">
        <v>74</v>
      </c>
      <c r="C56" s="238">
        <f t="shared" si="4"/>
        <v>498703</v>
      </c>
      <c r="D56" s="239">
        <f>SUM(D57,D70)</f>
        <v>428931</v>
      </c>
      <c r="E56" s="240">
        <f>SUM(E57,E70)</f>
        <v>0</v>
      </c>
      <c r="F56" s="241">
        <f t="shared" si="5"/>
        <v>428931</v>
      </c>
      <c r="G56" s="239">
        <f>SUM(G57,G70)</f>
        <v>69772</v>
      </c>
      <c r="H56" s="242">
        <f>SUM(H57,H70)</f>
        <v>0</v>
      </c>
      <c r="I56" s="243">
        <f t="shared" si="6"/>
        <v>69772</v>
      </c>
      <c r="J56" s="239">
        <f>SUM(J57,J70)</f>
        <v>0</v>
      </c>
      <c r="K56" s="242">
        <f>SUM(K57,K70)</f>
        <v>0</v>
      </c>
      <c r="L56" s="243">
        <f t="shared" si="7"/>
        <v>0</v>
      </c>
      <c r="M56" s="244">
        <f>SUM(M57,M70)</f>
        <v>0</v>
      </c>
      <c r="N56" s="245">
        <f>SUM(N57,N70)</f>
        <v>0</v>
      </c>
      <c r="O56" s="243">
        <f t="shared" si="8"/>
        <v>0</v>
      </c>
      <c r="P56" s="246"/>
      <c r="R56" s="53"/>
      <c r="S56" s="53"/>
      <c r="T56" s="53"/>
    </row>
    <row r="57" spans="1:20" x14ac:dyDescent="0.25">
      <c r="A57" s="99">
        <v>1100</v>
      </c>
      <c r="B57" s="247" t="s">
        <v>75</v>
      </c>
      <c r="C57" s="100">
        <f t="shared" si="4"/>
        <v>379302</v>
      </c>
      <c r="D57" s="112">
        <f>SUM(D58,D61,D69)</f>
        <v>324299</v>
      </c>
      <c r="E57" s="248">
        <f>SUM(E58,E61,E69)</f>
        <v>0</v>
      </c>
      <c r="F57" s="249">
        <f t="shared" si="5"/>
        <v>324299</v>
      </c>
      <c r="G57" s="112">
        <f>SUM(G58,G61,G69)</f>
        <v>55379</v>
      </c>
      <c r="H57" s="113">
        <f>SUM(H58,H61,H69)</f>
        <v>-376</v>
      </c>
      <c r="I57" s="114">
        <f t="shared" si="6"/>
        <v>55003</v>
      </c>
      <c r="J57" s="112">
        <f>SUM(J58,J61,J69)</f>
        <v>0</v>
      </c>
      <c r="K57" s="113">
        <f>SUM(K58,K61,K69)</f>
        <v>0</v>
      </c>
      <c r="L57" s="114">
        <f t="shared" si="7"/>
        <v>0</v>
      </c>
      <c r="M57" s="250">
        <f>SUM(M58,M61,M69)</f>
        <v>0</v>
      </c>
      <c r="N57" s="251">
        <f>SUM(N58,N61,N69)</f>
        <v>0</v>
      </c>
      <c r="O57" s="252">
        <f t="shared" si="8"/>
        <v>0</v>
      </c>
      <c r="P57" s="253"/>
      <c r="R57" s="53"/>
      <c r="S57" s="53"/>
      <c r="T57" s="53"/>
    </row>
    <row r="58" spans="1:20" x14ac:dyDescent="0.25">
      <c r="A58" s="254">
        <v>1110</v>
      </c>
      <c r="B58" s="179" t="s">
        <v>76</v>
      </c>
      <c r="C58" s="191">
        <f t="shared" si="4"/>
        <v>334514</v>
      </c>
      <c r="D58" s="255">
        <f>SUM(D59:D60)</f>
        <v>283802</v>
      </c>
      <c r="E58" s="256">
        <f>SUM(E59:E60)</f>
        <v>0</v>
      </c>
      <c r="F58" s="257">
        <f t="shared" si="5"/>
        <v>283802</v>
      </c>
      <c r="G58" s="255">
        <f>SUM(G59:G60)</f>
        <v>50503</v>
      </c>
      <c r="H58" s="258">
        <f>SUM(H59:H60)</f>
        <v>209</v>
      </c>
      <c r="I58" s="259">
        <f t="shared" si="6"/>
        <v>50712</v>
      </c>
      <c r="J58" s="255">
        <f>SUM(J59:J60)</f>
        <v>0</v>
      </c>
      <c r="K58" s="258">
        <f>SUM(K59:K60)</f>
        <v>0</v>
      </c>
      <c r="L58" s="259">
        <f t="shared" si="7"/>
        <v>0</v>
      </c>
      <c r="M58" s="260">
        <f>SUM(M59:M60)</f>
        <v>0</v>
      </c>
      <c r="N58" s="261">
        <f>SUM(N59:N60)</f>
        <v>0</v>
      </c>
      <c r="O58" s="259">
        <f t="shared" si="8"/>
        <v>0</v>
      </c>
      <c r="P58" s="189"/>
      <c r="R58" s="53"/>
      <c r="S58" s="53"/>
      <c r="T58" s="53"/>
    </row>
    <row r="59" spans="1:20" hidden="1" x14ac:dyDescent="0.25">
      <c r="A59" s="66">
        <v>1111</v>
      </c>
      <c r="B59" s="116" t="s">
        <v>77</v>
      </c>
      <c r="C59" s="117">
        <f t="shared" si="4"/>
        <v>0</v>
      </c>
      <c r="D59" s="123"/>
      <c r="E59" s="262"/>
      <c r="F59" s="263">
        <f t="shared" si="5"/>
        <v>0</v>
      </c>
      <c r="G59" s="123"/>
      <c r="H59" s="124"/>
      <c r="I59" s="125">
        <f t="shared" si="6"/>
        <v>0</v>
      </c>
      <c r="J59" s="123"/>
      <c r="K59" s="124"/>
      <c r="L59" s="125">
        <f t="shared" si="7"/>
        <v>0</v>
      </c>
      <c r="M59" s="264"/>
      <c r="N59" s="262"/>
      <c r="O59" s="125">
        <f t="shared" si="8"/>
        <v>0</v>
      </c>
      <c r="P59" s="74"/>
      <c r="R59" s="53"/>
      <c r="S59" s="53"/>
      <c r="T59" s="53"/>
    </row>
    <row r="60" spans="1:20" ht="24" x14ac:dyDescent="0.25">
      <c r="A60" s="76">
        <v>1119</v>
      </c>
      <c r="B60" s="127" t="s">
        <v>78</v>
      </c>
      <c r="C60" s="128">
        <f t="shared" si="4"/>
        <v>334514</v>
      </c>
      <c r="D60" s="955">
        <v>283802</v>
      </c>
      <c r="E60" s="956"/>
      <c r="F60" s="279">
        <f t="shared" si="5"/>
        <v>283802</v>
      </c>
      <c r="G60" s="955">
        <v>50503</v>
      </c>
      <c r="H60" s="957">
        <v>209</v>
      </c>
      <c r="I60" s="136">
        <f t="shared" si="6"/>
        <v>50712</v>
      </c>
      <c r="J60" s="955"/>
      <c r="K60" s="957"/>
      <c r="L60" s="136">
        <f t="shared" si="7"/>
        <v>0</v>
      </c>
      <c r="M60" s="958"/>
      <c r="N60" s="959"/>
      <c r="O60" s="136">
        <f t="shared" si="8"/>
        <v>0</v>
      </c>
      <c r="P60" s="960" t="s">
        <v>1124</v>
      </c>
      <c r="R60" s="53"/>
      <c r="S60" s="53"/>
      <c r="T60" s="53"/>
    </row>
    <row r="61" spans="1:20" ht="24" x14ac:dyDescent="0.25">
      <c r="A61" s="276">
        <v>1140</v>
      </c>
      <c r="B61" s="127" t="s">
        <v>79</v>
      </c>
      <c r="C61" s="128">
        <f t="shared" si="4"/>
        <v>43291</v>
      </c>
      <c r="D61" s="277">
        <f>SUM(D62:D68)</f>
        <v>39000</v>
      </c>
      <c r="E61" s="278">
        <f>SUM(E62:E68)</f>
        <v>0</v>
      </c>
      <c r="F61" s="279">
        <f>D61+E61</f>
        <v>39000</v>
      </c>
      <c r="G61" s="277">
        <f>SUM(G62:G68)</f>
        <v>4876</v>
      </c>
      <c r="H61" s="280">
        <f>SUM(H62:H68)</f>
        <v>-585</v>
      </c>
      <c r="I61" s="136">
        <f t="shared" si="6"/>
        <v>4291</v>
      </c>
      <c r="J61" s="277">
        <f>SUM(J62:J68)</f>
        <v>0</v>
      </c>
      <c r="K61" s="280">
        <f>SUM(K62:K68)</f>
        <v>0</v>
      </c>
      <c r="L61" s="136">
        <f t="shared" si="7"/>
        <v>0</v>
      </c>
      <c r="M61" s="281">
        <f>SUM(M62:M68)</f>
        <v>0</v>
      </c>
      <c r="N61" s="282">
        <f>SUM(N62:N68)</f>
        <v>0</v>
      </c>
      <c r="O61" s="136">
        <f t="shared" si="8"/>
        <v>0</v>
      </c>
      <c r="P61" s="85"/>
      <c r="R61" s="53"/>
      <c r="S61" s="53"/>
      <c r="T61" s="53"/>
    </row>
    <row r="62" spans="1:20" x14ac:dyDescent="0.25">
      <c r="A62" s="76">
        <v>1141</v>
      </c>
      <c r="B62" s="127" t="s">
        <v>80</v>
      </c>
      <c r="C62" s="128">
        <f t="shared" si="4"/>
        <v>3748</v>
      </c>
      <c r="D62" s="134">
        <v>3748</v>
      </c>
      <c r="E62" s="283"/>
      <c r="F62" s="279">
        <f t="shared" si="5"/>
        <v>3748</v>
      </c>
      <c r="G62" s="134"/>
      <c r="H62" s="135"/>
      <c r="I62" s="136">
        <f t="shared" si="6"/>
        <v>0</v>
      </c>
      <c r="J62" s="134"/>
      <c r="K62" s="135"/>
      <c r="L62" s="136">
        <f t="shared" si="7"/>
        <v>0</v>
      </c>
      <c r="M62" s="284"/>
      <c r="N62" s="285"/>
      <c r="O62" s="136">
        <f t="shared" si="8"/>
        <v>0</v>
      </c>
      <c r="P62" s="85"/>
      <c r="R62" s="53"/>
      <c r="S62" s="53"/>
      <c r="T62" s="53"/>
    </row>
    <row r="63" spans="1:20" ht="24" x14ac:dyDescent="0.25">
      <c r="A63" s="76">
        <v>1142</v>
      </c>
      <c r="B63" s="127" t="s">
        <v>81</v>
      </c>
      <c r="C63" s="128">
        <f t="shared" si="4"/>
        <v>922</v>
      </c>
      <c r="D63" s="134">
        <v>922</v>
      </c>
      <c r="E63" s="283"/>
      <c r="F63" s="279">
        <f t="shared" si="5"/>
        <v>922</v>
      </c>
      <c r="G63" s="134"/>
      <c r="H63" s="135"/>
      <c r="I63" s="136">
        <f t="shared" si="6"/>
        <v>0</v>
      </c>
      <c r="J63" s="134"/>
      <c r="K63" s="135"/>
      <c r="L63" s="136">
        <f t="shared" si="7"/>
        <v>0</v>
      </c>
      <c r="M63" s="284"/>
      <c r="N63" s="285"/>
      <c r="O63" s="136">
        <f t="shared" si="8"/>
        <v>0</v>
      </c>
      <c r="P63" s="85"/>
      <c r="R63" s="53"/>
      <c r="S63" s="53"/>
      <c r="T63" s="53"/>
    </row>
    <row r="64" spans="1:20" ht="24" x14ac:dyDescent="0.25">
      <c r="A64" s="76">
        <v>1145</v>
      </c>
      <c r="B64" s="127" t="s">
        <v>82</v>
      </c>
      <c r="C64" s="128">
        <f t="shared" si="4"/>
        <v>5716</v>
      </c>
      <c r="D64" s="955">
        <v>3411</v>
      </c>
      <c r="E64" s="956"/>
      <c r="F64" s="279">
        <f t="shared" si="5"/>
        <v>3411</v>
      </c>
      <c r="G64" s="955">
        <v>2256</v>
      </c>
      <c r="H64" s="957">
        <v>49</v>
      </c>
      <c r="I64" s="136">
        <f t="shared" si="6"/>
        <v>2305</v>
      </c>
      <c r="J64" s="955"/>
      <c r="K64" s="957"/>
      <c r="L64" s="136">
        <f t="shared" si="7"/>
        <v>0</v>
      </c>
      <c r="M64" s="958"/>
      <c r="N64" s="959"/>
      <c r="O64" s="136">
        <f t="shared" si="8"/>
        <v>0</v>
      </c>
      <c r="P64" s="960" t="s">
        <v>1141</v>
      </c>
      <c r="R64" s="53"/>
      <c r="S64" s="53"/>
      <c r="T64" s="53"/>
    </row>
    <row r="65" spans="1:20" ht="24" hidden="1" x14ac:dyDescent="0.25">
      <c r="A65" s="76">
        <v>1146</v>
      </c>
      <c r="B65" s="127" t="s">
        <v>83</v>
      </c>
      <c r="C65" s="128">
        <f t="shared" si="4"/>
        <v>0</v>
      </c>
      <c r="D65" s="134"/>
      <c r="E65" s="285"/>
      <c r="F65" s="286">
        <f t="shared" si="5"/>
        <v>0</v>
      </c>
      <c r="G65" s="134"/>
      <c r="H65" s="135"/>
      <c r="I65" s="136">
        <f t="shared" si="6"/>
        <v>0</v>
      </c>
      <c r="J65" s="134"/>
      <c r="K65" s="135"/>
      <c r="L65" s="136">
        <f t="shared" si="7"/>
        <v>0</v>
      </c>
      <c r="M65" s="284"/>
      <c r="N65" s="285"/>
      <c r="O65" s="136">
        <f t="shared" si="8"/>
        <v>0</v>
      </c>
      <c r="P65" s="85"/>
      <c r="R65" s="53"/>
      <c r="S65" s="53"/>
      <c r="T65" s="53"/>
    </row>
    <row r="66" spans="1:20" x14ac:dyDescent="0.25">
      <c r="A66" s="76">
        <v>1147</v>
      </c>
      <c r="B66" s="127" t="s">
        <v>84</v>
      </c>
      <c r="C66" s="128">
        <f t="shared" si="4"/>
        <v>3032</v>
      </c>
      <c r="D66" s="134">
        <v>3032</v>
      </c>
      <c r="E66" s="283"/>
      <c r="F66" s="279">
        <f t="shared" si="5"/>
        <v>3032</v>
      </c>
      <c r="G66" s="134"/>
      <c r="H66" s="135"/>
      <c r="I66" s="136">
        <f t="shared" si="6"/>
        <v>0</v>
      </c>
      <c r="J66" s="134"/>
      <c r="K66" s="135"/>
      <c r="L66" s="136">
        <f t="shared" si="7"/>
        <v>0</v>
      </c>
      <c r="M66" s="284"/>
      <c r="N66" s="285"/>
      <c r="O66" s="136">
        <f t="shared" si="8"/>
        <v>0</v>
      </c>
      <c r="P66" s="85"/>
      <c r="R66" s="53"/>
      <c r="S66" s="53"/>
      <c r="T66" s="53"/>
    </row>
    <row r="67" spans="1:20" x14ac:dyDescent="0.25">
      <c r="A67" s="76">
        <v>1148</v>
      </c>
      <c r="B67" s="127" t="s">
        <v>85</v>
      </c>
      <c r="C67" s="128">
        <f t="shared" si="4"/>
        <v>22831</v>
      </c>
      <c r="D67" s="134">
        <v>22831</v>
      </c>
      <c r="E67" s="283"/>
      <c r="F67" s="279">
        <f t="shared" si="5"/>
        <v>22831</v>
      </c>
      <c r="G67" s="134"/>
      <c r="H67" s="135"/>
      <c r="I67" s="136">
        <f t="shared" si="6"/>
        <v>0</v>
      </c>
      <c r="J67" s="134"/>
      <c r="K67" s="135"/>
      <c r="L67" s="136">
        <f t="shared" si="7"/>
        <v>0</v>
      </c>
      <c r="M67" s="284"/>
      <c r="N67" s="285"/>
      <c r="O67" s="136">
        <f t="shared" si="8"/>
        <v>0</v>
      </c>
      <c r="P67" s="85"/>
      <c r="R67" s="53"/>
      <c r="S67" s="53"/>
      <c r="T67" s="53"/>
    </row>
    <row r="68" spans="1:20" ht="36" x14ac:dyDescent="0.25">
      <c r="A68" s="76">
        <v>1149</v>
      </c>
      <c r="B68" s="127" t="s">
        <v>86</v>
      </c>
      <c r="C68" s="128">
        <f t="shared" si="4"/>
        <v>7042</v>
      </c>
      <c r="D68" s="955">
        <v>5056</v>
      </c>
      <c r="E68" s="956"/>
      <c r="F68" s="279">
        <f t="shared" si="5"/>
        <v>5056</v>
      </c>
      <c r="G68" s="955">
        <v>2620</v>
      </c>
      <c r="H68" s="957">
        <v>-634</v>
      </c>
      <c r="I68" s="136">
        <f t="shared" si="6"/>
        <v>1986</v>
      </c>
      <c r="J68" s="955"/>
      <c r="K68" s="957"/>
      <c r="L68" s="136">
        <f t="shared" si="7"/>
        <v>0</v>
      </c>
      <c r="M68" s="958"/>
      <c r="N68" s="959"/>
      <c r="O68" s="136">
        <f t="shared" si="8"/>
        <v>0</v>
      </c>
      <c r="P68" s="960" t="s">
        <v>550</v>
      </c>
      <c r="R68" s="53"/>
      <c r="S68" s="53"/>
      <c r="T68" s="53"/>
    </row>
    <row r="69" spans="1:20" ht="36" x14ac:dyDescent="0.25">
      <c r="A69" s="254">
        <v>1150</v>
      </c>
      <c r="B69" s="179" t="s">
        <v>87</v>
      </c>
      <c r="C69" s="128">
        <f t="shared" si="4"/>
        <v>1497</v>
      </c>
      <c r="D69" s="287">
        <v>1497</v>
      </c>
      <c r="E69" s="288"/>
      <c r="F69" s="257">
        <f t="shared" si="5"/>
        <v>1497</v>
      </c>
      <c r="G69" s="287"/>
      <c r="H69" s="289"/>
      <c r="I69" s="259">
        <f t="shared" si="6"/>
        <v>0</v>
      </c>
      <c r="J69" s="287"/>
      <c r="K69" s="289"/>
      <c r="L69" s="259">
        <f t="shared" si="7"/>
        <v>0</v>
      </c>
      <c r="M69" s="290"/>
      <c r="N69" s="291"/>
      <c r="O69" s="259">
        <f t="shared" si="8"/>
        <v>0</v>
      </c>
      <c r="P69" s="189"/>
      <c r="R69" s="53"/>
      <c r="S69" s="53"/>
      <c r="T69" s="53"/>
    </row>
    <row r="70" spans="1:20" ht="36" x14ac:dyDescent="0.25">
      <c r="A70" s="99">
        <v>1200</v>
      </c>
      <c r="B70" s="247" t="s">
        <v>88</v>
      </c>
      <c r="C70" s="100">
        <f t="shared" si="4"/>
        <v>119401</v>
      </c>
      <c r="D70" s="112">
        <f>SUM(D71:D72)</f>
        <v>104632</v>
      </c>
      <c r="E70" s="248">
        <f>SUM(E71:E72)</f>
        <v>0</v>
      </c>
      <c r="F70" s="249">
        <f>D70+E70</f>
        <v>104632</v>
      </c>
      <c r="G70" s="112">
        <f>SUM(G71:G72)</f>
        <v>14393</v>
      </c>
      <c r="H70" s="113">
        <f>SUM(H71:H72)</f>
        <v>376</v>
      </c>
      <c r="I70" s="114">
        <f t="shared" si="6"/>
        <v>14769</v>
      </c>
      <c r="J70" s="112">
        <f>SUM(J71:J72)</f>
        <v>0</v>
      </c>
      <c r="K70" s="113">
        <f>SUM(K71:K72)</f>
        <v>0</v>
      </c>
      <c r="L70" s="114">
        <f t="shared" si="7"/>
        <v>0</v>
      </c>
      <c r="M70" s="292">
        <f>SUM(M71:M72)</f>
        <v>0</v>
      </c>
      <c r="N70" s="293">
        <f>SUM(N71:N72)</f>
        <v>0</v>
      </c>
      <c r="O70" s="114">
        <f t="shared" si="8"/>
        <v>0</v>
      </c>
      <c r="P70" s="109"/>
      <c r="R70" s="53"/>
      <c r="S70" s="53"/>
      <c r="T70" s="53"/>
    </row>
    <row r="71" spans="1:20" ht="24" x14ac:dyDescent="0.25">
      <c r="A71" s="656">
        <v>1210</v>
      </c>
      <c r="B71" s="116" t="s">
        <v>89</v>
      </c>
      <c r="C71" s="117">
        <f t="shared" si="4"/>
        <v>94408</v>
      </c>
      <c r="D71" s="961">
        <v>79826</v>
      </c>
      <c r="E71" s="962"/>
      <c r="F71" s="296">
        <f t="shared" si="5"/>
        <v>79826</v>
      </c>
      <c r="G71" s="961">
        <v>14043</v>
      </c>
      <c r="H71" s="963">
        <v>539</v>
      </c>
      <c r="I71" s="125">
        <f t="shared" si="6"/>
        <v>14582</v>
      </c>
      <c r="J71" s="961"/>
      <c r="K71" s="963"/>
      <c r="L71" s="125">
        <f t="shared" si="7"/>
        <v>0</v>
      </c>
      <c r="M71" s="964"/>
      <c r="N71" s="965"/>
      <c r="O71" s="125">
        <f t="shared" si="8"/>
        <v>0</v>
      </c>
      <c r="P71" s="960" t="s">
        <v>1116</v>
      </c>
      <c r="R71" s="53"/>
      <c r="S71" s="53"/>
      <c r="T71" s="53"/>
    </row>
    <row r="72" spans="1:20" ht="24" x14ac:dyDescent="0.25">
      <c r="A72" s="276">
        <v>1220</v>
      </c>
      <c r="B72" s="127" t="s">
        <v>90</v>
      </c>
      <c r="C72" s="128">
        <f t="shared" si="4"/>
        <v>24993</v>
      </c>
      <c r="D72" s="277">
        <f>SUM(D73:D77)</f>
        <v>24806</v>
      </c>
      <c r="E72" s="278">
        <f>SUM(E73:E77)</f>
        <v>0</v>
      </c>
      <c r="F72" s="279">
        <f t="shared" si="5"/>
        <v>24806</v>
      </c>
      <c r="G72" s="277">
        <f>SUM(G73:G77)</f>
        <v>350</v>
      </c>
      <c r="H72" s="280">
        <f>SUM(H73:H77)</f>
        <v>-163</v>
      </c>
      <c r="I72" s="136">
        <f t="shared" si="6"/>
        <v>187</v>
      </c>
      <c r="J72" s="277">
        <f>SUM(J73:J77)</f>
        <v>0</v>
      </c>
      <c r="K72" s="280">
        <f>SUM(K73:K77)</f>
        <v>0</v>
      </c>
      <c r="L72" s="136">
        <f t="shared" si="7"/>
        <v>0</v>
      </c>
      <c r="M72" s="281">
        <f>SUM(M73:M77)</f>
        <v>0</v>
      </c>
      <c r="N72" s="282">
        <f>SUM(N73:N77)</f>
        <v>0</v>
      </c>
      <c r="O72" s="136">
        <f t="shared" si="8"/>
        <v>0</v>
      </c>
      <c r="P72" s="85"/>
      <c r="R72" s="53"/>
      <c r="S72" s="53"/>
      <c r="T72" s="53"/>
    </row>
    <row r="73" spans="1:20" ht="60" x14ac:dyDescent="0.25">
      <c r="A73" s="76">
        <v>1221</v>
      </c>
      <c r="B73" s="127" t="s">
        <v>91</v>
      </c>
      <c r="C73" s="128">
        <f t="shared" si="4"/>
        <v>13880</v>
      </c>
      <c r="D73" s="955">
        <v>13693</v>
      </c>
      <c r="E73" s="956"/>
      <c r="F73" s="279">
        <f t="shared" si="5"/>
        <v>13693</v>
      </c>
      <c r="G73" s="955">
        <v>350</v>
      </c>
      <c r="H73" s="957">
        <v>-163</v>
      </c>
      <c r="I73" s="136">
        <f t="shared" si="6"/>
        <v>187</v>
      </c>
      <c r="J73" s="955"/>
      <c r="K73" s="957"/>
      <c r="L73" s="136">
        <f t="shared" si="7"/>
        <v>0</v>
      </c>
      <c r="M73" s="958"/>
      <c r="N73" s="959"/>
      <c r="O73" s="136">
        <f t="shared" si="8"/>
        <v>0</v>
      </c>
      <c r="P73" s="960" t="s">
        <v>550</v>
      </c>
      <c r="R73" s="53"/>
      <c r="S73" s="53"/>
      <c r="T73" s="53"/>
    </row>
    <row r="74" spans="1:20" hidden="1" x14ac:dyDescent="0.25">
      <c r="A74" s="76">
        <v>1223</v>
      </c>
      <c r="B74" s="127" t="s">
        <v>92</v>
      </c>
      <c r="C74" s="128">
        <f t="shared" si="4"/>
        <v>0</v>
      </c>
      <c r="D74" s="134"/>
      <c r="E74" s="285"/>
      <c r="F74" s="286">
        <f t="shared" si="5"/>
        <v>0</v>
      </c>
      <c r="G74" s="134"/>
      <c r="H74" s="135"/>
      <c r="I74" s="136">
        <f t="shared" si="6"/>
        <v>0</v>
      </c>
      <c r="J74" s="134"/>
      <c r="K74" s="135"/>
      <c r="L74" s="136">
        <f t="shared" si="7"/>
        <v>0</v>
      </c>
      <c r="M74" s="284"/>
      <c r="N74" s="285"/>
      <c r="O74" s="136">
        <f t="shared" si="8"/>
        <v>0</v>
      </c>
      <c r="P74" s="85"/>
      <c r="R74" s="53"/>
      <c r="S74" s="53"/>
      <c r="T74" s="53"/>
    </row>
    <row r="75" spans="1:20" hidden="1" x14ac:dyDescent="0.25">
      <c r="A75" s="76">
        <v>1225</v>
      </c>
      <c r="B75" s="127" t="s">
        <v>93</v>
      </c>
      <c r="C75" s="128">
        <f t="shared" si="4"/>
        <v>0</v>
      </c>
      <c r="D75" s="134"/>
      <c r="E75" s="285"/>
      <c r="F75" s="286">
        <f t="shared" si="5"/>
        <v>0</v>
      </c>
      <c r="G75" s="134"/>
      <c r="H75" s="135"/>
      <c r="I75" s="136">
        <f t="shared" si="6"/>
        <v>0</v>
      </c>
      <c r="J75" s="134"/>
      <c r="K75" s="135"/>
      <c r="L75" s="136">
        <f t="shared" si="7"/>
        <v>0</v>
      </c>
      <c r="M75" s="284"/>
      <c r="N75" s="285"/>
      <c r="O75" s="136">
        <f t="shared" si="8"/>
        <v>0</v>
      </c>
      <c r="P75" s="85"/>
      <c r="R75" s="53"/>
      <c r="S75" s="53"/>
      <c r="T75" s="53"/>
    </row>
    <row r="76" spans="1:20" ht="36" x14ac:dyDescent="0.25">
      <c r="A76" s="265">
        <v>1227</v>
      </c>
      <c r="B76" s="266" t="s">
        <v>94</v>
      </c>
      <c r="C76" s="267">
        <f t="shared" si="4"/>
        <v>10685</v>
      </c>
      <c r="D76" s="268">
        <v>10685</v>
      </c>
      <c r="E76" s="269"/>
      <c r="F76" s="270">
        <f t="shared" si="5"/>
        <v>10685</v>
      </c>
      <c r="G76" s="268"/>
      <c r="H76" s="271"/>
      <c r="I76" s="272">
        <f t="shared" si="6"/>
        <v>0</v>
      </c>
      <c r="J76" s="268"/>
      <c r="K76" s="271"/>
      <c r="L76" s="272">
        <f t="shared" si="7"/>
        <v>0</v>
      </c>
      <c r="M76" s="273"/>
      <c r="N76" s="274"/>
      <c r="O76" s="272">
        <f t="shared" si="8"/>
        <v>0</v>
      </c>
      <c r="P76" s="275"/>
      <c r="R76" s="53"/>
      <c r="S76" s="53"/>
      <c r="T76" s="53"/>
    </row>
    <row r="77" spans="1:20" ht="60" x14ac:dyDescent="0.25">
      <c r="A77" s="76">
        <v>1228</v>
      </c>
      <c r="B77" s="127" t="s">
        <v>95</v>
      </c>
      <c r="C77" s="128">
        <f t="shared" si="4"/>
        <v>428</v>
      </c>
      <c r="D77" s="134">
        <v>428</v>
      </c>
      <c r="E77" s="283"/>
      <c r="F77" s="279">
        <f t="shared" si="5"/>
        <v>428</v>
      </c>
      <c r="G77" s="134"/>
      <c r="H77" s="135"/>
      <c r="I77" s="136">
        <f t="shared" si="6"/>
        <v>0</v>
      </c>
      <c r="J77" s="134"/>
      <c r="K77" s="135"/>
      <c r="L77" s="136">
        <f t="shared" si="7"/>
        <v>0</v>
      </c>
      <c r="M77" s="284"/>
      <c r="N77" s="285"/>
      <c r="O77" s="136">
        <f t="shared" si="8"/>
        <v>0</v>
      </c>
      <c r="P77" s="85"/>
      <c r="R77" s="53"/>
      <c r="S77" s="53"/>
      <c r="T77" s="53"/>
    </row>
    <row r="78" spans="1:20" x14ac:dyDescent="0.25">
      <c r="A78" s="237">
        <v>2000</v>
      </c>
      <c r="B78" s="237" t="s">
        <v>96</v>
      </c>
      <c r="C78" s="238">
        <f t="shared" si="4"/>
        <v>57761</v>
      </c>
      <c r="D78" s="239">
        <f>SUM(D79,D86,D133,D167,D168,D175)</f>
        <v>52257</v>
      </c>
      <c r="E78" s="240">
        <f>SUM(E79,E86,E133,E167,E168,E175)</f>
        <v>0</v>
      </c>
      <c r="F78" s="241">
        <f t="shared" si="5"/>
        <v>52257</v>
      </c>
      <c r="G78" s="239">
        <f>SUM(G79,G86,G133,G167,G168,G175)</f>
        <v>1429</v>
      </c>
      <c r="H78" s="242">
        <f>SUM(H79,H86,H133,H167,H168,H175)</f>
        <v>0</v>
      </c>
      <c r="I78" s="243">
        <f t="shared" si="6"/>
        <v>1429</v>
      </c>
      <c r="J78" s="239">
        <f>SUM(J79,J86,J133,J167,J168,J175)</f>
        <v>4075</v>
      </c>
      <c r="K78" s="242">
        <f>SUM(K79,K86,K133,K167,K168,K175)</f>
        <v>0</v>
      </c>
      <c r="L78" s="243">
        <f t="shared" si="7"/>
        <v>4075</v>
      </c>
      <c r="M78" s="244">
        <f>SUM(M79,M86,M133,M167,M168,M175)</f>
        <v>0</v>
      </c>
      <c r="N78" s="245">
        <f>SUM(N79,N86,N133,N167,N168,N175)</f>
        <v>0</v>
      </c>
      <c r="O78" s="243">
        <f t="shared" si="8"/>
        <v>0</v>
      </c>
      <c r="P78" s="246"/>
      <c r="R78" s="53"/>
      <c r="S78" s="53"/>
      <c r="T78" s="53"/>
    </row>
    <row r="79" spans="1:20" ht="24" x14ac:dyDescent="0.25">
      <c r="A79" s="99">
        <v>2100</v>
      </c>
      <c r="B79" s="247" t="s">
        <v>97</v>
      </c>
      <c r="C79" s="100">
        <f t="shared" si="4"/>
        <v>165</v>
      </c>
      <c r="D79" s="112">
        <f>SUM(D80,D83)</f>
        <v>165</v>
      </c>
      <c r="E79" s="248">
        <f>SUM(E80,E83)</f>
        <v>0</v>
      </c>
      <c r="F79" s="249">
        <f t="shared" si="5"/>
        <v>165</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c r="R79" s="53"/>
      <c r="S79" s="53"/>
      <c r="T79" s="53"/>
    </row>
    <row r="80" spans="1:20" ht="24" x14ac:dyDescent="0.25">
      <c r="A80" s="656">
        <v>2110</v>
      </c>
      <c r="B80" s="116" t="s">
        <v>98</v>
      </c>
      <c r="C80" s="117">
        <f t="shared" si="4"/>
        <v>165</v>
      </c>
      <c r="D80" s="297">
        <f>SUM(D81:D82)</f>
        <v>165</v>
      </c>
      <c r="E80" s="298">
        <f>SUM(E81:E82)</f>
        <v>0</v>
      </c>
      <c r="F80" s="296">
        <f t="shared" si="5"/>
        <v>165</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c r="R80" s="53"/>
      <c r="S80" s="53"/>
      <c r="T80" s="53"/>
    </row>
    <row r="81" spans="1:20" hidden="1" x14ac:dyDescent="0.25">
      <c r="A81" s="76">
        <v>2111</v>
      </c>
      <c r="B81" s="127" t="s">
        <v>99</v>
      </c>
      <c r="C81" s="128">
        <f t="shared" si="4"/>
        <v>0</v>
      </c>
      <c r="D81" s="134"/>
      <c r="E81" s="285"/>
      <c r="F81" s="286">
        <f t="shared" si="5"/>
        <v>0</v>
      </c>
      <c r="G81" s="134"/>
      <c r="H81" s="135"/>
      <c r="I81" s="136">
        <f t="shared" si="6"/>
        <v>0</v>
      </c>
      <c r="J81" s="134"/>
      <c r="K81" s="135"/>
      <c r="L81" s="136">
        <f t="shared" si="7"/>
        <v>0</v>
      </c>
      <c r="M81" s="284"/>
      <c r="N81" s="285"/>
      <c r="O81" s="136">
        <f t="shared" si="8"/>
        <v>0</v>
      </c>
      <c r="P81" s="85"/>
      <c r="R81" s="53"/>
      <c r="S81" s="53"/>
      <c r="T81" s="53"/>
    </row>
    <row r="82" spans="1:20" ht="24" x14ac:dyDescent="0.25">
      <c r="A82" s="76">
        <v>2112</v>
      </c>
      <c r="B82" s="127" t="s">
        <v>100</v>
      </c>
      <c r="C82" s="128">
        <f t="shared" si="4"/>
        <v>165</v>
      </c>
      <c r="D82" s="134">
        <v>165</v>
      </c>
      <c r="E82" s="283"/>
      <c r="F82" s="279">
        <f t="shared" si="5"/>
        <v>165</v>
      </c>
      <c r="G82" s="134"/>
      <c r="H82" s="135"/>
      <c r="I82" s="136">
        <f t="shared" si="6"/>
        <v>0</v>
      </c>
      <c r="J82" s="134"/>
      <c r="K82" s="135"/>
      <c r="L82" s="136">
        <f t="shared" si="7"/>
        <v>0</v>
      </c>
      <c r="M82" s="284"/>
      <c r="N82" s="285"/>
      <c r="O82" s="136">
        <f t="shared" si="8"/>
        <v>0</v>
      </c>
      <c r="P82" s="85"/>
      <c r="R82" s="53"/>
      <c r="S82" s="53"/>
      <c r="T82" s="53"/>
    </row>
    <row r="83" spans="1:20" ht="24" hidden="1" x14ac:dyDescent="0.25">
      <c r="A83" s="276">
        <v>2120</v>
      </c>
      <c r="B83" s="127" t="s">
        <v>101</v>
      </c>
      <c r="C83" s="128">
        <f t="shared" si="4"/>
        <v>0</v>
      </c>
      <c r="D83" s="277">
        <f>SUM(D84:D85)</f>
        <v>0</v>
      </c>
      <c r="E83" s="282">
        <f>SUM(E84:E85)</f>
        <v>0</v>
      </c>
      <c r="F83" s="28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c r="R83" s="53"/>
      <c r="S83" s="53"/>
      <c r="T83" s="53"/>
    </row>
    <row r="84" spans="1:20" hidden="1" x14ac:dyDescent="0.25">
      <c r="A84" s="76">
        <v>2121</v>
      </c>
      <c r="B84" s="127" t="s">
        <v>99</v>
      </c>
      <c r="C84" s="128">
        <f t="shared" si="4"/>
        <v>0</v>
      </c>
      <c r="D84" s="134"/>
      <c r="E84" s="285"/>
      <c r="F84" s="286">
        <f t="shared" si="5"/>
        <v>0</v>
      </c>
      <c r="G84" s="134"/>
      <c r="H84" s="135"/>
      <c r="I84" s="136">
        <f t="shared" si="6"/>
        <v>0</v>
      </c>
      <c r="J84" s="134"/>
      <c r="K84" s="135"/>
      <c r="L84" s="136">
        <f t="shared" si="7"/>
        <v>0</v>
      </c>
      <c r="M84" s="284"/>
      <c r="N84" s="285"/>
      <c r="O84" s="136">
        <f t="shared" si="8"/>
        <v>0</v>
      </c>
      <c r="P84" s="85"/>
      <c r="R84" s="53"/>
      <c r="S84" s="53"/>
      <c r="T84" s="53"/>
    </row>
    <row r="85" spans="1:20" ht="24" hidden="1" x14ac:dyDescent="0.25">
      <c r="A85" s="76">
        <v>2122</v>
      </c>
      <c r="B85" s="127" t="s">
        <v>100</v>
      </c>
      <c r="C85" s="128">
        <f t="shared" si="4"/>
        <v>0</v>
      </c>
      <c r="D85" s="134"/>
      <c r="E85" s="285"/>
      <c r="F85" s="286">
        <f t="shared" si="5"/>
        <v>0</v>
      </c>
      <c r="G85" s="134"/>
      <c r="H85" s="135"/>
      <c r="I85" s="136">
        <f t="shared" si="6"/>
        <v>0</v>
      </c>
      <c r="J85" s="134"/>
      <c r="K85" s="135"/>
      <c r="L85" s="136">
        <f t="shared" si="7"/>
        <v>0</v>
      </c>
      <c r="M85" s="284"/>
      <c r="N85" s="285"/>
      <c r="O85" s="136">
        <f t="shared" si="8"/>
        <v>0</v>
      </c>
      <c r="P85" s="85"/>
      <c r="R85" s="53"/>
      <c r="S85" s="53"/>
      <c r="T85" s="53"/>
    </row>
    <row r="86" spans="1:20" x14ac:dyDescent="0.25">
      <c r="A86" s="99">
        <v>2200</v>
      </c>
      <c r="B86" s="247" t="s">
        <v>102</v>
      </c>
      <c r="C86" s="302">
        <f t="shared" si="4"/>
        <v>45717</v>
      </c>
      <c r="D86" s="112">
        <f>SUM(D87,D92,D98,D106,D115,D119,D125,D131)</f>
        <v>44411</v>
      </c>
      <c r="E86" s="248">
        <f>SUM(E87,E92,E98,E106,E115,E119,E125,E131)</f>
        <v>0</v>
      </c>
      <c r="F86" s="249">
        <f t="shared" si="5"/>
        <v>44411</v>
      </c>
      <c r="G86" s="112">
        <f>SUM(G87,G92,G98,G106,G115,G119,G125,G131)</f>
        <v>0</v>
      </c>
      <c r="H86" s="113">
        <f>SUM(H87,H92,H98,H106,H115,H119,H125,H131)</f>
        <v>0</v>
      </c>
      <c r="I86" s="114">
        <f t="shared" si="6"/>
        <v>0</v>
      </c>
      <c r="J86" s="112">
        <f>SUM(J87,J92,J98,J106,J115,J119,J125,J131)</f>
        <v>1306</v>
      </c>
      <c r="K86" s="113">
        <f>SUM(K87,K92,K98,K106,K115,K119,K125,K131)</f>
        <v>0</v>
      </c>
      <c r="L86" s="114">
        <f t="shared" si="7"/>
        <v>1306</v>
      </c>
      <c r="M86" s="303">
        <f>SUM(M87,M92,M98,M106,M115,M119,M125,M131)</f>
        <v>0</v>
      </c>
      <c r="N86" s="304">
        <f>SUM(N87,N92,N98,N106,N115,N119,N125,N131)</f>
        <v>0</v>
      </c>
      <c r="O86" s="305">
        <f t="shared" si="8"/>
        <v>0</v>
      </c>
      <c r="P86" s="306"/>
      <c r="R86" s="53"/>
      <c r="S86" s="53"/>
      <c r="T86" s="53"/>
    </row>
    <row r="87" spans="1:20" ht="24" x14ac:dyDescent="0.25">
      <c r="A87" s="254">
        <v>2210</v>
      </c>
      <c r="B87" s="179" t="s">
        <v>103</v>
      </c>
      <c r="C87" s="191">
        <f t="shared" si="4"/>
        <v>991</v>
      </c>
      <c r="D87" s="255">
        <f>SUM(D88:D91)</f>
        <v>950</v>
      </c>
      <c r="E87" s="256">
        <f>SUM(E88:E91)</f>
        <v>0</v>
      </c>
      <c r="F87" s="257">
        <f t="shared" si="5"/>
        <v>950</v>
      </c>
      <c r="G87" s="255">
        <f>SUM(G88:G91)</f>
        <v>0</v>
      </c>
      <c r="H87" s="258">
        <f>SUM(H88:H91)</f>
        <v>0</v>
      </c>
      <c r="I87" s="259">
        <f t="shared" si="6"/>
        <v>0</v>
      </c>
      <c r="J87" s="255">
        <f>SUM(J88:J91)</f>
        <v>41</v>
      </c>
      <c r="K87" s="258">
        <f>SUM(K88:K91)</f>
        <v>0</v>
      </c>
      <c r="L87" s="259">
        <f t="shared" si="7"/>
        <v>41</v>
      </c>
      <c r="M87" s="260">
        <f>SUM(M88:M91)</f>
        <v>0</v>
      </c>
      <c r="N87" s="261">
        <f>SUM(N88:N91)</f>
        <v>0</v>
      </c>
      <c r="O87" s="259">
        <f t="shared" si="8"/>
        <v>0</v>
      </c>
      <c r="P87" s="189"/>
      <c r="R87" s="53"/>
      <c r="S87" s="53"/>
      <c r="T87" s="53"/>
    </row>
    <row r="88" spans="1:20" ht="24" hidden="1" x14ac:dyDescent="0.25">
      <c r="A88" s="66">
        <v>2211</v>
      </c>
      <c r="B88" s="116" t="s">
        <v>104</v>
      </c>
      <c r="C88" s="128">
        <f t="shared" si="4"/>
        <v>0</v>
      </c>
      <c r="D88" s="123"/>
      <c r="E88" s="262"/>
      <c r="F88" s="263">
        <f t="shared" si="5"/>
        <v>0</v>
      </c>
      <c r="G88" s="123"/>
      <c r="H88" s="124"/>
      <c r="I88" s="125">
        <f t="shared" si="6"/>
        <v>0</v>
      </c>
      <c r="J88" s="123"/>
      <c r="K88" s="124"/>
      <c r="L88" s="125">
        <f t="shared" si="7"/>
        <v>0</v>
      </c>
      <c r="M88" s="264"/>
      <c r="N88" s="262"/>
      <c r="O88" s="125">
        <f t="shared" si="8"/>
        <v>0</v>
      </c>
      <c r="P88" s="74"/>
      <c r="R88" s="53"/>
      <c r="S88" s="53"/>
      <c r="T88" s="53"/>
    </row>
    <row r="89" spans="1:20" ht="36" x14ac:dyDescent="0.25">
      <c r="A89" s="76">
        <v>2212</v>
      </c>
      <c r="B89" s="127" t="s">
        <v>105</v>
      </c>
      <c r="C89" s="128">
        <f t="shared" si="4"/>
        <v>800</v>
      </c>
      <c r="D89" s="134">
        <v>800</v>
      </c>
      <c r="E89" s="283"/>
      <c r="F89" s="279">
        <f t="shared" si="5"/>
        <v>800</v>
      </c>
      <c r="G89" s="134"/>
      <c r="H89" s="135"/>
      <c r="I89" s="136">
        <f t="shared" si="6"/>
        <v>0</v>
      </c>
      <c r="J89" s="134"/>
      <c r="K89" s="135"/>
      <c r="L89" s="136">
        <f t="shared" si="7"/>
        <v>0</v>
      </c>
      <c r="M89" s="284"/>
      <c r="N89" s="285"/>
      <c r="O89" s="136">
        <f t="shared" si="8"/>
        <v>0</v>
      </c>
      <c r="P89" s="85"/>
      <c r="R89" s="53"/>
      <c r="S89" s="53"/>
      <c r="T89" s="53"/>
    </row>
    <row r="90" spans="1:20" ht="24" x14ac:dyDescent="0.25">
      <c r="A90" s="76">
        <v>2214</v>
      </c>
      <c r="B90" s="127" t="s">
        <v>106</v>
      </c>
      <c r="C90" s="128">
        <f t="shared" si="4"/>
        <v>161</v>
      </c>
      <c r="D90" s="134">
        <v>120</v>
      </c>
      <c r="E90" s="283"/>
      <c r="F90" s="279">
        <f t="shared" si="5"/>
        <v>120</v>
      </c>
      <c r="G90" s="134"/>
      <c r="H90" s="135"/>
      <c r="I90" s="136">
        <f t="shared" si="6"/>
        <v>0</v>
      </c>
      <c r="J90" s="134">
        <v>41</v>
      </c>
      <c r="K90" s="135"/>
      <c r="L90" s="136">
        <f t="shared" si="7"/>
        <v>41</v>
      </c>
      <c r="M90" s="284"/>
      <c r="N90" s="285"/>
      <c r="O90" s="136">
        <f t="shared" si="8"/>
        <v>0</v>
      </c>
      <c r="P90" s="85"/>
      <c r="R90" s="53"/>
      <c r="S90" s="53"/>
      <c r="T90" s="53"/>
    </row>
    <row r="91" spans="1:20" x14ac:dyDescent="0.25">
      <c r="A91" s="76">
        <v>2219</v>
      </c>
      <c r="B91" s="127" t="s">
        <v>107</v>
      </c>
      <c r="C91" s="128">
        <f t="shared" si="4"/>
        <v>30</v>
      </c>
      <c r="D91" s="134">
        <v>30</v>
      </c>
      <c r="E91" s="283"/>
      <c r="F91" s="279">
        <f t="shared" si="5"/>
        <v>30</v>
      </c>
      <c r="G91" s="134"/>
      <c r="H91" s="135"/>
      <c r="I91" s="136">
        <f t="shared" si="6"/>
        <v>0</v>
      </c>
      <c r="J91" s="134"/>
      <c r="K91" s="135"/>
      <c r="L91" s="136">
        <f t="shared" si="7"/>
        <v>0</v>
      </c>
      <c r="M91" s="284"/>
      <c r="N91" s="285"/>
      <c r="O91" s="136">
        <f t="shared" si="8"/>
        <v>0</v>
      </c>
      <c r="P91" s="85"/>
      <c r="R91" s="53"/>
      <c r="S91" s="53"/>
      <c r="T91" s="53"/>
    </row>
    <row r="92" spans="1:20" ht="24" x14ac:dyDescent="0.25">
      <c r="A92" s="276">
        <v>2220</v>
      </c>
      <c r="B92" s="127" t="s">
        <v>108</v>
      </c>
      <c r="C92" s="128">
        <f t="shared" si="4"/>
        <v>38111</v>
      </c>
      <c r="D92" s="277">
        <f>SUM(D93:D97)</f>
        <v>37475</v>
      </c>
      <c r="E92" s="278">
        <f>SUM(E93:E97)</f>
        <v>0</v>
      </c>
      <c r="F92" s="279">
        <f t="shared" si="5"/>
        <v>37475</v>
      </c>
      <c r="G92" s="277">
        <f>SUM(G93:G97)</f>
        <v>0</v>
      </c>
      <c r="H92" s="280">
        <f>SUM(H93:H97)</f>
        <v>0</v>
      </c>
      <c r="I92" s="136">
        <f t="shared" si="6"/>
        <v>0</v>
      </c>
      <c r="J92" s="277">
        <f>SUM(J93:J97)</f>
        <v>636</v>
      </c>
      <c r="K92" s="280">
        <f>SUM(K93:K97)</f>
        <v>0</v>
      </c>
      <c r="L92" s="136">
        <f t="shared" si="7"/>
        <v>636</v>
      </c>
      <c r="M92" s="281">
        <f>SUM(M93:M97)</f>
        <v>0</v>
      </c>
      <c r="N92" s="282">
        <f>SUM(N93:N97)</f>
        <v>0</v>
      </c>
      <c r="O92" s="136">
        <f t="shared" si="8"/>
        <v>0</v>
      </c>
      <c r="P92" s="85"/>
      <c r="R92" s="53"/>
      <c r="S92" s="53"/>
      <c r="T92" s="53"/>
    </row>
    <row r="93" spans="1:20" x14ac:dyDescent="0.25">
      <c r="A93" s="265">
        <v>2221</v>
      </c>
      <c r="B93" s="266" t="s">
        <v>109</v>
      </c>
      <c r="C93" s="267">
        <f t="shared" si="4"/>
        <v>23603</v>
      </c>
      <c r="D93" s="268">
        <v>23062</v>
      </c>
      <c r="E93" s="269"/>
      <c r="F93" s="270">
        <f t="shared" si="5"/>
        <v>23062</v>
      </c>
      <c r="G93" s="268"/>
      <c r="H93" s="271"/>
      <c r="I93" s="272">
        <f t="shared" si="6"/>
        <v>0</v>
      </c>
      <c r="J93" s="268">
        <v>541</v>
      </c>
      <c r="K93" s="271"/>
      <c r="L93" s="272">
        <f t="shared" si="7"/>
        <v>541</v>
      </c>
      <c r="M93" s="273"/>
      <c r="N93" s="274"/>
      <c r="O93" s="272">
        <f t="shared" si="8"/>
        <v>0</v>
      </c>
      <c r="P93" s="966"/>
      <c r="R93" s="53"/>
      <c r="S93" s="53"/>
      <c r="T93" s="53"/>
    </row>
    <row r="94" spans="1:20" x14ac:dyDescent="0.25">
      <c r="A94" s="265">
        <v>2222</v>
      </c>
      <c r="B94" s="266" t="s">
        <v>110</v>
      </c>
      <c r="C94" s="267">
        <f t="shared" si="4"/>
        <v>6011</v>
      </c>
      <c r="D94" s="268">
        <v>5947</v>
      </c>
      <c r="E94" s="269"/>
      <c r="F94" s="270">
        <f t="shared" si="5"/>
        <v>5947</v>
      </c>
      <c r="G94" s="268"/>
      <c r="H94" s="271"/>
      <c r="I94" s="272">
        <f t="shared" si="6"/>
        <v>0</v>
      </c>
      <c r="J94" s="268">
        <v>64</v>
      </c>
      <c r="K94" s="271"/>
      <c r="L94" s="272">
        <f t="shared" si="7"/>
        <v>64</v>
      </c>
      <c r="M94" s="273"/>
      <c r="N94" s="274"/>
      <c r="O94" s="272">
        <f t="shared" si="8"/>
        <v>0</v>
      </c>
      <c r="P94" s="275"/>
      <c r="R94" s="53"/>
      <c r="S94" s="53"/>
      <c r="T94" s="53"/>
    </row>
    <row r="95" spans="1:20" x14ac:dyDescent="0.25">
      <c r="A95" s="265">
        <v>2223</v>
      </c>
      <c r="B95" s="266" t="s">
        <v>111</v>
      </c>
      <c r="C95" s="267">
        <f t="shared" si="4"/>
        <v>7850</v>
      </c>
      <c r="D95" s="268">
        <v>7819</v>
      </c>
      <c r="E95" s="269"/>
      <c r="F95" s="270">
        <f t="shared" si="5"/>
        <v>7819</v>
      </c>
      <c r="G95" s="268"/>
      <c r="H95" s="271"/>
      <c r="I95" s="272">
        <f t="shared" si="6"/>
        <v>0</v>
      </c>
      <c r="J95" s="268">
        <v>31</v>
      </c>
      <c r="K95" s="271"/>
      <c r="L95" s="272">
        <f t="shared" si="7"/>
        <v>31</v>
      </c>
      <c r="M95" s="273"/>
      <c r="N95" s="274"/>
      <c r="O95" s="272">
        <f t="shared" si="8"/>
        <v>0</v>
      </c>
      <c r="P95" s="966"/>
      <c r="R95" s="53"/>
      <c r="S95" s="53"/>
      <c r="T95" s="53"/>
    </row>
    <row r="96" spans="1:20" ht="48" x14ac:dyDescent="0.25">
      <c r="A96" s="76">
        <v>2224</v>
      </c>
      <c r="B96" s="127" t="s">
        <v>112</v>
      </c>
      <c r="C96" s="128">
        <f t="shared" si="4"/>
        <v>647</v>
      </c>
      <c r="D96" s="134">
        <v>647</v>
      </c>
      <c r="E96" s="283"/>
      <c r="F96" s="279">
        <f t="shared" si="5"/>
        <v>647</v>
      </c>
      <c r="G96" s="134"/>
      <c r="H96" s="135"/>
      <c r="I96" s="136">
        <f t="shared" si="6"/>
        <v>0</v>
      </c>
      <c r="J96" s="134"/>
      <c r="K96" s="135"/>
      <c r="L96" s="136">
        <f t="shared" si="7"/>
        <v>0</v>
      </c>
      <c r="M96" s="284"/>
      <c r="N96" s="285"/>
      <c r="O96" s="136">
        <f t="shared" si="8"/>
        <v>0</v>
      </c>
      <c r="P96" s="85"/>
      <c r="R96" s="53"/>
      <c r="S96" s="53"/>
      <c r="T96" s="53"/>
    </row>
    <row r="97" spans="1:20" ht="24" hidden="1" x14ac:dyDescent="0.25">
      <c r="A97" s="76">
        <v>2229</v>
      </c>
      <c r="B97" s="127" t="s">
        <v>113</v>
      </c>
      <c r="C97" s="128">
        <f t="shared" si="4"/>
        <v>0</v>
      </c>
      <c r="D97" s="134"/>
      <c r="E97" s="285"/>
      <c r="F97" s="286">
        <f t="shared" si="5"/>
        <v>0</v>
      </c>
      <c r="G97" s="134"/>
      <c r="H97" s="135"/>
      <c r="I97" s="136">
        <f t="shared" si="6"/>
        <v>0</v>
      </c>
      <c r="J97" s="134"/>
      <c r="K97" s="135"/>
      <c r="L97" s="136">
        <f t="shared" si="7"/>
        <v>0</v>
      </c>
      <c r="M97" s="284"/>
      <c r="N97" s="285"/>
      <c r="O97" s="136">
        <f t="shared" si="8"/>
        <v>0</v>
      </c>
      <c r="P97" s="85"/>
      <c r="R97" s="53"/>
      <c r="S97" s="53"/>
      <c r="T97" s="53"/>
    </row>
    <row r="98" spans="1:20" ht="36" x14ac:dyDescent="0.25">
      <c r="A98" s="276">
        <v>2230</v>
      </c>
      <c r="B98" s="127" t="s">
        <v>114</v>
      </c>
      <c r="C98" s="128">
        <f t="shared" si="4"/>
        <v>765</v>
      </c>
      <c r="D98" s="277">
        <f>SUM(D99:D105)</f>
        <v>765</v>
      </c>
      <c r="E98" s="278">
        <f>SUM(E99:E105)</f>
        <v>0</v>
      </c>
      <c r="F98" s="279">
        <f t="shared" si="5"/>
        <v>765</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c r="R98" s="53"/>
      <c r="S98" s="53"/>
      <c r="T98" s="53"/>
    </row>
    <row r="99" spans="1:20" ht="24" hidden="1" x14ac:dyDescent="0.25">
      <c r="A99" s="76">
        <v>2231</v>
      </c>
      <c r="B99" s="127" t="s">
        <v>115</v>
      </c>
      <c r="C99" s="128">
        <f t="shared" si="4"/>
        <v>0</v>
      </c>
      <c r="D99" s="134"/>
      <c r="E99" s="285"/>
      <c r="F99" s="286">
        <f t="shared" si="5"/>
        <v>0</v>
      </c>
      <c r="G99" s="134"/>
      <c r="H99" s="135"/>
      <c r="I99" s="136">
        <f t="shared" si="6"/>
        <v>0</v>
      </c>
      <c r="J99" s="134"/>
      <c r="K99" s="135"/>
      <c r="L99" s="136">
        <f t="shared" si="7"/>
        <v>0</v>
      </c>
      <c r="M99" s="284"/>
      <c r="N99" s="285"/>
      <c r="O99" s="136">
        <f t="shared" si="8"/>
        <v>0</v>
      </c>
      <c r="P99" s="85"/>
      <c r="R99" s="53"/>
      <c r="S99" s="53"/>
      <c r="T99" s="53"/>
    </row>
    <row r="100" spans="1:20" ht="36" hidden="1" x14ac:dyDescent="0.25">
      <c r="A100" s="76">
        <v>2232</v>
      </c>
      <c r="B100" s="127" t="s">
        <v>116</v>
      </c>
      <c r="C100" s="128">
        <f t="shared" si="4"/>
        <v>0</v>
      </c>
      <c r="D100" s="134"/>
      <c r="E100" s="285"/>
      <c r="F100" s="286">
        <f t="shared" si="5"/>
        <v>0</v>
      </c>
      <c r="G100" s="134"/>
      <c r="H100" s="135"/>
      <c r="I100" s="136">
        <f t="shared" si="6"/>
        <v>0</v>
      </c>
      <c r="J100" s="134"/>
      <c r="K100" s="135"/>
      <c r="L100" s="136">
        <f t="shared" si="7"/>
        <v>0</v>
      </c>
      <c r="M100" s="284"/>
      <c r="N100" s="285"/>
      <c r="O100" s="136">
        <f t="shared" si="8"/>
        <v>0</v>
      </c>
      <c r="P100" s="85"/>
      <c r="R100" s="53"/>
      <c r="S100" s="53"/>
      <c r="T100" s="53"/>
    </row>
    <row r="101" spans="1:20" ht="24" hidden="1" x14ac:dyDescent="0.25">
      <c r="A101" s="66">
        <v>2233</v>
      </c>
      <c r="B101" s="116" t="s">
        <v>117</v>
      </c>
      <c r="C101" s="128">
        <f t="shared" si="4"/>
        <v>0</v>
      </c>
      <c r="D101" s="123"/>
      <c r="E101" s="262"/>
      <c r="F101" s="263">
        <f t="shared" si="5"/>
        <v>0</v>
      </c>
      <c r="G101" s="123"/>
      <c r="H101" s="124"/>
      <c r="I101" s="125">
        <f t="shared" si="6"/>
        <v>0</v>
      </c>
      <c r="J101" s="123"/>
      <c r="K101" s="124"/>
      <c r="L101" s="125">
        <f t="shared" si="7"/>
        <v>0</v>
      </c>
      <c r="M101" s="264"/>
      <c r="N101" s="262"/>
      <c r="O101" s="125">
        <f t="shared" si="8"/>
        <v>0</v>
      </c>
      <c r="P101" s="74"/>
      <c r="R101" s="53"/>
      <c r="S101" s="53"/>
      <c r="T101" s="53"/>
    </row>
    <row r="102" spans="1:20" ht="36" hidden="1" x14ac:dyDescent="0.25">
      <c r="A102" s="76">
        <v>2234</v>
      </c>
      <c r="B102" s="127" t="s">
        <v>118</v>
      </c>
      <c r="C102" s="128">
        <f t="shared" si="4"/>
        <v>0</v>
      </c>
      <c r="D102" s="134"/>
      <c r="E102" s="285"/>
      <c r="F102" s="286">
        <f t="shared" si="5"/>
        <v>0</v>
      </c>
      <c r="G102" s="134"/>
      <c r="H102" s="135"/>
      <c r="I102" s="136">
        <f t="shared" si="6"/>
        <v>0</v>
      </c>
      <c r="J102" s="134"/>
      <c r="K102" s="135"/>
      <c r="L102" s="136">
        <f t="shared" si="7"/>
        <v>0</v>
      </c>
      <c r="M102" s="284"/>
      <c r="N102" s="285"/>
      <c r="O102" s="136">
        <f t="shared" si="8"/>
        <v>0</v>
      </c>
      <c r="P102" s="85"/>
      <c r="R102" s="53"/>
      <c r="S102" s="53"/>
      <c r="T102" s="53"/>
    </row>
    <row r="103" spans="1:20" ht="24" hidden="1" x14ac:dyDescent="0.25">
      <c r="A103" s="76">
        <v>2235</v>
      </c>
      <c r="B103" s="127" t="s">
        <v>119</v>
      </c>
      <c r="C103" s="128">
        <f t="shared" si="4"/>
        <v>0</v>
      </c>
      <c r="D103" s="134"/>
      <c r="E103" s="285"/>
      <c r="F103" s="286">
        <f t="shared" si="5"/>
        <v>0</v>
      </c>
      <c r="G103" s="134"/>
      <c r="H103" s="135"/>
      <c r="I103" s="136">
        <f t="shared" si="6"/>
        <v>0</v>
      </c>
      <c r="J103" s="134"/>
      <c r="K103" s="135"/>
      <c r="L103" s="136">
        <f t="shared" si="7"/>
        <v>0</v>
      </c>
      <c r="M103" s="284"/>
      <c r="N103" s="285"/>
      <c r="O103" s="136">
        <f t="shared" si="8"/>
        <v>0</v>
      </c>
      <c r="P103" s="85"/>
      <c r="R103" s="53"/>
      <c r="S103" s="53"/>
      <c r="T103" s="53"/>
    </row>
    <row r="104" spans="1:20" hidden="1" x14ac:dyDescent="0.25">
      <c r="A104" s="76">
        <v>2236</v>
      </c>
      <c r="B104" s="127" t="s">
        <v>120</v>
      </c>
      <c r="C104" s="128">
        <f t="shared" si="4"/>
        <v>0</v>
      </c>
      <c r="D104" s="134"/>
      <c r="E104" s="285"/>
      <c r="F104" s="286">
        <f t="shared" si="5"/>
        <v>0</v>
      </c>
      <c r="G104" s="134"/>
      <c r="H104" s="135"/>
      <c r="I104" s="136">
        <f t="shared" si="6"/>
        <v>0</v>
      </c>
      <c r="J104" s="134"/>
      <c r="K104" s="135"/>
      <c r="L104" s="136">
        <f t="shared" si="7"/>
        <v>0</v>
      </c>
      <c r="M104" s="284"/>
      <c r="N104" s="285"/>
      <c r="O104" s="136">
        <f t="shared" si="8"/>
        <v>0</v>
      </c>
      <c r="P104" s="85"/>
      <c r="R104" s="53"/>
      <c r="S104" s="53"/>
      <c r="T104" s="53"/>
    </row>
    <row r="105" spans="1:20" ht="24" x14ac:dyDescent="0.25">
      <c r="A105" s="76">
        <v>2239</v>
      </c>
      <c r="B105" s="127" t="s">
        <v>121</v>
      </c>
      <c r="C105" s="128">
        <f t="shared" si="4"/>
        <v>765</v>
      </c>
      <c r="D105" s="134">
        <v>765</v>
      </c>
      <c r="E105" s="283"/>
      <c r="F105" s="279">
        <f t="shared" si="5"/>
        <v>765</v>
      </c>
      <c r="G105" s="134"/>
      <c r="H105" s="135"/>
      <c r="I105" s="136">
        <f t="shared" si="6"/>
        <v>0</v>
      </c>
      <c r="J105" s="134"/>
      <c r="K105" s="135"/>
      <c r="L105" s="136">
        <f t="shared" si="7"/>
        <v>0</v>
      </c>
      <c r="M105" s="284"/>
      <c r="N105" s="285"/>
      <c r="O105" s="136">
        <f t="shared" si="8"/>
        <v>0</v>
      </c>
      <c r="P105" s="85"/>
      <c r="R105" s="53"/>
      <c r="S105" s="53"/>
      <c r="T105" s="53"/>
    </row>
    <row r="106" spans="1:20" ht="36" x14ac:dyDescent="0.25">
      <c r="A106" s="276">
        <v>2240</v>
      </c>
      <c r="B106" s="127" t="s">
        <v>122</v>
      </c>
      <c r="C106" s="128">
        <f t="shared" si="4"/>
        <v>4999</v>
      </c>
      <c r="D106" s="277">
        <f>SUM(D107:D114)</f>
        <v>4999</v>
      </c>
      <c r="E106" s="278">
        <f>SUM(E107:E114)</f>
        <v>0</v>
      </c>
      <c r="F106" s="279">
        <f t="shared" si="5"/>
        <v>4999</v>
      </c>
      <c r="G106" s="277">
        <f>SUM(G107:G114)</f>
        <v>0</v>
      </c>
      <c r="H106" s="280">
        <f>SUM(H107:H114)</f>
        <v>0</v>
      </c>
      <c r="I106" s="136">
        <f t="shared" si="6"/>
        <v>0</v>
      </c>
      <c r="J106" s="277">
        <f>SUM(J107:J114)</f>
        <v>0</v>
      </c>
      <c r="K106" s="280">
        <f>SUM(K107:K114)</f>
        <v>0</v>
      </c>
      <c r="L106" s="136">
        <f t="shared" si="7"/>
        <v>0</v>
      </c>
      <c r="M106" s="281">
        <f>SUM(M107:M114)</f>
        <v>0</v>
      </c>
      <c r="N106" s="282">
        <f>SUM(N107:N114)</f>
        <v>0</v>
      </c>
      <c r="O106" s="136">
        <f t="shared" si="8"/>
        <v>0</v>
      </c>
      <c r="P106" s="85"/>
      <c r="R106" s="53"/>
      <c r="S106" s="53"/>
      <c r="T106" s="53"/>
    </row>
    <row r="107" spans="1:20" hidden="1" x14ac:dyDescent="0.25">
      <c r="A107" s="76">
        <v>2241</v>
      </c>
      <c r="B107" s="127" t="s">
        <v>123</v>
      </c>
      <c r="C107" s="128">
        <f t="shared" si="4"/>
        <v>0</v>
      </c>
      <c r="D107" s="134"/>
      <c r="E107" s="285"/>
      <c r="F107" s="286">
        <f t="shared" si="5"/>
        <v>0</v>
      </c>
      <c r="G107" s="134"/>
      <c r="H107" s="135"/>
      <c r="I107" s="136">
        <f t="shared" si="6"/>
        <v>0</v>
      </c>
      <c r="J107" s="134"/>
      <c r="K107" s="135"/>
      <c r="L107" s="136">
        <f t="shared" si="7"/>
        <v>0</v>
      </c>
      <c r="M107" s="284"/>
      <c r="N107" s="285"/>
      <c r="O107" s="136">
        <f t="shared" si="8"/>
        <v>0</v>
      </c>
      <c r="P107" s="85"/>
      <c r="R107" s="53"/>
      <c r="S107" s="53"/>
      <c r="T107" s="53"/>
    </row>
    <row r="108" spans="1:20" ht="24" hidden="1" x14ac:dyDescent="0.25">
      <c r="A108" s="76">
        <v>2242</v>
      </c>
      <c r="B108" s="127" t="s">
        <v>124</v>
      </c>
      <c r="C108" s="128">
        <f t="shared" si="4"/>
        <v>0</v>
      </c>
      <c r="D108" s="134"/>
      <c r="E108" s="285"/>
      <c r="F108" s="286">
        <f t="shared" si="5"/>
        <v>0</v>
      </c>
      <c r="G108" s="134"/>
      <c r="H108" s="135"/>
      <c r="I108" s="136">
        <f t="shared" si="6"/>
        <v>0</v>
      </c>
      <c r="J108" s="134"/>
      <c r="K108" s="135"/>
      <c r="L108" s="136">
        <f t="shared" si="7"/>
        <v>0</v>
      </c>
      <c r="M108" s="284"/>
      <c r="N108" s="285"/>
      <c r="O108" s="136">
        <f t="shared" si="8"/>
        <v>0</v>
      </c>
      <c r="P108" s="85"/>
      <c r="R108" s="53"/>
      <c r="S108" s="53"/>
      <c r="T108" s="53"/>
    </row>
    <row r="109" spans="1:20" ht="24" x14ac:dyDescent="0.25">
      <c r="A109" s="76">
        <v>2243</v>
      </c>
      <c r="B109" s="127" t="s">
        <v>125</v>
      </c>
      <c r="C109" s="128">
        <f t="shared" si="4"/>
        <v>400</v>
      </c>
      <c r="D109" s="134">
        <v>400</v>
      </c>
      <c r="E109" s="283"/>
      <c r="F109" s="279">
        <f t="shared" si="5"/>
        <v>400</v>
      </c>
      <c r="G109" s="134"/>
      <c r="H109" s="135"/>
      <c r="I109" s="136">
        <f t="shared" si="6"/>
        <v>0</v>
      </c>
      <c r="J109" s="134"/>
      <c r="K109" s="135"/>
      <c r="L109" s="136">
        <f t="shared" si="7"/>
        <v>0</v>
      </c>
      <c r="M109" s="284"/>
      <c r="N109" s="285"/>
      <c r="O109" s="136">
        <f t="shared" si="8"/>
        <v>0</v>
      </c>
      <c r="P109" s="85"/>
      <c r="R109" s="53"/>
      <c r="S109" s="53"/>
      <c r="T109" s="53"/>
    </row>
    <row r="110" spans="1:20" x14ac:dyDescent="0.25">
      <c r="A110" s="265">
        <v>2244</v>
      </c>
      <c r="B110" s="266" t="s">
        <v>126</v>
      </c>
      <c r="C110" s="267">
        <f t="shared" si="4"/>
        <v>4599</v>
      </c>
      <c r="D110" s="268">
        <v>4599</v>
      </c>
      <c r="E110" s="269"/>
      <c r="F110" s="270">
        <f t="shared" si="5"/>
        <v>4599</v>
      </c>
      <c r="G110" s="268"/>
      <c r="H110" s="271"/>
      <c r="I110" s="272">
        <f t="shared" si="6"/>
        <v>0</v>
      </c>
      <c r="J110" s="268"/>
      <c r="K110" s="271"/>
      <c r="L110" s="272">
        <f t="shared" si="7"/>
        <v>0</v>
      </c>
      <c r="M110" s="273"/>
      <c r="N110" s="274"/>
      <c r="O110" s="272">
        <f t="shared" si="8"/>
        <v>0</v>
      </c>
      <c r="P110" s="275"/>
      <c r="R110" s="53"/>
      <c r="S110" s="53"/>
      <c r="T110" s="53"/>
    </row>
    <row r="111" spans="1:20" ht="24" hidden="1" x14ac:dyDescent="0.25">
      <c r="A111" s="76">
        <v>2246</v>
      </c>
      <c r="B111" s="127" t="s">
        <v>127</v>
      </c>
      <c r="C111" s="128">
        <f t="shared" si="4"/>
        <v>0</v>
      </c>
      <c r="D111" s="134"/>
      <c r="E111" s="285"/>
      <c r="F111" s="286">
        <f t="shared" si="5"/>
        <v>0</v>
      </c>
      <c r="G111" s="134"/>
      <c r="H111" s="135"/>
      <c r="I111" s="136">
        <f t="shared" si="6"/>
        <v>0</v>
      </c>
      <c r="J111" s="134"/>
      <c r="K111" s="135"/>
      <c r="L111" s="136">
        <f t="shared" si="7"/>
        <v>0</v>
      </c>
      <c r="M111" s="284"/>
      <c r="N111" s="285"/>
      <c r="O111" s="136">
        <f t="shared" si="8"/>
        <v>0</v>
      </c>
      <c r="P111" s="85"/>
      <c r="R111" s="53"/>
      <c r="S111" s="53"/>
      <c r="T111" s="53"/>
    </row>
    <row r="112" spans="1:20" hidden="1" x14ac:dyDescent="0.25">
      <c r="A112" s="76">
        <v>2247</v>
      </c>
      <c r="B112" s="127" t="s">
        <v>128</v>
      </c>
      <c r="C112" s="128">
        <f t="shared" si="4"/>
        <v>0</v>
      </c>
      <c r="D112" s="134"/>
      <c r="E112" s="285"/>
      <c r="F112" s="286">
        <f t="shared" si="5"/>
        <v>0</v>
      </c>
      <c r="G112" s="134"/>
      <c r="H112" s="135"/>
      <c r="I112" s="136">
        <f t="shared" si="6"/>
        <v>0</v>
      </c>
      <c r="J112" s="134"/>
      <c r="K112" s="135"/>
      <c r="L112" s="136">
        <f t="shared" si="7"/>
        <v>0</v>
      </c>
      <c r="M112" s="284"/>
      <c r="N112" s="285"/>
      <c r="O112" s="136">
        <f t="shared" si="8"/>
        <v>0</v>
      </c>
      <c r="P112" s="85"/>
      <c r="R112" s="53"/>
      <c r="S112" s="53"/>
      <c r="T112" s="53"/>
    </row>
    <row r="113" spans="1:20" ht="24" hidden="1" x14ac:dyDescent="0.25">
      <c r="A113" s="76">
        <v>2248</v>
      </c>
      <c r="B113" s="127" t="s">
        <v>129</v>
      </c>
      <c r="C113" s="128">
        <f t="shared" si="4"/>
        <v>0</v>
      </c>
      <c r="D113" s="134"/>
      <c r="E113" s="285"/>
      <c r="F113" s="286">
        <f t="shared" si="5"/>
        <v>0</v>
      </c>
      <c r="G113" s="134"/>
      <c r="H113" s="135"/>
      <c r="I113" s="136">
        <f t="shared" si="6"/>
        <v>0</v>
      </c>
      <c r="J113" s="134"/>
      <c r="K113" s="135"/>
      <c r="L113" s="136">
        <f t="shared" si="7"/>
        <v>0</v>
      </c>
      <c r="M113" s="284"/>
      <c r="N113" s="285"/>
      <c r="O113" s="136">
        <f t="shared" si="8"/>
        <v>0</v>
      </c>
      <c r="P113" s="85"/>
      <c r="R113" s="53"/>
      <c r="S113" s="53"/>
      <c r="T113" s="53"/>
    </row>
    <row r="114" spans="1:20" ht="24" hidden="1" x14ac:dyDescent="0.25">
      <c r="A114" s="76">
        <v>2249</v>
      </c>
      <c r="B114" s="127" t="s">
        <v>130</v>
      </c>
      <c r="C114" s="128">
        <f t="shared" si="4"/>
        <v>0</v>
      </c>
      <c r="D114" s="134"/>
      <c r="E114" s="285"/>
      <c r="F114" s="286">
        <f t="shared" si="5"/>
        <v>0</v>
      </c>
      <c r="G114" s="134"/>
      <c r="H114" s="135"/>
      <c r="I114" s="136">
        <f t="shared" si="6"/>
        <v>0</v>
      </c>
      <c r="J114" s="134"/>
      <c r="K114" s="135"/>
      <c r="L114" s="136">
        <f t="shared" si="7"/>
        <v>0</v>
      </c>
      <c r="M114" s="284"/>
      <c r="N114" s="285"/>
      <c r="O114" s="136">
        <f t="shared" si="8"/>
        <v>0</v>
      </c>
      <c r="P114" s="85"/>
      <c r="R114" s="53"/>
      <c r="S114" s="53"/>
      <c r="T114" s="53"/>
    </row>
    <row r="115" spans="1:20" x14ac:dyDescent="0.25">
      <c r="A115" s="276">
        <v>2250</v>
      </c>
      <c r="B115" s="127" t="s">
        <v>131</v>
      </c>
      <c r="C115" s="128">
        <f t="shared" si="4"/>
        <v>166</v>
      </c>
      <c r="D115" s="277">
        <f>SUM(D116:D118)</f>
        <v>166</v>
      </c>
      <c r="E115" s="278">
        <f>SUM(E116:E118)</f>
        <v>0</v>
      </c>
      <c r="F115" s="279">
        <f t="shared" si="5"/>
        <v>166</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c r="R115" s="53"/>
      <c r="S115" s="53"/>
      <c r="T115" s="53"/>
    </row>
    <row r="116" spans="1:20" x14ac:dyDescent="0.25">
      <c r="A116" s="76">
        <v>2251</v>
      </c>
      <c r="B116" s="127" t="s">
        <v>132</v>
      </c>
      <c r="C116" s="128">
        <f t="shared" si="4"/>
        <v>166</v>
      </c>
      <c r="D116" s="134">
        <v>166</v>
      </c>
      <c r="E116" s="283"/>
      <c r="F116" s="279">
        <f t="shared" si="5"/>
        <v>166</v>
      </c>
      <c r="G116" s="134"/>
      <c r="H116" s="135"/>
      <c r="I116" s="136">
        <f t="shared" si="6"/>
        <v>0</v>
      </c>
      <c r="J116" s="134"/>
      <c r="K116" s="135"/>
      <c r="L116" s="136">
        <f t="shared" si="7"/>
        <v>0</v>
      </c>
      <c r="M116" s="284"/>
      <c r="N116" s="285"/>
      <c r="O116" s="136">
        <f t="shared" si="8"/>
        <v>0</v>
      </c>
      <c r="P116" s="85"/>
      <c r="R116" s="53"/>
      <c r="S116" s="53"/>
      <c r="T116" s="53"/>
    </row>
    <row r="117" spans="1:20" ht="24" hidden="1" x14ac:dyDescent="0.25">
      <c r="A117" s="76">
        <v>2252</v>
      </c>
      <c r="B117" s="127" t="s">
        <v>133</v>
      </c>
      <c r="C117" s="128">
        <f t="shared" ref="C117:C181" si="9">F117+I117+L117+O117</f>
        <v>0</v>
      </c>
      <c r="D117" s="134"/>
      <c r="E117" s="285"/>
      <c r="F117" s="286">
        <f t="shared" si="5"/>
        <v>0</v>
      </c>
      <c r="G117" s="134"/>
      <c r="H117" s="135"/>
      <c r="I117" s="136">
        <f t="shared" si="6"/>
        <v>0</v>
      </c>
      <c r="J117" s="134"/>
      <c r="K117" s="135"/>
      <c r="L117" s="136">
        <f t="shared" si="7"/>
        <v>0</v>
      </c>
      <c r="M117" s="284"/>
      <c r="N117" s="285"/>
      <c r="O117" s="136">
        <f t="shared" si="8"/>
        <v>0</v>
      </c>
      <c r="P117" s="85"/>
      <c r="R117" s="53"/>
      <c r="S117" s="53"/>
      <c r="T117" s="53"/>
    </row>
    <row r="118" spans="1:20" ht="24" hidden="1" x14ac:dyDescent="0.25">
      <c r="A118" s="76">
        <v>2259</v>
      </c>
      <c r="B118" s="127" t="s">
        <v>134</v>
      </c>
      <c r="C118" s="128">
        <f t="shared" si="9"/>
        <v>0</v>
      </c>
      <c r="D118" s="134"/>
      <c r="E118" s="285"/>
      <c r="F118" s="286">
        <f t="shared" ref="F118:F182" si="10">D118+E118</f>
        <v>0</v>
      </c>
      <c r="G118" s="134"/>
      <c r="H118" s="135"/>
      <c r="I118" s="136">
        <f t="shared" ref="I118:I182" si="11">G118+H118</f>
        <v>0</v>
      </c>
      <c r="J118" s="134"/>
      <c r="K118" s="135"/>
      <c r="L118" s="136">
        <f t="shared" ref="L118:L182" si="12">J118+K118</f>
        <v>0</v>
      </c>
      <c r="M118" s="284"/>
      <c r="N118" s="285"/>
      <c r="O118" s="136">
        <f t="shared" ref="O118:O182" si="13">M118+N118</f>
        <v>0</v>
      </c>
      <c r="P118" s="85"/>
      <c r="R118" s="53"/>
      <c r="S118" s="53"/>
      <c r="T118" s="53"/>
    </row>
    <row r="119" spans="1:20" x14ac:dyDescent="0.25">
      <c r="A119" s="276">
        <v>2260</v>
      </c>
      <c r="B119" s="127" t="s">
        <v>135</v>
      </c>
      <c r="C119" s="128">
        <f t="shared" si="9"/>
        <v>41</v>
      </c>
      <c r="D119" s="277">
        <f>SUM(D120:D124)</f>
        <v>41</v>
      </c>
      <c r="E119" s="278">
        <f>SUM(E120:E124)</f>
        <v>0</v>
      </c>
      <c r="F119" s="279">
        <f t="shared" si="10"/>
        <v>41</v>
      </c>
      <c r="G119" s="277">
        <f>SUM(G120:G124)</f>
        <v>0</v>
      </c>
      <c r="H119" s="280">
        <f>SUM(H120:H124)</f>
        <v>0</v>
      </c>
      <c r="I119" s="136">
        <f t="shared" si="11"/>
        <v>0</v>
      </c>
      <c r="J119" s="277">
        <f>SUM(J120:J124)</f>
        <v>0</v>
      </c>
      <c r="K119" s="280">
        <f>SUM(K120:K124)</f>
        <v>0</v>
      </c>
      <c r="L119" s="136">
        <f t="shared" si="12"/>
        <v>0</v>
      </c>
      <c r="M119" s="281">
        <f>SUM(M120:M124)</f>
        <v>0</v>
      </c>
      <c r="N119" s="282">
        <f>SUM(N120:N124)</f>
        <v>0</v>
      </c>
      <c r="O119" s="136">
        <f t="shared" si="13"/>
        <v>0</v>
      </c>
      <c r="P119" s="85"/>
      <c r="R119" s="53"/>
      <c r="S119" s="53"/>
      <c r="T119" s="53"/>
    </row>
    <row r="120" spans="1:20" hidden="1" x14ac:dyDescent="0.25">
      <c r="A120" s="76">
        <v>2261</v>
      </c>
      <c r="B120" s="127" t="s">
        <v>136</v>
      </c>
      <c r="C120" s="128">
        <f t="shared" si="9"/>
        <v>0</v>
      </c>
      <c r="D120" s="134"/>
      <c r="E120" s="285"/>
      <c r="F120" s="286">
        <f t="shared" si="10"/>
        <v>0</v>
      </c>
      <c r="G120" s="134"/>
      <c r="H120" s="135"/>
      <c r="I120" s="136">
        <f t="shared" si="11"/>
        <v>0</v>
      </c>
      <c r="J120" s="134"/>
      <c r="K120" s="135"/>
      <c r="L120" s="136">
        <f t="shared" si="12"/>
        <v>0</v>
      </c>
      <c r="M120" s="284"/>
      <c r="N120" s="285"/>
      <c r="O120" s="136">
        <f t="shared" si="13"/>
        <v>0</v>
      </c>
      <c r="P120" s="85"/>
      <c r="R120" s="53"/>
      <c r="S120" s="53"/>
      <c r="T120" s="53"/>
    </row>
    <row r="121" spans="1:20" hidden="1" x14ac:dyDescent="0.25">
      <c r="A121" s="76">
        <v>2262</v>
      </c>
      <c r="B121" s="127" t="s">
        <v>137</v>
      </c>
      <c r="C121" s="128">
        <f t="shared" si="9"/>
        <v>0</v>
      </c>
      <c r="D121" s="134"/>
      <c r="E121" s="285"/>
      <c r="F121" s="286">
        <f t="shared" si="10"/>
        <v>0</v>
      </c>
      <c r="G121" s="134"/>
      <c r="H121" s="135"/>
      <c r="I121" s="136">
        <f t="shared" si="11"/>
        <v>0</v>
      </c>
      <c r="J121" s="134"/>
      <c r="K121" s="135"/>
      <c r="L121" s="136">
        <f t="shared" si="12"/>
        <v>0</v>
      </c>
      <c r="M121" s="284"/>
      <c r="N121" s="285"/>
      <c r="O121" s="136">
        <f t="shared" si="13"/>
        <v>0</v>
      </c>
      <c r="P121" s="85"/>
      <c r="R121" s="53"/>
      <c r="S121" s="53"/>
      <c r="T121" s="53"/>
    </row>
    <row r="122" spans="1:20" hidden="1" x14ac:dyDescent="0.25">
      <c r="A122" s="76">
        <v>2263</v>
      </c>
      <c r="B122" s="127" t="s">
        <v>138</v>
      </c>
      <c r="C122" s="128">
        <f t="shared" si="9"/>
        <v>0</v>
      </c>
      <c r="D122" s="134"/>
      <c r="E122" s="285"/>
      <c r="F122" s="286">
        <f t="shared" si="10"/>
        <v>0</v>
      </c>
      <c r="G122" s="134"/>
      <c r="H122" s="135"/>
      <c r="I122" s="136">
        <f t="shared" si="11"/>
        <v>0</v>
      </c>
      <c r="J122" s="134"/>
      <c r="K122" s="135"/>
      <c r="L122" s="136">
        <f t="shared" si="12"/>
        <v>0</v>
      </c>
      <c r="M122" s="284"/>
      <c r="N122" s="285"/>
      <c r="O122" s="136">
        <f t="shared" si="13"/>
        <v>0</v>
      </c>
      <c r="P122" s="85"/>
      <c r="R122" s="53"/>
      <c r="S122" s="53"/>
      <c r="T122" s="53"/>
    </row>
    <row r="123" spans="1:20" ht="24" hidden="1" x14ac:dyDescent="0.25">
      <c r="A123" s="76">
        <v>2264</v>
      </c>
      <c r="B123" s="127" t="s">
        <v>139</v>
      </c>
      <c r="C123" s="128">
        <f t="shared" si="9"/>
        <v>0</v>
      </c>
      <c r="D123" s="134"/>
      <c r="E123" s="285"/>
      <c r="F123" s="286">
        <f t="shared" si="10"/>
        <v>0</v>
      </c>
      <c r="G123" s="134"/>
      <c r="H123" s="135"/>
      <c r="I123" s="136">
        <f t="shared" si="11"/>
        <v>0</v>
      </c>
      <c r="J123" s="134"/>
      <c r="K123" s="135"/>
      <c r="L123" s="136">
        <f t="shared" si="12"/>
        <v>0</v>
      </c>
      <c r="M123" s="284"/>
      <c r="N123" s="285"/>
      <c r="O123" s="136">
        <f t="shared" si="13"/>
        <v>0</v>
      </c>
      <c r="P123" s="85"/>
      <c r="R123" s="53"/>
      <c r="S123" s="53"/>
      <c r="T123" s="53"/>
    </row>
    <row r="124" spans="1:20" x14ac:dyDescent="0.25">
      <c r="A124" s="76">
        <v>2269</v>
      </c>
      <c r="B124" s="127" t="s">
        <v>140</v>
      </c>
      <c r="C124" s="128">
        <f t="shared" si="9"/>
        <v>41</v>
      </c>
      <c r="D124" s="134">
        <v>41</v>
      </c>
      <c r="E124" s="283"/>
      <c r="F124" s="279">
        <f t="shared" si="10"/>
        <v>41</v>
      </c>
      <c r="G124" s="134"/>
      <c r="H124" s="135"/>
      <c r="I124" s="136">
        <f t="shared" si="11"/>
        <v>0</v>
      </c>
      <c r="J124" s="134"/>
      <c r="K124" s="135"/>
      <c r="L124" s="136">
        <f t="shared" si="12"/>
        <v>0</v>
      </c>
      <c r="M124" s="284"/>
      <c r="N124" s="285"/>
      <c r="O124" s="136">
        <f t="shared" si="13"/>
        <v>0</v>
      </c>
      <c r="P124" s="85"/>
      <c r="R124" s="53"/>
      <c r="S124" s="53"/>
      <c r="T124" s="53"/>
    </row>
    <row r="125" spans="1:20" x14ac:dyDescent="0.25">
      <c r="A125" s="276">
        <v>2270</v>
      </c>
      <c r="B125" s="127" t="s">
        <v>141</v>
      </c>
      <c r="C125" s="128">
        <f t="shared" si="9"/>
        <v>644</v>
      </c>
      <c r="D125" s="277">
        <f>SUM(D126:D130)</f>
        <v>15</v>
      </c>
      <c r="E125" s="278">
        <f>SUM(E126:E130)</f>
        <v>0</v>
      </c>
      <c r="F125" s="279">
        <f t="shared" si="10"/>
        <v>15</v>
      </c>
      <c r="G125" s="277">
        <f>SUM(G126:G130)</f>
        <v>0</v>
      </c>
      <c r="H125" s="280">
        <f>SUM(H126:H130)</f>
        <v>0</v>
      </c>
      <c r="I125" s="136">
        <f t="shared" si="11"/>
        <v>0</v>
      </c>
      <c r="J125" s="277">
        <f>SUM(J126:J130)</f>
        <v>629</v>
      </c>
      <c r="K125" s="280">
        <f>SUM(K126:K130)</f>
        <v>0</v>
      </c>
      <c r="L125" s="136">
        <f t="shared" si="12"/>
        <v>629</v>
      </c>
      <c r="M125" s="281">
        <f>SUM(M126:M130)</f>
        <v>0</v>
      </c>
      <c r="N125" s="282">
        <f>SUM(N126:N130)</f>
        <v>0</v>
      </c>
      <c r="O125" s="136">
        <f t="shared" si="13"/>
        <v>0</v>
      </c>
      <c r="P125" s="85"/>
      <c r="R125" s="53"/>
      <c r="S125" s="53"/>
      <c r="T125" s="53"/>
    </row>
    <row r="126" spans="1:20" hidden="1" x14ac:dyDescent="0.25">
      <c r="A126" s="76">
        <v>2272</v>
      </c>
      <c r="B126" s="5" t="s">
        <v>142</v>
      </c>
      <c r="C126" s="128">
        <f t="shared" si="9"/>
        <v>0</v>
      </c>
      <c r="D126" s="134"/>
      <c r="E126" s="285"/>
      <c r="F126" s="286">
        <f t="shared" si="10"/>
        <v>0</v>
      </c>
      <c r="G126" s="134"/>
      <c r="H126" s="135"/>
      <c r="I126" s="136">
        <f t="shared" si="11"/>
        <v>0</v>
      </c>
      <c r="J126" s="134"/>
      <c r="K126" s="135"/>
      <c r="L126" s="136">
        <f t="shared" si="12"/>
        <v>0</v>
      </c>
      <c r="M126" s="284"/>
      <c r="N126" s="285"/>
      <c r="O126" s="136">
        <f t="shared" si="13"/>
        <v>0</v>
      </c>
      <c r="P126" s="85"/>
      <c r="R126" s="53"/>
      <c r="S126" s="53"/>
      <c r="T126" s="53"/>
    </row>
    <row r="127" spans="1:20" ht="24" hidden="1" x14ac:dyDescent="0.25">
      <c r="A127" s="76">
        <v>2275</v>
      </c>
      <c r="B127" s="127" t="s">
        <v>143</v>
      </c>
      <c r="C127" s="128">
        <f t="shared" si="9"/>
        <v>0</v>
      </c>
      <c r="D127" s="134"/>
      <c r="E127" s="285"/>
      <c r="F127" s="286">
        <f t="shared" si="10"/>
        <v>0</v>
      </c>
      <c r="G127" s="134"/>
      <c r="H127" s="135"/>
      <c r="I127" s="136">
        <f t="shared" si="11"/>
        <v>0</v>
      </c>
      <c r="J127" s="134"/>
      <c r="K127" s="135"/>
      <c r="L127" s="136">
        <f t="shared" si="12"/>
        <v>0</v>
      </c>
      <c r="M127" s="284"/>
      <c r="N127" s="285"/>
      <c r="O127" s="136">
        <f t="shared" si="13"/>
        <v>0</v>
      </c>
      <c r="P127" s="85"/>
      <c r="R127" s="53"/>
      <c r="S127" s="53"/>
      <c r="T127" s="53"/>
    </row>
    <row r="128" spans="1:20" ht="36" hidden="1" x14ac:dyDescent="0.25">
      <c r="A128" s="76">
        <v>2276</v>
      </c>
      <c r="B128" s="127" t="s">
        <v>144</v>
      </c>
      <c r="C128" s="128">
        <f t="shared" si="9"/>
        <v>0</v>
      </c>
      <c r="D128" s="134"/>
      <c r="E128" s="285"/>
      <c r="F128" s="286">
        <f t="shared" si="10"/>
        <v>0</v>
      </c>
      <c r="G128" s="134"/>
      <c r="H128" s="135"/>
      <c r="I128" s="136">
        <f t="shared" si="11"/>
        <v>0</v>
      </c>
      <c r="J128" s="134"/>
      <c r="K128" s="135"/>
      <c r="L128" s="136">
        <f t="shared" si="12"/>
        <v>0</v>
      </c>
      <c r="M128" s="284"/>
      <c r="N128" s="285"/>
      <c r="O128" s="136">
        <f t="shared" si="13"/>
        <v>0</v>
      </c>
      <c r="P128" s="85"/>
      <c r="R128" s="53"/>
      <c r="S128" s="53"/>
      <c r="T128" s="53"/>
    </row>
    <row r="129" spans="1:20" ht="24" hidden="1" x14ac:dyDescent="0.25">
      <c r="A129" s="76">
        <v>2278</v>
      </c>
      <c r="B129" s="127" t="s">
        <v>145</v>
      </c>
      <c r="C129" s="128">
        <f t="shared" si="9"/>
        <v>0</v>
      </c>
      <c r="D129" s="134"/>
      <c r="E129" s="285"/>
      <c r="F129" s="286">
        <f t="shared" si="10"/>
        <v>0</v>
      </c>
      <c r="G129" s="134"/>
      <c r="H129" s="135"/>
      <c r="I129" s="136">
        <f t="shared" si="11"/>
        <v>0</v>
      </c>
      <c r="J129" s="134"/>
      <c r="K129" s="135"/>
      <c r="L129" s="136">
        <f t="shared" si="12"/>
        <v>0</v>
      </c>
      <c r="M129" s="284"/>
      <c r="N129" s="285"/>
      <c r="O129" s="136">
        <f t="shared" si="13"/>
        <v>0</v>
      </c>
      <c r="P129" s="85"/>
      <c r="R129" s="53"/>
      <c r="S129" s="53"/>
      <c r="T129" s="53"/>
    </row>
    <row r="130" spans="1:20" ht="24" x14ac:dyDescent="0.25">
      <c r="A130" s="76">
        <v>2279</v>
      </c>
      <c r="B130" s="127" t="s">
        <v>146</v>
      </c>
      <c r="C130" s="128">
        <f t="shared" si="9"/>
        <v>644</v>
      </c>
      <c r="D130" s="134">
        <v>15</v>
      </c>
      <c r="E130" s="283"/>
      <c r="F130" s="279">
        <f t="shared" si="10"/>
        <v>15</v>
      </c>
      <c r="G130" s="134"/>
      <c r="H130" s="135"/>
      <c r="I130" s="136">
        <f t="shared" si="11"/>
        <v>0</v>
      </c>
      <c r="J130" s="134">
        <v>629</v>
      </c>
      <c r="K130" s="135"/>
      <c r="L130" s="136">
        <f t="shared" si="12"/>
        <v>629</v>
      </c>
      <c r="M130" s="284"/>
      <c r="N130" s="285"/>
      <c r="O130" s="136">
        <f t="shared" si="13"/>
        <v>0</v>
      </c>
      <c r="P130" s="85"/>
      <c r="R130" s="53"/>
      <c r="S130" s="53"/>
      <c r="T130" s="53"/>
    </row>
    <row r="131" spans="1:20" ht="24" hidden="1" x14ac:dyDescent="0.25">
      <c r="A131" s="656">
        <v>2280</v>
      </c>
      <c r="B131" s="116" t="s">
        <v>147</v>
      </c>
      <c r="C131" s="128">
        <f t="shared" si="9"/>
        <v>0</v>
      </c>
      <c r="D131" s="297">
        <f t="shared" ref="D131:N131" si="14">SUM(D132)</f>
        <v>0</v>
      </c>
      <c r="E131" s="301">
        <f t="shared" si="14"/>
        <v>0</v>
      </c>
      <c r="F131" s="263">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c r="R131" s="53"/>
      <c r="S131" s="53"/>
      <c r="T131" s="53"/>
    </row>
    <row r="132" spans="1:20" ht="24" hidden="1" x14ac:dyDescent="0.25">
      <c r="A132" s="76">
        <v>2283</v>
      </c>
      <c r="B132" s="127" t="s">
        <v>148</v>
      </c>
      <c r="C132" s="128">
        <f t="shared" si="9"/>
        <v>0</v>
      </c>
      <c r="D132" s="134"/>
      <c r="E132" s="285"/>
      <c r="F132" s="286">
        <f t="shared" si="10"/>
        <v>0</v>
      </c>
      <c r="G132" s="134"/>
      <c r="H132" s="135"/>
      <c r="I132" s="136">
        <f t="shared" si="11"/>
        <v>0</v>
      </c>
      <c r="J132" s="134"/>
      <c r="K132" s="135"/>
      <c r="L132" s="136">
        <f t="shared" si="12"/>
        <v>0</v>
      </c>
      <c r="M132" s="284"/>
      <c r="N132" s="285"/>
      <c r="O132" s="136">
        <f t="shared" si="13"/>
        <v>0</v>
      </c>
      <c r="P132" s="85"/>
      <c r="R132" s="53"/>
      <c r="S132" s="53"/>
      <c r="T132" s="53"/>
    </row>
    <row r="133" spans="1:20" ht="36" x14ac:dyDescent="0.25">
      <c r="A133" s="99">
        <v>2300</v>
      </c>
      <c r="B133" s="247" t="s">
        <v>149</v>
      </c>
      <c r="C133" s="100">
        <f t="shared" si="9"/>
        <v>11879</v>
      </c>
      <c r="D133" s="112">
        <f>SUM(D134,D139,D143,D144,D147,D154,D162,D163,D166)</f>
        <v>7681</v>
      </c>
      <c r="E133" s="248">
        <f>SUM(E134,E139,E143,E144,E147,E154,E162,E163,E166)</f>
        <v>0</v>
      </c>
      <c r="F133" s="249">
        <f t="shared" si="10"/>
        <v>7681</v>
      </c>
      <c r="G133" s="112">
        <f>SUM(G134,G139,G143,G144,G147,G154,G162,G163,G166)</f>
        <v>1429</v>
      </c>
      <c r="H133" s="113">
        <f>SUM(H134,H139,H143,H144,H147,H154,H162,H163,H166)</f>
        <v>0</v>
      </c>
      <c r="I133" s="114">
        <f t="shared" si="11"/>
        <v>1429</v>
      </c>
      <c r="J133" s="112">
        <f>SUM(J134,J139,J143,J144,J147,J154,J162,J163,J166)</f>
        <v>2769</v>
      </c>
      <c r="K133" s="113">
        <f>SUM(K134,K139,K143,K144,K147,K154,K162,K163,K166)</f>
        <v>0</v>
      </c>
      <c r="L133" s="114">
        <f t="shared" si="12"/>
        <v>2769</v>
      </c>
      <c r="M133" s="292">
        <f>SUM(M134,M139,M143,M144,M147,M154,M162,M163,M166)</f>
        <v>0</v>
      </c>
      <c r="N133" s="293">
        <f>SUM(N134,N139,N143,N144,N147,N154,N162,N163,N166)</f>
        <v>0</v>
      </c>
      <c r="O133" s="114">
        <f t="shared" si="13"/>
        <v>0</v>
      </c>
      <c r="P133" s="109"/>
      <c r="R133" s="53"/>
      <c r="S133" s="53"/>
      <c r="T133" s="53"/>
    </row>
    <row r="134" spans="1:20" ht="24" x14ac:dyDescent="0.25">
      <c r="A134" s="656">
        <v>2310</v>
      </c>
      <c r="B134" s="116" t="s">
        <v>150</v>
      </c>
      <c r="C134" s="117">
        <f t="shared" si="9"/>
        <v>1862</v>
      </c>
      <c r="D134" s="308">
        <f>SUM(D135:D138)</f>
        <v>1862</v>
      </c>
      <c r="E134" s="300">
        <f>SUM(E135:E138)</f>
        <v>0</v>
      </c>
      <c r="F134" s="296">
        <f t="shared" si="10"/>
        <v>1862</v>
      </c>
      <c r="G134" s="297">
        <f>SUM(G135:G138)</f>
        <v>0</v>
      </c>
      <c r="H134" s="299">
        <f>SUM(H135:H138)</f>
        <v>0</v>
      </c>
      <c r="I134" s="125">
        <f t="shared" si="11"/>
        <v>0</v>
      </c>
      <c r="J134" s="297">
        <f>SUM(J135:J138)</f>
        <v>0</v>
      </c>
      <c r="K134" s="299">
        <f>SUM(K135:K138)</f>
        <v>0</v>
      </c>
      <c r="L134" s="125">
        <f t="shared" si="12"/>
        <v>0</v>
      </c>
      <c r="M134" s="300">
        <f>SUM(M135:M138)</f>
        <v>0</v>
      </c>
      <c r="N134" s="301">
        <f>SUM(N135:N138)</f>
        <v>0</v>
      </c>
      <c r="O134" s="125">
        <f t="shared" si="13"/>
        <v>0</v>
      </c>
      <c r="P134" s="74"/>
      <c r="R134" s="53"/>
      <c r="S134" s="53"/>
      <c r="T134" s="53"/>
    </row>
    <row r="135" spans="1:20" x14ac:dyDescent="0.25">
      <c r="A135" s="76">
        <v>2311</v>
      </c>
      <c r="B135" s="127" t="s">
        <v>151</v>
      </c>
      <c r="C135" s="128">
        <f t="shared" si="9"/>
        <v>690</v>
      </c>
      <c r="D135" s="134">
        <v>690</v>
      </c>
      <c r="E135" s="283"/>
      <c r="F135" s="279">
        <f t="shared" si="10"/>
        <v>690</v>
      </c>
      <c r="G135" s="134"/>
      <c r="H135" s="135"/>
      <c r="I135" s="136">
        <f t="shared" si="11"/>
        <v>0</v>
      </c>
      <c r="J135" s="134"/>
      <c r="K135" s="135"/>
      <c r="L135" s="136">
        <f t="shared" si="12"/>
        <v>0</v>
      </c>
      <c r="M135" s="284"/>
      <c r="N135" s="285"/>
      <c r="O135" s="136">
        <f t="shared" si="13"/>
        <v>0</v>
      </c>
      <c r="P135" s="85"/>
      <c r="R135" s="53"/>
      <c r="S135" s="53"/>
      <c r="T135" s="53"/>
    </row>
    <row r="136" spans="1:20" x14ac:dyDescent="0.25">
      <c r="A136" s="76">
        <v>2312</v>
      </c>
      <c r="B136" s="127" t="s">
        <v>152</v>
      </c>
      <c r="C136" s="128">
        <f t="shared" si="9"/>
        <v>1120</v>
      </c>
      <c r="D136" s="134">
        <v>1120</v>
      </c>
      <c r="E136" s="283"/>
      <c r="F136" s="279">
        <f t="shared" si="10"/>
        <v>1120</v>
      </c>
      <c r="G136" s="134"/>
      <c r="H136" s="135"/>
      <c r="I136" s="136">
        <f t="shared" si="11"/>
        <v>0</v>
      </c>
      <c r="J136" s="134"/>
      <c r="K136" s="135"/>
      <c r="L136" s="136">
        <f t="shared" si="12"/>
        <v>0</v>
      </c>
      <c r="M136" s="284"/>
      <c r="N136" s="285"/>
      <c r="O136" s="136">
        <f t="shared" si="13"/>
        <v>0</v>
      </c>
      <c r="P136" s="85"/>
      <c r="R136" s="53"/>
      <c r="S136" s="53"/>
      <c r="T136" s="53"/>
    </row>
    <row r="137" spans="1:20" x14ac:dyDescent="0.25">
      <c r="A137" s="76">
        <v>2313</v>
      </c>
      <c r="B137" s="127" t="s">
        <v>153</v>
      </c>
      <c r="C137" s="128">
        <f t="shared" si="9"/>
        <v>52</v>
      </c>
      <c r="D137" s="134">
        <v>52</v>
      </c>
      <c r="E137" s="283"/>
      <c r="F137" s="279">
        <f t="shared" si="10"/>
        <v>52</v>
      </c>
      <c r="G137" s="134"/>
      <c r="H137" s="135"/>
      <c r="I137" s="136">
        <f t="shared" si="11"/>
        <v>0</v>
      </c>
      <c r="J137" s="134"/>
      <c r="K137" s="135"/>
      <c r="L137" s="136">
        <f t="shared" si="12"/>
        <v>0</v>
      </c>
      <c r="M137" s="284"/>
      <c r="N137" s="285"/>
      <c r="O137" s="136">
        <f t="shared" si="13"/>
        <v>0</v>
      </c>
      <c r="P137" s="85"/>
      <c r="R137" s="53"/>
      <c r="S137" s="53"/>
      <c r="T137" s="53"/>
    </row>
    <row r="138" spans="1:20" ht="36" hidden="1" x14ac:dyDescent="0.25">
      <c r="A138" s="76">
        <v>2314</v>
      </c>
      <c r="B138" s="127" t="s">
        <v>154</v>
      </c>
      <c r="C138" s="128">
        <f t="shared" si="9"/>
        <v>0</v>
      </c>
      <c r="D138" s="134"/>
      <c r="E138" s="285"/>
      <c r="F138" s="286">
        <f t="shared" si="10"/>
        <v>0</v>
      </c>
      <c r="G138" s="134"/>
      <c r="H138" s="135"/>
      <c r="I138" s="136">
        <f t="shared" si="11"/>
        <v>0</v>
      </c>
      <c r="J138" s="134"/>
      <c r="K138" s="135"/>
      <c r="L138" s="136">
        <f t="shared" si="12"/>
        <v>0</v>
      </c>
      <c r="M138" s="284"/>
      <c r="N138" s="285"/>
      <c r="O138" s="136">
        <f t="shared" si="13"/>
        <v>0</v>
      </c>
      <c r="P138" s="85"/>
      <c r="R138" s="53"/>
      <c r="S138" s="53"/>
      <c r="T138" s="53"/>
    </row>
    <row r="139" spans="1:20" x14ac:dyDescent="0.25">
      <c r="A139" s="276">
        <v>2320</v>
      </c>
      <c r="B139" s="127" t="s">
        <v>155</v>
      </c>
      <c r="C139" s="128">
        <f t="shared" si="9"/>
        <v>72</v>
      </c>
      <c r="D139" s="277">
        <f>SUM(D140:D142)</f>
        <v>72</v>
      </c>
      <c r="E139" s="278">
        <f>SUM(E140:E142)</f>
        <v>0</v>
      </c>
      <c r="F139" s="279">
        <f t="shared" si="10"/>
        <v>72</v>
      </c>
      <c r="G139" s="277">
        <f>SUM(G140:G142)</f>
        <v>0</v>
      </c>
      <c r="H139" s="280">
        <f>SUM(H140:H142)</f>
        <v>0</v>
      </c>
      <c r="I139" s="136">
        <f t="shared" si="11"/>
        <v>0</v>
      </c>
      <c r="J139" s="277">
        <f>SUM(J140:J142)</f>
        <v>0</v>
      </c>
      <c r="K139" s="280">
        <f>SUM(K140:K142)</f>
        <v>0</v>
      </c>
      <c r="L139" s="136">
        <f t="shared" si="12"/>
        <v>0</v>
      </c>
      <c r="M139" s="281">
        <f>SUM(M140:M142)</f>
        <v>0</v>
      </c>
      <c r="N139" s="282">
        <f>SUM(N140:N142)</f>
        <v>0</v>
      </c>
      <c r="O139" s="136">
        <f t="shared" si="13"/>
        <v>0</v>
      </c>
      <c r="P139" s="85"/>
      <c r="R139" s="53"/>
      <c r="S139" s="53"/>
      <c r="T139" s="53"/>
    </row>
    <row r="140" spans="1:20" hidden="1" x14ac:dyDescent="0.25">
      <c r="A140" s="76">
        <v>2321</v>
      </c>
      <c r="B140" s="127" t="s">
        <v>156</v>
      </c>
      <c r="C140" s="128">
        <f t="shared" si="9"/>
        <v>0</v>
      </c>
      <c r="D140" s="134"/>
      <c r="E140" s="285"/>
      <c r="F140" s="286">
        <f t="shared" si="10"/>
        <v>0</v>
      </c>
      <c r="G140" s="134"/>
      <c r="H140" s="135"/>
      <c r="I140" s="136">
        <f t="shared" si="11"/>
        <v>0</v>
      </c>
      <c r="J140" s="134"/>
      <c r="K140" s="135"/>
      <c r="L140" s="136">
        <f t="shared" si="12"/>
        <v>0</v>
      </c>
      <c r="M140" s="284"/>
      <c r="N140" s="285"/>
      <c r="O140" s="136">
        <f t="shared" si="13"/>
        <v>0</v>
      </c>
      <c r="P140" s="85"/>
      <c r="R140" s="53"/>
      <c r="S140" s="53"/>
      <c r="T140" s="53"/>
    </row>
    <row r="141" spans="1:20" x14ac:dyDescent="0.25">
      <c r="A141" s="76">
        <v>2322</v>
      </c>
      <c r="B141" s="127" t="s">
        <v>157</v>
      </c>
      <c r="C141" s="128">
        <f t="shared" si="9"/>
        <v>72</v>
      </c>
      <c r="D141" s="134">
        <v>72</v>
      </c>
      <c r="E141" s="283"/>
      <c r="F141" s="279">
        <f t="shared" si="10"/>
        <v>72</v>
      </c>
      <c r="G141" s="134"/>
      <c r="H141" s="135"/>
      <c r="I141" s="136">
        <f t="shared" si="11"/>
        <v>0</v>
      </c>
      <c r="J141" s="134"/>
      <c r="K141" s="135"/>
      <c r="L141" s="136">
        <f t="shared" si="12"/>
        <v>0</v>
      </c>
      <c r="M141" s="284"/>
      <c r="N141" s="285"/>
      <c r="O141" s="136">
        <f t="shared" si="13"/>
        <v>0</v>
      </c>
      <c r="P141" s="85"/>
      <c r="R141" s="53"/>
      <c r="S141" s="53"/>
      <c r="T141" s="53"/>
    </row>
    <row r="142" spans="1:20" hidden="1" x14ac:dyDescent="0.25">
      <c r="A142" s="76">
        <v>2329</v>
      </c>
      <c r="B142" s="127" t="s">
        <v>158</v>
      </c>
      <c r="C142" s="128">
        <f t="shared" si="9"/>
        <v>0</v>
      </c>
      <c r="D142" s="134"/>
      <c r="E142" s="285"/>
      <c r="F142" s="286">
        <f t="shared" si="10"/>
        <v>0</v>
      </c>
      <c r="G142" s="134"/>
      <c r="H142" s="135"/>
      <c r="I142" s="136">
        <f t="shared" si="11"/>
        <v>0</v>
      </c>
      <c r="J142" s="134"/>
      <c r="K142" s="135"/>
      <c r="L142" s="136">
        <f t="shared" si="12"/>
        <v>0</v>
      </c>
      <c r="M142" s="284"/>
      <c r="N142" s="285"/>
      <c r="O142" s="136">
        <f t="shared" si="13"/>
        <v>0</v>
      </c>
      <c r="P142" s="85"/>
      <c r="R142" s="53"/>
      <c r="S142" s="53"/>
      <c r="T142" s="53"/>
    </row>
    <row r="143" spans="1:20" hidden="1" x14ac:dyDescent="0.25">
      <c r="A143" s="276">
        <v>2330</v>
      </c>
      <c r="B143" s="127" t="s">
        <v>159</v>
      </c>
      <c r="C143" s="128">
        <f t="shared" si="9"/>
        <v>0</v>
      </c>
      <c r="D143" s="134"/>
      <c r="E143" s="285"/>
      <c r="F143" s="286">
        <f t="shared" si="10"/>
        <v>0</v>
      </c>
      <c r="G143" s="134"/>
      <c r="H143" s="135"/>
      <c r="I143" s="136">
        <f t="shared" si="11"/>
        <v>0</v>
      </c>
      <c r="J143" s="134"/>
      <c r="K143" s="135"/>
      <c r="L143" s="136">
        <f t="shared" si="12"/>
        <v>0</v>
      </c>
      <c r="M143" s="284"/>
      <c r="N143" s="285"/>
      <c r="O143" s="136">
        <f t="shared" si="13"/>
        <v>0</v>
      </c>
      <c r="P143" s="85"/>
      <c r="R143" s="53"/>
      <c r="S143" s="53"/>
      <c r="T143" s="53"/>
    </row>
    <row r="144" spans="1:20" ht="48" x14ac:dyDescent="0.25">
      <c r="A144" s="276">
        <v>2340</v>
      </c>
      <c r="B144" s="127" t="s">
        <v>160</v>
      </c>
      <c r="C144" s="128">
        <f t="shared" si="9"/>
        <v>80</v>
      </c>
      <c r="D144" s="277">
        <f>SUM(D145:D146)</f>
        <v>80</v>
      </c>
      <c r="E144" s="278">
        <f>SUM(E145:E146)</f>
        <v>0</v>
      </c>
      <c r="F144" s="279">
        <f t="shared" si="10"/>
        <v>80</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c r="R144" s="53"/>
      <c r="S144" s="53"/>
      <c r="T144" s="53"/>
    </row>
    <row r="145" spans="1:20" x14ac:dyDescent="0.25">
      <c r="A145" s="76">
        <v>2341</v>
      </c>
      <c r="B145" s="127" t="s">
        <v>161</v>
      </c>
      <c r="C145" s="128">
        <f t="shared" si="9"/>
        <v>80</v>
      </c>
      <c r="D145" s="134">
        <v>80</v>
      </c>
      <c r="E145" s="283"/>
      <c r="F145" s="279">
        <f t="shared" si="10"/>
        <v>80</v>
      </c>
      <c r="G145" s="134"/>
      <c r="H145" s="135"/>
      <c r="I145" s="136">
        <f t="shared" si="11"/>
        <v>0</v>
      </c>
      <c r="J145" s="134"/>
      <c r="K145" s="135"/>
      <c r="L145" s="136">
        <f t="shared" si="12"/>
        <v>0</v>
      </c>
      <c r="M145" s="284"/>
      <c r="N145" s="285"/>
      <c r="O145" s="136">
        <f t="shared" si="13"/>
        <v>0</v>
      </c>
      <c r="P145" s="85"/>
      <c r="R145" s="53"/>
      <c r="S145" s="53"/>
      <c r="T145" s="53"/>
    </row>
    <row r="146" spans="1:20" ht="24" hidden="1" x14ac:dyDescent="0.25">
      <c r="A146" s="76">
        <v>2344</v>
      </c>
      <c r="B146" s="127" t="s">
        <v>162</v>
      </c>
      <c r="C146" s="128">
        <f t="shared" si="9"/>
        <v>0</v>
      </c>
      <c r="D146" s="134"/>
      <c r="E146" s="285"/>
      <c r="F146" s="286">
        <f t="shared" si="10"/>
        <v>0</v>
      </c>
      <c r="G146" s="134"/>
      <c r="H146" s="135"/>
      <c r="I146" s="136">
        <f t="shared" si="11"/>
        <v>0</v>
      </c>
      <c r="J146" s="134"/>
      <c r="K146" s="135"/>
      <c r="L146" s="136">
        <f t="shared" si="12"/>
        <v>0</v>
      </c>
      <c r="M146" s="284"/>
      <c r="N146" s="285"/>
      <c r="O146" s="136">
        <f t="shared" si="13"/>
        <v>0</v>
      </c>
      <c r="P146" s="85"/>
      <c r="R146" s="53"/>
      <c r="S146" s="53"/>
      <c r="T146" s="53"/>
    </row>
    <row r="147" spans="1:20" ht="24" x14ac:dyDescent="0.25">
      <c r="A147" s="254">
        <v>2350</v>
      </c>
      <c r="B147" s="179" t="s">
        <v>163</v>
      </c>
      <c r="C147" s="128">
        <f t="shared" si="9"/>
        <v>3802</v>
      </c>
      <c r="D147" s="255">
        <f>SUM(D148:D153)</f>
        <v>3802</v>
      </c>
      <c r="E147" s="256">
        <f>SUM(E148:E153)</f>
        <v>0</v>
      </c>
      <c r="F147" s="257">
        <f t="shared" si="10"/>
        <v>3802</v>
      </c>
      <c r="G147" s="255">
        <f>SUM(G148:G153)</f>
        <v>0</v>
      </c>
      <c r="H147" s="258">
        <f>SUM(H148:H153)</f>
        <v>0</v>
      </c>
      <c r="I147" s="259">
        <f t="shared" si="11"/>
        <v>0</v>
      </c>
      <c r="J147" s="255">
        <f>SUM(J148:J153)</f>
        <v>0</v>
      </c>
      <c r="K147" s="258">
        <f>SUM(K148:K153)</f>
        <v>0</v>
      </c>
      <c r="L147" s="259">
        <f t="shared" si="12"/>
        <v>0</v>
      </c>
      <c r="M147" s="260">
        <f>SUM(M148:M153)</f>
        <v>0</v>
      </c>
      <c r="N147" s="261">
        <f>SUM(N148:N153)</f>
        <v>0</v>
      </c>
      <c r="O147" s="259">
        <f t="shared" si="13"/>
        <v>0</v>
      </c>
      <c r="P147" s="189"/>
      <c r="R147" s="53"/>
      <c r="S147" s="53"/>
      <c r="T147" s="53"/>
    </row>
    <row r="148" spans="1:20" x14ac:dyDescent="0.25">
      <c r="A148" s="66">
        <v>2351</v>
      </c>
      <c r="B148" s="116" t="s">
        <v>164</v>
      </c>
      <c r="C148" s="128">
        <f t="shared" si="9"/>
        <v>507</v>
      </c>
      <c r="D148" s="123">
        <v>507</v>
      </c>
      <c r="E148" s="295"/>
      <c r="F148" s="296">
        <f t="shared" si="10"/>
        <v>507</v>
      </c>
      <c r="G148" s="123"/>
      <c r="H148" s="124"/>
      <c r="I148" s="125">
        <f t="shared" si="11"/>
        <v>0</v>
      </c>
      <c r="J148" s="123"/>
      <c r="K148" s="124"/>
      <c r="L148" s="125">
        <f t="shared" si="12"/>
        <v>0</v>
      </c>
      <c r="M148" s="264"/>
      <c r="N148" s="262"/>
      <c r="O148" s="125">
        <f t="shared" si="13"/>
        <v>0</v>
      </c>
      <c r="P148" s="74"/>
      <c r="R148" s="53"/>
      <c r="S148" s="53"/>
      <c r="T148" s="53"/>
    </row>
    <row r="149" spans="1:20" x14ac:dyDescent="0.25">
      <c r="A149" s="76">
        <v>2352</v>
      </c>
      <c r="B149" s="127" t="s">
        <v>165</v>
      </c>
      <c r="C149" s="128">
        <f t="shared" si="9"/>
        <v>3235</v>
      </c>
      <c r="D149" s="134">
        <v>3235</v>
      </c>
      <c r="E149" s="283"/>
      <c r="F149" s="279">
        <f t="shared" si="10"/>
        <v>3235</v>
      </c>
      <c r="G149" s="134"/>
      <c r="H149" s="135"/>
      <c r="I149" s="136">
        <f t="shared" si="11"/>
        <v>0</v>
      </c>
      <c r="J149" s="134"/>
      <c r="K149" s="135"/>
      <c r="L149" s="136">
        <f t="shared" si="12"/>
        <v>0</v>
      </c>
      <c r="M149" s="284"/>
      <c r="N149" s="285"/>
      <c r="O149" s="136">
        <f t="shared" si="13"/>
        <v>0</v>
      </c>
      <c r="P149" s="85"/>
      <c r="R149" s="53"/>
      <c r="S149" s="53"/>
      <c r="T149" s="53"/>
    </row>
    <row r="150" spans="1:20" ht="24" hidden="1" x14ac:dyDescent="0.25">
      <c r="A150" s="76">
        <v>2353</v>
      </c>
      <c r="B150" s="127" t="s">
        <v>166</v>
      </c>
      <c r="C150" s="128">
        <f t="shared" si="9"/>
        <v>0</v>
      </c>
      <c r="D150" s="134"/>
      <c r="E150" s="285"/>
      <c r="F150" s="286">
        <f t="shared" si="10"/>
        <v>0</v>
      </c>
      <c r="G150" s="134"/>
      <c r="H150" s="135"/>
      <c r="I150" s="136">
        <f t="shared" si="11"/>
        <v>0</v>
      </c>
      <c r="J150" s="134"/>
      <c r="K150" s="135"/>
      <c r="L150" s="136">
        <f t="shared" si="12"/>
        <v>0</v>
      </c>
      <c r="M150" s="284"/>
      <c r="N150" s="285"/>
      <c r="O150" s="136">
        <f t="shared" si="13"/>
        <v>0</v>
      </c>
      <c r="P150" s="85"/>
      <c r="R150" s="53"/>
      <c r="S150" s="53"/>
      <c r="T150" s="53"/>
    </row>
    <row r="151" spans="1:20" ht="24" hidden="1" x14ac:dyDescent="0.25">
      <c r="A151" s="76">
        <v>2354</v>
      </c>
      <c r="B151" s="127" t="s">
        <v>167</v>
      </c>
      <c r="C151" s="128">
        <f t="shared" si="9"/>
        <v>0</v>
      </c>
      <c r="D151" s="134"/>
      <c r="E151" s="285"/>
      <c r="F151" s="286">
        <f t="shared" si="10"/>
        <v>0</v>
      </c>
      <c r="G151" s="134"/>
      <c r="H151" s="135"/>
      <c r="I151" s="136">
        <f t="shared" si="11"/>
        <v>0</v>
      </c>
      <c r="J151" s="134"/>
      <c r="K151" s="135"/>
      <c r="L151" s="136">
        <f t="shared" si="12"/>
        <v>0</v>
      </c>
      <c r="M151" s="284"/>
      <c r="N151" s="285"/>
      <c r="O151" s="136">
        <f t="shared" si="13"/>
        <v>0</v>
      </c>
      <c r="P151" s="85"/>
      <c r="R151" s="53"/>
      <c r="S151" s="53"/>
      <c r="T151" s="53"/>
    </row>
    <row r="152" spans="1:20" ht="24" x14ac:dyDescent="0.25">
      <c r="A152" s="76">
        <v>2355</v>
      </c>
      <c r="B152" s="127" t="s">
        <v>168</v>
      </c>
      <c r="C152" s="128">
        <f t="shared" si="9"/>
        <v>60</v>
      </c>
      <c r="D152" s="134">
        <v>60</v>
      </c>
      <c r="E152" s="283"/>
      <c r="F152" s="279">
        <f t="shared" si="10"/>
        <v>60</v>
      </c>
      <c r="G152" s="134"/>
      <c r="H152" s="135"/>
      <c r="I152" s="136">
        <f t="shared" si="11"/>
        <v>0</v>
      </c>
      <c r="J152" s="134"/>
      <c r="K152" s="135"/>
      <c r="L152" s="136">
        <f t="shared" si="12"/>
        <v>0</v>
      </c>
      <c r="M152" s="284"/>
      <c r="N152" s="285"/>
      <c r="O152" s="136">
        <f t="shared" si="13"/>
        <v>0</v>
      </c>
      <c r="P152" s="85"/>
      <c r="R152" s="53"/>
      <c r="S152" s="53"/>
      <c r="T152" s="53"/>
    </row>
    <row r="153" spans="1:20" ht="24" hidden="1" x14ac:dyDescent="0.25">
      <c r="A153" s="76">
        <v>2359</v>
      </c>
      <c r="B153" s="127" t="s">
        <v>169</v>
      </c>
      <c r="C153" s="128">
        <f t="shared" si="9"/>
        <v>0</v>
      </c>
      <c r="D153" s="134"/>
      <c r="E153" s="285"/>
      <c r="F153" s="286">
        <f t="shared" si="10"/>
        <v>0</v>
      </c>
      <c r="G153" s="134"/>
      <c r="H153" s="135"/>
      <c r="I153" s="136">
        <f t="shared" si="11"/>
        <v>0</v>
      </c>
      <c r="J153" s="134"/>
      <c r="K153" s="135"/>
      <c r="L153" s="136">
        <f t="shared" si="12"/>
        <v>0</v>
      </c>
      <c r="M153" s="284"/>
      <c r="N153" s="285"/>
      <c r="O153" s="136">
        <f t="shared" si="13"/>
        <v>0</v>
      </c>
      <c r="P153" s="85"/>
      <c r="R153" s="53"/>
      <c r="S153" s="53"/>
      <c r="T153" s="53"/>
    </row>
    <row r="154" spans="1:20" ht="24" x14ac:dyDescent="0.25">
      <c r="A154" s="276">
        <v>2360</v>
      </c>
      <c r="B154" s="127" t="s">
        <v>170</v>
      </c>
      <c r="C154" s="128">
        <f t="shared" si="9"/>
        <v>3969</v>
      </c>
      <c r="D154" s="277">
        <f>SUM(D155:D161)</f>
        <v>1200</v>
      </c>
      <c r="E154" s="278">
        <f>SUM(E155:E161)</f>
        <v>0</v>
      </c>
      <c r="F154" s="279">
        <f t="shared" si="10"/>
        <v>1200</v>
      </c>
      <c r="G154" s="277">
        <f>SUM(G155:G161)</f>
        <v>0</v>
      </c>
      <c r="H154" s="280">
        <f>SUM(H155:H161)</f>
        <v>0</v>
      </c>
      <c r="I154" s="136">
        <f t="shared" si="11"/>
        <v>0</v>
      </c>
      <c r="J154" s="277">
        <f>SUM(J155:J161)</f>
        <v>2769</v>
      </c>
      <c r="K154" s="280">
        <f>SUM(K155:K161)</f>
        <v>0</v>
      </c>
      <c r="L154" s="136">
        <f t="shared" si="12"/>
        <v>2769</v>
      </c>
      <c r="M154" s="281">
        <f>SUM(M155:M161)</f>
        <v>0</v>
      </c>
      <c r="N154" s="282">
        <f>SUM(N155:N161)</f>
        <v>0</v>
      </c>
      <c r="O154" s="136">
        <f t="shared" si="13"/>
        <v>0</v>
      </c>
      <c r="P154" s="85"/>
      <c r="R154" s="53"/>
      <c r="S154" s="53"/>
      <c r="T154" s="53"/>
    </row>
    <row r="155" spans="1:20" x14ac:dyDescent="0.25">
      <c r="A155" s="75">
        <v>2361</v>
      </c>
      <c r="B155" s="127" t="s">
        <v>171</v>
      </c>
      <c r="C155" s="128">
        <f t="shared" si="9"/>
        <v>1000</v>
      </c>
      <c r="D155" s="134">
        <v>1000</v>
      </c>
      <c r="E155" s="283"/>
      <c r="F155" s="279">
        <f t="shared" si="10"/>
        <v>1000</v>
      </c>
      <c r="G155" s="134"/>
      <c r="H155" s="135"/>
      <c r="I155" s="136">
        <f t="shared" si="11"/>
        <v>0</v>
      </c>
      <c r="J155" s="134"/>
      <c r="K155" s="135"/>
      <c r="L155" s="136">
        <f t="shared" si="12"/>
        <v>0</v>
      </c>
      <c r="M155" s="284"/>
      <c r="N155" s="285"/>
      <c r="O155" s="136">
        <f t="shared" si="13"/>
        <v>0</v>
      </c>
      <c r="P155" s="85"/>
      <c r="R155" s="53"/>
      <c r="S155" s="53"/>
      <c r="T155" s="53"/>
    </row>
    <row r="156" spans="1:20" ht="24" x14ac:dyDescent="0.25">
      <c r="A156" s="75">
        <v>2362</v>
      </c>
      <c r="B156" s="127" t="s">
        <v>172</v>
      </c>
      <c r="C156" s="128">
        <f t="shared" si="9"/>
        <v>200</v>
      </c>
      <c r="D156" s="134">
        <v>200</v>
      </c>
      <c r="E156" s="283"/>
      <c r="F156" s="279">
        <f t="shared" si="10"/>
        <v>200</v>
      </c>
      <c r="G156" s="134"/>
      <c r="H156" s="135"/>
      <c r="I156" s="136">
        <f t="shared" si="11"/>
        <v>0</v>
      </c>
      <c r="J156" s="134"/>
      <c r="K156" s="135"/>
      <c r="L156" s="136">
        <f t="shared" si="12"/>
        <v>0</v>
      </c>
      <c r="M156" s="284"/>
      <c r="N156" s="285"/>
      <c r="O156" s="136">
        <f t="shared" si="13"/>
        <v>0</v>
      </c>
      <c r="P156" s="85"/>
      <c r="R156" s="53"/>
      <c r="S156" s="53"/>
      <c r="T156" s="53"/>
    </row>
    <row r="157" spans="1:20" x14ac:dyDescent="0.25">
      <c r="A157" s="75">
        <v>2363</v>
      </c>
      <c r="B157" s="127" t="s">
        <v>173</v>
      </c>
      <c r="C157" s="128">
        <f t="shared" si="9"/>
        <v>2769</v>
      </c>
      <c r="D157" s="134"/>
      <c r="E157" s="283"/>
      <c r="F157" s="279">
        <f t="shared" si="10"/>
        <v>0</v>
      </c>
      <c r="G157" s="134"/>
      <c r="H157" s="135"/>
      <c r="I157" s="136">
        <f t="shared" si="11"/>
        <v>0</v>
      </c>
      <c r="J157" s="134">
        <v>2769</v>
      </c>
      <c r="K157" s="135"/>
      <c r="L157" s="136">
        <f t="shared" si="12"/>
        <v>2769</v>
      </c>
      <c r="M157" s="284"/>
      <c r="N157" s="285"/>
      <c r="O157" s="136">
        <f t="shared" si="13"/>
        <v>0</v>
      </c>
      <c r="P157" s="85"/>
      <c r="R157" s="53"/>
      <c r="S157" s="53"/>
      <c r="T157" s="53"/>
    </row>
    <row r="158" spans="1:20" hidden="1" x14ac:dyDescent="0.25">
      <c r="A158" s="75">
        <v>2364</v>
      </c>
      <c r="B158" s="127" t="s">
        <v>174</v>
      </c>
      <c r="C158" s="128">
        <f t="shared" si="9"/>
        <v>0</v>
      </c>
      <c r="D158" s="134"/>
      <c r="E158" s="285"/>
      <c r="F158" s="286">
        <f t="shared" si="10"/>
        <v>0</v>
      </c>
      <c r="G158" s="134"/>
      <c r="H158" s="135"/>
      <c r="I158" s="136">
        <f t="shared" si="11"/>
        <v>0</v>
      </c>
      <c r="J158" s="134"/>
      <c r="K158" s="135"/>
      <c r="L158" s="136">
        <f t="shared" si="12"/>
        <v>0</v>
      </c>
      <c r="M158" s="284"/>
      <c r="N158" s="285"/>
      <c r="O158" s="136">
        <f t="shared" si="13"/>
        <v>0</v>
      </c>
      <c r="P158" s="85"/>
      <c r="R158" s="53"/>
      <c r="S158" s="53"/>
      <c r="T158" s="53"/>
    </row>
    <row r="159" spans="1:20" hidden="1" x14ac:dyDescent="0.25">
      <c r="A159" s="75">
        <v>2365</v>
      </c>
      <c r="B159" s="127" t="s">
        <v>175</v>
      </c>
      <c r="C159" s="128">
        <f t="shared" si="9"/>
        <v>0</v>
      </c>
      <c r="D159" s="134"/>
      <c r="E159" s="285"/>
      <c r="F159" s="286">
        <f t="shared" si="10"/>
        <v>0</v>
      </c>
      <c r="G159" s="134"/>
      <c r="H159" s="135"/>
      <c r="I159" s="136">
        <f t="shared" si="11"/>
        <v>0</v>
      </c>
      <c r="J159" s="134"/>
      <c r="K159" s="135"/>
      <c r="L159" s="136">
        <f t="shared" si="12"/>
        <v>0</v>
      </c>
      <c r="M159" s="284"/>
      <c r="N159" s="285"/>
      <c r="O159" s="136">
        <f t="shared" si="13"/>
        <v>0</v>
      </c>
      <c r="P159" s="85"/>
      <c r="R159" s="53"/>
      <c r="S159" s="53"/>
      <c r="T159" s="53"/>
    </row>
    <row r="160" spans="1:20" ht="36" hidden="1" x14ac:dyDescent="0.25">
      <c r="A160" s="75">
        <v>2366</v>
      </c>
      <c r="B160" s="127" t="s">
        <v>176</v>
      </c>
      <c r="C160" s="128">
        <f t="shared" si="9"/>
        <v>0</v>
      </c>
      <c r="D160" s="134"/>
      <c r="E160" s="285"/>
      <c r="F160" s="286">
        <f t="shared" si="10"/>
        <v>0</v>
      </c>
      <c r="G160" s="134"/>
      <c r="H160" s="135"/>
      <c r="I160" s="136">
        <f t="shared" si="11"/>
        <v>0</v>
      </c>
      <c r="J160" s="134"/>
      <c r="K160" s="135"/>
      <c r="L160" s="136">
        <f t="shared" si="12"/>
        <v>0</v>
      </c>
      <c r="M160" s="284"/>
      <c r="N160" s="285"/>
      <c r="O160" s="136">
        <f t="shared" si="13"/>
        <v>0</v>
      </c>
      <c r="P160" s="85"/>
      <c r="R160" s="53"/>
      <c r="S160" s="53"/>
      <c r="T160" s="53"/>
    </row>
    <row r="161" spans="1:20" ht="48" hidden="1" x14ac:dyDescent="0.25">
      <c r="A161" s="75">
        <v>2369</v>
      </c>
      <c r="B161" s="127" t="s">
        <v>177</v>
      </c>
      <c r="C161" s="128">
        <f t="shared" si="9"/>
        <v>0</v>
      </c>
      <c r="D161" s="134"/>
      <c r="E161" s="285"/>
      <c r="F161" s="286">
        <f t="shared" si="10"/>
        <v>0</v>
      </c>
      <c r="G161" s="134"/>
      <c r="H161" s="135"/>
      <c r="I161" s="136">
        <f t="shared" si="11"/>
        <v>0</v>
      </c>
      <c r="J161" s="134"/>
      <c r="K161" s="135"/>
      <c r="L161" s="136">
        <f t="shared" si="12"/>
        <v>0</v>
      </c>
      <c r="M161" s="284"/>
      <c r="N161" s="285"/>
      <c r="O161" s="136">
        <f t="shared" si="13"/>
        <v>0</v>
      </c>
      <c r="P161" s="85"/>
      <c r="R161" s="53"/>
      <c r="S161" s="53"/>
      <c r="T161" s="53"/>
    </row>
    <row r="162" spans="1:20" x14ac:dyDescent="0.25">
      <c r="A162" s="254">
        <v>2370</v>
      </c>
      <c r="B162" s="179" t="s">
        <v>178</v>
      </c>
      <c r="C162" s="128">
        <f t="shared" si="9"/>
        <v>2094</v>
      </c>
      <c r="D162" s="287">
        <v>665</v>
      </c>
      <c r="E162" s="288"/>
      <c r="F162" s="257">
        <f t="shared" si="10"/>
        <v>665</v>
      </c>
      <c r="G162" s="287">
        <v>1429</v>
      </c>
      <c r="H162" s="289"/>
      <c r="I162" s="259">
        <f t="shared" si="11"/>
        <v>1429</v>
      </c>
      <c r="J162" s="287"/>
      <c r="K162" s="289"/>
      <c r="L162" s="259">
        <f t="shared" si="12"/>
        <v>0</v>
      </c>
      <c r="M162" s="290"/>
      <c r="N162" s="291"/>
      <c r="O162" s="259">
        <f t="shared" si="13"/>
        <v>0</v>
      </c>
      <c r="P162" s="189"/>
      <c r="R162" s="53"/>
      <c r="S162" s="53"/>
      <c r="T162" s="53"/>
    </row>
    <row r="163" spans="1:20" hidden="1" x14ac:dyDescent="0.25">
      <c r="A163" s="254">
        <v>2380</v>
      </c>
      <c r="B163" s="179" t="s">
        <v>179</v>
      </c>
      <c r="C163" s="128">
        <f t="shared" si="9"/>
        <v>0</v>
      </c>
      <c r="D163" s="255">
        <f>SUM(D164:D165)</f>
        <v>0</v>
      </c>
      <c r="E163" s="261">
        <f>SUM(E164:E165)</f>
        <v>0</v>
      </c>
      <c r="F163" s="310">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c r="S163" s="53"/>
      <c r="T163" s="53"/>
    </row>
    <row r="164" spans="1:20" hidden="1" x14ac:dyDescent="0.25">
      <c r="A164" s="65">
        <v>2381</v>
      </c>
      <c r="B164" s="116" t="s">
        <v>180</v>
      </c>
      <c r="C164" s="128">
        <f t="shared" si="9"/>
        <v>0</v>
      </c>
      <c r="D164" s="123"/>
      <c r="E164" s="262"/>
      <c r="F164" s="263">
        <f t="shared" si="10"/>
        <v>0</v>
      </c>
      <c r="G164" s="123"/>
      <c r="H164" s="124"/>
      <c r="I164" s="125">
        <f t="shared" si="11"/>
        <v>0</v>
      </c>
      <c r="J164" s="123"/>
      <c r="K164" s="124"/>
      <c r="L164" s="125">
        <f t="shared" si="12"/>
        <v>0</v>
      </c>
      <c r="M164" s="264"/>
      <c r="N164" s="262"/>
      <c r="O164" s="125">
        <f t="shared" si="13"/>
        <v>0</v>
      </c>
      <c r="P164" s="74"/>
      <c r="R164" s="53"/>
      <c r="S164" s="53"/>
      <c r="T164" s="53"/>
    </row>
    <row r="165" spans="1:20" ht="24" hidden="1" x14ac:dyDescent="0.25">
      <c r="A165" s="75">
        <v>2389</v>
      </c>
      <c r="B165" s="127" t="s">
        <v>181</v>
      </c>
      <c r="C165" s="128">
        <f t="shared" si="9"/>
        <v>0</v>
      </c>
      <c r="D165" s="134"/>
      <c r="E165" s="285"/>
      <c r="F165" s="286">
        <f t="shared" si="10"/>
        <v>0</v>
      </c>
      <c r="G165" s="134"/>
      <c r="H165" s="135"/>
      <c r="I165" s="136">
        <f t="shared" si="11"/>
        <v>0</v>
      </c>
      <c r="J165" s="134"/>
      <c r="K165" s="135"/>
      <c r="L165" s="136">
        <f t="shared" si="12"/>
        <v>0</v>
      </c>
      <c r="M165" s="284"/>
      <c r="N165" s="285"/>
      <c r="O165" s="136">
        <f t="shared" si="13"/>
        <v>0</v>
      </c>
      <c r="P165" s="85"/>
      <c r="R165" s="53"/>
      <c r="S165" s="53"/>
      <c r="T165" s="53"/>
    </row>
    <row r="166" spans="1:20" hidden="1" x14ac:dyDescent="0.25">
      <c r="A166" s="254">
        <v>2390</v>
      </c>
      <c r="B166" s="179" t="s">
        <v>182</v>
      </c>
      <c r="C166" s="128">
        <f t="shared" si="9"/>
        <v>0</v>
      </c>
      <c r="D166" s="287"/>
      <c r="E166" s="291"/>
      <c r="F166" s="310">
        <f t="shared" si="10"/>
        <v>0</v>
      </c>
      <c r="G166" s="287"/>
      <c r="H166" s="289"/>
      <c r="I166" s="259">
        <f t="shared" si="11"/>
        <v>0</v>
      </c>
      <c r="J166" s="287"/>
      <c r="K166" s="289"/>
      <c r="L166" s="259">
        <f t="shared" si="12"/>
        <v>0</v>
      </c>
      <c r="M166" s="290"/>
      <c r="N166" s="291"/>
      <c r="O166" s="259">
        <f t="shared" si="13"/>
        <v>0</v>
      </c>
      <c r="P166" s="189"/>
      <c r="R166" s="53"/>
      <c r="S166" s="53"/>
      <c r="T166" s="53"/>
    </row>
    <row r="167" spans="1:20" hidden="1" x14ac:dyDescent="0.25">
      <c r="A167" s="99">
        <v>2400</v>
      </c>
      <c r="B167" s="247" t="s">
        <v>183</v>
      </c>
      <c r="C167" s="100">
        <f t="shared" si="9"/>
        <v>0</v>
      </c>
      <c r="D167" s="311"/>
      <c r="E167" s="312"/>
      <c r="F167" s="313">
        <f t="shared" si="10"/>
        <v>0</v>
      </c>
      <c r="G167" s="311"/>
      <c r="H167" s="314"/>
      <c r="I167" s="114">
        <f t="shared" si="11"/>
        <v>0</v>
      </c>
      <c r="J167" s="311"/>
      <c r="K167" s="314"/>
      <c r="L167" s="114">
        <f t="shared" si="12"/>
        <v>0</v>
      </c>
      <c r="M167" s="315"/>
      <c r="N167" s="312"/>
      <c r="O167" s="114">
        <f t="shared" si="13"/>
        <v>0</v>
      </c>
      <c r="P167" s="109"/>
      <c r="R167" s="53"/>
      <c r="S167" s="53"/>
      <c r="T167" s="53"/>
    </row>
    <row r="168" spans="1:20" ht="24" hidden="1" x14ac:dyDescent="0.25">
      <c r="A168" s="99">
        <v>2500</v>
      </c>
      <c r="B168" s="247" t="s">
        <v>184</v>
      </c>
      <c r="C168" s="100">
        <f t="shared" si="9"/>
        <v>0</v>
      </c>
      <c r="D168" s="112">
        <f>SUM(D169,D174)</f>
        <v>0</v>
      </c>
      <c r="E168" s="293">
        <f>SUM(E169,E174)</f>
        <v>0</v>
      </c>
      <c r="F168" s="313">
        <f t="shared" si="10"/>
        <v>0</v>
      </c>
      <c r="G168" s="112">
        <f>SUM(G169,G174)</f>
        <v>0</v>
      </c>
      <c r="H168" s="113">
        <f t="shared" ref="H168" si="17">SUM(H169,H174)</f>
        <v>0</v>
      </c>
      <c r="I168" s="114">
        <f t="shared" si="11"/>
        <v>0</v>
      </c>
      <c r="J168" s="112">
        <f>SUM(J169,J174)</f>
        <v>0</v>
      </c>
      <c r="K168" s="113">
        <f t="shared" ref="K168" si="18">SUM(K169,K174)</f>
        <v>0</v>
      </c>
      <c r="L168" s="114">
        <f t="shared" si="12"/>
        <v>0</v>
      </c>
      <c r="M168" s="250">
        <f t="shared" ref="M168:N168" si="19">SUM(M169,M174)</f>
        <v>0</v>
      </c>
      <c r="N168" s="251">
        <f t="shared" si="19"/>
        <v>0</v>
      </c>
      <c r="O168" s="252">
        <f t="shared" si="13"/>
        <v>0</v>
      </c>
      <c r="P168" s="253"/>
      <c r="R168" s="53"/>
      <c r="S168" s="53"/>
      <c r="T168" s="53"/>
    </row>
    <row r="169" spans="1:20" hidden="1" x14ac:dyDescent="0.25">
      <c r="A169" s="656">
        <v>2510</v>
      </c>
      <c r="B169" s="116" t="s">
        <v>185</v>
      </c>
      <c r="C169" s="117">
        <f t="shared" si="9"/>
        <v>0</v>
      </c>
      <c r="D169" s="297">
        <f>SUM(D170:D173)</f>
        <v>0</v>
      </c>
      <c r="E169" s="301">
        <f>SUM(E170:E173)</f>
        <v>0</v>
      </c>
      <c r="F169" s="263">
        <f t="shared" si="10"/>
        <v>0</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c r="R169" s="53"/>
      <c r="S169" s="53"/>
      <c r="T169" s="53"/>
    </row>
    <row r="170" spans="1:20" ht="24" hidden="1" x14ac:dyDescent="0.25">
      <c r="A170" s="76">
        <v>2512</v>
      </c>
      <c r="B170" s="127" t="s">
        <v>186</v>
      </c>
      <c r="C170" s="128">
        <f t="shared" si="9"/>
        <v>0</v>
      </c>
      <c r="D170" s="134"/>
      <c r="E170" s="285"/>
      <c r="F170" s="286">
        <f t="shared" si="10"/>
        <v>0</v>
      </c>
      <c r="G170" s="134"/>
      <c r="H170" s="135"/>
      <c r="I170" s="136">
        <f t="shared" si="11"/>
        <v>0</v>
      </c>
      <c r="J170" s="134"/>
      <c r="K170" s="135"/>
      <c r="L170" s="136">
        <f t="shared" si="12"/>
        <v>0</v>
      </c>
      <c r="M170" s="284"/>
      <c r="N170" s="285"/>
      <c r="O170" s="136">
        <f t="shared" si="13"/>
        <v>0</v>
      </c>
      <c r="P170" s="85"/>
      <c r="R170" s="53"/>
      <c r="S170" s="53"/>
      <c r="T170" s="53"/>
    </row>
    <row r="171" spans="1:20" ht="36" hidden="1" x14ac:dyDescent="0.25">
      <c r="A171" s="76">
        <v>2513</v>
      </c>
      <c r="B171" s="127" t="s">
        <v>187</v>
      </c>
      <c r="C171" s="128">
        <f t="shared" si="9"/>
        <v>0</v>
      </c>
      <c r="D171" s="134"/>
      <c r="E171" s="285"/>
      <c r="F171" s="286">
        <f t="shared" si="10"/>
        <v>0</v>
      </c>
      <c r="G171" s="134"/>
      <c r="H171" s="135"/>
      <c r="I171" s="136">
        <f t="shared" si="11"/>
        <v>0</v>
      </c>
      <c r="J171" s="134"/>
      <c r="K171" s="135"/>
      <c r="L171" s="136">
        <f t="shared" si="12"/>
        <v>0</v>
      </c>
      <c r="M171" s="284"/>
      <c r="N171" s="285"/>
      <c r="O171" s="136">
        <f t="shared" si="13"/>
        <v>0</v>
      </c>
      <c r="P171" s="85"/>
      <c r="R171" s="53"/>
      <c r="S171" s="53"/>
      <c r="T171" s="53"/>
    </row>
    <row r="172" spans="1:20" ht="24" hidden="1" x14ac:dyDescent="0.25">
      <c r="A172" s="76">
        <v>2515</v>
      </c>
      <c r="B172" s="127" t="s">
        <v>188</v>
      </c>
      <c r="C172" s="128">
        <f t="shared" si="9"/>
        <v>0</v>
      </c>
      <c r="D172" s="134"/>
      <c r="E172" s="285"/>
      <c r="F172" s="286">
        <f t="shared" si="10"/>
        <v>0</v>
      </c>
      <c r="G172" s="134"/>
      <c r="H172" s="135"/>
      <c r="I172" s="136">
        <f t="shared" si="11"/>
        <v>0</v>
      </c>
      <c r="J172" s="134"/>
      <c r="K172" s="135"/>
      <c r="L172" s="136">
        <f t="shared" si="12"/>
        <v>0</v>
      </c>
      <c r="M172" s="284"/>
      <c r="N172" s="285"/>
      <c r="O172" s="136">
        <f t="shared" si="13"/>
        <v>0</v>
      </c>
      <c r="P172" s="85"/>
      <c r="R172" s="53"/>
      <c r="S172" s="53"/>
      <c r="T172" s="53"/>
    </row>
    <row r="173" spans="1:20" ht="24" hidden="1" x14ac:dyDescent="0.25">
      <c r="A173" s="76">
        <v>2519</v>
      </c>
      <c r="B173" s="127" t="s">
        <v>189</v>
      </c>
      <c r="C173" s="128">
        <f t="shared" si="9"/>
        <v>0</v>
      </c>
      <c r="D173" s="134"/>
      <c r="E173" s="285"/>
      <c r="F173" s="286">
        <f t="shared" si="10"/>
        <v>0</v>
      </c>
      <c r="G173" s="134"/>
      <c r="H173" s="135"/>
      <c r="I173" s="136">
        <f t="shared" si="11"/>
        <v>0</v>
      </c>
      <c r="J173" s="134"/>
      <c r="K173" s="135"/>
      <c r="L173" s="136">
        <f t="shared" si="12"/>
        <v>0</v>
      </c>
      <c r="M173" s="284"/>
      <c r="N173" s="285"/>
      <c r="O173" s="136">
        <f t="shared" si="13"/>
        <v>0</v>
      </c>
      <c r="P173" s="85"/>
      <c r="R173" s="53"/>
      <c r="S173" s="53"/>
      <c r="T173" s="53"/>
    </row>
    <row r="174" spans="1:20" ht="24" hidden="1" x14ac:dyDescent="0.25">
      <c r="A174" s="276">
        <v>2520</v>
      </c>
      <c r="B174" s="127" t="s">
        <v>190</v>
      </c>
      <c r="C174" s="128">
        <f t="shared" si="9"/>
        <v>0</v>
      </c>
      <c r="D174" s="134"/>
      <c r="E174" s="285"/>
      <c r="F174" s="286">
        <f t="shared" si="10"/>
        <v>0</v>
      </c>
      <c r="G174" s="134"/>
      <c r="H174" s="135"/>
      <c r="I174" s="136">
        <f t="shared" si="11"/>
        <v>0</v>
      </c>
      <c r="J174" s="134"/>
      <c r="K174" s="135"/>
      <c r="L174" s="136">
        <f t="shared" si="12"/>
        <v>0</v>
      </c>
      <c r="M174" s="284"/>
      <c r="N174" s="285"/>
      <c r="O174" s="136">
        <f t="shared" si="13"/>
        <v>0</v>
      </c>
      <c r="P174" s="85"/>
      <c r="R174" s="53"/>
      <c r="S174" s="53"/>
      <c r="T174" s="53"/>
    </row>
    <row r="175" spans="1:20" s="319" customFormat="1" ht="48" hidden="1" x14ac:dyDescent="0.25">
      <c r="A175" s="31">
        <v>2800</v>
      </c>
      <c r="B175" s="116" t="s">
        <v>191</v>
      </c>
      <c r="C175" s="117">
        <f t="shared" si="9"/>
        <v>0</v>
      </c>
      <c r="D175" s="68"/>
      <c r="E175" s="69"/>
      <c r="F175" s="70">
        <f t="shared" si="10"/>
        <v>0</v>
      </c>
      <c r="G175" s="68"/>
      <c r="H175" s="71"/>
      <c r="I175" s="72">
        <f t="shared" si="11"/>
        <v>0</v>
      </c>
      <c r="J175" s="68"/>
      <c r="K175" s="71"/>
      <c r="L175" s="72">
        <f t="shared" si="12"/>
        <v>0</v>
      </c>
      <c r="M175" s="73"/>
      <c r="N175" s="69"/>
      <c r="O175" s="72">
        <f t="shared" si="13"/>
        <v>0</v>
      </c>
      <c r="P175" s="74"/>
      <c r="R175" s="53"/>
      <c r="S175" s="53"/>
      <c r="T175" s="53"/>
    </row>
    <row r="176" spans="1:20" hidden="1" x14ac:dyDescent="0.25">
      <c r="A176" s="237">
        <v>3000</v>
      </c>
      <c r="B176" s="237" t="s">
        <v>192</v>
      </c>
      <c r="C176" s="238">
        <f t="shared" si="9"/>
        <v>0</v>
      </c>
      <c r="D176" s="239">
        <f>SUM(D177,D187)</f>
        <v>0</v>
      </c>
      <c r="E176" s="245">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c r="S176" s="53"/>
      <c r="T176" s="53"/>
    </row>
    <row r="177" spans="1:20" ht="24" hidden="1" x14ac:dyDescent="0.25">
      <c r="A177" s="99">
        <v>3200</v>
      </c>
      <c r="B177" s="321" t="s">
        <v>193</v>
      </c>
      <c r="C177" s="100">
        <f t="shared" si="9"/>
        <v>0</v>
      </c>
      <c r="D177" s="112">
        <f>SUM(D178,D182)</f>
        <v>0</v>
      </c>
      <c r="E177" s="293">
        <f>SUM(E178,E182)</f>
        <v>0</v>
      </c>
      <c r="F177" s="313">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c r="R177" s="53"/>
      <c r="S177" s="53"/>
      <c r="T177" s="53"/>
    </row>
    <row r="178" spans="1:20" ht="36" hidden="1" x14ac:dyDescent="0.25">
      <c r="A178" s="656">
        <v>3260</v>
      </c>
      <c r="B178" s="116" t="s">
        <v>194</v>
      </c>
      <c r="C178" s="117">
        <f t="shared" si="9"/>
        <v>0</v>
      </c>
      <c r="D178" s="297">
        <f>SUM(D179:D181)</f>
        <v>0</v>
      </c>
      <c r="E178" s="301">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c r="S178" s="53"/>
      <c r="T178" s="53"/>
    </row>
    <row r="179" spans="1:20" ht="24" hidden="1" x14ac:dyDescent="0.25">
      <c r="A179" s="76">
        <v>3261</v>
      </c>
      <c r="B179" s="127" t="s">
        <v>195</v>
      </c>
      <c r="C179" s="128">
        <f t="shared" si="9"/>
        <v>0</v>
      </c>
      <c r="D179" s="134"/>
      <c r="E179" s="285"/>
      <c r="F179" s="286">
        <f t="shared" si="10"/>
        <v>0</v>
      </c>
      <c r="G179" s="134"/>
      <c r="H179" s="135"/>
      <c r="I179" s="136">
        <f t="shared" si="11"/>
        <v>0</v>
      </c>
      <c r="J179" s="134"/>
      <c r="K179" s="135"/>
      <c r="L179" s="136">
        <f t="shared" si="12"/>
        <v>0</v>
      </c>
      <c r="M179" s="284"/>
      <c r="N179" s="285"/>
      <c r="O179" s="136">
        <f t="shared" si="13"/>
        <v>0</v>
      </c>
      <c r="P179" s="85"/>
      <c r="R179" s="53"/>
      <c r="S179" s="53"/>
      <c r="T179" s="53"/>
    </row>
    <row r="180" spans="1:20" ht="36" hidden="1" x14ac:dyDescent="0.25">
      <c r="A180" s="76">
        <v>3262</v>
      </c>
      <c r="B180" s="127" t="s">
        <v>196</v>
      </c>
      <c r="C180" s="128">
        <f t="shared" si="9"/>
        <v>0</v>
      </c>
      <c r="D180" s="134"/>
      <c r="E180" s="285"/>
      <c r="F180" s="286">
        <f t="shared" si="10"/>
        <v>0</v>
      </c>
      <c r="G180" s="134"/>
      <c r="H180" s="135"/>
      <c r="I180" s="136">
        <f t="shared" si="11"/>
        <v>0</v>
      </c>
      <c r="J180" s="134"/>
      <c r="K180" s="135"/>
      <c r="L180" s="136">
        <f t="shared" si="12"/>
        <v>0</v>
      </c>
      <c r="M180" s="284"/>
      <c r="N180" s="285"/>
      <c r="O180" s="136">
        <f t="shared" si="13"/>
        <v>0</v>
      </c>
      <c r="P180" s="85"/>
      <c r="R180" s="53"/>
      <c r="S180" s="53"/>
      <c r="T180" s="53"/>
    </row>
    <row r="181" spans="1:20" ht="24" hidden="1" x14ac:dyDescent="0.25">
      <c r="A181" s="76">
        <v>3263</v>
      </c>
      <c r="B181" s="127" t="s">
        <v>197</v>
      </c>
      <c r="C181" s="128">
        <f t="shared" si="9"/>
        <v>0</v>
      </c>
      <c r="D181" s="134"/>
      <c r="E181" s="285"/>
      <c r="F181" s="286">
        <f t="shared" si="10"/>
        <v>0</v>
      </c>
      <c r="G181" s="134"/>
      <c r="H181" s="135"/>
      <c r="I181" s="136">
        <f t="shared" si="11"/>
        <v>0</v>
      </c>
      <c r="J181" s="134"/>
      <c r="K181" s="135"/>
      <c r="L181" s="136">
        <f t="shared" si="12"/>
        <v>0</v>
      </c>
      <c r="M181" s="284"/>
      <c r="N181" s="285"/>
      <c r="O181" s="136">
        <f t="shared" si="13"/>
        <v>0</v>
      </c>
      <c r="P181" s="85"/>
      <c r="R181" s="53"/>
      <c r="S181" s="53"/>
      <c r="T181" s="53"/>
    </row>
    <row r="182" spans="1:20" ht="84" hidden="1" x14ac:dyDescent="0.25">
      <c r="A182" s="656">
        <v>3290</v>
      </c>
      <c r="B182" s="116" t="s">
        <v>198</v>
      </c>
      <c r="C182" s="128">
        <f t="shared" ref="C182:C258" si="26">F182+I182+L182+O182</f>
        <v>0</v>
      </c>
      <c r="D182" s="297">
        <f>SUM(D183:D186)</f>
        <v>0</v>
      </c>
      <c r="E182" s="301">
        <f>SUM(E183:E186)</f>
        <v>0</v>
      </c>
      <c r="F182" s="263">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c r="R182" s="53"/>
      <c r="S182" s="53"/>
      <c r="T182" s="53"/>
    </row>
    <row r="183" spans="1:20" ht="72" hidden="1" x14ac:dyDescent="0.25">
      <c r="A183" s="76">
        <v>3291</v>
      </c>
      <c r="B183" s="127" t="s">
        <v>199</v>
      </c>
      <c r="C183" s="128">
        <f t="shared" si="26"/>
        <v>0</v>
      </c>
      <c r="D183" s="134"/>
      <c r="E183" s="285"/>
      <c r="F183" s="286">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c r="R183" s="53"/>
      <c r="S183" s="53"/>
      <c r="T183" s="53"/>
    </row>
    <row r="184" spans="1:20" ht="72" hidden="1" x14ac:dyDescent="0.25">
      <c r="A184" s="76">
        <v>3292</v>
      </c>
      <c r="B184" s="127" t="s">
        <v>200</v>
      </c>
      <c r="C184" s="128">
        <f t="shared" si="26"/>
        <v>0</v>
      </c>
      <c r="D184" s="134"/>
      <c r="E184" s="285"/>
      <c r="F184" s="286">
        <f t="shared" si="30"/>
        <v>0</v>
      </c>
      <c r="G184" s="134"/>
      <c r="H184" s="135"/>
      <c r="I184" s="136">
        <f t="shared" si="31"/>
        <v>0</v>
      </c>
      <c r="J184" s="134"/>
      <c r="K184" s="135"/>
      <c r="L184" s="136">
        <f t="shared" si="32"/>
        <v>0</v>
      </c>
      <c r="M184" s="284"/>
      <c r="N184" s="285"/>
      <c r="O184" s="136">
        <f t="shared" si="33"/>
        <v>0</v>
      </c>
      <c r="P184" s="85"/>
      <c r="R184" s="53"/>
      <c r="S184" s="53"/>
      <c r="T184" s="53"/>
    </row>
    <row r="185" spans="1:20" ht="72" hidden="1" x14ac:dyDescent="0.25">
      <c r="A185" s="76">
        <v>3293</v>
      </c>
      <c r="B185" s="127" t="s">
        <v>201</v>
      </c>
      <c r="C185" s="128">
        <f t="shared" si="26"/>
        <v>0</v>
      </c>
      <c r="D185" s="134"/>
      <c r="E185" s="285"/>
      <c r="F185" s="286">
        <f t="shared" si="30"/>
        <v>0</v>
      </c>
      <c r="G185" s="134"/>
      <c r="H185" s="135"/>
      <c r="I185" s="136">
        <f t="shared" si="31"/>
        <v>0</v>
      </c>
      <c r="J185" s="134"/>
      <c r="K185" s="135"/>
      <c r="L185" s="136">
        <f t="shared" si="32"/>
        <v>0</v>
      </c>
      <c r="M185" s="284"/>
      <c r="N185" s="285"/>
      <c r="O185" s="136">
        <f t="shared" si="33"/>
        <v>0</v>
      </c>
      <c r="P185" s="85"/>
      <c r="R185" s="53"/>
      <c r="S185" s="53"/>
      <c r="T185" s="53"/>
    </row>
    <row r="186" spans="1:20" ht="60" hidden="1" x14ac:dyDescent="0.25">
      <c r="A186" s="326">
        <v>3294</v>
      </c>
      <c r="B186" s="127" t="s">
        <v>202</v>
      </c>
      <c r="C186" s="327">
        <f t="shared" si="26"/>
        <v>0</v>
      </c>
      <c r="D186" s="328"/>
      <c r="E186" s="329"/>
      <c r="F186" s="330">
        <f t="shared" si="30"/>
        <v>0</v>
      </c>
      <c r="G186" s="328"/>
      <c r="H186" s="331"/>
      <c r="I186" s="324">
        <f t="shared" si="31"/>
        <v>0</v>
      </c>
      <c r="J186" s="328"/>
      <c r="K186" s="331"/>
      <c r="L186" s="324">
        <f t="shared" si="32"/>
        <v>0</v>
      </c>
      <c r="M186" s="332"/>
      <c r="N186" s="329"/>
      <c r="O186" s="324">
        <f t="shared" si="33"/>
        <v>0</v>
      </c>
      <c r="P186" s="325"/>
      <c r="R186" s="53"/>
      <c r="S186" s="53"/>
      <c r="T186" s="53"/>
    </row>
    <row r="187" spans="1:20" ht="48" hidden="1" x14ac:dyDescent="0.25">
      <c r="A187" s="160">
        <v>3300</v>
      </c>
      <c r="B187" s="321" t="s">
        <v>203</v>
      </c>
      <c r="C187" s="333">
        <f t="shared" si="26"/>
        <v>0</v>
      </c>
      <c r="D187" s="334">
        <f>SUM(D188:D189)</f>
        <v>0</v>
      </c>
      <c r="E187" s="251">
        <f>SUM(E188:E189)</f>
        <v>0</v>
      </c>
      <c r="F187" s="335">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c r="R187" s="53"/>
      <c r="S187" s="53"/>
      <c r="T187" s="53"/>
    </row>
    <row r="188" spans="1:20" ht="48" hidden="1" x14ac:dyDescent="0.25">
      <c r="A188" s="178">
        <v>3310</v>
      </c>
      <c r="B188" s="179" t="s">
        <v>204</v>
      </c>
      <c r="C188" s="191">
        <f t="shared" si="26"/>
        <v>0</v>
      </c>
      <c r="D188" s="287"/>
      <c r="E188" s="291"/>
      <c r="F188" s="310">
        <f t="shared" si="30"/>
        <v>0</v>
      </c>
      <c r="G188" s="287"/>
      <c r="H188" s="289"/>
      <c r="I188" s="259">
        <f t="shared" si="31"/>
        <v>0</v>
      </c>
      <c r="J188" s="287"/>
      <c r="K188" s="289"/>
      <c r="L188" s="259">
        <f t="shared" si="32"/>
        <v>0</v>
      </c>
      <c r="M188" s="290"/>
      <c r="N188" s="291"/>
      <c r="O188" s="259">
        <f t="shared" si="33"/>
        <v>0</v>
      </c>
      <c r="P188" s="189"/>
      <c r="R188" s="53"/>
      <c r="S188" s="53"/>
      <c r="T188" s="53"/>
    </row>
    <row r="189" spans="1:20" ht="60" hidden="1" x14ac:dyDescent="0.25">
      <c r="A189" s="66">
        <v>3320</v>
      </c>
      <c r="B189" s="116" t="s">
        <v>205</v>
      </c>
      <c r="C189" s="117">
        <f t="shared" si="26"/>
        <v>0</v>
      </c>
      <c r="D189" s="123"/>
      <c r="E189" s="262"/>
      <c r="F189" s="263">
        <f t="shared" si="30"/>
        <v>0</v>
      </c>
      <c r="G189" s="123"/>
      <c r="H189" s="124"/>
      <c r="I189" s="125">
        <f t="shared" si="31"/>
        <v>0</v>
      </c>
      <c r="J189" s="123"/>
      <c r="K189" s="124"/>
      <c r="L189" s="125">
        <f t="shared" si="32"/>
        <v>0</v>
      </c>
      <c r="M189" s="264"/>
      <c r="N189" s="262"/>
      <c r="O189" s="125">
        <f t="shared" si="33"/>
        <v>0</v>
      </c>
      <c r="P189" s="74"/>
      <c r="R189" s="53"/>
      <c r="S189" s="53"/>
      <c r="T189" s="53"/>
    </row>
    <row r="190" spans="1:20" hidden="1" x14ac:dyDescent="0.25">
      <c r="A190" s="337">
        <v>4000</v>
      </c>
      <c r="B190" s="237" t="s">
        <v>206</v>
      </c>
      <c r="C190" s="238">
        <f t="shared" si="26"/>
        <v>0</v>
      </c>
      <c r="D190" s="239">
        <f>SUM(D191,D194)</f>
        <v>0</v>
      </c>
      <c r="E190" s="245">
        <f>SUM(E191,E194)</f>
        <v>0</v>
      </c>
      <c r="F190" s="320">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c r="R190" s="53"/>
      <c r="S190" s="53"/>
      <c r="T190" s="53"/>
    </row>
    <row r="191" spans="1:20" ht="24" hidden="1" x14ac:dyDescent="0.25">
      <c r="A191" s="338">
        <v>4200</v>
      </c>
      <c r="B191" s="247" t="s">
        <v>207</v>
      </c>
      <c r="C191" s="100">
        <f t="shared" si="26"/>
        <v>0</v>
      </c>
      <c r="D191" s="112">
        <f>SUM(D192,D193)</f>
        <v>0</v>
      </c>
      <c r="E191" s="293">
        <f>SUM(E192,E193)</f>
        <v>0</v>
      </c>
      <c r="F191" s="313">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c r="R191" s="53"/>
      <c r="S191" s="53"/>
      <c r="T191" s="53"/>
    </row>
    <row r="192" spans="1:20" ht="36" hidden="1" x14ac:dyDescent="0.25">
      <c r="A192" s="656">
        <v>4240</v>
      </c>
      <c r="B192" s="116" t="s">
        <v>208</v>
      </c>
      <c r="C192" s="117">
        <f t="shared" si="26"/>
        <v>0</v>
      </c>
      <c r="D192" s="123"/>
      <c r="E192" s="262"/>
      <c r="F192" s="263">
        <f t="shared" si="30"/>
        <v>0</v>
      </c>
      <c r="G192" s="123"/>
      <c r="H192" s="124"/>
      <c r="I192" s="125">
        <f t="shared" si="31"/>
        <v>0</v>
      </c>
      <c r="J192" s="123"/>
      <c r="K192" s="124"/>
      <c r="L192" s="125">
        <f t="shared" si="32"/>
        <v>0</v>
      </c>
      <c r="M192" s="264"/>
      <c r="N192" s="262"/>
      <c r="O192" s="125">
        <f t="shared" si="33"/>
        <v>0</v>
      </c>
      <c r="P192" s="74"/>
      <c r="R192" s="53"/>
      <c r="S192" s="53"/>
      <c r="T192" s="53"/>
    </row>
    <row r="193" spans="1:20" ht="24" hidden="1" x14ac:dyDescent="0.25">
      <c r="A193" s="276">
        <v>4250</v>
      </c>
      <c r="B193" s="127" t="s">
        <v>209</v>
      </c>
      <c r="C193" s="128">
        <f t="shared" si="26"/>
        <v>0</v>
      </c>
      <c r="D193" s="134"/>
      <c r="E193" s="285"/>
      <c r="F193" s="286">
        <f t="shared" si="30"/>
        <v>0</v>
      </c>
      <c r="G193" s="134"/>
      <c r="H193" s="135"/>
      <c r="I193" s="136">
        <f t="shared" si="31"/>
        <v>0</v>
      </c>
      <c r="J193" s="134"/>
      <c r="K193" s="135"/>
      <c r="L193" s="136">
        <f t="shared" si="32"/>
        <v>0</v>
      </c>
      <c r="M193" s="284"/>
      <c r="N193" s="285"/>
      <c r="O193" s="136">
        <f t="shared" si="33"/>
        <v>0</v>
      </c>
      <c r="P193" s="85"/>
      <c r="R193" s="53"/>
      <c r="S193" s="53"/>
      <c r="T193" s="53"/>
    </row>
    <row r="194" spans="1:20" hidden="1" x14ac:dyDescent="0.25">
      <c r="A194" s="99">
        <v>4300</v>
      </c>
      <c r="B194" s="247" t="s">
        <v>210</v>
      </c>
      <c r="C194" s="100">
        <f t="shared" si="26"/>
        <v>0</v>
      </c>
      <c r="D194" s="112">
        <f>SUM(D195)</f>
        <v>0</v>
      </c>
      <c r="E194" s="293">
        <f>SUM(E195)</f>
        <v>0</v>
      </c>
      <c r="F194" s="313">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c r="R194" s="53"/>
      <c r="S194" s="53"/>
      <c r="T194" s="53"/>
    </row>
    <row r="195" spans="1:20" ht="24" hidden="1" x14ac:dyDescent="0.25">
      <c r="A195" s="656">
        <v>4310</v>
      </c>
      <c r="B195" s="116" t="s">
        <v>211</v>
      </c>
      <c r="C195" s="117">
        <f t="shared" si="26"/>
        <v>0</v>
      </c>
      <c r="D195" s="297">
        <f>SUM(D196:D196)</f>
        <v>0</v>
      </c>
      <c r="E195" s="301">
        <f>SUM(E196:E196)</f>
        <v>0</v>
      </c>
      <c r="F195" s="263">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c r="R195" s="53"/>
      <c r="S195" s="53"/>
      <c r="T195" s="53"/>
    </row>
    <row r="196" spans="1:20" ht="36" hidden="1" x14ac:dyDescent="0.25">
      <c r="A196" s="76">
        <v>4311</v>
      </c>
      <c r="B196" s="127" t="s">
        <v>212</v>
      </c>
      <c r="C196" s="128">
        <f t="shared" si="26"/>
        <v>0</v>
      </c>
      <c r="D196" s="134"/>
      <c r="E196" s="285"/>
      <c r="F196" s="286">
        <f t="shared" si="30"/>
        <v>0</v>
      </c>
      <c r="G196" s="134"/>
      <c r="H196" s="135"/>
      <c r="I196" s="136">
        <f t="shared" si="31"/>
        <v>0</v>
      </c>
      <c r="J196" s="134"/>
      <c r="K196" s="135"/>
      <c r="L196" s="136">
        <f t="shared" si="32"/>
        <v>0</v>
      </c>
      <c r="M196" s="284"/>
      <c r="N196" s="285"/>
      <c r="O196" s="136">
        <f t="shared" si="33"/>
        <v>0</v>
      </c>
      <c r="P196" s="85"/>
      <c r="R196" s="53"/>
      <c r="S196" s="53"/>
      <c r="T196" s="53"/>
    </row>
    <row r="197" spans="1:20" s="41" customFormat="1" ht="24" x14ac:dyDescent="0.25">
      <c r="A197" s="339"/>
      <c r="B197" s="31" t="s">
        <v>213</v>
      </c>
      <c r="C197" s="229">
        <f t="shared" si="26"/>
        <v>3870</v>
      </c>
      <c r="D197" s="230">
        <f>SUM(D198,D233,D271)</f>
        <v>3520</v>
      </c>
      <c r="E197" s="231">
        <f>SUM(E198,E233,E271)</f>
        <v>0</v>
      </c>
      <c r="F197" s="232">
        <f t="shared" si="30"/>
        <v>3520</v>
      </c>
      <c r="G197" s="230">
        <f>SUM(G198,G233,G271)</f>
        <v>350</v>
      </c>
      <c r="H197" s="233">
        <f>SUM(H198,H233,H271)</f>
        <v>0</v>
      </c>
      <c r="I197" s="234">
        <f t="shared" si="31"/>
        <v>350</v>
      </c>
      <c r="J197" s="230">
        <f>SUM(J198,J233,J271)</f>
        <v>0</v>
      </c>
      <c r="K197" s="233">
        <f>SUM(K198,K233,K271)</f>
        <v>0</v>
      </c>
      <c r="L197" s="234">
        <f t="shared" si="32"/>
        <v>0</v>
      </c>
      <c r="M197" s="340">
        <f>SUM(M198,M233,M271)</f>
        <v>0</v>
      </c>
      <c r="N197" s="341">
        <f>SUM(N198,N233,N271)</f>
        <v>0</v>
      </c>
      <c r="O197" s="342">
        <f t="shared" si="33"/>
        <v>0</v>
      </c>
      <c r="P197" s="343"/>
      <c r="R197" s="53"/>
      <c r="S197" s="53"/>
      <c r="T197" s="53"/>
    </row>
    <row r="198" spans="1:20" x14ac:dyDescent="0.25">
      <c r="A198" s="237">
        <v>5000</v>
      </c>
      <c r="B198" s="237" t="s">
        <v>214</v>
      </c>
      <c r="C198" s="238">
        <f>F198+I198+L198+O198</f>
        <v>3870</v>
      </c>
      <c r="D198" s="239">
        <f>D199+D207</f>
        <v>3520</v>
      </c>
      <c r="E198" s="240">
        <f>E199+E207</f>
        <v>0</v>
      </c>
      <c r="F198" s="241">
        <f t="shared" si="30"/>
        <v>3520</v>
      </c>
      <c r="G198" s="239">
        <f>G199+G207</f>
        <v>350</v>
      </c>
      <c r="H198" s="242">
        <f>H199+H207</f>
        <v>0</v>
      </c>
      <c r="I198" s="243">
        <f t="shared" si="31"/>
        <v>350</v>
      </c>
      <c r="J198" s="239">
        <f>J199+J207</f>
        <v>0</v>
      </c>
      <c r="K198" s="242">
        <f>K199+K207</f>
        <v>0</v>
      </c>
      <c r="L198" s="243">
        <f t="shared" si="32"/>
        <v>0</v>
      </c>
      <c r="M198" s="244">
        <f>M199+M207</f>
        <v>0</v>
      </c>
      <c r="N198" s="245">
        <f>N199+N207</f>
        <v>0</v>
      </c>
      <c r="O198" s="243">
        <f t="shared" si="33"/>
        <v>0</v>
      </c>
      <c r="P198" s="246"/>
      <c r="R198" s="53"/>
      <c r="S198" s="53"/>
      <c r="T198" s="53"/>
    </row>
    <row r="199" spans="1:20" hidden="1" x14ac:dyDescent="0.25">
      <c r="A199" s="99">
        <v>5100</v>
      </c>
      <c r="B199" s="247" t="s">
        <v>215</v>
      </c>
      <c r="C199" s="100">
        <f t="shared" si="26"/>
        <v>0</v>
      </c>
      <c r="D199" s="112">
        <f>D200+D201+D204+D205+D206</f>
        <v>0</v>
      </c>
      <c r="E199" s="293">
        <f>E200+E201+E204+E205+E206</f>
        <v>0</v>
      </c>
      <c r="F199" s="313">
        <f t="shared" si="30"/>
        <v>0</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c r="R199" s="53"/>
      <c r="S199" s="53"/>
      <c r="T199" s="53"/>
    </row>
    <row r="200" spans="1:20" hidden="1" x14ac:dyDescent="0.25">
      <c r="A200" s="656">
        <v>5110</v>
      </c>
      <c r="B200" s="116" t="s">
        <v>216</v>
      </c>
      <c r="C200" s="117">
        <f t="shared" si="26"/>
        <v>0</v>
      </c>
      <c r="D200" s="123"/>
      <c r="E200" s="262"/>
      <c r="F200" s="263">
        <f t="shared" si="30"/>
        <v>0</v>
      </c>
      <c r="G200" s="123"/>
      <c r="H200" s="124"/>
      <c r="I200" s="125">
        <f t="shared" si="31"/>
        <v>0</v>
      </c>
      <c r="J200" s="123"/>
      <c r="K200" s="124"/>
      <c r="L200" s="125">
        <f t="shared" si="32"/>
        <v>0</v>
      </c>
      <c r="M200" s="264"/>
      <c r="N200" s="262"/>
      <c r="O200" s="125">
        <f t="shared" si="33"/>
        <v>0</v>
      </c>
      <c r="P200" s="74"/>
      <c r="R200" s="53"/>
      <c r="S200" s="53"/>
      <c r="T200" s="53"/>
    </row>
    <row r="201" spans="1:20" ht="24" hidden="1" x14ac:dyDescent="0.25">
      <c r="A201" s="276">
        <v>5120</v>
      </c>
      <c r="B201" s="127" t="s">
        <v>217</v>
      </c>
      <c r="C201" s="128">
        <f t="shared" si="26"/>
        <v>0</v>
      </c>
      <c r="D201" s="277">
        <f>D202+D203</f>
        <v>0</v>
      </c>
      <c r="E201" s="282">
        <f>E202+E203</f>
        <v>0</v>
      </c>
      <c r="F201" s="286">
        <f t="shared" si="30"/>
        <v>0</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c r="R201" s="53"/>
      <c r="S201" s="53"/>
      <c r="T201" s="53"/>
    </row>
    <row r="202" spans="1:20" hidden="1" x14ac:dyDescent="0.25">
      <c r="A202" s="76">
        <v>5121</v>
      </c>
      <c r="B202" s="127" t="s">
        <v>218</v>
      </c>
      <c r="C202" s="128">
        <f t="shared" si="26"/>
        <v>0</v>
      </c>
      <c r="D202" s="134"/>
      <c r="E202" s="285"/>
      <c r="F202" s="286">
        <f t="shared" si="30"/>
        <v>0</v>
      </c>
      <c r="G202" s="134"/>
      <c r="H202" s="135"/>
      <c r="I202" s="136">
        <f t="shared" si="31"/>
        <v>0</v>
      </c>
      <c r="J202" s="134"/>
      <c r="K202" s="135"/>
      <c r="L202" s="136">
        <f t="shared" si="32"/>
        <v>0</v>
      </c>
      <c r="M202" s="284"/>
      <c r="N202" s="285"/>
      <c r="O202" s="136">
        <f t="shared" si="33"/>
        <v>0</v>
      </c>
      <c r="P202" s="85"/>
      <c r="R202" s="53"/>
      <c r="S202" s="53"/>
      <c r="T202" s="53"/>
    </row>
    <row r="203" spans="1:20" ht="24" hidden="1" x14ac:dyDescent="0.25">
      <c r="A203" s="76">
        <v>5129</v>
      </c>
      <c r="B203" s="127" t="s">
        <v>219</v>
      </c>
      <c r="C203" s="128">
        <f t="shared" si="26"/>
        <v>0</v>
      </c>
      <c r="D203" s="134"/>
      <c r="E203" s="285"/>
      <c r="F203" s="286">
        <f t="shared" si="30"/>
        <v>0</v>
      </c>
      <c r="G203" s="134"/>
      <c r="H203" s="135"/>
      <c r="I203" s="136">
        <f t="shared" si="31"/>
        <v>0</v>
      </c>
      <c r="J203" s="134"/>
      <c r="K203" s="135"/>
      <c r="L203" s="136">
        <f t="shared" si="32"/>
        <v>0</v>
      </c>
      <c r="M203" s="284"/>
      <c r="N203" s="285"/>
      <c r="O203" s="136">
        <f t="shared" si="33"/>
        <v>0</v>
      </c>
      <c r="P203" s="85"/>
      <c r="R203" s="53"/>
      <c r="S203" s="53"/>
      <c r="T203" s="53"/>
    </row>
    <row r="204" spans="1:20" hidden="1" x14ac:dyDescent="0.25">
      <c r="A204" s="276">
        <v>5130</v>
      </c>
      <c r="B204" s="127" t="s">
        <v>220</v>
      </c>
      <c r="C204" s="128">
        <f t="shared" si="26"/>
        <v>0</v>
      </c>
      <c r="D204" s="134"/>
      <c r="E204" s="285"/>
      <c r="F204" s="286">
        <f t="shared" si="30"/>
        <v>0</v>
      </c>
      <c r="G204" s="134"/>
      <c r="H204" s="135"/>
      <c r="I204" s="136">
        <f t="shared" si="31"/>
        <v>0</v>
      </c>
      <c r="J204" s="134"/>
      <c r="K204" s="135"/>
      <c r="L204" s="136">
        <f t="shared" si="32"/>
        <v>0</v>
      </c>
      <c r="M204" s="284"/>
      <c r="N204" s="285"/>
      <c r="O204" s="136">
        <f t="shared" si="33"/>
        <v>0</v>
      </c>
      <c r="P204" s="85"/>
      <c r="R204" s="53"/>
      <c r="S204" s="53"/>
      <c r="T204" s="53"/>
    </row>
    <row r="205" spans="1:20" hidden="1" x14ac:dyDescent="0.25">
      <c r="A205" s="276">
        <v>5140</v>
      </c>
      <c r="B205" s="127" t="s">
        <v>221</v>
      </c>
      <c r="C205" s="128">
        <f t="shared" si="26"/>
        <v>0</v>
      </c>
      <c r="D205" s="134"/>
      <c r="E205" s="285"/>
      <c r="F205" s="286">
        <f t="shared" si="30"/>
        <v>0</v>
      </c>
      <c r="G205" s="134"/>
      <c r="H205" s="135"/>
      <c r="I205" s="136">
        <f t="shared" si="31"/>
        <v>0</v>
      </c>
      <c r="J205" s="134"/>
      <c r="K205" s="135"/>
      <c r="L205" s="136">
        <f t="shared" si="32"/>
        <v>0</v>
      </c>
      <c r="M205" s="284"/>
      <c r="N205" s="285"/>
      <c r="O205" s="136">
        <f t="shared" si="33"/>
        <v>0</v>
      </c>
      <c r="P205" s="85"/>
      <c r="R205" s="53"/>
      <c r="S205" s="53"/>
      <c r="T205" s="53"/>
    </row>
    <row r="206" spans="1:20" ht="24" hidden="1" x14ac:dyDescent="0.25">
      <c r="A206" s="276">
        <v>5170</v>
      </c>
      <c r="B206" s="127" t="s">
        <v>222</v>
      </c>
      <c r="C206" s="128">
        <f t="shared" si="26"/>
        <v>0</v>
      </c>
      <c r="D206" s="134"/>
      <c r="E206" s="285"/>
      <c r="F206" s="286">
        <f t="shared" si="30"/>
        <v>0</v>
      </c>
      <c r="G206" s="134"/>
      <c r="H206" s="135"/>
      <c r="I206" s="136">
        <f t="shared" si="31"/>
        <v>0</v>
      </c>
      <c r="J206" s="134"/>
      <c r="K206" s="135"/>
      <c r="L206" s="136">
        <f t="shared" si="32"/>
        <v>0</v>
      </c>
      <c r="M206" s="284"/>
      <c r="N206" s="285"/>
      <c r="O206" s="136">
        <f t="shared" si="33"/>
        <v>0</v>
      </c>
      <c r="P206" s="85"/>
      <c r="R206" s="53"/>
      <c r="S206" s="53"/>
      <c r="T206" s="53"/>
    </row>
    <row r="207" spans="1:20" x14ac:dyDescent="0.25">
      <c r="A207" s="99">
        <v>5200</v>
      </c>
      <c r="B207" s="247" t="s">
        <v>223</v>
      </c>
      <c r="C207" s="100">
        <f t="shared" si="26"/>
        <v>3870</v>
      </c>
      <c r="D207" s="112">
        <f>D208+D218+D219+D228+D229+D230+D232</f>
        <v>3520</v>
      </c>
      <c r="E207" s="248">
        <f>E208+E218+E219+E228+E229+E230+E232</f>
        <v>0</v>
      </c>
      <c r="F207" s="249">
        <f t="shared" si="30"/>
        <v>3520</v>
      </c>
      <c r="G207" s="112">
        <f>G208+G218+G219+G228+G229+G230+G232</f>
        <v>350</v>
      </c>
      <c r="H207" s="113">
        <f>H208+H218+H219+H228+H229+H230+H232</f>
        <v>0</v>
      </c>
      <c r="I207" s="114">
        <f t="shared" si="31"/>
        <v>350</v>
      </c>
      <c r="J207" s="112">
        <f>J208+J218+J219+J228+J229+J230+J232</f>
        <v>0</v>
      </c>
      <c r="K207" s="113">
        <f>K208+K218+K219+K228+K229+K230+K232</f>
        <v>0</v>
      </c>
      <c r="L207" s="114">
        <f t="shared" si="32"/>
        <v>0</v>
      </c>
      <c r="M207" s="292">
        <f>M208+M218+M219+M228+M229+M230+M232</f>
        <v>0</v>
      </c>
      <c r="N207" s="293">
        <f>N208+N218+N219+N228+N229+N230+N232</f>
        <v>0</v>
      </c>
      <c r="O207" s="114">
        <f t="shared" si="33"/>
        <v>0</v>
      </c>
      <c r="P207" s="109"/>
      <c r="R207" s="53"/>
      <c r="S207" s="53"/>
      <c r="T207" s="53"/>
    </row>
    <row r="208" spans="1:20" hidden="1" x14ac:dyDescent="0.25">
      <c r="A208" s="254">
        <v>5210</v>
      </c>
      <c r="B208" s="179" t="s">
        <v>224</v>
      </c>
      <c r="C208" s="191">
        <f t="shared" si="26"/>
        <v>0</v>
      </c>
      <c r="D208" s="255">
        <f>SUM(D209:D217)</f>
        <v>0</v>
      </c>
      <c r="E208" s="261">
        <f>SUM(E209:E217)</f>
        <v>0</v>
      </c>
      <c r="F208" s="310">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c r="R208" s="53"/>
      <c r="S208" s="53"/>
      <c r="T208" s="53"/>
    </row>
    <row r="209" spans="1:20" hidden="1" x14ac:dyDescent="0.25">
      <c r="A209" s="66">
        <v>5211</v>
      </c>
      <c r="B209" s="116" t="s">
        <v>225</v>
      </c>
      <c r="C209" s="279">
        <f t="shared" si="26"/>
        <v>0</v>
      </c>
      <c r="D209" s="123"/>
      <c r="E209" s="262"/>
      <c r="F209" s="263">
        <f t="shared" si="30"/>
        <v>0</v>
      </c>
      <c r="G209" s="123"/>
      <c r="H209" s="124"/>
      <c r="I209" s="125">
        <f t="shared" si="31"/>
        <v>0</v>
      </c>
      <c r="J209" s="123"/>
      <c r="K209" s="124"/>
      <c r="L209" s="125">
        <f t="shared" si="32"/>
        <v>0</v>
      </c>
      <c r="M209" s="264"/>
      <c r="N209" s="262"/>
      <c r="O209" s="125">
        <f t="shared" si="33"/>
        <v>0</v>
      </c>
      <c r="P209" s="74"/>
      <c r="R209" s="53"/>
      <c r="S209" s="53"/>
      <c r="T209" s="53"/>
    </row>
    <row r="210" spans="1:20" hidden="1" x14ac:dyDescent="0.25">
      <c r="A210" s="76">
        <v>5212</v>
      </c>
      <c r="B210" s="127" t="s">
        <v>226</v>
      </c>
      <c r="C210" s="279">
        <f t="shared" si="26"/>
        <v>0</v>
      </c>
      <c r="D210" s="134"/>
      <c r="E210" s="285"/>
      <c r="F210" s="286">
        <f t="shared" si="30"/>
        <v>0</v>
      </c>
      <c r="G210" s="134"/>
      <c r="H210" s="135"/>
      <c r="I210" s="136">
        <f t="shared" si="31"/>
        <v>0</v>
      </c>
      <c r="J210" s="134"/>
      <c r="K210" s="135"/>
      <c r="L210" s="136">
        <f t="shared" si="32"/>
        <v>0</v>
      </c>
      <c r="M210" s="284"/>
      <c r="N210" s="285"/>
      <c r="O210" s="136">
        <f t="shared" si="33"/>
        <v>0</v>
      </c>
      <c r="P210" s="85"/>
      <c r="R210" s="53"/>
      <c r="S210" s="53"/>
      <c r="T210" s="53"/>
    </row>
    <row r="211" spans="1:20" hidden="1" x14ac:dyDescent="0.25">
      <c r="A211" s="76">
        <v>5213</v>
      </c>
      <c r="B211" s="127" t="s">
        <v>227</v>
      </c>
      <c r="C211" s="279">
        <f t="shared" si="26"/>
        <v>0</v>
      </c>
      <c r="D211" s="134"/>
      <c r="E211" s="285"/>
      <c r="F211" s="286">
        <f t="shared" si="30"/>
        <v>0</v>
      </c>
      <c r="G211" s="134"/>
      <c r="H211" s="135"/>
      <c r="I211" s="136">
        <f t="shared" si="31"/>
        <v>0</v>
      </c>
      <c r="J211" s="134"/>
      <c r="K211" s="135"/>
      <c r="L211" s="136">
        <f t="shared" si="32"/>
        <v>0</v>
      </c>
      <c r="M211" s="284"/>
      <c r="N211" s="285"/>
      <c r="O211" s="136">
        <f t="shared" si="33"/>
        <v>0</v>
      </c>
      <c r="P211" s="85"/>
      <c r="R211" s="53"/>
      <c r="S211" s="53"/>
      <c r="T211" s="53"/>
    </row>
    <row r="212" spans="1:20" hidden="1" x14ac:dyDescent="0.25">
      <c r="A212" s="76">
        <v>5214</v>
      </c>
      <c r="B212" s="127" t="s">
        <v>228</v>
      </c>
      <c r="C212" s="279">
        <f t="shared" si="26"/>
        <v>0</v>
      </c>
      <c r="D212" s="134"/>
      <c r="E212" s="285"/>
      <c r="F212" s="286">
        <f t="shared" si="30"/>
        <v>0</v>
      </c>
      <c r="G212" s="134"/>
      <c r="H212" s="135"/>
      <c r="I212" s="136">
        <f t="shared" si="31"/>
        <v>0</v>
      </c>
      <c r="J212" s="134"/>
      <c r="K212" s="135"/>
      <c r="L212" s="136">
        <f t="shared" si="32"/>
        <v>0</v>
      </c>
      <c r="M212" s="284"/>
      <c r="N212" s="285"/>
      <c r="O212" s="136">
        <f t="shared" si="33"/>
        <v>0</v>
      </c>
      <c r="P212" s="85"/>
      <c r="R212" s="53"/>
      <c r="S212" s="53"/>
      <c r="T212" s="53"/>
    </row>
    <row r="213" spans="1:20" hidden="1" x14ac:dyDescent="0.25">
      <c r="A213" s="76">
        <v>5215</v>
      </c>
      <c r="B213" s="127" t="s">
        <v>229</v>
      </c>
      <c r="C213" s="279">
        <f t="shared" si="26"/>
        <v>0</v>
      </c>
      <c r="D213" s="134"/>
      <c r="E213" s="285"/>
      <c r="F213" s="286">
        <f t="shared" si="30"/>
        <v>0</v>
      </c>
      <c r="G213" s="134"/>
      <c r="H213" s="135"/>
      <c r="I213" s="136">
        <f t="shared" si="31"/>
        <v>0</v>
      </c>
      <c r="J213" s="134"/>
      <c r="K213" s="135"/>
      <c r="L213" s="136">
        <f t="shared" si="32"/>
        <v>0</v>
      </c>
      <c r="M213" s="284"/>
      <c r="N213" s="285"/>
      <c r="O213" s="136">
        <f t="shared" si="33"/>
        <v>0</v>
      </c>
      <c r="P213" s="85"/>
      <c r="R213" s="53"/>
      <c r="S213" s="53"/>
      <c r="T213" s="53"/>
    </row>
    <row r="214" spans="1:20" ht="24" hidden="1" x14ac:dyDescent="0.25">
      <c r="A214" s="76">
        <v>5216</v>
      </c>
      <c r="B214" s="127" t="s">
        <v>230</v>
      </c>
      <c r="C214" s="279">
        <f t="shared" si="26"/>
        <v>0</v>
      </c>
      <c r="D214" s="134"/>
      <c r="E214" s="285"/>
      <c r="F214" s="286">
        <f t="shared" si="30"/>
        <v>0</v>
      </c>
      <c r="G214" s="134"/>
      <c r="H214" s="135"/>
      <c r="I214" s="136">
        <f t="shared" si="31"/>
        <v>0</v>
      </c>
      <c r="J214" s="134"/>
      <c r="K214" s="135"/>
      <c r="L214" s="136">
        <f t="shared" si="32"/>
        <v>0</v>
      </c>
      <c r="M214" s="284"/>
      <c r="N214" s="285"/>
      <c r="O214" s="136">
        <f t="shared" si="33"/>
        <v>0</v>
      </c>
      <c r="P214" s="85"/>
      <c r="R214" s="53"/>
      <c r="S214" s="53"/>
      <c r="T214" s="53"/>
    </row>
    <row r="215" spans="1:20" hidden="1" x14ac:dyDescent="0.25">
      <c r="A215" s="76">
        <v>5217</v>
      </c>
      <c r="B215" s="127" t="s">
        <v>231</v>
      </c>
      <c r="C215" s="279">
        <f t="shared" si="26"/>
        <v>0</v>
      </c>
      <c r="D215" s="134"/>
      <c r="E215" s="285"/>
      <c r="F215" s="286">
        <f t="shared" si="30"/>
        <v>0</v>
      </c>
      <c r="G215" s="134"/>
      <c r="H215" s="135"/>
      <c r="I215" s="136">
        <f t="shared" si="31"/>
        <v>0</v>
      </c>
      <c r="J215" s="134"/>
      <c r="K215" s="135"/>
      <c r="L215" s="136">
        <f t="shared" si="32"/>
        <v>0</v>
      </c>
      <c r="M215" s="284"/>
      <c r="N215" s="285"/>
      <c r="O215" s="136">
        <f t="shared" si="33"/>
        <v>0</v>
      </c>
      <c r="P215" s="85"/>
      <c r="R215" s="53"/>
      <c r="S215" s="53"/>
      <c r="T215" s="53"/>
    </row>
    <row r="216" spans="1:20" hidden="1" x14ac:dyDescent="0.25">
      <c r="A216" s="76">
        <v>5218</v>
      </c>
      <c r="B216" s="127" t="s">
        <v>232</v>
      </c>
      <c r="C216" s="279">
        <f t="shared" si="26"/>
        <v>0</v>
      </c>
      <c r="D216" s="134"/>
      <c r="E216" s="285"/>
      <c r="F216" s="286">
        <f t="shared" si="30"/>
        <v>0</v>
      </c>
      <c r="G216" s="134"/>
      <c r="H216" s="135"/>
      <c r="I216" s="136">
        <f t="shared" si="31"/>
        <v>0</v>
      </c>
      <c r="J216" s="134"/>
      <c r="K216" s="135"/>
      <c r="L216" s="136">
        <f t="shared" si="32"/>
        <v>0</v>
      </c>
      <c r="M216" s="284"/>
      <c r="N216" s="285"/>
      <c r="O216" s="136">
        <f t="shared" si="33"/>
        <v>0</v>
      </c>
      <c r="P216" s="85"/>
      <c r="R216" s="53"/>
      <c r="S216" s="53"/>
      <c r="T216" s="53"/>
    </row>
    <row r="217" spans="1:20" hidden="1" x14ac:dyDescent="0.25">
      <c r="A217" s="76">
        <v>5219</v>
      </c>
      <c r="B217" s="127" t="s">
        <v>233</v>
      </c>
      <c r="C217" s="279">
        <f t="shared" si="26"/>
        <v>0</v>
      </c>
      <c r="D217" s="134"/>
      <c r="E217" s="285"/>
      <c r="F217" s="286">
        <f t="shared" si="30"/>
        <v>0</v>
      </c>
      <c r="G217" s="134"/>
      <c r="H217" s="135"/>
      <c r="I217" s="136">
        <f t="shared" si="31"/>
        <v>0</v>
      </c>
      <c r="J217" s="134"/>
      <c r="K217" s="135"/>
      <c r="L217" s="136">
        <f t="shared" si="32"/>
        <v>0</v>
      </c>
      <c r="M217" s="284"/>
      <c r="N217" s="285"/>
      <c r="O217" s="136">
        <f t="shared" si="33"/>
        <v>0</v>
      </c>
      <c r="P217" s="85"/>
      <c r="R217" s="53"/>
      <c r="S217" s="53"/>
      <c r="T217" s="53"/>
    </row>
    <row r="218" spans="1:20" hidden="1" x14ac:dyDescent="0.25">
      <c r="A218" s="276">
        <v>5220</v>
      </c>
      <c r="B218" s="127" t="s">
        <v>234</v>
      </c>
      <c r="C218" s="279">
        <f t="shared" si="26"/>
        <v>0</v>
      </c>
      <c r="D218" s="134"/>
      <c r="E218" s="285"/>
      <c r="F218" s="286">
        <f t="shared" si="30"/>
        <v>0</v>
      </c>
      <c r="G218" s="134"/>
      <c r="H218" s="135"/>
      <c r="I218" s="136">
        <f t="shared" si="31"/>
        <v>0</v>
      </c>
      <c r="J218" s="134"/>
      <c r="K218" s="135"/>
      <c r="L218" s="136">
        <f t="shared" si="32"/>
        <v>0</v>
      </c>
      <c r="M218" s="284"/>
      <c r="N218" s="285"/>
      <c r="O218" s="136">
        <f t="shared" si="33"/>
        <v>0</v>
      </c>
      <c r="P218" s="85"/>
      <c r="R218" s="53"/>
      <c r="S218" s="53"/>
      <c r="T218" s="53"/>
    </row>
    <row r="219" spans="1:20" x14ac:dyDescent="0.25">
      <c r="A219" s="276">
        <v>5230</v>
      </c>
      <c r="B219" s="127" t="s">
        <v>235</v>
      </c>
      <c r="C219" s="279">
        <f t="shared" si="26"/>
        <v>3870</v>
      </c>
      <c r="D219" s="277">
        <f>SUM(D220:D227)</f>
        <v>3520</v>
      </c>
      <c r="E219" s="278">
        <f>SUM(E220:E227)</f>
        <v>0</v>
      </c>
      <c r="F219" s="279">
        <f t="shared" si="30"/>
        <v>3520</v>
      </c>
      <c r="G219" s="277">
        <f>SUM(G220:G227)</f>
        <v>350</v>
      </c>
      <c r="H219" s="280">
        <f>SUM(H220:H227)</f>
        <v>0</v>
      </c>
      <c r="I219" s="136">
        <f t="shared" si="31"/>
        <v>350</v>
      </c>
      <c r="J219" s="277">
        <f>SUM(J220:J227)</f>
        <v>0</v>
      </c>
      <c r="K219" s="280">
        <f>SUM(K220:K227)</f>
        <v>0</v>
      </c>
      <c r="L219" s="136">
        <f t="shared" si="32"/>
        <v>0</v>
      </c>
      <c r="M219" s="281">
        <f>SUM(M220:M227)</f>
        <v>0</v>
      </c>
      <c r="N219" s="282">
        <f>SUM(N220:N227)</f>
        <v>0</v>
      </c>
      <c r="O219" s="136">
        <f t="shared" si="33"/>
        <v>0</v>
      </c>
      <c r="P219" s="85"/>
      <c r="R219" s="53"/>
      <c r="S219" s="53"/>
      <c r="T219" s="53"/>
    </row>
    <row r="220" spans="1:20" hidden="1" x14ac:dyDescent="0.25">
      <c r="A220" s="76">
        <v>5231</v>
      </c>
      <c r="B220" s="127" t="s">
        <v>236</v>
      </c>
      <c r="C220" s="279">
        <f t="shared" si="26"/>
        <v>0</v>
      </c>
      <c r="D220" s="134"/>
      <c r="E220" s="285"/>
      <c r="F220" s="286">
        <f t="shared" si="30"/>
        <v>0</v>
      </c>
      <c r="G220" s="134"/>
      <c r="H220" s="135"/>
      <c r="I220" s="136">
        <f t="shared" si="31"/>
        <v>0</v>
      </c>
      <c r="J220" s="134"/>
      <c r="K220" s="135"/>
      <c r="L220" s="136">
        <f t="shared" si="32"/>
        <v>0</v>
      </c>
      <c r="M220" s="284"/>
      <c r="N220" s="285"/>
      <c r="O220" s="136">
        <f t="shared" si="33"/>
        <v>0</v>
      </c>
      <c r="P220" s="85"/>
      <c r="R220" s="53"/>
      <c r="S220" s="53"/>
      <c r="T220" s="53"/>
    </row>
    <row r="221" spans="1:20" x14ac:dyDescent="0.25">
      <c r="A221" s="76">
        <v>5232</v>
      </c>
      <c r="B221" s="127" t="s">
        <v>237</v>
      </c>
      <c r="C221" s="279">
        <f t="shared" si="26"/>
        <v>3240</v>
      </c>
      <c r="D221" s="134">
        <v>3240</v>
      </c>
      <c r="E221" s="283"/>
      <c r="F221" s="279">
        <f t="shared" si="30"/>
        <v>3240</v>
      </c>
      <c r="G221" s="134"/>
      <c r="H221" s="135"/>
      <c r="I221" s="136">
        <f t="shared" si="31"/>
        <v>0</v>
      </c>
      <c r="J221" s="134"/>
      <c r="K221" s="135"/>
      <c r="L221" s="136">
        <f t="shared" si="32"/>
        <v>0</v>
      </c>
      <c r="M221" s="284"/>
      <c r="N221" s="285"/>
      <c r="O221" s="136">
        <f t="shared" si="33"/>
        <v>0</v>
      </c>
      <c r="P221" s="85"/>
      <c r="R221" s="53"/>
      <c r="S221" s="53"/>
      <c r="T221" s="53"/>
    </row>
    <row r="222" spans="1:20" x14ac:dyDescent="0.25">
      <c r="A222" s="76">
        <v>5233</v>
      </c>
      <c r="B222" s="127" t="s">
        <v>238</v>
      </c>
      <c r="C222" s="279">
        <f t="shared" si="26"/>
        <v>350</v>
      </c>
      <c r="D222" s="134"/>
      <c r="E222" s="283"/>
      <c r="F222" s="279">
        <f t="shared" si="30"/>
        <v>0</v>
      </c>
      <c r="G222" s="134">
        <v>350</v>
      </c>
      <c r="H222" s="135"/>
      <c r="I222" s="136">
        <f t="shared" si="31"/>
        <v>350</v>
      </c>
      <c r="J222" s="134"/>
      <c r="K222" s="135"/>
      <c r="L222" s="136">
        <f t="shared" si="32"/>
        <v>0</v>
      </c>
      <c r="M222" s="284"/>
      <c r="N222" s="285"/>
      <c r="O222" s="136">
        <f t="shared" si="33"/>
        <v>0</v>
      </c>
      <c r="P222" s="85"/>
      <c r="R222" s="53"/>
      <c r="S222" s="53"/>
      <c r="T222" s="53"/>
    </row>
    <row r="223" spans="1:20" ht="24" hidden="1" x14ac:dyDescent="0.25">
      <c r="A223" s="76">
        <v>5234</v>
      </c>
      <c r="B223" s="127" t="s">
        <v>239</v>
      </c>
      <c r="C223" s="279">
        <f t="shared" si="26"/>
        <v>0</v>
      </c>
      <c r="D223" s="134"/>
      <c r="E223" s="285"/>
      <c r="F223" s="286">
        <f t="shared" si="30"/>
        <v>0</v>
      </c>
      <c r="G223" s="134"/>
      <c r="H223" s="135"/>
      <c r="I223" s="136">
        <f t="shared" si="31"/>
        <v>0</v>
      </c>
      <c r="J223" s="134"/>
      <c r="K223" s="135"/>
      <c r="L223" s="136">
        <f t="shared" si="32"/>
        <v>0</v>
      </c>
      <c r="M223" s="284"/>
      <c r="N223" s="285"/>
      <c r="O223" s="136">
        <f t="shared" si="33"/>
        <v>0</v>
      </c>
      <c r="P223" s="85"/>
      <c r="R223" s="53"/>
      <c r="S223" s="53"/>
      <c r="T223" s="53"/>
    </row>
    <row r="224" spans="1:20" hidden="1" x14ac:dyDescent="0.25">
      <c r="A224" s="76">
        <v>5236</v>
      </c>
      <c r="B224" s="127" t="s">
        <v>240</v>
      </c>
      <c r="C224" s="279">
        <f t="shared" si="26"/>
        <v>0</v>
      </c>
      <c r="D224" s="134"/>
      <c r="E224" s="285"/>
      <c r="F224" s="286">
        <f t="shared" si="30"/>
        <v>0</v>
      </c>
      <c r="G224" s="134"/>
      <c r="H224" s="135"/>
      <c r="I224" s="136">
        <f t="shared" si="31"/>
        <v>0</v>
      </c>
      <c r="J224" s="134"/>
      <c r="K224" s="135"/>
      <c r="L224" s="136">
        <f t="shared" si="32"/>
        <v>0</v>
      </c>
      <c r="M224" s="284"/>
      <c r="N224" s="285"/>
      <c r="O224" s="136">
        <f t="shared" si="33"/>
        <v>0</v>
      </c>
      <c r="P224" s="85"/>
      <c r="R224" s="53"/>
      <c r="S224" s="53"/>
      <c r="T224" s="53"/>
    </row>
    <row r="225" spans="1:20" hidden="1" x14ac:dyDescent="0.25">
      <c r="A225" s="76">
        <v>5237</v>
      </c>
      <c r="B225" s="127" t="s">
        <v>241</v>
      </c>
      <c r="C225" s="279">
        <f t="shared" si="26"/>
        <v>0</v>
      </c>
      <c r="D225" s="134"/>
      <c r="E225" s="285"/>
      <c r="F225" s="286">
        <f t="shared" si="30"/>
        <v>0</v>
      </c>
      <c r="G225" s="134"/>
      <c r="H225" s="135"/>
      <c r="I225" s="136">
        <f t="shared" si="31"/>
        <v>0</v>
      </c>
      <c r="J225" s="134"/>
      <c r="K225" s="135"/>
      <c r="L225" s="136">
        <f t="shared" si="32"/>
        <v>0</v>
      </c>
      <c r="M225" s="284"/>
      <c r="N225" s="285"/>
      <c r="O225" s="136">
        <f t="shared" si="33"/>
        <v>0</v>
      </c>
      <c r="P225" s="85"/>
      <c r="R225" s="53"/>
      <c r="S225" s="53"/>
      <c r="T225" s="53"/>
    </row>
    <row r="226" spans="1:20" ht="24" hidden="1" x14ac:dyDescent="0.25">
      <c r="A226" s="76">
        <v>5238</v>
      </c>
      <c r="B226" s="127" t="s">
        <v>242</v>
      </c>
      <c r="C226" s="279">
        <f t="shared" si="26"/>
        <v>0</v>
      </c>
      <c r="D226" s="134"/>
      <c r="E226" s="285"/>
      <c r="F226" s="286">
        <f t="shared" si="30"/>
        <v>0</v>
      </c>
      <c r="G226" s="134"/>
      <c r="H226" s="135"/>
      <c r="I226" s="136">
        <f t="shared" si="31"/>
        <v>0</v>
      </c>
      <c r="J226" s="134"/>
      <c r="K226" s="135"/>
      <c r="L226" s="136">
        <f t="shared" si="32"/>
        <v>0</v>
      </c>
      <c r="M226" s="284"/>
      <c r="N226" s="285"/>
      <c r="O226" s="136">
        <f t="shared" si="33"/>
        <v>0</v>
      </c>
      <c r="P226" s="85"/>
      <c r="R226" s="53"/>
      <c r="S226" s="53"/>
      <c r="T226" s="53"/>
    </row>
    <row r="227" spans="1:20" ht="24" x14ac:dyDescent="0.25">
      <c r="A227" s="76">
        <v>5239</v>
      </c>
      <c r="B227" s="127" t="s">
        <v>243</v>
      </c>
      <c r="C227" s="279">
        <f t="shared" si="26"/>
        <v>280</v>
      </c>
      <c r="D227" s="134">
        <v>280</v>
      </c>
      <c r="E227" s="283"/>
      <c r="F227" s="279">
        <f t="shared" si="30"/>
        <v>280</v>
      </c>
      <c r="G227" s="134"/>
      <c r="H227" s="135"/>
      <c r="I227" s="136">
        <f t="shared" si="31"/>
        <v>0</v>
      </c>
      <c r="J227" s="134"/>
      <c r="K227" s="135"/>
      <c r="L227" s="136">
        <f t="shared" si="32"/>
        <v>0</v>
      </c>
      <c r="M227" s="284"/>
      <c r="N227" s="285"/>
      <c r="O227" s="136">
        <f t="shared" si="33"/>
        <v>0</v>
      </c>
      <c r="P227" s="85"/>
      <c r="R227" s="53"/>
      <c r="S227" s="53"/>
      <c r="T227" s="53"/>
    </row>
    <row r="228" spans="1:20" ht="24" hidden="1" x14ac:dyDescent="0.25">
      <c r="A228" s="276">
        <v>5240</v>
      </c>
      <c r="B228" s="127" t="s">
        <v>244</v>
      </c>
      <c r="C228" s="279">
        <f t="shared" si="26"/>
        <v>0</v>
      </c>
      <c r="D228" s="134"/>
      <c r="E228" s="285"/>
      <c r="F228" s="286">
        <f t="shared" si="30"/>
        <v>0</v>
      </c>
      <c r="G228" s="134"/>
      <c r="H228" s="135"/>
      <c r="I228" s="136">
        <f t="shared" si="31"/>
        <v>0</v>
      </c>
      <c r="J228" s="134"/>
      <c r="K228" s="135"/>
      <c r="L228" s="136">
        <f t="shared" si="32"/>
        <v>0</v>
      </c>
      <c r="M228" s="284"/>
      <c r="N228" s="285"/>
      <c r="O228" s="136">
        <f t="shared" si="33"/>
        <v>0</v>
      </c>
      <c r="P228" s="85"/>
      <c r="R228" s="53"/>
      <c r="S228" s="53"/>
      <c r="T228" s="53"/>
    </row>
    <row r="229" spans="1:20" hidden="1" x14ac:dyDescent="0.25">
      <c r="A229" s="276">
        <v>5250</v>
      </c>
      <c r="B229" s="127" t="s">
        <v>245</v>
      </c>
      <c r="C229" s="279">
        <f t="shared" si="26"/>
        <v>0</v>
      </c>
      <c r="D229" s="134"/>
      <c r="E229" s="285"/>
      <c r="F229" s="286">
        <f t="shared" si="30"/>
        <v>0</v>
      </c>
      <c r="G229" s="134"/>
      <c r="H229" s="135"/>
      <c r="I229" s="136">
        <f t="shared" si="31"/>
        <v>0</v>
      </c>
      <c r="J229" s="134"/>
      <c r="K229" s="135"/>
      <c r="L229" s="136">
        <f t="shared" si="32"/>
        <v>0</v>
      </c>
      <c r="M229" s="284"/>
      <c r="N229" s="285"/>
      <c r="O229" s="136">
        <f t="shared" si="33"/>
        <v>0</v>
      </c>
      <c r="P229" s="85"/>
      <c r="R229" s="53"/>
      <c r="S229" s="53"/>
      <c r="T229" s="53"/>
    </row>
    <row r="230" spans="1:20" hidden="1" x14ac:dyDescent="0.25">
      <c r="A230" s="276">
        <v>5260</v>
      </c>
      <c r="B230" s="127" t="s">
        <v>246</v>
      </c>
      <c r="C230" s="279">
        <f t="shared" si="26"/>
        <v>0</v>
      </c>
      <c r="D230" s="277">
        <f>SUM(D231)</f>
        <v>0</v>
      </c>
      <c r="E230" s="282">
        <f>SUM(E231)</f>
        <v>0</v>
      </c>
      <c r="F230" s="286">
        <f t="shared" si="30"/>
        <v>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c r="R230" s="53"/>
      <c r="S230" s="53"/>
      <c r="T230" s="53"/>
    </row>
    <row r="231" spans="1:20" ht="24" hidden="1" x14ac:dyDescent="0.25">
      <c r="A231" s="76">
        <v>5269</v>
      </c>
      <c r="B231" s="127" t="s">
        <v>247</v>
      </c>
      <c r="C231" s="279">
        <f t="shared" si="26"/>
        <v>0</v>
      </c>
      <c r="D231" s="134"/>
      <c r="E231" s="285"/>
      <c r="F231" s="286">
        <f t="shared" si="30"/>
        <v>0</v>
      </c>
      <c r="G231" s="134"/>
      <c r="H231" s="135"/>
      <c r="I231" s="136">
        <f t="shared" si="31"/>
        <v>0</v>
      </c>
      <c r="J231" s="134"/>
      <c r="K231" s="135"/>
      <c r="L231" s="136">
        <f t="shared" si="32"/>
        <v>0</v>
      </c>
      <c r="M231" s="284"/>
      <c r="N231" s="285"/>
      <c r="O231" s="136">
        <f t="shared" si="33"/>
        <v>0</v>
      </c>
      <c r="P231" s="85"/>
      <c r="R231" s="53"/>
      <c r="S231" s="53"/>
      <c r="T231" s="53"/>
    </row>
    <row r="232" spans="1:20" ht="24" hidden="1" x14ac:dyDescent="0.25">
      <c r="A232" s="254">
        <v>5270</v>
      </c>
      <c r="B232" s="179" t="s">
        <v>248</v>
      </c>
      <c r="C232" s="302">
        <f t="shared" si="26"/>
        <v>0</v>
      </c>
      <c r="D232" s="287"/>
      <c r="E232" s="291"/>
      <c r="F232" s="310">
        <f t="shared" si="30"/>
        <v>0</v>
      </c>
      <c r="G232" s="287"/>
      <c r="H232" s="289"/>
      <c r="I232" s="259">
        <f t="shared" si="31"/>
        <v>0</v>
      </c>
      <c r="J232" s="287"/>
      <c r="K232" s="289"/>
      <c r="L232" s="259">
        <f t="shared" si="32"/>
        <v>0</v>
      </c>
      <c r="M232" s="290"/>
      <c r="N232" s="291"/>
      <c r="O232" s="259">
        <f t="shared" si="33"/>
        <v>0</v>
      </c>
      <c r="P232" s="189"/>
      <c r="R232" s="53"/>
      <c r="S232" s="53"/>
      <c r="T232" s="53"/>
    </row>
    <row r="233" spans="1:20" hidden="1" x14ac:dyDescent="0.25">
      <c r="A233" s="237">
        <v>6000</v>
      </c>
      <c r="B233" s="237" t="s">
        <v>249</v>
      </c>
      <c r="C233" s="238">
        <f t="shared" si="26"/>
        <v>0</v>
      </c>
      <c r="D233" s="239">
        <f>D234+D254+D261</f>
        <v>0</v>
      </c>
      <c r="E233" s="245">
        <f>E234+E254+E261</f>
        <v>0</v>
      </c>
      <c r="F233" s="320">
        <f t="shared" si="30"/>
        <v>0</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c r="R233" s="53"/>
      <c r="S233" s="53"/>
      <c r="T233" s="53"/>
    </row>
    <row r="234" spans="1:20"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c r="R234" s="53"/>
      <c r="S234" s="53"/>
      <c r="T234" s="53"/>
    </row>
    <row r="235" spans="1:20" ht="24" hidden="1" x14ac:dyDescent="0.25">
      <c r="A235" s="656">
        <v>6220</v>
      </c>
      <c r="B235" s="116" t="s">
        <v>251</v>
      </c>
      <c r="C235" s="298">
        <f t="shared" si="26"/>
        <v>0</v>
      </c>
      <c r="D235" s="123"/>
      <c r="E235" s="262"/>
      <c r="F235" s="263">
        <f t="shared" si="30"/>
        <v>0</v>
      </c>
      <c r="G235" s="123"/>
      <c r="H235" s="124"/>
      <c r="I235" s="125">
        <f t="shared" si="31"/>
        <v>0</v>
      </c>
      <c r="J235" s="123"/>
      <c r="K235" s="124"/>
      <c r="L235" s="125">
        <f t="shared" si="32"/>
        <v>0</v>
      </c>
      <c r="M235" s="264"/>
      <c r="N235" s="262"/>
      <c r="O235" s="125">
        <f t="shared" si="33"/>
        <v>0</v>
      </c>
      <c r="P235" s="74"/>
      <c r="R235" s="53"/>
      <c r="S235" s="53"/>
      <c r="T235" s="53"/>
    </row>
    <row r="236" spans="1:20" hidden="1" x14ac:dyDescent="0.25">
      <c r="A236" s="276">
        <v>6230</v>
      </c>
      <c r="B236" s="127" t="s">
        <v>252</v>
      </c>
      <c r="C236" s="278">
        <f t="shared" si="26"/>
        <v>0</v>
      </c>
      <c r="D236" s="277">
        <f>SUM(D237)</f>
        <v>0</v>
      </c>
      <c r="E236" s="280">
        <f>SUM(E237)</f>
        <v>0</v>
      </c>
      <c r="F236" s="28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c r="R236" s="53"/>
      <c r="S236" s="53"/>
      <c r="T236" s="53"/>
    </row>
    <row r="237" spans="1:20" ht="24" hidden="1" x14ac:dyDescent="0.25">
      <c r="A237" s="76">
        <v>6239</v>
      </c>
      <c r="B237" s="116" t="s">
        <v>253</v>
      </c>
      <c r="C237" s="278">
        <f t="shared" si="26"/>
        <v>0</v>
      </c>
      <c r="D237" s="134"/>
      <c r="E237" s="285"/>
      <c r="F237" s="286">
        <f t="shared" si="30"/>
        <v>0</v>
      </c>
      <c r="G237" s="134"/>
      <c r="H237" s="135"/>
      <c r="I237" s="136">
        <f t="shared" si="31"/>
        <v>0</v>
      </c>
      <c r="J237" s="134"/>
      <c r="K237" s="135"/>
      <c r="L237" s="136">
        <f t="shared" si="32"/>
        <v>0</v>
      </c>
      <c r="M237" s="284"/>
      <c r="N237" s="285"/>
      <c r="O237" s="136">
        <f t="shared" si="33"/>
        <v>0</v>
      </c>
      <c r="P237" s="85"/>
      <c r="R237" s="53"/>
      <c r="S237" s="53"/>
      <c r="T237" s="53"/>
    </row>
    <row r="238" spans="1:20" ht="24" hidden="1" x14ac:dyDescent="0.25">
      <c r="A238" s="276">
        <v>6240</v>
      </c>
      <c r="B238" s="127" t="s">
        <v>254</v>
      </c>
      <c r="C238" s="278">
        <f t="shared" si="26"/>
        <v>0</v>
      </c>
      <c r="D238" s="277">
        <f>SUM(D239:D240)</f>
        <v>0</v>
      </c>
      <c r="E238" s="282">
        <f>SUM(E239:E240)</f>
        <v>0</v>
      </c>
      <c r="F238" s="28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c r="R238" s="53"/>
      <c r="S238" s="53"/>
      <c r="T238" s="53"/>
    </row>
    <row r="239" spans="1:20" hidden="1" x14ac:dyDescent="0.25">
      <c r="A239" s="76">
        <v>6241</v>
      </c>
      <c r="B239" s="127" t="s">
        <v>255</v>
      </c>
      <c r="C239" s="278">
        <f t="shared" si="26"/>
        <v>0</v>
      </c>
      <c r="D239" s="134"/>
      <c r="E239" s="285"/>
      <c r="F239" s="286">
        <f t="shared" si="30"/>
        <v>0</v>
      </c>
      <c r="G239" s="134"/>
      <c r="H239" s="135"/>
      <c r="I239" s="136">
        <f t="shared" si="31"/>
        <v>0</v>
      </c>
      <c r="J239" s="134"/>
      <c r="K239" s="135"/>
      <c r="L239" s="136">
        <f t="shared" si="32"/>
        <v>0</v>
      </c>
      <c r="M239" s="284"/>
      <c r="N239" s="285"/>
      <c r="O239" s="136">
        <f t="shared" si="33"/>
        <v>0</v>
      </c>
      <c r="P239" s="85"/>
      <c r="R239" s="53"/>
      <c r="S239" s="53"/>
      <c r="T239" s="53"/>
    </row>
    <row r="240" spans="1:20" hidden="1" x14ac:dyDescent="0.25">
      <c r="A240" s="76">
        <v>6242</v>
      </c>
      <c r="B240" s="127" t="s">
        <v>256</v>
      </c>
      <c r="C240" s="278">
        <f t="shared" si="26"/>
        <v>0</v>
      </c>
      <c r="D240" s="134"/>
      <c r="E240" s="285"/>
      <c r="F240" s="286">
        <f t="shared" si="30"/>
        <v>0</v>
      </c>
      <c r="G240" s="134"/>
      <c r="H240" s="135"/>
      <c r="I240" s="136">
        <f t="shared" si="31"/>
        <v>0</v>
      </c>
      <c r="J240" s="134"/>
      <c r="K240" s="135"/>
      <c r="L240" s="136">
        <f t="shared" si="32"/>
        <v>0</v>
      </c>
      <c r="M240" s="284"/>
      <c r="N240" s="285"/>
      <c r="O240" s="136">
        <f t="shared" si="33"/>
        <v>0</v>
      </c>
      <c r="P240" s="85"/>
      <c r="R240" s="53"/>
      <c r="S240" s="53"/>
      <c r="T240" s="53"/>
    </row>
    <row r="241" spans="1:20" ht="24" hidden="1" x14ac:dyDescent="0.25">
      <c r="A241" s="276">
        <v>6250</v>
      </c>
      <c r="B241" s="127" t="s">
        <v>257</v>
      </c>
      <c r="C241" s="278">
        <f t="shared" si="26"/>
        <v>0</v>
      </c>
      <c r="D241" s="277">
        <f>SUM(D242:D246)</f>
        <v>0</v>
      </c>
      <c r="E241" s="282">
        <f>SUM(E242:E246)</f>
        <v>0</v>
      </c>
      <c r="F241" s="28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c r="R241" s="53"/>
      <c r="S241" s="53"/>
      <c r="T241" s="53"/>
    </row>
    <row r="242" spans="1:20" hidden="1" x14ac:dyDescent="0.25">
      <c r="A242" s="76">
        <v>6252</v>
      </c>
      <c r="B242" s="127" t="s">
        <v>258</v>
      </c>
      <c r="C242" s="278">
        <f t="shared" si="26"/>
        <v>0</v>
      </c>
      <c r="D242" s="134"/>
      <c r="E242" s="285"/>
      <c r="F242" s="286">
        <f t="shared" si="30"/>
        <v>0</v>
      </c>
      <c r="G242" s="134"/>
      <c r="H242" s="135"/>
      <c r="I242" s="136">
        <f t="shared" si="31"/>
        <v>0</v>
      </c>
      <c r="J242" s="134"/>
      <c r="K242" s="135"/>
      <c r="L242" s="136">
        <f t="shared" si="32"/>
        <v>0</v>
      </c>
      <c r="M242" s="284"/>
      <c r="N242" s="285"/>
      <c r="O242" s="136">
        <f t="shared" si="33"/>
        <v>0</v>
      </c>
      <c r="P242" s="85"/>
      <c r="R242" s="53"/>
      <c r="S242" s="53"/>
      <c r="T242" s="53"/>
    </row>
    <row r="243" spans="1:20" hidden="1" x14ac:dyDescent="0.25">
      <c r="A243" s="76">
        <v>6253</v>
      </c>
      <c r="B243" s="127" t="s">
        <v>259</v>
      </c>
      <c r="C243" s="278">
        <f t="shared" si="26"/>
        <v>0</v>
      </c>
      <c r="D243" s="134"/>
      <c r="E243" s="285"/>
      <c r="F243" s="286">
        <f t="shared" si="30"/>
        <v>0</v>
      </c>
      <c r="G243" s="134"/>
      <c r="H243" s="135"/>
      <c r="I243" s="136">
        <f t="shared" si="31"/>
        <v>0</v>
      </c>
      <c r="J243" s="134"/>
      <c r="K243" s="135"/>
      <c r="L243" s="136">
        <f t="shared" si="32"/>
        <v>0</v>
      </c>
      <c r="M243" s="284"/>
      <c r="N243" s="285"/>
      <c r="O243" s="136">
        <f t="shared" si="33"/>
        <v>0</v>
      </c>
      <c r="P243" s="85"/>
      <c r="R243" s="53"/>
      <c r="S243" s="53"/>
      <c r="T243" s="53"/>
    </row>
    <row r="244" spans="1:20" ht="24" hidden="1" x14ac:dyDescent="0.25">
      <c r="A244" s="76">
        <v>6254</v>
      </c>
      <c r="B244" s="127" t="s">
        <v>260</v>
      </c>
      <c r="C244" s="278">
        <f t="shared" si="26"/>
        <v>0</v>
      </c>
      <c r="D244" s="134"/>
      <c r="E244" s="285"/>
      <c r="F244" s="286">
        <f t="shared" si="30"/>
        <v>0</v>
      </c>
      <c r="G244" s="134"/>
      <c r="H244" s="135"/>
      <c r="I244" s="136">
        <f t="shared" si="31"/>
        <v>0</v>
      </c>
      <c r="J244" s="134"/>
      <c r="K244" s="135"/>
      <c r="L244" s="136">
        <f t="shared" si="32"/>
        <v>0</v>
      </c>
      <c r="M244" s="284"/>
      <c r="N244" s="285"/>
      <c r="O244" s="136">
        <f t="shared" si="33"/>
        <v>0</v>
      </c>
      <c r="P244" s="85"/>
      <c r="R244" s="53"/>
      <c r="S244" s="53"/>
      <c r="T244" s="53"/>
    </row>
    <row r="245" spans="1:20" ht="24" hidden="1" x14ac:dyDescent="0.25">
      <c r="A245" s="76">
        <v>6255</v>
      </c>
      <c r="B245" s="127" t="s">
        <v>261</v>
      </c>
      <c r="C245" s="278">
        <f t="shared" si="26"/>
        <v>0</v>
      </c>
      <c r="D245" s="134"/>
      <c r="E245" s="285"/>
      <c r="F245" s="286">
        <f t="shared" si="30"/>
        <v>0</v>
      </c>
      <c r="G245" s="134"/>
      <c r="H245" s="135"/>
      <c r="I245" s="136">
        <f t="shared" si="31"/>
        <v>0</v>
      </c>
      <c r="J245" s="134"/>
      <c r="K245" s="135"/>
      <c r="L245" s="136">
        <f t="shared" si="32"/>
        <v>0</v>
      </c>
      <c r="M245" s="284"/>
      <c r="N245" s="285"/>
      <c r="O245" s="136">
        <f t="shared" si="33"/>
        <v>0</v>
      </c>
      <c r="P245" s="85"/>
      <c r="R245" s="53"/>
      <c r="S245" s="53"/>
      <c r="T245" s="53"/>
    </row>
    <row r="246" spans="1:20" hidden="1" x14ac:dyDescent="0.25">
      <c r="A246" s="76">
        <v>6259</v>
      </c>
      <c r="B246" s="127" t="s">
        <v>262</v>
      </c>
      <c r="C246" s="278">
        <f t="shared" si="26"/>
        <v>0</v>
      </c>
      <c r="D246" s="134"/>
      <c r="E246" s="285"/>
      <c r="F246" s="286">
        <f t="shared" si="30"/>
        <v>0</v>
      </c>
      <c r="G246" s="134"/>
      <c r="H246" s="135"/>
      <c r="I246" s="136">
        <f t="shared" si="31"/>
        <v>0</v>
      </c>
      <c r="J246" s="134"/>
      <c r="K246" s="135"/>
      <c r="L246" s="136">
        <f t="shared" si="32"/>
        <v>0</v>
      </c>
      <c r="M246" s="284"/>
      <c r="N246" s="285"/>
      <c r="O246" s="136">
        <f t="shared" si="33"/>
        <v>0</v>
      </c>
      <c r="P246" s="85"/>
      <c r="R246" s="53"/>
      <c r="S246" s="53"/>
      <c r="T246" s="53"/>
    </row>
    <row r="247" spans="1:20" ht="24" hidden="1" x14ac:dyDescent="0.25">
      <c r="A247" s="276">
        <v>6260</v>
      </c>
      <c r="B247" s="127" t="s">
        <v>263</v>
      </c>
      <c r="C247" s="278">
        <f t="shared" si="26"/>
        <v>0</v>
      </c>
      <c r="D247" s="134"/>
      <c r="E247" s="285"/>
      <c r="F247" s="286">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c r="R247" s="53"/>
      <c r="S247" s="53"/>
      <c r="T247" s="53"/>
    </row>
    <row r="248" spans="1:20" hidden="1" x14ac:dyDescent="0.25">
      <c r="A248" s="276">
        <v>6270</v>
      </c>
      <c r="B248" s="127" t="s">
        <v>264</v>
      </c>
      <c r="C248" s="278">
        <f t="shared" si="26"/>
        <v>0</v>
      </c>
      <c r="D248" s="134"/>
      <c r="E248" s="285"/>
      <c r="F248" s="286">
        <f t="shared" si="37"/>
        <v>0</v>
      </c>
      <c r="G248" s="134"/>
      <c r="H248" s="135"/>
      <c r="I248" s="136">
        <f t="shared" si="38"/>
        <v>0</v>
      </c>
      <c r="J248" s="134"/>
      <c r="K248" s="135"/>
      <c r="L248" s="136">
        <f t="shared" si="39"/>
        <v>0</v>
      </c>
      <c r="M248" s="284"/>
      <c r="N248" s="285"/>
      <c r="O248" s="136">
        <f t="shared" si="40"/>
        <v>0</v>
      </c>
      <c r="P248" s="85"/>
      <c r="R248" s="53"/>
      <c r="S248" s="53"/>
      <c r="T248" s="53"/>
    </row>
    <row r="249" spans="1:20" ht="24" hidden="1" x14ac:dyDescent="0.25">
      <c r="A249" s="656">
        <v>6290</v>
      </c>
      <c r="B249" s="116" t="s">
        <v>265</v>
      </c>
      <c r="C249" s="278">
        <f t="shared" si="26"/>
        <v>0</v>
      </c>
      <c r="D249" s="297">
        <f>SUM(D250:D253)</f>
        <v>0</v>
      </c>
      <c r="E249" s="301">
        <f>SUM(E250:E253)</f>
        <v>0</v>
      </c>
      <c r="F249" s="263">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c r="R249" s="53"/>
      <c r="S249" s="53"/>
      <c r="T249" s="53"/>
    </row>
    <row r="250" spans="1:20" hidden="1" x14ac:dyDescent="0.25">
      <c r="A250" s="76">
        <v>6291</v>
      </c>
      <c r="B250" s="127" t="s">
        <v>266</v>
      </c>
      <c r="C250" s="278">
        <f t="shared" si="26"/>
        <v>0</v>
      </c>
      <c r="D250" s="134"/>
      <c r="E250" s="285"/>
      <c r="F250" s="286">
        <f t="shared" si="37"/>
        <v>0</v>
      </c>
      <c r="G250" s="134"/>
      <c r="H250" s="135"/>
      <c r="I250" s="136">
        <f t="shared" si="38"/>
        <v>0</v>
      </c>
      <c r="J250" s="134"/>
      <c r="K250" s="135"/>
      <c r="L250" s="136">
        <f t="shared" si="39"/>
        <v>0</v>
      </c>
      <c r="M250" s="284"/>
      <c r="N250" s="285"/>
      <c r="O250" s="136">
        <f t="shared" si="40"/>
        <v>0</v>
      </c>
      <c r="P250" s="85"/>
      <c r="R250" s="53"/>
      <c r="S250" s="53"/>
      <c r="T250" s="53"/>
    </row>
    <row r="251" spans="1:20" hidden="1" x14ac:dyDescent="0.25">
      <c r="A251" s="76">
        <v>6292</v>
      </c>
      <c r="B251" s="127" t="s">
        <v>267</v>
      </c>
      <c r="C251" s="278">
        <f t="shared" si="26"/>
        <v>0</v>
      </c>
      <c r="D251" s="134"/>
      <c r="E251" s="285"/>
      <c r="F251" s="286">
        <f t="shared" si="37"/>
        <v>0</v>
      </c>
      <c r="G251" s="134"/>
      <c r="H251" s="135"/>
      <c r="I251" s="136">
        <f t="shared" si="38"/>
        <v>0</v>
      </c>
      <c r="J251" s="134"/>
      <c r="K251" s="135"/>
      <c r="L251" s="136">
        <f t="shared" si="39"/>
        <v>0</v>
      </c>
      <c r="M251" s="284"/>
      <c r="N251" s="285"/>
      <c r="O251" s="136">
        <f t="shared" si="40"/>
        <v>0</v>
      </c>
      <c r="P251" s="85"/>
      <c r="R251" s="53"/>
      <c r="S251" s="53"/>
      <c r="T251" s="53"/>
    </row>
    <row r="252" spans="1:20" ht="72" hidden="1" x14ac:dyDescent="0.25">
      <c r="A252" s="76">
        <v>6296</v>
      </c>
      <c r="B252" s="127" t="s">
        <v>268</v>
      </c>
      <c r="C252" s="278">
        <f t="shared" si="26"/>
        <v>0</v>
      </c>
      <c r="D252" s="134"/>
      <c r="E252" s="285"/>
      <c r="F252" s="286">
        <f t="shared" si="37"/>
        <v>0</v>
      </c>
      <c r="G252" s="134"/>
      <c r="H252" s="135"/>
      <c r="I252" s="136">
        <f t="shared" si="38"/>
        <v>0</v>
      </c>
      <c r="J252" s="134"/>
      <c r="K252" s="135"/>
      <c r="L252" s="136">
        <f t="shared" si="39"/>
        <v>0</v>
      </c>
      <c r="M252" s="284"/>
      <c r="N252" s="285"/>
      <c r="O252" s="136">
        <f t="shared" si="40"/>
        <v>0</v>
      </c>
      <c r="P252" s="85"/>
      <c r="R252" s="53"/>
      <c r="S252" s="53"/>
      <c r="T252" s="53"/>
    </row>
    <row r="253" spans="1:20" ht="36" hidden="1" x14ac:dyDescent="0.25">
      <c r="A253" s="76">
        <v>6299</v>
      </c>
      <c r="B253" s="127" t="s">
        <v>269</v>
      </c>
      <c r="C253" s="278">
        <f t="shared" si="26"/>
        <v>0</v>
      </c>
      <c r="D253" s="134"/>
      <c r="E253" s="285"/>
      <c r="F253" s="286">
        <f t="shared" si="37"/>
        <v>0</v>
      </c>
      <c r="G253" s="134"/>
      <c r="H253" s="135"/>
      <c r="I253" s="136">
        <f t="shared" si="38"/>
        <v>0</v>
      </c>
      <c r="J253" s="134"/>
      <c r="K253" s="135"/>
      <c r="L253" s="136">
        <f t="shared" si="39"/>
        <v>0</v>
      </c>
      <c r="M253" s="284"/>
      <c r="N253" s="285"/>
      <c r="O253" s="136">
        <f t="shared" si="40"/>
        <v>0</v>
      </c>
      <c r="P253" s="85"/>
      <c r="R253" s="53"/>
      <c r="S253" s="53"/>
      <c r="T253" s="53"/>
    </row>
    <row r="254" spans="1:20" hidden="1" x14ac:dyDescent="0.25">
      <c r="A254" s="99">
        <v>6300</v>
      </c>
      <c r="B254" s="247" t="s">
        <v>270</v>
      </c>
      <c r="C254" s="100">
        <f t="shared" si="26"/>
        <v>0</v>
      </c>
      <c r="D254" s="112">
        <f>SUM(D255,D259,D260)</f>
        <v>0</v>
      </c>
      <c r="E254" s="293">
        <f>SUM(E255,E259,E260)</f>
        <v>0</v>
      </c>
      <c r="F254" s="313">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c r="R254" s="53"/>
      <c r="S254" s="53"/>
      <c r="T254" s="53"/>
    </row>
    <row r="255" spans="1:20" ht="24" hidden="1" x14ac:dyDescent="0.25">
      <c r="A255" s="656">
        <v>6320</v>
      </c>
      <c r="B255" s="116" t="s">
        <v>271</v>
      </c>
      <c r="C255" s="322">
        <f t="shared" si="26"/>
        <v>0</v>
      </c>
      <c r="D255" s="297">
        <f>SUM(D256:D258)</f>
        <v>0</v>
      </c>
      <c r="E255" s="301">
        <f>SUM(E256:E258)</f>
        <v>0</v>
      </c>
      <c r="F255" s="263">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c r="R255" s="53"/>
      <c r="S255" s="53"/>
      <c r="T255" s="53"/>
    </row>
    <row r="256" spans="1:20" hidden="1" x14ac:dyDescent="0.25">
      <c r="A256" s="76">
        <v>6322</v>
      </c>
      <c r="B256" s="127" t="s">
        <v>272</v>
      </c>
      <c r="C256" s="281">
        <f t="shared" si="26"/>
        <v>0</v>
      </c>
      <c r="D256" s="134"/>
      <c r="E256" s="285"/>
      <c r="F256" s="286">
        <f t="shared" si="37"/>
        <v>0</v>
      </c>
      <c r="G256" s="134"/>
      <c r="H256" s="135"/>
      <c r="I256" s="136">
        <f t="shared" si="38"/>
        <v>0</v>
      </c>
      <c r="J256" s="134"/>
      <c r="K256" s="135"/>
      <c r="L256" s="136">
        <f t="shared" si="39"/>
        <v>0</v>
      </c>
      <c r="M256" s="284"/>
      <c r="N256" s="285"/>
      <c r="O256" s="136">
        <f t="shared" si="40"/>
        <v>0</v>
      </c>
      <c r="P256" s="85"/>
      <c r="R256" s="53"/>
      <c r="S256" s="53"/>
      <c r="T256" s="53"/>
    </row>
    <row r="257" spans="1:20" ht="24" hidden="1" x14ac:dyDescent="0.25">
      <c r="A257" s="76">
        <v>6323</v>
      </c>
      <c r="B257" s="127" t="s">
        <v>273</v>
      </c>
      <c r="C257" s="281">
        <f t="shared" si="26"/>
        <v>0</v>
      </c>
      <c r="D257" s="134"/>
      <c r="E257" s="285"/>
      <c r="F257" s="286">
        <f t="shared" si="37"/>
        <v>0</v>
      </c>
      <c r="G257" s="134"/>
      <c r="H257" s="135"/>
      <c r="I257" s="136">
        <f t="shared" si="38"/>
        <v>0</v>
      </c>
      <c r="J257" s="134"/>
      <c r="K257" s="135"/>
      <c r="L257" s="136">
        <f t="shared" si="39"/>
        <v>0</v>
      </c>
      <c r="M257" s="284"/>
      <c r="N257" s="285"/>
      <c r="O257" s="136">
        <f t="shared" si="40"/>
        <v>0</v>
      </c>
      <c r="P257" s="85"/>
      <c r="R257" s="53"/>
      <c r="S257" s="53"/>
      <c r="T257" s="53"/>
    </row>
    <row r="258" spans="1:20" ht="24" hidden="1" x14ac:dyDescent="0.25">
      <c r="A258" s="66">
        <v>6324</v>
      </c>
      <c r="B258" s="116" t="s">
        <v>274</v>
      </c>
      <c r="C258" s="281">
        <f t="shared" si="26"/>
        <v>0</v>
      </c>
      <c r="D258" s="123"/>
      <c r="E258" s="262"/>
      <c r="F258" s="263">
        <f t="shared" si="37"/>
        <v>0</v>
      </c>
      <c r="G258" s="123"/>
      <c r="H258" s="124"/>
      <c r="I258" s="125">
        <f t="shared" si="38"/>
        <v>0</v>
      </c>
      <c r="J258" s="123"/>
      <c r="K258" s="124"/>
      <c r="L258" s="125">
        <f t="shared" si="39"/>
        <v>0</v>
      </c>
      <c r="M258" s="264"/>
      <c r="N258" s="262"/>
      <c r="O258" s="125">
        <f t="shared" si="40"/>
        <v>0</v>
      </c>
      <c r="P258" s="74"/>
      <c r="R258" s="53"/>
      <c r="S258" s="53"/>
      <c r="T258" s="53"/>
    </row>
    <row r="259" spans="1:20" ht="24" hidden="1" x14ac:dyDescent="0.25">
      <c r="A259" s="344">
        <v>6330</v>
      </c>
      <c r="B259" s="345" t="s">
        <v>275</v>
      </c>
      <c r="C259" s="281">
        <f t="shared" ref="C259:C286" si="50">F259+I259+L259+O259</f>
        <v>0</v>
      </c>
      <c r="D259" s="328"/>
      <c r="E259" s="329"/>
      <c r="F259" s="330">
        <f t="shared" si="37"/>
        <v>0</v>
      </c>
      <c r="G259" s="328"/>
      <c r="H259" s="331"/>
      <c r="I259" s="324">
        <f t="shared" si="38"/>
        <v>0</v>
      </c>
      <c r="J259" s="328"/>
      <c r="K259" s="331"/>
      <c r="L259" s="324">
        <f t="shared" si="39"/>
        <v>0</v>
      </c>
      <c r="M259" s="332"/>
      <c r="N259" s="329"/>
      <c r="O259" s="324">
        <f t="shared" si="40"/>
        <v>0</v>
      </c>
      <c r="P259" s="325"/>
      <c r="R259" s="53"/>
      <c r="S259" s="53"/>
      <c r="T259" s="53"/>
    </row>
    <row r="260" spans="1:20" hidden="1" x14ac:dyDescent="0.25">
      <c r="A260" s="276">
        <v>6360</v>
      </c>
      <c r="B260" s="127" t="s">
        <v>276</v>
      </c>
      <c r="C260" s="281">
        <f t="shared" si="50"/>
        <v>0</v>
      </c>
      <c r="D260" s="134"/>
      <c r="E260" s="285"/>
      <c r="F260" s="286">
        <f t="shared" si="37"/>
        <v>0</v>
      </c>
      <c r="G260" s="134"/>
      <c r="H260" s="135"/>
      <c r="I260" s="136">
        <f t="shared" si="38"/>
        <v>0</v>
      </c>
      <c r="J260" s="134"/>
      <c r="K260" s="135"/>
      <c r="L260" s="136">
        <f t="shared" si="39"/>
        <v>0</v>
      </c>
      <c r="M260" s="284"/>
      <c r="N260" s="285"/>
      <c r="O260" s="136">
        <f t="shared" si="40"/>
        <v>0</v>
      </c>
      <c r="P260" s="85"/>
      <c r="R260" s="53"/>
      <c r="S260" s="53"/>
      <c r="T260" s="53"/>
    </row>
    <row r="261" spans="1:20" ht="36" hidden="1" x14ac:dyDescent="0.25">
      <c r="A261" s="99">
        <v>6400</v>
      </c>
      <c r="B261" s="247" t="s">
        <v>277</v>
      </c>
      <c r="C261" s="100">
        <f t="shared" si="50"/>
        <v>0</v>
      </c>
      <c r="D261" s="112">
        <f>SUM(D262,D266)</f>
        <v>0</v>
      </c>
      <c r="E261" s="293">
        <f>SUM(E262,E266)</f>
        <v>0</v>
      </c>
      <c r="F261" s="313">
        <f t="shared" si="37"/>
        <v>0</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c r="R261" s="53"/>
      <c r="S261" s="53"/>
      <c r="T261" s="53"/>
    </row>
    <row r="262" spans="1:20" ht="24" hidden="1" x14ac:dyDescent="0.25">
      <c r="A262" s="656">
        <v>6410</v>
      </c>
      <c r="B262" s="116" t="s">
        <v>278</v>
      </c>
      <c r="C262" s="300">
        <f t="shared" si="50"/>
        <v>0</v>
      </c>
      <c r="D262" s="297">
        <f>SUM(D263:D265)</f>
        <v>0</v>
      </c>
      <c r="E262" s="301">
        <f>SUM(E263:E265)</f>
        <v>0</v>
      </c>
      <c r="F262" s="263">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c r="R262" s="53"/>
      <c r="S262" s="53"/>
      <c r="T262" s="53"/>
    </row>
    <row r="263" spans="1:20" hidden="1" x14ac:dyDescent="0.25">
      <c r="A263" s="76">
        <v>6411</v>
      </c>
      <c r="B263" s="346" t="s">
        <v>279</v>
      </c>
      <c r="C263" s="278">
        <f t="shared" si="50"/>
        <v>0</v>
      </c>
      <c r="D263" s="134"/>
      <c r="E263" s="285"/>
      <c r="F263" s="286">
        <f t="shared" si="37"/>
        <v>0</v>
      </c>
      <c r="G263" s="134"/>
      <c r="H263" s="135"/>
      <c r="I263" s="136">
        <f t="shared" si="38"/>
        <v>0</v>
      </c>
      <c r="J263" s="134"/>
      <c r="K263" s="135"/>
      <c r="L263" s="136">
        <f t="shared" si="39"/>
        <v>0</v>
      </c>
      <c r="M263" s="284"/>
      <c r="N263" s="285"/>
      <c r="O263" s="136">
        <f t="shared" si="40"/>
        <v>0</v>
      </c>
      <c r="P263" s="85"/>
      <c r="R263" s="53"/>
      <c r="S263" s="53"/>
      <c r="T263" s="53"/>
    </row>
    <row r="264" spans="1:20" ht="36" hidden="1" x14ac:dyDescent="0.25">
      <c r="A264" s="76">
        <v>6412</v>
      </c>
      <c r="B264" s="127" t="s">
        <v>280</v>
      </c>
      <c r="C264" s="278">
        <f t="shared" si="50"/>
        <v>0</v>
      </c>
      <c r="D264" s="134"/>
      <c r="E264" s="285"/>
      <c r="F264" s="286">
        <f t="shared" si="37"/>
        <v>0</v>
      </c>
      <c r="G264" s="134"/>
      <c r="H264" s="135"/>
      <c r="I264" s="136">
        <f t="shared" si="38"/>
        <v>0</v>
      </c>
      <c r="J264" s="134"/>
      <c r="K264" s="135"/>
      <c r="L264" s="136">
        <f t="shared" si="39"/>
        <v>0</v>
      </c>
      <c r="M264" s="284"/>
      <c r="N264" s="285"/>
      <c r="O264" s="136">
        <f t="shared" si="40"/>
        <v>0</v>
      </c>
      <c r="P264" s="85"/>
      <c r="R264" s="53"/>
      <c r="S264" s="53"/>
      <c r="T264" s="53"/>
    </row>
    <row r="265" spans="1:20" ht="36" hidden="1" x14ac:dyDescent="0.25">
      <c r="A265" s="76">
        <v>6419</v>
      </c>
      <c r="B265" s="127" t="s">
        <v>281</v>
      </c>
      <c r="C265" s="278">
        <f t="shared" si="50"/>
        <v>0</v>
      </c>
      <c r="D265" s="134"/>
      <c r="E265" s="285"/>
      <c r="F265" s="286">
        <f t="shared" si="37"/>
        <v>0</v>
      </c>
      <c r="G265" s="134"/>
      <c r="H265" s="135"/>
      <c r="I265" s="136">
        <f t="shared" si="38"/>
        <v>0</v>
      </c>
      <c r="J265" s="134"/>
      <c r="K265" s="135"/>
      <c r="L265" s="136">
        <f t="shared" si="39"/>
        <v>0</v>
      </c>
      <c r="M265" s="284"/>
      <c r="N265" s="285"/>
      <c r="O265" s="136">
        <f t="shared" si="40"/>
        <v>0</v>
      </c>
      <c r="P265" s="85"/>
      <c r="R265" s="53"/>
      <c r="S265" s="53"/>
      <c r="T265" s="53"/>
    </row>
    <row r="266" spans="1:20" ht="36" hidden="1" x14ac:dyDescent="0.25">
      <c r="A266" s="276">
        <v>6420</v>
      </c>
      <c r="B266" s="127" t="s">
        <v>282</v>
      </c>
      <c r="C266" s="278">
        <f t="shared" si="50"/>
        <v>0</v>
      </c>
      <c r="D266" s="277">
        <f>SUM(D267:D270)</f>
        <v>0</v>
      </c>
      <c r="E266" s="282">
        <f>SUM(E267:E270)</f>
        <v>0</v>
      </c>
      <c r="F266" s="286">
        <f t="shared" si="37"/>
        <v>0</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c r="R266" s="53"/>
      <c r="S266" s="53"/>
      <c r="T266" s="53"/>
    </row>
    <row r="267" spans="1:20" hidden="1" x14ac:dyDescent="0.25">
      <c r="A267" s="76">
        <v>6421</v>
      </c>
      <c r="B267" s="127" t="s">
        <v>283</v>
      </c>
      <c r="C267" s="278">
        <f t="shared" si="50"/>
        <v>0</v>
      </c>
      <c r="D267" s="134"/>
      <c r="E267" s="285"/>
      <c r="F267" s="286">
        <f t="shared" si="37"/>
        <v>0</v>
      </c>
      <c r="G267" s="134"/>
      <c r="H267" s="135"/>
      <c r="I267" s="136">
        <f t="shared" si="38"/>
        <v>0</v>
      </c>
      <c r="J267" s="134"/>
      <c r="K267" s="135"/>
      <c r="L267" s="136">
        <f t="shared" si="39"/>
        <v>0</v>
      </c>
      <c r="M267" s="284"/>
      <c r="N267" s="285"/>
      <c r="O267" s="136">
        <f t="shared" si="40"/>
        <v>0</v>
      </c>
      <c r="P267" s="85"/>
      <c r="R267" s="53"/>
      <c r="S267" s="53"/>
      <c r="T267" s="53"/>
    </row>
    <row r="268" spans="1:20" hidden="1" x14ac:dyDescent="0.25">
      <c r="A268" s="76">
        <v>6422</v>
      </c>
      <c r="B268" s="127" t="s">
        <v>284</v>
      </c>
      <c r="C268" s="278">
        <f t="shared" si="50"/>
        <v>0</v>
      </c>
      <c r="D268" s="134"/>
      <c r="E268" s="285"/>
      <c r="F268" s="286">
        <f t="shared" si="37"/>
        <v>0</v>
      </c>
      <c r="G268" s="134"/>
      <c r="H268" s="135"/>
      <c r="I268" s="136">
        <f t="shared" si="38"/>
        <v>0</v>
      </c>
      <c r="J268" s="134"/>
      <c r="K268" s="135"/>
      <c r="L268" s="136">
        <f t="shared" si="39"/>
        <v>0</v>
      </c>
      <c r="M268" s="284"/>
      <c r="N268" s="285"/>
      <c r="O268" s="136">
        <f t="shared" si="40"/>
        <v>0</v>
      </c>
      <c r="P268" s="85"/>
      <c r="R268" s="53"/>
      <c r="S268" s="53"/>
      <c r="T268" s="53"/>
    </row>
    <row r="269" spans="1:20" ht="24" hidden="1" x14ac:dyDescent="0.25">
      <c r="A269" s="76">
        <v>6423</v>
      </c>
      <c r="B269" s="127" t="s">
        <v>285</v>
      </c>
      <c r="C269" s="278">
        <f t="shared" si="50"/>
        <v>0</v>
      </c>
      <c r="D269" s="134"/>
      <c r="E269" s="285"/>
      <c r="F269" s="286">
        <f t="shared" si="37"/>
        <v>0</v>
      </c>
      <c r="G269" s="134"/>
      <c r="H269" s="135"/>
      <c r="I269" s="136">
        <f t="shared" si="38"/>
        <v>0</v>
      </c>
      <c r="J269" s="134"/>
      <c r="K269" s="135"/>
      <c r="L269" s="136">
        <f t="shared" si="39"/>
        <v>0</v>
      </c>
      <c r="M269" s="284"/>
      <c r="N269" s="285"/>
      <c r="O269" s="136">
        <f t="shared" si="40"/>
        <v>0</v>
      </c>
      <c r="P269" s="85"/>
      <c r="R269" s="53"/>
      <c r="S269" s="53"/>
      <c r="T269" s="53"/>
    </row>
    <row r="270" spans="1:20" ht="36" hidden="1" x14ac:dyDescent="0.25">
      <c r="A270" s="76">
        <v>6424</v>
      </c>
      <c r="B270" s="127" t="s">
        <v>286</v>
      </c>
      <c r="C270" s="278">
        <f t="shared" si="50"/>
        <v>0</v>
      </c>
      <c r="D270" s="134"/>
      <c r="E270" s="285"/>
      <c r="F270" s="286">
        <f t="shared" si="37"/>
        <v>0</v>
      </c>
      <c r="G270" s="134"/>
      <c r="H270" s="135"/>
      <c r="I270" s="136">
        <f t="shared" si="38"/>
        <v>0</v>
      </c>
      <c r="J270" s="134"/>
      <c r="K270" s="135"/>
      <c r="L270" s="136">
        <f t="shared" si="39"/>
        <v>0</v>
      </c>
      <c r="M270" s="284"/>
      <c r="N270" s="285"/>
      <c r="O270" s="136">
        <f t="shared" si="40"/>
        <v>0</v>
      </c>
      <c r="P270" s="85"/>
      <c r="R270" s="53"/>
      <c r="S270" s="53"/>
      <c r="T270" s="53"/>
    </row>
    <row r="271" spans="1:20" ht="36" hidden="1" x14ac:dyDescent="0.25">
      <c r="A271" s="347">
        <v>7000</v>
      </c>
      <c r="B271" s="347" t="s">
        <v>287</v>
      </c>
      <c r="C271" s="348">
        <f t="shared" si="50"/>
        <v>0</v>
      </c>
      <c r="D271" s="349">
        <f>SUM(D272,D282)</f>
        <v>0</v>
      </c>
      <c r="E271" s="407">
        <f>SUM(E272,E282)</f>
        <v>0</v>
      </c>
      <c r="F271" s="408">
        <f t="shared" si="37"/>
        <v>0</v>
      </c>
      <c r="G271" s="349">
        <f>SUM(G272,G282)</f>
        <v>0</v>
      </c>
      <c r="H271" s="352">
        <f>SUM(H272,H282)</f>
        <v>0</v>
      </c>
      <c r="I271" s="353">
        <f t="shared" si="38"/>
        <v>0</v>
      </c>
      <c r="J271" s="349">
        <f>SUM(J272,J282)</f>
        <v>0</v>
      </c>
      <c r="K271" s="352">
        <f>SUM(K272,K282)</f>
        <v>0</v>
      </c>
      <c r="L271" s="353">
        <f t="shared" si="39"/>
        <v>0</v>
      </c>
      <c r="M271" s="354">
        <f>SUM(M272,M282)</f>
        <v>0</v>
      </c>
      <c r="N271" s="355">
        <f>SUM(N272,N282)</f>
        <v>0</v>
      </c>
      <c r="O271" s="356">
        <f t="shared" si="40"/>
        <v>0</v>
      </c>
      <c r="P271" s="357"/>
      <c r="R271" s="53"/>
      <c r="S271" s="53"/>
      <c r="T271" s="53"/>
    </row>
    <row r="272" spans="1:20" ht="24" hidden="1" x14ac:dyDescent="0.25">
      <c r="A272" s="99">
        <v>7200</v>
      </c>
      <c r="B272" s="247" t="s">
        <v>288</v>
      </c>
      <c r="C272" s="100">
        <f t="shared" si="50"/>
        <v>0</v>
      </c>
      <c r="D272" s="112">
        <f>SUM(D273,D274,D277,D278,D281)</f>
        <v>0</v>
      </c>
      <c r="E272" s="293">
        <f>SUM(E273,E274,E277,E278,E281)</f>
        <v>0</v>
      </c>
      <c r="F272" s="313">
        <f t="shared" si="37"/>
        <v>0</v>
      </c>
      <c r="G272" s="112">
        <f>SUM(G273,G274,G277,G278,G281)</f>
        <v>0</v>
      </c>
      <c r="H272" s="113">
        <f>SUM(H273,H274,H277,H278,H281)</f>
        <v>0</v>
      </c>
      <c r="I272" s="114">
        <f t="shared" si="38"/>
        <v>0</v>
      </c>
      <c r="J272" s="112">
        <f>SUM(J273,J274,J277,J278,J281)</f>
        <v>0</v>
      </c>
      <c r="K272" s="113">
        <f>SUM(K273,K274,K277,K278,K281)</f>
        <v>0</v>
      </c>
      <c r="L272" s="114">
        <f t="shared" si="39"/>
        <v>0</v>
      </c>
      <c r="M272" s="250">
        <f>SUM(M273,M274,M277,M278,M281)</f>
        <v>0</v>
      </c>
      <c r="N272" s="251">
        <f>SUM(N273,N274,N277,N278,N281)</f>
        <v>0</v>
      </c>
      <c r="O272" s="252">
        <f t="shared" si="40"/>
        <v>0</v>
      </c>
      <c r="P272" s="253"/>
      <c r="R272" s="53"/>
      <c r="S272" s="53"/>
      <c r="T272" s="53"/>
    </row>
    <row r="273" spans="1:20" ht="24" hidden="1" x14ac:dyDescent="0.25">
      <c r="A273" s="656">
        <v>7210</v>
      </c>
      <c r="B273" s="116" t="s">
        <v>289</v>
      </c>
      <c r="C273" s="117">
        <f t="shared" si="50"/>
        <v>0</v>
      </c>
      <c r="D273" s="123"/>
      <c r="E273" s="262"/>
      <c r="F273" s="263">
        <f t="shared" si="37"/>
        <v>0</v>
      </c>
      <c r="G273" s="123"/>
      <c r="H273" s="124"/>
      <c r="I273" s="125">
        <f t="shared" si="38"/>
        <v>0</v>
      </c>
      <c r="J273" s="123"/>
      <c r="K273" s="124"/>
      <c r="L273" s="125">
        <f t="shared" si="39"/>
        <v>0</v>
      </c>
      <c r="M273" s="264"/>
      <c r="N273" s="262"/>
      <c r="O273" s="125">
        <f t="shared" si="40"/>
        <v>0</v>
      </c>
      <c r="P273" s="74"/>
      <c r="R273" s="53"/>
      <c r="S273" s="53"/>
      <c r="T273" s="53"/>
    </row>
    <row r="274" spans="1:20" s="358" customFormat="1" ht="36" hidden="1" x14ac:dyDescent="0.25">
      <c r="A274" s="276">
        <v>7220</v>
      </c>
      <c r="B274" s="127" t="s">
        <v>290</v>
      </c>
      <c r="C274" s="128">
        <f t="shared" si="50"/>
        <v>0</v>
      </c>
      <c r="D274" s="277">
        <f>SUM(D275:D276)</f>
        <v>0</v>
      </c>
      <c r="E274" s="282">
        <f>SUM(E275:E276)</f>
        <v>0</v>
      </c>
      <c r="F274" s="28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c r="R274" s="53"/>
      <c r="S274" s="53"/>
      <c r="T274" s="53"/>
    </row>
    <row r="275" spans="1:20" s="358" customFormat="1" ht="36" hidden="1" x14ac:dyDescent="0.25">
      <c r="A275" s="76">
        <v>7221</v>
      </c>
      <c r="B275" s="127" t="s">
        <v>291</v>
      </c>
      <c r="C275" s="128">
        <f t="shared" si="50"/>
        <v>0</v>
      </c>
      <c r="D275" s="134"/>
      <c r="E275" s="285"/>
      <c r="F275" s="286">
        <f t="shared" si="37"/>
        <v>0</v>
      </c>
      <c r="G275" s="134"/>
      <c r="H275" s="135"/>
      <c r="I275" s="136">
        <f t="shared" si="38"/>
        <v>0</v>
      </c>
      <c r="J275" s="134"/>
      <c r="K275" s="135"/>
      <c r="L275" s="136">
        <f t="shared" si="39"/>
        <v>0</v>
      </c>
      <c r="M275" s="284"/>
      <c r="N275" s="285"/>
      <c r="O275" s="136">
        <f t="shared" si="40"/>
        <v>0</v>
      </c>
      <c r="P275" s="85"/>
      <c r="R275" s="53"/>
      <c r="S275" s="53"/>
      <c r="T275" s="53"/>
    </row>
    <row r="276" spans="1:20" s="358" customFormat="1" ht="36" hidden="1" x14ac:dyDescent="0.25">
      <c r="A276" s="76">
        <v>7222</v>
      </c>
      <c r="B276" s="127" t="s">
        <v>292</v>
      </c>
      <c r="C276" s="128">
        <f t="shared" si="50"/>
        <v>0</v>
      </c>
      <c r="D276" s="134"/>
      <c r="E276" s="285"/>
      <c r="F276" s="286">
        <f t="shared" si="37"/>
        <v>0</v>
      </c>
      <c r="G276" s="134"/>
      <c r="H276" s="135"/>
      <c r="I276" s="136">
        <f t="shared" si="38"/>
        <v>0</v>
      </c>
      <c r="J276" s="134"/>
      <c r="K276" s="135"/>
      <c r="L276" s="136">
        <f t="shared" si="39"/>
        <v>0</v>
      </c>
      <c r="M276" s="284"/>
      <c r="N276" s="285"/>
      <c r="O276" s="136">
        <f t="shared" si="40"/>
        <v>0</v>
      </c>
      <c r="P276" s="85"/>
      <c r="R276" s="53"/>
      <c r="S276" s="53"/>
      <c r="T276" s="53"/>
    </row>
    <row r="277" spans="1:20" s="358" customFormat="1" ht="24" hidden="1" x14ac:dyDescent="0.25">
      <c r="A277" s="276">
        <v>7230</v>
      </c>
      <c r="B277" s="127" t="s">
        <v>293</v>
      </c>
      <c r="C277" s="128">
        <f t="shared" si="50"/>
        <v>0</v>
      </c>
      <c r="D277" s="134"/>
      <c r="E277" s="285"/>
      <c r="F277" s="286">
        <f t="shared" si="37"/>
        <v>0</v>
      </c>
      <c r="G277" s="134"/>
      <c r="H277" s="135"/>
      <c r="I277" s="136">
        <f t="shared" si="38"/>
        <v>0</v>
      </c>
      <c r="J277" s="134"/>
      <c r="K277" s="135"/>
      <c r="L277" s="136">
        <f t="shared" si="39"/>
        <v>0</v>
      </c>
      <c r="M277" s="284"/>
      <c r="N277" s="285"/>
      <c r="O277" s="136">
        <f>M277+N277</f>
        <v>0</v>
      </c>
      <c r="P277" s="85"/>
      <c r="R277" s="53"/>
      <c r="S277" s="53"/>
      <c r="T277" s="53"/>
    </row>
    <row r="278" spans="1:20" ht="24" hidden="1" x14ac:dyDescent="0.25">
      <c r="A278" s="276">
        <v>7240</v>
      </c>
      <c r="B278" s="127" t="s">
        <v>294</v>
      </c>
      <c r="C278" s="128">
        <f t="shared" si="50"/>
        <v>0</v>
      </c>
      <c r="D278" s="277">
        <f>SUM(D279:D280)</f>
        <v>0</v>
      </c>
      <c r="E278" s="282">
        <f>SUM(E279:E280)</f>
        <v>0</v>
      </c>
      <c r="F278" s="28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c r="R278" s="53"/>
      <c r="S278" s="53"/>
      <c r="T278" s="53"/>
    </row>
    <row r="279" spans="1:20" ht="48" hidden="1" x14ac:dyDescent="0.25">
      <c r="A279" s="76">
        <v>7245</v>
      </c>
      <c r="B279" s="127" t="s">
        <v>295</v>
      </c>
      <c r="C279" s="128">
        <f t="shared" si="50"/>
        <v>0</v>
      </c>
      <c r="D279" s="134"/>
      <c r="E279" s="285"/>
      <c r="F279" s="286">
        <f t="shared" si="37"/>
        <v>0</v>
      </c>
      <c r="G279" s="134"/>
      <c r="H279" s="135"/>
      <c r="I279" s="136">
        <f t="shared" si="38"/>
        <v>0</v>
      </c>
      <c r="J279" s="134"/>
      <c r="K279" s="135"/>
      <c r="L279" s="136">
        <f t="shared" si="39"/>
        <v>0</v>
      </c>
      <c r="M279" s="284"/>
      <c r="N279" s="285"/>
      <c r="O279" s="136">
        <f t="shared" ref="O279:O282" si="57">M279+N279</f>
        <v>0</v>
      </c>
      <c r="P279" s="85"/>
      <c r="R279" s="53"/>
      <c r="S279" s="53"/>
      <c r="T279" s="53"/>
    </row>
    <row r="280" spans="1:20" ht="96" hidden="1" x14ac:dyDescent="0.25">
      <c r="A280" s="76">
        <v>7246</v>
      </c>
      <c r="B280" s="127" t="s">
        <v>296</v>
      </c>
      <c r="C280" s="128">
        <f t="shared" si="50"/>
        <v>0</v>
      </c>
      <c r="D280" s="134"/>
      <c r="E280" s="285"/>
      <c r="F280" s="286">
        <f t="shared" si="37"/>
        <v>0</v>
      </c>
      <c r="G280" s="134"/>
      <c r="H280" s="135"/>
      <c r="I280" s="136">
        <f t="shared" si="38"/>
        <v>0</v>
      </c>
      <c r="J280" s="134"/>
      <c r="K280" s="135"/>
      <c r="L280" s="136">
        <f t="shared" si="39"/>
        <v>0</v>
      </c>
      <c r="M280" s="284"/>
      <c r="N280" s="285"/>
      <c r="O280" s="136">
        <f t="shared" si="57"/>
        <v>0</v>
      </c>
      <c r="P280" s="85"/>
      <c r="R280" s="53"/>
      <c r="S280" s="53"/>
      <c r="T280" s="53"/>
    </row>
    <row r="281" spans="1:20" ht="24" hidden="1" x14ac:dyDescent="0.25">
      <c r="A281" s="276">
        <v>7260</v>
      </c>
      <c r="B281" s="127" t="s">
        <v>297</v>
      </c>
      <c r="C281" s="128">
        <f t="shared" si="50"/>
        <v>0</v>
      </c>
      <c r="D281" s="123"/>
      <c r="E281" s="262"/>
      <c r="F281" s="263">
        <f t="shared" si="37"/>
        <v>0</v>
      </c>
      <c r="G281" s="123"/>
      <c r="H281" s="124"/>
      <c r="I281" s="125">
        <f t="shared" si="38"/>
        <v>0</v>
      </c>
      <c r="J281" s="123"/>
      <c r="K281" s="124"/>
      <c r="L281" s="125">
        <f t="shared" si="39"/>
        <v>0</v>
      </c>
      <c r="M281" s="264"/>
      <c r="N281" s="262"/>
      <c r="O281" s="125">
        <f t="shared" si="57"/>
        <v>0</v>
      </c>
      <c r="P281" s="74"/>
      <c r="R281" s="53"/>
      <c r="S281" s="53"/>
      <c r="T281" s="53"/>
    </row>
    <row r="282" spans="1:20" hidden="1" x14ac:dyDescent="0.25">
      <c r="A282" s="99">
        <v>7700</v>
      </c>
      <c r="B282" s="247" t="s">
        <v>298</v>
      </c>
      <c r="C282" s="359">
        <f t="shared" si="50"/>
        <v>0</v>
      </c>
      <c r="D282" s="360">
        <f>D283</f>
        <v>0</v>
      </c>
      <c r="E282" s="304">
        <f>SUM(E283)</f>
        <v>0</v>
      </c>
      <c r="F282" s="316">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c r="R282" s="53"/>
      <c r="S282" s="53"/>
      <c r="T282" s="53"/>
    </row>
    <row r="283" spans="1:20" hidden="1" x14ac:dyDescent="0.25">
      <c r="A283" s="141">
        <v>7720</v>
      </c>
      <c r="B283" s="142" t="s">
        <v>299</v>
      </c>
      <c r="C283" s="362">
        <f t="shared" si="50"/>
        <v>0</v>
      </c>
      <c r="D283" s="149"/>
      <c r="E283" s="363"/>
      <c r="F283" s="364">
        <f t="shared" si="37"/>
        <v>0</v>
      </c>
      <c r="G283" s="149"/>
      <c r="H283" s="150"/>
      <c r="I283" s="151">
        <f t="shared" si="38"/>
        <v>0</v>
      </c>
      <c r="J283" s="149"/>
      <c r="K283" s="150"/>
      <c r="L283" s="151">
        <f t="shared" si="39"/>
        <v>0</v>
      </c>
      <c r="M283" s="365"/>
      <c r="N283" s="363"/>
      <c r="O283" s="151">
        <f>M283+N283</f>
        <v>0</v>
      </c>
      <c r="P283" s="153"/>
      <c r="R283" s="53"/>
      <c r="S283" s="53"/>
      <c r="T283" s="53"/>
    </row>
    <row r="284" spans="1:20" hidden="1" x14ac:dyDescent="0.25">
      <c r="A284" s="366"/>
      <c r="B284" s="179" t="s">
        <v>300</v>
      </c>
      <c r="C284" s="117">
        <f t="shared" si="50"/>
        <v>0</v>
      </c>
      <c r="D284" s="255">
        <f>SUM(D285:D286)</f>
        <v>0</v>
      </c>
      <c r="E284" s="261">
        <f>SUM(E285:E286)</f>
        <v>0</v>
      </c>
      <c r="F284" s="310">
        <f t="shared" si="37"/>
        <v>0</v>
      </c>
      <c r="G284" s="255">
        <f>SUM(G285:G286)</f>
        <v>0</v>
      </c>
      <c r="H284" s="258">
        <f>SUM(H285:H286)</f>
        <v>0</v>
      </c>
      <c r="I284" s="259">
        <f t="shared" si="38"/>
        <v>0</v>
      </c>
      <c r="J284" s="255">
        <f>SUM(J285:J286)</f>
        <v>0</v>
      </c>
      <c r="K284" s="258">
        <f>SUM(K285:K286)</f>
        <v>0</v>
      </c>
      <c r="L284" s="259">
        <f t="shared" si="39"/>
        <v>0</v>
      </c>
      <c r="M284" s="260">
        <f>SUM(M285:M286)</f>
        <v>0</v>
      </c>
      <c r="N284" s="261">
        <f>SUM(N285:N286)</f>
        <v>0</v>
      </c>
      <c r="O284" s="259">
        <f t="shared" ref="O284:O299" si="58">M284+N284</f>
        <v>0</v>
      </c>
      <c r="P284" s="189"/>
      <c r="R284" s="53"/>
      <c r="S284" s="53"/>
      <c r="T284" s="53"/>
    </row>
    <row r="285" spans="1:20" hidden="1" x14ac:dyDescent="0.25">
      <c r="A285" s="346" t="s">
        <v>301</v>
      </c>
      <c r="B285" s="76" t="s">
        <v>302</v>
      </c>
      <c r="C285" s="279">
        <f t="shared" si="50"/>
        <v>0</v>
      </c>
      <c r="D285" s="134"/>
      <c r="E285" s="285"/>
      <c r="F285" s="286">
        <f t="shared" si="37"/>
        <v>0</v>
      </c>
      <c r="G285" s="134"/>
      <c r="H285" s="135"/>
      <c r="I285" s="136">
        <f t="shared" si="38"/>
        <v>0</v>
      </c>
      <c r="J285" s="134"/>
      <c r="K285" s="135"/>
      <c r="L285" s="136">
        <f t="shared" si="39"/>
        <v>0</v>
      </c>
      <c r="M285" s="284"/>
      <c r="N285" s="285"/>
      <c r="O285" s="136">
        <f t="shared" si="58"/>
        <v>0</v>
      </c>
      <c r="P285" s="85"/>
      <c r="R285" s="53"/>
      <c r="S285" s="53"/>
      <c r="T285" s="53"/>
    </row>
    <row r="286" spans="1:20" ht="24" hidden="1" x14ac:dyDescent="0.25">
      <c r="A286" s="346" t="s">
        <v>303</v>
      </c>
      <c r="B286" s="367" t="s">
        <v>304</v>
      </c>
      <c r="C286" s="117">
        <f t="shared" si="50"/>
        <v>0</v>
      </c>
      <c r="D286" s="123"/>
      <c r="E286" s="262"/>
      <c r="F286" s="263">
        <f t="shared" si="37"/>
        <v>0</v>
      </c>
      <c r="G286" s="123"/>
      <c r="H286" s="124"/>
      <c r="I286" s="125">
        <f t="shared" si="38"/>
        <v>0</v>
      </c>
      <c r="J286" s="123"/>
      <c r="K286" s="124"/>
      <c r="L286" s="125">
        <f t="shared" si="39"/>
        <v>0</v>
      </c>
      <c r="M286" s="264"/>
      <c r="N286" s="262"/>
      <c r="O286" s="125">
        <f t="shared" si="58"/>
        <v>0</v>
      </c>
      <c r="P286" s="74"/>
      <c r="R286" s="53"/>
      <c r="S286" s="53"/>
      <c r="T286" s="53"/>
    </row>
    <row r="287" spans="1:20" x14ac:dyDescent="0.25">
      <c r="A287" s="368"/>
      <c r="B287" s="369" t="s">
        <v>305</v>
      </c>
      <c r="C287" s="370">
        <f>SUM(C284,C271,C233,C198,C190,C176,C78,C56)</f>
        <v>560334</v>
      </c>
      <c r="D287" s="371">
        <f>SUM(D284,D271,D233,D198,D190,D176,D78,D56)</f>
        <v>484708</v>
      </c>
      <c r="E287" s="372">
        <f>SUM(E284,E271,E233,E198,E190,E176,E78,E56)</f>
        <v>0</v>
      </c>
      <c r="F287" s="373">
        <f t="shared" si="37"/>
        <v>484708</v>
      </c>
      <c r="G287" s="371">
        <f>SUM(G284,G271,G233,G198,G190,G176,G78,G56)</f>
        <v>71551</v>
      </c>
      <c r="H287" s="374">
        <f>SUM(H284,H271,H233,H198,H190,H176,H78,H56)</f>
        <v>0</v>
      </c>
      <c r="I287" s="375">
        <f t="shared" si="38"/>
        <v>71551</v>
      </c>
      <c r="J287" s="371">
        <f>SUM(J284,J271,J233,J198,J190,J176,J78,J56)</f>
        <v>4075</v>
      </c>
      <c r="K287" s="374">
        <f>SUM(K284,K271,K233,K198,K190,K176,K78,K56)</f>
        <v>0</v>
      </c>
      <c r="L287" s="375">
        <f t="shared" si="39"/>
        <v>4075</v>
      </c>
      <c r="M287" s="250">
        <f>SUM(M284,M271,M233,M198,M190,M176,M78,M56)</f>
        <v>0</v>
      </c>
      <c r="N287" s="251">
        <f>SUM(N284,N271,N233,N198,N190,N176,N78,N56)</f>
        <v>0</v>
      </c>
      <c r="O287" s="252">
        <f t="shared" si="58"/>
        <v>0</v>
      </c>
      <c r="P287" s="253"/>
      <c r="R287" s="53"/>
      <c r="S287" s="53"/>
      <c r="T287" s="53"/>
    </row>
    <row r="288" spans="1:20" x14ac:dyDescent="0.25">
      <c r="A288" s="376" t="s">
        <v>306</v>
      </c>
      <c r="B288" s="377"/>
      <c r="C288" s="378">
        <f t="shared" ref="C288" si="59">F288+I288+L288+O288</f>
        <v>-664</v>
      </c>
      <c r="D288" s="379">
        <f>SUM(D28,D29,D45)-D54</f>
        <v>0</v>
      </c>
      <c r="E288" s="380">
        <f>SUM(E28,E29,E45)-E54</f>
        <v>0</v>
      </c>
      <c r="F288" s="381">
        <f t="shared" si="37"/>
        <v>0</v>
      </c>
      <c r="G288" s="379">
        <f>SUM(G28,G29,G45)-G54</f>
        <v>0</v>
      </c>
      <c r="H288" s="382">
        <f>SUM(H28,H29,H45)-H54</f>
        <v>0</v>
      </c>
      <c r="I288" s="383">
        <f t="shared" si="38"/>
        <v>0</v>
      </c>
      <c r="J288" s="379">
        <f>(J30+J46)-J54</f>
        <v>-664</v>
      </c>
      <c r="K288" s="382">
        <f>(K30+K46)-K54</f>
        <v>0</v>
      </c>
      <c r="L288" s="383">
        <f t="shared" si="39"/>
        <v>-664</v>
      </c>
      <c r="M288" s="378">
        <f>M48-M54</f>
        <v>0</v>
      </c>
      <c r="N288" s="384">
        <f>N48-N54</f>
        <v>0</v>
      </c>
      <c r="O288" s="383">
        <f t="shared" si="58"/>
        <v>0</v>
      </c>
      <c r="P288" s="385"/>
      <c r="R288" s="53"/>
      <c r="S288" s="53"/>
      <c r="T288" s="53"/>
    </row>
    <row r="289" spans="1:20" s="41" customFormat="1" x14ac:dyDescent="0.25">
      <c r="A289" s="376" t="s">
        <v>307</v>
      </c>
      <c r="B289" s="377"/>
      <c r="C289" s="380">
        <f>SUM(C290,C291)-C298+C299</f>
        <v>664</v>
      </c>
      <c r="D289" s="379">
        <f>SUM(D290,D291)-D298+D299</f>
        <v>0</v>
      </c>
      <c r="E289" s="380">
        <f>SUM(E290,E291)-E298+E299</f>
        <v>0</v>
      </c>
      <c r="F289" s="381">
        <f t="shared" si="37"/>
        <v>0</v>
      </c>
      <c r="G289" s="379">
        <f>SUM(G290,G291)-G298+G299</f>
        <v>0</v>
      </c>
      <c r="H289" s="382">
        <f>SUM(H290,H291)-H298+H299</f>
        <v>0</v>
      </c>
      <c r="I289" s="383">
        <f t="shared" si="38"/>
        <v>0</v>
      </c>
      <c r="J289" s="379">
        <f>SUM(J290,J291)-J298+J299</f>
        <v>664</v>
      </c>
      <c r="K289" s="382">
        <f>SUM(K290,K291)-K298+K299</f>
        <v>0</v>
      </c>
      <c r="L289" s="383">
        <f t="shared" si="39"/>
        <v>664</v>
      </c>
      <c r="M289" s="378">
        <f>SUM(M290,M291)-M298+M299</f>
        <v>0</v>
      </c>
      <c r="N289" s="384">
        <f>SUM(N290,N291)-N298+N299</f>
        <v>0</v>
      </c>
      <c r="O289" s="383">
        <f t="shared" si="58"/>
        <v>0</v>
      </c>
      <c r="P289" s="385"/>
      <c r="R289" s="53"/>
      <c r="S289" s="53"/>
      <c r="T289" s="53"/>
    </row>
    <row r="290" spans="1:20" s="41" customFormat="1" x14ac:dyDescent="0.25">
      <c r="A290" s="386" t="s">
        <v>308</v>
      </c>
      <c r="B290" s="386" t="s">
        <v>309</v>
      </c>
      <c r="C290" s="380">
        <f>C25-C284</f>
        <v>664</v>
      </c>
      <c r="D290" s="379">
        <f>D25-D284</f>
        <v>0</v>
      </c>
      <c r="E290" s="380">
        <f>E25-E284</f>
        <v>0</v>
      </c>
      <c r="F290" s="381">
        <f t="shared" si="37"/>
        <v>0</v>
      </c>
      <c r="G290" s="379">
        <f>G25-G284</f>
        <v>0</v>
      </c>
      <c r="H290" s="382">
        <f>H25-H284</f>
        <v>0</v>
      </c>
      <c r="I290" s="383">
        <f t="shared" si="38"/>
        <v>0</v>
      </c>
      <c r="J290" s="379">
        <f>J25-J284</f>
        <v>664</v>
      </c>
      <c r="K290" s="382">
        <f>K25-K284</f>
        <v>0</v>
      </c>
      <c r="L290" s="383">
        <f t="shared" si="39"/>
        <v>664</v>
      </c>
      <c r="M290" s="378">
        <f>M25-M284</f>
        <v>0</v>
      </c>
      <c r="N290" s="384">
        <f>N25-N284</f>
        <v>0</v>
      </c>
      <c r="O290" s="383">
        <f t="shared" si="58"/>
        <v>0</v>
      </c>
      <c r="P290" s="385"/>
      <c r="R290" s="53"/>
      <c r="S290" s="53"/>
      <c r="T290" s="53"/>
    </row>
    <row r="291" spans="1:20" s="41" customFormat="1" hidden="1" x14ac:dyDescent="0.25">
      <c r="A291" s="387" t="s">
        <v>310</v>
      </c>
      <c r="B291" s="387" t="s">
        <v>311</v>
      </c>
      <c r="C291" s="380">
        <f>SUM(C292,C294,C296)-SUM(C293,C295,C297)</f>
        <v>0</v>
      </c>
      <c r="D291" s="379">
        <f t="shared" ref="D291:E291" si="60">SUM(D292,D294,D296)-SUM(D293,D295,D297)</f>
        <v>0</v>
      </c>
      <c r="E291" s="384">
        <f t="shared" si="60"/>
        <v>0</v>
      </c>
      <c r="F291" s="388">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c r="R291" s="53"/>
      <c r="S291" s="53"/>
      <c r="T291" s="53"/>
    </row>
    <row r="292" spans="1:20" s="41" customFormat="1" hidden="1" x14ac:dyDescent="0.25">
      <c r="A292" s="366" t="s">
        <v>312</v>
      </c>
      <c r="B292" s="190" t="s">
        <v>313</v>
      </c>
      <c r="C292" s="143">
        <f t="shared" ref="C292:C299" si="64">F292+I292+L292+O292</f>
        <v>0</v>
      </c>
      <c r="D292" s="149"/>
      <c r="E292" s="363"/>
      <c r="F292" s="364">
        <f t="shared" si="37"/>
        <v>0</v>
      </c>
      <c r="G292" s="149"/>
      <c r="H292" s="150"/>
      <c r="I292" s="151">
        <f t="shared" si="38"/>
        <v>0</v>
      </c>
      <c r="J292" s="149"/>
      <c r="K292" s="150"/>
      <c r="L292" s="151">
        <f t="shared" si="39"/>
        <v>0</v>
      </c>
      <c r="M292" s="365"/>
      <c r="N292" s="363"/>
      <c r="O292" s="151">
        <f t="shared" si="58"/>
        <v>0</v>
      </c>
      <c r="P292" s="153"/>
      <c r="R292" s="53"/>
      <c r="S292" s="53"/>
      <c r="T292" s="53"/>
    </row>
    <row r="293" spans="1:20" ht="24" hidden="1" x14ac:dyDescent="0.25">
      <c r="A293" s="346" t="s">
        <v>314</v>
      </c>
      <c r="B293" s="75" t="s">
        <v>315</v>
      </c>
      <c r="C293" s="128">
        <f t="shared" si="64"/>
        <v>0</v>
      </c>
      <c r="D293" s="134"/>
      <c r="E293" s="285"/>
      <c r="F293" s="286">
        <f t="shared" si="37"/>
        <v>0</v>
      </c>
      <c r="G293" s="134"/>
      <c r="H293" s="135"/>
      <c r="I293" s="136">
        <f t="shared" si="38"/>
        <v>0</v>
      </c>
      <c r="J293" s="134"/>
      <c r="K293" s="135"/>
      <c r="L293" s="136">
        <f t="shared" si="39"/>
        <v>0</v>
      </c>
      <c r="M293" s="284"/>
      <c r="N293" s="285"/>
      <c r="O293" s="136">
        <f t="shared" si="58"/>
        <v>0</v>
      </c>
      <c r="P293" s="85"/>
      <c r="R293" s="53"/>
      <c r="S293" s="53"/>
      <c r="T293" s="53"/>
    </row>
    <row r="294" spans="1:20" hidden="1" x14ac:dyDescent="0.25">
      <c r="A294" s="346" t="s">
        <v>316</v>
      </c>
      <c r="B294" s="75" t="s">
        <v>317</v>
      </c>
      <c r="C294" s="128">
        <f t="shared" si="64"/>
        <v>0</v>
      </c>
      <c r="D294" s="134"/>
      <c r="E294" s="285"/>
      <c r="F294" s="286">
        <f t="shared" si="37"/>
        <v>0</v>
      </c>
      <c r="G294" s="134"/>
      <c r="H294" s="135"/>
      <c r="I294" s="136">
        <f t="shared" si="38"/>
        <v>0</v>
      </c>
      <c r="J294" s="134"/>
      <c r="K294" s="135"/>
      <c r="L294" s="136">
        <f t="shared" si="39"/>
        <v>0</v>
      </c>
      <c r="M294" s="284"/>
      <c r="N294" s="285"/>
      <c r="O294" s="136">
        <f t="shared" si="58"/>
        <v>0</v>
      </c>
      <c r="P294" s="85"/>
      <c r="R294" s="53"/>
      <c r="S294" s="53"/>
      <c r="T294" s="53"/>
    </row>
    <row r="295" spans="1:20" ht="24" hidden="1" x14ac:dyDescent="0.25">
      <c r="A295" s="346" t="s">
        <v>318</v>
      </c>
      <c r="B295" s="75" t="s">
        <v>319</v>
      </c>
      <c r="C295" s="128">
        <f t="shared" si="64"/>
        <v>0</v>
      </c>
      <c r="D295" s="134"/>
      <c r="E295" s="285"/>
      <c r="F295" s="286">
        <f t="shared" si="37"/>
        <v>0</v>
      </c>
      <c r="G295" s="134"/>
      <c r="H295" s="135"/>
      <c r="I295" s="136">
        <f t="shared" si="38"/>
        <v>0</v>
      </c>
      <c r="J295" s="134"/>
      <c r="K295" s="135"/>
      <c r="L295" s="136">
        <f t="shared" si="39"/>
        <v>0</v>
      </c>
      <c r="M295" s="284"/>
      <c r="N295" s="285"/>
      <c r="O295" s="136">
        <f t="shared" si="58"/>
        <v>0</v>
      </c>
      <c r="P295" s="85"/>
      <c r="R295" s="53"/>
      <c r="S295" s="53"/>
      <c r="T295" s="53"/>
    </row>
    <row r="296" spans="1:20" hidden="1" x14ac:dyDescent="0.25">
      <c r="A296" s="346" t="s">
        <v>320</v>
      </c>
      <c r="B296" s="75" t="s">
        <v>321</v>
      </c>
      <c r="C296" s="128">
        <f t="shared" si="64"/>
        <v>0</v>
      </c>
      <c r="D296" s="134"/>
      <c r="E296" s="285"/>
      <c r="F296" s="286">
        <f t="shared" si="37"/>
        <v>0</v>
      </c>
      <c r="G296" s="134"/>
      <c r="H296" s="135"/>
      <c r="I296" s="136">
        <f t="shared" si="38"/>
        <v>0</v>
      </c>
      <c r="J296" s="134"/>
      <c r="K296" s="135"/>
      <c r="L296" s="136">
        <f t="shared" si="39"/>
        <v>0</v>
      </c>
      <c r="M296" s="284"/>
      <c r="N296" s="285"/>
      <c r="O296" s="136">
        <f t="shared" si="58"/>
        <v>0</v>
      </c>
      <c r="P296" s="85"/>
      <c r="R296" s="53"/>
      <c r="S296" s="53"/>
      <c r="T296" s="53"/>
    </row>
    <row r="297" spans="1:20" ht="24" hidden="1" x14ac:dyDescent="0.25">
      <c r="A297" s="389" t="s">
        <v>322</v>
      </c>
      <c r="B297" s="390" t="s">
        <v>323</v>
      </c>
      <c r="C297" s="327">
        <f t="shared" si="64"/>
        <v>0</v>
      </c>
      <c r="D297" s="328"/>
      <c r="E297" s="329"/>
      <c r="F297" s="330">
        <f t="shared" si="37"/>
        <v>0</v>
      </c>
      <c r="G297" s="328"/>
      <c r="H297" s="331"/>
      <c r="I297" s="324">
        <f t="shared" si="38"/>
        <v>0</v>
      </c>
      <c r="J297" s="328"/>
      <c r="K297" s="331"/>
      <c r="L297" s="324">
        <f t="shared" si="39"/>
        <v>0</v>
      </c>
      <c r="M297" s="332"/>
      <c r="N297" s="329"/>
      <c r="O297" s="324">
        <f t="shared" si="58"/>
        <v>0</v>
      </c>
      <c r="P297" s="325"/>
      <c r="R297" s="53"/>
      <c r="S297" s="53"/>
      <c r="T297" s="53"/>
    </row>
    <row r="298" spans="1:20" hidden="1" x14ac:dyDescent="0.25">
      <c r="A298" s="387" t="s">
        <v>324</v>
      </c>
      <c r="B298" s="387" t="s">
        <v>325</v>
      </c>
      <c r="C298" s="391">
        <f t="shared" si="64"/>
        <v>0</v>
      </c>
      <c r="D298" s="392"/>
      <c r="E298" s="393"/>
      <c r="F298" s="388">
        <f t="shared" si="37"/>
        <v>0</v>
      </c>
      <c r="G298" s="392"/>
      <c r="H298" s="394"/>
      <c r="I298" s="383">
        <f t="shared" si="38"/>
        <v>0</v>
      </c>
      <c r="J298" s="392"/>
      <c r="K298" s="394"/>
      <c r="L298" s="383">
        <f t="shared" si="39"/>
        <v>0</v>
      </c>
      <c r="M298" s="395"/>
      <c r="N298" s="393"/>
      <c r="O298" s="383">
        <f t="shared" si="58"/>
        <v>0</v>
      </c>
      <c r="P298" s="385"/>
      <c r="R298" s="53"/>
      <c r="S298" s="53"/>
      <c r="T298" s="53"/>
    </row>
    <row r="299" spans="1:20" s="41" customFormat="1" ht="48" hidden="1" x14ac:dyDescent="0.25">
      <c r="A299" s="387" t="s">
        <v>326</v>
      </c>
      <c r="B299" s="396" t="s">
        <v>327</v>
      </c>
      <c r="C299" s="397">
        <f t="shared" si="64"/>
        <v>0</v>
      </c>
      <c r="D299" s="398"/>
      <c r="E299" s="399"/>
      <c r="F299" s="400">
        <f t="shared" si="37"/>
        <v>0</v>
      </c>
      <c r="G299" s="392"/>
      <c r="H299" s="394"/>
      <c r="I299" s="383">
        <f t="shared" si="38"/>
        <v>0</v>
      </c>
      <c r="J299" s="392"/>
      <c r="K299" s="394"/>
      <c r="L299" s="383">
        <f t="shared" si="39"/>
        <v>0</v>
      </c>
      <c r="M299" s="395"/>
      <c r="N299" s="393"/>
      <c r="O299" s="383">
        <f t="shared" si="58"/>
        <v>0</v>
      </c>
      <c r="P299" s="385"/>
      <c r="R299" s="53"/>
      <c r="S299" s="53"/>
      <c r="T299" s="53"/>
    </row>
    <row r="300" spans="1:20"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20" ht="12.75" thickBot="1" x14ac:dyDescent="0.3">
      <c r="A301" s="404"/>
      <c r="B301" s="405"/>
      <c r="C301" s="405"/>
      <c r="D301" s="405"/>
      <c r="E301" s="405"/>
      <c r="F301" s="405"/>
      <c r="G301" s="405"/>
      <c r="H301" s="405"/>
      <c r="I301" s="405"/>
      <c r="J301" s="405"/>
      <c r="K301" s="405"/>
      <c r="L301" s="405"/>
      <c r="M301" s="405"/>
      <c r="N301" s="405"/>
      <c r="O301" s="405"/>
      <c r="P301" s="406"/>
      <c r="Q301" s="7"/>
    </row>
    <row r="302" spans="1:20" x14ac:dyDescent="0.25">
      <c r="A302" s="5"/>
      <c r="B302" s="5"/>
      <c r="C302" s="5"/>
      <c r="D302" s="5"/>
      <c r="E302" s="5"/>
      <c r="F302" s="5"/>
      <c r="G302" s="5"/>
      <c r="H302" s="5"/>
      <c r="I302" s="5"/>
      <c r="J302" s="5"/>
      <c r="K302" s="5"/>
      <c r="L302" s="5"/>
      <c r="M302" s="5"/>
      <c r="N302" s="5"/>
      <c r="O302" s="5"/>
    </row>
    <row r="303" spans="1:20" x14ac:dyDescent="0.25">
      <c r="A303" s="5"/>
      <c r="B303" s="5"/>
      <c r="C303" s="5"/>
      <c r="D303" s="5"/>
      <c r="E303" s="5"/>
      <c r="F303" s="5"/>
      <c r="G303" s="5"/>
      <c r="H303" s="5"/>
      <c r="I303" s="5"/>
      <c r="J303" s="5"/>
      <c r="K303" s="5"/>
      <c r="L303" s="5"/>
      <c r="M303" s="5"/>
      <c r="N303" s="5"/>
      <c r="O303" s="5"/>
    </row>
    <row r="304" spans="1:20"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R21mad0ZPsl6sTUEKVtNPide5/05XShq/ydibYtO1GDKI4K4Kzys3Ljjyqf8GsoxrZIxg9uVgjBWNyXzbYcVCA==" saltValue="yozSHC+KWdyUlsMhvHGqlA==" spinCount="100000" sheet="1" objects="1" scenarios="1" selectLockedCells="1" selectUnlockedCells="1"/>
  <autoFilter ref="A22:P300">
    <filterColumn colId="2">
      <filters blank="1">
        <filter val="1 000"/>
        <filter val="1 120"/>
        <filter val="1 497"/>
        <filter val="1 862"/>
        <filter val="10 685"/>
        <filter val="11 879"/>
        <filter val="119 401"/>
        <filter val="13 880"/>
        <filter val="161"/>
        <filter val="165"/>
        <filter val="166"/>
        <filter val="2 094"/>
        <filter val="2 769"/>
        <filter val="2 802"/>
        <filter val="200"/>
        <filter val="22 831"/>
        <filter val="23 603"/>
        <filter val="24 993"/>
        <filter val="280"/>
        <filter val="3 032"/>
        <filter val="3 235"/>
        <filter val="3 240"/>
        <filter val="3 343"/>
        <filter val="3 748"/>
        <filter val="3 802"/>
        <filter val="3 870"/>
        <filter val="3 969"/>
        <filter val="30"/>
        <filter val="334 514"/>
        <filter val="350"/>
        <filter val="379 302"/>
        <filter val="38 111"/>
        <filter val="4 599"/>
        <filter val="4 999"/>
        <filter val="400"/>
        <filter val="41"/>
        <filter val="428"/>
        <filter val="43 291"/>
        <filter val="45 717"/>
        <filter val="498 703"/>
        <filter val="5 716"/>
        <filter val="507"/>
        <filter val="52"/>
        <filter val="541"/>
        <filter val="556 259"/>
        <filter val="556 464"/>
        <filter val="560 334"/>
        <filter val="57 761"/>
        <filter val="6 011"/>
        <filter val="60"/>
        <filter val="644"/>
        <filter val="647"/>
        <filter val="664"/>
        <filter val="-664"/>
        <filter val="68"/>
        <filter val="690"/>
        <filter val="7 042"/>
        <filter val="7 850"/>
        <filter val="72"/>
        <filter val="765"/>
        <filter val="80"/>
        <filter val="800"/>
        <filter val="922"/>
        <filter val="94 408"/>
        <filter val="991"/>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99.pielikums Jūrmalas pilsētas domes
2017.gada 30.janvāra saistošajiem noteikumiem Nr.10
(Protokols Nr.4, 1.punkts)
 </firstHeader>
    <firstFooter>&amp;L&amp;9&amp;D; &amp;T&amp;R&amp;9&amp;P (&amp;N)</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6"/>
  <sheetViews>
    <sheetView view="pageLayout" zoomScaleNormal="100" workbookViewId="0">
      <selection activeCell="S13" sqref="S13"/>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1142</v>
      </c>
    </row>
    <row r="2" spans="1:17" x14ac:dyDescent="0.25">
      <c r="A2" s="6"/>
      <c r="B2" s="6"/>
      <c r="C2" s="6"/>
      <c r="D2" s="6"/>
      <c r="E2" s="6"/>
      <c r="F2" s="6"/>
      <c r="G2" s="6"/>
      <c r="H2" s="6"/>
      <c r="I2" s="6"/>
      <c r="J2" s="6"/>
      <c r="K2" s="6"/>
      <c r="L2" s="6"/>
      <c r="M2" s="6"/>
      <c r="N2" s="6"/>
      <c r="O2" s="6"/>
      <c r="P2" s="6"/>
    </row>
    <row r="3" spans="1:17" ht="6.75" customHeight="1" x14ac:dyDescent="0.25">
      <c r="A3" s="1557"/>
      <c r="B3" s="1558"/>
      <c r="C3" s="1558"/>
      <c r="D3" s="1558"/>
      <c r="E3" s="1558"/>
      <c r="F3" s="1558"/>
      <c r="G3" s="1558"/>
      <c r="H3" s="1558"/>
      <c r="I3" s="1558"/>
      <c r="J3" s="1558"/>
      <c r="K3" s="1558"/>
      <c r="L3" s="1558"/>
      <c r="M3" s="1558"/>
      <c r="N3" s="1558"/>
      <c r="O3" s="1558"/>
      <c r="P3" s="1559"/>
      <c r="Q3" s="7"/>
    </row>
    <row r="4" spans="1:17" ht="10.5" customHeight="1"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1143</v>
      </c>
      <c r="D6" s="1555"/>
      <c r="E6" s="1555"/>
      <c r="F6" s="1555"/>
      <c r="G6" s="1555"/>
      <c r="H6" s="1555"/>
      <c r="I6" s="1555"/>
      <c r="J6" s="1555"/>
      <c r="K6" s="1555"/>
      <c r="L6" s="1555"/>
      <c r="M6" s="1555"/>
      <c r="N6" s="1555"/>
      <c r="O6" s="1555"/>
      <c r="P6" s="1556"/>
      <c r="Q6" s="7"/>
    </row>
    <row r="7" spans="1:17" ht="12.75" x14ac:dyDescent="0.25">
      <c r="A7" s="13" t="s">
        <v>4</v>
      </c>
      <c r="B7" s="14"/>
      <c r="C7" s="1555" t="s">
        <v>1144</v>
      </c>
      <c r="D7" s="1555"/>
      <c r="E7" s="1555"/>
      <c r="F7" s="1555"/>
      <c r="G7" s="1555"/>
      <c r="H7" s="1555"/>
      <c r="I7" s="1555"/>
      <c r="J7" s="1555"/>
      <c r="K7" s="1555"/>
      <c r="L7" s="1555"/>
      <c r="M7" s="1555"/>
      <c r="N7" s="1555"/>
      <c r="O7" s="1555"/>
      <c r="P7" s="1556"/>
      <c r="Q7" s="7"/>
    </row>
    <row r="8" spans="1:17" x14ac:dyDescent="0.25">
      <c r="A8" s="8" t="s">
        <v>6</v>
      </c>
      <c r="B8" s="9"/>
      <c r="C8" s="1553" t="s">
        <v>1145</v>
      </c>
      <c r="D8" s="1553"/>
      <c r="E8" s="1553"/>
      <c r="F8" s="1553"/>
      <c r="G8" s="1553"/>
      <c r="H8" s="1553"/>
      <c r="I8" s="1553"/>
      <c r="J8" s="1553"/>
      <c r="K8" s="1553"/>
      <c r="L8" s="1553"/>
      <c r="M8" s="1553"/>
      <c r="N8" s="1553"/>
      <c r="O8" s="1553"/>
      <c r="P8" s="1554"/>
      <c r="Q8" s="7"/>
    </row>
    <row r="9" spans="1:17" x14ac:dyDescent="0.25">
      <c r="A9" s="8" t="s">
        <v>8</v>
      </c>
      <c r="B9" s="9"/>
      <c r="C9" s="1553" t="s">
        <v>9</v>
      </c>
      <c r="D9" s="1553"/>
      <c r="E9" s="1553"/>
      <c r="F9" s="1553"/>
      <c r="G9" s="1553"/>
      <c r="H9" s="1553"/>
      <c r="I9" s="1553"/>
      <c r="J9" s="1553"/>
      <c r="K9" s="1553"/>
      <c r="L9" s="1553"/>
      <c r="M9" s="1553"/>
      <c r="N9" s="1553"/>
      <c r="O9" s="1553"/>
      <c r="P9" s="1554"/>
      <c r="Q9" s="7"/>
    </row>
    <row r="10" spans="1:17" ht="24.75" customHeight="1" x14ac:dyDescent="0.25">
      <c r="A10" s="8" t="s">
        <v>10</v>
      </c>
      <c r="B10" s="9"/>
      <c r="C10" s="1555" t="s">
        <v>11</v>
      </c>
      <c r="D10" s="1555"/>
      <c r="E10" s="1555"/>
      <c r="F10" s="1555"/>
      <c r="G10" s="1555"/>
      <c r="H10" s="1555"/>
      <c r="I10" s="1555"/>
      <c r="J10" s="1555"/>
      <c r="K10" s="1555"/>
      <c r="L10" s="1555"/>
      <c r="M10" s="1555"/>
      <c r="N10" s="1555"/>
      <c r="O10" s="1555"/>
      <c r="P10" s="1556"/>
      <c r="Q10" s="7"/>
    </row>
    <row r="11" spans="1:17" x14ac:dyDescent="0.25">
      <c r="A11" s="8" t="s">
        <v>12</v>
      </c>
      <c r="B11" s="9"/>
      <c r="C11" s="1555" t="s">
        <v>13</v>
      </c>
      <c r="D11" s="1555"/>
      <c r="E11" s="1555"/>
      <c r="F11" s="1555"/>
      <c r="G11" s="1555"/>
      <c r="H11" s="1555"/>
      <c r="I11" s="1555"/>
      <c r="J11" s="1555"/>
      <c r="K11" s="1555"/>
      <c r="L11" s="1555"/>
      <c r="M11" s="1555"/>
      <c r="N11" s="1555"/>
      <c r="O11" s="1555"/>
      <c r="P11" s="1556"/>
      <c r="Q11" s="7"/>
    </row>
    <row r="12" spans="1:17" x14ac:dyDescent="0.25">
      <c r="A12" s="15" t="s">
        <v>14</v>
      </c>
      <c r="B12" s="9"/>
      <c r="C12" s="16" t="s">
        <v>1146</v>
      </c>
      <c r="D12" s="16"/>
      <c r="E12" s="16"/>
      <c r="F12" s="16"/>
      <c r="G12" s="16"/>
      <c r="H12" s="16"/>
      <c r="I12" s="16"/>
      <c r="J12" s="16"/>
      <c r="K12" s="16"/>
      <c r="L12" s="16"/>
      <c r="M12" s="16"/>
      <c r="N12" s="16"/>
      <c r="O12" s="16"/>
      <c r="P12" s="17"/>
      <c r="Q12" s="7"/>
    </row>
    <row r="13" spans="1:17" x14ac:dyDescent="0.25">
      <c r="A13" s="8"/>
      <c r="B13" s="9" t="s">
        <v>15</v>
      </c>
      <c r="C13" s="1553" t="s">
        <v>1147</v>
      </c>
      <c r="D13" s="1553"/>
      <c r="E13" s="1553"/>
      <c r="F13" s="1553"/>
      <c r="G13" s="1553"/>
      <c r="H13" s="1553"/>
      <c r="I13" s="1553"/>
      <c r="J13" s="1553"/>
      <c r="K13" s="1553"/>
      <c r="L13" s="1553"/>
      <c r="M13" s="1553"/>
      <c r="N13" s="1553"/>
      <c r="O13" s="1553"/>
      <c r="P13" s="1554"/>
      <c r="Q13" s="7"/>
    </row>
    <row r="14" spans="1:17" x14ac:dyDescent="0.25">
      <c r="A14" s="8"/>
      <c r="B14" s="9" t="s">
        <v>17</v>
      </c>
      <c r="C14" s="1553" t="s">
        <v>1148</v>
      </c>
      <c r="D14" s="1553"/>
      <c r="E14" s="1553"/>
      <c r="F14" s="1553"/>
      <c r="G14" s="1553"/>
      <c r="H14" s="1553"/>
      <c r="I14" s="1553"/>
      <c r="J14" s="1553"/>
      <c r="K14" s="1553"/>
      <c r="L14" s="1553"/>
      <c r="M14" s="1553"/>
      <c r="N14" s="1553"/>
      <c r="O14" s="1553"/>
      <c r="P14" s="1554"/>
      <c r="Q14" s="7"/>
    </row>
    <row r="15" spans="1:17" x14ac:dyDescent="0.25">
      <c r="A15" s="8"/>
      <c r="B15" s="9" t="s">
        <v>19</v>
      </c>
      <c r="C15" s="1553"/>
      <c r="D15" s="1553"/>
      <c r="E15" s="1553"/>
      <c r="F15" s="1553"/>
      <c r="G15" s="1553"/>
      <c r="H15" s="1553"/>
      <c r="I15" s="1553"/>
      <c r="J15" s="1553"/>
      <c r="K15" s="1553"/>
      <c r="L15" s="1553"/>
      <c r="M15" s="1553"/>
      <c r="N15" s="1553"/>
      <c r="O15" s="1553"/>
      <c r="P15" s="1554"/>
      <c r="Q15" s="7"/>
    </row>
    <row r="16" spans="1:17" x14ac:dyDescent="0.25">
      <c r="A16" s="8"/>
      <c r="B16" s="9" t="s">
        <v>20</v>
      </c>
      <c r="C16" s="1553" t="s">
        <v>1149</v>
      </c>
      <c r="D16" s="1553"/>
      <c r="E16" s="1553"/>
      <c r="F16" s="1553"/>
      <c r="G16" s="1553"/>
      <c r="H16" s="1553"/>
      <c r="I16" s="1553"/>
      <c r="J16" s="1553"/>
      <c r="K16" s="1553"/>
      <c r="L16" s="1553"/>
      <c r="M16" s="1553"/>
      <c r="N16" s="1553"/>
      <c r="O16" s="1553"/>
      <c r="P16" s="1554"/>
      <c r="Q16" s="7"/>
    </row>
    <row r="17" spans="1:20" x14ac:dyDescent="0.25">
      <c r="A17" s="8"/>
      <c r="B17" s="9" t="s">
        <v>22</v>
      </c>
      <c r="C17" s="1553"/>
      <c r="D17" s="1553"/>
      <c r="E17" s="1553"/>
      <c r="F17" s="1553"/>
      <c r="G17" s="1553"/>
      <c r="H17" s="1553"/>
      <c r="I17" s="1553"/>
      <c r="J17" s="1553"/>
      <c r="K17" s="1553"/>
      <c r="L17" s="1553"/>
      <c r="M17" s="1553"/>
      <c r="N17" s="1553"/>
      <c r="O17" s="1553"/>
      <c r="P17" s="1554"/>
      <c r="Q17" s="7"/>
    </row>
    <row r="18" spans="1:20" x14ac:dyDescent="0.25">
      <c r="A18" s="18"/>
      <c r="B18" s="19"/>
      <c r="C18" s="1569"/>
      <c r="D18" s="1569"/>
      <c r="E18" s="1569"/>
      <c r="F18" s="1569"/>
      <c r="G18" s="1569"/>
      <c r="H18" s="1569"/>
      <c r="I18" s="1569"/>
      <c r="J18" s="1569"/>
      <c r="K18" s="1569"/>
      <c r="L18" s="1569"/>
      <c r="M18" s="1569"/>
      <c r="N18" s="1569"/>
      <c r="O18" s="1569"/>
      <c r="P18" s="1570"/>
      <c r="Q18" s="7"/>
    </row>
    <row r="19" spans="1:20"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0"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20" s="21" customFormat="1" ht="66" customHeight="1" thickBot="1" x14ac:dyDescent="0.3">
      <c r="A21" s="1573"/>
      <c r="B21" s="1576"/>
      <c r="C21" s="1581"/>
      <c r="D21" s="1566"/>
      <c r="E21" s="1568"/>
      <c r="F21" s="1564"/>
      <c r="G21" s="1566"/>
      <c r="H21" s="1568"/>
      <c r="I21" s="1564"/>
      <c r="J21" s="1566"/>
      <c r="K21" s="1568"/>
      <c r="L21" s="1564"/>
      <c r="M21" s="1566"/>
      <c r="N21" s="1568"/>
      <c r="O21" s="1564"/>
      <c r="P21" s="1576"/>
    </row>
    <row r="22" spans="1:20" s="21" customFormat="1" ht="9" thickTop="1" x14ac:dyDescent="0.25">
      <c r="A22" s="22" t="s">
        <v>40</v>
      </c>
      <c r="B22" s="22">
        <v>2</v>
      </c>
      <c r="C22" s="22">
        <v>3</v>
      </c>
      <c r="D22" s="22">
        <v>4</v>
      </c>
      <c r="E22" s="22">
        <v>5</v>
      </c>
      <c r="F22" s="22">
        <v>6</v>
      </c>
      <c r="G22" s="24">
        <v>7</v>
      </c>
      <c r="H22" s="26">
        <v>8</v>
      </c>
      <c r="I22" s="27">
        <v>9</v>
      </c>
      <c r="J22" s="24">
        <v>10</v>
      </c>
      <c r="K22" s="28">
        <v>11</v>
      </c>
      <c r="L22" s="27">
        <v>12</v>
      </c>
      <c r="M22" s="28">
        <v>13</v>
      </c>
      <c r="N22" s="29">
        <v>14</v>
      </c>
      <c r="O22" s="27">
        <v>15</v>
      </c>
      <c r="P22" s="27">
        <v>16</v>
      </c>
    </row>
    <row r="23" spans="1:20" s="41" customFormat="1" x14ac:dyDescent="0.25">
      <c r="A23" s="30"/>
      <c r="B23" s="31" t="s">
        <v>41</v>
      </c>
      <c r="C23" s="35"/>
      <c r="D23" s="423"/>
      <c r="E23" s="423"/>
      <c r="F23" s="35"/>
      <c r="G23" s="33"/>
      <c r="H23" s="36"/>
      <c r="I23" s="37"/>
      <c r="J23" s="33"/>
      <c r="K23" s="38"/>
      <c r="L23" s="37"/>
      <c r="M23" s="38"/>
      <c r="N23" s="39"/>
      <c r="O23" s="37"/>
      <c r="P23" s="40"/>
    </row>
    <row r="24" spans="1:20" s="41" customFormat="1" ht="12.75" thickBot="1" x14ac:dyDescent="0.3">
      <c r="A24" s="42"/>
      <c r="B24" s="43" t="s">
        <v>42</v>
      </c>
      <c r="C24" s="47">
        <f>F24+I24+L24+O24</f>
        <v>292239</v>
      </c>
      <c r="D24" s="47">
        <f>SUM(D25,D28,D29,D45,D46)</f>
        <v>276351</v>
      </c>
      <c r="E24" s="47">
        <f>SUM(E25,E28,E29,E45,E46)</f>
        <v>0</v>
      </c>
      <c r="F24" s="47">
        <f t="shared" ref="F24:F29" si="0">D24+E24</f>
        <v>276351</v>
      </c>
      <c r="G24" s="45">
        <f>SUM(G25,G28,G46)</f>
        <v>15366</v>
      </c>
      <c r="H24" s="48">
        <f>SUM(H25,H28,H46)</f>
        <v>0</v>
      </c>
      <c r="I24" s="49">
        <f>G24+H24</f>
        <v>15366</v>
      </c>
      <c r="J24" s="45">
        <f>SUM(J25,J30,J46)</f>
        <v>522</v>
      </c>
      <c r="K24" s="48">
        <f>SUM(K25,K30,K46)</f>
        <v>0</v>
      </c>
      <c r="L24" s="49">
        <f>J24+K24</f>
        <v>522</v>
      </c>
      <c r="M24" s="50">
        <f>SUM(M25,M48)</f>
        <v>0</v>
      </c>
      <c r="N24" s="51">
        <f>SUM(N25,N48)</f>
        <v>0</v>
      </c>
      <c r="O24" s="49">
        <f>M24+N24</f>
        <v>0</v>
      </c>
      <c r="P24" s="52"/>
      <c r="R24" s="53"/>
      <c r="S24" s="53"/>
      <c r="T24" s="53"/>
    </row>
    <row r="25" spans="1:20" ht="12.75" thickTop="1" x14ac:dyDescent="0.25">
      <c r="A25" s="54"/>
      <c r="B25" s="55" t="s">
        <v>43</v>
      </c>
      <c r="C25" s="59">
        <f>F25+I25+L25+O25</f>
        <v>522</v>
      </c>
      <c r="D25" s="59">
        <f>SUM(D26:D27)</f>
        <v>0</v>
      </c>
      <c r="E25" s="59">
        <f>SUM(E26:E27)</f>
        <v>0</v>
      </c>
      <c r="F25" s="59">
        <f t="shared" si="0"/>
        <v>0</v>
      </c>
      <c r="G25" s="57">
        <f>SUM(G26:G27)</f>
        <v>0</v>
      </c>
      <c r="H25" s="60">
        <f>SUM(H26:H27)</f>
        <v>0</v>
      </c>
      <c r="I25" s="61">
        <f>G25+H25</f>
        <v>0</v>
      </c>
      <c r="J25" s="57">
        <f>SUM(J26:J27)</f>
        <v>522</v>
      </c>
      <c r="K25" s="60">
        <f>SUM(K26:K27)</f>
        <v>0</v>
      </c>
      <c r="L25" s="61">
        <f>J25+K25</f>
        <v>522</v>
      </c>
      <c r="M25" s="62">
        <f>SUM(M26:M27)</f>
        <v>0</v>
      </c>
      <c r="N25" s="63">
        <f>SUM(N26:N27)</f>
        <v>0</v>
      </c>
      <c r="O25" s="61">
        <f>M25+N25</f>
        <v>0</v>
      </c>
      <c r="P25" s="64"/>
      <c r="R25" s="53"/>
      <c r="S25" s="53"/>
      <c r="T25" s="53"/>
    </row>
    <row r="26" spans="1:20" hidden="1" x14ac:dyDescent="0.25">
      <c r="A26" s="65"/>
      <c r="B26" s="66" t="s">
        <v>44</v>
      </c>
      <c r="C26" s="625">
        <f>F26+I26+L26+O26</f>
        <v>0</v>
      </c>
      <c r="D26" s="967"/>
      <c r="E26" s="967"/>
      <c r="F26" s="625">
        <f t="shared" si="0"/>
        <v>0</v>
      </c>
      <c r="G26" s="68"/>
      <c r="H26" s="71"/>
      <c r="I26" s="72">
        <f>G26+H26</f>
        <v>0</v>
      </c>
      <c r="J26" s="68"/>
      <c r="K26" s="71"/>
      <c r="L26" s="72">
        <f>J26+K26</f>
        <v>0</v>
      </c>
      <c r="M26" s="73"/>
      <c r="N26" s="69"/>
      <c r="O26" s="72">
        <f>M26+N26</f>
        <v>0</v>
      </c>
      <c r="P26" s="74"/>
      <c r="R26" s="53"/>
      <c r="S26" s="53"/>
      <c r="T26" s="53"/>
    </row>
    <row r="27" spans="1:20" x14ac:dyDescent="0.25">
      <c r="A27" s="75"/>
      <c r="B27" s="76" t="s">
        <v>45</v>
      </c>
      <c r="C27" s="80">
        <f>F27+I27+L27+O27</f>
        <v>522</v>
      </c>
      <c r="D27" s="446"/>
      <c r="E27" s="446"/>
      <c r="F27" s="80">
        <f t="shared" si="0"/>
        <v>0</v>
      </c>
      <c r="G27" s="78"/>
      <c r="H27" s="81"/>
      <c r="I27" s="82">
        <f>G27+H27</f>
        <v>0</v>
      </c>
      <c r="J27" s="78">
        <v>522</v>
      </c>
      <c r="K27" s="81"/>
      <c r="L27" s="82">
        <f>J27+K27</f>
        <v>522</v>
      </c>
      <c r="M27" s="83"/>
      <c r="N27" s="84"/>
      <c r="O27" s="82">
        <f>M27+N27</f>
        <v>0</v>
      </c>
      <c r="P27" s="85"/>
      <c r="R27" s="53"/>
      <c r="S27" s="53"/>
      <c r="T27" s="53"/>
    </row>
    <row r="28" spans="1:20" s="41" customFormat="1" ht="24.75" thickBot="1" x14ac:dyDescent="0.3">
      <c r="A28" s="86">
        <v>19300</v>
      </c>
      <c r="B28" s="86" t="s">
        <v>46</v>
      </c>
      <c r="C28" s="90">
        <f>SUM(F28,I28)</f>
        <v>291717</v>
      </c>
      <c r="D28" s="968">
        <f>265882+9032+1437</f>
        <v>276351</v>
      </c>
      <c r="E28" s="968"/>
      <c r="F28" s="90">
        <f t="shared" si="0"/>
        <v>276351</v>
      </c>
      <c r="G28" s="88">
        <f>11556+3810</f>
        <v>15366</v>
      </c>
      <c r="H28" s="91"/>
      <c r="I28" s="92">
        <f>G28+H28</f>
        <v>15366</v>
      </c>
      <c r="J28" s="93" t="s">
        <v>47</v>
      </c>
      <c r="K28" s="94" t="s">
        <v>47</v>
      </c>
      <c r="L28" s="95" t="s">
        <v>47</v>
      </c>
      <c r="M28" s="96" t="s">
        <v>47</v>
      </c>
      <c r="N28" s="97" t="s">
        <v>47</v>
      </c>
      <c r="O28" s="95" t="s">
        <v>47</v>
      </c>
      <c r="P28" s="98"/>
      <c r="R28" s="53"/>
      <c r="S28" s="53"/>
      <c r="T28" s="53"/>
    </row>
    <row r="29" spans="1:20" s="41" customFormat="1" ht="24.75" hidden="1" thickTop="1" x14ac:dyDescent="0.25">
      <c r="A29" s="99"/>
      <c r="B29" s="99" t="s">
        <v>48</v>
      </c>
      <c r="C29" s="249">
        <f>F29</f>
        <v>0</v>
      </c>
      <c r="D29" s="969"/>
      <c r="E29" s="969"/>
      <c r="F29" s="634">
        <f t="shared" si="0"/>
        <v>0</v>
      </c>
      <c r="G29" s="104" t="s">
        <v>47</v>
      </c>
      <c r="H29" s="105" t="s">
        <v>47</v>
      </c>
      <c r="I29" s="106" t="s">
        <v>47</v>
      </c>
      <c r="J29" s="104" t="s">
        <v>47</v>
      </c>
      <c r="K29" s="105" t="s">
        <v>47</v>
      </c>
      <c r="L29" s="106" t="s">
        <v>47</v>
      </c>
      <c r="M29" s="107" t="s">
        <v>47</v>
      </c>
      <c r="N29" s="108" t="s">
        <v>47</v>
      </c>
      <c r="O29" s="106" t="s">
        <v>47</v>
      </c>
      <c r="P29" s="109"/>
      <c r="R29" s="53"/>
      <c r="S29" s="53"/>
      <c r="T29" s="53"/>
    </row>
    <row r="30" spans="1:20" s="41" customFormat="1" ht="36.75" hidden="1" thickTop="1" x14ac:dyDescent="0.25">
      <c r="A30" s="99">
        <v>21300</v>
      </c>
      <c r="B30" s="99" t="s">
        <v>49</v>
      </c>
      <c r="C30" s="249">
        <f t="shared" ref="C30:C44" si="1">L30</f>
        <v>0</v>
      </c>
      <c r="D30" s="111" t="s">
        <v>47</v>
      </c>
      <c r="E30" s="111" t="s">
        <v>47</v>
      </c>
      <c r="F30" s="111" t="s">
        <v>47</v>
      </c>
      <c r="G30" s="104" t="s">
        <v>47</v>
      </c>
      <c r="H30" s="105" t="s">
        <v>47</v>
      </c>
      <c r="I30" s="106" t="s">
        <v>47</v>
      </c>
      <c r="J30" s="112">
        <f>SUM(J31,J35,J37,J40)</f>
        <v>0</v>
      </c>
      <c r="K30" s="113">
        <f>SUM(K31,K35,K37,K40)</f>
        <v>0</v>
      </c>
      <c r="L30" s="114">
        <f t="shared" ref="L30:L44" si="2">J30+K30</f>
        <v>0</v>
      </c>
      <c r="M30" s="107" t="s">
        <v>47</v>
      </c>
      <c r="N30" s="108" t="s">
        <v>47</v>
      </c>
      <c r="O30" s="106" t="s">
        <v>47</v>
      </c>
      <c r="P30" s="109"/>
      <c r="R30" s="53"/>
      <c r="S30" s="53"/>
      <c r="T30" s="53"/>
    </row>
    <row r="31" spans="1:20" s="41" customFormat="1" ht="24.75" hidden="1" thickTop="1" x14ac:dyDescent="0.25">
      <c r="A31" s="115">
        <v>21350</v>
      </c>
      <c r="B31" s="99" t="s">
        <v>50</v>
      </c>
      <c r="C31" s="249">
        <f t="shared" si="1"/>
        <v>0</v>
      </c>
      <c r="D31" s="111" t="s">
        <v>47</v>
      </c>
      <c r="E31" s="111" t="s">
        <v>47</v>
      </c>
      <c r="F31" s="111" t="s">
        <v>47</v>
      </c>
      <c r="G31" s="104" t="s">
        <v>47</v>
      </c>
      <c r="H31" s="105" t="s">
        <v>47</v>
      </c>
      <c r="I31" s="106" t="s">
        <v>47</v>
      </c>
      <c r="J31" s="112">
        <f>SUM(J32:J34)</f>
        <v>0</v>
      </c>
      <c r="K31" s="113">
        <f>SUM(K32:K34)</f>
        <v>0</v>
      </c>
      <c r="L31" s="114">
        <f t="shared" si="2"/>
        <v>0</v>
      </c>
      <c r="M31" s="107" t="s">
        <v>47</v>
      </c>
      <c r="N31" s="108" t="s">
        <v>47</v>
      </c>
      <c r="O31" s="106" t="s">
        <v>47</v>
      </c>
      <c r="P31" s="109"/>
      <c r="R31" s="53"/>
      <c r="S31" s="53"/>
      <c r="T31" s="53"/>
    </row>
    <row r="32" spans="1:20" ht="12.75" hidden="1" thickTop="1" x14ac:dyDescent="0.25">
      <c r="A32" s="65">
        <v>21351</v>
      </c>
      <c r="B32" s="116" t="s">
        <v>51</v>
      </c>
      <c r="C32" s="296">
        <f t="shared" si="1"/>
        <v>0</v>
      </c>
      <c r="D32" s="155" t="s">
        <v>47</v>
      </c>
      <c r="E32" s="155" t="s">
        <v>47</v>
      </c>
      <c r="F32" s="155" t="s">
        <v>47</v>
      </c>
      <c r="G32" s="118" t="s">
        <v>47</v>
      </c>
      <c r="H32" s="121" t="s">
        <v>47</v>
      </c>
      <c r="I32" s="122" t="s">
        <v>47</v>
      </c>
      <c r="J32" s="123"/>
      <c r="K32" s="124"/>
      <c r="L32" s="125">
        <f t="shared" si="2"/>
        <v>0</v>
      </c>
      <c r="M32" s="126" t="s">
        <v>47</v>
      </c>
      <c r="N32" s="119" t="s">
        <v>47</v>
      </c>
      <c r="O32" s="122" t="s">
        <v>47</v>
      </c>
      <c r="P32" s="74"/>
      <c r="R32" s="53"/>
      <c r="S32" s="53"/>
      <c r="T32" s="53"/>
    </row>
    <row r="33" spans="1:20" ht="12.75" hidden="1" thickTop="1" x14ac:dyDescent="0.25">
      <c r="A33" s="75">
        <v>21352</v>
      </c>
      <c r="B33" s="127" t="s">
        <v>52</v>
      </c>
      <c r="C33" s="279">
        <f t="shared" si="1"/>
        <v>0</v>
      </c>
      <c r="D33" s="131" t="s">
        <v>47</v>
      </c>
      <c r="E33" s="131" t="s">
        <v>47</v>
      </c>
      <c r="F33" s="131" t="s">
        <v>47</v>
      </c>
      <c r="G33" s="129" t="s">
        <v>47</v>
      </c>
      <c r="H33" s="132" t="s">
        <v>47</v>
      </c>
      <c r="I33" s="133" t="s">
        <v>47</v>
      </c>
      <c r="J33" s="134"/>
      <c r="K33" s="135"/>
      <c r="L33" s="136">
        <f t="shared" si="2"/>
        <v>0</v>
      </c>
      <c r="M33" s="137" t="s">
        <v>47</v>
      </c>
      <c r="N33" s="138" t="s">
        <v>47</v>
      </c>
      <c r="O33" s="133" t="s">
        <v>47</v>
      </c>
      <c r="P33" s="85"/>
      <c r="R33" s="53"/>
      <c r="S33" s="53"/>
      <c r="T33" s="53"/>
    </row>
    <row r="34" spans="1:20" ht="24.75" hidden="1" thickTop="1" x14ac:dyDescent="0.25">
      <c r="A34" s="75">
        <v>21359</v>
      </c>
      <c r="B34" s="127" t="s">
        <v>53</v>
      </c>
      <c r="C34" s="279">
        <f t="shared" si="1"/>
        <v>0</v>
      </c>
      <c r="D34" s="131" t="s">
        <v>47</v>
      </c>
      <c r="E34" s="131" t="s">
        <v>47</v>
      </c>
      <c r="F34" s="131" t="s">
        <v>47</v>
      </c>
      <c r="G34" s="129" t="s">
        <v>47</v>
      </c>
      <c r="H34" s="132" t="s">
        <v>47</v>
      </c>
      <c r="I34" s="133" t="s">
        <v>47</v>
      </c>
      <c r="J34" s="134"/>
      <c r="K34" s="135"/>
      <c r="L34" s="136">
        <f t="shared" si="2"/>
        <v>0</v>
      </c>
      <c r="M34" s="137" t="s">
        <v>47</v>
      </c>
      <c r="N34" s="138" t="s">
        <v>47</v>
      </c>
      <c r="O34" s="133" t="s">
        <v>47</v>
      </c>
      <c r="P34" s="85"/>
      <c r="R34" s="53"/>
      <c r="S34" s="53"/>
      <c r="T34" s="53"/>
    </row>
    <row r="35" spans="1:20" s="41" customFormat="1" ht="36.75" hidden="1" thickTop="1" x14ac:dyDescent="0.25">
      <c r="A35" s="115">
        <v>21370</v>
      </c>
      <c r="B35" s="99" t="s">
        <v>54</v>
      </c>
      <c r="C35" s="249">
        <f t="shared" si="1"/>
        <v>0</v>
      </c>
      <c r="D35" s="111" t="s">
        <v>47</v>
      </c>
      <c r="E35" s="111" t="s">
        <v>47</v>
      </c>
      <c r="F35" s="111" t="s">
        <v>47</v>
      </c>
      <c r="G35" s="104" t="s">
        <v>47</v>
      </c>
      <c r="H35" s="105" t="s">
        <v>47</v>
      </c>
      <c r="I35" s="106" t="s">
        <v>47</v>
      </c>
      <c r="J35" s="112">
        <f>SUM(J36)</f>
        <v>0</v>
      </c>
      <c r="K35" s="113">
        <f>SUM(K36)</f>
        <v>0</v>
      </c>
      <c r="L35" s="114">
        <f t="shared" si="2"/>
        <v>0</v>
      </c>
      <c r="M35" s="107" t="s">
        <v>47</v>
      </c>
      <c r="N35" s="108" t="s">
        <v>47</v>
      </c>
      <c r="O35" s="106" t="s">
        <v>47</v>
      </c>
      <c r="P35" s="109"/>
      <c r="R35" s="53"/>
      <c r="S35" s="53"/>
      <c r="T35" s="53"/>
    </row>
    <row r="36" spans="1:20" ht="36.75" hidden="1" thickTop="1" x14ac:dyDescent="0.25">
      <c r="A36" s="141">
        <v>21379</v>
      </c>
      <c r="B36" s="142" t="s">
        <v>55</v>
      </c>
      <c r="C36" s="362">
        <f t="shared" si="1"/>
        <v>0</v>
      </c>
      <c r="D36" s="773" t="s">
        <v>47</v>
      </c>
      <c r="E36" s="773" t="s">
        <v>47</v>
      </c>
      <c r="F36" s="773" t="s">
        <v>47</v>
      </c>
      <c r="G36" s="144" t="s">
        <v>47</v>
      </c>
      <c r="H36" s="147" t="s">
        <v>47</v>
      </c>
      <c r="I36" s="148" t="s">
        <v>47</v>
      </c>
      <c r="J36" s="149"/>
      <c r="K36" s="150"/>
      <c r="L36" s="151">
        <f t="shared" si="2"/>
        <v>0</v>
      </c>
      <c r="M36" s="152" t="s">
        <v>47</v>
      </c>
      <c r="N36" s="145" t="s">
        <v>47</v>
      </c>
      <c r="O36" s="148" t="s">
        <v>47</v>
      </c>
      <c r="P36" s="153"/>
      <c r="R36" s="53"/>
      <c r="S36" s="53"/>
      <c r="T36" s="53"/>
    </row>
    <row r="37" spans="1:20" s="41" customFormat="1" ht="12.75" hidden="1" thickTop="1" x14ac:dyDescent="0.25">
      <c r="A37" s="115">
        <v>21380</v>
      </c>
      <c r="B37" s="99" t="s">
        <v>56</v>
      </c>
      <c r="C37" s="249">
        <f t="shared" si="1"/>
        <v>0</v>
      </c>
      <c r="D37" s="111" t="s">
        <v>47</v>
      </c>
      <c r="E37" s="111" t="s">
        <v>47</v>
      </c>
      <c r="F37" s="111" t="s">
        <v>47</v>
      </c>
      <c r="G37" s="104" t="s">
        <v>47</v>
      </c>
      <c r="H37" s="105" t="s">
        <v>47</v>
      </c>
      <c r="I37" s="106" t="s">
        <v>47</v>
      </c>
      <c r="J37" s="112">
        <f>SUM(J38:J39)</f>
        <v>0</v>
      </c>
      <c r="K37" s="113">
        <f>SUM(K38:K39)</f>
        <v>0</v>
      </c>
      <c r="L37" s="114">
        <f t="shared" si="2"/>
        <v>0</v>
      </c>
      <c r="M37" s="107" t="s">
        <v>47</v>
      </c>
      <c r="N37" s="108" t="s">
        <v>47</v>
      </c>
      <c r="O37" s="106" t="s">
        <v>47</v>
      </c>
      <c r="P37" s="109"/>
      <c r="R37" s="53"/>
      <c r="S37" s="53"/>
      <c r="T37" s="53"/>
    </row>
    <row r="38" spans="1:20" ht="12.75" hidden="1" thickTop="1" x14ac:dyDescent="0.25">
      <c r="A38" s="66">
        <v>21381</v>
      </c>
      <c r="B38" s="116" t="s">
        <v>57</v>
      </c>
      <c r="C38" s="296">
        <f t="shared" si="1"/>
        <v>0</v>
      </c>
      <c r="D38" s="155" t="s">
        <v>47</v>
      </c>
      <c r="E38" s="155" t="s">
        <v>47</v>
      </c>
      <c r="F38" s="155" t="s">
        <v>47</v>
      </c>
      <c r="G38" s="118" t="s">
        <v>47</v>
      </c>
      <c r="H38" s="121" t="s">
        <v>47</v>
      </c>
      <c r="I38" s="122" t="s">
        <v>47</v>
      </c>
      <c r="J38" s="123"/>
      <c r="K38" s="124"/>
      <c r="L38" s="125">
        <f t="shared" si="2"/>
        <v>0</v>
      </c>
      <c r="M38" s="126" t="s">
        <v>47</v>
      </c>
      <c r="N38" s="119" t="s">
        <v>47</v>
      </c>
      <c r="O38" s="122" t="s">
        <v>47</v>
      </c>
      <c r="P38" s="74"/>
      <c r="R38" s="53"/>
      <c r="S38" s="53"/>
      <c r="T38" s="53"/>
    </row>
    <row r="39" spans="1:20" ht="24.75" hidden="1" thickTop="1" x14ac:dyDescent="0.25">
      <c r="A39" s="76">
        <v>21383</v>
      </c>
      <c r="B39" s="127" t="s">
        <v>58</v>
      </c>
      <c r="C39" s="279">
        <f t="shared" si="1"/>
        <v>0</v>
      </c>
      <c r="D39" s="131" t="s">
        <v>47</v>
      </c>
      <c r="E39" s="131" t="s">
        <v>47</v>
      </c>
      <c r="F39" s="131" t="s">
        <v>47</v>
      </c>
      <c r="G39" s="129" t="s">
        <v>47</v>
      </c>
      <c r="H39" s="132" t="s">
        <v>47</v>
      </c>
      <c r="I39" s="133" t="s">
        <v>47</v>
      </c>
      <c r="J39" s="134"/>
      <c r="K39" s="135"/>
      <c r="L39" s="136">
        <f t="shared" si="2"/>
        <v>0</v>
      </c>
      <c r="M39" s="137" t="s">
        <v>47</v>
      </c>
      <c r="N39" s="138" t="s">
        <v>47</v>
      </c>
      <c r="O39" s="133" t="s">
        <v>47</v>
      </c>
      <c r="P39" s="85"/>
      <c r="R39" s="53"/>
      <c r="S39" s="53"/>
      <c r="T39" s="53"/>
    </row>
    <row r="40" spans="1:20" s="41" customFormat="1" ht="24.75" hidden="1" thickTop="1" x14ac:dyDescent="0.25">
      <c r="A40" s="115">
        <v>21390</v>
      </c>
      <c r="B40" s="99" t="s">
        <v>59</v>
      </c>
      <c r="C40" s="249">
        <f t="shared" si="1"/>
        <v>0</v>
      </c>
      <c r="D40" s="111" t="s">
        <v>47</v>
      </c>
      <c r="E40" s="111" t="s">
        <v>47</v>
      </c>
      <c r="F40" s="111" t="s">
        <v>47</v>
      </c>
      <c r="G40" s="104" t="s">
        <v>47</v>
      </c>
      <c r="H40" s="105" t="s">
        <v>47</v>
      </c>
      <c r="I40" s="106" t="s">
        <v>47</v>
      </c>
      <c r="J40" s="112">
        <f>SUM(J41:J44)</f>
        <v>0</v>
      </c>
      <c r="K40" s="113">
        <f>SUM(K41:K44)</f>
        <v>0</v>
      </c>
      <c r="L40" s="114">
        <f t="shared" si="2"/>
        <v>0</v>
      </c>
      <c r="M40" s="107" t="s">
        <v>47</v>
      </c>
      <c r="N40" s="108" t="s">
        <v>47</v>
      </c>
      <c r="O40" s="106" t="s">
        <v>47</v>
      </c>
      <c r="P40" s="109"/>
      <c r="R40" s="53"/>
      <c r="S40" s="53"/>
      <c r="T40" s="53"/>
    </row>
    <row r="41" spans="1:20" ht="24.75" hidden="1" thickTop="1" x14ac:dyDescent="0.25">
      <c r="A41" s="66">
        <v>21391</v>
      </c>
      <c r="B41" s="116" t="s">
        <v>60</v>
      </c>
      <c r="C41" s="296">
        <f t="shared" si="1"/>
        <v>0</v>
      </c>
      <c r="D41" s="155" t="s">
        <v>47</v>
      </c>
      <c r="E41" s="155" t="s">
        <v>47</v>
      </c>
      <c r="F41" s="155" t="s">
        <v>47</v>
      </c>
      <c r="G41" s="118" t="s">
        <v>47</v>
      </c>
      <c r="H41" s="121" t="s">
        <v>47</v>
      </c>
      <c r="I41" s="122" t="s">
        <v>47</v>
      </c>
      <c r="J41" s="123"/>
      <c r="K41" s="124"/>
      <c r="L41" s="125">
        <f t="shared" si="2"/>
        <v>0</v>
      </c>
      <c r="M41" s="126" t="s">
        <v>47</v>
      </c>
      <c r="N41" s="119" t="s">
        <v>47</v>
      </c>
      <c r="O41" s="122" t="s">
        <v>47</v>
      </c>
      <c r="P41" s="74"/>
      <c r="R41" s="53"/>
      <c r="S41" s="53"/>
      <c r="T41" s="53"/>
    </row>
    <row r="42" spans="1:20" ht="12.75" hidden="1" thickTop="1" x14ac:dyDescent="0.25">
      <c r="A42" s="76">
        <v>21393</v>
      </c>
      <c r="B42" s="127" t="s">
        <v>61</v>
      </c>
      <c r="C42" s="279">
        <f t="shared" si="1"/>
        <v>0</v>
      </c>
      <c r="D42" s="131" t="s">
        <v>47</v>
      </c>
      <c r="E42" s="131" t="s">
        <v>47</v>
      </c>
      <c r="F42" s="131" t="s">
        <v>47</v>
      </c>
      <c r="G42" s="129" t="s">
        <v>47</v>
      </c>
      <c r="H42" s="132" t="s">
        <v>47</v>
      </c>
      <c r="I42" s="133" t="s">
        <v>47</v>
      </c>
      <c r="J42" s="134"/>
      <c r="K42" s="135"/>
      <c r="L42" s="136">
        <f t="shared" si="2"/>
        <v>0</v>
      </c>
      <c r="M42" s="137" t="s">
        <v>47</v>
      </c>
      <c r="N42" s="138" t="s">
        <v>47</v>
      </c>
      <c r="O42" s="133" t="s">
        <v>47</v>
      </c>
      <c r="P42" s="85"/>
      <c r="R42" s="53"/>
      <c r="S42" s="53"/>
      <c r="T42" s="53"/>
    </row>
    <row r="43" spans="1:20" ht="12.75" hidden="1" thickTop="1" x14ac:dyDescent="0.25">
      <c r="A43" s="76">
        <v>21395</v>
      </c>
      <c r="B43" s="127" t="s">
        <v>62</v>
      </c>
      <c r="C43" s="279">
        <f t="shared" si="1"/>
        <v>0</v>
      </c>
      <c r="D43" s="131" t="s">
        <v>47</v>
      </c>
      <c r="E43" s="131" t="s">
        <v>47</v>
      </c>
      <c r="F43" s="131" t="s">
        <v>47</v>
      </c>
      <c r="G43" s="129" t="s">
        <v>47</v>
      </c>
      <c r="H43" s="132" t="s">
        <v>47</v>
      </c>
      <c r="I43" s="133" t="s">
        <v>47</v>
      </c>
      <c r="J43" s="134"/>
      <c r="K43" s="135"/>
      <c r="L43" s="136">
        <f t="shared" si="2"/>
        <v>0</v>
      </c>
      <c r="M43" s="137" t="s">
        <v>47</v>
      </c>
      <c r="N43" s="138" t="s">
        <v>47</v>
      </c>
      <c r="O43" s="133" t="s">
        <v>47</v>
      </c>
      <c r="P43" s="85"/>
      <c r="R43" s="53"/>
      <c r="S43" s="53"/>
      <c r="T43" s="53"/>
    </row>
    <row r="44" spans="1:20" ht="24.75" hidden="1" thickTop="1" x14ac:dyDescent="0.25">
      <c r="A44" s="76">
        <v>21399</v>
      </c>
      <c r="B44" s="127" t="s">
        <v>63</v>
      </c>
      <c r="C44" s="279">
        <f t="shared" si="1"/>
        <v>0</v>
      </c>
      <c r="D44" s="131" t="s">
        <v>47</v>
      </c>
      <c r="E44" s="131" t="s">
        <v>47</v>
      </c>
      <c r="F44" s="131" t="s">
        <v>47</v>
      </c>
      <c r="G44" s="129" t="s">
        <v>47</v>
      </c>
      <c r="H44" s="132" t="s">
        <v>47</v>
      </c>
      <c r="I44" s="133" t="s">
        <v>47</v>
      </c>
      <c r="J44" s="134"/>
      <c r="K44" s="135"/>
      <c r="L44" s="136">
        <f t="shared" si="2"/>
        <v>0</v>
      </c>
      <c r="M44" s="137" t="s">
        <v>47</v>
      </c>
      <c r="N44" s="138" t="s">
        <v>47</v>
      </c>
      <c r="O44" s="133" t="s">
        <v>47</v>
      </c>
      <c r="P44" s="85"/>
      <c r="R44" s="53"/>
      <c r="S44" s="53"/>
      <c r="T44" s="53"/>
    </row>
    <row r="45" spans="1:20" s="41" customFormat="1" ht="24.75" hidden="1" thickTop="1" x14ac:dyDescent="0.25">
      <c r="A45" s="115">
        <v>21420</v>
      </c>
      <c r="B45" s="99" t="s">
        <v>64</v>
      </c>
      <c r="C45" s="634">
        <f>F45</f>
        <v>0</v>
      </c>
      <c r="D45" s="970"/>
      <c r="E45" s="970"/>
      <c r="F45" s="634">
        <f>D45+E45</f>
        <v>0</v>
      </c>
      <c r="G45" s="104" t="s">
        <v>47</v>
      </c>
      <c r="H45" s="105" t="s">
        <v>47</v>
      </c>
      <c r="I45" s="106" t="s">
        <v>47</v>
      </c>
      <c r="J45" s="104" t="s">
        <v>47</v>
      </c>
      <c r="K45" s="105" t="s">
        <v>47</v>
      </c>
      <c r="L45" s="106" t="s">
        <v>47</v>
      </c>
      <c r="M45" s="107" t="s">
        <v>47</v>
      </c>
      <c r="N45" s="108" t="s">
        <v>47</v>
      </c>
      <c r="O45" s="106" t="s">
        <v>47</v>
      </c>
      <c r="P45" s="109"/>
      <c r="R45" s="53"/>
      <c r="S45" s="53"/>
      <c r="T45" s="53"/>
    </row>
    <row r="46" spans="1:20" s="41" customFormat="1" ht="24.75" hidden="1" thickTop="1" x14ac:dyDescent="0.25">
      <c r="A46" s="159">
        <v>21490</v>
      </c>
      <c r="B46" s="160" t="s">
        <v>65</v>
      </c>
      <c r="C46" s="634">
        <f>F46+I46+L46</f>
        <v>0</v>
      </c>
      <c r="D46" s="774">
        <f>D47</f>
        <v>0</v>
      </c>
      <c r="E46" s="774">
        <f>E47</f>
        <v>0</v>
      </c>
      <c r="F46" s="774">
        <f>D46+E46</f>
        <v>0</v>
      </c>
      <c r="G46" s="161">
        <f>G47</f>
        <v>0</v>
      </c>
      <c r="H46" s="164">
        <f>H47</f>
        <v>0</v>
      </c>
      <c r="I46" s="165">
        <f>G46+H46</f>
        <v>0</v>
      </c>
      <c r="J46" s="161">
        <f>J47</f>
        <v>0</v>
      </c>
      <c r="K46" s="164">
        <f>K47</f>
        <v>0</v>
      </c>
      <c r="L46" s="165">
        <f>J46+K46</f>
        <v>0</v>
      </c>
      <c r="M46" s="107" t="s">
        <v>47</v>
      </c>
      <c r="N46" s="108" t="s">
        <v>47</v>
      </c>
      <c r="O46" s="106" t="s">
        <v>47</v>
      </c>
      <c r="P46" s="109"/>
      <c r="R46" s="53"/>
      <c r="S46" s="53"/>
      <c r="T46" s="53"/>
    </row>
    <row r="47" spans="1:20" s="41" customFormat="1" ht="24.75" hidden="1" thickTop="1" x14ac:dyDescent="0.25">
      <c r="A47" s="76">
        <v>21499</v>
      </c>
      <c r="B47" s="127" t="s">
        <v>66</v>
      </c>
      <c r="C47" s="638">
        <f>F47+I47+L47</f>
        <v>0</v>
      </c>
      <c r="D47" s="967"/>
      <c r="E47" s="967"/>
      <c r="F47" s="625">
        <f>D47+E47</f>
        <v>0</v>
      </c>
      <c r="G47" s="167"/>
      <c r="H47" s="71"/>
      <c r="I47" s="72">
        <f>G47+H47</f>
        <v>0</v>
      </c>
      <c r="J47" s="68"/>
      <c r="K47" s="71"/>
      <c r="L47" s="72">
        <f>J47+K47</f>
        <v>0</v>
      </c>
      <c r="M47" s="152" t="s">
        <v>47</v>
      </c>
      <c r="N47" s="145" t="s">
        <v>47</v>
      </c>
      <c r="O47" s="148" t="s">
        <v>47</v>
      </c>
      <c r="P47" s="153"/>
      <c r="R47" s="53"/>
      <c r="S47" s="53"/>
      <c r="T47" s="53"/>
    </row>
    <row r="48" spans="1:20" ht="24.75" hidden="1" thickTop="1" x14ac:dyDescent="0.25">
      <c r="A48" s="168">
        <v>23000</v>
      </c>
      <c r="B48" s="169" t="s">
        <v>67</v>
      </c>
      <c r="C48" s="634">
        <f>O48</f>
        <v>0</v>
      </c>
      <c r="D48" s="907" t="s">
        <v>47</v>
      </c>
      <c r="E48" s="907" t="s">
        <v>47</v>
      </c>
      <c r="F48" s="907" t="s">
        <v>47</v>
      </c>
      <c r="G48" s="170" t="s">
        <v>47</v>
      </c>
      <c r="H48" s="173" t="s">
        <v>47</v>
      </c>
      <c r="I48" s="174" t="s">
        <v>47</v>
      </c>
      <c r="J48" s="170" t="s">
        <v>47</v>
      </c>
      <c r="K48" s="173" t="s">
        <v>47</v>
      </c>
      <c r="L48" s="174" t="s">
        <v>47</v>
      </c>
      <c r="M48" s="175">
        <f>SUM(M49:M50)</f>
        <v>0</v>
      </c>
      <c r="N48" s="176">
        <f>SUM(N49:N50)</f>
        <v>0</v>
      </c>
      <c r="O48" s="177">
        <f>M48+N48</f>
        <v>0</v>
      </c>
      <c r="P48" s="109"/>
      <c r="R48" s="53"/>
      <c r="S48" s="53"/>
      <c r="T48" s="53"/>
    </row>
    <row r="49" spans="1:20" ht="24.75" hidden="1" thickTop="1" x14ac:dyDescent="0.25">
      <c r="A49" s="178">
        <v>23410</v>
      </c>
      <c r="B49" s="179" t="s">
        <v>68</v>
      </c>
      <c r="C49" s="194">
        <f>O49</f>
        <v>0</v>
      </c>
      <c r="D49" s="908" t="s">
        <v>47</v>
      </c>
      <c r="E49" s="908" t="s">
        <v>47</v>
      </c>
      <c r="F49" s="908" t="s">
        <v>47</v>
      </c>
      <c r="G49" s="181" t="s">
        <v>47</v>
      </c>
      <c r="H49" s="184" t="s">
        <v>47</v>
      </c>
      <c r="I49" s="185" t="s">
        <v>47</v>
      </c>
      <c r="J49" s="181" t="s">
        <v>47</v>
      </c>
      <c r="K49" s="184" t="s">
        <v>47</v>
      </c>
      <c r="L49" s="185" t="s">
        <v>47</v>
      </c>
      <c r="M49" s="186"/>
      <c r="N49" s="187"/>
      <c r="O49" s="188">
        <f>M49+N49</f>
        <v>0</v>
      </c>
      <c r="P49" s="189"/>
      <c r="R49" s="53"/>
      <c r="S49" s="53"/>
      <c r="T49" s="53"/>
    </row>
    <row r="50" spans="1:20" ht="24.75" hidden="1" thickTop="1" x14ac:dyDescent="0.25">
      <c r="A50" s="178">
        <v>23510</v>
      </c>
      <c r="B50" s="179" t="s">
        <v>69</v>
      </c>
      <c r="C50" s="194">
        <f>O50</f>
        <v>0</v>
      </c>
      <c r="D50" s="908" t="s">
        <v>47</v>
      </c>
      <c r="E50" s="908" t="s">
        <v>47</v>
      </c>
      <c r="F50" s="908" t="s">
        <v>47</v>
      </c>
      <c r="G50" s="181" t="s">
        <v>47</v>
      </c>
      <c r="H50" s="184" t="s">
        <v>47</v>
      </c>
      <c r="I50" s="185" t="s">
        <v>47</v>
      </c>
      <c r="J50" s="181" t="s">
        <v>47</v>
      </c>
      <c r="K50" s="184" t="s">
        <v>47</v>
      </c>
      <c r="L50" s="185" t="s">
        <v>47</v>
      </c>
      <c r="M50" s="186"/>
      <c r="N50" s="187"/>
      <c r="O50" s="188">
        <f>M50+N50</f>
        <v>0</v>
      </c>
      <c r="P50" s="189"/>
      <c r="R50" s="53"/>
      <c r="S50" s="53"/>
      <c r="T50" s="53"/>
    </row>
    <row r="51" spans="1:20" ht="12.75" thickTop="1" x14ac:dyDescent="0.25">
      <c r="A51" s="190"/>
      <c r="B51" s="179"/>
      <c r="C51" s="257"/>
      <c r="D51" s="971"/>
      <c r="E51" s="971"/>
      <c r="F51" s="194"/>
      <c r="G51" s="192"/>
      <c r="H51" s="195"/>
      <c r="I51" s="185"/>
      <c r="J51" s="196"/>
      <c r="K51" s="197"/>
      <c r="L51" s="188"/>
      <c r="M51" s="186"/>
      <c r="N51" s="187"/>
      <c r="O51" s="188"/>
      <c r="P51" s="189"/>
      <c r="R51" s="53"/>
      <c r="S51" s="53"/>
      <c r="T51" s="53"/>
    </row>
    <row r="52" spans="1:20" s="41" customFormat="1" x14ac:dyDescent="0.25">
      <c r="A52" s="198"/>
      <c r="B52" s="199" t="s">
        <v>70</v>
      </c>
      <c r="C52" s="640"/>
      <c r="D52" s="972"/>
      <c r="E52" s="972"/>
      <c r="F52" s="203"/>
      <c r="G52" s="201"/>
      <c r="H52" s="204"/>
      <c r="I52" s="205"/>
      <c r="J52" s="201"/>
      <c r="K52" s="204"/>
      <c r="L52" s="205"/>
      <c r="M52" s="206"/>
      <c r="N52" s="207"/>
      <c r="O52" s="205"/>
      <c r="P52" s="208"/>
      <c r="R52" s="53"/>
      <c r="S52" s="53"/>
      <c r="T52" s="53"/>
    </row>
    <row r="53" spans="1:20" s="41" customFormat="1" ht="12.75" thickBot="1" x14ac:dyDescent="0.3">
      <c r="A53" s="209"/>
      <c r="B53" s="42" t="s">
        <v>71</v>
      </c>
      <c r="C53" s="213">
        <f t="shared" ref="C53:C116" si="3">F53+I53+L53+O53</f>
        <v>292239</v>
      </c>
      <c r="D53" s="213">
        <f>SUM(D54,D284)</f>
        <v>276351</v>
      </c>
      <c r="E53" s="213">
        <f>SUM(E54,E284)</f>
        <v>0</v>
      </c>
      <c r="F53" s="213">
        <f t="shared" ref="F53:F116" si="4">D53+E53</f>
        <v>276351</v>
      </c>
      <c r="G53" s="211">
        <f>SUM(G54,G284)</f>
        <v>15366</v>
      </c>
      <c r="H53" s="214">
        <f>SUM(H54,H284)</f>
        <v>0</v>
      </c>
      <c r="I53" s="215">
        <f t="shared" ref="I53:I116" si="5">G53+H53</f>
        <v>15366</v>
      </c>
      <c r="J53" s="211">
        <f>SUM(J54,J284)</f>
        <v>522</v>
      </c>
      <c r="K53" s="214">
        <f>SUM(K54,K284)</f>
        <v>0</v>
      </c>
      <c r="L53" s="215">
        <f t="shared" ref="L53:L116" si="6">J53+K53</f>
        <v>522</v>
      </c>
      <c r="M53" s="216">
        <f>SUM(M54,M284)</f>
        <v>0</v>
      </c>
      <c r="N53" s="217">
        <f>SUM(N54,N284)</f>
        <v>0</v>
      </c>
      <c r="O53" s="215">
        <f t="shared" ref="O53:O116" si="7">M53+N53</f>
        <v>0</v>
      </c>
      <c r="P53" s="52"/>
      <c r="R53" s="53"/>
      <c r="S53" s="53"/>
      <c r="T53" s="53"/>
    </row>
    <row r="54" spans="1:20" s="41" customFormat="1" ht="36.75" thickTop="1" x14ac:dyDescent="0.25">
      <c r="A54" s="218"/>
      <c r="B54" s="219" t="s">
        <v>72</v>
      </c>
      <c r="C54" s="223">
        <f t="shared" si="3"/>
        <v>292239</v>
      </c>
      <c r="D54" s="223">
        <f>SUM(D55,D197)</f>
        <v>276351</v>
      </c>
      <c r="E54" s="223">
        <f>SUM(E55,E197)</f>
        <v>0</v>
      </c>
      <c r="F54" s="223">
        <f t="shared" si="4"/>
        <v>276351</v>
      </c>
      <c r="G54" s="221">
        <f>SUM(G55,G197)</f>
        <v>15366</v>
      </c>
      <c r="H54" s="224">
        <f>SUM(H55,H197)</f>
        <v>0</v>
      </c>
      <c r="I54" s="225">
        <f t="shared" si="5"/>
        <v>15366</v>
      </c>
      <c r="J54" s="221">
        <f>SUM(J55,J197)</f>
        <v>522</v>
      </c>
      <c r="K54" s="224">
        <f>SUM(K55,K197)</f>
        <v>0</v>
      </c>
      <c r="L54" s="225">
        <f t="shared" si="6"/>
        <v>522</v>
      </c>
      <c r="M54" s="226">
        <f>SUM(M55,M197)</f>
        <v>0</v>
      </c>
      <c r="N54" s="227">
        <f>SUM(N55,N197)</f>
        <v>0</v>
      </c>
      <c r="O54" s="225">
        <f t="shared" si="7"/>
        <v>0</v>
      </c>
      <c r="P54" s="228"/>
      <c r="R54" s="53"/>
      <c r="S54" s="53"/>
      <c r="T54" s="53"/>
    </row>
    <row r="55" spans="1:20" s="41" customFormat="1" ht="24" x14ac:dyDescent="0.25">
      <c r="A55" s="35"/>
      <c r="B55" s="30" t="s">
        <v>73</v>
      </c>
      <c r="C55" s="232">
        <f t="shared" si="3"/>
        <v>290352</v>
      </c>
      <c r="D55" s="232">
        <f>SUM(D56,D78,D176,D190)</f>
        <v>274614</v>
      </c>
      <c r="E55" s="232">
        <f>SUM(E56,E78,E176,E190)</f>
        <v>0</v>
      </c>
      <c r="F55" s="232">
        <f t="shared" si="4"/>
        <v>274614</v>
      </c>
      <c r="G55" s="230">
        <f>SUM(G56,G78,G176,G190)</f>
        <v>15216</v>
      </c>
      <c r="H55" s="233">
        <f>SUM(H56,H78,H176,H190)</f>
        <v>0</v>
      </c>
      <c r="I55" s="234">
        <f t="shared" si="5"/>
        <v>15216</v>
      </c>
      <c r="J55" s="230">
        <f>SUM(J56,J78,J176,J190)</f>
        <v>522</v>
      </c>
      <c r="K55" s="233">
        <f>SUM(K56,K78,K176,K190)</f>
        <v>0</v>
      </c>
      <c r="L55" s="234">
        <f t="shared" si="6"/>
        <v>522</v>
      </c>
      <c r="M55" s="53">
        <f>SUM(M56,M78,M176,M190)</f>
        <v>0</v>
      </c>
      <c r="N55" s="235">
        <f>SUM(N56,N78,N176,N190)</f>
        <v>0</v>
      </c>
      <c r="O55" s="234">
        <f t="shared" si="7"/>
        <v>0</v>
      </c>
      <c r="P55" s="236"/>
      <c r="R55" s="53"/>
      <c r="S55" s="53"/>
      <c r="T55" s="53"/>
    </row>
    <row r="56" spans="1:20" s="41" customFormat="1" x14ac:dyDescent="0.25">
      <c r="A56" s="237">
        <v>1000</v>
      </c>
      <c r="B56" s="237" t="s">
        <v>74</v>
      </c>
      <c r="C56" s="241">
        <f t="shared" si="3"/>
        <v>252271</v>
      </c>
      <c r="D56" s="241">
        <f>SUM(D57,D70)</f>
        <v>237397</v>
      </c>
      <c r="E56" s="241">
        <f>SUM(E57,E70)</f>
        <v>0</v>
      </c>
      <c r="F56" s="241">
        <f t="shared" si="4"/>
        <v>237397</v>
      </c>
      <c r="G56" s="239">
        <f>SUM(G57,G70)</f>
        <v>14874</v>
      </c>
      <c r="H56" s="242">
        <f>SUM(H57,H70)</f>
        <v>0</v>
      </c>
      <c r="I56" s="243">
        <f t="shared" si="5"/>
        <v>14874</v>
      </c>
      <c r="J56" s="239">
        <f>SUM(J57,J70)</f>
        <v>0</v>
      </c>
      <c r="K56" s="242">
        <f>SUM(K57,K70)</f>
        <v>0</v>
      </c>
      <c r="L56" s="243">
        <f t="shared" si="6"/>
        <v>0</v>
      </c>
      <c r="M56" s="244">
        <f>SUM(M57,M70)</f>
        <v>0</v>
      </c>
      <c r="N56" s="245">
        <f>SUM(N57,N70)</f>
        <v>0</v>
      </c>
      <c r="O56" s="243">
        <f t="shared" si="7"/>
        <v>0</v>
      </c>
      <c r="P56" s="246"/>
      <c r="R56" s="53"/>
      <c r="S56" s="53"/>
      <c r="T56" s="53"/>
    </row>
    <row r="57" spans="1:20" x14ac:dyDescent="0.25">
      <c r="A57" s="99">
        <v>1100</v>
      </c>
      <c r="B57" s="247" t="s">
        <v>75</v>
      </c>
      <c r="C57" s="249">
        <f t="shared" si="3"/>
        <v>191723</v>
      </c>
      <c r="D57" s="249">
        <f>SUM(D58,D61,D69)</f>
        <v>180163</v>
      </c>
      <c r="E57" s="249">
        <f>SUM(E58,E61,E69)</f>
        <v>0</v>
      </c>
      <c r="F57" s="249">
        <f t="shared" si="4"/>
        <v>180163</v>
      </c>
      <c r="G57" s="112">
        <f>SUM(G58,G61,G69)</f>
        <v>11798</v>
      </c>
      <c r="H57" s="113">
        <f>SUM(H58,H61,H69)</f>
        <v>-238</v>
      </c>
      <c r="I57" s="114">
        <f t="shared" si="5"/>
        <v>11560</v>
      </c>
      <c r="J57" s="112">
        <f>SUM(J58,J61,J69)</f>
        <v>0</v>
      </c>
      <c r="K57" s="113">
        <f>SUM(K58,K61,K69)</f>
        <v>0</v>
      </c>
      <c r="L57" s="114">
        <f t="shared" si="6"/>
        <v>0</v>
      </c>
      <c r="M57" s="250">
        <f>SUM(M58,M61,M69)</f>
        <v>0</v>
      </c>
      <c r="N57" s="251">
        <f>SUM(N58,N61,N69)</f>
        <v>0</v>
      </c>
      <c r="O57" s="252">
        <f t="shared" si="7"/>
        <v>0</v>
      </c>
      <c r="P57" s="253"/>
      <c r="R57" s="53"/>
      <c r="S57" s="53"/>
      <c r="T57" s="53"/>
    </row>
    <row r="58" spans="1:20" x14ac:dyDescent="0.25">
      <c r="A58" s="254">
        <v>1110</v>
      </c>
      <c r="B58" s="179" t="s">
        <v>76</v>
      </c>
      <c r="C58" s="257">
        <f t="shared" si="3"/>
        <v>169848</v>
      </c>
      <c r="D58" s="257">
        <f>SUM(D59:D60)</f>
        <v>158824</v>
      </c>
      <c r="E58" s="257">
        <f>SUM(E59:E60)</f>
        <v>0</v>
      </c>
      <c r="F58" s="257">
        <f t="shared" si="4"/>
        <v>158824</v>
      </c>
      <c r="G58" s="255">
        <f>SUM(G59:G60)</f>
        <v>11091</v>
      </c>
      <c r="H58" s="258">
        <f>SUM(H59:H60)</f>
        <v>-67</v>
      </c>
      <c r="I58" s="259">
        <f t="shared" si="5"/>
        <v>11024</v>
      </c>
      <c r="J58" s="255">
        <f>SUM(J59:J60)</f>
        <v>0</v>
      </c>
      <c r="K58" s="258">
        <f>SUM(K59:K60)</f>
        <v>0</v>
      </c>
      <c r="L58" s="259">
        <f t="shared" si="6"/>
        <v>0</v>
      </c>
      <c r="M58" s="260">
        <f>SUM(M59:M60)</f>
        <v>0</v>
      </c>
      <c r="N58" s="261">
        <f>SUM(N59:N60)</f>
        <v>0</v>
      </c>
      <c r="O58" s="259">
        <f t="shared" si="7"/>
        <v>0</v>
      </c>
      <c r="P58" s="189"/>
      <c r="R58" s="53"/>
      <c r="S58" s="53"/>
      <c r="T58" s="53"/>
    </row>
    <row r="59" spans="1:20" hidden="1" x14ac:dyDescent="0.25">
      <c r="A59" s="66">
        <v>1111</v>
      </c>
      <c r="B59" s="116" t="s">
        <v>77</v>
      </c>
      <c r="C59" s="296">
        <f t="shared" si="3"/>
        <v>0</v>
      </c>
      <c r="D59" s="973"/>
      <c r="E59" s="973"/>
      <c r="F59" s="296">
        <f t="shared" si="4"/>
        <v>0</v>
      </c>
      <c r="G59" s="123"/>
      <c r="H59" s="124"/>
      <c r="I59" s="125">
        <f t="shared" si="5"/>
        <v>0</v>
      </c>
      <c r="J59" s="123"/>
      <c r="K59" s="124"/>
      <c r="L59" s="125">
        <f t="shared" si="6"/>
        <v>0</v>
      </c>
      <c r="M59" s="264"/>
      <c r="N59" s="262"/>
      <c r="O59" s="125">
        <f t="shared" si="7"/>
        <v>0</v>
      </c>
      <c r="P59" s="74"/>
      <c r="R59" s="53"/>
      <c r="S59" s="53"/>
      <c r="T59" s="53"/>
    </row>
    <row r="60" spans="1:20" ht="24" x14ac:dyDescent="0.25">
      <c r="A60" s="76">
        <v>1119</v>
      </c>
      <c r="B60" s="127" t="s">
        <v>78</v>
      </c>
      <c r="C60" s="279">
        <f t="shared" si="3"/>
        <v>169848</v>
      </c>
      <c r="D60" s="474">
        <f>152115+6955-246</f>
        <v>158824</v>
      </c>
      <c r="E60" s="474"/>
      <c r="F60" s="279">
        <f t="shared" si="4"/>
        <v>158824</v>
      </c>
      <c r="G60" s="134">
        <f>8060+3031</f>
        <v>11091</v>
      </c>
      <c r="H60" s="135">
        <v>-67</v>
      </c>
      <c r="I60" s="136">
        <f t="shared" si="5"/>
        <v>11024</v>
      </c>
      <c r="J60" s="134"/>
      <c r="K60" s="135"/>
      <c r="L60" s="136">
        <f t="shared" si="6"/>
        <v>0</v>
      </c>
      <c r="M60" s="284"/>
      <c r="N60" s="285"/>
      <c r="O60" s="136">
        <f t="shared" si="7"/>
        <v>0</v>
      </c>
      <c r="P60" s="771" t="s">
        <v>1150</v>
      </c>
      <c r="R60" s="53"/>
      <c r="S60" s="53"/>
      <c r="T60" s="53"/>
    </row>
    <row r="61" spans="1:20" ht="24" x14ac:dyDescent="0.25">
      <c r="A61" s="276">
        <v>1140</v>
      </c>
      <c r="B61" s="127" t="s">
        <v>79</v>
      </c>
      <c r="C61" s="279">
        <f t="shared" si="3"/>
        <v>20600</v>
      </c>
      <c r="D61" s="279">
        <f>SUM(D62:D68)</f>
        <v>20064</v>
      </c>
      <c r="E61" s="279">
        <f>SUM(E62:E68)</f>
        <v>0</v>
      </c>
      <c r="F61" s="279">
        <f t="shared" si="4"/>
        <v>20064</v>
      </c>
      <c r="G61" s="277">
        <f>SUM(G62:G68)</f>
        <v>707</v>
      </c>
      <c r="H61" s="280">
        <f>SUM(H62:H68)</f>
        <v>-171</v>
      </c>
      <c r="I61" s="136">
        <f t="shared" si="5"/>
        <v>536</v>
      </c>
      <c r="J61" s="277">
        <f>SUM(J62:J68)</f>
        <v>0</v>
      </c>
      <c r="K61" s="280">
        <f>SUM(K62:K68)</f>
        <v>0</v>
      </c>
      <c r="L61" s="136">
        <f t="shared" si="6"/>
        <v>0</v>
      </c>
      <c r="M61" s="281">
        <f>SUM(M62:M68)</f>
        <v>0</v>
      </c>
      <c r="N61" s="282">
        <f>SUM(N62:N68)</f>
        <v>0</v>
      </c>
      <c r="O61" s="136">
        <f t="shared" si="7"/>
        <v>0</v>
      </c>
      <c r="P61" s="85"/>
      <c r="R61" s="53"/>
      <c r="S61" s="53"/>
      <c r="T61" s="53"/>
    </row>
    <row r="62" spans="1:20" x14ac:dyDescent="0.25">
      <c r="A62" s="76">
        <v>1141</v>
      </c>
      <c r="B62" s="127" t="s">
        <v>80</v>
      </c>
      <c r="C62" s="279">
        <f t="shared" si="3"/>
        <v>3748</v>
      </c>
      <c r="D62" s="474">
        <v>3748</v>
      </c>
      <c r="E62" s="474"/>
      <c r="F62" s="279">
        <f t="shared" si="4"/>
        <v>3748</v>
      </c>
      <c r="G62" s="134"/>
      <c r="H62" s="135"/>
      <c r="I62" s="136">
        <f t="shared" si="5"/>
        <v>0</v>
      </c>
      <c r="J62" s="134"/>
      <c r="K62" s="135"/>
      <c r="L62" s="136">
        <f t="shared" si="6"/>
        <v>0</v>
      </c>
      <c r="M62" s="284"/>
      <c r="N62" s="285"/>
      <c r="O62" s="136">
        <f t="shared" si="7"/>
        <v>0</v>
      </c>
      <c r="P62" s="85"/>
      <c r="R62" s="53"/>
      <c r="S62" s="53"/>
      <c r="T62" s="53"/>
    </row>
    <row r="63" spans="1:20" ht="24" x14ac:dyDescent="0.25">
      <c r="A63" s="76">
        <v>1142</v>
      </c>
      <c r="B63" s="127" t="s">
        <v>81</v>
      </c>
      <c r="C63" s="279">
        <f t="shared" si="3"/>
        <v>922</v>
      </c>
      <c r="D63" s="474">
        <v>922</v>
      </c>
      <c r="E63" s="474"/>
      <c r="F63" s="279">
        <f t="shared" si="4"/>
        <v>922</v>
      </c>
      <c r="G63" s="134"/>
      <c r="H63" s="135"/>
      <c r="I63" s="136">
        <f t="shared" si="5"/>
        <v>0</v>
      </c>
      <c r="J63" s="134"/>
      <c r="K63" s="135"/>
      <c r="L63" s="136">
        <f t="shared" si="6"/>
        <v>0</v>
      </c>
      <c r="M63" s="284"/>
      <c r="N63" s="285"/>
      <c r="O63" s="136">
        <f t="shared" si="7"/>
        <v>0</v>
      </c>
      <c r="P63" s="85"/>
      <c r="R63" s="53"/>
      <c r="S63" s="53"/>
      <c r="T63" s="53"/>
    </row>
    <row r="64" spans="1:20" ht="24" hidden="1" x14ac:dyDescent="0.25">
      <c r="A64" s="76">
        <v>1145</v>
      </c>
      <c r="B64" s="127" t="s">
        <v>82</v>
      </c>
      <c r="C64" s="279">
        <f t="shared" si="3"/>
        <v>0</v>
      </c>
      <c r="D64" s="474"/>
      <c r="E64" s="474"/>
      <c r="F64" s="279">
        <f t="shared" si="4"/>
        <v>0</v>
      </c>
      <c r="G64" s="134"/>
      <c r="H64" s="135"/>
      <c r="I64" s="136">
        <f t="shared" si="5"/>
        <v>0</v>
      </c>
      <c r="J64" s="134"/>
      <c r="K64" s="135"/>
      <c r="L64" s="136">
        <f t="shared" si="6"/>
        <v>0</v>
      </c>
      <c r="M64" s="284"/>
      <c r="N64" s="285"/>
      <c r="O64" s="136">
        <f t="shared" si="7"/>
        <v>0</v>
      </c>
      <c r="P64" s="85"/>
      <c r="R64" s="53"/>
      <c r="S64" s="53"/>
      <c r="T64" s="53"/>
    </row>
    <row r="65" spans="1:20" ht="24" hidden="1" x14ac:dyDescent="0.25">
      <c r="A65" s="76">
        <v>1146</v>
      </c>
      <c r="B65" s="127" t="s">
        <v>83</v>
      </c>
      <c r="C65" s="279">
        <f t="shared" si="3"/>
        <v>0</v>
      </c>
      <c r="D65" s="474"/>
      <c r="E65" s="474"/>
      <c r="F65" s="279">
        <f t="shared" si="4"/>
        <v>0</v>
      </c>
      <c r="G65" s="134"/>
      <c r="H65" s="135"/>
      <c r="I65" s="136">
        <f t="shared" si="5"/>
        <v>0</v>
      </c>
      <c r="J65" s="134"/>
      <c r="K65" s="135"/>
      <c r="L65" s="136">
        <f t="shared" si="6"/>
        <v>0</v>
      </c>
      <c r="M65" s="284"/>
      <c r="N65" s="285"/>
      <c r="O65" s="136">
        <f t="shared" si="7"/>
        <v>0</v>
      </c>
      <c r="P65" s="85"/>
      <c r="R65" s="53"/>
      <c r="S65" s="53"/>
      <c r="T65" s="53"/>
    </row>
    <row r="66" spans="1:20" x14ac:dyDescent="0.25">
      <c r="A66" s="76">
        <v>1147</v>
      </c>
      <c r="B66" s="127" t="s">
        <v>84</v>
      </c>
      <c r="C66" s="279">
        <f t="shared" si="3"/>
        <v>1583</v>
      </c>
      <c r="D66" s="474">
        <v>1583</v>
      </c>
      <c r="E66" s="474"/>
      <c r="F66" s="279">
        <f t="shared" si="4"/>
        <v>1583</v>
      </c>
      <c r="G66" s="134"/>
      <c r="H66" s="135"/>
      <c r="I66" s="136">
        <f t="shared" si="5"/>
        <v>0</v>
      </c>
      <c r="J66" s="134"/>
      <c r="K66" s="135"/>
      <c r="L66" s="136">
        <f t="shared" si="6"/>
        <v>0</v>
      </c>
      <c r="M66" s="284"/>
      <c r="N66" s="285"/>
      <c r="O66" s="136">
        <f t="shared" si="7"/>
        <v>0</v>
      </c>
      <c r="P66" s="85"/>
      <c r="R66" s="53"/>
      <c r="S66" s="53"/>
      <c r="T66" s="53"/>
    </row>
    <row r="67" spans="1:20" x14ac:dyDescent="0.25">
      <c r="A67" s="76">
        <v>1148</v>
      </c>
      <c r="B67" s="127" t="s">
        <v>85</v>
      </c>
      <c r="C67" s="279">
        <f t="shared" si="3"/>
        <v>10520</v>
      </c>
      <c r="D67" s="474">
        <f>9128+1392</f>
        <v>10520</v>
      </c>
      <c r="E67" s="474"/>
      <c r="F67" s="279">
        <f t="shared" si="4"/>
        <v>10520</v>
      </c>
      <c r="G67" s="134"/>
      <c r="H67" s="135"/>
      <c r="I67" s="136">
        <f t="shared" si="5"/>
        <v>0</v>
      </c>
      <c r="J67" s="134"/>
      <c r="K67" s="135"/>
      <c r="L67" s="136">
        <f t="shared" si="6"/>
        <v>0</v>
      </c>
      <c r="M67" s="284"/>
      <c r="N67" s="285"/>
      <c r="O67" s="136">
        <f t="shared" si="7"/>
        <v>0</v>
      </c>
      <c r="P67" s="85"/>
      <c r="R67" s="53"/>
      <c r="S67" s="53"/>
      <c r="T67" s="53"/>
    </row>
    <row r="68" spans="1:20" ht="36" x14ac:dyDescent="0.25">
      <c r="A68" s="76">
        <v>1149</v>
      </c>
      <c r="B68" s="127" t="s">
        <v>86</v>
      </c>
      <c r="C68" s="279">
        <f t="shared" si="3"/>
        <v>3827</v>
      </c>
      <c r="D68" s="474">
        <f>2938+353</f>
        <v>3291</v>
      </c>
      <c r="E68" s="474"/>
      <c r="F68" s="279">
        <f t="shared" si="4"/>
        <v>3291</v>
      </c>
      <c r="G68" s="134">
        <f>655+52</f>
        <v>707</v>
      </c>
      <c r="H68" s="135">
        <v>-171</v>
      </c>
      <c r="I68" s="136">
        <f t="shared" si="5"/>
        <v>536</v>
      </c>
      <c r="J68" s="134"/>
      <c r="K68" s="135"/>
      <c r="L68" s="136">
        <f t="shared" si="6"/>
        <v>0</v>
      </c>
      <c r="M68" s="284"/>
      <c r="N68" s="285"/>
      <c r="O68" s="136">
        <f t="shared" si="7"/>
        <v>0</v>
      </c>
      <c r="P68" s="771" t="s">
        <v>1150</v>
      </c>
      <c r="R68" s="53"/>
      <c r="S68" s="53"/>
      <c r="T68" s="53"/>
    </row>
    <row r="69" spans="1:20" ht="36" x14ac:dyDescent="0.25">
      <c r="A69" s="254">
        <v>1150</v>
      </c>
      <c r="B69" s="179" t="s">
        <v>87</v>
      </c>
      <c r="C69" s="279">
        <f t="shared" si="3"/>
        <v>1275</v>
      </c>
      <c r="D69" s="477">
        <v>1275</v>
      </c>
      <c r="E69" s="477"/>
      <c r="F69" s="257">
        <f t="shared" si="4"/>
        <v>1275</v>
      </c>
      <c r="G69" s="287"/>
      <c r="H69" s="289"/>
      <c r="I69" s="259">
        <f t="shared" si="5"/>
        <v>0</v>
      </c>
      <c r="J69" s="287"/>
      <c r="K69" s="289"/>
      <c r="L69" s="259">
        <f t="shared" si="6"/>
        <v>0</v>
      </c>
      <c r="M69" s="290"/>
      <c r="N69" s="291"/>
      <c r="O69" s="259">
        <f t="shared" si="7"/>
        <v>0</v>
      </c>
      <c r="P69" s="189"/>
      <c r="R69" s="53"/>
      <c r="S69" s="53"/>
      <c r="T69" s="53"/>
    </row>
    <row r="70" spans="1:20" ht="36" x14ac:dyDescent="0.25">
      <c r="A70" s="99">
        <v>1200</v>
      </c>
      <c r="B70" s="247" t="s">
        <v>88</v>
      </c>
      <c r="C70" s="249">
        <f t="shared" si="3"/>
        <v>60548</v>
      </c>
      <c r="D70" s="249">
        <f>SUM(D71:D72)</f>
        <v>57234</v>
      </c>
      <c r="E70" s="249">
        <f>SUM(E71:E72)</f>
        <v>0</v>
      </c>
      <c r="F70" s="249">
        <f t="shared" si="4"/>
        <v>57234</v>
      </c>
      <c r="G70" s="112">
        <f>SUM(G71:G72)</f>
        <v>3076</v>
      </c>
      <c r="H70" s="113">
        <f>SUM(H71:H72)</f>
        <v>238</v>
      </c>
      <c r="I70" s="114">
        <f t="shared" si="5"/>
        <v>3314</v>
      </c>
      <c r="J70" s="112">
        <f>SUM(J71:J72)</f>
        <v>0</v>
      </c>
      <c r="K70" s="113">
        <f>SUM(K71:K72)</f>
        <v>0</v>
      </c>
      <c r="L70" s="114">
        <f t="shared" si="6"/>
        <v>0</v>
      </c>
      <c r="M70" s="292">
        <f>SUM(M71:M72)</f>
        <v>0</v>
      </c>
      <c r="N70" s="293">
        <f>SUM(N71:N72)</f>
        <v>0</v>
      </c>
      <c r="O70" s="114">
        <f t="shared" si="7"/>
        <v>0</v>
      </c>
      <c r="P70" s="109"/>
      <c r="R70" s="53"/>
      <c r="S70" s="53"/>
      <c r="T70" s="53"/>
    </row>
    <row r="71" spans="1:20" ht="24" x14ac:dyDescent="0.25">
      <c r="A71" s="656">
        <v>1210</v>
      </c>
      <c r="B71" s="116" t="s">
        <v>89</v>
      </c>
      <c r="C71" s="296">
        <f t="shared" si="3"/>
        <v>47706</v>
      </c>
      <c r="D71" s="973">
        <f>42377+1724+291</f>
        <v>44392</v>
      </c>
      <c r="E71" s="973"/>
      <c r="F71" s="296">
        <f t="shared" si="4"/>
        <v>44392</v>
      </c>
      <c r="G71" s="123">
        <f>2112+727</f>
        <v>2839</v>
      </c>
      <c r="H71" s="124">
        <v>475</v>
      </c>
      <c r="I71" s="125">
        <f t="shared" si="5"/>
        <v>3314</v>
      </c>
      <c r="J71" s="123"/>
      <c r="K71" s="124"/>
      <c r="L71" s="125">
        <f t="shared" si="6"/>
        <v>0</v>
      </c>
      <c r="M71" s="264"/>
      <c r="N71" s="262"/>
      <c r="O71" s="125">
        <f t="shared" si="7"/>
        <v>0</v>
      </c>
      <c r="P71" s="74"/>
      <c r="R71" s="53"/>
      <c r="S71" s="53"/>
      <c r="T71" s="53"/>
    </row>
    <row r="72" spans="1:20" ht="24" x14ac:dyDescent="0.25">
      <c r="A72" s="276">
        <v>1220</v>
      </c>
      <c r="B72" s="127" t="s">
        <v>90</v>
      </c>
      <c r="C72" s="279">
        <f t="shared" si="3"/>
        <v>12842</v>
      </c>
      <c r="D72" s="279">
        <f>SUM(D73:D77)</f>
        <v>12842</v>
      </c>
      <c r="E72" s="279">
        <f>SUM(E73:E77)</f>
        <v>0</v>
      </c>
      <c r="F72" s="279">
        <f t="shared" si="4"/>
        <v>12842</v>
      </c>
      <c r="G72" s="277">
        <f>SUM(G73:G77)</f>
        <v>237</v>
      </c>
      <c r="H72" s="280">
        <f>SUM(H73:H77)</f>
        <v>-237</v>
      </c>
      <c r="I72" s="136">
        <f t="shared" si="5"/>
        <v>0</v>
      </c>
      <c r="J72" s="277">
        <f>SUM(J73:J77)</f>
        <v>0</v>
      </c>
      <c r="K72" s="280">
        <f>SUM(K73:K77)</f>
        <v>0</v>
      </c>
      <c r="L72" s="136">
        <f t="shared" si="6"/>
        <v>0</v>
      </c>
      <c r="M72" s="281">
        <f>SUM(M73:M77)</f>
        <v>0</v>
      </c>
      <c r="N72" s="282">
        <f>SUM(N73:N77)</f>
        <v>0</v>
      </c>
      <c r="O72" s="136">
        <f t="shared" si="7"/>
        <v>0</v>
      </c>
      <c r="P72" s="85"/>
      <c r="R72" s="53"/>
      <c r="S72" s="53"/>
      <c r="T72" s="53"/>
    </row>
    <row r="73" spans="1:20" ht="60" x14ac:dyDescent="0.25">
      <c r="A73" s="76">
        <v>1221</v>
      </c>
      <c r="B73" s="127" t="s">
        <v>91</v>
      </c>
      <c r="C73" s="279">
        <f t="shared" si="3"/>
        <v>7931</v>
      </c>
      <c r="D73" s="474">
        <v>7931</v>
      </c>
      <c r="E73" s="474"/>
      <c r="F73" s="279">
        <f t="shared" si="4"/>
        <v>7931</v>
      </c>
      <c r="G73" s="134">
        <v>237</v>
      </c>
      <c r="H73" s="135">
        <v>-237</v>
      </c>
      <c r="I73" s="136">
        <f t="shared" si="5"/>
        <v>0</v>
      </c>
      <c r="J73" s="134"/>
      <c r="K73" s="135"/>
      <c r="L73" s="136">
        <f t="shared" si="6"/>
        <v>0</v>
      </c>
      <c r="M73" s="284"/>
      <c r="N73" s="285"/>
      <c r="O73" s="136">
        <f t="shared" si="7"/>
        <v>0</v>
      </c>
      <c r="P73" s="85" t="s">
        <v>1151</v>
      </c>
      <c r="R73" s="53"/>
      <c r="S73" s="53"/>
      <c r="T73" s="53"/>
    </row>
    <row r="74" spans="1:20" hidden="1" x14ac:dyDescent="0.25">
      <c r="A74" s="76">
        <v>1223</v>
      </c>
      <c r="B74" s="127" t="s">
        <v>92</v>
      </c>
      <c r="C74" s="279">
        <f t="shared" si="3"/>
        <v>0</v>
      </c>
      <c r="D74" s="474"/>
      <c r="E74" s="474"/>
      <c r="F74" s="279">
        <f t="shared" si="4"/>
        <v>0</v>
      </c>
      <c r="G74" s="134"/>
      <c r="H74" s="135"/>
      <c r="I74" s="136">
        <f t="shared" si="5"/>
        <v>0</v>
      </c>
      <c r="J74" s="134"/>
      <c r="K74" s="135"/>
      <c r="L74" s="136">
        <f t="shared" si="6"/>
        <v>0</v>
      </c>
      <c r="M74" s="284"/>
      <c r="N74" s="285"/>
      <c r="O74" s="136">
        <f t="shared" si="7"/>
        <v>0</v>
      </c>
      <c r="P74" s="85"/>
      <c r="R74" s="53"/>
      <c r="S74" s="53"/>
      <c r="T74" s="53"/>
    </row>
    <row r="75" spans="1:20" hidden="1" x14ac:dyDescent="0.25">
      <c r="A75" s="76">
        <v>1225</v>
      </c>
      <c r="B75" s="127" t="s">
        <v>93</v>
      </c>
      <c r="C75" s="279">
        <f t="shared" si="3"/>
        <v>0</v>
      </c>
      <c r="D75" s="474"/>
      <c r="E75" s="474"/>
      <c r="F75" s="279">
        <f t="shared" si="4"/>
        <v>0</v>
      </c>
      <c r="G75" s="134"/>
      <c r="H75" s="135"/>
      <c r="I75" s="136">
        <f t="shared" si="5"/>
        <v>0</v>
      </c>
      <c r="J75" s="134"/>
      <c r="K75" s="135"/>
      <c r="L75" s="136">
        <f t="shared" si="6"/>
        <v>0</v>
      </c>
      <c r="M75" s="284"/>
      <c r="N75" s="285"/>
      <c r="O75" s="136">
        <f t="shared" si="7"/>
        <v>0</v>
      </c>
      <c r="P75" s="85"/>
      <c r="R75" s="53"/>
      <c r="S75" s="53"/>
      <c r="T75" s="53"/>
    </row>
    <row r="76" spans="1:20" ht="36" x14ac:dyDescent="0.25">
      <c r="A76" s="76">
        <v>1227</v>
      </c>
      <c r="B76" s="127" t="s">
        <v>94</v>
      </c>
      <c r="C76" s="279">
        <f t="shared" si="3"/>
        <v>4483</v>
      </c>
      <c r="D76" s="474">
        <v>4483</v>
      </c>
      <c r="E76" s="474"/>
      <c r="F76" s="279">
        <f t="shared" si="4"/>
        <v>4483</v>
      </c>
      <c r="G76" s="134"/>
      <c r="H76" s="135"/>
      <c r="I76" s="136">
        <f t="shared" si="5"/>
        <v>0</v>
      </c>
      <c r="J76" s="134"/>
      <c r="K76" s="135"/>
      <c r="L76" s="136">
        <f t="shared" si="6"/>
        <v>0</v>
      </c>
      <c r="M76" s="284"/>
      <c r="N76" s="285"/>
      <c r="O76" s="136">
        <f t="shared" si="7"/>
        <v>0</v>
      </c>
      <c r="P76" s="85"/>
      <c r="R76" s="53"/>
      <c r="S76" s="53"/>
      <c r="T76" s="53"/>
    </row>
    <row r="77" spans="1:20" ht="60" x14ac:dyDescent="0.25">
      <c r="A77" s="76">
        <v>1228</v>
      </c>
      <c r="B77" s="127" t="s">
        <v>95</v>
      </c>
      <c r="C77" s="279">
        <f t="shared" si="3"/>
        <v>428</v>
      </c>
      <c r="D77" s="474">
        <v>428</v>
      </c>
      <c r="E77" s="474"/>
      <c r="F77" s="279">
        <f t="shared" si="4"/>
        <v>428</v>
      </c>
      <c r="G77" s="134"/>
      <c r="H77" s="135"/>
      <c r="I77" s="136">
        <f t="shared" si="5"/>
        <v>0</v>
      </c>
      <c r="J77" s="134"/>
      <c r="K77" s="135"/>
      <c r="L77" s="136">
        <f t="shared" si="6"/>
        <v>0</v>
      </c>
      <c r="M77" s="284"/>
      <c r="N77" s="285"/>
      <c r="O77" s="136">
        <f t="shared" si="7"/>
        <v>0</v>
      </c>
      <c r="P77" s="85"/>
      <c r="R77" s="53"/>
      <c r="S77" s="53"/>
      <c r="T77" s="53"/>
    </row>
    <row r="78" spans="1:20" x14ac:dyDescent="0.25">
      <c r="A78" s="237">
        <v>2000</v>
      </c>
      <c r="B78" s="237" t="s">
        <v>96</v>
      </c>
      <c r="C78" s="241">
        <f t="shared" si="3"/>
        <v>38081</v>
      </c>
      <c r="D78" s="241">
        <f>SUM(D79,D86,D133,D167,D168,D175)</f>
        <v>37217</v>
      </c>
      <c r="E78" s="241">
        <f>SUM(E79,E86,E133,E167,E168,E175)</f>
        <v>0</v>
      </c>
      <c r="F78" s="241">
        <f t="shared" si="4"/>
        <v>37217</v>
      </c>
      <c r="G78" s="239">
        <f>SUM(G79,G86,G133,G167,G168,G175)</f>
        <v>342</v>
      </c>
      <c r="H78" s="242">
        <f>SUM(H79,H86,H133,H167,H168,H175)</f>
        <v>0</v>
      </c>
      <c r="I78" s="243">
        <f t="shared" si="5"/>
        <v>342</v>
      </c>
      <c r="J78" s="239">
        <f>SUM(J79,J86,J133,J167,J168,J175)</f>
        <v>522</v>
      </c>
      <c r="K78" s="242">
        <f>SUM(K79,K86,K133,K167,K168,K175)</f>
        <v>0</v>
      </c>
      <c r="L78" s="243">
        <f t="shared" si="6"/>
        <v>522</v>
      </c>
      <c r="M78" s="244">
        <f>SUM(M79,M86,M133,M167,M168,M175)</f>
        <v>0</v>
      </c>
      <c r="N78" s="245">
        <f>SUM(N79,N86,N133,N167,N168,N175)</f>
        <v>0</v>
      </c>
      <c r="O78" s="243">
        <f t="shared" si="7"/>
        <v>0</v>
      </c>
      <c r="P78" s="246"/>
      <c r="R78" s="53"/>
      <c r="S78" s="53"/>
      <c r="T78" s="53"/>
    </row>
    <row r="79" spans="1:20" ht="24" hidden="1" x14ac:dyDescent="0.25">
      <c r="A79" s="99">
        <v>2100</v>
      </c>
      <c r="B79" s="247" t="s">
        <v>97</v>
      </c>
      <c r="C79" s="249">
        <f t="shared" si="3"/>
        <v>0</v>
      </c>
      <c r="D79" s="249">
        <f>SUM(D80,D83)</f>
        <v>0</v>
      </c>
      <c r="E79" s="249">
        <f>SUM(E80,E83)</f>
        <v>0</v>
      </c>
      <c r="F79" s="249">
        <f t="shared" si="4"/>
        <v>0</v>
      </c>
      <c r="G79" s="112">
        <f>SUM(G80,G83)</f>
        <v>0</v>
      </c>
      <c r="H79" s="113">
        <f>SUM(H80,H83)</f>
        <v>0</v>
      </c>
      <c r="I79" s="114">
        <f t="shared" si="5"/>
        <v>0</v>
      </c>
      <c r="J79" s="112">
        <f>SUM(J80,J83)</f>
        <v>0</v>
      </c>
      <c r="K79" s="113">
        <f>SUM(K80,K83)</f>
        <v>0</v>
      </c>
      <c r="L79" s="114">
        <f t="shared" si="6"/>
        <v>0</v>
      </c>
      <c r="M79" s="292">
        <f>SUM(M80,M83)</f>
        <v>0</v>
      </c>
      <c r="N79" s="293">
        <f>SUM(N80,N83)</f>
        <v>0</v>
      </c>
      <c r="O79" s="114">
        <f t="shared" si="7"/>
        <v>0</v>
      </c>
      <c r="P79" s="109"/>
      <c r="R79" s="53"/>
      <c r="S79" s="53"/>
      <c r="T79" s="53"/>
    </row>
    <row r="80" spans="1:20" ht="24" hidden="1" x14ac:dyDescent="0.25">
      <c r="A80" s="656">
        <v>2110</v>
      </c>
      <c r="B80" s="116" t="s">
        <v>98</v>
      </c>
      <c r="C80" s="296">
        <f t="shared" si="3"/>
        <v>0</v>
      </c>
      <c r="D80" s="296">
        <f>SUM(D81:D82)</f>
        <v>0</v>
      </c>
      <c r="E80" s="296">
        <f>SUM(E81:E82)</f>
        <v>0</v>
      </c>
      <c r="F80" s="296">
        <f t="shared" si="4"/>
        <v>0</v>
      </c>
      <c r="G80" s="297">
        <f>SUM(G81:G82)</f>
        <v>0</v>
      </c>
      <c r="H80" s="299">
        <f>SUM(H81:H82)</f>
        <v>0</v>
      </c>
      <c r="I80" s="125">
        <f t="shared" si="5"/>
        <v>0</v>
      </c>
      <c r="J80" s="297">
        <f>SUM(J81:J82)</f>
        <v>0</v>
      </c>
      <c r="K80" s="299">
        <f>SUM(K81:K82)</f>
        <v>0</v>
      </c>
      <c r="L80" s="125">
        <f t="shared" si="6"/>
        <v>0</v>
      </c>
      <c r="M80" s="300">
        <f>SUM(M81:M82)</f>
        <v>0</v>
      </c>
      <c r="N80" s="301">
        <f>SUM(N81:N82)</f>
        <v>0</v>
      </c>
      <c r="O80" s="125">
        <f t="shared" si="7"/>
        <v>0</v>
      </c>
      <c r="P80" s="74"/>
      <c r="R80" s="53"/>
      <c r="S80" s="53"/>
      <c r="T80" s="53"/>
    </row>
    <row r="81" spans="1:20" hidden="1" x14ac:dyDescent="0.25">
      <c r="A81" s="76">
        <v>2111</v>
      </c>
      <c r="B81" s="127" t="s">
        <v>99</v>
      </c>
      <c r="C81" s="279">
        <f t="shared" si="3"/>
        <v>0</v>
      </c>
      <c r="D81" s="474"/>
      <c r="E81" s="474"/>
      <c r="F81" s="279">
        <f t="shared" si="4"/>
        <v>0</v>
      </c>
      <c r="G81" s="134"/>
      <c r="H81" s="135"/>
      <c r="I81" s="136">
        <f t="shared" si="5"/>
        <v>0</v>
      </c>
      <c r="J81" s="134"/>
      <c r="K81" s="135"/>
      <c r="L81" s="136">
        <f t="shared" si="6"/>
        <v>0</v>
      </c>
      <c r="M81" s="284"/>
      <c r="N81" s="285"/>
      <c r="O81" s="136">
        <f t="shared" si="7"/>
        <v>0</v>
      </c>
      <c r="P81" s="85"/>
      <c r="R81" s="53"/>
      <c r="S81" s="53"/>
      <c r="T81" s="53"/>
    </row>
    <row r="82" spans="1:20" ht="24" hidden="1" x14ac:dyDescent="0.25">
      <c r="A82" s="76">
        <v>2112</v>
      </c>
      <c r="B82" s="127" t="s">
        <v>100</v>
      </c>
      <c r="C82" s="279">
        <f t="shared" si="3"/>
        <v>0</v>
      </c>
      <c r="D82" s="474"/>
      <c r="E82" s="474"/>
      <c r="F82" s="279">
        <f t="shared" si="4"/>
        <v>0</v>
      </c>
      <c r="G82" s="134"/>
      <c r="H82" s="135"/>
      <c r="I82" s="136">
        <f t="shared" si="5"/>
        <v>0</v>
      </c>
      <c r="J82" s="134"/>
      <c r="K82" s="135"/>
      <c r="L82" s="136">
        <f t="shared" si="6"/>
        <v>0</v>
      </c>
      <c r="M82" s="284"/>
      <c r="N82" s="285"/>
      <c r="O82" s="136">
        <f t="shared" si="7"/>
        <v>0</v>
      </c>
      <c r="P82" s="85"/>
      <c r="R82" s="53"/>
      <c r="S82" s="53"/>
      <c r="T82" s="53"/>
    </row>
    <row r="83" spans="1:20" ht="24" hidden="1" x14ac:dyDescent="0.25">
      <c r="A83" s="276">
        <v>2120</v>
      </c>
      <c r="B83" s="127" t="s">
        <v>101</v>
      </c>
      <c r="C83" s="279">
        <f t="shared" si="3"/>
        <v>0</v>
      </c>
      <c r="D83" s="279">
        <f>SUM(D84:D85)</f>
        <v>0</v>
      </c>
      <c r="E83" s="279">
        <f>SUM(E84:E85)</f>
        <v>0</v>
      </c>
      <c r="F83" s="279">
        <f t="shared" si="4"/>
        <v>0</v>
      </c>
      <c r="G83" s="277">
        <f>SUM(G84:G85)</f>
        <v>0</v>
      </c>
      <c r="H83" s="280">
        <f>SUM(H84:H85)</f>
        <v>0</v>
      </c>
      <c r="I83" s="136">
        <f t="shared" si="5"/>
        <v>0</v>
      </c>
      <c r="J83" s="277">
        <f>SUM(J84:J85)</f>
        <v>0</v>
      </c>
      <c r="K83" s="280">
        <f>SUM(K84:K85)</f>
        <v>0</v>
      </c>
      <c r="L83" s="136">
        <f t="shared" si="6"/>
        <v>0</v>
      </c>
      <c r="M83" s="281">
        <f>SUM(M84:M85)</f>
        <v>0</v>
      </c>
      <c r="N83" s="282">
        <f>SUM(N84:N85)</f>
        <v>0</v>
      </c>
      <c r="O83" s="136">
        <f t="shared" si="7"/>
        <v>0</v>
      </c>
      <c r="P83" s="85"/>
      <c r="R83" s="53"/>
      <c r="S83" s="53"/>
      <c r="T83" s="53"/>
    </row>
    <row r="84" spans="1:20" hidden="1" x14ac:dyDescent="0.25">
      <c r="A84" s="76">
        <v>2121</v>
      </c>
      <c r="B84" s="127" t="s">
        <v>99</v>
      </c>
      <c r="C84" s="279">
        <f t="shared" si="3"/>
        <v>0</v>
      </c>
      <c r="D84" s="474"/>
      <c r="E84" s="474"/>
      <c r="F84" s="279">
        <f t="shared" si="4"/>
        <v>0</v>
      </c>
      <c r="G84" s="134"/>
      <c r="H84" s="135"/>
      <c r="I84" s="136">
        <f t="shared" si="5"/>
        <v>0</v>
      </c>
      <c r="J84" s="134"/>
      <c r="K84" s="135"/>
      <c r="L84" s="136">
        <f t="shared" si="6"/>
        <v>0</v>
      </c>
      <c r="M84" s="284"/>
      <c r="N84" s="285"/>
      <c r="O84" s="136">
        <f t="shared" si="7"/>
        <v>0</v>
      </c>
      <c r="P84" s="85"/>
      <c r="R84" s="53"/>
      <c r="S84" s="53"/>
      <c r="T84" s="53"/>
    </row>
    <row r="85" spans="1:20" ht="24" hidden="1" x14ac:dyDescent="0.25">
      <c r="A85" s="76">
        <v>2122</v>
      </c>
      <c r="B85" s="127" t="s">
        <v>100</v>
      </c>
      <c r="C85" s="279">
        <f t="shared" si="3"/>
        <v>0</v>
      </c>
      <c r="D85" s="474"/>
      <c r="E85" s="474"/>
      <c r="F85" s="279">
        <f t="shared" si="4"/>
        <v>0</v>
      </c>
      <c r="G85" s="134"/>
      <c r="H85" s="135"/>
      <c r="I85" s="136">
        <f t="shared" si="5"/>
        <v>0</v>
      </c>
      <c r="J85" s="134"/>
      <c r="K85" s="135"/>
      <c r="L85" s="136">
        <f t="shared" si="6"/>
        <v>0</v>
      </c>
      <c r="M85" s="284"/>
      <c r="N85" s="285"/>
      <c r="O85" s="136">
        <f t="shared" si="7"/>
        <v>0</v>
      </c>
      <c r="P85" s="85"/>
      <c r="R85" s="53"/>
      <c r="S85" s="53"/>
      <c r="T85" s="53"/>
    </row>
    <row r="86" spans="1:20" x14ac:dyDescent="0.25">
      <c r="A86" s="99">
        <v>2200</v>
      </c>
      <c r="B86" s="247" t="s">
        <v>102</v>
      </c>
      <c r="C86" s="302">
        <f t="shared" si="3"/>
        <v>33129</v>
      </c>
      <c r="D86" s="249">
        <f>SUM(D87,D92,D98,D106,D115,D119,D125,D131)</f>
        <v>32607</v>
      </c>
      <c r="E86" s="249">
        <f>SUM(E87,E92,E98,E106,E115,E119,E125,E131)</f>
        <v>0</v>
      </c>
      <c r="F86" s="249">
        <f t="shared" si="4"/>
        <v>32607</v>
      </c>
      <c r="G86" s="112">
        <f>SUM(G87,G92,G98,G106,G115,G119,G125,G131)</f>
        <v>0</v>
      </c>
      <c r="H86" s="113">
        <f>SUM(H87,H92,H98,H106,H115,H119,H125,H131)</f>
        <v>0</v>
      </c>
      <c r="I86" s="114">
        <f t="shared" si="5"/>
        <v>0</v>
      </c>
      <c r="J86" s="112">
        <f>SUM(J87,J92,J98,J106,J115,J119,J125,J131)</f>
        <v>522</v>
      </c>
      <c r="K86" s="113">
        <f>SUM(K87,K92,K98,K106,K115,K119,K125,K131)</f>
        <v>0</v>
      </c>
      <c r="L86" s="114">
        <f t="shared" si="6"/>
        <v>522</v>
      </c>
      <c r="M86" s="303">
        <f>SUM(M87,M92,M98,M106,M115,M119,M125,M131)</f>
        <v>0</v>
      </c>
      <c r="N86" s="304">
        <f>SUM(N87,N92,N98,N106,N115,N119,N125,N131)</f>
        <v>0</v>
      </c>
      <c r="O86" s="305">
        <f t="shared" si="7"/>
        <v>0</v>
      </c>
      <c r="P86" s="306"/>
      <c r="R86" s="53"/>
      <c r="S86" s="53"/>
      <c r="T86" s="53"/>
    </row>
    <row r="87" spans="1:20" ht="24" x14ac:dyDescent="0.25">
      <c r="A87" s="254">
        <v>2210</v>
      </c>
      <c r="B87" s="179" t="s">
        <v>103</v>
      </c>
      <c r="C87" s="257">
        <f t="shared" si="3"/>
        <v>836</v>
      </c>
      <c r="D87" s="257">
        <f>SUM(D88:D91)</f>
        <v>836</v>
      </c>
      <c r="E87" s="257">
        <f>SUM(E88:E91)</f>
        <v>0</v>
      </c>
      <c r="F87" s="257">
        <f t="shared" si="4"/>
        <v>836</v>
      </c>
      <c r="G87" s="255">
        <f>SUM(G88:G91)</f>
        <v>0</v>
      </c>
      <c r="H87" s="258">
        <f>SUM(H88:H91)</f>
        <v>0</v>
      </c>
      <c r="I87" s="259">
        <f t="shared" si="5"/>
        <v>0</v>
      </c>
      <c r="J87" s="255">
        <f>SUM(J88:J91)</f>
        <v>0</v>
      </c>
      <c r="K87" s="258">
        <f>SUM(K88:K91)</f>
        <v>0</v>
      </c>
      <c r="L87" s="259">
        <f t="shared" si="6"/>
        <v>0</v>
      </c>
      <c r="M87" s="260">
        <f>SUM(M88:M91)</f>
        <v>0</v>
      </c>
      <c r="N87" s="261">
        <f>SUM(N88:N91)</f>
        <v>0</v>
      </c>
      <c r="O87" s="259">
        <f t="shared" si="7"/>
        <v>0</v>
      </c>
      <c r="P87" s="189"/>
      <c r="R87" s="53"/>
      <c r="S87" s="53"/>
      <c r="T87" s="53"/>
    </row>
    <row r="88" spans="1:20" ht="24" hidden="1" x14ac:dyDescent="0.25">
      <c r="A88" s="66">
        <v>2211</v>
      </c>
      <c r="B88" s="116" t="s">
        <v>104</v>
      </c>
      <c r="C88" s="279">
        <f t="shared" si="3"/>
        <v>0</v>
      </c>
      <c r="D88" s="973"/>
      <c r="E88" s="973"/>
      <c r="F88" s="296">
        <f t="shared" si="4"/>
        <v>0</v>
      </c>
      <c r="G88" s="123"/>
      <c r="H88" s="124"/>
      <c r="I88" s="125">
        <f t="shared" si="5"/>
        <v>0</v>
      </c>
      <c r="J88" s="123"/>
      <c r="K88" s="124"/>
      <c r="L88" s="125">
        <f t="shared" si="6"/>
        <v>0</v>
      </c>
      <c r="M88" s="264"/>
      <c r="N88" s="262"/>
      <c r="O88" s="125">
        <f t="shared" si="7"/>
        <v>0</v>
      </c>
      <c r="P88" s="74"/>
      <c r="R88" s="53"/>
      <c r="S88" s="53"/>
      <c r="T88" s="53"/>
    </row>
    <row r="89" spans="1:20" ht="36" x14ac:dyDescent="0.25">
      <c r="A89" s="76">
        <v>2212</v>
      </c>
      <c r="B89" s="127" t="s">
        <v>105</v>
      </c>
      <c r="C89" s="279">
        <f t="shared" si="3"/>
        <v>694</v>
      </c>
      <c r="D89" s="474">
        <v>694</v>
      </c>
      <c r="E89" s="474"/>
      <c r="F89" s="279">
        <f t="shared" si="4"/>
        <v>694</v>
      </c>
      <c r="G89" s="134"/>
      <c r="H89" s="135"/>
      <c r="I89" s="136">
        <f t="shared" si="5"/>
        <v>0</v>
      </c>
      <c r="J89" s="134"/>
      <c r="K89" s="135"/>
      <c r="L89" s="136">
        <f t="shared" si="6"/>
        <v>0</v>
      </c>
      <c r="M89" s="284"/>
      <c r="N89" s="285"/>
      <c r="O89" s="136">
        <f t="shared" si="7"/>
        <v>0</v>
      </c>
      <c r="P89" s="85"/>
      <c r="R89" s="53"/>
      <c r="S89" s="53"/>
      <c r="T89" s="53"/>
    </row>
    <row r="90" spans="1:20" ht="24" hidden="1" x14ac:dyDescent="0.25">
      <c r="A90" s="76">
        <v>2214</v>
      </c>
      <c r="B90" s="127" t="s">
        <v>106</v>
      </c>
      <c r="C90" s="279">
        <f t="shared" si="3"/>
        <v>0</v>
      </c>
      <c r="D90" s="474"/>
      <c r="E90" s="474"/>
      <c r="F90" s="279">
        <f t="shared" si="4"/>
        <v>0</v>
      </c>
      <c r="G90" s="134"/>
      <c r="H90" s="135"/>
      <c r="I90" s="136">
        <f t="shared" si="5"/>
        <v>0</v>
      </c>
      <c r="J90" s="134"/>
      <c r="K90" s="135"/>
      <c r="L90" s="136">
        <f t="shared" si="6"/>
        <v>0</v>
      </c>
      <c r="M90" s="284"/>
      <c r="N90" s="285"/>
      <c r="O90" s="136">
        <f t="shared" si="7"/>
        <v>0</v>
      </c>
      <c r="P90" s="85"/>
      <c r="R90" s="53"/>
      <c r="S90" s="53"/>
      <c r="T90" s="53"/>
    </row>
    <row r="91" spans="1:20" x14ac:dyDescent="0.25">
      <c r="A91" s="76">
        <v>2219</v>
      </c>
      <c r="B91" s="127" t="s">
        <v>107</v>
      </c>
      <c r="C91" s="279">
        <f t="shared" si="3"/>
        <v>142</v>
      </c>
      <c r="D91" s="474">
        <v>142</v>
      </c>
      <c r="E91" s="474"/>
      <c r="F91" s="279">
        <f t="shared" si="4"/>
        <v>142</v>
      </c>
      <c r="G91" s="134"/>
      <c r="H91" s="135"/>
      <c r="I91" s="136">
        <f t="shared" si="5"/>
        <v>0</v>
      </c>
      <c r="J91" s="134"/>
      <c r="K91" s="135"/>
      <c r="L91" s="136">
        <f t="shared" si="6"/>
        <v>0</v>
      </c>
      <c r="M91" s="284"/>
      <c r="N91" s="285"/>
      <c r="O91" s="136">
        <f t="shared" si="7"/>
        <v>0</v>
      </c>
      <c r="P91" s="85"/>
      <c r="R91" s="53"/>
      <c r="S91" s="53"/>
      <c r="T91" s="53"/>
    </row>
    <row r="92" spans="1:20" ht="24" x14ac:dyDescent="0.25">
      <c r="A92" s="276">
        <v>2220</v>
      </c>
      <c r="B92" s="127" t="s">
        <v>108</v>
      </c>
      <c r="C92" s="279">
        <f t="shared" si="3"/>
        <v>24602</v>
      </c>
      <c r="D92" s="279">
        <f>SUM(D93:D97)</f>
        <v>24602</v>
      </c>
      <c r="E92" s="279">
        <f>SUM(E93:E97)</f>
        <v>0</v>
      </c>
      <c r="F92" s="279">
        <f t="shared" si="4"/>
        <v>24602</v>
      </c>
      <c r="G92" s="277">
        <f>SUM(G93:G97)</f>
        <v>0</v>
      </c>
      <c r="H92" s="280">
        <f>SUM(H93:H97)</f>
        <v>0</v>
      </c>
      <c r="I92" s="136">
        <f t="shared" si="5"/>
        <v>0</v>
      </c>
      <c r="J92" s="277">
        <f>SUM(J93:J97)</f>
        <v>0</v>
      </c>
      <c r="K92" s="280">
        <f>SUM(K93:K97)</f>
        <v>0</v>
      </c>
      <c r="L92" s="136">
        <f t="shared" si="6"/>
        <v>0</v>
      </c>
      <c r="M92" s="281">
        <f>SUM(M93:M97)</f>
        <v>0</v>
      </c>
      <c r="N92" s="282">
        <f>SUM(N93:N97)</f>
        <v>0</v>
      </c>
      <c r="O92" s="136">
        <f t="shared" si="7"/>
        <v>0</v>
      </c>
      <c r="P92" s="85"/>
      <c r="R92" s="53"/>
      <c r="S92" s="53"/>
      <c r="T92" s="53"/>
    </row>
    <row r="93" spans="1:20" x14ac:dyDescent="0.25">
      <c r="A93" s="76">
        <v>2221</v>
      </c>
      <c r="B93" s="127" t="s">
        <v>109</v>
      </c>
      <c r="C93" s="279">
        <f t="shared" si="3"/>
        <v>13047</v>
      </c>
      <c r="D93" s="474">
        <v>13047</v>
      </c>
      <c r="E93" s="474"/>
      <c r="F93" s="279">
        <f t="shared" si="4"/>
        <v>13047</v>
      </c>
      <c r="G93" s="134"/>
      <c r="H93" s="135"/>
      <c r="I93" s="136">
        <f t="shared" si="5"/>
        <v>0</v>
      </c>
      <c r="J93" s="134"/>
      <c r="K93" s="135"/>
      <c r="L93" s="136">
        <f t="shared" si="6"/>
        <v>0</v>
      </c>
      <c r="M93" s="284"/>
      <c r="N93" s="285"/>
      <c r="O93" s="136">
        <f t="shared" si="7"/>
        <v>0</v>
      </c>
      <c r="P93" s="85"/>
      <c r="R93" s="53"/>
      <c r="S93" s="53"/>
      <c r="T93" s="53"/>
    </row>
    <row r="94" spans="1:20" x14ac:dyDescent="0.25">
      <c r="A94" s="76">
        <v>2222</v>
      </c>
      <c r="B94" s="127" t="s">
        <v>110</v>
      </c>
      <c r="C94" s="279">
        <f t="shared" si="3"/>
        <v>2964</v>
      </c>
      <c r="D94" s="474">
        <v>2964</v>
      </c>
      <c r="E94" s="474"/>
      <c r="F94" s="279">
        <f t="shared" si="4"/>
        <v>2964</v>
      </c>
      <c r="G94" s="134"/>
      <c r="H94" s="135"/>
      <c r="I94" s="136">
        <f t="shared" si="5"/>
        <v>0</v>
      </c>
      <c r="J94" s="134"/>
      <c r="K94" s="135"/>
      <c r="L94" s="136">
        <f t="shared" si="6"/>
        <v>0</v>
      </c>
      <c r="M94" s="284"/>
      <c r="N94" s="285"/>
      <c r="O94" s="136">
        <f t="shared" si="7"/>
        <v>0</v>
      </c>
      <c r="P94" s="85"/>
      <c r="R94" s="53"/>
      <c r="S94" s="53"/>
      <c r="T94" s="53"/>
    </row>
    <row r="95" spans="1:20" x14ac:dyDescent="0.25">
      <c r="A95" s="76">
        <v>2223</v>
      </c>
      <c r="B95" s="127" t="s">
        <v>111</v>
      </c>
      <c r="C95" s="279">
        <f t="shared" si="3"/>
        <v>8218</v>
      </c>
      <c r="D95" s="474">
        <v>8218</v>
      </c>
      <c r="E95" s="474"/>
      <c r="F95" s="279">
        <f t="shared" si="4"/>
        <v>8218</v>
      </c>
      <c r="G95" s="134"/>
      <c r="H95" s="135"/>
      <c r="I95" s="136">
        <f t="shared" si="5"/>
        <v>0</v>
      </c>
      <c r="J95" s="134"/>
      <c r="K95" s="135"/>
      <c r="L95" s="136">
        <f t="shared" si="6"/>
        <v>0</v>
      </c>
      <c r="M95" s="284"/>
      <c r="N95" s="285"/>
      <c r="O95" s="136">
        <f t="shared" si="7"/>
        <v>0</v>
      </c>
      <c r="P95" s="85"/>
      <c r="R95" s="53"/>
      <c r="S95" s="53"/>
      <c r="T95" s="53"/>
    </row>
    <row r="96" spans="1:20" ht="48" x14ac:dyDescent="0.25">
      <c r="A96" s="76">
        <v>2224</v>
      </c>
      <c r="B96" s="127" t="s">
        <v>112</v>
      </c>
      <c r="C96" s="279">
        <f t="shared" si="3"/>
        <v>373</v>
      </c>
      <c r="D96" s="474">
        <v>373</v>
      </c>
      <c r="E96" s="474"/>
      <c r="F96" s="279">
        <f t="shared" si="4"/>
        <v>373</v>
      </c>
      <c r="G96" s="134"/>
      <c r="H96" s="135"/>
      <c r="I96" s="136">
        <f t="shared" si="5"/>
        <v>0</v>
      </c>
      <c r="J96" s="134"/>
      <c r="K96" s="135"/>
      <c r="L96" s="136">
        <f t="shared" si="6"/>
        <v>0</v>
      </c>
      <c r="M96" s="284"/>
      <c r="N96" s="285"/>
      <c r="O96" s="136">
        <f t="shared" si="7"/>
        <v>0</v>
      </c>
      <c r="P96" s="85"/>
      <c r="R96" s="53"/>
      <c r="S96" s="53"/>
      <c r="T96" s="53"/>
    </row>
    <row r="97" spans="1:20" ht="24" hidden="1" x14ac:dyDescent="0.25">
      <c r="A97" s="76">
        <v>2229</v>
      </c>
      <c r="B97" s="127" t="s">
        <v>113</v>
      </c>
      <c r="C97" s="279">
        <f t="shared" si="3"/>
        <v>0</v>
      </c>
      <c r="D97" s="474"/>
      <c r="E97" s="474"/>
      <c r="F97" s="279">
        <f t="shared" si="4"/>
        <v>0</v>
      </c>
      <c r="G97" s="134"/>
      <c r="H97" s="135"/>
      <c r="I97" s="136">
        <f t="shared" si="5"/>
        <v>0</v>
      </c>
      <c r="J97" s="134"/>
      <c r="K97" s="135"/>
      <c r="L97" s="136">
        <f t="shared" si="6"/>
        <v>0</v>
      </c>
      <c r="M97" s="284"/>
      <c r="N97" s="285"/>
      <c r="O97" s="136">
        <f t="shared" si="7"/>
        <v>0</v>
      </c>
      <c r="P97" s="85"/>
      <c r="R97" s="53"/>
      <c r="S97" s="53"/>
      <c r="T97" s="53"/>
    </row>
    <row r="98" spans="1:20" ht="36" x14ac:dyDescent="0.25">
      <c r="A98" s="276">
        <v>2230</v>
      </c>
      <c r="B98" s="127" t="s">
        <v>114</v>
      </c>
      <c r="C98" s="279">
        <f t="shared" si="3"/>
        <v>977</v>
      </c>
      <c r="D98" s="279">
        <f>SUM(D99:D105)</f>
        <v>977</v>
      </c>
      <c r="E98" s="279">
        <f>SUM(E99:E105)</f>
        <v>0</v>
      </c>
      <c r="F98" s="279">
        <f t="shared" si="4"/>
        <v>977</v>
      </c>
      <c r="G98" s="277">
        <f>SUM(G99:G105)</f>
        <v>0</v>
      </c>
      <c r="H98" s="280">
        <f>SUM(H99:H105)</f>
        <v>0</v>
      </c>
      <c r="I98" s="136">
        <f t="shared" si="5"/>
        <v>0</v>
      </c>
      <c r="J98" s="277">
        <f>SUM(J99:J105)</f>
        <v>0</v>
      </c>
      <c r="K98" s="280">
        <f>SUM(K99:K105)</f>
        <v>0</v>
      </c>
      <c r="L98" s="136">
        <f t="shared" si="6"/>
        <v>0</v>
      </c>
      <c r="M98" s="281">
        <f>SUM(M99:M105)</f>
        <v>0</v>
      </c>
      <c r="N98" s="282">
        <f>SUM(N99:N105)</f>
        <v>0</v>
      </c>
      <c r="O98" s="136">
        <f t="shared" si="7"/>
        <v>0</v>
      </c>
      <c r="P98" s="85"/>
      <c r="R98" s="53"/>
      <c r="S98" s="53"/>
      <c r="T98" s="53"/>
    </row>
    <row r="99" spans="1:20" ht="24" hidden="1" x14ac:dyDescent="0.25">
      <c r="A99" s="76">
        <v>2231</v>
      </c>
      <c r="B99" s="127" t="s">
        <v>115</v>
      </c>
      <c r="C99" s="279">
        <f t="shared" si="3"/>
        <v>0</v>
      </c>
      <c r="D99" s="474"/>
      <c r="E99" s="474"/>
      <c r="F99" s="279">
        <f t="shared" si="4"/>
        <v>0</v>
      </c>
      <c r="G99" s="134"/>
      <c r="H99" s="135"/>
      <c r="I99" s="136">
        <f t="shared" si="5"/>
        <v>0</v>
      </c>
      <c r="J99" s="134"/>
      <c r="K99" s="135"/>
      <c r="L99" s="136">
        <f t="shared" si="6"/>
        <v>0</v>
      </c>
      <c r="M99" s="284"/>
      <c r="N99" s="285"/>
      <c r="O99" s="136">
        <f t="shared" si="7"/>
        <v>0</v>
      </c>
      <c r="P99" s="85"/>
      <c r="R99" s="53"/>
      <c r="S99" s="53"/>
      <c r="T99" s="53"/>
    </row>
    <row r="100" spans="1:20" ht="36" hidden="1" x14ac:dyDescent="0.25">
      <c r="A100" s="76">
        <v>2232</v>
      </c>
      <c r="B100" s="127" t="s">
        <v>116</v>
      </c>
      <c r="C100" s="279">
        <f t="shared" si="3"/>
        <v>0</v>
      </c>
      <c r="D100" s="474"/>
      <c r="E100" s="474"/>
      <c r="F100" s="279">
        <f t="shared" si="4"/>
        <v>0</v>
      </c>
      <c r="G100" s="134"/>
      <c r="H100" s="135"/>
      <c r="I100" s="136">
        <f t="shared" si="5"/>
        <v>0</v>
      </c>
      <c r="J100" s="134"/>
      <c r="K100" s="135"/>
      <c r="L100" s="136">
        <f t="shared" si="6"/>
        <v>0</v>
      </c>
      <c r="M100" s="284"/>
      <c r="N100" s="285"/>
      <c r="O100" s="136">
        <f t="shared" si="7"/>
        <v>0</v>
      </c>
      <c r="P100" s="85"/>
      <c r="R100" s="53"/>
      <c r="S100" s="53"/>
      <c r="T100" s="53"/>
    </row>
    <row r="101" spans="1:20" ht="24" hidden="1" x14ac:dyDescent="0.25">
      <c r="A101" s="66">
        <v>2233</v>
      </c>
      <c r="B101" s="116" t="s">
        <v>117</v>
      </c>
      <c r="C101" s="279">
        <f t="shared" si="3"/>
        <v>0</v>
      </c>
      <c r="D101" s="973"/>
      <c r="E101" s="973"/>
      <c r="F101" s="296">
        <f t="shared" si="4"/>
        <v>0</v>
      </c>
      <c r="G101" s="123"/>
      <c r="H101" s="124"/>
      <c r="I101" s="125">
        <f t="shared" si="5"/>
        <v>0</v>
      </c>
      <c r="J101" s="123"/>
      <c r="K101" s="124"/>
      <c r="L101" s="125">
        <f t="shared" si="6"/>
        <v>0</v>
      </c>
      <c r="M101" s="264"/>
      <c r="N101" s="262"/>
      <c r="O101" s="125">
        <f t="shared" si="7"/>
        <v>0</v>
      </c>
      <c r="P101" s="74"/>
      <c r="R101" s="53"/>
      <c r="S101" s="53"/>
      <c r="T101" s="53"/>
    </row>
    <row r="102" spans="1:20" ht="36" hidden="1" x14ac:dyDescent="0.25">
      <c r="A102" s="76">
        <v>2234</v>
      </c>
      <c r="B102" s="127" t="s">
        <v>118</v>
      </c>
      <c r="C102" s="279">
        <f t="shared" si="3"/>
        <v>0</v>
      </c>
      <c r="D102" s="474"/>
      <c r="E102" s="474"/>
      <c r="F102" s="279">
        <f t="shared" si="4"/>
        <v>0</v>
      </c>
      <c r="G102" s="134"/>
      <c r="H102" s="135"/>
      <c r="I102" s="136">
        <f t="shared" si="5"/>
        <v>0</v>
      </c>
      <c r="J102" s="134"/>
      <c r="K102" s="135"/>
      <c r="L102" s="136">
        <f t="shared" si="6"/>
        <v>0</v>
      </c>
      <c r="M102" s="284"/>
      <c r="N102" s="285"/>
      <c r="O102" s="136">
        <f t="shared" si="7"/>
        <v>0</v>
      </c>
      <c r="P102" s="85"/>
      <c r="R102" s="53"/>
      <c r="S102" s="53"/>
      <c r="T102" s="53"/>
    </row>
    <row r="103" spans="1:20" ht="24" x14ac:dyDescent="0.25">
      <c r="A103" s="76">
        <v>2235</v>
      </c>
      <c r="B103" s="127" t="s">
        <v>119</v>
      </c>
      <c r="C103" s="279">
        <f t="shared" si="3"/>
        <v>32</v>
      </c>
      <c r="D103" s="474">
        <v>32</v>
      </c>
      <c r="E103" s="474"/>
      <c r="F103" s="279">
        <f t="shared" si="4"/>
        <v>32</v>
      </c>
      <c r="G103" s="134"/>
      <c r="H103" s="135"/>
      <c r="I103" s="136">
        <f t="shared" si="5"/>
        <v>0</v>
      </c>
      <c r="J103" s="134"/>
      <c r="K103" s="135"/>
      <c r="L103" s="136">
        <f t="shared" si="6"/>
        <v>0</v>
      </c>
      <c r="M103" s="284"/>
      <c r="N103" s="285"/>
      <c r="O103" s="136">
        <f t="shared" si="7"/>
        <v>0</v>
      </c>
      <c r="P103" s="85"/>
      <c r="R103" s="53"/>
      <c r="S103" s="53"/>
      <c r="T103" s="53"/>
    </row>
    <row r="104" spans="1:20" hidden="1" x14ac:dyDescent="0.25">
      <c r="A104" s="76">
        <v>2236</v>
      </c>
      <c r="B104" s="127" t="s">
        <v>120</v>
      </c>
      <c r="C104" s="279">
        <f t="shared" si="3"/>
        <v>0</v>
      </c>
      <c r="D104" s="474"/>
      <c r="E104" s="474"/>
      <c r="F104" s="279">
        <f t="shared" si="4"/>
        <v>0</v>
      </c>
      <c r="G104" s="134"/>
      <c r="H104" s="135"/>
      <c r="I104" s="136">
        <f t="shared" si="5"/>
        <v>0</v>
      </c>
      <c r="J104" s="134"/>
      <c r="K104" s="135"/>
      <c r="L104" s="136">
        <f t="shared" si="6"/>
        <v>0</v>
      </c>
      <c r="M104" s="284"/>
      <c r="N104" s="285"/>
      <c r="O104" s="136">
        <f t="shared" si="7"/>
        <v>0</v>
      </c>
      <c r="P104" s="85"/>
      <c r="R104" s="53"/>
      <c r="S104" s="53"/>
      <c r="T104" s="53"/>
    </row>
    <row r="105" spans="1:20" ht="24" x14ac:dyDescent="0.25">
      <c r="A105" s="76">
        <v>2239</v>
      </c>
      <c r="B105" s="127" t="s">
        <v>121</v>
      </c>
      <c r="C105" s="279">
        <f t="shared" si="3"/>
        <v>945</v>
      </c>
      <c r="D105" s="474">
        <v>945</v>
      </c>
      <c r="E105" s="474"/>
      <c r="F105" s="279">
        <f t="shared" si="4"/>
        <v>945</v>
      </c>
      <c r="G105" s="134"/>
      <c r="H105" s="135"/>
      <c r="I105" s="136">
        <f t="shared" si="5"/>
        <v>0</v>
      </c>
      <c r="J105" s="134"/>
      <c r="K105" s="135"/>
      <c r="L105" s="136">
        <f t="shared" si="6"/>
        <v>0</v>
      </c>
      <c r="M105" s="284"/>
      <c r="N105" s="285"/>
      <c r="O105" s="136">
        <f t="shared" si="7"/>
        <v>0</v>
      </c>
      <c r="P105" s="85"/>
      <c r="R105" s="53"/>
      <c r="S105" s="53"/>
      <c r="T105" s="53"/>
    </row>
    <row r="106" spans="1:20" ht="36" x14ac:dyDescent="0.25">
      <c r="A106" s="276">
        <v>2240</v>
      </c>
      <c r="B106" s="127" t="s">
        <v>122</v>
      </c>
      <c r="C106" s="279">
        <f t="shared" si="3"/>
        <v>5933</v>
      </c>
      <c r="D106" s="279">
        <f>SUM(D107:D114)</f>
        <v>5933</v>
      </c>
      <c r="E106" s="279">
        <f>SUM(E107:E114)</f>
        <v>0</v>
      </c>
      <c r="F106" s="279">
        <f t="shared" si="4"/>
        <v>5933</v>
      </c>
      <c r="G106" s="277">
        <f>SUM(G107:G114)</f>
        <v>0</v>
      </c>
      <c r="H106" s="280">
        <f>SUM(H107:H114)</f>
        <v>0</v>
      </c>
      <c r="I106" s="136">
        <f t="shared" si="5"/>
        <v>0</v>
      </c>
      <c r="J106" s="277">
        <f>SUM(J107:J114)</f>
        <v>0</v>
      </c>
      <c r="K106" s="280">
        <f>SUM(K107:K114)</f>
        <v>0</v>
      </c>
      <c r="L106" s="136">
        <f t="shared" si="6"/>
        <v>0</v>
      </c>
      <c r="M106" s="281">
        <f>SUM(M107:M114)</f>
        <v>0</v>
      </c>
      <c r="N106" s="282">
        <f>SUM(N107:N114)</f>
        <v>0</v>
      </c>
      <c r="O106" s="136">
        <f t="shared" si="7"/>
        <v>0</v>
      </c>
      <c r="P106" s="85"/>
      <c r="R106" s="53"/>
      <c r="S106" s="53"/>
      <c r="T106" s="53"/>
    </row>
    <row r="107" spans="1:20" hidden="1" x14ac:dyDescent="0.25">
      <c r="A107" s="76">
        <v>2241</v>
      </c>
      <c r="B107" s="127" t="s">
        <v>123</v>
      </c>
      <c r="C107" s="279">
        <f t="shared" si="3"/>
        <v>0</v>
      </c>
      <c r="D107" s="474"/>
      <c r="E107" s="474"/>
      <c r="F107" s="279">
        <f t="shared" si="4"/>
        <v>0</v>
      </c>
      <c r="G107" s="134"/>
      <c r="H107" s="135"/>
      <c r="I107" s="136">
        <f t="shared" si="5"/>
        <v>0</v>
      </c>
      <c r="J107" s="134"/>
      <c r="K107" s="135"/>
      <c r="L107" s="136">
        <f t="shared" si="6"/>
        <v>0</v>
      </c>
      <c r="M107" s="284"/>
      <c r="N107" s="285"/>
      <c r="O107" s="136">
        <f t="shared" si="7"/>
        <v>0</v>
      </c>
      <c r="P107" s="85"/>
      <c r="R107" s="53"/>
      <c r="S107" s="53"/>
      <c r="T107" s="53"/>
    </row>
    <row r="108" spans="1:20" ht="24" hidden="1" x14ac:dyDescent="0.25">
      <c r="A108" s="76">
        <v>2242</v>
      </c>
      <c r="B108" s="127" t="s">
        <v>124</v>
      </c>
      <c r="C108" s="279">
        <f t="shared" si="3"/>
        <v>0</v>
      </c>
      <c r="D108" s="474"/>
      <c r="E108" s="474"/>
      <c r="F108" s="279">
        <f t="shared" si="4"/>
        <v>0</v>
      </c>
      <c r="G108" s="134"/>
      <c r="H108" s="135"/>
      <c r="I108" s="136">
        <f t="shared" si="5"/>
        <v>0</v>
      </c>
      <c r="J108" s="134"/>
      <c r="K108" s="135"/>
      <c r="L108" s="136">
        <f t="shared" si="6"/>
        <v>0</v>
      </c>
      <c r="M108" s="284"/>
      <c r="N108" s="285"/>
      <c r="O108" s="136">
        <f t="shared" si="7"/>
        <v>0</v>
      </c>
      <c r="P108" s="85"/>
      <c r="R108" s="53"/>
      <c r="S108" s="53"/>
      <c r="T108" s="53"/>
    </row>
    <row r="109" spans="1:20" ht="24" x14ac:dyDescent="0.25">
      <c r="A109" s="76">
        <v>2243</v>
      </c>
      <c r="B109" s="127" t="s">
        <v>125</v>
      </c>
      <c r="C109" s="279">
        <f t="shared" si="3"/>
        <v>455</v>
      </c>
      <c r="D109" s="474">
        <v>455</v>
      </c>
      <c r="E109" s="474"/>
      <c r="F109" s="279">
        <f t="shared" si="4"/>
        <v>455</v>
      </c>
      <c r="G109" s="134"/>
      <c r="H109" s="135"/>
      <c r="I109" s="136">
        <f t="shared" si="5"/>
        <v>0</v>
      </c>
      <c r="J109" s="134"/>
      <c r="K109" s="135"/>
      <c r="L109" s="136">
        <f t="shared" si="6"/>
        <v>0</v>
      </c>
      <c r="M109" s="284"/>
      <c r="N109" s="285"/>
      <c r="O109" s="136">
        <f t="shared" si="7"/>
        <v>0</v>
      </c>
      <c r="P109" s="85"/>
      <c r="R109" s="53"/>
      <c r="S109" s="53"/>
      <c r="T109" s="53"/>
    </row>
    <row r="110" spans="1:20" x14ac:dyDescent="0.25">
      <c r="A110" s="76">
        <v>2244</v>
      </c>
      <c r="B110" s="127" t="s">
        <v>126</v>
      </c>
      <c r="C110" s="279">
        <f t="shared" si="3"/>
        <v>5478</v>
      </c>
      <c r="D110" s="474">
        <v>5478</v>
      </c>
      <c r="E110" s="474"/>
      <c r="F110" s="279">
        <f t="shared" si="4"/>
        <v>5478</v>
      </c>
      <c r="G110" s="134"/>
      <c r="H110" s="135"/>
      <c r="I110" s="136">
        <f t="shared" si="5"/>
        <v>0</v>
      </c>
      <c r="J110" s="134"/>
      <c r="K110" s="135"/>
      <c r="L110" s="136">
        <f t="shared" si="6"/>
        <v>0</v>
      </c>
      <c r="M110" s="284"/>
      <c r="N110" s="285"/>
      <c r="O110" s="136">
        <f t="shared" si="7"/>
        <v>0</v>
      </c>
      <c r="P110" s="85"/>
      <c r="R110" s="53"/>
      <c r="S110" s="53"/>
      <c r="T110" s="53"/>
    </row>
    <row r="111" spans="1:20" ht="24" hidden="1" x14ac:dyDescent="0.25">
      <c r="A111" s="76">
        <v>2246</v>
      </c>
      <c r="B111" s="127" t="s">
        <v>127</v>
      </c>
      <c r="C111" s="279">
        <f t="shared" si="3"/>
        <v>0</v>
      </c>
      <c r="D111" s="474"/>
      <c r="E111" s="474"/>
      <c r="F111" s="279">
        <f t="shared" si="4"/>
        <v>0</v>
      </c>
      <c r="G111" s="134"/>
      <c r="H111" s="135"/>
      <c r="I111" s="136">
        <f t="shared" si="5"/>
        <v>0</v>
      </c>
      <c r="J111" s="134"/>
      <c r="K111" s="135"/>
      <c r="L111" s="136">
        <f t="shared" si="6"/>
        <v>0</v>
      </c>
      <c r="M111" s="284"/>
      <c r="N111" s="285"/>
      <c r="O111" s="136">
        <f t="shared" si="7"/>
        <v>0</v>
      </c>
      <c r="P111" s="85"/>
      <c r="R111" s="53"/>
      <c r="S111" s="53"/>
      <c r="T111" s="53"/>
    </row>
    <row r="112" spans="1:20" hidden="1" x14ac:dyDescent="0.25">
      <c r="A112" s="76">
        <v>2247</v>
      </c>
      <c r="B112" s="127" t="s">
        <v>128</v>
      </c>
      <c r="C112" s="279">
        <f t="shared" si="3"/>
        <v>0</v>
      </c>
      <c r="D112" s="474"/>
      <c r="E112" s="474"/>
      <c r="F112" s="279">
        <f t="shared" si="4"/>
        <v>0</v>
      </c>
      <c r="G112" s="134"/>
      <c r="H112" s="135"/>
      <c r="I112" s="136">
        <f t="shared" si="5"/>
        <v>0</v>
      </c>
      <c r="J112" s="134"/>
      <c r="K112" s="135"/>
      <c r="L112" s="136">
        <f t="shared" si="6"/>
        <v>0</v>
      </c>
      <c r="M112" s="284"/>
      <c r="N112" s="285"/>
      <c r="O112" s="136">
        <f t="shared" si="7"/>
        <v>0</v>
      </c>
      <c r="P112" s="85"/>
      <c r="R112" s="53"/>
      <c r="S112" s="53"/>
      <c r="T112" s="53"/>
    </row>
    <row r="113" spans="1:20" ht="24" hidden="1" x14ac:dyDescent="0.25">
      <c r="A113" s="76">
        <v>2248</v>
      </c>
      <c r="B113" s="127" t="s">
        <v>129</v>
      </c>
      <c r="C113" s="279">
        <f t="shared" si="3"/>
        <v>0</v>
      </c>
      <c r="D113" s="474"/>
      <c r="E113" s="474"/>
      <c r="F113" s="279">
        <f t="shared" si="4"/>
        <v>0</v>
      </c>
      <c r="G113" s="134"/>
      <c r="H113" s="135"/>
      <c r="I113" s="136">
        <f t="shared" si="5"/>
        <v>0</v>
      </c>
      <c r="J113" s="134"/>
      <c r="K113" s="135"/>
      <c r="L113" s="136">
        <f t="shared" si="6"/>
        <v>0</v>
      </c>
      <c r="M113" s="284"/>
      <c r="N113" s="285"/>
      <c r="O113" s="136">
        <f t="shared" si="7"/>
        <v>0</v>
      </c>
      <c r="P113" s="85"/>
      <c r="R113" s="53"/>
      <c r="S113" s="53"/>
      <c r="T113" s="53"/>
    </row>
    <row r="114" spans="1:20" ht="24" hidden="1" x14ac:dyDescent="0.25">
      <c r="A114" s="76">
        <v>2249</v>
      </c>
      <c r="B114" s="127" t="s">
        <v>130</v>
      </c>
      <c r="C114" s="279">
        <f t="shared" si="3"/>
        <v>0</v>
      </c>
      <c r="D114" s="474"/>
      <c r="E114" s="474"/>
      <c r="F114" s="279">
        <f t="shared" si="4"/>
        <v>0</v>
      </c>
      <c r="G114" s="134"/>
      <c r="H114" s="135"/>
      <c r="I114" s="136">
        <f t="shared" si="5"/>
        <v>0</v>
      </c>
      <c r="J114" s="134"/>
      <c r="K114" s="135"/>
      <c r="L114" s="136">
        <f t="shared" si="6"/>
        <v>0</v>
      </c>
      <c r="M114" s="284"/>
      <c r="N114" s="285"/>
      <c r="O114" s="136">
        <f t="shared" si="7"/>
        <v>0</v>
      </c>
      <c r="P114" s="85"/>
      <c r="R114" s="53"/>
      <c r="S114" s="53"/>
      <c r="T114" s="53"/>
    </row>
    <row r="115" spans="1:20" x14ac:dyDescent="0.25">
      <c r="A115" s="276">
        <v>2250</v>
      </c>
      <c r="B115" s="127" t="s">
        <v>131</v>
      </c>
      <c r="C115" s="279">
        <f t="shared" si="3"/>
        <v>166</v>
      </c>
      <c r="D115" s="279">
        <f>SUM(D116:D118)</f>
        <v>166</v>
      </c>
      <c r="E115" s="279">
        <f>SUM(E116:E118)</f>
        <v>0</v>
      </c>
      <c r="F115" s="279">
        <f t="shared" si="4"/>
        <v>166</v>
      </c>
      <c r="G115" s="277">
        <f>SUM(G116:G118)</f>
        <v>0</v>
      </c>
      <c r="H115" s="280">
        <f>SUM(H116:H118)</f>
        <v>0</v>
      </c>
      <c r="I115" s="136">
        <f t="shared" si="5"/>
        <v>0</v>
      </c>
      <c r="J115" s="277">
        <f>SUM(J116:J118)</f>
        <v>0</v>
      </c>
      <c r="K115" s="280">
        <f>SUM(K116:K118)</f>
        <v>0</v>
      </c>
      <c r="L115" s="136">
        <f t="shared" si="6"/>
        <v>0</v>
      </c>
      <c r="M115" s="281">
        <f>SUM(M116:M118)</f>
        <v>0</v>
      </c>
      <c r="N115" s="282">
        <f>SUM(N116:N118)</f>
        <v>0</v>
      </c>
      <c r="O115" s="136">
        <f t="shared" si="7"/>
        <v>0</v>
      </c>
      <c r="P115" s="85"/>
      <c r="R115" s="53"/>
      <c r="S115" s="53"/>
      <c r="T115" s="53"/>
    </row>
    <row r="116" spans="1:20" x14ac:dyDescent="0.25">
      <c r="A116" s="76">
        <v>2251</v>
      </c>
      <c r="B116" s="127" t="s">
        <v>132</v>
      </c>
      <c r="C116" s="279">
        <f t="shared" si="3"/>
        <v>166</v>
      </c>
      <c r="D116" s="474">
        <v>166</v>
      </c>
      <c r="E116" s="474"/>
      <c r="F116" s="279">
        <f t="shared" si="4"/>
        <v>166</v>
      </c>
      <c r="G116" s="134"/>
      <c r="H116" s="135"/>
      <c r="I116" s="136">
        <f t="shared" si="5"/>
        <v>0</v>
      </c>
      <c r="J116" s="134"/>
      <c r="K116" s="135"/>
      <c r="L116" s="136">
        <f t="shared" si="6"/>
        <v>0</v>
      </c>
      <c r="M116" s="284"/>
      <c r="N116" s="285"/>
      <c r="O116" s="136">
        <f t="shared" si="7"/>
        <v>0</v>
      </c>
      <c r="P116" s="85"/>
      <c r="R116" s="53"/>
      <c r="S116" s="53"/>
      <c r="T116" s="53"/>
    </row>
    <row r="117" spans="1:20" ht="24" hidden="1" x14ac:dyDescent="0.25">
      <c r="A117" s="76">
        <v>2252</v>
      </c>
      <c r="B117" s="127" t="s">
        <v>133</v>
      </c>
      <c r="C117" s="279">
        <f t="shared" ref="C117:C180" si="8">F117+I117+L117+O117</f>
        <v>0</v>
      </c>
      <c r="D117" s="474"/>
      <c r="E117" s="474"/>
      <c r="F117" s="279">
        <f t="shared" ref="F117:F180" si="9">D117+E117</f>
        <v>0</v>
      </c>
      <c r="G117" s="134"/>
      <c r="H117" s="135"/>
      <c r="I117" s="136">
        <f t="shared" ref="I117:I180" si="10">G117+H117</f>
        <v>0</v>
      </c>
      <c r="J117" s="134"/>
      <c r="K117" s="135"/>
      <c r="L117" s="136">
        <f t="shared" ref="L117:L180" si="11">J117+K117</f>
        <v>0</v>
      </c>
      <c r="M117" s="284"/>
      <c r="N117" s="285"/>
      <c r="O117" s="136">
        <f t="shared" ref="O117:O180" si="12">M117+N117</f>
        <v>0</v>
      </c>
      <c r="P117" s="85"/>
      <c r="R117" s="53"/>
      <c r="S117" s="53"/>
      <c r="T117" s="53"/>
    </row>
    <row r="118" spans="1:20" ht="24" hidden="1" x14ac:dyDescent="0.25">
      <c r="A118" s="76">
        <v>2259</v>
      </c>
      <c r="B118" s="127" t="s">
        <v>134</v>
      </c>
      <c r="C118" s="279">
        <f t="shared" si="8"/>
        <v>0</v>
      </c>
      <c r="D118" s="474"/>
      <c r="E118" s="474"/>
      <c r="F118" s="279">
        <f t="shared" si="9"/>
        <v>0</v>
      </c>
      <c r="G118" s="134"/>
      <c r="H118" s="135"/>
      <c r="I118" s="136">
        <f t="shared" si="10"/>
        <v>0</v>
      </c>
      <c r="J118" s="134"/>
      <c r="K118" s="135"/>
      <c r="L118" s="136">
        <f t="shared" si="11"/>
        <v>0</v>
      </c>
      <c r="M118" s="284"/>
      <c r="N118" s="285"/>
      <c r="O118" s="136">
        <f t="shared" si="12"/>
        <v>0</v>
      </c>
      <c r="P118" s="85"/>
      <c r="R118" s="53"/>
      <c r="S118" s="53"/>
      <c r="T118" s="53"/>
    </row>
    <row r="119" spans="1:20" x14ac:dyDescent="0.25">
      <c r="A119" s="276">
        <v>2260</v>
      </c>
      <c r="B119" s="127" t="s">
        <v>135</v>
      </c>
      <c r="C119" s="279">
        <f t="shared" si="8"/>
        <v>23</v>
      </c>
      <c r="D119" s="279">
        <f>SUM(D120:D124)</f>
        <v>23</v>
      </c>
      <c r="E119" s="279">
        <f>SUM(E120:E124)</f>
        <v>0</v>
      </c>
      <c r="F119" s="279">
        <f t="shared" si="9"/>
        <v>23</v>
      </c>
      <c r="G119" s="277">
        <f>SUM(G120:G124)</f>
        <v>0</v>
      </c>
      <c r="H119" s="280">
        <f>SUM(H120:H124)</f>
        <v>0</v>
      </c>
      <c r="I119" s="136">
        <f t="shared" si="10"/>
        <v>0</v>
      </c>
      <c r="J119" s="277">
        <f>SUM(J120:J124)</f>
        <v>0</v>
      </c>
      <c r="K119" s="280">
        <f>SUM(K120:K124)</f>
        <v>0</v>
      </c>
      <c r="L119" s="136">
        <f t="shared" si="11"/>
        <v>0</v>
      </c>
      <c r="M119" s="281">
        <f>SUM(M120:M124)</f>
        <v>0</v>
      </c>
      <c r="N119" s="282">
        <f>SUM(N120:N124)</f>
        <v>0</v>
      </c>
      <c r="O119" s="136">
        <f t="shared" si="12"/>
        <v>0</v>
      </c>
      <c r="P119" s="85"/>
      <c r="R119" s="53"/>
      <c r="S119" s="53"/>
      <c r="T119" s="53"/>
    </row>
    <row r="120" spans="1:20" hidden="1" x14ac:dyDescent="0.25">
      <c r="A120" s="76">
        <v>2261</v>
      </c>
      <c r="B120" s="127" t="s">
        <v>136</v>
      </c>
      <c r="C120" s="279">
        <f t="shared" si="8"/>
        <v>0</v>
      </c>
      <c r="D120" s="474"/>
      <c r="E120" s="474"/>
      <c r="F120" s="279">
        <f t="shared" si="9"/>
        <v>0</v>
      </c>
      <c r="G120" s="134"/>
      <c r="H120" s="135"/>
      <c r="I120" s="136">
        <f t="shared" si="10"/>
        <v>0</v>
      </c>
      <c r="J120" s="134"/>
      <c r="K120" s="135"/>
      <c r="L120" s="136">
        <f t="shared" si="11"/>
        <v>0</v>
      </c>
      <c r="M120" s="284"/>
      <c r="N120" s="285"/>
      <c r="O120" s="136">
        <f t="shared" si="12"/>
        <v>0</v>
      </c>
      <c r="P120" s="85"/>
      <c r="R120" s="53"/>
      <c r="S120" s="53"/>
      <c r="T120" s="53"/>
    </row>
    <row r="121" spans="1:20" hidden="1" x14ac:dyDescent="0.25">
      <c r="A121" s="76">
        <v>2262</v>
      </c>
      <c r="B121" s="127" t="s">
        <v>137</v>
      </c>
      <c r="C121" s="279">
        <f t="shared" si="8"/>
        <v>0</v>
      </c>
      <c r="D121" s="474"/>
      <c r="E121" s="474"/>
      <c r="F121" s="279">
        <f t="shared" si="9"/>
        <v>0</v>
      </c>
      <c r="G121" s="134"/>
      <c r="H121" s="135"/>
      <c r="I121" s="136">
        <f t="shared" si="10"/>
        <v>0</v>
      </c>
      <c r="J121" s="134"/>
      <c r="K121" s="135"/>
      <c r="L121" s="136">
        <f t="shared" si="11"/>
        <v>0</v>
      </c>
      <c r="M121" s="284"/>
      <c r="N121" s="285"/>
      <c r="O121" s="136">
        <f t="shared" si="12"/>
        <v>0</v>
      </c>
      <c r="P121" s="85"/>
      <c r="R121" s="53"/>
      <c r="S121" s="53"/>
      <c r="T121" s="53"/>
    </row>
    <row r="122" spans="1:20" hidden="1" x14ac:dyDescent="0.25">
      <c r="A122" s="76">
        <v>2263</v>
      </c>
      <c r="B122" s="127" t="s">
        <v>138</v>
      </c>
      <c r="C122" s="279">
        <f t="shared" si="8"/>
        <v>0</v>
      </c>
      <c r="D122" s="474"/>
      <c r="E122" s="474"/>
      <c r="F122" s="279">
        <f t="shared" si="9"/>
        <v>0</v>
      </c>
      <c r="G122" s="134"/>
      <c r="H122" s="135"/>
      <c r="I122" s="136">
        <f t="shared" si="10"/>
        <v>0</v>
      </c>
      <c r="J122" s="134"/>
      <c r="K122" s="135"/>
      <c r="L122" s="136">
        <f t="shared" si="11"/>
        <v>0</v>
      </c>
      <c r="M122" s="284"/>
      <c r="N122" s="285"/>
      <c r="O122" s="136">
        <f t="shared" si="12"/>
        <v>0</v>
      </c>
      <c r="P122" s="85"/>
      <c r="R122" s="53"/>
      <c r="S122" s="53"/>
      <c r="T122" s="53"/>
    </row>
    <row r="123" spans="1:20" ht="24" hidden="1" x14ac:dyDescent="0.25">
      <c r="A123" s="76">
        <v>2264</v>
      </c>
      <c r="B123" s="127" t="s">
        <v>139</v>
      </c>
      <c r="C123" s="279">
        <f t="shared" si="8"/>
        <v>0</v>
      </c>
      <c r="D123" s="474"/>
      <c r="E123" s="474"/>
      <c r="F123" s="279">
        <f t="shared" si="9"/>
        <v>0</v>
      </c>
      <c r="G123" s="134"/>
      <c r="H123" s="135"/>
      <c r="I123" s="136">
        <f t="shared" si="10"/>
        <v>0</v>
      </c>
      <c r="J123" s="134"/>
      <c r="K123" s="135"/>
      <c r="L123" s="136">
        <f t="shared" si="11"/>
        <v>0</v>
      </c>
      <c r="M123" s="284"/>
      <c r="N123" s="285"/>
      <c r="O123" s="136">
        <f t="shared" si="12"/>
        <v>0</v>
      </c>
      <c r="P123" s="85"/>
      <c r="R123" s="53"/>
      <c r="S123" s="53"/>
      <c r="T123" s="53"/>
    </row>
    <row r="124" spans="1:20" x14ac:dyDescent="0.25">
      <c r="A124" s="76">
        <v>2269</v>
      </c>
      <c r="B124" s="127" t="s">
        <v>140</v>
      </c>
      <c r="C124" s="279">
        <f t="shared" si="8"/>
        <v>23</v>
      </c>
      <c r="D124" s="474">
        <v>23</v>
      </c>
      <c r="E124" s="474"/>
      <c r="F124" s="279">
        <f t="shared" si="9"/>
        <v>23</v>
      </c>
      <c r="G124" s="134"/>
      <c r="H124" s="135"/>
      <c r="I124" s="136">
        <f t="shared" si="10"/>
        <v>0</v>
      </c>
      <c r="J124" s="134"/>
      <c r="K124" s="135"/>
      <c r="L124" s="136">
        <f t="shared" si="11"/>
        <v>0</v>
      </c>
      <c r="M124" s="284"/>
      <c r="N124" s="285"/>
      <c r="O124" s="136">
        <f t="shared" si="12"/>
        <v>0</v>
      </c>
      <c r="P124" s="85"/>
      <c r="R124" s="53"/>
      <c r="S124" s="53"/>
      <c r="T124" s="53"/>
    </row>
    <row r="125" spans="1:20" x14ac:dyDescent="0.25">
      <c r="A125" s="276">
        <v>2270</v>
      </c>
      <c r="B125" s="127" t="s">
        <v>141</v>
      </c>
      <c r="C125" s="279">
        <f t="shared" si="8"/>
        <v>592</v>
      </c>
      <c r="D125" s="279">
        <f>SUM(D126:D130)</f>
        <v>70</v>
      </c>
      <c r="E125" s="279">
        <f>SUM(E126:E130)</f>
        <v>0</v>
      </c>
      <c r="F125" s="279">
        <f t="shared" si="9"/>
        <v>70</v>
      </c>
      <c r="G125" s="277">
        <f>SUM(G126:G130)</f>
        <v>0</v>
      </c>
      <c r="H125" s="280">
        <f>SUM(H126:H130)</f>
        <v>0</v>
      </c>
      <c r="I125" s="136">
        <f t="shared" si="10"/>
        <v>0</v>
      </c>
      <c r="J125" s="277">
        <f>SUM(J126:J130)</f>
        <v>522</v>
      </c>
      <c r="K125" s="280">
        <f>SUM(K126:K130)</f>
        <v>0</v>
      </c>
      <c r="L125" s="136">
        <f t="shared" si="11"/>
        <v>522</v>
      </c>
      <c r="M125" s="281">
        <f>SUM(M126:M130)</f>
        <v>0</v>
      </c>
      <c r="N125" s="282">
        <f>SUM(N126:N130)</f>
        <v>0</v>
      </c>
      <c r="O125" s="136">
        <f t="shared" si="12"/>
        <v>0</v>
      </c>
      <c r="P125" s="85"/>
      <c r="R125" s="53"/>
      <c r="S125" s="53"/>
      <c r="T125" s="53"/>
    </row>
    <row r="126" spans="1:20" hidden="1" x14ac:dyDescent="0.25">
      <c r="A126" s="76">
        <v>2272</v>
      </c>
      <c r="B126" s="5" t="s">
        <v>142</v>
      </c>
      <c r="C126" s="279">
        <f t="shared" si="8"/>
        <v>0</v>
      </c>
      <c r="D126" s="474"/>
      <c r="E126" s="474"/>
      <c r="F126" s="279">
        <f t="shared" si="9"/>
        <v>0</v>
      </c>
      <c r="G126" s="134"/>
      <c r="H126" s="135"/>
      <c r="I126" s="136">
        <f t="shared" si="10"/>
        <v>0</v>
      </c>
      <c r="J126" s="134"/>
      <c r="K126" s="135"/>
      <c r="L126" s="136">
        <f t="shared" si="11"/>
        <v>0</v>
      </c>
      <c r="M126" s="284"/>
      <c r="N126" s="285"/>
      <c r="O126" s="136">
        <f t="shared" si="12"/>
        <v>0</v>
      </c>
      <c r="P126" s="85"/>
      <c r="R126" s="53"/>
      <c r="S126" s="53"/>
      <c r="T126" s="53"/>
    </row>
    <row r="127" spans="1:20" ht="24" hidden="1" x14ac:dyDescent="0.25">
      <c r="A127" s="76">
        <v>2275</v>
      </c>
      <c r="B127" s="127" t="s">
        <v>143</v>
      </c>
      <c r="C127" s="279">
        <f t="shared" si="8"/>
        <v>0</v>
      </c>
      <c r="D127" s="474"/>
      <c r="E127" s="474"/>
      <c r="F127" s="279">
        <f t="shared" si="9"/>
        <v>0</v>
      </c>
      <c r="G127" s="134"/>
      <c r="H127" s="135"/>
      <c r="I127" s="136">
        <f t="shared" si="10"/>
        <v>0</v>
      </c>
      <c r="J127" s="134"/>
      <c r="K127" s="135"/>
      <c r="L127" s="136">
        <f t="shared" si="11"/>
        <v>0</v>
      </c>
      <c r="M127" s="284"/>
      <c r="N127" s="285"/>
      <c r="O127" s="136">
        <f t="shared" si="12"/>
        <v>0</v>
      </c>
      <c r="P127" s="85"/>
      <c r="R127" s="53"/>
      <c r="S127" s="53"/>
      <c r="T127" s="53"/>
    </row>
    <row r="128" spans="1:20" ht="36" hidden="1" x14ac:dyDescent="0.25">
      <c r="A128" s="76">
        <v>2276</v>
      </c>
      <c r="B128" s="127" t="s">
        <v>144</v>
      </c>
      <c r="C128" s="279">
        <f t="shared" si="8"/>
        <v>0</v>
      </c>
      <c r="D128" s="474"/>
      <c r="E128" s="474"/>
      <c r="F128" s="279">
        <f t="shared" si="9"/>
        <v>0</v>
      </c>
      <c r="G128" s="134"/>
      <c r="H128" s="135"/>
      <c r="I128" s="136">
        <f t="shared" si="10"/>
        <v>0</v>
      </c>
      <c r="J128" s="134"/>
      <c r="K128" s="135"/>
      <c r="L128" s="136">
        <f t="shared" si="11"/>
        <v>0</v>
      </c>
      <c r="M128" s="284"/>
      <c r="N128" s="285"/>
      <c r="O128" s="136">
        <f t="shared" si="12"/>
        <v>0</v>
      </c>
      <c r="P128" s="85"/>
      <c r="R128" s="53"/>
      <c r="S128" s="53"/>
      <c r="T128" s="53"/>
    </row>
    <row r="129" spans="1:20" ht="24" hidden="1" x14ac:dyDescent="0.25">
      <c r="A129" s="76">
        <v>2278</v>
      </c>
      <c r="B129" s="127" t="s">
        <v>145</v>
      </c>
      <c r="C129" s="279">
        <f t="shared" si="8"/>
        <v>0</v>
      </c>
      <c r="D129" s="474"/>
      <c r="E129" s="474"/>
      <c r="F129" s="279">
        <f t="shared" si="9"/>
        <v>0</v>
      </c>
      <c r="G129" s="134"/>
      <c r="H129" s="135"/>
      <c r="I129" s="136">
        <f t="shared" si="10"/>
        <v>0</v>
      </c>
      <c r="J129" s="134"/>
      <c r="K129" s="135"/>
      <c r="L129" s="136">
        <f t="shared" si="11"/>
        <v>0</v>
      </c>
      <c r="M129" s="284"/>
      <c r="N129" s="285"/>
      <c r="O129" s="136">
        <f t="shared" si="12"/>
        <v>0</v>
      </c>
      <c r="P129" s="85"/>
      <c r="R129" s="53"/>
      <c r="S129" s="53"/>
      <c r="T129" s="53"/>
    </row>
    <row r="130" spans="1:20" ht="24" x14ac:dyDescent="0.25">
      <c r="A130" s="76">
        <v>2279</v>
      </c>
      <c r="B130" s="127" t="s">
        <v>146</v>
      </c>
      <c r="C130" s="279">
        <f t="shared" si="8"/>
        <v>592</v>
      </c>
      <c r="D130" s="474">
        <v>70</v>
      </c>
      <c r="E130" s="474"/>
      <c r="F130" s="279">
        <f t="shared" si="9"/>
        <v>70</v>
      </c>
      <c r="G130" s="134"/>
      <c r="H130" s="135"/>
      <c r="I130" s="136">
        <f t="shared" si="10"/>
        <v>0</v>
      </c>
      <c r="J130" s="134">
        <v>522</v>
      </c>
      <c r="K130" s="135"/>
      <c r="L130" s="136">
        <f t="shared" si="11"/>
        <v>522</v>
      </c>
      <c r="M130" s="284"/>
      <c r="N130" s="285"/>
      <c r="O130" s="136">
        <f t="shared" si="12"/>
        <v>0</v>
      </c>
      <c r="P130" s="85"/>
      <c r="R130" s="53"/>
      <c r="S130" s="53"/>
      <c r="T130" s="53"/>
    </row>
    <row r="131" spans="1:20" ht="24" hidden="1" x14ac:dyDescent="0.25">
      <c r="A131" s="656">
        <v>2280</v>
      </c>
      <c r="B131" s="116" t="s">
        <v>147</v>
      </c>
      <c r="C131" s="279">
        <f t="shared" si="8"/>
        <v>0</v>
      </c>
      <c r="D131" s="296">
        <f>SUM(D132)</f>
        <v>0</v>
      </c>
      <c r="E131" s="296">
        <f>SUM(E132)</f>
        <v>0</v>
      </c>
      <c r="F131" s="296">
        <f t="shared" si="9"/>
        <v>0</v>
      </c>
      <c r="G131" s="297">
        <f>SUM(G132)</f>
        <v>0</v>
      </c>
      <c r="H131" s="299">
        <f>SUM(H132)</f>
        <v>0</v>
      </c>
      <c r="I131" s="125">
        <f t="shared" si="10"/>
        <v>0</v>
      </c>
      <c r="J131" s="297">
        <f>SUM(J132)</f>
        <v>0</v>
      </c>
      <c r="K131" s="299">
        <f>SUM(K132)</f>
        <v>0</v>
      </c>
      <c r="L131" s="125">
        <f t="shared" si="11"/>
        <v>0</v>
      </c>
      <c r="M131" s="281">
        <f>SUM(M132)</f>
        <v>0</v>
      </c>
      <c r="N131" s="282">
        <f>SUM(N132)</f>
        <v>0</v>
      </c>
      <c r="O131" s="136">
        <f t="shared" si="12"/>
        <v>0</v>
      </c>
      <c r="P131" s="85"/>
      <c r="R131" s="53"/>
      <c r="S131" s="53"/>
      <c r="T131" s="53"/>
    </row>
    <row r="132" spans="1:20" ht="24" hidden="1" x14ac:dyDescent="0.25">
      <c r="A132" s="76">
        <v>2283</v>
      </c>
      <c r="B132" s="127" t="s">
        <v>148</v>
      </c>
      <c r="C132" s="279">
        <f t="shared" si="8"/>
        <v>0</v>
      </c>
      <c r="D132" s="474"/>
      <c r="E132" s="474"/>
      <c r="F132" s="279">
        <f t="shared" si="9"/>
        <v>0</v>
      </c>
      <c r="G132" s="134"/>
      <c r="H132" s="135"/>
      <c r="I132" s="136">
        <f t="shared" si="10"/>
        <v>0</v>
      </c>
      <c r="J132" s="134"/>
      <c r="K132" s="135"/>
      <c r="L132" s="136">
        <f t="shared" si="11"/>
        <v>0</v>
      </c>
      <c r="M132" s="284"/>
      <c r="N132" s="285"/>
      <c r="O132" s="136">
        <f t="shared" si="12"/>
        <v>0</v>
      </c>
      <c r="P132" s="85"/>
      <c r="R132" s="53"/>
      <c r="S132" s="53"/>
      <c r="T132" s="53"/>
    </row>
    <row r="133" spans="1:20" ht="36" x14ac:dyDescent="0.25">
      <c r="A133" s="99">
        <v>2300</v>
      </c>
      <c r="B133" s="247" t="s">
        <v>149</v>
      </c>
      <c r="C133" s="249">
        <f t="shared" si="8"/>
        <v>4952</v>
      </c>
      <c r="D133" s="249">
        <f>SUM(D134,D139,D143,D144,D147,D154,D162,D163,D166)</f>
        <v>4610</v>
      </c>
      <c r="E133" s="249">
        <f>SUM(E134,E139,E143,E144,E147,E154,E162,E163,E166)</f>
        <v>0</v>
      </c>
      <c r="F133" s="249">
        <f t="shared" si="9"/>
        <v>4610</v>
      </c>
      <c r="G133" s="112">
        <f>SUM(G134,G139,G143,G144,G147,G154,G162,G163,G166)</f>
        <v>342</v>
      </c>
      <c r="H133" s="113">
        <f>SUM(H134,H139,H143,H144,H147,H154,H162,H163,H166)</f>
        <v>0</v>
      </c>
      <c r="I133" s="114">
        <f t="shared" si="10"/>
        <v>342</v>
      </c>
      <c r="J133" s="112">
        <f>SUM(J134,J139,J143,J144,J147,J154,J162,J163,J166)</f>
        <v>0</v>
      </c>
      <c r="K133" s="113">
        <f>SUM(K134,K139,K143,K144,K147,K154,K162,K163,K166)</f>
        <v>0</v>
      </c>
      <c r="L133" s="114">
        <f t="shared" si="11"/>
        <v>0</v>
      </c>
      <c r="M133" s="292">
        <f>SUM(M134,M139,M143,M144,M147,M154,M162,M163,M166)</f>
        <v>0</v>
      </c>
      <c r="N133" s="293">
        <f>SUM(N134,N139,N143,N144,N147,N154,N162,N163,N166)</f>
        <v>0</v>
      </c>
      <c r="O133" s="114">
        <f t="shared" si="12"/>
        <v>0</v>
      </c>
      <c r="P133" s="109"/>
      <c r="R133" s="53"/>
      <c r="S133" s="53"/>
      <c r="T133" s="53"/>
    </row>
    <row r="134" spans="1:20" ht="24" x14ac:dyDescent="0.25">
      <c r="A134" s="656">
        <v>2310</v>
      </c>
      <c r="B134" s="116" t="s">
        <v>150</v>
      </c>
      <c r="C134" s="296">
        <f t="shared" si="8"/>
        <v>1556</v>
      </c>
      <c r="D134" s="362">
        <f>SUM(D135:D138)</f>
        <v>1556</v>
      </c>
      <c r="E134" s="296">
        <f>SUM(E135:E138)</f>
        <v>0</v>
      </c>
      <c r="F134" s="296">
        <f t="shared" si="9"/>
        <v>1556</v>
      </c>
      <c r="G134" s="297">
        <f>SUM(G135:G138)</f>
        <v>0</v>
      </c>
      <c r="H134" s="299">
        <f>SUM(H135:H138)</f>
        <v>0</v>
      </c>
      <c r="I134" s="125">
        <f t="shared" si="10"/>
        <v>0</v>
      </c>
      <c r="J134" s="297">
        <f>SUM(J135:J138)</f>
        <v>0</v>
      </c>
      <c r="K134" s="299">
        <f>SUM(K135:K138)</f>
        <v>0</v>
      </c>
      <c r="L134" s="125">
        <f t="shared" si="11"/>
        <v>0</v>
      </c>
      <c r="M134" s="300">
        <f>SUM(M135:M138)</f>
        <v>0</v>
      </c>
      <c r="N134" s="301">
        <f>SUM(N135:N138)</f>
        <v>0</v>
      </c>
      <c r="O134" s="125">
        <f t="shared" si="12"/>
        <v>0</v>
      </c>
      <c r="P134" s="74"/>
      <c r="R134" s="53"/>
      <c r="S134" s="53"/>
      <c r="T134" s="53"/>
    </row>
    <row r="135" spans="1:20" x14ac:dyDescent="0.25">
      <c r="A135" s="76">
        <v>2311</v>
      </c>
      <c r="B135" s="127" t="s">
        <v>151</v>
      </c>
      <c r="C135" s="279">
        <f t="shared" si="8"/>
        <v>300</v>
      </c>
      <c r="D135" s="474">
        <v>300</v>
      </c>
      <c r="E135" s="474"/>
      <c r="F135" s="279">
        <f t="shared" si="9"/>
        <v>300</v>
      </c>
      <c r="G135" s="134"/>
      <c r="H135" s="135"/>
      <c r="I135" s="136">
        <f t="shared" si="10"/>
        <v>0</v>
      </c>
      <c r="J135" s="134"/>
      <c r="K135" s="135"/>
      <c r="L135" s="136">
        <f t="shared" si="11"/>
        <v>0</v>
      </c>
      <c r="M135" s="284"/>
      <c r="N135" s="285"/>
      <c r="O135" s="136">
        <f t="shared" si="12"/>
        <v>0</v>
      </c>
      <c r="P135" s="85"/>
      <c r="R135" s="53"/>
      <c r="S135" s="53"/>
      <c r="T135" s="53"/>
    </row>
    <row r="136" spans="1:20" ht="52.5" customHeight="1" x14ac:dyDescent="0.25">
      <c r="A136" s="76">
        <v>2312</v>
      </c>
      <c r="B136" s="127" t="s">
        <v>152</v>
      </c>
      <c r="C136" s="279">
        <f t="shared" si="8"/>
        <v>1156</v>
      </c>
      <c r="D136" s="474">
        <v>1156</v>
      </c>
      <c r="E136" s="474"/>
      <c r="F136" s="279">
        <f t="shared" si="9"/>
        <v>1156</v>
      </c>
      <c r="G136" s="134"/>
      <c r="H136" s="135"/>
      <c r="I136" s="136">
        <f t="shared" si="10"/>
        <v>0</v>
      </c>
      <c r="J136" s="134"/>
      <c r="K136" s="135"/>
      <c r="L136" s="136">
        <f t="shared" si="11"/>
        <v>0</v>
      </c>
      <c r="M136" s="284"/>
      <c r="N136" s="285"/>
      <c r="O136" s="136">
        <f t="shared" si="12"/>
        <v>0</v>
      </c>
      <c r="P136" s="309"/>
      <c r="R136" s="53"/>
      <c r="S136" s="53"/>
      <c r="T136" s="53"/>
    </row>
    <row r="137" spans="1:20" x14ac:dyDescent="0.25">
      <c r="A137" s="76">
        <v>2313</v>
      </c>
      <c r="B137" s="127" t="s">
        <v>153</v>
      </c>
      <c r="C137" s="279">
        <f t="shared" si="8"/>
        <v>100</v>
      </c>
      <c r="D137" s="474">
        <v>100</v>
      </c>
      <c r="E137" s="474"/>
      <c r="F137" s="279">
        <f t="shared" si="9"/>
        <v>100</v>
      </c>
      <c r="G137" s="134"/>
      <c r="H137" s="135"/>
      <c r="I137" s="136">
        <f t="shared" si="10"/>
        <v>0</v>
      </c>
      <c r="J137" s="134"/>
      <c r="K137" s="135"/>
      <c r="L137" s="136">
        <f t="shared" si="11"/>
        <v>0</v>
      </c>
      <c r="M137" s="284"/>
      <c r="N137" s="285"/>
      <c r="O137" s="136">
        <f t="shared" si="12"/>
        <v>0</v>
      </c>
      <c r="P137" s="85"/>
      <c r="R137" s="53"/>
      <c r="S137" s="53"/>
      <c r="T137" s="53"/>
    </row>
    <row r="138" spans="1:20" ht="33.75" hidden="1" customHeight="1" x14ac:dyDescent="0.25">
      <c r="A138" s="76">
        <v>2314</v>
      </c>
      <c r="B138" s="127" t="s">
        <v>154</v>
      </c>
      <c r="C138" s="279">
        <f t="shared" si="8"/>
        <v>0</v>
      </c>
      <c r="D138" s="474"/>
      <c r="E138" s="474"/>
      <c r="F138" s="279">
        <f t="shared" si="9"/>
        <v>0</v>
      </c>
      <c r="G138" s="134"/>
      <c r="H138" s="135"/>
      <c r="I138" s="136">
        <f t="shared" si="10"/>
        <v>0</v>
      </c>
      <c r="J138" s="134"/>
      <c r="K138" s="135"/>
      <c r="L138" s="136">
        <f t="shared" si="11"/>
        <v>0</v>
      </c>
      <c r="M138" s="284"/>
      <c r="N138" s="285"/>
      <c r="O138" s="136">
        <f t="shared" si="12"/>
        <v>0</v>
      </c>
      <c r="P138" s="85"/>
      <c r="R138" s="53"/>
      <c r="S138" s="53"/>
      <c r="T138" s="53"/>
    </row>
    <row r="139" spans="1:20" x14ac:dyDescent="0.25">
      <c r="A139" s="276">
        <v>2320</v>
      </c>
      <c r="B139" s="127" t="s">
        <v>155</v>
      </c>
      <c r="C139" s="279">
        <f t="shared" si="8"/>
        <v>72</v>
      </c>
      <c r="D139" s="279">
        <f>SUM(D140:D142)</f>
        <v>72</v>
      </c>
      <c r="E139" s="279">
        <f>SUM(E140:E142)</f>
        <v>0</v>
      </c>
      <c r="F139" s="279">
        <f t="shared" si="9"/>
        <v>72</v>
      </c>
      <c r="G139" s="277">
        <f>SUM(G140:G142)</f>
        <v>0</v>
      </c>
      <c r="H139" s="280">
        <f>SUM(H140:H142)</f>
        <v>0</v>
      </c>
      <c r="I139" s="136">
        <f t="shared" si="10"/>
        <v>0</v>
      </c>
      <c r="J139" s="277">
        <f>SUM(J140:J142)</f>
        <v>0</v>
      </c>
      <c r="K139" s="280">
        <f>SUM(K140:K142)</f>
        <v>0</v>
      </c>
      <c r="L139" s="136">
        <f t="shared" si="11"/>
        <v>0</v>
      </c>
      <c r="M139" s="281">
        <f>SUM(M140:M142)</f>
        <v>0</v>
      </c>
      <c r="N139" s="282">
        <f>SUM(N140:N142)</f>
        <v>0</v>
      </c>
      <c r="O139" s="136">
        <f t="shared" si="12"/>
        <v>0</v>
      </c>
      <c r="P139" s="85"/>
      <c r="R139" s="53"/>
      <c r="S139" s="53"/>
      <c r="T139" s="53"/>
    </row>
    <row r="140" spans="1:20" hidden="1" x14ac:dyDescent="0.25">
      <c r="A140" s="76">
        <v>2321</v>
      </c>
      <c r="B140" s="127" t="s">
        <v>156</v>
      </c>
      <c r="C140" s="279">
        <f t="shared" si="8"/>
        <v>0</v>
      </c>
      <c r="D140" s="474"/>
      <c r="E140" s="474"/>
      <c r="F140" s="279">
        <f t="shared" si="9"/>
        <v>0</v>
      </c>
      <c r="G140" s="134"/>
      <c r="H140" s="135"/>
      <c r="I140" s="136">
        <f t="shared" si="10"/>
        <v>0</v>
      </c>
      <c r="J140" s="134"/>
      <c r="K140" s="135"/>
      <c r="L140" s="136">
        <f t="shared" si="11"/>
        <v>0</v>
      </c>
      <c r="M140" s="284"/>
      <c r="N140" s="285"/>
      <c r="O140" s="136">
        <f t="shared" si="12"/>
        <v>0</v>
      </c>
      <c r="P140" s="85"/>
      <c r="R140" s="53"/>
      <c r="S140" s="53"/>
      <c r="T140" s="53"/>
    </row>
    <row r="141" spans="1:20" x14ac:dyDescent="0.25">
      <c r="A141" s="76">
        <v>2322</v>
      </c>
      <c r="B141" s="127" t="s">
        <v>157</v>
      </c>
      <c r="C141" s="279">
        <f t="shared" si="8"/>
        <v>72</v>
      </c>
      <c r="D141" s="474">
        <v>72</v>
      </c>
      <c r="E141" s="474"/>
      <c r="F141" s="279">
        <f t="shared" si="9"/>
        <v>72</v>
      </c>
      <c r="G141" s="134"/>
      <c r="H141" s="135"/>
      <c r="I141" s="136">
        <f t="shared" si="10"/>
        <v>0</v>
      </c>
      <c r="J141" s="134"/>
      <c r="K141" s="135"/>
      <c r="L141" s="136">
        <f t="shared" si="11"/>
        <v>0</v>
      </c>
      <c r="M141" s="284"/>
      <c r="N141" s="285"/>
      <c r="O141" s="136">
        <f t="shared" si="12"/>
        <v>0</v>
      </c>
      <c r="P141" s="85"/>
      <c r="R141" s="53"/>
      <c r="S141" s="53"/>
      <c r="T141" s="53"/>
    </row>
    <row r="142" spans="1:20" hidden="1" x14ac:dyDescent="0.25">
      <c r="A142" s="76">
        <v>2329</v>
      </c>
      <c r="B142" s="127" t="s">
        <v>158</v>
      </c>
      <c r="C142" s="279">
        <f t="shared" si="8"/>
        <v>0</v>
      </c>
      <c r="D142" s="474"/>
      <c r="E142" s="474"/>
      <c r="F142" s="279">
        <f t="shared" si="9"/>
        <v>0</v>
      </c>
      <c r="G142" s="134"/>
      <c r="H142" s="135"/>
      <c r="I142" s="136">
        <f t="shared" si="10"/>
        <v>0</v>
      </c>
      <c r="J142" s="134"/>
      <c r="K142" s="135"/>
      <c r="L142" s="136">
        <f t="shared" si="11"/>
        <v>0</v>
      </c>
      <c r="M142" s="284"/>
      <c r="N142" s="285"/>
      <c r="O142" s="136">
        <f t="shared" si="12"/>
        <v>0</v>
      </c>
      <c r="P142" s="85"/>
      <c r="R142" s="53"/>
      <c r="S142" s="53"/>
      <c r="T142" s="53"/>
    </row>
    <row r="143" spans="1:20" hidden="1" x14ac:dyDescent="0.25">
      <c r="A143" s="276">
        <v>2330</v>
      </c>
      <c r="B143" s="127" t="s">
        <v>159</v>
      </c>
      <c r="C143" s="279">
        <f t="shared" si="8"/>
        <v>0</v>
      </c>
      <c r="D143" s="474"/>
      <c r="E143" s="474"/>
      <c r="F143" s="279">
        <f t="shared" si="9"/>
        <v>0</v>
      </c>
      <c r="G143" s="134"/>
      <c r="H143" s="135"/>
      <c r="I143" s="136">
        <f t="shared" si="10"/>
        <v>0</v>
      </c>
      <c r="J143" s="134"/>
      <c r="K143" s="135"/>
      <c r="L143" s="136">
        <f t="shared" si="11"/>
        <v>0</v>
      </c>
      <c r="M143" s="284"/>
      <c r="N143" s="285"/>
      <c r="O143" s="136">
        <f t="shared" si="12"/>
        <v>0</v>
      </c>
      <c r="P143" s="85"/>
      <c r="R143" s="53"/>
      <c r="S143" s="53"/>
      <c r="T143" s="53"/>
    </row>
    <row r="144" spans="1:20" ht="48" x14ac:dyDescent="0.25">
      <c r="A144" s="276">
        <v>2340</v>
      </c>
      <c r="B144" s="127" t="s">
        <v>160</v>
      </c>
      <c r="C144" s="279">
        <f t="shared" si="8"/>
        <v>72</v>
      </c>
      <c r="D144" s="279">
        <f>SUM(D145:D146)</f>
        <v>72</v>
      </c>
      <c r="E144" s="279">
        <f>SUM(E145:E146)</f>
        <v>0</v>
      </c>
      <c r="F144" s="279">
        <f t="shared" si="9"/>
        <v>72</v>
      </c>
      <c r="G144" s="277">
        <f>SUM(G145:G146)</f>
        <v>0</v>
      </c>
      <c r="H144" s="280">
        <f>SUM(H145:H146)</f>
        <v>0</v>
      </c>
      <c r="I144" s="136">
        <f t="shared" si="10"/>
        <v>0</v>
      </c>
      <c r="J144" s="277">
        <f>SUM(J145:J146)</f>
        <v>0</v>
      </c>
      <c r="K144" s="280">
        <f>SUM(K145:K146)</f>
        <v>0</v>
      </c>
      <c r="L144" s="136">
        <f t="shared" si="11"/>
        <v>0</v>
      </c>
      <c r="M144" s="281">
        <f>SUM(M145:M146)</f>
        <v>0</v>
      </c>
      <c r="N144" s="282">
        <f>SUM(N145:N146)</f>
        <v>0</v>
      </c>
      <c r="O144" s="136">
        <f t="shared" si="12"/>
        <v>0</v>
      </c>
      <c r="P144" s="85"/>
      <c r="R144" s="53"/>
      <c r="S144" s="53"/>
      <c r="T144" s="53"/>
    </row>
    <row r="145" spans="1:20" x14ac:dyDescent="0.25">
      <c r="A145" s="76">
        <v>2341</v>
      </c>
      <c r="B145" s="127" t="s">
        <v>161</v>
      </c>
      <c r="C145" s="279">
        <f t="shared" si="8"/>
        <v>72</v>
      </c>
      <c r="D145" s="474">
        <v>72</v>
      </c>
      <c r="E145" s="474"/>
      <c r="F145" s="279">
        <f t="shared" si="9"/>
        <v>72</v>
      </c>
      <c r="G145" s="134"/>
      <c r="H145" s="135"/>
      <c r="I145" s="136">
        <f t="shared" si="10"/>
        <v>0</v>
      </c>
      <c r="J145" s="134"/>
      <c r="K145" s="135"/>
      <c r="L145" s="136">
        <f t="shared" si="11"/>
        <v>0</v>
      </c>
      <c r="M145" s="284"/>
      <c r="N145" s="285"/>
      <c r="O145" s="136">
        <f t="shared" si="12"/>
        <v>0</v>
      </c>
      <c r="P145" s="85"/>
      <c r="R145" s="53"/>
      <c r="S145" s="53"/>
      <c r="T145" s="53"/>
    </row>
    <row r="146" spans="1:20" ht="24" hidden="1" x14ac:dyDescent="0.25">
      <c r="A146" s="76">
        <v>2344</v>
      </c>
      <c r="B146" s="127" t="s">
        <v>162</v>
      </c>
      <c r="C146" s="279">
        <f t="shared" si="8"/>
        <v>0</v>
      </c>
      <c r="D146" s="474"/>
      <c r="E146" s="474"/>
      <c r="F146" s="279">
        <f t="shared" si="9"/>
        <v>0</v>
      </c>
      <c r="G146" s="134"/>
      <c r="H146" s="135"/>
      <c r="I146" s="136">
        <f t="shared" si="10"/>
        <v>0</v>
      </c>
      <c r="J146" s="134"/>
      <c r="K146" s="135"/>
      <c r="L146" s="136">
        <f t="shared" si="11"/>
        <v>0</v>
      </c>
      <c r="M146" s="284"/>
      <c r="N146" s="285"/>
      <c r="O146" s="136">
        <f t="shared" si="12"/>
        <v>0</v>
      </c>
      <c r="P146" s="85"/>
      <c r="R146" s="53"/>
      <c r="S146" s="53"/>
      <c r="T146" s="53"/>
    </row>
    <row r="147" spans="1:20" ht="24" x14ac:dyDescent="0.25">
      <c r="A147" s="254">
        <v>2350</v>
      </c>
      <c r="B147" s="179" t="s">
        <v>163</v>
      </c>
      <c r="C147" s="279">
        <f t="shared" si="8"/>
        <v>1881</v>
      </c>
      <c r="D147" s="257">
        <f>SUM(D148:D153)</f>
        <v>1881</v>
      </c>
      <c r="E147" s="257">
        <f>SUM(E148:E153)</f>
        <v>0</v>
      </c>
      <c r="F147" s="257">
        <f t="shared" si="9"/>
        <v>1881</v>
      </c>
      <c r="G147" s="255">
        <f>SUM(G148:G153)</f>
        <v>0</v>
      </c>
      <c r="H147" s="258">
        <f>SUM(H148:H153)</f>
        <v>0</v>
      </c>
      <c r="I147" s="259">
        <f t="shared" si="10"/>
        <v>0</v>
      </c>
      <c r="J147" s="255">
        <f>SUM(J148:J153)</f>
        <v>0</v>
      </c>
      <c r="K147" s="258">
        <f>SUM(K148:K153)</f>
        <v>0</v>
      </c>
      <c r="L147" s="259">
        <f t="shared" si="11"/>
        <v>0</v>
      </c>
      <c r="M147" s="260">
        <f>SUM(M148:M153)</f>
        <v>0</v>
      </c>
      <c r="N147" s="261">
        <f>SUM(N148:N153)</f>
        <v>0</v>
      </c>
      <c r="O147" s="259">
        <f t="shared" si="12"/>
        <v>0</v>
      </c>
      <c r="P147" s="189"/>
      <c r="R147" s="53"/>
      <c r="S147" s="53"/>
      <c r="T147" s="53"/>
    </row>
    <row r="148" spans="1:20" x14ac:dyDescent="0.25">
      <c r="A148" s="66">
        <v>2351</v>
      </c>
      <c r="B148" s="116" t="s">
        <v>164</v>
      </c>
      <c r="C148" s="279">
        <f t="shared" si="8"/>
        <v>100</v>
      </c>
      <c r="D148" s="973">
        <v>100</v>
      </c>
      <c r="E148" s="973"/>
      <c r="F148" s="296">
        <f t="shared" si="9"/>
        <v>100</v>
      </c>
      <c r="G148" s="123"/>
      <c r="H148" s="124"/>
      <c r="I148" s="125">
        <f t="shared" si="10"/>
        <v>0</v>
      </c>
      <c r="J148" s="123"/>
      <c r="K148" s="124"/>
      <c r="L148" s="125">
        <f t="shared" si="11"/>
        <v>0</v>
      </c>
      <c r="M148" s="264"/>
      <c r="N148" s="262"/>
      <c r="O148" s="125">
        <f t="shared" si="12"/>
        <v>0</v>
      </c>
      <c r="P148" s="74"/>
      <c r="R148" s="53"/>
      <c r="S148" s="53"/>
      <c r="T148" s="53"/>
    </row>
    <row r="149" spans="1:20" x14ac:dyDescent="0.25">
      <c r="A149" s="76">
        <v>2352</v>
      </c>
      <c r="B149" s="127" t="s">
        <v>165</v>
      </c>
      <c r="C149" s="279">
        <f t="shared" si="8"/>
        <v>1781</v>
      </c>
      <c r="D149" s="474">
        <f>1813-32</f>
        <v>1781</v>
      </c>
      <c r="E149" s="474"/>
      <c r="F149" s="279">
        <f t="shared" si="9"/>
        <v>1781</v>
      </c>
      <c r="G149" s="134"/>
      <c r="H149" s="135"/>
      <c r="I149" s="136">
        <f t="shared" si="10"/>
        <v>0</v>
      </c>
      <c r="J149" s="134"/>
      <c r="K149" s="135"/>
      <c r="L149" s="136">
        <f t="shared" si="11"/>
        <v>0</v>
      </c>
      <c r="M149" s="284"/>
      <c r="N149" s="285"/>
      <c r="O149" s="136">
        <f t="shared" si="12"/>
        <v>0</v>
      </c>
      <c r="P149" s="85"/>
      <c r="R149" s="53"/>
      <c r="S149" s="53"/>
      <c r="T149" s="53"/>
    </row>
    <row r="150" spans="1:20" ht="24" hidden="1" x14ac:dyDescent="0.25">
      <c r="A150" s="76">
        <v>2353</v>
      </c>
      <c r="B150" s="127" t="s">
        <v>166</v>
      </c>
      <c r="C150" s="279">
        <f t="shared" si="8"/>
        <v>0</v>
      </c>
      <c r="D150" s="474"/>
      <c r="E150" s="474"/>
      <c r="F150" s="279">
        <f t="shared" si="9"/>
        <v>0</v>
      </c>
      <c r="G150" s="134"/>
      <c r="H150" s="135"/>
      <c r="I150" s="136">
        <f t="shared" si="10"/>
        <v>0</v>
      </c>
      <c r="J150" s="134"/>
      <c r="K150" s="135"/>
      <c r="L150" s="136">
        <f t="shared" si="11"/>
        <v>0</v>
      </c>
      <c r="M150" s="284"/>
      <c r="N150" s="285"/>
      <c r="O150" s="136">
        <f t="shared" si="12"/>
        <v>0</v>
      </c>
      <c r="P150" s="85"/>
      <c r="R150" s="53"/>
      <c r="S150" s="53"/>
      <c r="T150" s="53"/>
    </row>
    <row r="151" spans="1:20" ht="24" hidden="1" x14ac:dyDescent="0.25">
      <c r="A151" s="76">
        <v>2354</v>
      </c>
      <c r="B151" s="127" t="s">
        <v>167</v>
      </c>
      <c r="C151" s="279">
        <f t="shared" si="8"/>
        <v>0</v>
      </c>
      <c r="D151" s="474"/>
      <c r="E151" s="474"/>
      <c r="F151" s="279">
        <f t="shared" si="9"/>
        <v>0</v>
      </c>
      <c r="G151" s="134"/>
      <c r="H151" s="135"/>
      <c r="I151" s="136">
        <f t="shared" si="10"/>
        <v>0</v>
      </c>
      <c r="J151" s="134"/>
      <c r="K151" s="135"/>
      <c r="L151" s="136">
        <f t="shared" si="11"/>
        <v>0</v>
      </c>
      <c r="M151" s="284"/>
      <c r="N151" s="285"/>
      <c r="O151" s="136">
        <f t="shared" si="12"/>
        <v>0</v>
      </c>
      <c r="P151" s="85"/>
      <c r="R151" s="53"/>
      <c r="S151" s="53"/>
      <c r="T151" s="53"/>
    </row>
    <row r="152" spans="1:20" ht="24" hidden="1" x14ac:dyDescent="0.25">
      <c r="A152" s="76">
        <v>2355</v>
      </c>
      <c r="B152" s="127" t="s">
        <v>168</v>
      </c>
      <c r="C152" s="279">
        <f t="shared" si="8"/>
        <v>0</v>
      </c>
      <c r="D152" s="474"/>
      <c r="E152" s="474"/>
      <c r="F152" s="279">
        <f t="shared" si="9"/>
        <v>0</v>
      </c>
      <c r="G152" s="134"/>
      <c r="H152" s="135"/>
      <c r="I152" s="136">
        <f t="shared" si="10"/>
        <v>0</v>
      </c>
      <c r="J152" s="134"/>
      <c r="K152" s="135"/>
      <c r="L152" s="136">
        <f t="shared" si="11"/>
        <v>0</v>
      </c>
      <c r="M152" s="284"/>
      <c r="N152" s="285"/>
      <c r="O152" s="136">
        <f t="shared" si="12"/>
        <v>0</v>
      </c>
      <c r="P152" s="85"/>
      <c r="R152" s="53"/>
      <c r="S152" s="53"/>
      <c r="T152" s="53"/>
    </row>
    <row r="153" spans="1:20" ht="24" hidden="1" x14ac:dyDescent="0.25">
      <c r="A153" s="76">
        <v>2359</v>
      </c>
      <c r="B153" s="127" t="s">
        <v>169</v>
      </c>
      <c r="C153" s="279">
        <f t="shared" si="8"/>
        <v>0</v>
      </c>
      <c r="D153" s="474"/>
      <c r="E153" s="474"/>
      <c r="F153" s="279">
        <f t="shared" si="9"/>
        <v>0</v>
      </c>
      <c r="G153" s="134"/>
      <c r="H153" s="135"/>
      <c r="I153" s="136">
        <f t="shared" si="10"/>
        <v>0</v>
      </c>
      <c r="J153" s="134"/>
      <c r="K153" s="135"/>
      <c r="L153" s="136">
        <f t="shared" si="11"/>
        <v>0</v>
      </c>
      <c r="M153" s="284"/>
      <c r="N153" s="285"/>
      <c r="O153" s="136">
        <f t="shared" si="12"/>
        <v>0</v>
      </c>
      <c r="P153" s="85"/>
      <c r="R153" s="53"/>
      <c r="S153" s="53"/>
      <c r="T153" s="53"/>
    </row>
    <row r="154" spans="1:20" ht="24" x14ac:dyDescent="0.25">
      <c r="A154" s="276">
        <v>2360</v>
      </c>
      <c r="B154" s="127" t="s">
        <v>170</v>
      </c>
      <c r="C154" s="279">
        <f t="shared" si="8"/>
        <v>100</v>
      </c>
      <c r="D154" s="279">
        <f>SUM(D155:D161)</f>
        <v>100</v>
      </c>
      <c r="E154" s="279">
        <f>SUM(E155:E161)</f>
        <v>0</v>
      </c>
      <c r="F154" s="279">
        <f t="shared" si="9"/>
        <v>100</v>
      </c>
      <c r="G154" s="277">
        <f>SUM(G155:G161)</f>
        <v>0</v>
      </c>
      <c r="H154" s="280">
        <f>SUM(H155:H161)</f>
        <v>0</v>
      </c>
      <c r="I154" s="136">
        <f t="shared" si="10"/>
        <v>0</v>
      </c>
      <c r="J154" s="277">
        <f>SUM(J155:J161)</f>
        <v>0</v>
      </c>
      <c r="K154" s="280">
        <f>SUM(K155:K161)</f>
        <v>0</v>
      </c>
      <c r="L154" s="136">
        <f t="shared" si="11"/>
        <v>0</v>
      </c>
      <c r="M154" s="281">
        <f>SUM(M155:M161)</f>
        <v>0</v>
      </c>
      <c r="N154" s="282">
        <f>SUM(N155:N161)</f>
        <v>0</v>
      </c>
      <c r="O154" s="136">
        <f t="shared" si="12"/>
        <v>0</v>
      </c>
      <c r="P154" s="85"/>
      <c r="R154" s="53"/>
      <c r="S154" s="53"/>
      <c r="T154" s="53"/>
    </row>
    <row r="155" spans="1:20" hidden="1" x14ac:dyDescent="0.25">
      <c r="A155" s="75">
        <v>2361</v>
      </c>
      <c r="B155" s="127" t="s">
        <v>171</v>
      </c>
      <c r="C155" s="279">
        <f t="shared" si="8"/>
        <v>0</v>
      </c>
      <c r="D155" s="474"/>
      <c r="E155" s="474"/>
      <c r="F155" s="279">
        <f t="shared" si="9"/>
        <v>0</v>
      </c>
      <c r="G155" s="134"/>
      <c r="H155" s="135"/>
      <c r="I155" s="136">
        <f t="shared" si="10"/>
        <v>0</v>
      </c>
      <c r="J155" s="134"/>
      <c r="K155" s="135"/>
      <c r="L155" s="136">
        <f t="shared" si="11"/>
        <v>0</v>
      </c>
      <c r="M155" s="284"/>
      <c r="N155" s="285"/>
      <c r="O155" s="136">
        <f t="shared" si="12"/>
        <v>0</v>
      </c>
      <c r="P155" s="85"/>
      <c r="R155" s="53"/>
      <c r="S155" s="53"/>
      <c r="T155" s="53"/>
    </row>
    <row r="156" spans="1:20" ht="24" x14ac:dyDescent="0.25">
      <c r="A156" s="75">
        <v>2362</v>
      </c>
      <c r="B156" s="127" t="s">
        <v>172</v>
      </c>
      <c r="C156" s="279">
        <f t="shared" si="8"/>
        <v>100</v>
      </c>
      <c r="D156" s="474">
        <v>100</v>
      </c>
      <c r="E156" s="474"/>
      <c r="F156" s="279">
        <f t="shared" si="9"/>
        <v>100</v>
      </c>
      <c r="G156" s="134"/>
      <c r="H156" s="135"/>
      <c r="I156" s="136">
        <f t="shared" si="10"/>
        <v>0</v>
      </c>
      <c r="J156" s="134"/>
      <c r="K156" s="135"/>
      <c r="L156" s="136">
        <f t="shared" si="11"/>
        <v>0</v>
      </c>
      <c r="M156" s="284"/>
      <c r="N156" s="285"/>
      <c r="O156" s="136">
        <f t="shared" si="12"/>
        <v>0</v>
      </c>
      <c r="P156" s="85"/>
      <c r="R156" s="53"/>
      <c r="S156" s="53"/>
      <c r="T156" s="53"/>
    </row>
    <row r="157" spans="1:20" hidden="1" x14ac:dyDescent="0.25">
      <c r="A157" s="75">
        <v>2363</v>
      </c>
      <c r="B157" s="127" t="s">
        <v>173</v>
      </c>
      <c r="C157" s="279">
        <f t="shared" si="8"/>
        <v>0</v>
      </c>
      <c r="D157" s="474"/>
      <c r="E157" s="474"/>
      <c r="F157" s="279">
        <f t="shared" si="9"/>
        <v>0</v>
      </c>
      <c r="G157" s="134"/>
      <c r="H157" s="135"/>
      <c r="I157" s="136">
        <f t="shared" si="10"/>
        <v>0</v>
      </c>
      <c r="J157" s="134"/>
      <c r="K157" s="135"/>
      <c r="L157" s="136">
        <f t="shared" si="11"/>
        <v>0</v>
      </c>
      <c r="M157" s="284"/>
      <c r="N157" s="285"/>
      <c r="O157" s="136">
        <f t="shared" si="12"/>
        <v>0</v>
      </c>
      <c r="P157" s="85"/>
      <c r="R157" s="53"/>
      <c r="S157" s="53"/>
      <c r="T157" s="53"/>
    </row>
    <row r="158" spans="1:20" hidden="1" x14ac:dyDescent="0.25">
      <c r="A158" s="75">
        <v>2364</v>
      </c>
      <c r="B158" s="127" t="s">
        <v>174</v>
      </c>
      <c r="C158" s="279">
        <f t="shared" si="8"/>
        <v>0</v>
      </c>
      <c r="D158" s="474"/>
      <c r="E158" s="474"/>
      <c r="F158" s="279">
        <f t="shared" si="9"/>
        <v>0</v>
      </c>
      <c r="G158" s="134"/>
      <c r="H158" s="135"/>
      <c r="I158" s="136">
        <f t="shared" si="10"/>
        <v>0</v>
      </c>
      <c r="J158" s="134"/>
      <c r="K158" s="135"/>
      <c r="L158" s="136">
        <f t="shared" si="11"/>
        <v>0</v>
      </c>
      <c r="M158" s="284"/>
      <c r="N158" s="285"/>
      <c r="O158" s="136">
        <f t="shared" si="12"/>
        <v>0</v>
      </c>
      <c r="P158" s="85"/>
      <c r="R158" s="53"/>
      <c r="S158" s="53"/>
      <c r="T158" s="53"/>
    </row>
    <row r="159" spans="1:20" hidden="1" x14ac:dyDescent="0.25">
      <c r="A159" s="75">
        <v>2365</v>
      </c>
      <c r="B159" s="127" t="s">
        <v>175</v>
      </c>
      <c r="C159" s="279">
        <f t="shared" si="8"/>
        <v>0</v>
      </c>
      <c r="D159" s="474"/>
      <c r="E159" s="474"/>
      <c r="F159" s="279">
        <f t="shared" si="9"/>
        <v>0</v>
      </c>
      <c r="G159" s="134"/>
      <c r="H159" s="135"/>
      <c r="I159" s="136">
        <f t="shared" si="10"/>
        <v>0</v>
      </c>
      <c r="J159" s="134"/>
      <c r="K159" s="135"/>
      <c r="L159" s="136">
        <f t="shared" si="11"/>
        <v>0</v>
      </c>
      <c r="M159" s="284"/>
      <c r="N159" s="285"/>
      <c r="O159" s="136">
        <f t="shared" si="12"/>
        <v>0</v>
      </c>
      <c r="P159" s="85"/>
      <c r="R159" s="53"/>
      <c r="S159" s="53"/>
      <c r="T159" s="53"/>
    </row>
    <row r="160" spans="1:20" ht="36" hidden="1" x14ac:dyDescent="0.25">
      <c r="A160" s="75">
        <v>2366</v>
      </c>
      <c r="B160" s="127" t="s">
        <v>176</v>
      </c>
      <c r="C160" s="279">
        <f t="shared" si="8"/>
        <v>0</v>
      </c>
      <c r="D160" s="474"/>
      <c r="E160" s="474"/>
      <c r="F160" s="279">
        <f t="shared" si="9"/>
        <v>0</v>
      </c>
      <c r="G160" s="134"/>
      <c r="H160" s="135"/>
      <c r="I160" s="136">
        <f t="shared" si="10"/>
        <v>0</v>
      </c>
      <c r="J160" s="134"/>
      <c r="K160" s="135"/>
      <c r="L160" s="136">
        <f t="shared" si="11"/>
        <v>0</v>
      </c>
      <c r="M160" s="284"/>
      <c r="N160" s="285"/>
      <c r="O160" s="136">
        <f t="shared" si="12"/>
        <v>0</v>
      </c>
      <c r="P160" s="85"/>
      <c r="R160" s="53"/>
      <c r="S160" s="53"/>
      <c r="T160" s="53"/>
    </row>
    <row r="161" spans="1:20" ht="48" hidden="1" x14ac:dyDescent="0.25">
      <c r="A161" s="75">
        <v>2369</v>
      </c>
      <c r="B161" s="127" t="s">
        <v>177</v>
      </c>
      <c r="C161" s="279">
        <f t="shared" si="8"/>
        <v>0</v>
      </c>
      <c r="D161" s="474"/>
      <c r="E161" s="474"/>
      <c r="F161" s="279">
        <f t="shared" si="9"/>
        <v>0</v>
      </c>
      <c r="G161" s="134"/>
      <c r="H161" s="135"/>
      <c r="I161" s="136">
        <f t="shared" si="10"/>
        <v>0</v>
      </c>
      <c r="J161" s="134"/>
      <c r="K161" s="135"/>
      <c r="L161" s="136">
        <f t="shared" si="11"/>
        <v>0</v>
      </c>
      <c r="M161" s="284"/>
      <c r="N161" s="285"/>
      <c r="O161" s="136">
        <f t="shared" si="12"/>
        <v>0</v>
      </c>
      <c r="P161" s="85"/>
      <c r="R161" s="53"/>
      <c r="S161" s="53"/>
      <c r="T161" s="53"/>
    </row>
    <row r="162" spans="1:20" x14ac:dyDescent="0.25">
      <c r="A162" s="254">
        <v>2370</v>
      </c>
      <c r="B162" s="179" t="s">
        <v>178</v>
      </c>
      <c r="C162" s="279">
        <f t="shared" si="8"/>
        <v>1271</v>
      </c>
      <c r="D162" s="477">
        <v>929</v>
      </c>
      <c r="E162" s="477"/>
      <c r="F162" s="257">
        <f t="shared" si="9"/>
        <v>929</v>
      </c>
      <c r="G162" s="287">
        <v>342</v>
      </c>
      <c r="H162" s="289"/>
      <c r="I162" s="259">
        <f t="shared" si="10"/>
        <v>342</v>
      </c>
      <c r="J162" s="287"/>
      <c r="K162" s="289"/>
      <c r="L162" s="259">
        <f t="shared" si="11"/>
        <v>0</v>
      </c>
      <c r="M162" s="290"/>
      <c r="N162" s="291"/>
      <c r="O162" s="259">
        <f t="shared" si="12"/>
        <v>0</v>
      </c>
      <c r="P162" s="189"/>
      <c r="R162" s="53"/>
      <c r="S162" s="53"/>
      <c r="T162" s="53"/>
    </row>
    <row r="163" spans="1:20" hidden="1" x14ac:dyDescent="0.25">
      <c r="A163" s="254">
        <v>2380</v>
      </c>
      <c r="B163" s="179" t="s">
        <v>179</v>
      </c>
      <c r="C163" s="279">
        <f t="shared" si="8"/>
        <v>0</v>
      </c>
      <c r="D163" s="257">
        <f>SUM(D164:D165)</f>
        <v>0</v>
      </c>
      <c r="E163" s="257">
        <f>SUM(E164:E165)</f>
        <v>0</v>
      </c>
      <c r="F163" s="257">
        <f t="shared" si="9"/>
        <v>0</v>
      </c>
      <c r="G163" s="255">
        <f>SUM(G164:G165)</f>
        <v>0</v>
      </c>
      <c r="H163" s="258">
        <f>SUM(H164:H165)</f>
        <v>0</v>
      </c>
      <c r="I163" s="259">
        <f t="shared" si="10"/>
        <v>0</v>
      </c>
      <c r="J163" s="255">
        <f>SUM(J164:J165)</f>
        <v>0</v>
      </c>
      <c r="K163" s="258">
        <f>SUM(K164:K165)</f>
        <v>0</v>
      </c>
      <c r="L163" s="259">
        <f t="shared" si="11"/>
        <v>0</v>
      </c>
      <c r="M163" s="260">
        <f>SUM(M164:M165)</f>
        <v>0</v>
      </c>
      <c r="N163" s="261">
        <f>SUM(N164:N165)</f>
        <v>0</v>
      </c>
      <c r="O163" s="259">
        <f t="shared" si="12"/>
        <v>0</v>
      </c>
      <c r="P163" s="189"/>
      <c r="R163" s="53"/>
      <c r="S163" s="53"/>
      <c r="T163" s="53"/>
    </row>
    <row r="164" spans="1:20" hidden="1" x14ac:dyDescent="0.25">
      <c r="A164" s="65">
        <v>2381</v>
      </c>
      <c r="B164" s="116" t="s">
        <v>180</v>
      </c>
      <c r="C164" s="279">
        <f t="shared" si="8"/>
        <v>0</v>
      </c>
      <c r="D164" s="973"/>
      <c r="E164" s="973"/>
      <c r="F164" s="296">
        <f t="shared" si="9"/>
        <v>0</v>
      </c>
      <c r="G164" s="123"/>
      <c r="H164" s="124"/>
      <c r="I164" s="125">
        <f t="shared" si="10"/>
        <v>0</v>
      </c>
      <c r="J164" s="123"/>
      <c r="K164" s="124"/>
      <c r="L164" s="125">
        <f t="shared" si="11"/>
        <v>0</v>
      </c>
      <c r="M164" s="264"/>
      <c r="N164" s="262"/>
      <c r="O164" s="125">
        <f t="shared" si="12"/>
        <v>0</v>
      </c>
      <c r="P164" s="74"/>
      <c r="R164" s="53"/>
      <c r="S164" s="53"/>
      <c r="T164" s="53"/>
    </row>
    <row r="165" spans="1:20" ht="24" hidden="1" x14ac:dyDescent="0.25">
      <c r="A165" s="75">
        <v>2389</v>
      </c>
      <c r="B165" s="127" t="s">
        <v>181</v>
      </c>
      <c r="C165" s="279">
        <f t="shared" si="8"/>
        <v>0</v>
      </c>
      <c r="D165" s="474"/>
      <c r="E165" s="474"/>
      <c r="F165" s="279">
        <f t="shared" si="9"/>
        <v>0</v>
      </c>
      <c r="G165" s="134"/>
      <c r="H165" s="135"/>
      <c r="I165" s="136">
        <f t="shared" si="10"/>
        <v>0</v>
      </c>
      <c r="J165" s="134"/>
      <c r="K165" s="135"/>
      <c r="L165" s="136">
        <f t="shared" si="11"/>
        <v>0</v>
      </c>
      <c r="M165" s="284"/>
      <c r="N165" s="285"/>
      <c r="O165" s="136">
        <f t="shared" si="12"/>
        <v>0</v>
      </c>
      <c r="P165" s="85"/>
      <c r="R165" s="53"/>
      <c r="S165" s="53"/>
      <c r="T165" s="53"/>
    </row>
    <row r="166" spans="1:20" hidden="1" x14ac:dyDescent="0.25">
      <c r="A166" s="254">
        <v>2390</v>
      </c>
      <c r="B166" s="179" t="s">
        <v>182</v>
      </c>
      <c r="C166" s="279">
        <f t="shared" si="8"/>
        <v>0</v>
      </c>
      <c r="D166" s="477"/>
      <c r="E166" s="477"/>
      <c r="F166" s="257">
        <f t="shared" si="9"/>
        <v>0</v>
      </c>
      <c r="G166" s="287"/>
      <c r="H166" s="289"/>
      <c r="I166" s="259">
        <f t="shared" si="10"/>
        <v>0</v>
      </c>
      <c r="J166" s="287"/>
      <c r="K166" s="289"/>
      <c r="L166" s="259">
        <f t="shared" si="11"/>
        <v>0</v>
      </c>
      <c r="M166" s="290"/>
      <c r="N166" s="291"/>
      <c r="O166" s="259">
        <f t="shared" si="12"/>
        <v>0</v>
      </c>
      <c r="P166" s="189"/>
      <c r="R166" s="53"/>
      <c r="S166" s="53"/>
      <c r="T166" s="53"/>
    </row>
    <row r="167" spans="1:20" hidden="1" x14ac:dyDescent="0.25">
      <c r="A167" s="99">
        <v>2400</v>
      </c>
      <c r="B167" s="247" t="s">
        <v>183</v>
      </c>
      <c r="C167" s="249">
        <f t="shared" si="8"/>
        <v>0</v>
      </c>
      <c r="D167" s="974"/>
      <c r="E167" s="974"/>
      <c r="F167" s="249">
        <f t="shared" si="9"/>
        <v>0</v>
      </c>
      <c r="G167" s="311"/>
      <c r="H167" s="314"/>
      <c r="I167" s="114">
        <f t="shared" si="10"/>
        <v>0</v>
      </c>
      <c r="J167" s="311"/>
      <c r="K167" s="314"/>
      <c r="L167" s="114">
        <f t="shared" si="11"/>
        <v>0</v>
      </c>
      <c r="M167" s="315"/>
      <c r="N167" s="312"/>
      <c r="O167" s="114">
        <f t="shared" si="12"/>
        <v>0</v>
      </c>
      <c r="P167" s="109"/>
      <c r="R167" s="53"/>
      <c r="S167" s="53"/>
      <c r="T167" s="53"/>
    </row>
    <row r="168" spans="1:20" ht="24" hidden="1" x14ac:dyDescent="0.25">
      <c r="A168" s="99">
        <v>2500</v>
      </c>
      <c r="B168" s="247" t="s">
        <v>184</v>
      </c>
      <c r="C168" s="249">
        <f t="shared" si="8"/>
        <v>0</v>
      </c>
      <c r="D168" s="249">
        <f>SUM(D169,D174)</f>
        <v>0</v>
      </c>
      <c r="E168" s="249">
        <f>SUM(E169,E174)</f>
        <v>0</v>
      </c>
      <c r="F168" s="249">
        <f t="shared" si="9"/>
        <v>0</v>
      </c>
      <c r="G168" s="112">
        <f>SUM(G169,G174)</f>
        <v>0</v>
      </c>
      <c r="H168" s="113">
        <f>SUM(H169,H174)</f>
        <v>0</v>
      </c>
      <c r="I168" s="114">
        <f t="shared" si="10"/>
        <v>0</v>
      </c>
      <c r="J168" s="112">
        <f>SUM(J169,J174)</f>
        <v>0</v>
      </c>
      <c r="K168" s="113">
        <f>SUM(K169,K174)</f>
        <v>0</v>
      </c>
      <c r="L168" s="114">
        <f t="shared" si="11"/>
        <v>0</v>
      </c>
      <c r="M168" s="250">
        <f>SUM(M169,M174)</f>
        <v>0</v>
      </c>
      <c r="N168" s="251">
        <f>SUM(N169,N174)</f>
        <v>0</v>
      </c>
      <c r="O168" s="252">
        <f t="shared" si="12"/>
        <v>0</v>
      </c>
      <c r="P168" s="253"/>
      <c r="R168" s="53"/>
      <c r="S168" s="53"/>
      <c r="T168" s="53"/>
    </row>
    <row r="169" spans="1:20" hidden="1" x14ac:dyDescent="0.25">
      <c r="A169" s="656">
        <v>2510</v>
      </c>
      <c r="B169" s="116" t="s">
        <v>185</v>
      </c>
      <c r="C169" s="296">
        <f t="shared" si="8"/>
        <v>0</v>
      </c>
      <c r="D169" s="296">
        <f>SUM(D170:D173)</f>
        <v>0</v>
      </c>
      <c r="E169" s="296">
        <f>SUM(E170:E173)</f>
        <v>0</v>
      </c>
      <c r="F169" s="296">
        <f t="shared" si="9"/>
        <v>0</v>
      </c>
      <c r="G169" s="297">
        <f>SUM(G170:G173)</f>
        <v>0</v>
      </c>
      <c r="H169" s="299">
        <f>SUM(H170:H173)</f>
        <v>0</v>
      </c>
      <c r="I169" s="125">
        <f t="shared" si="10"/>
        <v>0</v>
      </c>
      <c r="J169" s="297">
        <f>SUM(J170:J173)</f>
        <v>0</v>
      </c>
      <c r="K169" s="299">
        <f>SUM(K170:K173)</f>
        <v>0</v>
      </c>
      <c r="L169" s="125">
        <f t="shared" si="11"/>
        <v>0</v>
      </c>
      <c r="M169" s="317">
        <f>SUM(M170:M173)</f>
        <v>0</v>
      </c>
      <c r="N169" s="318">
        <f>SUM(N170:N173)</f>
        <v>0</v>
      </c>
      <c r="O169" s="151">
        <f t="shared" si="12"/>
        <v>0</v>
      </c>
      <c r="P169" s="153"/>
      <c r="R169" s="53"/>
      <c r="S169" s="53"/>
      <c r="T169" s="53"/>
    </row>
    <row r="170" spans="1:20" ht="24" hidden="1" x14ac:dyDescent="0.25">
      <c r="A170" s="76">
        <v>2512</v>
      </c>
      <c r="B170" s="127" t="s">
        <v>186</v>
      </c>
      <c r="C170" s="279">
        <f t="shared" si="8"/>
        <v>0</v>
      </c>
      <c r="D170" s="474"/>
      <c r="E170" s="474"/>
      <c r="F170" s="279">
        <f t="shared" si="9"/>
        <v>0</v>
      </c>
      <c r="G170" s="134"/>
      <c r="H170" s="135"/>
      <c r="I170" s="136">
        <f t="shared" si="10"/>
        <v>0</v>
      </c>
      <c r="J170" s="134"/>
      <c r="K170" s="135"/>
      <c r="L170" s="136">
        <f t="shared" si="11"/>
        <v>0</v>
      </c>
      <c r="M170" s="284"/>
      <c r="N170" s="285"/>
      <c r="O170" s="136">
        <f t="shared" si="12"/>
        <v>0</v>
      </c>
      <c r="P170" s="85"/>
      <c r="R170" s="53"/>
      <c r="S170" s="53"/>
      <c r="T170" s="53"/>
    </row>
    <row r="171" spans="1:20" ht="36" hidden="1" x14ac:dyDescent="0.25">
      <c r="A171" s="76">
        <v>2513</v>
      </c>
      <c r="B171" s="127" t="s">
        <v>187</v>
      </c>
      <c r="C171" s="279">
        <f t="shared" si="8"/>
        <v>0</v>
      </c>
      <c r="D171" s="474"/>
      <c r="E171" s="474"/>
      <c r="F171" s="279">
        <f t="shared" si="9"/>
        <v>0</v>
      </c>
      <c r="G171" s="134"/>
      <c r="H171" s="135"/>
      <c r="I171" s="136">
        <f t="shared" si="10"/>
        <v>0</v>
      </c>
      <c r="J171" s="134"/>
      <c r="K171" s="135"/>
      <c r="L171" s="136">
        <f t="shared" si="11"/>
        <v>0</v>
      </c>
      <c r="M171" s="284"/>
      <c r="N171" s="285"/>
      <c r="O171" s="136">
        <f t="shared" si="12"/>
        <v>0</v>
      </c>
      <c r="P171" s="85"/>
      <c r="R171" s="53"/>
      <c r="S171" s="53"/>
      <c r="T171" s="53"/>
    </row>
    <row r="172" spans="1:20" ht="24" hidden="1" x14ac:dyDescent="0.25">
      <c r="A172" s="76">
        <v>2515</v>
      </c>
      <c r="B172" s="127" t="s">
        <v>188</v>
      </c>
      <c r="C172" s="279">
        <f t="shared" si="8"/>
        <v>0</v>
      </c>
      <c r="D172" s="474"/>
      <c r="E172" s="474"/>
      <c r="F172" s="279">
        <f t="shared" si="9"/>
        <v>0</v>
      </c>
      <c r="G172" s="134"/>
      <c r="H172" s="135"/>
      <c r="I172" s="136">
        <f t="shared" si="10"/>
        <v>0</v>
      </c>
      <c r="J172" s="134"/>
      <c r="K172" s="135"/>
      <c r="L172" s="136">
        <f t="shared" si="11"/>
        <v>0</v>
      </c>
      <c r="M172" s="284"/>
      <c r="N172" s="285"/>
      <c r="O172" s="136">
        <f t="shared" si="12"/>
        <v>0</v>
      </c>
      <c r="P172" s="85"/>
      <c r="R172" s="53"/>
      <c r="S172" s="53"/>
      <c r="T172" s="53"/>
    </row>
    <row r="173" spans="1:20" ht="24" hidden="1" x14ac:dyDescent="0.25">
      <c r="A173" s="76">
        <v>2519</v>
      </c>
      <c r="B173" s="127" t="s">
        <v>189</v>
      </c>
      <c r="C173" s="279">
        <f t="shared" si="8"/>
        <v>0</v>
      </c>
      <c r="D173" s="474"/>
      <c r="E173" s="474"/>
      <c r="F173" s="279">
        <f t="shared" si="9"/>
        <v>0</v>
      </c>
      <c r="G173" s="134"/>
      <c r="H173" s="135"/>
      <c r="I173" s="136">
        <f t="shared" si="10"/>
        <v>0</v>
      </c>
      <c r="J173" s="134"/>
      <c r="K173" s="135"/>
      <c r="L173" s="136">
        <f t="shared" si="11"/>
        <v>0</v>
      </c>
      <c r="M173" s="284"/>
      <c r="N173" s="285"/>
      <c r="O173" s="136">
        <f t="shared" si="12"/>
        <v>0</v>
      </c>
      <c r="P173" s="85"/>
      <c r="R173" s="53"/>
      <c r="S173" s="53"/>
      <c r="T173" s="53"/>
    </row>
    <row r="174" spans="1:20" ht="24" hidden="1" x14ac:dyDescent="0.25">
      <c r="A174" s="276">
        <v>2520</v>
      </c>
      <c r="B174" s="127" t="s">
        <v>190</v>
      </c>
      <c r="C174" s="279">
        <f t="shared" si="8"/>
        <v>0</v>
      </c>
      <c r="D174" s="474"/>
      <c r="E174" s="474"/>
      <c r="F174" s="279">
        <f t="shared" si="9"/>
        <v>0</v>
      </c>
      <c r="G174" s="134"/>
      <c r="H174" s="135"/>
      <c r="I174" s="136">
        <f t="shared" si="10"/>
        <v>0</v>
      </c>
      <c r="J174" s="134"/>
      <c r="K174" s="135"/>
      <c r="L174" s="136">
        <f t="shared" si="11"/>
        <v>0</v>
      </c>
      <c r="M174" s="284"/>
      <c r="N174" s="285"/>
      <c r="O174" s="136">
        <f t="shared" si="12"/>
        <v>0</v>
      </c>
      <c r="P174" s="85"/>
      <c r="R174" s="53"/>
      <c r="S174" s="53"/>
      <c r="T174" s="53"/>
    </row>
    <row r="175" spans="1:20" s="319" customFormat="1" ht="48" hidden="1" x14ac:dyDescent="0.25">
      <c r="A175" s="31">
        <v>2800</v>
      </c>
      <c r="B175" s="116" t="s">
        <v>191</v>
      </c>
      <c r="C175" s="296">
        <f t="shared" si="8"/>
        <v>0</v>
      </c>
      <c r="D175" s="967"/>
      <c r="E175" s="967"/>
      <c r="F175" s="625">
        <f t="shared" si="9"/>
        <v>0</v>
      </c>
      <c r="G175" s="68"/>
      <c r="H175" s="71"/>
      <c r="I175" s="72">
        <f t="shared" si="10"/>
        <v>0</v>
      </c>
      <c r="J175" s="68"/>
      <c r="K175" s="71"/>
      <c r="L175" s="72">
        <f t="shared" si="11"/>
        <v>0</v>
      </c>
      <c r="M175" s="73"/>
      <c r="N175" s="69"/>
      <c r="O175" s="72">
        <f t="shared" si="12"/>
        <v>0</v>
      </c>
      <c r="P175" s="74"/>
      <c r="R175" s="53"/>
      <c r="S175" s="53"/>
      <c r="T175" s="53"/>
    </row>
    <row r="176" spans="1:20" hidden="1" x14ac:dyDescent="0.25">
      <c r="A176" s="237">
        <v>3000</v>
      </c>
      <c r="B176" s="237" t="s">
        <v>192</v>
      </c>
      <c r="C176" s="241">
        <f t="shared" si="8"/>
        <v>0</v>
      </c>
      <c r="D176" s="241">
        <f>SUM(D177,D187)</f>
        <v>0</v>
      </c>
      <c r="E176" s="241">
        <f>SUM(E177,E187)</f>
        <v>0</v>
      </c>
      <c r="F176" s="241">
        <f t="shared" si="9"/>
        <v>0</v>
      </c>
      <c r="G176" s="239">
        <f>SUM(G177,G187)</f>
        <v>0</v>
      </c>
      <c r="H176" s="242">
        <f>SUM(H177,H187)</f>
        <v>0</v>
      </c>
      <c r="I176" s="243">
        <f t="shared" si="10"/>
        <v>0</v>
      </c>
      <c r="J176" s="239">
        <f>SUM(J177,J187)</f>
        <v>0</v>
      </c>
      <c r="K176" s="242">
        <f>SUM(K177,K187)</f>
        <v>0</v>
      </c>
      <c r="L176" s="243">
        <f t="shared" si="11"/>
        <v>0</v>
      </c>
      <c r="M176" s="244">
        <f>SUM(M177,M187)</f>
        <v>0</v>
      </c>
      <c r="N176" s="245">
        <f>SUM(N177,N187)</f>
        <v>0</v>
      </c>
      <c r="O176" s="243">
        <f t="shared" si="12"/>
        <v>0</v>
      </c>
      <c r="P176" s="246"/>
      <c r="R176" s="53"/>
      <c r="S176" s="53"/>
      <c r="T176" s="53"/>
    </row>
    <row r="177" spans="1:20" ht="24" hidden="1" x14ac:dyDescent="0.25">
      <c r="A177" s="99">
        <v>3200</v>
      </c>
      <c r="B177" s="321" t="s">
        <v>193</v>
      </c>
      <c r="C177" s="249">
        <f t="shared" si="8"/>
        <v>0</v>
      </c>
      <c r="D177" s="249">
        <f>SUM(D178,D182)</f>
        <v>0</v>
      </c>
      <c r="E177" s="249">
        <f>SUM(E178,E182)</f>
        <v>0</v>
      </c>
      <c r="F177" s="249">
        <f t="shared" si="9"/>
        <v>0</v>
      </c>
      <c r="G177" s="112">
        <f>SUM(G178,G182)</f>
        <v>0</v>
      </c>
      <c r="H177" s="113">
        <f>SUM(H178,H182)</f>
        <v>0</v>
      </c>
      <c r="I177" s="114">
        <f t="shared" si="10"/>
        <v>0</v>
      </c>
      <c r="J177" s="112">
        <f>SUM(J178,J182)</f>
        <v>0</v>
      </c>
      <c r="K177" s="113">
        <f>SUM(K178,K182)</f>
        <v>0</v>
      </c>
      <c r="L177" s="114">
        <f t="shared" si="11"/>
        <v>0</v>
      </c>
      <c r="M177" s="250">
        <f>SUM(M178,M182)</f>
        <v>0</v>
      </c>
      <c r="N177" s="251">
        <f>SUM(N178,N182)</f>
        <v>0</v>
      </c>
      <c r="O177" s="252">
        <f t="shared" si="12"/>
        <v>0</v>
      </c>
      <c r="P177" s="253"/>
      <c r="R177" s="53"/>
      <c r="S177" s="53"/>
      <c r="T177" s="53"/>
    </row>
    <row r="178" spans="1:20" ht="36" hidden="1" x14ac:dyDescent="0.25">
      <c r="A178" s="656">
        <v>3260</v>
      </c>
      <c r="B178" s="116" t="s">
        <v>194</v>
      </c>
      <c r="C178" s="296">
        <f t="shared" si="8"/>
        <v>0</v>
      </c>
      <c r="D178" s="296">
        <f>SUM(D179:D181)</f>
        <v>0</v>
      </c>
      <c r="E178" s="296">
        <f>SUM(E179:E181)</f>
        <v>0</v>
      </c>
      <c r="F178" s="296">
        <f t="shared" si="9"/>
        <v>0</v>
      </c>
      <c r="G178" s="297">
        <f>SUM(G179:G181)</f>
        <v>0</v>
      </c>
      <c r="H178" s="299">
        <f>SUM(H179:H181)</f>
        <v>0</v>
      </c>
      <c r="I178" s="125">
        <f t="shared" si="10"/>
        <v>0</v>
      </c>
      <c r="J178" s="297">
        <f>SUM(J179:J181)</f>
        <v>0</v>
      </c>
      <c r="K178" s="299">
        <f>SUM(K179:K181)</f>
        <v>0</v>
      </c>
      <c r="L178" s="125">
        <f t="shared" si="11"/>
        <v>0</v>
      </c>
      <c r="M178" s="300">
        <f>SUM(M179:M181)</f>
        <v>0</v>
      </c>
      <c r="N178" s="301">
        <f>SUM(N179:N181)</f>
        <v>0</v>
      </c>
      <c r="O178" s="125">
        <f t="shared" si="12"/>
        <v>0</v>
      </c>
      <c r="P178" s="74"/>
      <c r="R178" s="53"/>
      <c r="S178" s="53"/>
      <c r="T178" s="53"/>
    </row>
    <row r="179" spans="1:20" ht="24" hidden="1" x14ac:dyDescent="0.25">
      <c r="A179" s="76">
        <v>3261</v>
      </c>
      <c r="B179" s="127" t="s">
        <v>195</v>
      </c>
      <c r="C179" s="279">
        <f t="shared" si="8"/>
        <v>0</v>
      </c>
      <c r="D179" s="474"/>
      <c r="E179" s="474"/>
      <c r="F179" s="279">
        <f t="shared" si="9"/>
        <v>0</v>
      </c>
      <c r="G179" s="134"/>
      <c r="H179" s="135"/>
      <c r="I179" s="136">
        <f t="shared" si="10"/>
        <v>0</v>
      </c>
      <c r="J179" s="134"/>
      <c r="K179" s="135"/>
      <c r="L179" s="136">
        <f t="shared" si="11"/>
        <v>0</v>
      </c>
      <c r="M179" s="284"/>
      <c r="N179" s="285"/>
      <c r="O179" s="136">
        <f t="shared" si="12"/>
        <v>0</v>
      </c>
      <c r="P179" s="85"/>
      <c r="R179" s="53"/>
      <c r="S179" s="53"/>
      <c r="T179" s="53"/>
    </row>
    <row r="180" spans="1:20" ht="36" hidden="1" x14ac:dyDescent="0.25">
      <c r="A180" s="76">
        <v>3262</v>
      </c>
      <c r="B180" s="127" t="s">
        <v>196</v>
      </c>
      <c r="C180" s="279">
        <f t="shared" si="8"/>
        <v>0</v>
      </c>
      <c r="D180" s="474"/>
      <c r="E180" s="474"/>
      <c r="F180" s="279">
        <f t="shared" si="9"/>
        <v>0</v>
      </c>
      <c r="G180" s="134"/>
      <c r="H180" s="135"/>
      <c r="I180" s="136">
        <f t="shared" si="10"/>
        <v>0</v>
      </c>
      <c r="J180" s="134"/>
      <c r="K180" s="135"/>
      <c r="L180" s="136">
        <f t="shared" si="11"/>
        <v>0</v>
      </c>
      <c r="M180" s="284"/>
      <c r="N180" s="285"/>
      <c r="O180" s="136">
        <f t="shared" si="12"/>
        <v>0</v>
      </c>
      <c r="P180" s="85"/>
      <c r="R180" s="53"/>
      <c r="S180" s="53"/>
      <c r="T180" s="53"/>
    </row>
    <row r="181" spans="1:20" ht="24" hidden="1" x14ac:dyDescent="0.25">
      <c r="A181" s="76">
        <v>3263</v>
      </c>
      <c r="B181" s="127" t="s">
        <v>197</v>
      </c>
      <c r="C181" s="279">
        <f t="shared" ref="C181:C244" si="13">F181+I181+L181+O181</f>
        <v>0</v>
      </c>
      <c r="D181" s="474"/>
      <c r="E181" s="474"/>
      <c r="F181" s="279">
        <f t="shared" ref="F181:F244" si="14">D181+E181</f>
        <v>0</v>
      </c>
      <c r="G181" s="134"/>
      <c r="H181" s="135"/>
      <c r="I181" s="136">
        <f t="shared" ref="I181:I244" si="15">G181+H181</f>
        <v>0</v>
      </c>
      <c r="J181" s="134"/>
      <c r="K181" s="135"/>
      <c r="L181" s="136">
        <f t="shared" ref="L181:L244" si="16">J181+K181</f>
        <v>0</v>
      </c>
      <c r="M181" s="284"/>
      <c r="N181" s="285"/>
      <c r="O181" s="136">
        <f t="shared" ref="O181:O244" si="17">M181+N181</f>
        <v>0</v>
      </c>
      <c r="P181" s="85"/>
      <c r="R181" s="53"/>
      <c r="S181" s="53"/>
      <c r="T181" s="53"/>
    </row>
    <row r="182" spans="1:20" ht="84" hidden="1" x14ac:dyDescent="0.25">
      <c r="A182" s="656">
        <v>3290</v>
      </c>
      <c r="B182" s="116" t="s">
        <v>198</v>
      </c>
      <c r="C182" s="279">
        <f t="shared" si="13"/>
        <v>0</v>
      </c>
      <c r="D182" s="296">
        <f>SUM(D183:D186)</f>
        <v>0</v>
      </c>
      <c r="E182" s="296">
        <f>SUM(E183:E186)</f>
        <v>0</v>
      </c>
      <c r="F182" s="296">
        <f t="shared" si="14"/>
        <v>0</v>
      </c>
      <c r="G182" s="297">
        <f>SUM(G183:G186)</f>
        <v>0</v>
      </c>
      <c r="H182" s="299">
        <f>SUM(H183:H186)</f>
        <v>0</v>
      </c>
      <c r="I182" s="125">
        <f t="shared" si="15"/>
        <v>0</v>
      </c>
      <c r="J182" s="297">
        <f>SUM(J183:J186)</f>
        <v>0</v>
      </c>
      <c r="K182" s="299">
        <f>SUM(K183:K186)</f>
        <v>0</v>
      </c>
      <c r="L182" s="125">
        <f t="shared" si="16"/>
        <v>0</v>
      </c>
      <c r="M182" s="322">
        <f>SUM(M183:M186)</f>
        <v>0</v>
      </c>
      <c r="N182" s="323">
        <f>SUM(N183:N186)</f>
        <v>0</v>
      </c>
      <c r="O182" s="324">
        <f t="shared" si="17"/>
        <v>0</v>
      </c>
      <c r="P182" s="325"/>
      <c r="R182" s="53"/>
      <c r="S182" s="53"/>
      <c r="T182" s="53"/>
    </row>
    <row r="183" spans="1:20" ht="72" hidden="1" x14ac:dyDescent="0.25">
      <c r="A183" s="76">
        <v>3291</v>
      </c>
      <c r="B183" s="127" t="s">
        <v>199</v>
      </c>
      <c r="C183" s="279">
        <f t="shared" si="13"/>
        <v>0</v>
      </c>
      <c r="D183" s="474"/>
      <c r="E183" s="474"/>
      <c r="F183" s="279">
        <f t="shared" si="14"/>
        <v>0</v>
      </c>
      <c r="G183" s="134"/>
      <c r="H183" s="135"/>
      <c r="I183" s="136">
        <f t="shared" si="15"/>
        <v>0</v>
      </c>
      <c r="J183" s="134"/>
      <c r="K183" s="135"/>
      <c r="L183" s="136">
        <f t="shared" si="16"/>
        <v>0</v>
      </c>
      <c r="M183" s="284"/>
      <c r="N183" s="285"/>
      <c r="O183" s="136">
        <f t="shared" si="17"/>
        <v>0</v>
      </c>
      <c r="P183" s="85"/>
      <c r="R183" s="53"/>
      <c r="S183" s="53"/>
      <c r="T183" s="53"/>
    </row>
    <row r="184" spans="1:20" ht="72" hidden="1" x14ac:dyDescent="0.25">
      <c r="A184" s="76">
        <v>3292</v>
      </c>
      <c r="B184" s="127" t="s">
        <v>200</v>
      </c>
      <c r="C184" s="279">
        <f t="shared" si="13"/>
        <v>0</v>
      </c>
      <c r="D184" s="474"/>
      <c r="E184" s="474"/>
      <c r="F184" s="279">
        <f t="shared" si="14"/>
        <v>0</v>
      </c>
      <c r="G184" s="134"/>
      <c r="H184" s="135"/>
      <c r="I184" s="136">
        <f t="shared" si="15"/>
        <v>0</v>
      </c>
      <c r="J184" s="134"/>
      <c r="K184" s="135"/>
      <c r="L184" s="136">
        <f t="shared" si="16"/>
        <v>0</v>
      </c>
      <c r="M184" s="284"/>
      <c r="N184" s="285"/>
      <c r="O184" s="136">
        <f t="shared" si="17"/>
        <v>0</v>
      </c>
      <c r="P184" s="85"/>
      <c r="R184" s="53"/>
      <c r="S184" s="53"/>
      <c r="T184" s="53"/>
    </row>
    <row r="185" spans="1:20" ht="72" hidden="1" x14ac:dyDescent="0.25">
      <c r="A185" s="76">
        <v>3293</v>
      </c>
      <c r="B185" s="127" t="s">
        <v>201</v>
      </c>
      <c r="C185" s="279">
        <f t="shared" si="13"/>
        <v>0</v>
      </c>
      <c r="D185" s="474"/>
      <c r="E185" s="474"/>
      <c r="F185" s="279">
        <f t="shared" si="14"/>
        <v>0</v>
      </c>
      <c r="G185" s="134"/>
      <c r="H185" s="135"/>
      <c r="I185" s="136">
        <f t="shared" si="15"/>
        <v>0</v>
      </c>
      <c r="J185" s="134"/>
      <c r="K185" s="135"/>
      <c r="L185" s="136">
        <f t="shared" si="16"/>
        <v>0</v>
      </c>
      <c r="M185" s="284"/>
      <c r="N185" s="285"/>
      <c r="O185" s="136">
        <f t="shared" si="17"/>
        <v>0</v>
      </c>
      <c r="P185" s="85"/>
      <c r="R185" s="53"/>
      <c r="S185" s="53"/>
      <c r="T185" s="53"/>
    </row>
    <row r="186" spans="1:20" ht="60" hidden="1" x14ac:dyDescent="0.25">
      <c r="A186" s="326">
        <v>3294</v>
      </c>
      <c r="B186" s="127" t="s">
        <v>202</v>
      </c>
      <c r="C186" s="647">
        <f t="shared" si="13"/>
        <v>0</v>
      </c>
      <c r="D186" s="975"/>
      <c r="E186" s="975"/>
      <c r="F186" s="647">
        <f t="shared" si="14"/>
        <v>0</v>
      </c>
      <c r="G186" s="328"/>
      <c r="H186" s="331"/>
      <c r="I186" s="324">
        <f t="shared" si="15"/>
        <v>0</v>
      </c>
      <c r="J186" s="328"/>
      <c r="K186" s="331"/>
      <c r="L186" s="324">
        <f t="shared" si="16"/>
        <v>0</v>
      </c>
      <c r="M186" s="332"/>
      <c r="N186" s="329"/>
      <c r="O186" s="324">
        <f t="shared" si="17"/>
        <v>0</v>
      </c>
      <c r="P186" s="325"/>
      <c r="R186" s="53"/>
      <c r="S186" s="53"/>
      <c r="T186" s="53"/>
    </row>
    <row r="187" spans="1:20" ht="48" hidden="1" x14ac:dyDescent="0.25">
      <c r="A187" s="160">
        <v>3300</v>
      </c>
      <c r="B187" s="321" t="s">
        <v>203</v>
      </c>
      <c r="C187" s="648">
        <f t="shared" si="13"/>
        <v>0</v>
      </c>
      <c r="D187" s="648">
        <f>SUM(D188:D189)</f>
        <v>0</v>
      </c>
      <c r="E187" s="648">
        <f>SUM(E188:E189)</f>
        <v>0</v>
      </c>
      <c r="F187" s="648">
        <f t="shared" si="14"/>
        <v>0</v>
      </c>
      <c r="G187" s="334">
        <f>SUM(G188:G189)</f>
        <v>0</v>
      </c>
      <c r="H187" s="336">
        <f>SUM(H188:H189)</f>
        <v>0</v>
      </c>
      <c r="I187" s="252">
        <f t="shared" si="15"/>
        <v>0</v>
      </c>
      <c r="J187" s="334">
        <f>SUM(J188:J189)</f>
        <v>0</v>
      </c>
      <c r="K187" s="336">
        <f>SUM(K188:K189)</f>
        <v>0</v>
      </c>
      <c r="L187" s="252">
        <f t="shared" si="16"/>
        <v>0</v>
      </c>
      <c r="M187" s="250">
        <f>SUM(M188:M189)</f>
        <v>0</v>
      </c>
      <c r="N187" s="251">
        <f>SUM(N188:N189)</f>
        <v>0</v>
      </c>
      <c r="O187" s="252">
        <f t="shared" si="17"/>
        <v>0</v>
      </c>
      <c r="P187" s="253"/>
      <c r="R187" s="53"/>
      <c r="S187" s="53"/>
      <c r="T187" s="53"/>
    </row>
    <row r="188" spans="1:20" ht="42.75" hidden="1" customHeight="1" x14ac:dyDescent="0.25">
      <c r="A188" s="178">
        <v>3310</v>
      </c>
      <c r="B188" s="179" t="s">
        <v>204</v>
      </c>
      <c r="C188" s="257">
        <f t="shared" si="13"/>
        <v>0</v>
      </c>
      <c r="D188" s="477"/>
      <c r="E188" s="477"/>
      <c r="F188" s="257">
        <f t="shared" si="14"/>
        <v>0</v>
      </c>
      <c r="G188" s="287"/>
      <c r="H188" s="289"/>
      <c r="I188" s="259">
        <f t="shared" si="15"/>
        <v>0</v>
      </c>
      <c r="J188" s="287"/>
      <c r="K188" s="289"/>
      <c r="L188" s="259">
        <f t="shared" si="16"/>
        <v>0</v>
      </c>
      <c r="M188" s="290"/>
      <c r="N188" s="291"/>
      <c r="O188" s="259">
        <f t="shared" si="17"/>
        <v>0</v>
      </c>
      <c r="P188" s="189"/>
      <c r="R188" s="53"/>
      <c r="S188" s="53"/>
      <c r="T188" s="53"/>
    </row>
    <row r="189" spans="1:20" ht="60" hidden="1" x14ac:dyDescent="0.25">
      <c r="A189" s="66">
        <v>3320</v>
      </c>
      <c r="B189" s="116" t="s">
        <v>205</v>
      </c>
      <c r="C189" s="296">
        <f t="shared" si="13"/>
        <v>0</v>
      </c>
      <c r="D189" s="973"/>
      <c r="E189" s="973"/>
      <c r="F189" s="296">
        <f t="shared" si="14"/>
        <v>0</v>
      </c>
      <c r="G189" s="123"/>
      <c r="H189" s="124"/>
      <c r="I189" s="125">
        <f t="shared" si="15"/>
        <v>0</v>
      </c>
      <c r="J189" s="123"/>
      <c r="K189" s="124"/>
      <c r="L189" s="125">
        <f t="shared" si="16"/>
        <v>0</v>
      </c>
      <c r="M189" s="264"/>
      <c r="N189" s="262"/>
      <c r="O189" s="125">
        <f t="shared" si="17"/>
        <v>0</v>
      </c>
      <c r="P189" s="74"/>
      <c r="R189" s="53"/>
      <c r="S189" s="53"/>
      <c r="T189" s="53"/>
    </row>
    <row r="190" spans="1:20" hidden="1" x14ac:dyDescent="0.25">
      <c r="A190" s="337">
        <v>4000</v>
      </c>
      <c r="B190" s="237" t="s">
        <v>206</v>
      </c>
      <c r="C190" s="241">
        <f t="shared" si="13"/>
        <v>0</v>
      </c>
      <c r="D190" s="241">
        <f>SUM(D191,D194)</f>
        <v>0</v>
      </c>
      <c r="E190" s="241">
        <f>SUM(E191,E194)</f>
        <v>0</v>
      </c>
      <c r="F190" s="241">
        <f t="shared" si="14"/>
        <v>0</v>
      </c>
      <c r="G190" s="239">
        <f>SUM(G191,G194)</f>
        <v>0</v>
      </c>
      <c r="H190" s="242">
        <f>SUM(H191,H194)</f>
        <v>0</v>
      </c>
      <c r="I190" s="243">
        <f t="shared" si="15"/>
        <v>0</v>
      </c>
      <c r="J190" s="239">
        <f>SUM(J191,J194)</f>
        <v>0</v>
      </c>
      <c r="K190" s="242">
        <f>SUM(K191,K194)</f>
        <v>0</v>
      </c>
      <c r="L190" s="243">
        <f t="shared" si="16"/>
        <v>0</v>
      </c>
      <c r="M190" s="244">
        <f>SUM(M191,M194)</f>
        <v>0</v>
      </c>
      <c r="N190" s="245">
        <f>SUM(N191,N194)</f>
        <v>0</v>
      </c>
      <c r="O190" s="243">
        <f t="shared" si="17"/>
        <v>0</v>
      </c>
      <c r="P190" s="246"/>
      <c r="R190" s="53"/>
      <c r="S190" s="53"/>
      <c r="T190" s="53"/>
    </row>
    <row r="191" spans="1:20" ht="24" hidden="1" x14ac:dyDescent="0.25">
      <c r="A191" s="338">
        <v>4200</v>
      </c>
      <c r="B191" s="247" t="s">
        <v>207</v>
      </c>
      <c r="C191" s="249">
        <f t="shared" si="13"/>
        <v>0</v>
      </c>
      <c r="D191" s="249">
        <f>SUM(D192,D193)</f>
        <v>0</v>
      </c>
      <c r="E191" s="249">
        <f>SUM(E192,E193)</f>
        <v>0</v>
      </c>
      <c r="F191" s="249">
        <f t="shared" si="14"/>
        <v>0</v>
      </c>
      <c r="G191" s="112">
        <f>SUM(G192,G193)</f>
        <v>0</v>
      </c>
      <c r="H191" s="113">
        <f>SUM(H192,H193)</f>
        <v>0</v>
      </c>
      <c r="I191" s="114">
        <f t="shared" si="15"/>
        <v>0</v>
      </c>
      <c r="J191" s="112">
        <f>SUM(J192,J193)</f>
        <v>0</v>
      </c>
      <c r="K191" s="113">
        <f>SUM(K192,K193)</f>
        <v>0</v>
      </c>
      <c r="L191" s="114">
        <f t="shared" si="16"/>
        <v>0</v>
      </c>
      <c r="M191" s="292">
        <f>SUM(M192,M193)</f>
        <v>0</v>
      </c>
      <c r="N191" s="293">
        <f>SUM(N192,N193)</f>
        <v>0</v>
      </c>
      <c r="O191" s="114">
        <f t="shared" si="17"/>
        <v>0</v>
      </c>
      <c r="P191" s="109"/>
      <c r="R191" s="53"/>
      <c r="S191" s="53"/>
      <c r="T191" s="53"/>
    </row>
    <row r="192" spans="1:20" ht="36" hidden="1" x14ac:dyDescent="0.25">
      <c r="A192" s="656">
        <v>4240</v>
      </c>
      <c r="B192" s="116" t="s">
        <v>208</v>
      </c>
      <c r="C192" s="296">
        <f t="shared" si="13"/>
        <v>0</v>
      </c>
      <c r="D192" s="973"/>
      <c r="E192" s="973"/>
      <c r="F192" s="296">
        <f t="shared" si="14"/>
        <v>0</v>
      </c>
      <c r="G192" s="123"/>
      <c r="H192" s="124"/>
      <c r="I192" s="125">
        <f t="shared" si="15"/>
        <v>0</v>
      </c>
      <c r="J192" s="123"/>
      <c r="K192" s="124"/>
      <c r="L192" s="125">
        <f t="shared" si="16"/>
        <v>0</v>
      </c>
      <c r="M192" s="264"/>
      <c r="N192" s="262"/>
      <c r="O192" s="125">
        <f t="shared" si="17"/>
        <v>0</v>
      </c>
      <c r="P192" s="74"/>
      <c r="R192" s="53"/>
      <c r="S192" s="53"/>
      <c r="T192" s="53"/>
    </row>
    <row r="193" spans="1:20" ht="24" hidden="1" x14ac:dyDescent="0.25">
      <c r="A193" s="276">
        <v>4250</v>
      </c>
      <c r="B193" s="127" t="s">
        <v>209</v>
      </c>
      <c r="C193" s="279">
        <f t="shared" si="13"/>
        <v>0</v>
      </c>
      <c r="D193" s="474"/>
      <c r="E193" s="474"/>
      <c r="F193" s="279">
        <f t="shared" si="14"/>
        <v>0</v>
      </c>
      <c r="G193" s="134"/>
      <c r="H193" s="135"/>
      <c r="I193" s="136">
        <f t="shared" si="15"/>
        <v>0</v>
      </c>
      <c r="J193" s="134"/>
      <c r="K193" s="135"/>
      <c r="L193" s="136">
        <f t="shared" si="16"/>
        <v>0</v>
      </c>
      <c r="M193" s="284"/>
      <c r="N193" s="285"/>
      <c r="O193" s="136">
        <f t="shared" si="17"/>
        <v>0</v>
      </c>
      <c r="P193" s="85"/>
      <c r="R193" s="53"/>
      <c r="S193" s="53"/>
      <c r="T193" s="53"/>
    </row>
    <row r="194" spans="1:20" hidden="1" x14ac:dyDescent="0.25">
      <c r="A194" s="99">
        <v>4300</v>
      </c>
      <c r="B194" s="247" t="s">
        <v>210</v>
      </c>
      <c r="C194" s="249">
        <f t="shared" si="13"/>
        <v>0</v>
      </c>
      <c r="D194" s="249">
        <f>SUM(D195)</f>
        <v>0</v>
      </c>
      <c r="E194" s="249">
        <f>SUM(E195)</f>
        <v>0</v>
      </c>
      <c r="F194" s="249">
        <f t="shared" si="14"/>
        <v>0</v>
      </c>
      <c r="G194" s="112">
        <f>SUM(G195)</f>
        <v>0</v>
      </c>
      <c r="H194" s="113">
        <f>SUM(H195)</f>
        <v>0</v>
      </c>
      <c r="I194" s="114">
        <f t="shared" si="15"/>
        <v>0</v>
      </c>
      <c r="J194" s="112">
        <f>SUM(J195)</f>
        <v>0</v>
      </c>
      <c r="K194" s="113">
        <f>SUM(K195)</f>
        <v>0</v>
      </c>
      <c r="L194" s="114">
        <f t="shared" si="16"/>
        <v>0</v>
      </c>
      <c r="M194" s="292">
        <f>SUM(M195)</f>
        <v>0</v>
      </c>
      <c r="N194" s="293">
        <f>SUM(N195)</f>
        <v>0</v>
      </c>
      <c r="O194" s="114">
        <f t="shared" si="17"/>
        <v>0</v>
      </c>
      <c r="P194" s="109"/>
      <c r="R194" s="53"/>
      <c r="S194" s="53"/>
      <c r="T194" s="53"/>
    </row>
    <row r="195" spans="1:20" ht="24" hidden="1" x14ac:dyDescent="0.25">
      <c r="A195" s="656">
        <v>4310</v>
      </c>
      <c r="B195" s="116" t="s">
        <v>211</v>
      </c>
      <c r="C195" s="296">
        <f t="shared" si="13"/>
        <v>0</v>
      </c>
      <c r="D195" s="296">
        <f>SUM(D196:D196)</f>
        <v>0</v>
      </c>
      <c r="E195" s="296">
        <f>SUM(E196:E196)</f>
        <v>0</v>
      </c>
      <c r="F195" s="296">
        <f t="shared" si="14"/>
        <v>0</v>
      </c>
      <c r="G195" s="297">
        <f>SUM(G196:G196)</f>
        <v>0</v>
      </c>
      <c r="H195" s="299">
        <f>SUM(H196:H196)</f>
        <v>0</v>
      </c>
      <c r="I195" s="125">
        <f t="shared" si="15"/>
        <v>0</v>
      </c>
      <c r="J195" s="297">
        <f>SUM(J196:J196)</f>
        <v>0</v>
      </c>
      <c r="K195" s="299">
        <f>SUM(K196:K196)</f>
        <v>0</v>
      </c>
      <c r="L195" s="125">
        <f t="shared" si="16"/>
        <v>0</v>
      </c>
      <c r="M195" s="300">
        <f>SUM(M196:M196)</f>
        <v>0</v>
      </c>
      <c r="N195" s="301">
        <f>SUM(N196:N196)</f>
        <v>0</v>
      </c>
      <c r="O195" s="125">
        <f t="shared" si="17"/>
        <v>0</v>
      </c>
      <c r="P195" s="74"/>
      <c r="R195" s="53"/>
      <c r="S195" s="53"/>
      <c r="T195" s="53"/>
    </row>
    <row r="196" spans="1:20" ht="36" hidden="1" x14ac:dyDescent="0.25">
      <c r="A196" s="76">
        <v>4311</v>
      </c>
      <c r="B196" s="127" t="s">
        <v>212</v>
      </c>
      <c r="C196" s="279">
        <f t="shared" si="13"/>
        <v>0</v>
      </c>
      <c r="D196" s="474"/>
      <c r="E196" s="474"/>
      <c r="F196" s="279">
        <f t="shared" si="14"/>
        <v>0</v>
      </c>
      <c r="G196" s="134"/>
      <c r="H196" s="135"/>
      <c r="I196" s="136">
        <f t="shared" si="15"/>
        <v>0</v>
      </c>
      <c r="J196" s="134"/>
      <c r="K196" s="135"/>
      <c r="L196" s="136">
        <f t="shared" si="16"/>
        <v>0</v>
      </c>
      <c r="M196" s="284"/>
      <c r="N196" s="285"/>
      <c r="O196" s="136">
        <f t="shared" si="17"/>
        <v>0</v>
      </c>
      <c r="P196" s="85"/>
      <c r="R196" s="53"/>
      <c r="S196" s="53"/>
      <c r="T196" s="53"/>
    </row>
    <row r="197" spans="1:20" s="41" customFormat="1" ht="24" x14ac:dyDescent="0.25">
      <c r="A197" s="339"/>
      <c r="B197" s="31" t="s">
        <v>213</v>
      </c>
      <c r="C197" s="232">
        <f t="shared" si="13"/>
        <v>1887</v>
      </c>
      <c r="D197" s="232">
        <f>SUM(D198,D233,D271)</f>
        <v>1737</v>
      </c>
      <c r="E197" s="232">
        <f>SUM(E198,E233,E271)</f>
        <v>0</v>
      </c>
      <c r="F197" s="232">
        <f t="shared" si="14"/>
        <v>1737</v>
      </c>
      <c r="G197" s="230">
        <f>SUM(G198,G233,G271)</f>
        <v>150</v>
      </c>
      <c r="H197" s="233">
        <f>SUM(H198,H233,H271)</f>
        <v>0</v>
      </c>
      <c r="I197" s="234">
        <f t="shared" si="15"/>
        <v>150</v>
      </c>
      <c r="J197" s="230">
        <f>SUM(J198,J233,J271)</f>
        <v>0</v>
      </c>
      <c r="K197" s="233">
        <f>SUM(K198,K233,K271)</f>
        <v>0</v>
      </c>
      <c r="L197" s="234">
        <f t="shared" si="16"/>
        <v>0</v>
      </c>
      <c r="M197" s="340">
        <f>SUM(M198,M233,M271)</f>
        <v>0</v>
      </c>
      <c r="N197" s="341">
        <f>SUM(N198,N233,N271)</f>
        <v>0</v>
      </c>
      <c r="O197" s="342">
        <f t="shared" si="17"/>
        <v>0</v>
      </c>
      <c r="P197" s="343"/>
      <c r="R197" s="53"/>
      <c r="S197" s="53"/>
      <c r="T197" s="53"/>
    </row>
    <row r="198" spans="1:20" x14ac:dyDescent="0.25">
      <c r="A198" s="237">
        <v>5000</v>
      </c>
      <c r="B198" s="237" t="s">
        <v>214</v>
      </c>
      <c r="C198" s="241">
        <f t="shared" si="13"/>
        <v>1887</v>
      </c>
      <c r="D198" s="241">
        <f>D199+D207</f>
        <v>1737</v>
      </c>
      <c r="E198" s="241">
        <f>E199+E207</f>
        <v>0</v>
      </c>
      <c r="F198" s="241">
        <f t="shared" si="14"/>
        <v>1737</v>
      </c>
      <c r="G198" s="239">
        <f>G199+G207</f>
        <v>150</v>
      </c>
      <c r="H198" s="242">
        <f>H199+H207</f>
        <v>0</v>
      </c>
      <c r="I198" s="243">
        <f t="shared" si="15"/>
        <v>150</v>
      </c>
      <c r="J198" s="239">
        <f>J199+J207</f>
        <v>0</v>
      </c>
      <c r="K198" s="242">
        <f>K199+K207</f>
        <v>0</v>
      </c>
      <c r="L198" s="243">
        <f t="shared" si="16"/>
        <v>0</v>
      </c>
      <c r="M198" s="244">
        <f>M199+M207</f>
        <v>0</v>
      </c>
      <c r="N198" s="245">
        <f>N199+N207</f>
        <v>0</v>
      </c>
      <c r="O198" s="243">
        <f t="shared" si="17"/>
        <v>0</v>
      </c>
      <c r="P198" s="246"/>
      <c r="R198" s="53"/>
      <c r="S198" s="53"/>
      <c r="T198" s="53"/>
    </row>
    <row r="199" spans="1:20" hidden="1" x14ac:dyDescent="0.25">
      <c r="A199" s="99">
        <v>5100</v>
      </c>
      <c r="B199" s="247" t="s">
        <v>215</v>
      </c>
      <c r="C199" s="249">
        <f t="shared" si="13"/>
        <v>0</v>
      </c>
      <c r="D199" s="249">
        <f>D200+D201+D204+D205+D206</f>
        <v>0</v>
      </c>
      <c r="E199" s="249">
        <f>E200+E201+E204+E205+E206</f>
        <v>0</v>
      </c>
      <c r="F199" s="249">
        <f t="shared" si="14"/>
        <v>0</v>
      </c>
      <c r="G199" s="112">
        <f>G200+G201+G204+G205+G206</f>
        <v>0</v>
      </c>
      <c r="H199" s="113">
        <f>H200+H201+H204+H205+H206</f>
        <v>0</v>
      </c>
      <c r="I199" s="114">
        <f t="shared" si="15"/>
        <v>0</v>
      </c>
      <c r="J199" s="112">
        <f>J200+J201+J204+J205+J206</f>
        <v>0</v>
      </c>
      <c r="K199" s="113">
        <f>K200+K201+K204+K205+K206</f>
        <v>0</v>
      </c>
      <c r="L199" s="114">
        <f t="shared" si="16"/>
        <v>0</v>
      </c>
      <c r="M199" s="292">
        <f>M200+M201+M204+M205+M206</f>
        <v>0</v>
      </c>
      <c r="N199" s="293">
        <f>N200+N201+N204+N205+N206</f>
        <v>0</v>
      </c>
      <c r="O199" s="114">
        <f t="shared" si="17"/>
        <v>0</v>
      </c>
      <c r="P199" s="109"/>
      <c r="R199" s="53"/>
      <c r="S199" s="53"/>
      <c r="T199" s="53"/>
    </row>
    <row r="200" spans="1:20" hidden="1" x14ac:dyDescent="0.25">
      <c r="A200" s="656">
        <v>5110</v>
      </c>
      <c r="B200" s="116" t="s">
        <v>216</v>
      </c>
      <c r="C200" s="296">
        <f t="shared" si="13"/>
        <v>0</v>
      </c>
      <c r="D200" s="973"/>
      <c r="E200" s="973"/>
      <c r="F200" s="296">
        <f t="shared" si="14"/>
        <v>0</v>
      </c>
      <c r="G200" s="123"/>
      <c r="H200" s="124"/>
      <c r="I200" s="125">
        <f t="shared" si="15"/>
        <v>0</v>
      </c>
      <c r="J200" s="123"/>
      <c r="K200" s="124"/>
      <c r="L200" s="125">
        <f t="shared" si="16"/>
        <v>0</v>
      </c>
      <c r="M200" s="264"/>
      <c r="N200" s="262"/>
      <c r="O200" s="125">
        <f t="shared" si="17"/>
        <v>0</v>
      </c>
      <c r="P200" s="74"/>
      <c r="R200" s="53"/>
      <c r="S200" s="53"/>
      <c r="T200" s="53"/>
    </row>
    <row r="201" spans="1:20" ht="24" hidden="1" x14ac:dyDescent="0.25">
      <c r="A201" s="276">
        <v>5120</v>
      </c>
      <c r="B201" s="127" t="s">
        <v>217</v>
      </c>
      <c r="C201" s="279">
        <f t="shared" si="13"/>
        <v>0</v>
      </c>
      <c r="D201" s="279">
        <f>D202+D203</f>
        <v>0</v>
      </c>
      <c r="E201" s="279">
        <f>E202+E203</f>
        <v>0</v>
      </c>
      <c r="F201" s="279">
        <f t="shared" si="14"/>
        <v>0</v>
      </c>
      <c r="G201" s="277">
        <f>G202+G203</f>
        <v>0</v>
      </c>
      <c r="H201" s="280">
        <f>H202+H203</f>
        <v>0</v>
      </c>
      <c r="I201" s="136">
        <f t="shared" si="15"/>
        <v>0</v>
      </c>
      <c r="J201" s="277">
        <f>J202+J203</f>
        <v>0</v>
      </c>
      <c r="K201" s="280">
        <f>K202+K203</f>
        <v>0</v>
      </c>
      <c r="L201" s="136">
        <f t="shared" si="16"/>
        <v>0</v>
      </c>
      <c r="M201" s="281">
        <f>M202+M203</f>
        <v>0</v>
      </c>
      <c r="N201" s="282">
        <f>N202+N203</f>
        <v>0</v>
      </c>
      <c r="O201" s="136">
        <f t="shared" si="17"/>
        <v>0</v>
      </c>
      <c r="P201" s="85"/>
      <c r="R201" s="53"/>
      <c r="S201" s="53"/>
      <c r="T201" s="53"/>
    </row>
    <row r="202" spans="1:20" hidden="1" x14ac:dyDescent="0.25">
      <c r="A202" s="76">
        <v>5121</v>
      </c>
      <c r="B202" s="127" t="s">
        <v>218</v>
      </c>
      <c r="C202" s="279">
        <f t="shared" si="13"/>
        <v>0</v>
      </c>
      <c r="D202" s="474"/>
      <c r="E202" s="474"/>
      <c r="F202" s="279">
        <f t="shared" si="14"/>
        <v>0</v>
      </c>
      <c r="G202" s="134"/>
      <c r="H202" s="135"/>
      <c r="I202" s="136">
        <f t="shared" si="15"/>
        <v>0</v>
      </c>
      <c r="J202" s="134"/>
      <c r="K202" s="135"/>
      <c r="L202" s="136">
        <f t="shared" si="16"/>
        <v>0</v>
      </c>
      <c r="M202" s="284"/>
      <c r="N202" s="285"/>
      <c r="O202" s="136">
        <f t="shared" si="17"/>
        <v>0</v>
      </c>
      <c r="P202" s="85"/>
      <c r="R202" s="53"/>
      <c r="S202" s="53"/>
      <c r="T202" s="53"/>
    </row>
    <row r="203" spans="1:20" ht="24" hidden="1" x14ac:dyDescent="0.25">
      <c r="A203" s="76">
        <v>5129</v>
      </c>
      <c r="B203" s="127" t="s">
        <v>219</v>
      </c>
      <c r="C203" s="279">
        <f t="shared" si="13"/>
        <v>0</v>
      </c>
      <c r="D203" s="474"/>
      <c r="E203" s="474"/>
      <c r="F203" s="279">
        <f t="shared" si="14"/>
        <v>0</v>
      </c>
      <c r="G203" s="134"/>
      <c r="H203" s="135"/>
      <c r="I203" s="136">
        <f t="shared" si="15"/>
        <v>0</v>
      </c>
      <c r="J203" s="134"/>
      <c r="K203" s="135"/>
      <c r="L203" s="136">
        <f t="shared" si="16"/>
        <v>0</v>
      </c>
      <c r="M203" s="284"/>
      <c r="N203" s="285"/>
      <c r="O203" s="136">
        <f t="shared" si="17"/>
        <v>0</v>
      </c>
      <c r="P203" s="85"/>
      <c r="R203" s="53"/>
      <c r="S203" s="53"/>
      <c r="T203" s="53"/>
    </row>
    <row r="204" spans="1:20" hidden="1" x14ac:dyDescent="0.25">
      <c r="A204" s="276">
        <v>5130</v>
      </c>
      <c r="B204" s="127" t="s">
        <v>220</v>
      </c>
      <c r="C204" s="279">
        <f t="shared" si="13"/>
        <v>0</v>
      </c>
      <c r="D204" s="474"/>
      <c r="E204" s="474"/>
      <c r="F204" s="279">
        <f t="shared" si="14"/>
        <v>0</v>
      </c>
      <c r="G204" s="134"/>
      <c r="H204" s="135"/>
      <c r="I204" s="136">
        <f t="shared" si="15"/>
        <v>0</v>
      </c>
      <c r="J204" s="134"/>
      <c r="K204" s="135"/>
      <c r="L204" s="136">
        <f t="shared" si="16"/>
        <v>0</v>
      </c>
      <c r="M204" s="284"/>
      <c r="N204" s="285"/>
      <c r="O204" s="136">
        <f t="shared" si="17"/>
        <v>0</v>
      </c>
      <c r="P204" s="85"/>
      <c r="R204" s="53"/>
      <c r="S204" s="53"/>
      <c r="T204" s="53"/>
    </row>
    <row r="205" spans="1:20" hidden="1" x14ac:dyDescent="0.25">
      <c r="A205" s="276">
        <v>5140</v>
      </c>
      <c r="B205" s="127" t="s">
        <v>221</v>
      </c>
      <c r="C205" s="279">
        <f t="shared" si="13"/>
        <v>0</v>
      </c>
      <c r="D205" s="474"/>
      <c r="E205" s="474"/>
      <c r="F205" s="279">
        <f t="shared" si="14"/>
        <v>0</v>
      </c>
      <c r="G205" s="134"/>
      <c r="H205" s="135"/>
      <c r="I205" s="136">
        <f t="shared" si="15"/>
        <v>0</v>
      </c>
      <c r="J205" s="134"/>
      <c r="K205" s="135"/>
      <c r="L205" s="136">
        <f t="shared" si="16"/>
        <v>0</v>
      </c>
      <c r="M205" s="284"/>
      <c r="N205" s="285"/>
      <c r="O205" s="136">
        <f t="shared" si="17"/>
        <v>0</v>
      </c>
      <c r="P205" s="85"/>
      <c r="R205" s="53"/>
      <c r="S205" s="53"/>
      <c r="T205" s="53"/>
    </row>
    <row r="206" spans="1:20" ht="24" hidden="1" x14ac:dyDescent="0.25">
      <c r="A206" s="276">
        <v>5170</v>
      </c>
      <c r="B206" s="127" t="s">
        <v>222</v>
      </c>
      <c r="C206" s="279">
        <f t="shared" si="13"/>
        <v>0</v>
      </c>
      <c r="D206" s="474"/>
      <c r="E206" s="474"/>
      <c r="F206" s="279">
        <f t="shared" si="14"/>
        <v>0</v>
      </c>
      <c r="G206" s="134"/>
      <c r="H206" s="135"/>
      <c r="I206" s="136">
        <f t="shared" si="15"/>
        <v>0</v>
      </c>
      <c r="J206" s="134"/>
      <c r="K206" s="135"/>
      <c r="L206" s="136">
        <f t="shared" si="16"/>
        <v>0</v>
      </c>
      <c r="M206" s="284"/>
      <c r="N206" s="285"/>
      <c r="O206" s="136">
        <f t="shared" si="17"/>
        <v>0</v>
      </c>
      <c r="P206" s="85"/>
      <c r="R206" s="53"/>
      <c r="S206" s="53"/>
      <c r="T206" s="53"/>
    </row>
    <row r="207" spans="1:20" x14ac:dyDescent="0.25">
      <c r="A207" s="99">
        <v>5200</v>
      </c>
      <c r="B207" s="247" t="s">
        <v>223</v>
      </c>
      <c r="C207" s="249">
        <f t="shared" si="13"/>
        <v>1887</v>
      </c>
      <c r="D207" s="249">
        <f>D208+D218+D219+D228+D229+D230+D232</f>
        <v>1737</v>
      </c>
      <c r="E207" s="249">
        <f>E208+E218+E219+E228+E229+E230+E232</f>
        <v>0</v>
      </c>
      <c r="F207" s="249">
        <f t="shared" si="14"/>
        <v>1737</v>
      </c>
      <c r="G207" s="112">
        <f>G208+G218+G219+G228+G229+G230+G232</f>
        <v>150</v>
      </c>
      <c r="H207" s="113">
        <f>H208+H218+H219+H228+H229+H230+H232</f>
        <v>0</v>
      </c>
      <c r="I207" s="114">
        <f t="shared" si="15"/>
        <v>150</v>
      </c>
      <c r="J207" s="112">
        <f>J208+J218+J219+J228+J229+J230+J232</f>
        <v>0</v>
      </c>
      <c r="K207" s="113">
        <f>K208+K218+K219+K228+K229+K230+K232</f>
        <v>0</v>
      </c>
      <c r="L207" s="114">
        <f t="shared" si="16"/>
        <v>0</v>
      </c>
      <c r="M207" s="292">
        <f>M208+M218+M219+M228+M229+M230+M232</f>
        <v>0</v>
      </c>
      <c r="N207" s="293">
        <f>N208+N218+N219+N228+N229+N230+N232</f>
        <v>0</v>
      </c>
      <c r="O207" s="114">
        <f t="shared" si="17"/>
        <v>0</v>
      </c>
      <c r="P207" s="109"/>
      <c r="R207" s="53"/>
      <c r="S207" s="53"/>
      <c r="T207" s="53"/>
    </row>
    <row r="208" spans="1:20" hidden="1" x14ac:dyDescent="0.25">
      <c r="A208" s="254">
        <v>5210</v>
      </c>
      <c r="B208" s="179" t="s">
        <v>224</v>
      </c>
      <c r="C208" s="257">
        <f t="shared" si="13"/>
        <v>0</v>
      </c>
      <c r="D208" s="257">
        <f>SUM(D209:D217)</f>
        <v>0</v>
      </c>
      <c r="E208" s="257">
        <f>SUM(E209:E217)</f>
        <v>0</v>
      </c>
      <c r="F208" s="257">
        <f t="shared" si="14"/>
        <v>0</v>
      </c>
      <c r="G208" s="255">
        <f>SUM(G209:G217)</f>
        <v>0</v>
      </c>
      <c r="H208" s="258">
        <f>SUM(H209:H217)</f>
        <v>0</v>
      </c>
      <c r="I208" s="259">
        <f t="shared" si="15"/>
        <v>0</v>
      </c>
      <c r="J208" s="255">
        <f>SUM(J209:J217)</f>
        <v>0</v>
      </c>
      <c r="K208" s="258">
        <f>SUM(K209:K217)</f>
        <v>0</v>
      </c>
      <c r="L208" s="259">
        <f t="shared" si="16"/>
        <v>0</v>
      </c>
      <c r="M208" s="260">
        <f>SUM(M209:M217)</f>
        <v>0</v>
      </c>
      <c r="N208" s="261">
        <f>SUM(N209:N217)</f>
        <v>0</v>
      </c>
      <c r="O208" s="259">
        <f t="shared" si="17"/>
        <v>0</v>
      </c>
      <c r="P208" s="189"/>
      <c r="R208" s="53"/>
      <c r="S208" s="53"/>
      <c r="T208" s="53"/>
    </row>
    <row r="209" spans="1:20" hidden="1" x14ac:dyDescent="0.25">
      <c r="A209" s="66">
        <v>5211</v>
      </c>
      <c r="B209" s="116" t="s">
        <v>225</v>
      </c>
      <c r="C209" s="279">
        <f t="shared" si="13"/>
        <v>0</v>
      </c>
      <c r="D209" s="973"/>
      <c r="E209" s="973"/>
      <c r="F209" s="296">
        <f t="shared" si="14"/>
        <v>0</v>
      </c>
      <c r="G209" s="123"/>
      <c r="H209" s="124"/>
      <c r="I209" s="125">
        <f t="shared" si="15"/>
        <v>0</v>
      </c>
      <c r="J209" s="123"/>
      <c r="K209" s="124"/>
      <c r="L209" s="125">
        <f t="shared" si="16"/>
        <v>0</v>
      </c>
      <c r="M209" s="264"/>
      <c r="N209" s="262"/>
      <c r="O209" s="125">
        <f t="shared" si="17"/>
        <v>0</v>
      </c>
      <c r="P209" s="74"/>
      <c r="R209" s="53"/>
      <c r="S209" s="53"/>
      <c r="T209" s="53"/>
    </row>
    <row r="210" spans="1:20" hidden="1" x14ac:dyDescent="0.25">
      <c r="A210" s="76">
        <v>5212</v>
      </c>
      <c r="B210" s="127" t="s">
        <v>226</v>
      </c>
      <c r="C210" s="279">
        <f t="shared" si="13"/>
        <v>0</v>
      </c>
      <c r="D210" s="474"/>
      <c r="E210" s="474"/>
      <c r="F210" s="279">
        <f t="shared" si="14"/>
        <v>0</v>
      </c>
      <c r="G210" s="134"/>
      <c r="H210" s="135"/>
      <c r="I210" s="136">
        <f t="shared" si="15"/>
        <v>0</v>
      </c>
      <c r="J210" s="134"/>
      <c r="K210" s="135"/>
      <c r="L210" s="136">
        <f t="shared" si="16"/>
        <v>0</v>
      </c>
      <c r="M210" s="284"/>
      <c r="N210" s="285"/>
      <c r="O210" s="136">
        <f t="shared" si="17"/>
        <v>0</v>
      </c>
      <c r="P210" s="85"/>
      <c r="R210" s="53"/>
      <c r="S210" s="53"/>
      <c r="T210" s="53"/>
    </row>
    <row r="211" spans="1:20" hidden="1" x14ac:dyDescent="0.25">
      <c r="A211" s="76">
        <v>5213</v>
      </c>
      <c r="B211" s="127" t="s">
        <v>227</v>
      </c>
      <c r="C211" s="279">
        <f t="shared" si="13"/>
        <v>0</v>
      </c>
      <c r="D211" s="474"/>
      <c r="E211" s="474"/>
      <c r="F211" s="279">
        <f t="shared" si="14"/>
        <v>0</v>
      </c>
      <c r="G211" s="134"/>
      <c r="H211" s="135"/>
      <c r="I211" s="136">
        <f t="shared" si="15"/>
        <v>0</v>
      </c>
      <c r="J211" s="134"/>
      <c r="K211" s="135"/>
      <c r="L211" s="136">
        <f t="shared" si="16"/>
        <v>0</v>
      </c>
      <c r="M211" s="284"/>
      <c r="N211" s="285"/>
      <c r="O211" s="136">
        <f t="shared" si="17"/>
        <v>0</v>
      </c>
      <c r="P211" s="85"/>
      <c r="R211" s="53"/>
      <c r="S211" s="53"/>
      <c r="T211" s="53"/>
    </row>
    <row r="212" spans="1:20" hidden="1" x14ac:dyDescent="0.25">
      <c r="A212" s="76">
        <v>5214</v>
      </c>
      <c r="B212" s="127" t="s">
        <v>228</v>
      </c>
      <c r="C212" s="279">
        <f t="shared" si="13"/>
        <v>0</v>
      </c>
      <c r="D212" s="474"/>
      <c r="E212" s="474"/>
      <c r="F212" s="279">
        <f t="shared" si="14"/>
        <v>0</v>
      </c>
      <c r="G212" s="134"/>
      <c r="H212" s="135"/>
      <c r="I212" s="136">
        <f t="shared" si="15"/>
        <v>0</v>
      </c>
      <c r="J212" s="134"/>
      <c r="K212" s="135"/>
      <c r="L212" s="136">
        <f t="shared" si="16"/>
        <v>0</v>
      </c>
      <c r="M212" s="284"/>
      <c r="N212" s="285"/>
      <c r="O212" s="136">
        <f t="shared" si="17"/>
        <v>0</v>
      </c>
      <c r="P212" s="85"/>
      <c r="R212" s="53"/>
      <c r="S212" s="53"/>
      <c r="T212" s="53"/>
    </row>
    <row r="213" spans="1:20" hidden="1" x14ac:dyDescent="0.25">
      <c r="A213" s="76">
        <v>5215</v>
      </c>
      <c r="B213" s="127" t="s">
        <v>229</v>
      </c>
      <c r="C213" s="279">
        <f t="shared" si="13"/>
        <v>0</v>
      </c>
      <c r="D213" s="474"/>
      <c r="E213" s="474"/>
      <c r="F213" s="279">
        <f t="shared" si="14"/>
        <v>0</v>
      </c>
      <c r="G213" s="134"/>
      <c r="H213" s="135"/>
      <c r="I213" s="136">
        <f t="shared" si="15"/>
        <v>0</v>
      </c>
      <c r="J213" s="134"/>
      <c r="K213" s="135"/>
      <c r="L213" s="136">
        <f t="shared" si="16"/>
        <v>0</v>
      </c>
      <c r="M213" s="284"/>
      <c r="N213" s="285"/>
      <c r="O213" s="136">
        <f t="shared" si="17"/>
        <v>0</v>
      </c>
      <c r="P213" s="85"/>
      <c r="R213" s="53"/>
      <c r="S213" s="53"/>
      <c r="T213" s="53"/>
    </row>
    <row r="214" spans="1:20" ht="24" hidden="1" x14ac:dyDescent="0.25">
      <c r="A214" s="76">
        <v>5216</v>
      </c>
      <c r="B214" s="127" t="s">
        <v>230</v>
      </c>
      <c r="C214" s="279">
        <f t="shared" si="13"/>
        <v>0</v>
      </c>
      <c r="D214" s="474"/>
      <c r="E214" s="474"/>
      <c r="F214" s="279">
        <f t="shared" si="14"/>
        <v>0</v>
      </c>
      <c r="G214" s="134"/>
      <c r="H214" s="135"/>
      <c r="I214" s="136">
        <f t="shared" si="15"/>
        <v>0</v>
      </c>
      <c r="J214" s="134"/>
      <c r="K214" s="135"/>
      <c r="L214" s="136">
        <f t="shared" si="16"/>
        <v>0</v>
      </c>
      <c r="M214" s="284"/>
      <c r="N214" s="285"/>
      <c r="O214" s="136">
        <f t="shared" si="17"/>
        <v>0</v>
      </c>
      <c r="P214" s="85"/>
      <c r="R214" s="53"/>
      <c r="S214" s="53"/>
      <c r="T214" s="53"/>
    </row>
    <row r="215" spans="1:20" hidden="1" x14ac:dyDescent="0.25">
      <c r="A215" s="76">
        <v>5217</v>
      </c>
      <c r="B215" s="127" t="s">
        <v>231</v>
      </c>
      <c r="C215" s="279">
        <f t="shared" si="13"/>
        <v>0</v>
      </c>
      <c r="D215" s="474"/>
      <c r="E215" s="474"/>
      <c r="F215" s="279">
        <f t="shared" si="14"/>
        <v>0</v>
      </c>
      <c r="G215" s="134"/>
      <c r="H215" s="135"/>
      <c r="I215" s="136">
        <f t="shared" si="15"/>
        <v>0</v>
      </c>
      <c r="J215" s="134"/>
      <c r="K215" s="135"/>
      <c r="L215" s="136">
        <f t="shared" si="16"/>
        <v>0</v>
      </c>
      <c r="M215" s="284"/>
      <c r="N215" s="285"/>
      <c r="O215" s="136">
        <f t="shared" si="17"/>
        <v>0</v>
      </c>
      <c r="P215" s="85"/>
      <c r="R215" s="53"/>
      <c r="S215" s="53"/>
      <c r="T215" s="53"/>
    </row>
    <row r="216" spans="1:20" hidden="1" x14ac:dyDescent="0.25">
      <c r="A216" s="76">
        <v>5218</v>
      </c>
      <c r="B216" s="127" t="s">
        <v>232</v>
      </c>
      <c r="C216" s="279">
        <f t="shared" si="13"/>
        <v>0</v>
      </c>
      <c r="D216" s="474"/>
      <c r="E216" s="474"/>
      <c r="F216" s="279">
        <f t="shared" si="14"/>
        <v>0</v>
      </c>
      <c r="G216" s="134"/>
      <c r="H216" s="135"/>
      <c r="I216" s="136">
        <f t="shared" si="15"/>
        <v>0</v>
      </c>
      <c r="J216" s="134"/>
      <c r="K216" s="135"/>
      <c r="L216" s="136">
        <f t="shared" si="16"/>
        <v>0</v>
      </c>
      <c r="M216" s="284"/>
      <c r="N216" s="285"/>
      <c r="O216" s="136">
        <f t="shared" si="17"/>
        <v>0</v>
      </c>
      <c r="P216" s="85"/>
      <c r="R216" s="53"/>
      <c r="S216" s="53"/>
      <c r="T216" s="53"/>
    </row>
    <row r="217" spans="1:20" hidden="1" x14ac:dyDescent="0.25">
      <c r="A217" s="76">
        <v>5219</v>
      </c>
      <c r="B217" s="127" t="s">
        <v>233</v>
      </c>
      <c r="C217" s="279">
        <f t="shared" si="13"/>
        <v>0</v>
      </c>
      <c r="D217" s="474"/>
      <c r="E217" s="474"/>
      <c r="F217" s="279">
        <f t="shared" si="14"/>
        <v>0</v>
      </c>
      <c r="G217" s="134"/>
      <c r="H217" s="135"/>
      <c r="I217" s="136">
        <f t="shared" si="15"/>
        <v>0</v>
      </c>
      <c r="J217" s="134"/>
      <c r="K217" s="135"/>
      <c r="L217" s="136">
        <f t="shared" si="16"/>
        <v>0</v>
      </c>
      <c r="M217" s="284"/>
      <c r="N217" s="285"/>
      <c r="O217" s="136">
        <f t="shared" si="17"/>
        <v>0</v>
      </c>
      <c r="P217" s="85"/>
      <c r="R217" s="53"/>
      <c r="S217" s="53"/>
      <c r="T217" s="53"/>
    </row>
    <row r="218" spans="1:20" hidden="1" x14ac:dyDescent="0.25">
      <c r="A218" s="276">
        <v>5220</v>
      </c>
      <c r="B218" s="127" t="s">
        <v>234</v>
      </c>
      <c r="C218" s="279">
        <f t="shared" si="13"/>
        <v>0</v>
      </c>
      <c r="D218" s="474"/>
      <c r="E218" s="474"/>
      <c r="F218" s="279">
        <f t="shared" si="14"/>
        <v>0</v>
      </c>
      <c r="G218" s="134"/>
      <c r="H218" s="135"/>
      <c r="I218" s="136">
        <f t="shared" si="15"/>
        <v>0</v>
      </c>
      <c r="J218" s="134"/>
      <c r="K218" s="135"/>
      <c r="L218" s="136">
        <f t="shared" si="16"/>
        <v>0</v>
      </c>
      <c r="M218" s="284"/>
      <c r="N218" s="285"/>
      <c r="O218" s="136">
        <f t="shared" si="17"/>
        <v>0</v>
      </c>
      <c r="P218" s="85"/>
      <c r="R218" s="53"/>
      <c r="S218" s="53"/>
      <c r="T218" s="53"/>
    </row>
    <row r="219" spans="1:20" x14ac:dyDescent="0.25">
      <c r="A219" s="276">
        <v>5230</v>
      </c>
      <c r="B219" s="127" t="s">
        <v>235</v>
      </c>
      <c r="C219" s="279">
        <f t="shared" si="13"/>
        <v>1887</v>
      </c>
      <c r="D219" s="279">
        <f>SUM(D220:D227)</f>
        <v>1737</v>
      </c>
      <c r="E219" s="279">
        <f>SUM(E220:E227)</f>
        <v>0</v>
      </c>
      <c r="F219" s="279">
        <f t="shared" si="14"/>
        <v>1737</v>
      </c>
      <c r="G219" s="277">
        <f>SUM(G220:G227)</f>
        <v>150</v>
      </c>
      <c r="H219" s="280">
        <f>SUM(H220:H227)</f>
        <v>0</v>
      </c>
      <c r="I219" s="136">
        <f t="shared" si="15"/>
        <v>150</v>
      </c>
      <c r="J219" s="277">
        <f>SUM(J220:J227)</f>
        <v>0</v>
      </c>
      <c r="K219" s="280">
        <f>SUM(K220:K227)</f>
        <v>0</v>
      </c>
      <c r="L219" s="136">
        <f t="shared" si="16"/>
        <v>0</v>
      </c>
      <c r="M219" s="281">
        <f>SUM(M220:M227)</f>
        <v>0</v>
      </c>
      <c r="N219" s="282">
        <f>SUM(N220:N227)</f>
        <v>0</v>
      </c>
      <c r="O219" s="136">
        <f t="shared" si="17"/>
        <v>0</v>
      </c>
      <c r="P219" s="85"/>
      <c r="R219" s="53"/>
      <c r="S219" s="53"/>
      <c r="T219" s="53"/>
    </row>
    <row r="220" spans="1:20" hidden="1" x14ac:dyDescent="0.25">
      <c r="A220" s="76">
        <v>5231</v>
      </c>
      <c r="B220" s="127" t="s">
        <v>236</v>
      </c>
      <c r="C220" s="279">
        <f t="shared" si="13"/>
        <v>0</v>
      </c>
      <c r="D220" s="474"/>
      <c r="E220" s="474"/>
      <c r="F220" s="279">
        <f t="shared" si="14"/>
        <v>0</v>
      </c>
      <c r="G220" s="134"/>
      <c r="H220" s="135"/>
      <c r="I220" s="136">
        <f t="shared" si="15"/>
        <v>0</v>
      </c>
      <c r="J220" s="134"/>
      <c r="K220" s="135"/>
      <c r="L220" s="136">
        <f t="shared" si="16"/>
        <v>0</v>
      </c>
      <c r="M220" s="284"/>
      <c r="N220" s="285"/>
      <c r="O220" s="136">
        <f t="shared" si="17"/>
        <v>0</v>
      </c>
      <c r="P220" s="85"/>
      <c r="R220" s="53"/>
      <c r="S220" s="53"/>
      <c r="T220" s="53"/>
    </row>
    <row r="221" spans="1:20" x14ac:dyDescent="0.25">
      <c r="A221" s="76">
        <v>5232</v>
      </c>
      <c r="B221" s="127" t="s">
        <v>237</v>
      </c>
      <c r="C221" s="279">
        <f t="shared" si="13"/>
        <v>680</v>
      </c>
      <c r="D221" s="474">
        <v>680</v>
      </c>
      <c r="E221" s="474"/>
      <c r="F221" s="279">
        <f t="shared" si="14"/>
        <v>680</v>
      </c>
      <c r="G221" s="134"/>
      <c r="H221" s="135"/>
      <c r="I221" s="136">
        <f t="shared" si="15"/>
        <v>0</v>
      </c>
      <c r="J221" s="134"/>
      <c r="K221" s="135"/>
      <c r="L221" s="136">
        <f t="shared" si="16"/>
        <v>0</v>
      </c>
      <c r="M221" s="284"/>
      <c r="N221" s="285"/>
      <c r="O221" s="136">
        <f t="shared" si="17"/>
        <v>0</v>
      </c>
      <c r="P221" s="85"/>
      <c r="R221" s="53"/>
      <c r="S221" s="53"/>
      <c r="T221" s="53"/>
    </row>
    <row r="222" spans="1:20" x14ac:dyDescent="0.25">
      <c r="A222" s="76">
        <v>5233</v>
      </c>
      <c r="B222" s="127" t="s">
        <v>238</v>
      </c>
      <c r="C222" s="279">
        <f t="shared" si="13"/>
        <v>207</v>
      </c>
      <c r="D222" s="474">
        <v>57</v>
      </c>
      <c r="E222" s="474"/>
      <c r="F222" s="279">
        <f t="shared" si="14"/>
        <v>57</v>
      </c>
      <c r="G222" s="134">
        <v>150</v>
      </c>
      <c r="H222" s="135"/>
      <c r="I222" s="136">
        <f t="shared" si="15"/>
        <v>150</v>
      </c>
      <c r="J222" s="134"/>
      <c r="K222" s="135"/>
      <c r="L222" s="136">
        <f t="shared" si="16"/>
        <v>0</v>
      </c>
      <c r="M222" s="284"/>
      <c r="N222" s="285"/>
      <c r="O222" s="136">
        <f t="shared" si="17"/>
        <v>0</v>
      </c>
      <c r="P222" s="85"/>
      <c r="R222" s="53"/>
      <c r="S222" s="53"/>
      <c r="T222" s="53"/>
    </row>
    <row r="223" spans="1:20" ht="24" hidden="1" x14ac:dyDescent="0.25">
      <c r="A223" s="76">
        <v>5234</v>
      </c>
      <c r="B223" s="127" t="s">
        <v>239</v>
      </c>
      <c r="C223" s="279">
        <f t="shared" si="13"/>
        <v>0</v>
      </c>
      <c r="D223" s="474"/>
      <c r="E223" s="474"/>
      <c r="F223" s="279">
        <f t="shared" si="14"/>
        <v>0</v>
      </c>
      <c r="G223" s="134"/>
      <c r="H223" s="135"/>
      <c r="I223" s="136">
        <f t="shared" si="15"/>
        <v>0</v>
      </c>
      <c r="J223" s="134"/>
      <c r="K223" s="135"/>
      <c r="L223" s="136">
        <f t="shared" si="16"/>
        <v>0</v>
      </c>
      <c r="M223" s="284"/>
      <c r="N223" s="285"/>
      <c r="O223" s="136">
        <f t="shared" si="17"/>
        <v>0</v>
      </c>
      <c r="P223" s="85"/>
      <c r="R223" s="53"/>
      <c r="S223" s="53"/>
      <c r="T223" s="53"/>
    </row>
    <row r="224" spans="1:20" hidden="1" x14ac:dyDescent="0.25">
      <c r="A224" s="76">
        <v>5236</v>
      </c>
      <c r="B224" s="127" t="s">
        <v>240</v>
      </c>
      <c r="C224" s="279">
        <f t="shared" si="13"/>
        <v>0</v>
      </c>
      <c r="D224" s="474"/>
      <c r="E224" s="474"/>
      <c r="F224" s="279">
        <f t="shared" si="14"/>
        <v>0</v>
      </c>
      <c r="G224" s="134"/>
      <c r="H224" s="135"/>
      <c r="I224" s="136">
        <f t="shared" si="15"/>
        <v>0</v>
      </c>
      <c r="J224" s="134"/>
      <c r="K224" s="135"/>
      <c r="L224" s="136">
        <f t="shared" si="16"/>
        <v>0</v>
      </c>
      <c r="M224" s="284"/>
      <c r="N224" s="285"/>
      <c r="O224" s="136">
        <f t="shared" si="17"/>
        <v>0</v>
      </c>
      <c r="P224" s="85"/>
      <c r="R224" s="53"/>
      <c r="S224" s="53"/>
      <c r="T224" s="53"/>
    </row>
    <row r="225" spans="1:20" hidden="1" x14ac:dyDescent="0.25">
      <c r="A225" s="76">
        <v>5237</v>
      </c>
      <c r="B225" s="127" t="s">
        <v>241</v>
      </c>
      <c r="C225" s="279">
        <f t="shared" si="13"/>
        <v>0</v>
      </c>
      <c r="D225" s="474"/>
      <c r="E225" s="474"/>
      <c r="F225" s="279">
        <f t="shared" si="14"/>
        <v>0</v>
      </c>
      <c r="G225" s="134"/>
      <c r="H225" s="135"/>
      <c r="I225" s="136">
        <f t="shared" si="15"/>
        <v>0</v>
      </c>
      <c r="J225" s="134"/>
      <c r="K225" s="135"/>
      <c r="L225" s="136">
        <f t="shared" si="16"/>
        <v>0</v>
      </c>
      <c r="M225" s="284"/>
      <c r="N225" s="285"/>
      <c r="O225" s="136">
        <f t="shared" si="17"/>
        <v>0</v>
      </c>
      <c r="P225" s="85"/>
      <c r="R225" s="53"/>
      <c r="S225" s="53"/>
      <c r="T225" s="53"/>
    </row>
    <row r="226" spans="1:20" ht="24" x14ac:dyDescent="0.25">
      <c r="A226" s="76">
        <v>5238</v>
      </c>
      <c r="B226" s="127" t="s">
        <v>242</v>
      </c>
      <c r="C226" s="279">
        <f t="shared" si="13"/>
        <v>1000</v>
      </c>
      <c r="D226" s="474">
        <v>1000</v>
      </c>
      <c r="E226" s="474"/>
      <c r="F226" s="279">
        <f t="shared" si="14"/>
        <v>1000</v>
      </c>
      <c r="G226" s="134"/>
      <c r="H226" s="135"/>
      <c r="I226" s="136">
        <f t="shared" si="15"/>
        <v>0</v>
      </c>
      <c r="J226" s="134"/>
      <c r="K226" s="135"/>
      <c r="L226" s="136">
        <f t="shared" si="16"/>
        <v>0</v>
      </c>
      <c r="M226" s="284"/>
      <c r="N226" s="285"/>
      <c r="O226" s="136">
        <f t="shared" si="17"/>
        <v>0</v>
      </c>
      <c r="P226" s="85"/>
      <c r="R226" s="53"/>
      <c r="S226" s="53"/>
      <c r="T226" s="53"/>
    </row>
    <row r="227" spans="1:20" ht="24" hidden="1" x14ac:dyDescent="0.25">
      <c r="A227" s="76">
        <v>5239</v>
      </c>
      <c r="B227" s="127" t="s">
        <v>243</v>
      </c>
      <c r="C227" s="279">
        <f t="shared" si="13"/>
        <v>0</v>
      </c>
      <c r="D227" s="474"/>
      <c r="E227" s="474"/>
      <c r="F227" s="279">
        <f t="shared" si="14"/>
        <v>0</v>
      </c>
      <c r="G227" s="134"/>
      <c r="H227" s="135"/>
      <c r="I227" s="136">
        <f t="shared" si="15"/>
        <v>0</v>
      </c>
      <c r="J227" s="134"/>
      <c r="K227" s="135"/>
      <c r="L227" s="136">
        <f t="shared" si="16"/>
        <v>0</v>
      </c>
      <c r="M227" s="284"/>
      <c r="N227" s="285"/>
      <c r="O227" s="136">
        <f t="shared" si="17"/>
        <v>0</v>
      </c>
      <c r="P227" s="85"/>
      <c r="R227" s="53"/>
      <c r="S227" s="53"/>
      <c r="T227" s="53"/>
    </row>
    <row r="228" spans="1:20" ht="24" hidden="1" x14ac:dyDescent="0.25">
      <c r="A228" s="276">
        <v>5240</v>
      </c>
      <c r="B228" s="127" t="s">
        <v>244</v>
      </c>
      <c r="C228" s="279">
        <f t="shared" si="13"/>
        <v>0</v>
      </c>
      <c r="D228" s="474"/>
      <c r="E228" s="474"/>
      <c r="F228" s="279">
        <f t="shared" si="14"/>
        <v>0</v>
      </c>
      <c r="G228" s="134"/>
      <c r="H228" s="135"/>
      <c r="I228" s="136">
        <f t="shared" si="15"/>
        <v>0</v>
      </c>
      <c r="J228" s="134"/>
      <c r="K228" s="135"/>
      <c r="L228" s="136">
        <f t="shared" si="16"/>
        <v>0</v>
      </c>
      <c r="M228" s="284"/>
      <c r="N228" s="285"/>
      <c r="O228" s="136">
        <f t="shared" si="17"/>
        <v>0</v>
      </c>
      <c r="P228" s="85"/>
      <c r="R228" s="53"/>
      <c r="S228" s="53"/>
      <c r="T228" s="53"/>
    </row>
    <row r="229" spans="1:20" hidden="1" x14ac:dyDescent="0.25">
      <c r="A229" s="276">
        <v>5250</v>
      </c>
      <c r="B229" s="127" t="s">
        <v>245</v>
      </c>
      <c r="C229" s="279">
        <f t="shared" si="13"/>
        <v>0</v>
      </c>
      <c r="D229" s="474"/>
      <c r="E229" s="474"/>
      <c r="F229" s="279">
        <f t="shared" si="14"/>
        <v>0</v>
      </c>
      <c r="G229" s="134"/>
      <c r="H229" s="135"/>
      <c r="I229" s="136">
        <f t="shared" si="15"/>
        <v>0</v>
      </c>
      <c r="J229" s="134"/>
      <c r="K229" s="135"/>
      <c r="L229" s="136">
        <f t="shared" si="16"/>
        <v>0</v>
      </c>
      <c r="M229" s="284"/>
      <c r="N229" s="285"/>
      <c r="O229" s="136">
        <f t="shared" si="17"/>
        <v>0</v>
      </c>
      <c r="P229" s="85"/>
      <c r="R229" s="53"/>
      <c r="S229" s="53"/>
      <c r="T229" s="53"/>
    </row>
    <row r="230" spans="1:20" hidden="1" x14ac:dyDescent="0.25">
      <c r="A230" s="276">
        <v>5260</v>
      </c>
      <c r="B230" s="127" t="s">
        <v>246</v>
      </c>
      <c r="C230" s="279">
        <f t="shared" si="13"/>
        <v>0</v>
      </c>
      <c r="D230" s="279">
        <f>SUM(D231)</f>
        <v>0</v>
      </c>
      <c r="E230" s="279">
        <f>SUM(E231)</f>
        <v>0</v>
      </c>
      <c r="F230" s="279">
        <f t="shared" si="14"/>
        <v>0</v>
      </c>
      <c r="G230" s="277">
        <f>SUM(G231)</f>
        <v>0</v>
      </c>
      <c r="H230" s="280">
        <f>SUM(H231)</f>
        <v>0</v>
      </c>
      <c r="I230" s="136">
        <f t="shared" si="15"/>
        <v>0</v>
      </c>
      <c r="J230" s="277">
        <f>SUM(J231)</f>
        <v>0</v>
      </c>
      <c r="K230" s="280">
        <f>SUM(K231)</f>
        <v>0</v>
      </c>
      <c r="L230" s="136">
        <f t="shared" si="16"/>
        <v>0</v>
      </c>
      <c r="M230" s="281">
        <f>SUM(M231)</f>
        <v>0</v>
      </c>
      <c r="N230" s="282">
        <f>SUM(N231)</f>
        <v>0</v>
      </c>
      <c r="O230" s="136">
        <f t="shared" si="17"/>
        <v>0</v>
      </c>
      <c r="P230" s="85"/>
      <c r="R230" s="53"/>
      <c r="S230" s="53"/>
      <c r="T230" s="53"/>
    </row>
    <row r="231" spans="1:20" ht="24" hidden="1" x14ac:dyDescent="0.25">
      <c r="A231" s="76">
        <v>5269</v>
      </c>
      <c r="B231" s="127" t="s">
        <v>247</v>
      </c>
      <c r="C231" s="279">
        <f t="shared" si="13"/>
        <v>0</v>
      </c>
      <c r="D231" s="474"/>
      <c r="E231" s="474"/>
      <c r="F231" s="279">
        <f t="shared" si="14"/>
        <v>0</v>
      </c>
      <c r="G231" s="134"/>
      <c r="H231" s="135"/>
      <c r="I231" s="136">
        <f t="shared" si="15"/>
        <v>0</v>
      </c>
      <c r="J231" s="134"/>
      <c r="K231" s="135"/>
      <c r="L231" s="136">
        <f t="shared" si="16"/>
        <v>0</v>
      </c>
      <c r="M231" s="284"/>
      <c r="N231" s="285"/>
      <c r="O231" s="136">
        <f t="shared" si="17"/>
        <v>0</v>
      </c>
      <c r="P231" s="85"/>
      <c r="R231" s="53"/>
      <c r="S231" s="53"/>
      <c r="T231" s="53"/>
    </row>
    <row r="232" spans="1:20" ht="24" hidden="1" x14ac:dyDescent="0.25">
      <c r="A232" s="254">
        <v>5270</v>
      </c>
      <c r="B232" s="179" t="s">
        <v>248</v>
      </c>
      <c r="C232" s="302">
        <f t="shared" si="13"/>
        <v>0</v>
      </c>
      <c r="D232" s="477"/>
      <c r="E232" s="477"/>
      <c r="F232" s="257">
        <f t="shared" si="14"/>
        <v>0</v>
      </c>
      <c r="G232" s="287"/>
      <c r="H232" s="289"/>
      <c r="I232" s="259">
        <f t="shared" si="15"/>
        <v>0</v>
      </c>
      <c r="J232" s="287"/>
      <c r="K232" s="289"/>
      <c r="L232" s="259">
        <f t="shared" si="16"/>
        <v>0</v>
      </c>
      <c r="M232" s="290"/>
      <c r="N232" s="291"/>
      <c r="O232" s="259">
        <f t="shared" si="17"/>
        <v>0</v>
      </c>
      <c r="P232" s="189"/>
      <c r="R232" s="53"/>
      <c r="S232" s="53"/>
      <c r="T232" s="53"/>
    </row>
    <row r="233" spans="1:20" hidden="1" x14ac:dyDescent="0.25">
      <c r="A233" s="237">
        <v>6000</v>
      </c>
      <c r="B233" s="237" t="s">
        <v>249</v>
      </c>
      <c r="C233" s="241">
        <f t="shared" si="13"/>
        <v>0</v>
      </c>
      <c r="D233" s="241">
        <f>D234+D254+D261</f>
        <v>0</v>
      </c>
      <c r="E233" s="241">
        <f>E234+E254+E261</f>
        <v>0</v>
      </c>
      <c r="F233" s="241">
        <f t="shared" si="14"/>
        <v>0</v>
      </c>
      <c r="G233" s="239">
        <f>G234+G254+G261</f>
        <v>0</v>
      </c>
      <c r="H233" s="242">
        <f>H234+H254+H261</f>
        <v>0</v>
      </c>
      <c r="I233" s="243">
        <f t="shared" si="15"/>
        <v>0</v>
      </c>
      <c r="J233" s="239">
        <f>J234+J254+J261</f>
        <v>0</v>
      </c>
      <c r="K233" s="242">
        <f>K234+K254+K261</f>
        <v>0</v>
      </c>
      <c r="L233" s="243">
        <f t="shared" si="16"/>
        <v>0</v>
      </c>
      <c r="M233" s="244">
        <f>M234+M254+M261</f>
        <v>0</v>
      </c>
      <c r="N233" s="245">
        <f>N234+N254+N261</f>
        <v>0</v>
      </c>
      <c r="O233" s="243">
        <f t="shared" si="17"/>
        <v>0</v>
      </c>
      <c r="P233" s="246"/>
      <c r="R233" s="53"/>
      <c r="S233" s="53"/>
      <c r="T233" s="53"/>
    </row>
    <row r="234" spans="1:20" hidden="1" x14ac:dyDescent="0.25">
      <c r="A234" s="160">
        <v>6200</v>
      </c>
      <c r="B234" s="321" t="s">
        <v>250</v>
      </c>
      <c r="C234" s="648">
        <f t="shared" si="13"/>
        <v>0</v>
      </c>
      <c r="D234" s="648">
        <f>SUM(D235,D236,D238,D241,D247,D248,D249)</f>
        <v>0</v>
      </c>
      <c r="E234" s="648">
        <f>SUM(E235,E236,E238,E241,E247,E248,E249)</f>
        <v>0</v>
      </c>
      <c r="F234" s="648">
        <f t="shared" si="14"/>
        <v>0</v>
      </c>
      <c r="G234" s="334">
        <f>SUM(G235,G236,G238,G241,G247,G248,G249)</f>
        <v>0</v>
      </c>
      <c r="H234" s="336">
        <f>SUM(H235,H236,H238,H241,H247,H248,H249)</f>
        <v>0</v>
      </c>
      <c r="I234" s="252">
        <f t="shared" si="15"/>
        <v>0</v>
      </c>
      <c r="J234" s="334">
        <f>SUM(J235,J236,J238,J241,J247,J248,J249)</f>
        <v>0</v>
      </c>
      <c r="K234" s="336">
        <f>SUM(K235,K236,K238,K241,K247,K248,K249)</f>
        <v>0</v>
      </c>
      <c r="L234" s="252">
        <f t="shared" si="16"/>
        <v>0</v>
      </c>
      <c r="M234" s="250">
        <f>SUM(M235,M236,M238,M241,M247,M248,M249)</f>
        <v>0</v>
      </c>
      <c r="N234" s="251">
        <f>SUM(N235,N236,N238,N241,N247,N248,N249)</f>
        <v>0</v>
      </c>
      <c r="O234" s="252">
        <f t="shared" si="17"/>
        <v>0</v>
      </c>
      <c r="P234" s="253"/>
      <c r="R234" s="53"/>
      <c r="S234" s="53"/>
      <c r="T234" s="53"/>
    </row>
    <row r="235" spans="1:20" ht="24" hidden="1" x14ac:dyDescent="0.25">
      <c r="A235" s="656">
        <v>6220</v>
      </c>
      <c r="B235" s="116" t="s">
        <v>251</v>
      </c>
      <c r="C235" s="296">
        <f t="shared" si="13"/>
        <v>0</v>
      </c>
      <c r="D235" s="973"/>
      <c r="E235" s="973"/>
      <c r="F235" s="296">
        <f t="shared" si="14"/>
        <v>0</v>
      </c>
      <c r="G235" s="123"/>
      <c r="H235" s="124"/>
      <c r="I235" s="125">
        <f t="shared" si="15"/>
        <v>0</v>
      </c>
      <c r="J235" s="123"/>
      <c r="K235" s="124"/>
      <c r="L235" s="125">
        <f t="shared" si="16"/>
        <v>0</v>
      </c>
      <c r="M235" s="264"/>
      <c r="N235" s="262"/>
      <c r="O235" s="125">
        <f t="shared" si="17"/>
        <v>0</v>
      </c>
      <c r="P235" s="74"/>
      <c r="R235" s="53"/>
      <c r="S235" s="53"/>
      <c r="T235" s="53"/>
    </row>
    <row r="236" spans="1:20" hidden="1" x14ac:dyDescent="0.25">
      <c r="A236" s="276">
        <v>6230</v>
      </c>
      <c r="B236" s="127" t="s">
        <v>252</v>
      </c>
      <c r="C236" s="279">
        <f t="shared" si="13"/>
        <v>0</v>
      </c>
      <c r="D236" s="279">
        <f>SUM(D237)</f>
        <v>0</v>
      </c>
      <c r="E236" s="279">
        <f>SUM(E237)</f>
        <v>0</v>
      </c>
      <c r="F236" s="279">
        <f t="shared" si="14"/>
        <v>0</v>
      </c>
      <c r="G236" s="277">
        <f>SUM(G237)</f>
        <v>0</v>
      </c>
      <c r="H236" s="280">
        <f>SUM(H237)</f>
        <v>0</v>
      </c>
      <c r="I236" s="136">
        <f t="shared" si="15"/>
        <v>0</v>
      </c>
      <c r="J236" s="277">
        <f>SUM(J237)</f>
        <v>0</v>
      </c>
      <c r="K236" s="280">
        <f>SUM(K237)</f>
        <v>0</v>
      </c>
      <c r="L236" s="136">
        <f t="shared" si="16"/>
        <v>0</v>
      </c>
      <c r="M236" s="277">
        <f>SUM(M237)</f>
        <v>0</v>
      </c>
      <c r="N236" s="280">
        <f>SUM(N237)</f>
        <v>0</v>
      </c>
      <c r="O236" s="136">
        <f t="shared" si="17"/>
        <v>0</v>
      </c>
      <c r="P236" s="85"/>
      <c r="R236" s="53"/>
      <c r="S236" s="53"/>
      <c r="T236" s="53"/>
    </row>
    <row r="237" spans="1:20" ht="24" hidden="1" x14ac:dyDescent="0.25">
      <c r="A237" s="76">
        <v>6239</v>
      </c>
      <c r="B237" s="116" t="s">
        <v>253</v>
      </c>
      <c r="C237" s="279">
        <f t="shared" si="13"/>
        <v>0</v>
      </c>
      <c r="D237" s="474"/>
      <c r="E237" s="474"/>
      <c r="F237" s="279">
        <f t="shared" si="14"/>
        <v>0</v>
      </c>
      <c r="G237" s="134"/>
      <c r="H237" s="135"/>
      <c r="I237" s="136">
        <f t="shared" si="15"/>
        <v>0</v>
      </c>
      <c r="J237" s="134"/>
      <c r="K237" s="135"/>
      <c r="L237" s="136">
        <f t="shared" si="16"/>
        <v>0</v>
      </c>
      <c r="M237" s="284"/>
      <c r="N237" s="285"/>
      <c r="O237" s="136">
        <f t="shared" si="17"/>
        <v>0</v>
      </c>
      <c r="P237" s="85"/>
      <c r="R237" s="53"/>
      <c r="S237" s="53"/>
      <c r="T237" s="53"/>
    </row>
    <row r="238" spans="1:20" ht="24" hidden="1" x14ac:dyDescent="0.25">
      <c r="A238" s="276">
        <v>6240</v>
      </c>
      <c r="B238" s="127" t="s">
        <v>254</v>
      </c>
      <c r="C238" s="279">
        <f t="shared" si="13"/>
        <v>0</v>
      </c>
      <c r="D238" s="279">
        <f>SUM(D239:D240)</f>
        <v>0</v>
      </c>
      <c r="E238" s="279">
        <f>SUM(E239:E240)</f>
        <v>0</v>
      </c>
      <c r="F238" s="279">
        <f t="shared" si="14"/>
        <v>0</v>
      </c>
      <c r="G238" s="277">
        <f>SUM(G239:G240)</f>
        <v>0</v>
      </c>
      <c r="H238" s="280">
        <f>SUM(H239:H240)</f>
        <v>0</v>
      </c>
      <c r="I238" s="136">
        <f t="shared" si="15"/>
        <v>0</v>
      </c>
      <c r="J238" s="277">
        <f>SUM(J239:J240)</f>
        <v>0</v>
      </c>
      <c r="K238" s="280">
        <f>SUM(K239:K240)</f>
        <v>0</v>
      </c>
      <c r="L238" s="136">
        <f t="shared" si="16"/>
        <v>0</v>
      </c>
      <c r="M238" s="281">
        <f>SUM(M239:M240)</f>
        <v>0</v>
      </c>
      <c r="N238" s="282">
        <f>SUM(N239:N240)</f>
        <v>0</v>
      </c>
      <c r="O238" s="136">
        <f t="shared" si="17"/>
        <v>0</v>
      </c>
      <c r="P238" s="85"/>
      <c r="R238" s="53"/>
      <c r="S238" s="53"/>
      <c r="T238" s="53"/>
    </row>
    <row r="239" spans="1:20" hidden="1" x14ac:dyDescent="0.25">
      <c r="A239" s="76">
        <v>6241</v>
      </c>
      <c r="B239" s="127" t="s">
        <v>255</v>
      </c>
      <c r="C239" s="279">
        <f t="shared" si="13"/>
        <v>0</v>
      </c>
      <c r="D239" s="474"/>
      <c r="E239" s="474"/>
      <c r="F239" s="279">
        <f t="shared" si="14"/>
        <v>0</v>
      </c>
      <c r="G239" s="134"/>
      <c r="H239" s="135"/>
      <c r="I239" s="136">
        <f t="shared" si="15"/>
        <v>0</v>
      </c>
      <c r="J239" s="134"/>
      <c r="K239" s="135"/>
      <c r="L239" s="136">
        <f t="shared" si="16"/>
        <v>0</v>
      </c>
      <c r="M239" s="284"/>
      <c r="N239" s="285"/>
      <c r="O239" s="136">
        <f t="shared" si="17"/>
        <v>0</v>
      </c>
      <c r="P239" s="85"/>
      <c r="R239" s="53"/>
      <c r="S239" s="53"/>
      <c r="T239" s="53"/>
    </row>
    <row r="240" spans="1:20" hidden="1" x14ac:dyDescent="0.25">
      <c r="A240" s="76">
        <v>6242</v>
      </c>
      <c r="B240" s="127" t="s">
        <v>256</v>
      </c>
      <c r="C240" s="279">
        <f t="shared" si="13"/>
        <v>0</v>
      </c>
      <c r="D240" s="474"/>
      <c r="E240" s="474"/>
      <c r="F240" s="279">
        <f t="shared" si="14"/>
        <v>0</v>
      </c>
      <c r="G240" s="134"/>
      <c r="H240" s="135"/>
      <c r="I240" s="136">
        <f t="shared" si="15"/>
        <v>0</v>
      </c>
      <c r="J240" s="134"/>
      <c r="K240" s="135"/>
      <c r="L240" s="136">
        <f t="shared" si="16"/>
        <v>0</v>
      </c>
      <c r="M240" s="284"/>
      <c r="N240" s="285"/>
      <c r="O240" s="136">
        <f t="shared" si="17"/>
        <v>0</v>
      </c>
      <c r="P240" s="85"/>
      <c r="R240" s="53"/>
      <c r="S240" s="53"/>
      <c r="T240" s="53"/>
    </row>
    <row r="241" spans="1:20" ht="24" hidden="1" x14ac:dyDescent="0.25">
      <c r="A241" s="276">
        <v>6250</v>
      </c>
      <c r="B241" s="127" t="s">
        <v>257</v>
      </c>
      <c r="C241" s="279">
        <f t="shared" si="13"/>
        <v>0</v>
      </c>
      <c r="D241" s="279">
        <f>SUM(D242:D246)</f>
        <v>0</v>
      </c>
      <c r="E241" s="279">
        <f>SUM(E242:E246)</f>
        <v>0</v>
      </c>
      <c r="F241" s="279">
        <f t="shared" si="14"/>
        <v>0</v>
      </c>
      <c r="G241" s="277">
        <f>SUM(G242:G246)</f>
        <v>0</v>
      </c>
      <c r="H241" s="280">
        <f>SUM(H242:H246)</f>
        <v>0</v>
      </c>
      <c r="I241" s="136">
        <f t="shared" si="15"/>
        <v>0</v>
      </c>
      <c r="J241" s="277">
        <f>SUM(J242:J246)</f>
        <v>0</v>
      </c>
      <c r="K241" s="280">
        <f>SUM(K242:K246)</f>
        <v>0</v>
      </c>
      <c r="L241" s="136">
        <f t="shared" si="16"/>
        <v>0</v>
      </c>
      <c r="M241" s="281">
        <f>SUM(M242:M246)</f>
        <v>0</v>
      </c>
      <c r="N241" s="282">
        <f>SUM(N242:N246)</f>
        <v>0</v>
      </c>
      <c r="O241" s="136">
        <f t="shared" si="17"/>
        <v>0</v>
      </c>
      <c r="P241" s="85"/>
      <c r="R241" s="53"/>
      <c r="S241" s="53"/>
      <c r="T241" s="53"/>
    </row>
    <row r="242" spans="1:20" hidden="1" x14ac:dyDescent="0.25">
      <c r="A242" s="76">
        <v>6252</v>
      </c>
      <c r="B242" s="127" t="s">
        <v>258</v>
      </c>
      <c r="C242" s="279">
        <f t="shared" si="13"/>
        <v>0</v>
      </c>
      <c r="D242" s="474"/>
      <c r="E242" s="474"/>
      <c r="F242" s="279">
        <f t="shared" si="14"/>
        <v>0</v>
      </c>
      <c r="G242" s="134"/>
      <c r="H242" s="135"/>
      <c r="I242" s="136">
        <f t="shared" si="15"/>
        <v>0</v>
      </c>
      <c r="J242" s="134"/>
      <c r="K242" s="135"/>
      <c r="L242" s="136">
        <f t="shared" si="16"/>
        <v>0</v>
      </c>
      <c r="M242" s="284"/>
      <c r="N242" s="285"/>
      <c r="O242" s="136">
        <f t="shared" si="17"/>
        <v>0</v>
      </c>
      <c r="P242" s="85"/>
      <c r="R242" s="53"/>
      <c r="S242" s="53"/>
      <c r="T242" s="53"/>
    </row>
    <row r="243" spans="1:20" hidden="1" x14ac:dyDescent="0.25">
      <c r="A243" s="76">
        <v>6253</v>
      </c>
      <c r="B243" s="127" t="s">
        <v>259</v>
      </c>
      <c r="C243" s="279">
        <f t="shared" si="13"/>
        <v>0</v>
      </c>
      <c r="D243" s="474"/>
      <c r="E243" s="474"/>
      <c r="F243" s="279">
        <f t="shared" si="14"/>
        <v>0</v>
      </c>
      <c r="G243" s="134"/>
      <c r="H243" s="135"/>
      <c r="I243" s="136">
        <f t="shared" si="15"/>
        <v>0</v>
      </c>
      <c r="J243" s="134"/>
      <c r="K243" s="135"/>
      <c r="L243" s="136">
        <f t="shared" si="16"/>
        <v>0</v>
      </c>
      <c r="M243" s="284"/>
      <c r="N243" s="285"/>
      <c r="O243" s="136">
        <f t="shared" si="17"/>
        <v>0</v>
      </c>
      <c r="P243" s="85"/>
      <c r="R243" s="53"/>
      <c r="S243" s="53"/>
      <c r="T243" s="53"/>
    </row>
    <row r="244" spans="1:20" ht="24" hidden="1" x14ac:dyDescent="0.25">
      <c r="A244" s="76">
        <v>6254</v>
      </c>
      <c r="B244" s="127" t="s">
        <v>260</v>
      </c>
      <c r="C244" s="279">
        <f t="shared" si="13"/>
        <v>0</v>
      </c>
      <c r="D244" s="474"/>
      <c r="E244" s="474"/>
      <c r="F244" s="279">
        <f t="shared" si="14"/>
        <v>0</v>
      </c>
      <c r="G244" s="134"/>
      <c r="H244" s="135"/>
      <c r="I244" s="136">
        <f t="shared" si="15"/>
        <v>0</v>
      </c>
      <c r="J244" s="134"/>
      <c r="K244" s="135"/>
      <c r="L244" s="136">
        <f t="shared" si="16"/>
        <v>0</v>
      </c>
      <c r="M244" s="284"/>
      <c r="N244" s="285"/>
      <c r="O244" s="136">
        <f t="shared" si="17"/>
        <v>0</v>
      </c>
      <c r="P244" s="85"/>
      <c r="R244" s="53"/>
      <c r="S244" s="53"/>
      <c r="T244" s="53"/>
    </row>
    <row r="245" spans="1:20" ht="24" hidden="1" x14ac:dyDescent="0.25">
      <c r="A245" s="76">
        <v>6255</v>
      </c>
      <c r="B245" s="127" t="s">
        <v>261</v>
      </c>
      <c r="C245" s="279">
        <f t="shared" ref="C245:C286" si="18">F245+I245+L245+O245</f>
        <v>0</v>
      </c>
      <c r="D245" s="474"/>
      <c r="E245" s="474"/>
      <c r="F245" s="279">
        <f t="shared" ref="F245:F299" si="19">D245+E245</f>
        <v>0</v>
      </c>
      <c r="G245" s="134"/>
      <c r="H245" s="135"/>
      <c r="I245" s="136">
        <f t="shared" ref="I245:I299" si="20">G245+H245</f>
        <v>0</v>
      </c>
      <c r="J245" s="134"/>
      <c r="K245" s="135"/>
      <c r="L245" s="136">
        <f t="shared" ref="L245:L299" si="21">J245+K245</f>
        <v>0</v>
      </c>
      <c r="M245" s="284"/>
      <c r="N245" s="285"/>
      <c r="O245" s="136">
        <f t="shared" ref="O245:O277" si="22">M245+N245</f>
        <v>0</v>
      </c>
      <c r="P245" s="85"/>
      <c r="R245" s="53"/>
      <c r="S245" s="53"/>
      <c r="T245" s="53"/>
    </row>
    <row r="246" spans="1:20" hidden="1" x14ac:dyDescent="0.25">
      <c r="A246" s="76">
        <v>6259</v>
      </c>
      <c r="B246" s="127" t="s">
        <v>262</v>
      </c>
      <c r="C246" s="279">
        <f t="shared" si="18"/>
        <v>0</v>
      </c>
      <c r="D246" s="474"/>
      <c r="E246" s="474"/>
      <c r="F246" s="279">
        <f t="shared" si="19"/>
        <v>0</v>
      </c>
      <c r="G246" s="134"/>
      <c r="H246" s="135"/>
      <c r="I246" s="136">
        <f t="shared" si="20"/>
        <v>0</v>
      </c>
      <c r="J246" s="134"/>
      <c r="K246" s="135"/>
      <c r="L246" s="136">
        <f t="shared" si="21"/>
        <v>0</v>
      </c>
      <c r="M246" s="284"/>
      <c r="N246" s="285"/>
      <c r="O246" s="136">
        <f t="shared" si="22"/>
        <v>0</v>
      </c>
      <c r="P246" s="85"/>
      <c r="R246" s="53"/>
      <c r="S246" s="53"/>
      <c r="T246" s="53"/>
    </row>
    <row r="247" spans="1:20" ht="24" hidden="1" x14ac:dyDescent="0.25">
      <c r="A247" s="276">
        <v>6260</v>
      </c>
      <c r="B247" s="127" t="s">
        <v>263</v>
      </c>
      <c r="C247" s="279">
        <f t="shared" si="18"/>
        <v>0</v>
      </c>
      <c r="D247" s="474"/>
      <c r="E247" s="474"/>
      <c r="F247" s="279">
        <f t="shared" si="19"/>
        <v>0</v>
      </c>
      <c r="G247" s="134"/>
      <c r="H247" s="135"/>
      <c r="I247" s="136">
        <f t="shared" si="20"/>
        <v>0</v>
      </c>
      <c r="J247" s="134"/>
      <c r="K247" s="135"/>
      <c r="L247" s="136">
        <f t="shared" si="21"/>
        <v>0</v>
      </c>
      <c r="M247" s="284"/>
      <c r="N247" s="285"/>
      <c r="O247" s="136">
        <f t="shared" si="22"/>
        <v>0</v>
      </c>
      <c r="P247" s="85"/>
      <c r="R247" s="53"/>
      <c r="S247" s="53"/>
      <c r="T247" s="53"/>
    </row>
    <row r="248" spans="1:20" hidden="1" x14ac:dyDescent="0.25">
      <c r="A248" s="276">
        <v>6270</v>
      </c>
      <c r="B248" s="127" t="s">
        <v>264</v>
      </c>
      <c r="C248" s="279">
        <f t="shared" si="18"/>
        <v>0</v>
      </c>
      <c r="D248" s="474"/>
      <c r="E248" s="474"/>
      <c r="F248" s="279">
        <f t="shared" si="19"/>
        <v>0</v>
      </c>
      <c r="G248" s="134"/>
      <c r="H248" s="135"/>
      <c r="I248" s="136">
        <f t="shared" si="20"/>
        <v>0</v>
      </c>
      <c r="J248" s="134"/>
      <c r="K248" s="135"/>
      <c r="L248" s="136">
        <f t="shared" si="21"/>
        <v>0</v>
      </c>
      <c r="M248" s="284"/>
      <c r="N248" s="285"/>
      <c r="O248" s="136">
        <f t="shared" si="22"/>
        <v>0</v>
      </c>
      <c r="P248" s="85"/>
      <c r="R248" s="53"/>
      <c r="S248" s="53"/>
      <c r="T248" s="53"/>
    </row>
    <row r="249" spans="1:20" ht="24" hidden="1" x14ac:dyDescent="0.25">
      <c r="A249" s="656">
        <v>6290</v>
      </c>
      <c r="B249" s="116" t="s">
        <v>265</v>
      </c>
      <c r="C249" s="279">
        <f t="shared" si="18"/>
        <v>0</v>
      </c>
      <c r="D249" s="296">
        <f>SUM(D250:D253)</f>
        <v>0</v>
      </c>
      <c r="E249" s="296">
        <f>SUM(E250:E253)</f>
        <v>0</v>
      </c>
      <c r="F249" s="296">
        <f t="shared" si="19"/>
        <v>0</v>
      </c>
      <c r="G249" s="297">
        <f>SUM(G250:G253)</f>
        <v>0</v>
      </c>
      <c r="H249" s="299">
        <f>SUM(H250:H253)</f>
        <v>0</v>
      </c>
      <c r="I249" s="125">
        <f t="shared" si="20"/>
        <v>0</v>
      </c>
      <c r="J249" s="297">
        <f>SUM(J250:J253)</f>
        <v>0</v>
      </c>
      <c r="K249" s="299">
        <f>SUM(K250:K253)</f>
        <v>0</v>
      </c>
      <c r="L249" s="125">
        <f t="shared" si="21"/>
        <v>0</v>
      </c>
      <c r="M249" s="322">
        <f>SUM(M250:M253)</f>
        <v>0</v>
      </c>
      <c r="N249" s="323">
        <f>SUM(N250:N253)</f>
        <v>0</v>
      </c>
      <c r="O249" s="324">
        <f t="shared" si="22"/>
        <v>0</v>
      </c>
      <c r="P249" s="325"/>
      <c r="R249" s="53"/>
      <c r="S249" s="53"/>
      <c r="T249" s="53"/>
    </row>
    <row r="250" spans="1:20" hidden="1" x14ac:dyDescent="0.25">
      <c r="A250" s="76">
        <v>6291</v>
      </c>
      <c r="B250" s="127" t="s">
        <v>266</v>
      </c>
      <c r="C250" s="279">
        <f t="shared" si="18"/>
        <v>0</v>
      </c>
      <c r="D250" s="474"/>
      <c r="E250" s="474"/>
      <c r="F250" s="279">
        <f t="shared" si="19"/>
        <v>0</v>
      </c>
      <c r="G250" s="134"/>
      <c r="H250" s="135"/>
      <c r="I250" s="136">
        <f t="shared" si="20"/>
        <v>0</v>
      </c>
      <c r="J250" s="134"/>
      <c r="K250" s="135"/>
      <c r="L250" s="136">
        <f t="shared" si="21"/>
        <v>0</v>
      </c>
      <c r="M250" s="284"/>
      <c r="N250" s="285"/>
      <c r="O250" s="136">
        <f t="shared" si="22"/>
        <v>0</v>
      </c>
      <c r="P250" s="85"/>
      <c r="R250" s="53"/>
      <c r="S250" s="53"/>
      <c r="T250" s="53"/>
    </row>
    <row r="251" spans="1:20" hidden="1" x14ac:dyDescent="0.25">
      <c r="A251" s="76">
        <v>6292</v>
      </c>
      <c r="B251" s="127" t="s">
        <v>267</v>
      </c>
      <c r="C251" s="279">
        <f t="shared" si="18"/>
        <v>0</v>
      </c>
      <c r="D251" s="474"/>
      <c r="E251" s="474"/>
      <c r="F251" s="279">
        <f t="shared" si="19"/>
        <v>0</v>
      </c>
      <c r="G251" s="134"/>
      <c r="H251" s="135"/>
      <c r="I251" s="136">
        <f t="shared" si="20"/>
        <v>0</v>
      </c>
      <c r="J251" s="134"/>
      <c r="K251" s="135"/>
      <c r="L251" s="136">
        <f t="shared" si="21"/>
        <v>0</v>
      </c>
      <c r="M251" s="284"/>
      <c r="N251" s="285"/>
      <c r="O251" s="136">
        <f t="shared" si="22"/>
        <v>0</v>
      </c>
      <c r="P251" s="85"/>
      <c r="R251" s="53"/>
      <c r="S251" s="53"/>
      <c r="T251" s="53"/>
    </row>
    <row r="252" spans="1:20" ht="72" hidden="1" x14ac:dyDescent="0.25">
      <c r="A252" s="76">
        <v>6296</v>
      </c>
      <c r="B252" s="127" t="s">
        <v>268</v>
      </c>
      <c r="C252" s="279">
        <f t="shared" si="18"/>
        <v>0</v>
      </c>
      <c r="D252" s="474"/>
      <c r="E252" s="474"/>
      <c r="F252" s="279">
        <f t="shared" si="19"/>
        <v>0</v>
      </c>
      <c r="G252" s="134"/>
      <c r="H252" s="135"/>
      <c r="I252" s="136">
        <f t="shared" si="20"/>
        <v>0</v>
      </c>
      <c r="J252" s="134"/>
      <c r="K252" s="135"/>
      <c r="L252" s="136">
        <f t="shared" si="21"/>
        <v>0</v>
      </c>
      <c r="M252" s="284"/>
      <c r="N252" s="285"/>
      <c r="O252" s="136">
        <f t="shared" si="22"/>
        <v>0</v>
      </c>
      <c r="P252" s="85"/>
      <c r="R252" s="53"/>
      <c r="S252" s="53"/>
      <c r="T252" s="53"/>
    </row>
    <row r="253" spans="1:20" ht="36" hidden="1" x14ac:dyDescent="0.25">
      <c r="A253" s="76">
        <v>6299</v>
      </c>
      <c r="B253" s="127" t="s">
        <v>269</v>
      </c>
      <c r="C253" s="279">
        <f t="shared" si="18"/>
        <v>0</v>
      </c>
      <c r="D253" s="474"/>
      <c r="E253" s="474"/>
      <c r="F253" s="279">
        <f t="shared" si="19"/>
        <v>0</v>
      </c>
      <c r="G253" s="134"/>
      <c r="H253" s="135"/>
      <c r="I253" s="136">
        <f t="shared" si="20"/>
        <v>0</v>
      </c>
      <c r="J253" s="134"/>
      <c r="K253" s="135"/>
      <c r="L253" s="136">
        <f t="shared" si="21"/>
        <v>0</v>
      </c>
      <c r="M253" s="284"/>
      <c r="N253" s="285"/>
      <c r="O253" s="136">
        <f t="shared" si="22"/>
        <v>0</v>
      </c>
      <c r="P253" s="85"/>
      <c r="R253" s="53"/>
      <c r="S253" s="53"/>
      <c r="T253" s="53"/>
    </row>
    <row r="254" spans="1:20" hidden="1" x14ac:dyDescent="0.25">
      <c r="A254" s="99">
        <v>6300</v>
      </c>
      <c r="B254" s="247" t="s">
        <v>270</v>
      </c>
      <c r="C254" s="249">
        <f t="shared" si="18"/>
        <v>0</v>
      </c>
      <c r="D254" s="249">
        <f>SUM(D255,D259,D260)</f>
        <v>0</v>
      </c>
      <c r="E254" s="249">
        <f>SUM(E255,E259,E260)</f>
        <v>0</v>
      </c>
      <c r="F254" s="249">
        <f t="shared" si="19"/>
        <v>0</v>
      </c>
      <c r="G254" s="112">
        <f>SUM(G255,G259,G260)</f>
        <v>0</v>
      </c>
      <c r="H254" s="113">
        <f>SUM(H255,H259,H260)</f>
        <v>0</v>
      </c>
      <c r="I254" s="114">
        <f t="shared" si="20"/>
        <v>0</v>
      </c>
      <c r="J254" s="112">
        <f>SUM(J255,J259,J260)</f>
        <v>0</v>
      </c>
      <c r="K254" s="113">
        <f>SUM(K255,K259,K260)</f>
        <v>0</v>
      </c>
      <c r="L254" s="114">
        <f t="shared" si="21"/>
        <v>0</v>
      </c>
      <c r="M254" s="303">
        <f>SUM(M255,M259,M260)</f>
        <v>0</v>
      </c>
      <c r="N254" s="304">
        <f>SUM(N255,N259,N260)</f>
        <v>0</v>
      </c>
      <c r="O254" s="305">
        <f t="shared" si="22"/>
        <v>0</v>
      </c>
      <c r="P254" s="306"/>
      <c r="R254" s="53"/>
      <c r="S254" s="53"/>
      <c r="T254" s="53"/>
    </row>
    <row r="255" spans="1:20" ht="24" hidden="1" x14ac:dyDescent="0.25">
      <c r="A255" s="656">
        <v>6320</v>
      </c>
      <c r="B255" s="116" t="s">
        <v>271</v>
      </c>
      <c r="C255" s="647">
        <f t="shared" si="18"/>
        <v>0</v>
      </c>
      <c r="D255" s="296">
        <f>SUM(D256:D258)</f>
        <v>0</v>
      </c>
      <c r="E255" s="296">
        <f>SUM(E256:E258)</f>
        <v>0</v>
      </c>
      <c r="F255" s="296">
        <f t="shared" si="19"/>
        <v>0</v>
      </c>
      <c r="G255" s="297">
        <f>SUM(G256:G258)</f>
        <v>0</v>
      </c>
      <c r="H255" s="299">
        <f>SUM(H256:H258)</f>
        <v>0</v>
      </c>
      <c r="I255" s="125">
        <f t="shared" si="20"/>
        <v>0</v>
      </c>
      <c r="J255" s="297">
        <f>SUM(J256:J258)</f>
        <v>0</v>
      </c>
      <c r="K255" s="299">
        <f>SUM(K256:K258)</f>
        <v>0</v>
      </c>
      <c r="L255" s="125">
        <f t="shared" si="21"/>
        <v>0</v>
      </c>
      <c r="M255" s="300">
        <f>SUM(M256:M258)</f>
        <v>0</v>
      </c>
      <c r="N255" s="301">
        <f>SUM(N256:N258)</f>
        <v>0</v>
      </c>
      <c r="O255" s="125">
        <f t="shared" si="22"/>
        <v>0</v>
      </c>
      <c r="P255" s="74"/>
      <c r="R255" s="53"/>
      <c r="S255" s="53"/>
      <c r="T255" s="53"/>
    </row>
    <row r="256" spans="1:20" hidden="1" x14ac:dyDescent="0.25">
      <c r="A256" s="76">
        <v>6322</v>
      </c>
      <c r="B256" s="127" t="s">
        <v>272</v>
      </c>
      <c r="C256" s="279">
        <f t="shared" si="18"/>
        <v>0</v>
      </c>
      <c r="D256" s="474"/>
      <c r="E256" s="474"/>
      <c r="F256" s="279">
        <f t="shared" si="19"/>
        <v>0</v>
      </c>
      <c r="G256" s="134"/>
      <c r="H256" s="135"/>
      <c r="I256" s="136">
        <f t="shared" si="20"/>
        <v>0</v>
      </c>
      <c r="J256" s="134"/>
      <c r="K256" s="135"/>
      <c r="L256" s="136">
        <f t="shared" si="21"/>
        <v>0</v>
      </c>
      <c r="M256" s="284"/>
      <c r="N256" s="285"/>
      <c r="O256" s="136">
        <f t="shared" si="22"/>
        <v>0</v>
      </c>
      <c r="P256" s="85"/>
      <c r="R256" s="53"/>
      <c r="S256" s="53"/>
      <c r="T256" s="53"/>
    </row>
    <row r="257" spans="1:20" ht="24" hidden="1" x14ac:dyDescent="0.25">
      <c r="A257" s="76">
        <v>6323</v>
      </c>
      <c r="B257" s="127" t="s">
        <v>273</v>
      </c>
      <c r="C257" s="279">
        <f t="shared" si="18"/>
        <v>0</v>
      </c>
      <c r="D257" s="474"/>
      <c r="E257" s="474"/>
      <c r="F257" s="279">
        <f t="shared" si="19"/>
        <v>0</v>
      </c>
      <c r="G257" s="134"/>
      <c r="H257" s="135"/>
      <c r="I257" s="136">
        <f t="shared" si="20"/>
        <v>0</v>
      </c>
      <c r="J257" s="134"/>
      <c r="K257" s="135"/>
      <c r="L257" s="136">
        <f t="shared" si="21"/>
        <v>0</v>
      </c>
      <c r="M257" s="284"/>
      <c r="N257" s="285"/>
      <c r="O257" s="136">
        <f t="shared" si="22"/>
        <v>0</v>
      </c>
      <c r="P257" s="85"/>
      <c r="R257" s="53"/>
      <c r="S257" s="53"/>
      <c r="T257" s="53"/>
    </row>
    <row r="258" spans="1:20" ht="24" hidden="1" x14ac:dyDescent="0.25">
      <c r="A258" s="66">
        <v>6324</v>
      </c>
      <c r="B258" s="116" t="s">
        <v>274</v>
      </c>
      <c r="C258" s="279">
        <f t="shared" si="18"/>
        <v>0</v>
      </c>
      <c r="D258" s="973"/>
      <c r="E258" s="973"/>
      <c r="F258" s="296">
        <f t="shared" si="19"/>
        <v>0</v>
      </c>
      <c r="G258" s="123"/>
      <c r="H258" s="124"/>
      <c r="I258" s="125">
        <f t="shared" si="20"/>
        <v>0</v>
      </c>
      <c r="J258" s="123"/>
      <c r="K258" s="124"/>
      <c r="L258" s="125">
        <f t="shared" si="21"/>
        <v>0</v>
      </c>
      <c r="M258" s="264"/>
      <c r="N258" s="262"/>
      <c r="O258" s="125">
        <f t="shared" si="22"/>
        <v>0</v>
      </c>
      <c r="P258" s="74"/>
      <c r="R258" s="53"/>
      <c r="S258" s="53"/>
      <c r="T258" s="53"/>
    </row>
    <row r="259" spans="1:20" ht="24" hidden="1" x14ac:dyDescent="0.25">
      <c r="A259" s="344">
        <v>6330</v>
      </c>
      <c r="B259" s="345" t="s">
        <v>275</v>
      </c>
      <c r="C259" s="279">
        <f t="shared" si="18"/>
        <v>0</v>
      </c>
      <c r="D259" s="975"/>
      <c r="E259" s="975"/>
      <c r="F259" s="647">
        <f t="shared" si="19"/>
        <v>0</v>
      </c>
      <c r="G259" s="328"/>
      <c r="H259" s="331"/>
      <c r="I259" s="324">
        <f t="shared" si="20"/>
        <v>0</v>
      </c>
      <c r="J259" s="328"/>
      <c r="K259" s="331"/>
      <c r="L259" s="324">
        <f t="shared" si="21"/>
        <v>0</v>
      </c>
      <c r="M259" s="332"/>
      <c r="N259" s="329"/>
      <c r="O259" s="324">
        <f t="shared" si="22"/>
        <v>0</v>
      </c>
      <c r="P259" s="325"/>
      <c r="R259" s="53"/>
      <c r="S259" s="53"/>
      <c r="T259" s="53"/>
    </row>
    <row r="260" spans="1:20" hidden="1" x14ac:dyDescent="0.25">
      <c r="A260" s="276">
        <v>6360</v>
      </c>
      <c r="B260" s="127" t="s">
        <v>276</v>
      </c>
      <c r="C260" s="279">
        <f t="shared" si="18"/>
        <v>0</v>
      </c>
      <c r="D260" s="474"/>
      <c r="E260" s="474"/>
      <c r="F260" s="279">
        <f t="shared" si="19"/>
        <v>0</v>
      </c>
      <c r="G260" s="134"/>
      <c r="H260" s="135"/>
      <c r="I260" s="136">
        <f t="shared" si="20"/>
        <v>0</v>
      </c>
      <c r="J260" s="134"/>
      <c r="K260" s="135"/>
      <c r="L260" s="136">
        <f t="shared" si="21"/>
        <v>0</v>
      </c>
      <c r="M260" s="284"/>
      <c r="N260" s="285"/>
      <c r="O260" s="136">
        <f t="shared" si="22"/>
        <v>0</v>
      </c>
      <c r="P260" s="85"/>
      <c r="R260" s="53"/>
      <c r="S260" s="53"/>
      <c r="T260" s="53"/>
    </row>
    <row r="261" spans="1:20" ht="36" hidden="1" x14ac:dyDescent="0.25">
      <c r="A261" s="99">
        <v>6400</v>
      </c>
      <c r="B261" s="247" t="s">
        <v>277</v>
      </c>
      <c r="C261" s="249">
        <f t="shared" si="18"/>
        <v>0</v>
      </c>
      <c r="D261" s="249">
        <f>SUM(D262,D266)</f>
        <v>0</v>
      </c>
      <c r="E261" s="249">
        <f>SUM(E262,E266)</f>
        <v>0</v>
      </c>
      <c r="F261" s="249">
        <f t="shared" si="19"/>
        <v>0</v>
      </c>
      <c r="G261" s="112">
        <f>SUM(G262,G266)</f>
        <v>0</v>
      </c>
      <c r="H261" s="113">
        <f>SUM(H262,H266)</f>
        <v>0</v>
      </c>
      <c r="I261" s="114">
        <f t="shared" si="20"/>
        <v>0</v>
      </c>
      <c r="J261" s="112">
        <f>SUM(J262,J266)</f>
        <v>0</v>
      </c>
      <c r="K261" s="113">
        <f>SUM(K262,K266)</f>
        <v>0</v>
      </c>
      <c r="L261" s="114">
        <f t="shared" si="21"/>
        <v>0</v>
      </c>
      <c r="M261" s="303">
        <f>SUM(M262,M266)</f>
        <v>0</v>
      </c>
      <c r="N261" s="304">
        <f>SUM(N262,N266)</f>
        <v>0</v>
      </c>
      <c r="O261" s="305">
        <f t="shared" si="22"/>
        <v>0</v>
      </c>
      <c r="P261" s="306"/>
      <c r="R261" s="53"/>
      <c r="S261" s="53"/>
      <c r="T261" s="53"/>
    </row>
    <row r="262" spans="1:20" ht="24" hidden="1" x14ac:dyDescent="0.25">
      <c r="A262" s="656">
        <v>6410</v>
      </c>
      <c r="B262" s="116" t="s">
        <v>278</v>
      </c>
      <c r="C262" s="296">
        <f t="shared" si="18"/>
        <v>0</v>
      </c>
      <c r="D262" s="296">
        <f>SUM(D263:D265)</f>
        <v>0</v>
      </c>
      <c r="E262" s="296">
        <f>SUM(E263:E265)</f>
        <v>0</v>
      </c>
      <c r="F262" s="296">
        <f t="shared" si="19"/>
        <v>0</v>
      </c>
      <c r="G262" s="297">
        <f>SUM(G263:G265)</f>
        <v>0</v>
      </c>
      <c r="H262" s="299">
        <f>SUM(H263:H265)</f>
        <v>0</v>
      </c>
      <c r="I262" s="125">
        <f t="shared" si="20"/>
        <v>0</v>
      </c>
      <c r="J262" s="297">
        <f>SUM(J263:J265)</f>
        <v>0</v>
      </c>
      <c r="K262" s="299">
        <f>SUM(K263:K265)</f>
        <v>0</v>
      </c>
      <c r="L262" s="125">
        <f t="shared" si="21"/>
        <v>0</v>
      </c>
      <c r="M262" s="317">
        <f>SUM(M263:M265)</f>
        <v>0</v>
      </c>
      <c r="N262" s="318">
        <f>SUM(N263:N265)</f>
        <v>0</v>
      </c>
      <c r="O262" s="151">
        <f t="shared" si="22"/>
        <v>0</v>
      </c>
      <c r="P262" s="153"/>
      <c r="R262" s="53"/>
      <c r="S262" s="53"/>
      <c r="T262" s="53"/>
    </row>
    <row r="263" spans="1:20" hidden="1" x14ac:dyDescent="0.25">
      <c r="A263" s="76">
        <v>6411</v>
      </c>
      <c r="B263" s="346" t="s">
        <v>279</v>
      </c>
      <c r="C263" s="279">
        <f t="shared" si="18"/>
        <v>0</v>
      </c>
      <c r="D263" s="474"/>
      <c r="E263" s="474"/>
      <c r="F263" s="279">
        <f t="shared" si="19"/>
        <v>0</v>
      </c>
      <c r="G263" s="134"/>
      <c r="H263" s="135"/>
      <c r="I263" s="136">
        <f t="shared" si="20"/>
        <v>0</v>
      </c>
      <c r="J263" s="134"/>
      <c r="K263" s="135"/>
      <c r="L263" s="136">
        <f t="shared" si="21"/>
        <v>0</v>
      </c>
      <c r="M263" s="284"/>
      <c r="N263" s="285"/>
      <c r="O263" s="136">
        <f t="shared" si="22"/>
        <v>0</v>
      </c>
      <c r="P263" s="85"/>
      <c r="R263" s="53"/>
      <c r="S263" s="53"/>
      <c r="T263" s="53"/>
    </row>
    <row r="264" spans="1:20" ht="36" hidden="1" x14ac:dyDescent="0.25">
      <c r="A264" s="76">
        <v>6412</v>
      </c>
      <c r="B264" s="127" t="s">
        <v>280</v>
      </c>
      <c r="C264" s="279">
        <f t="shared" si="18"/>
        <v>0</v>
      </c>
      <c r="D264" s="474"/>
      <c r="E264" s="474"/>
      <c r="F264" s="279">
        <f t="shared" si="19"/>
        <v>0</v>
      </c>
      <c r="G264" s="134"/>
      <c r="H264" s="135"/>
      <c r="I264" s="136">
        <f t="shared" si="20"/>
        <v>0</v>
      </c>
      <c r="J264" s="134"/>
      <c r="K264" s="135"/>
      <c r="L264" s="136">
        <f t="shared" si="21"/>
        <v>0</v>
      </c>
      <c r="M264" s="284"/>
      <c r="N264" s="285"/>
      <c r="O264" s="136">
        <f t="shared" si="22"/>
        <v>0</v>
      </c>
      <c r="P264" s="85"/>
      <c r="R264" s="53"/>
      <c r="S264" s="53"/>
      <c r="T264" s="53"/>
    </row>
    <row r="265" spans="1:20" ht="36" hidden="1" x14ac:dyDescent="0.25">
      <c r="A265" s="76">
        <v>6419</v>
      </c>
      <c r="B265" s="127" t="s">
        <v>281</v>
      </c>
      <c r="C265" s="279">
        <f t="shared" si="18"/>
        <v>0</v>
      </c>
      <c r="D265" s="474"/>
      <c r="E265" s="474"/>
      <c r="F265" s="279">
        <f t="shared" si="19"/>
        <v>0</v>
      </c>
      <c r="G265" s="134"/>
      <c r="H265" s="135"/>
      <c r="I265" s="136">
        <f t="shared" si="20"/>
        <v>0</v>
      </c>
      <c r="J265" s="134"/>
      <c r="K265" s="135"/>
      <c r="L265" s="136">
        <f t="shared" si="21"/>
        <v>0</v>
      </c>
      <c r="M265" s="284"/>
      <c r="N265" s="285"/>
      <c r="O265" s="136">
        <f t="shared" si="22"/>
        <v>0</v>
      </c>
      <c r="P265" s="85"/>
      <c r="R265" s="53"/>
      <c r="S265" s="53"/>
      <c r="T265" s="53"/>
    </row>
    <row r="266" spans="1:20" ht="36" hidden="1" x14ac:dyDescent="0.25">
      <c r="A266" s="276">
        <v>6420</v>
      </c>
      <c r="B266" s="127" t="s">
        <v>282</v>
      </c>
      <c r="C266" s="279">
        <f t="shared" si="18"/>
        <v>0</v>
      </c>
      <c r="D266" s="279">
        <f>SUM(D267:D270)</f>
        <v>0</v>
      </c>
      <c r="E266" s="279">
        <f>SUM(E267:E270)</f>
        <v>0</v>
      </c>
      <c r="F266" s="279">
        <f t="shared" si="19"/>
        <v>0</v>
      </c>
      <c r="G266" s="277">
        <f>SUM(G267:G270)</f>
        <v>0</v>
      </c>
      <c r="H266" s="280">
        <f>SUM(H267:H270)</f>
        <v>0</v>
      </c>
      <c r="I266" s="136">
        <f t="shared" si="20"/>
        <v>0</v>
      </c>
      <c r="J266" s="277">
        <f>SUM(J267:J270)</f>
        <v>0</v>
      </c>
      <c r="K266" s="280">
        <f>SUM(K267:K270)</f>
        <v>0</v>
      </c>
      <c r="L266" s="136">
        <f t="shared" si="21"/>
        <v>0</v>
      </c>
      <c r="M266" s="281">
        <f>SUM(M267:M270)</f>
        <v>0</v>
      </c>
      <c r="N266" s="282">
        <f>SUM(N267:N270)</f>
        <v>0</v>
      </c>
      <c r="O266" s="136">
        <f t="shared" si="22"/>
        <v>0</v>
      </c>
      <c r="P266" s="85"/>
      <c r="R266" s="53"/>
      <c r="S266" s="53"/>
      <c r="T266" s="53"/>
    </row>
    <row r="267" spans="1:20" hidden="1" x14ac:dyDescent="0.25">
      <c r="A267" s="76">
        <v>6421</v>
      </c>
      <c r="B267" s="127" t="s">
        <v>283</v>
      </c>
      <c r="C267" s="279">
        <f t="shared" si="18"/>
        <v>0</v>
      </c>
      <c r="D267" s="474"/>
      <c r="E267" s="474"/>
      <c r="F267" s="279">
        <f t="shared" si="19"/>
        <v>0</v>
      </c>
      <c r="G267" s="134"/>
      <c r="H267" s="135"/>
      <c r="I267" s="136">
        <f t="shared" si="20"/>
        <v>0</v>
      </c>
      <c r="J267" s="134"/>
      <c r="K267" s="135"/>
      <c r="L267" s="136">
        <f t="shared" si="21"/>
        <v>0</v>
      </c>
      <c r="M267" s="284"/>
      <c r="N267" s="285"/>
      <c r="O267" s="136">
        <f t="shared" si="22"/>
        <v>0</v>
      </c>
      <c r="P267" s="85"/>
      <c r="R267" s="53"/>
      <c r="S267" s="53"/>
      <c r="T267" s="53"/>
    </row>
    <row r="268" spans="1:20" hidden="1" x14ac:dyDescent="0.25">
      <c r="A268" s="76">
        <v>6422</v>
      </c>
      <c r="B268" s="127" t="s">
        <v>284</v>
      </c>
      <c r="C268" s="279">
        <f t="shared" si="18"/>
        <v>0</v>
      </c>
      <c r="D268" s="474"/>
      <c r="E268" s="474"/>
      <c r="F268" s="279">
        <f t="shared" si="19"/>
        <v>0</v>
      </c>
      <c r="G268" s="134"/>
      <c r="H268" s="135"/>
      <c r="I268" s="136">
        <f t="shared" si="20"/>
        <v>0</v>
      </c>
      <c r="J268" s="134"/>
      <c r="K268" s="135"/>
      <c r="L268" s="136">
        <f t="shared" si="21"/>
        <v>0</v>
      </c>
      <c r="M268" s="284"/>
      <c r="N268" s="285"/>
      <c r="O268" s="136">
        <f t="shared" si="22"/>
        <v>0</v>
      </c>
      <c r="P268" s="85"/>
      <c r="R268" s="53"/>
      <c r="S268" s="53"/>
      <c r="T268" s="53"/>
    </row>
    <row r="269" spans="1:20" ht="24" hidden="1" x14ac:dyDescent="0.25">
      <c r="A269" s="76">
        <v>6423</v>
      </c>
      <c r="B269" s="127" t="s">
        <v>285</v>
      </c>
      <c r="C269" s="279">
        <f t="shared" si="18"/>
        <v>0</v>
      </c>
      <c r="D269" s="474"/>
      <c r="E269" s="474"/>
      <c r="F269" s="279">
        <f t="shared" si="19"/>
        <v>0</v>
      </c>
      <c r="G269" s="134"/>
      <c r="H269" s="135"/>
      <c r="I269" s="136">
        <f t="shared" si="20"/>
        <v>0</v>
      </c>
      <c r="J269" s="134"/>
      <c r="K269" s="135"/>
      <c r="L269" s="136">
        <f t="shared" si="21"/>
        <v>0</v>
      </c>
      <c r="M269" s="284"/>
      <c r="N269" s="285"/>
      <c r="O269" s="136">
        <f t="shared" si="22"/>
        <v>0</v>
      </c>
      <c r="P269" s="85"/>
      <c r="R269" s="53"/>
      <c r="S269" s="53"/>
      <c r="T269" s="53"/>
    </row>
    <row r="270" spans="1:20" ht="36" hidden="1" x14ac:dyDescent="0.25">
      <c r="A270" s="76">
        <v>6424</v>
      </c>
      <c r="B270" s="127" t="s">
        <v>286</v>
      </c>
      <c r="C270" s="279">
        <f t="shared" si="18"/>
        <v>0</v>
      </c>
      <c r="D270" s="474"/>
      <c r="E270" s="474"/>
      <c r="F270" s="279">
        <f t="shared" si="19"/>
        <v>0</v>
      </c>
      <c r="G270" s="134"/>
      <c r="H270" s="135"/>
      <c r="I270" s="136">
        <f t="shared" si="20"/>
        <v>0</v>
      </c>
      <c r="J270" s="134"/>
      <c r="K270" s="135"/>
      <c r="L270" s="136">
        <f t="shared" si="21"/>
        <v>0</v>
      </c>
      <c r="M270" s="284"/>
      <c r="N270" s="285"/>
      <c r="O270" s="136">
        <f t="shared" si="22"/>
        <v>0</v>
      </c>
      <c r="P270" s="85"/>
      <c r="R270" s="53"/>
      <c r="S270" s="53"/>
      <c r="T270" s="53"/>
    </row>
    <row r="271" spans="1:20" ht="36" hidden="1" x14ac:dyDescent="0.25">
      <c r="A271" s="347">
        <v>7000</v>
      </c>
      <c r="B271" s="347" t="s">
        <v>287</v>
      </c>
      <c r="C271" s="351">
        <f t="shared" si="18"/>
        <v>0</v>
      </c>
      <c r="D271" s="351">
        <f>SUM(D272,D282)</f>
        <v>0</v>
      </c>
      <c r="E271" s="351">
        <f>SUM(E272,E282)</f>
        <v>0</v>
      </c>
      <c r="F271" s="351">
        <f t="shared" si="19"/>
        <v>0</v>
      </c>
      <c r="G271" s="349">
        <f>SUM(G272,G282)</f>
        <v>0</v>
      </c>
      <c r="H271" s="352">
        <f>SUM(H272,H282)</f>
        <v>0</v>
      </c>
      <c r="I271" s="353">
        <f t="shared" si="20"/>
        <v>0</v>
      </c>
      <c r="J271" s="349">
        <f>SUM(J272,J282)</f>
        <v>0</v>
      </c>
      <c r="K271" s="352">
        <f>SUM(K272,K282)</f>
        <v>0</v>
      </c>
      <c r="L271" s="353">
        <f t="shared" si="21"/>
        <v>0</v>
      </c>
      <c r="M271" s="354">
        <f>SUM(M272,M282)</f>
        <v>0</v>
      </c>
      <c r="N271" s="355">
        <f>SUM(N272,N282)</f>
        <v>0</v>
      </c>
      <c r="O271" s="356">
        <f t="shared" si="22"/>
        <v>0</v>
      </c>
      <c r="P271" s="357"/>
      <c r="R271" s="53"/>
      <c r="S271" s="53"/>
      <c r="T271" s="53"/>
    </row>
    <row r="272" spans="1:20" ht="24" hidden="1" x14ac:dyDescent="0.25">
      <c r="A272" s="99">
        <v>7200</v>
      </c>
      <c r="B272" s="247" t="s">
        <v>288</v>
      </c>
      <c r="C272" s="249">
        <f t="shared" si="18"/>
        <v>0</v>
      </c>
      <c r="D272" s="249">
        <f>SUM(D273,D274,D277,D278,D281)</f>
        <v>0</v>
      </c>
      <c r="E272" s="249">
        <f>SUM(E273,E274,E277,E278,E281)</f>
        <v>0</v>
      </c>
      <c r="F272" s="249">
        <f t="shared" si="19"/>
        <v>0</v>
      </c>
      <c r="G272" s="112">
        <f>SUM(G273,G274,G277,G278,G281)</f>
        <v>0</v>
      </c>
      <c r="H272" s="113">
        <f>SUM(H273,H274,H277,H278,H281)</f>
        <v>0</v>
      </c>
      <c r="I272" s="114">
        <f t="shared" si="20"/>
        <v>0</v>
      </c>
      <c r="J272" s="112">
        <f>SUM(J273,J274,J277,J278,J281)</f>
        <v>0</v>
      </c>
      <c r="K272" s="113">
        <f>SUM(K273,K274,K277,K278,K281)</f>
        <v>0</v>
      </c>
      <c r="L272" s="114">
        <f t="shared" si="21"/>
        <v>0</v>
      </c>
      <c r="M272" s="250">
        <f>SUM(M273,M274,M277,M278,M281)</f>
        <v>0</v>
      </c>
      <c r="N272" s="251">
        <f>SUM(N273,N274,N277,N278,N281)</f>
        <v>0</v>
      </c>
      <c r="O272" s="252">
        <f t="shared" si="22"/>
        <v>0</v>
      </c>
      <c r="P272" s="253"/>
      <c r="R272" s="53"/>
      <c r="S272" s="53"/>
      <c r="T272" s="53"/>
    </row>
    <row r="273" spans="1:20" ht="24" hidden="1" x14ac:dyDescent="0.25">
      <c r="A273" s="656">
        <v>7210</v>
      </c>
      <c r="B273" s="116" t="s">
        <v>289</v>
      </c>
      <c r="C273" s="296">
        <f t="shared" si="18"/>
        <v>0</v>
      </c>
      <c r="D273" s="973"/>
      <c r="E273" s="973"/>
      <c r="F273" s="296">
        <f t="shared" si="19"/>
        <v>0</v>
      </c>
      <c r="G273" s="123"/>
      <c r="H273" s="124"/>
      <c r="I273" s="125">
        <f t="shared" si="20"/>
        <v>0</v>
      </c>
      <c r="J273" s="123"/>
      <c r="K273" s="124"/>
      <c r="L273" s="125">
        <f t="shared" si="21"/>
        <v>0</v>
      </c>
      <c r="M273" s="264"/>
      <c r="N273" s="262"/>
      <c r="O273" s="125">
        <f t="shared" si="22"/>
        <v>0</v>
      </c>
      <c r="P273" s="74"/>
      <c r="R273" s="53"/>
      <c r="S273" s="53"/>
      <c r="T273" s="53"/>
    </row>
    <row r="274" spans="1:20" s="358" customFormat="1" ht="36" hidden="1" x14ac:dyDescent="0.25">
      <c r="A274" s="276">
        <v>7220</v>
      </c>
      <c r="B274" s="127" t="s">
        <v>290</v>
      </c>
      <c r="C274" s="279">
        <f t="shared" si="18"/>
        <v>0</v>
      </c>
      <c r="D274" s="279">
        <f>SUM(D275:D276)</f>
        <v>0</v>
      </c>
      <c r="E274" s="279">
        <f>SUM(E275:E276)</f>
        <v>0</v>
      </c>
      <c r="F274" s="279">
        <f t="shared" si="19"/>
        <v>0</v>
      </c>
      <c r="G274" s="277">
        <f>SUM(G275:G276)</f>
        <v>0</v>
      </c>
      <c r="H274" s="280">
        <f>SUM(H275:H276)</f>
        <v>0</v>
      </c>
      <c r="I274" s="136">
        <f t="shared" si="20"/>
        <v>0</v>
      </c>
      <c r="J274" s="277">
        <f>SUM(J275:J276)</f>
        <v>0</v>
      </c>
      <c r="K274" s="280">
        <f>SUM(K275:K276)</f>
        <v>0</v>
      </c>
      <c r="L274" s="136">
        <f t="shared" si="21"/>
        <v>0</v>
      </c>
      <c r="M274" s="281">
        <f>SUM(M275:M276)</f>
        <v>0</v>
      </c>
      <c r="N274" s="282">
        <f>SUM(N275:N276)</f>
        <v>0</v>
      </c>
      <c r="O274" s="136">
        <f t="shared" si="22"/>
        <v>0</v>
      </c>
      <c r="P274" s="85"/>
      <c r="R274" s="53"/>
      <c r="S274" s="53"/>
      <c r="T274" s="53"/>
    </row>
    <row r="275" spans="1:20" s="358" customFormat="1" ht="36" hidden="1" x14ac:dyDescent="0.25">
      <c r="A275" s="76">
        <v>7221</v>
      </c>
      <c r="B275" s="127" t="s">
        <v>291</v>
      </c>
      <c r="C275" s="279">
        <f t="shared" si="18"/>
        <v>0</v>
      </c>
      <c r="D275" s="474"/>
      <c r="E275" s="474"/>
      <c r="F275" s="279">
        <f t="shared" si="19"/>
        <v>0</v>
      </c>
      <c r="G275" s="134"/>
      <c r="H275" s="135"/>
      <c r="I275" s="136">
        <f t="shared" si="20"/>
        <v>0</v>
      </c>
      <c r="J275" s="134"/>
      <c r="K275" s="135"/>
      <c r="L275" s="136">
        <f t="shared" si="21"/>
        <v>0</v>
      </c>
      <c r="M275" s="284"/>
      <c r="N275" s="285"/>
      <c r="O275" s="136">
        <f t="shared" si="22"/>
        <v>0</v>
      </c>
      <c r="P275" s="85"/>
      <c r="R275" s="53"/>
      <c r="S275" s="53"/>
      <c r="T275" s="53"/>
    </row>
    <row r="276" spans="1:20" s="358" customFormat="1" ht="36" hidden="1" x14ac:dyDescent="0.25">
      <c r="A276" s="76">
        <v>7222</v>
      </c>
      <c r="B276" s="127" t="s">
        <v>292</v>
      </c>
      <c r="C276" s="279">
        <f t="shared" si="18"/>
        <v>0</v>
      </c>
      <c r="D276" s="474"/>
      <c r="E276" s="474"/>
      <c r="F276" s="279">
        <f t="shared" si="19"/>
        <v>0</v>
      </c>
      <c r="G276" s="134"/>
      <c r="H276" s="135"/>
      <c r="I276" s="136">
        <f t="shared" si="20"/>
        <v>0</v>
      </c>
      <c r="J276" s="134"/>
      <c r="K276" s="135"/>
      <c r="L276" s="136">
        <f t="shared" si="21"/>
        <v>0</v>
      </c>
      <c r="M276" s="284"/>
      <c r="N276" s="285"/>
      <c r="O276" s="136">
        <f t="shared" si="22"/>
        <v>0</v>
      </c>
      <c r="P276" s="85"/>
      <c r="R276" s="53"/>
      <c r="S276" s="53"/>
      <c r="T276" s="53"/>
    </row>
    <row r="277" spans="1:20" s="358" customFormat="1" ht="24" hidden="1" x14ac:dyDescent="0.25">
      <c r="A277" s="276">
        <v>7230</v>
      </c>
      <c r="B277" s="127" t="s">
        <v>293</v>
      </c>
      <c r="C277" s="279">
        <f t="shared" si="18"/>
        <v>0</v>
      </c>
      <c r="D277" s="474"/>
      <c r="E277" s="474"/>
      <c r="F277" s="279">
        <f t="shared" si="19"/>
        <v>0</v>
      </c>
      <c r="G277" s="134"/>
      <c r="H277" s="135"/>
      <c r="I277" s="136">
        <f t="shared" si="20"/>
        <v>0</v>
      </c>
      <c r="J277" s="134"/>
      <c r="K277" s="135"/>
      <c r="L277" s="136">
        <f t="shared" si="21"/>
        <v>0</v>
      </c>
      <c r="M277" s="284"/>
      <c r="N277" s="285"/>
      <c r="O277" s="136">
        <f t="shared" si="22"/>
        <v>0</v>
      </c>
      <c r="P277" s="85"/>
      <c r="R277" s="53"/>
      <c r="S277" s="53"/>
      <c r="T277" s="53"/>
    </row>
    <row r="278" spans="1:20" ht="24" hidden="1" x14ac:dyDescent="0.25">
      <c r="A278" s="276">
        <v>7240</v>
      </c>
      <c r="B278" s="127" t="s">
        <v>294</v>
      </c>
      <c r="C278" s="279">
        <f t="shared" si="18"/>
        <v>0</v>
      </c>
      <c r="D278" s="279">
        <f>SUM(D279:D280)</f>
        <v>0</v>
      </c>
      <c r="E278" s="279">
        <f>SUM(E279:E280)</f>
        <v>0</v>
      </c>
      <c r="F278" s="279">
        <f t="shared" si="19"/>
        <v>0</v>
      </c>
      <c r="G278" s="277">
        <f>SUM(G279:G280)</f>
        <v>0</v>
      </c>
      <c r="H278" s="280">
        <f>SUM(H279:H280)</f>
        <v>0</v>
      </c>
      <c r="I278" s="136">
        <f t="shared" si="20"/>
        <v>0</v>
      </c>
      <c r="J278" s="277">
        <f>SUM(J279:J280)</f>
        <v>0</v>
      </c>
      <c r="K278" s="280">
        <f>SUM(K279:K280)</f>
        <v>0</v>
      </c>
      <c r="L278" s="136">
        <f t="shared" si="21"/>
        <v>0</v>
      </c>
      <c r="M278" s="281">
        <f>SUM(M279:M280)</f>
        <v>0</v>
      </c>
      <c r="N278" s="282">
        <f>SUM(N279:N280)</f>
        <v>0</v>
      </c>
      <c r="O278" s="136">
        <f>SUM(O279:O280)</f>
        <v>0</v>
      </c>
      <c r="P278" s="85"/>
      <c r="R278" s="53"/>
      <c r="S278" s="53"/>
      <c r="T278" s="53"/>
    </row>
    <row r="279" spans="1:20" ht="48" hidden="1" x14ac:dyDescent="0.25">
      <c r="A279" s="76">
        <v>7245</v>
      </c>
      <c r="B279" s="127" t="s">
        <v>295</v>
      </c>
      <c r="C279" s="279">
        <f t="shared" si="18"/>
        <v>0</v>
      </c>
      <c r="D279" s="474"/>
      <c r="E279" s="474"/>
      <c r="F279" s="279">
        <f t="shared" si="19"/>
        <v>0</v>
      </c>
      <c r="G279" s="134"/>
      <c r="H279" s="135"/>
      <c r="I279" s="136">
        <f t="shared" si="20"/>
        <v>0</v>
      </c>
      <c r="J279" s="134"/>
      <c r="K279" s="135"/>
      <c r="L279" s="136">
        <f t="shared" si="21"/>
        <v>0</v>
      </c>
      <c r="M279" s="284"/>
      <c r="N279" s="285"/>
      <c r="O279" s="136">
        <f t="shared" ref="O279:O299" si="23">M279+N279</f>
        <v>0</v>
      </c>
      <c r="P279" s="85"/>
      <c r="R279" s="53"/>
      <c r="S279" s="53"/>
      <c r="T279" s="53"/>
    </row>
    <row r="280" spans="1:20" ht="96" hidden="1" x14ac:dyDescent="0.25">
      <c r="A280" s="76">
        <v>7246</v>
      </c>
      <c r="B280" s="127" t="s">
        <v>296</v>
      </c>
      <c r="C280" s="279">
        <f t="shared" si="18"/>
        <v>0</v>
      </c>
      <c r="D280" s="474"/>
      <c r="E280" s="474"/>
      <c r="F280" s="279">
        <f t="shared" si="19"/>
        <v>0</v>
      </c>
      <c r="G280" s="134"/>
      <c r="H280" s="135"/>
      <c r="I280" s="136">
        <f t="shared" si="20"/>
        <v>0</v>
      </c>
      <c r="J280" s="134"/>
      <c r="K280" s="135"/>
      <c r="L280" s="136">
        <f t="shared" si="21"/>
        <v>0</v>
      </c>
      <c r="M280" s="284"/>
      <c r="N280" s="285"/>
      <c r="O280" s="136">
        <f t="shared" si="23"/>
        <v>0</v>
      </c>
      <c r="P280" s="85"/>
      <c r="R280" s="53"/>
      <c r="S280" s="53"/>
      <c r="T280" s="53"/>
    </row>
    <row r="281" spans="1:20" ht="24" hidden="1" x14ac:dyDescent="0.25">
      <c r="A281" s="276">
        <v>7260</v>
      </c>
      <c r="B281" s="127" t="s">
        <v>297</v>
      </c>
      <c r="C281" s="279">
        <f t="shared" si="18"/>
        <v>0</v>
      </c>
      <c r="D281" s="973"/>
      <c r="E281" s="973"/>
      <c r="F281" s="296">
        <f t="shared" si="19"/>
        <v>0</v>
      </c>
      <c r="G281" s="123"/>
      <c r="H281" s="124"/>
      <c r="I281" s="125">
        <f t="shared" si="20"/>
        <v>0</v>
      </c>
      <c r="J281" s="123"/>
      <c r="K281" s="124"/>
      <c r="L281" s="125">
        <f t="shared" si="21"/>
        <v>0</v>
      </c>
      <c r="M281" s="264"/>
      <c r="N281" s="262"/>
      <c r="O281" s="125">
        <f t="shared" si="23"/>
        <v>0</v>
      </c>
      <c r="P281" s="74"/>
      <c r="R281" s="53"/>
      <c r="S281" s="53"/>
      <c r="T281" s="53"/>
    </row>
    <row r="282" spans="1:20" hidden="1" x14ac:dyDescent="0.25">
      <c r="A282" s="99">
        <v>7700</v>
      </c>
      <c r="B282" s="247" t="s">
        <v>298</v>
      </c>
      <c r="C282" s="302">
        <f t="shared" si="18"/>
        <v>0</v>
      </c>
      <c r="D282" s="302">
        <f>D283</f>
        <v>0</v>
      </c>
      <c r="E282" s="302">
        <f>SUM(E283)</f>
        <v>0</v>
      </c>
      <c r="F282" s="302">
        <f t="shared" si="19"/>
        <v>0</v>
      </c>
      <c r="G282" s="360">
        <f>G283</f>
        <v>0</v>
      </c>
      <c r="H282" s="361">
        <f>SUM(H283)</f>
        <v>0</v>
      </c>
      <c r="I282" s="305">
        <f t="shared" si="20"/>
        <v>0</v>
      </c>
      <c r="J282" s="360">
        <f>J283</f>
        <v>0</v>
      </c>
      <c r="K282" s="361">
        <f>SUM(K283)</f>
        <v>0</v>
      </c>
      <c r="L282" s="305">
        <f t="shared" si="21"/>
        <v>0</v>
      </c>
      <c r="M282" s="303">
        <f>SUM(M283)</f>
        <v>0</v>
      </c>
      <c r="N282" s="304">
        <f>SUM(N283)</f>
        <v>0</v>
      </c>
      <c r="O282" s="305">
        <f t="shared" si="23"/>
        <v>0</v>
      </c>
      <c r="P282" s="306"/>
      <c r="R282" s="53"/>
      <c r="S282" s="53"/>
      <c r="T282" s="53"/>
    </row>
    <row r="283" spans="1:20" hidden="1" x14ac:dyDescent="0.25">
      <c r="A283" s="141">
        <v>7720</v>
      </c>
      <c r="B283" s="142" t="s">
        <v>299</v>
      </c>
      <c r="C283" s="362">
        <f t="shared" si="18"/>
        <v>0</v>
      </c>
      <c r="D283" s="976"/>
      <c r="E283" s="976"/>
      <c r="F283" s="362">
        <f t="shared" si="19"/>
        <v>0</v>
      </c>
      <c r="G283" s="149"/>
      <c r="H283" s="150"/>
      <c r="I283" s="151">
        <f t="shared" si="20"/>
        <v>0</v>
      </c>
      <c r="J283" s="149"/>
      <c r="K283" s="150"/>
      <c r="L283" s="151">
        <f t="shared" si="21"/>
        <v>0</v>
      </c>
      <c r="M283" s="365"/>
      <c r="N283" s="363"/>
      <c r="O283" s="151">
        <f t="shared" si="23"/>
        <v>0</v>
      </c>
      <c r="P283" s="153"/>
      <c r="R283" s="53"/>
      <c r="S283" s="53"/>
      <c r="T283" s="53"/>
    </row>
    <row r="284" spans="1:20" hidden="1" x14ac:dyDescent="0.25">
      <c r="A284" s="366"/>
      <c r="B284" s="179" t="s">
        <v>300</v>
      </c>
      <c r="C284" s="296">
        <f t="shared" si="18"/>
        <v>0</v>
      </c>
      <c r="D284" s="257">
        <f>SUM(D285:D286)</f>
        <v>0</v>
      </c>
      <c r="E284" s="257">
        <f>SUM(E285:E286)</f>
        <v>0</v>
      </c>
      <c r="F284" s="257">
        <f t="shared" si="19"/>
        <v>0</v>
      </c>
      <c r="G284" s="255">
        <f>SUM(G285:G286)</f>
        <v>0</v>
      </c>
      <c r="H284" s="258">
        <f>SUM(H285:H286)</f>
        <v>0</v>
      </c>
      <c r="I284" s="259">
        <f t="shared" si="20"/>
        <v>0</v>
      </c>
      <c r="J284" s="255">
        <f>SUM(J285:J286)</f>
        <v>0</v>
      </c>
      <c r="K284" s="258">
        <f>SUM(K285:K286)</f>
        <v>0</v>
      </c>
      <c r="L284" s="259">
        <f t="shared" si="21"/>
        <v>0</v>
      </c>
      <c r="M284" s="260">
        <f>SUM(M285:M286)</f>
        <v>0</v>
      </c>
      <c r="N284" s="261">
        <f>SUM(N285:N286)</f>
        <v>0</v>
      </c>
      <c r="O284" s="259">
        <f t="shared" si="23"/>
        <v>0</v>
      </c>
      <c r="P284" s="189"/>
      <c r="R284" s="53"/>
      <c r="S284" s="53"/>
      <c r="T284" s="53"/>
    </row>
    <row r="285" spans="1:20" hidden="1" x14ac:dyDescent="0.25">
      <c r="A285" s="346" t="s">
        <v>301</v>
      </c>
      <c r="B285" s="76" t="s">
        <v>302</v>
      </c>
      <c r="C285" s="279">
        <f t="shared" si="18"/>
        <v>0</v>
      </c>
      <c r="D285" s="474"/>
      <c r="E285" s="474"/>
      <c r="F285" s="279">
        <f t="shared" si="19"/>
        <v>0</v>
      </c>
      <c r="G285" s="134"/>
      <c r="H285" s="135"/>
      <c r="I285" s="136">
        <f t="shared" si="20"/>
        <v>0</v>
      </c>
      <c r="J285" s="134"/>
      <c r="K285" s="135"/>
      <c r="L285" s="136">
        <f t="shared" si="21"/>
        <v>0</v>
      </c>
      <c r="M285" s="284"/>
      <c r="N285" s="285"/>
      <c r="O285" s="136">
        <f t="shared" si="23"/>
        <v>0</v>
      </c>
      <c r="P285" s="85"/>
      <c r="R285" s="53"/>
      <c r="S285" s="53"/>
      <c r="T285" s="53"/>
    </row>
    <row r="286" spans="1:20" ht="24" hidden="1" x14ac:dyDescent="0.25">
      <c r="A286" s="346" t="s">
        <v>303</v>
      </c>
      <c r="B286" s="367" t="s">
        <v>304</v>
      </c>
      <c r="C286" s="296">
        <f t="shared" si="18"/>
        <v>0</v>
      </c>
      <c r="D286" s="973"/>
      <c r="E286" s="973"/>
      <c r="F286" s="296">
        <f t="shared" si="19"/>
        <v>0</v>
      </c>
      <c r="G286" s="123"/>
      <c r="H286" s="124"/>
      <c r="I286" s="125">
        <f t="shared" si="20"/>
        <v>0</v>
      </c>
      <c r="J286" s="123"/>
      <c r="K286" s="124"/>
      <c r="L286" s="125">
        <f t="shared" si="21"/>
        <v>0</v>
      </c>
      <c r="M286" s="264"/>
      <c r="N286" s="262"/>
      <c r="O286" s="125">
        <f t="shared" si="23"/>
        <v>0</v>
      </c>
      <c r="P286" s="74"/>
      <c r="R286" s="53"/>
      <c r="S286" s="53"/>
      <c r="T286" s="53"/>
    </row>
    <row r="287" spans="1:20" x14ac:dyDescent="0.25">
      <c r="A287" s="368"/>
      <c r="B287" s="369" t="s">
        <v>305</v>
      </c>
      <c r="C287" s="373">
        <f>SUM(C284,C271,C233,C198,C190,C176,C78,C56)</f>
        <v>292239</v>
      </c>
      <c r="D287" s="373">
        <f>SUM(D284,D271,D233,D198,D190,D176,D78,D56)</f>
        <v>276351</v>
      </c>
      <c r="E287" s="373">
        <f>SUM(E284,E271,E233,E198,E190,E176,E78,E56)</f>
        <v>0</v>
      </c>
      <c r="F287" s="373">
        <f t="shared" si="19"/>
        <v>276351</v>
      </c>
      <c r="G287" s="371">
        <f>SUM(G284,G271,G233,G198,G190,G176,G78,G56)</f>
        <v>15366</v>
      </c>
      <c r="H287" s="374">
        <f>SUM(H284,H271,H233,H198,H190,H176,H78,H56)</f>
        <v>0</v>
      </c>
      <c r="I287" s="375">
        <f t="shared" si="20"/>
        <v>15366</v>
      </c>
      <c r="J287" s="371">
        <f>SUM(J284,J271,J233,J198,J190,J176,J78,J56)</f>
        <v>522</v>
      </c>
      <c r="K287" s="374">
        <f>SUM(K284,K271,K233,K198,K190,K176,K78,K56)</f>
        <v>0</v>
      </c>
      <c r="L287" s="375">
        <f t="shared" si="21"/>
        <v>522</v>
      </c>
      <c r="M287" s="250">
        <f>SUM(M284,M271,M233,M198,M190,M176,M78,M56)</f>
        <v>0</v>
      </c>
      <c r="N287" s="251">
        <f>SUM(N284,N271,N233,N198,N190,N176,N78,N56)</f>
        <v>0</v>
      </c>
      <c r="O287" s="252">
        <f t="shared" si="23"/>
        <v>0</v>
      </c>
      <c r="P287" s="253"/>
      <c r="R287" s="53"/>
      <c r="S287" s="53"/>
      <c r="T287" s="53"/>
    </row>
    <row r="288" spans="1:20" x14ac:dyDescent="0.25">
      <c r="A288" s="376" t="s">
        <v>306</v>
      </c>
      <c r="B288" s="377"/>
      <c r="C288" s="381">
        <f>F288+I288+L288+O288</f>
        <v>-522</v>
      </c>
      <c r="D288" s="381">
        <f>SUM(D28,D29,D45)-D54</f>
        <v>0</v>
      </c>
      <c r="E288" s="381">
        <f>SUM(E28,E29,E45)-E54</f>
        <v>0</v>
      </c>
      <c r="F288" s="381">
        <f t="shared" si="19"/>
        <v>0</v>
      </c>
      <c r="G288" s="379">
        <f>SUM(G28,G29,G45)-G54</f>
        <v>0</v>
      </c>
      <c r="H288" s="382">
        <f>SUM(H28,H29,H45)-H54</f>
        <v>0</v>
      </c>
      <c r="I288" s="383">
        <f t="shared" si="20"/>
        <v>0</v>
      </c>
      <c r="J288" s="379">
        <f>(J30+J46)-J54</f>
        <v>-522</v>
      </c>
      <c r="K288" s="382">
        <f>(K30+K46)-K54</f>
        <v>0</v>
      </c>
      <c r="L288" s="383">
        <f t="shared" si="21"/>
        <v>-522</v>
      </c>
      <c r="M288" s="378">
        <f>M48-M54</f>
        <v>0</v>
      </c>
      <c r="N288" s="384">
        <f>N48-N54</f>
        <v>0</v>
      </c>
      <c r="O288" s="383">
        <f t="shared" si="23"/>
        <v>0</v>
      </c>
      <c r="P288" s="385"/>
      <c r="R288" s="53"/>
      <c r="S288" s="53"/>
      <c r="T288" s="53"/>
    </row>
    <row r="289" spans="1:20" s="41" customFormat="1" x14ac:dyDescent="0.25">
      <c r="A289" s="376" t="s">
        <v>307</v>
      </c>
      <c r="B289" s="377"/>
      <c r="C289" s="381">
        <f>SUM(C290,C291)-C298+C299</f>
        <v>522</v>
      </c>
      <c r="D289" s="381">
        <f>SUM(D290,D291)-D298+D299</f>
        <v>0</v>
      </c>
      <c r="E289" s="381">
        <f>SUM(E290,E291)-E298+E299</f>
        <v>0</v>
      </c>
      <c r="F289" s="381">
        <f t="shared" si="19"/>
        <v>0</v>
      </c>
      <c r="G289" s="379">
        <f>SUM(G290,G291)-G298+G299</f>
        <v>0</v>
      </c>
      <c r="H289" s="382">
        <f>SUM(H290,H291)-H298+H299</f>
        <v>0</v>
      </c>
      <c r="I289" s="383">
        <f t="shared" si="20"/>
        <v>0</v>
      </c>
      <c r="J289" s="379">
        <f>SUM(J290,J291)-J298+J299</f>
        <v>522</v>
      </c>
      <c r="K289" s="382">
        <f>SUM(K290,K291)-K298+K299</f>
        <v>0</v>
      </c>
      <c r="L289" s="383">
        <f t="shared" si="21"/>
        <v>522</v>
      </c>
      <c r="M289" s="378">
        <f>SUM(M290,M291)-M298+M299</f>
        <v>0</v>
      </c>
      <c r="N289" s="384">
        <f>SUM(N290,N291)-N298+N299</f>
        <v>0</v>
      </c>
      <c r="O289" s="383">
        <f t="shared" si="23"/>
        <v>0</v>
      </c>
      <c r="P289" s="385"/>
      <c r="R289" s="53"/>
      <c r="S289" s="53"/>
      <c r="T289" s="53"/>
    </row>
    <row r="290" spans="1:20" s="41" customFormat="1" x14ac:dyDescent="0.25">
      <c r="A290" s="386" t="s">
        <v>308</v>
      </c>
      <c r="B290" s="386" t="s">
        <v>309</v>
      </c>
      <c r="C290" s="381">
        <f>C25-C284</f>
        <v>522</v>
      </c>
      <c r="D290" s="381">
        <f>D25-D284</f>
        <v>0</v>
      </c>
      <c r="E290" s="381">
        <f>E25-E284</f>
        <v>0</v>
      </c>
      <c r="F290" s="381">
        <f t="shared" si="19"/>
        <v>0</v>
      </c>
      <c r="G290" s="379">
        <f>G25-G284</f>
        <v>0</v>
      </c>
      <c r="H290" s="382">
        <f>H25-H284</f>
        <v>0</v>
      </c>
      <c r="I290" s="383">
        <f t="shared" si="20"/>
        <v>0</v>
      </c>
      <c r="J290" s="379">
        <f>J25-J284</f>
        <v>522</v>
      </c>
      <c r="K290" s="382">
        <f>K25-K284</f>
        <v>0</v>
      </c>
      <c r="L290" s="383">
        <f t="shared" si="21"/>
        <v>522</v>
      </c>
      <c r="M290" s="378">
        <f>M25-M284</f>
        <v>0</v>
      </c>
      <c r="N290" s="384">
        <f>N25-N284</f>
        <v>0</v>
      </c>
      <c r="O290" s="383">
        <f t="shared" si="23"/>
        <v>0</v>
      </c>
      <c r="P290" s="385"/>
      <c r="R290" s="53"/>
      <c r="S290" s="53"/>
      <c r="T290" s="53"/>
    </row>
    <row r="291" spans="1:20" s="41" customFormat="1" hidden="1" x14ac:dyDescent="0.25">
      <c r="A291" s="387" t="s">
        <v>310</v>
      </c>
      <c r="B291" s="387" t="s">
        <v>311</v>
      </c>
      <c r="C291" s="381">
        <f>SUM(C292,C294,C296)-SUM(C293,C295,C297)</f>
        <v>0</v>
      </c>
      <c r="D291" s="381">
        <f>SUM(D292,D294,D296)-SUM(D293,D295,D297)</f>
        <v>0</v>
      </c>
      <c r="E291" s="381">
        <f>SUM(E292,E294,E296)-SUM(E293,E295,E297)</f>
        <v>0</v>
      </c>
      <c r="F291" s="381">
        <f t="shared" si="19"/>
        <v>0</v>
      </c>
      <c r="G291" s="379">
        <f>SUM(G292,G294,G296)-SUM(G293,G295,G297)</f>
        <v>0</v>
      </c>
      <c r="H291" s="382">
        <f>SUM(H292,H294,H296)-SUM(H293,H295,H297)</f>
        <v>0</v>
      </c>
      <c r="I291" s="383">
        <f t="shared" si="20"/>
        <v>0</v>
      </c>
      <c r="J291" s="379">
        <f>SUM(J292,J294,J296)-SUM(J293,J295,J297)</f>
        <v>0</v>
      </c>
      <c r="K291" s="382">
        <f>SUM(K292,K294,K296)-SUM(K293,K295,K297)</f>
        <v>0</v>
      </c>
      <c r="L291" s="383">
        <f t="shared" si="21"/>
        <v>0</v>
      </c>
      <c r="M291" s="378">
        <f>SUM(M292,M294,M296)-SUM(M293,M295,M297)</f>
        <v>0</v>
      </c>
      <c r="N291" s="384">
        <f>SUM(N292,N294,N296)-SUM(N293,N295,N297)</f>
        <v>0</v>
      </c>
      <c r="O291" s="383">
        <f t="shared" si="23"/>
        <v>0</v>
      </c>
      <c r="P291" s="385"/>
      <c r="R291" s="53"/>
      <c r="S291" s="53"/>
      <c r="T291" s="53"/>
    </row>
    <row r="292" spans="1:20" s="41" customFormat="1" hidden="1" x14ac:dyDescent="0.25">
      <c r="A292" s="366" t="s">
        <v>312</v>
      </c>
      <c r="B292" s="190" t="s">
        <v>313</v>
      </c>
      <c r="C292" s="362">
        <f t="shared" ref="C292:C299" si="24">F292+I292+L292+O292</f>
        <v>0</v>
      </c>
      <c r="D292" s="976"/>
      <c r="E292" s="976"/>
      <c r="F292" s="362">
        <f t="shared" si="19"/>
        <v>0</v>
      </c>
      <c r="G292" s="149"/>
      <c r="H292" s="150"/>
      <c r="I292" s="151">
        <f t="shared" si="20"/>
        <v>0</v>
      </c>
      <c r="J292" s="149"/>
      <c r="K292" s="150"/>
      <c r="L292" s="151">
        <f t="shared" si="21"/>
        <v>0</v>
      </c>
      <c r="M292" s="365"/>
      <c r="N292" s="363"/>
      <c r="O292" s="151">
        <f t="shared" si="23"/>
        <v>0</v>
      </c>
      <c r="P292" s="153"/>
      <c r="R292" s="53"/>
      <c r="S292" s="53"/>
      <c r="T292" s="53"/>
    </row>
    <row r="293" spans="1:20" ht="24" hidden="1" x14ac:dyDescent="0.25">
      <c r="A293" s="346" t="s">
        <v>314</v>
      </c>
      <c r="B293" s="75" t="s">
        <v>315</v>
      </c>
      <c r="C293" s="279">
        <f t="shared" si="24"/>
        <v>0</v>
      </c>
      <c r="D293" s="474"/>
      <c r="E293" s="474"/>
      <c r="F293" s="279">
        <f t="shared" si="19"/>
        <v>0</v>
      </c>
      <c r="G293" s="134"/>
      <c r="H293" s="135"/>
      <c r="I293" s="136">
        <f t="shared" si="20"/>
        <v>0</v>
      </c>
      <c r="J293" s="134"/>
      <c r="K293" s="135"/>
      <c r="L293" s="136">
        <f t="shared" si="21"/>
        <v>0</v>
      </c>
      <c r="M293" s="284"/>
      <c r="N293" s="285"/>
      <c r="O293" s="136">
        <f t="shared" si="23"/>
        <v>0</v>
      </c>
      <c r="P293" s="85"/>
      <c r="R293" s="53"/>
      <c r="S293" s="53"/>
      <c r="T293" s="53"/>
    </row>
    <row r="294" spans="1:20" hidden="1" x14ac:dyDescent="0.25">
      <c r="A294" s="346" t="s">
        <v>316</v>
      </c>
      <c r="B294" s="75" t="s">
        <v>317</v>
      </c>
      <c r="C294" s="279">
        <f t="shared" si="24"/>
        <v>0</v>
      </c>
      <c r="D294" s="474"/>
      <c r="E294" s="474"/>
      <c r="F294" s="279">
        <f t="shared" si="19"/>
        <v>0</v>
      </c>
      <c r="G294" s="134"/>
      <c r="H294" s="135"/>
      <c r="I294" s="136">
        <f t="shared" si="20"/>
        <v>0</v>
      </c>
      <c r="J294" s="134"/>
      <c r="K294" s="135"/>
      <c r="L294" s="136">
        <f t="shared" si="21"/>
        <v>0</v>
      </c>
      <c r="M294" s="284"/>
      <c r="N294" s="285"/>
      <c r="O294" s="136">
        <f t="shared" si="23"/>
        <v>0</v>
      </c>
      <c r="P294" s="85"/>
      <c r="R294" s="53"/>
      <c r="S294" s="53"/>
      <c r="T294" s="53"/>
    </row>
    <row r="295" spans="1:20" ht="24" hidden="1" x14ac:dyDescent="0.25">
      <c r="A295" s="346" t="s">
        <v>318</v>
      </c>
      <c r="B295" s="75" t="s">
        <v>319</v>
      </c>
      <c r="C295" s="279">
        <f t="shared" si="24"/>
        <v>0</v>
      </c>
      <c r="D295" s="474"/>
      <c r="E295" s="474"/>
      <c r="F295" s="279">
        <f t="shared" si="19"/>
        <v>0</v>
      </c>
      <c r="G295" s="134"/>
      <c r="H295" s="135"/>
      <c r="I295" s="136">
        <f t="shared" si="20"/>
        <v>0</v>
      </c>
      <c r="J295" s="134"/>
      <c r="K295" s="135"/>
      <c r="L295" s="136">
        <f t="shared" si="21"/>
        <v>0</v>
      </c>
      <c r="M295" s="284"/>
      <c r="N295" s="285"/>
      <c r="O295" s="136">
        <f t="shared" si="23"/>
        <v>0</v>
      </c>
      <c r="P295" s="85"/>
      <c r="R295" s="53"/>
      <c r="S295" s="53"/>
      <c r="T295" s="53"/>
    </row>
    <row r="296" spans="1:20" hidden="1" x14ac:dyDescent="0.25">
      <c r="A296" s="346" t="s">
        <v>320</v>
      </c>
      <c r="B296" s="75" t="s">
        <v>321</v>
      </c>
      <c r="C296" s="279">
        <f t="shared" si="24"/>
        <v>0</v>
      </c>
      <c r="D296" s="474"/>
      <c r="E296" s="474"/>
      <c r="F296" s="279">
        <f t="shared" si="19"/>
        <v>0</v>
      </c>
      <c r="G296" s="134"/>
      <c r="H296" s="135"/>
      <c r="I296" s="136">
        <f t="shared" si="20"/>
        <v>0</v>
      </c>
      <c r="J296" s="134"/>
      <c r="K296" s="135"/>
      <c r="L296" s="136">
        <f t="shared" si="21"/>
        <v>0</v>
      </c>
      <c r="M296" s="284"/>
      <c r="N296" s="285"/>
      <c r="O296" s="136">
        <f t="shared" si="23"/>
        <v>0</v>
      </c>
      <c r="P296" s="85"/>
      <c r="R296" s="53"/>
      <c r="S296" s="53"/>
      <c r="T296" s="53"/>
    </row>
    <row r="297" spans="1:20" ht="24" hidden="1" x14ac:dyDescent="0.25">
      <c r="A297" s="389" t="s">
        <v>322</v>
      </c>
      <c r="B297" s="390" t="s">
        <v>323</v>
      </c>
      <c r="C297" s="647">
        <f t="shared" si="24"/>
        <v>0</v>
      </c>
      <c r="D297" s="975"/>
      <c r="E297" s="975"/>
      <c r="F297" s="647">
        <f t="shared" si="19"/>
        <v>0</v>
      </c>
      <c r="G297" s="328"/>
      <c r="H297" s="331"/>
      <c r="I297" s="324">
        <f t="shared" si="20"/>
        <v>0</v>
      </c>
      <c r="J297" s="328"/>
      <c r="K297" s="331"/>
      <c r="L297" s="324">
        <f t="shared" si="21"/>
        <v>0</v>
      </c>
      <c r="M297" s="332"/>
      <c r="N297" s="329"/>
      <c r="O297" s="324">
        <f t="shared" si="23"/>
        <v>0</v>
      </c>
      <c r="P297" s="325"/>
      <c r="R297" s="53"/>
      <c r="S297" s="53"/>
      <c r="T297" s="53"/>
    </row>
    <row r="298" spans="1:20" hidden="1" x14ac:dyDescent="0.25">
      <c r="A298" s="387" t="s">
        <v>324</v>
      </c>
      <c r="B298" s="387" t="s">
        <v>325</v>
      </c>
      <c r="C298" s="381">
        <f t="shared" si="24"/>
        <v>0</v>
      </c>
      <c r="D298" s="977"/>
      <c r="E298" s="977"/>
      <c r="F298" s="381">
        <f t="shared" si="19"/>
        <v>0</v>
      </c>
      <c r="G298" s="392"/>
      <c r="H298" s="394"/>
      <c r="I298" s="383">
        <f t="shared" si="20"/>
        <v>0</v>
      </c>
      <c r="J298" s="392"/>
      <c r="K298" s="394"/>
      <c r="L298" s="383">
        <f t="shared" si="21"/>
        <v>0</v>
      </c>
      <c r="M298" s="395"/>
      <c r="N298" s="393"/>
      <c r="O298" s="383">
        <f t="shared" si="23"/>
        <v>0</v>
      </c>
      <c r="P298" s="385"/>
      <c r="R298" s="53"/>
      <c r="S298" s="53"/>
      <c r="T298" s="53"/>
    </row>
    <row r="299" spans="1:20" s="41" customFormat="1" ht="48" hidden="1" x14ac:dyDescent="0.25">
      <c r="A299" s="387" t="s">
        <v>326</v>
      </c>
      <c r="B299" s="396" t="s">
        <v>327</v>
      </c>
      <c r="C299" s="651">
        <f t="shared" si="24"/>
        <v>0</v>
      </c>
      <c r="D299" s="978"/>
      <c r="E299" s="978"/>
      <c r="F299" s="651">
        <f t="shared" si="19"/>
        <v>0</v>
      </c>
      <c r="G299" s="392"/>
      <c r="H299" s="394"/>
      <c r="I299" s="383">
        <f t="shared" si="20"/>
        <v>0</v>
      </c>
      <c r="J299" s="392"/>
      <c r="K299" s="394"/>
      <c r="L299" s="383">
        <f t="shared" si="21"/>
        <v>0</v>
      </c>
      <c r="M299" s="395"/>
      <c r="N299" s="393"/>
      <c r="O299" s="383">
        <f t="shared" si="23"/>
        <v>0</v>
      </c>
      <c r="P299" s="385"/>
      <c r="R299" s="53"/>
      <c r="S299" s="53"/>
      <c r="T299" s="53"/>
    </row>
    <row r="300" spans="1:20"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20" x14ac:dyDescent="0.25">
      <c r="A301" s="721" t="s">
        <v>1152</v>
      </c>
      <c r="B301" s="722"/>
      <c r="C301" s="722"/>
      <c r="D301" s="722"/>
      <c r="E301" s="722"/>
      <c r="F301" s="722"/>
      <c r="G301" s="722"/>
      <c r="H301" s="722"/>
      <c r="I301" s="722"/>
      <c r="J301" s="722"/>
      <c r="K301" s="722"/>
      <c r="L301" s="722"/>
      <c r="M301" s="722"/>
      <c r="N301" s="722"/>
      <c r="O301" s="722"/>
      <c r="P301" s="723"/>
      <c r="Q301" s="7"/>
    </row>
    <row r="302" spans="1:20" x14ac:dyDescent="0.25">
      <c r="A302" s="721" t="s">
        <v>1153</v>
      </c>
      <c r="B302" s="722"/>
      <c r="C302" s="722"/>
      <c r="D302" s="722"/>
      <c r="E302" s="722"/>
      <c r="F302" s="722"/>
      <c r="G302" s="722"/>
      <c r="H302" s="722"/>
      <c r="I302" s="722"/>
      <c r="J302" s="722"/>
      <c r="K302" s="722"/>
      <c r="L302" s="722"/>
      <c r="M302" s="722"/>
      <c r="N302" s="722"/>
      <c r="O302" s="722"/>
      <c r="P302" s="723"/>
      <c r="Q302" s="7"/>
    </row>
    <row r="303" spans="1:20" x14ac:dyDescent="0.25">
      <c r="A303" s="721" t="s">
        <v>1154</v>
      </c>
      <c r="B303" s="722"/>
      <c r="C303" s="722"/>
      <c r="D303" s="722"/>
      <c r="E303" s="722"/>
      <c r="F303" s="722"/>
      <c r="G303" s="722"/>
      <c r="H303" s="722"/>
      <c r="I303" s="722"/>
      <c r="J303" s="722"/>
      <c r="K303" s="722"/>
      <c r="L303" s="722"/>
      <c r="M303" s="722"/>
      <c r="N303" s="722"/>
      <c r="O303" s="722"/>
      <c r="P303" s="723"/>
      <c r="Q303" s="7"/>
    </row>
    <row r="304" spans="1:20" x14ac:dyDescent="0.25">
      <c r="A304" s="721" t="s">
        <v>1155</v>
      </c>
      <c r="B304" s="724"/>
      <c r="C304" s="979"/>
      <c r="D304" s="722"/>
      <c r="E304" s="722"/>
      <c r="F304" s="722"/>
      <c r="G304" s="722"/>
      <c r="H304" s="722"/>
      <c r="I304" s="722"/>
      <c r="J304" s="722"/>
      <c r="K304" s="722"/>
      <c r="L304" s="722"/>
      <c r="M304" s="722"/>
      <c r="N304" s="722"/>
      <c r="O304" s="722"/>
      <c r="P304" s="723"/>
      <c r="Q304" s="7"/>
    </row>
    <row r="305" spans="1:17" x14ac:dyDescent="0.25">
      <c r="A305" s="721" t="s">
        <v>1156</v>
      </c>
      <c r="B305" s="722"/>
      <c r="C305" s="979"/>
      <c r="D305" s="722"/>
      <c r="E305" s="722"/>
      <c r="F305" s="722"/>
      <c r="G305" s="722"/>
      <c r="H305" s="722"/>
      <c r="I305" s="722"/>
      <c r="J305" s="722"/>
      <c r="K305" s="722"/>
      <c r="L305" s="722"/>
      <c r="M305" s="722"/>
      <c r="N305" s="722"/>
      <c r="O305" s="722"/>
      <c r="P305" s="723"/>
      <c r="Q305" s="7"/>
    </row>
    <row r="306" spans="1:17" ht="12.75" thickBot="1" x14ac:dyDescent="0.3">
      <c r="A306" s="404"/>
      <c r="B306" s="405"/>
      <c r="C306" s="405"/>
      <c r="D306" s="405"/>
      <c r="E306" s="405"/>
      <c r="F306" s="405"/>
      <c r="G306" s="405"/>
      <c r="H306" s="405"/>
      <c r="I306" s="405"/>
      <c r="J306" s="405"/>
      <c r="K306" s="405"/>
      <c r="L306" s="405"/>
      <c r="M306" s="405"/>
      <c r="N306" s="405"/>
      <c r="O306" s="405"/>
      <c r="P306" s="406"/>
      <c r="Q306" s="7"/>
    </row>
    <row r="307" spans="1:17" x14ac:dyDescent="0.25">
      <c r="A307" s="5"/>
      <c r="B307" s="5"/>
      <c r="C307" s="5"/>
      <c r="D307" s="5"/>
      <c r="E307" s="5"/>
      <c r="F307" s="5"/>
      <c r="G307" s="5"/>
      <c r="H307" s="5"/>
      <c r="I307" s="5"/>
      <c r="J307" s="5"/>
      <c r="K307" s="5"/>
      <c r="L307" s="5"/>
      <c r="M307" s="5"/>
      <c r="N307" s="5"/>
      <c r="O307" s="5"/>
    </row>
    <row r="308" spans="1:17" x14ac:dyDescent="0.25">
      <c r="A308" s="5"/>
      <c r="B308" s="5"/>
      <c r="C308" s="5"/>
      <c r="D308" s="5"/>
      <c r="E308" s="5"/>
      <c r="F308" s="5"/>
      <c r="G308" s="5"/>
      <c r="H308" s="5"/>
      <c r="I308" s="5"/>
      <c r="J308" s="5"/>
      <c r="K308" s="5"/>
      <c r="L308" s="5"/>
      <c r="M308" s="5"/>
      <c r="N308" s="5"/>
      <c r="O308" s="5"/>
    </row>
    <row r="309" spans="1:17" x14ac:dyDescent="0.25">
      <c r="A309" s="5"/>
      <c r="B309" s="5"/>
      <c r="C309" s="5"/>
      <c r="D309" s="5"/>
      <c r="E309" s="5"/>
      <c r="F309" s="5"/>
      <c r="G309" s="5"/>
      <c r="H309" s="5"/>
      <c r="I309" s="5"/>
      <c r="J309" s="5"/>
      <c r="K309" s="5"/>
      <c r="L309" s="5"/>
      <c r="M309" s="5"/>
      <c r="N309" s="5"/>
      <c r="O309" s="5"/>
    </row>
    <row r="310" spans="1:17" x14ac:dyDescent="0.25">
      <c r="A310" s="5"/>
      <c r="B310" s="5"/>
      <c r="C310" s="5"/>
      <c r="D310" s="5"/>
      <c r="E310" s="5"/>
      <c r="F310" s="5"/>
      <c r="G310" s="5"/>
      <c r="H310" s="5"/>
      <c r="I310" s="5"/>
      <c r="J310" s="5"/>
      <c r="K310" s="5"/>
      <c r="L310" s="5"/>
      <c r="M310" s="5"/>
      <c r="N310" s="5"/>
      <c r="O310" s="5"/>
    </row>
    <row r="311" spans="1:17" x14ac:dyDescent="0.25">
      <c r="A311" s="5"/>
      <c r="B311" s="5"/>
      <c r="C311" s="5"/>
      <c r="D311" s="5"/>
      <c r="E311" s="5"/>
      <c r="F311" s="5"/>
      <c r="G311" s="5"/>
      <c r="H311" s="5"/>
      <c r="I311" s="5"/>
      <c r="J311" s="5"/>
      <c r="K311" s="5"/>
      <c r="L311" s="5"/>
      <c r="M311" s="5"/>
      <c r="N311" s="5"/>
      <c r="O311" s="5"/>
    </row>
    <row r="312" spans="1:17" x14ac:dyDescent="0.25">
      <c r="A312" s="5"/>
      <c r="B312" s="5"/>
      <c r="C312" s="5"/>
      <c r="D312" s="5"/>
      <c r="E312" s="5"/>
      <c r="F312" s="5"/>
      <c r="G312" s="5"/>
      <c r="H312" s="5"/>
      <c r="I312" s="5"/>
      <c r="J312" s="5"/>
      <c r="K312" s="5"/>
      <c r="L312" s="5"/>
      <c r="M312" s="5"/>
      <c r="N312" s="5"/>
      <c r="O312" s="5"/>
    </row>
    <row r="313" spans="1:17" x14ac:dyDescent="0.25">
      <c r="A313" s="5"/>
      <c r="B313" s="5"/>
      <c r="C313" s="5"/>
      <c r="D313" s="5"/>
      <c r="E313" s="5"/>
      <c r="F313" s="5"/>
      <c r="G313" s="5"/>
      <c r="H313" s="5"/>
      <c r="I313" s="5"/>
      <c r="J313" s="5"/>
      <c r="K313" s="5"/>
      <c r="L313" s="5"/>
      <c r="M313" s="5"/>
      <c r="N313" s="5"/>
      <c r="O313" s="5"/>
    </row>
    <row r="314" spans="1:17" x14ac:dyDescent="0.25">
      <c r="A314" s="5"/>
      <c r="B314" s="5"/>
      <c r="C314" s="5"/>
      <c r="D314" s="5"/>
      <c r="E314" s="5"/>
      <c r="F314" s="5"/>
      <c r="G314" s="5"/>
      <c r="H314" s="5"/>
      <c r="I314" s="5"/>
      <c r="J314" s="5"/>
      <c r="K314" s="5"/>
      <c r="L314" s="5"/>
      <c r="M314" s="5"/>
      <c r="N314" s="5"/>
      <c r="O314" s="5"/>
    </row>
    <row r="315" spans="1:17" x14ac:dyDescent="0.25">
      <c r="A315" s="5"/>
      <c r="B315" s="5"/>
      <c r="C315" s="5"/>
      <c r="D315" s="5"/>
      <c r="E315" s="5"/>
      <c r="F315" s="5"/>
      <c r="G315" s="5"/>
      <c r="H315" s="5"/>
      <c r="I315" s="5"/>
      <c r="J315" s="5"/>
      <c r="K315" s="5"/>
      <c r="L315" s="5"/>
      <c r="M315" s="5"/>
      <c r="N315" s="5"/>
      <c r="O315" s="5"/>
    </row>
    <row r="316" spans="1:17" x14ac:dyDescent="0.25">
      <c r="A316" s="5"/>
      <c r="B316" s="5"/>
      <c r="C316" s="5"/>
      <c r="D316" s="5"/>
      <c r="E316" s="5"/>
      <c r="F316" s="5"/>
      <c r="G316" s="5"/>
      <c r="H316" s="5"/>
      <c r="I316" s="5"/>
      <c r="J316" s="5"/>
      <c r="K316" s="5"/>
      <c r="L316" s="5"/>
      <c r="M316" s="5"/>
      <c r="N316" s="5"/>
      <c r="O316" s="5"/>
    </row>
    <row r="317" spans="1:17" x14ac:dyDescent="0.25">
      <c r="A317" s="5"/>
      <c r="B317" s="5"/>
      <c r="C317" s="5"/>
      <c r="D317" s="5"/>
      <c r="E317" s="5"/>
      <c r="F317" s="5"/>
      <c r="G317" s="5"/>
      <c r="H317" s="5"/>
      <c r="I317" s="5"/>
      <c r="J317" s="5"/>
      <c r="K317" s="5"/>
      <c r="L317" s="5"/>
      <c r="M317" s="5"/>
      <c r="N317" s="5"/>
      <c r="O317" s="5"/>
    </row>
    <row r="318" spans="1:17" x14ac:dyDescent="0.25">
      <c r="A318" s="5"/>
      <c r="B318" s="5"/>
      <c r="C318" s="5"/>
      <c r="D318" s="5"/>
      <c r="E318" s="5"/>
      <c r="F318" s="5"/>
      <c r="G318" s="5"/>
      <c r="H318" s="5"/>
      <c r="I318" s="5"/>
      <c r="J318" s="5"/>
      <c r="K318" s="5"/>
      <c r="L318" s="5"/>
      <c r="M318" s="5"/>
      <c r="N318" s="5"/>
      <c r="O318" s="5"/>
    </row>
    <row r="319" spans="1:17" x14ac:dyDescent="0.25">
      <c r="A319" s="5"/>
      <c r="B319" s="5"/>
      <c r="C319" s="5"/>
      <c r="D319" s="5"/>
      <c r="E319" s="5"/>
      <c r="F319" s="5"/>
      <c r="G319" s="5"/>
      <c r="H319" s="5"/>
      <c r="I319" s="5"/>
      <c r="J319" s="5"/>
      <c r="K319" s="5"/>
      <c r="L319" s="5"/>
      <c r="M319" s="5"/>
      <c r="N319" s="5"/>
      <c r="O319" s="5"/>
    </row>
    <row r="320" spans="1:17"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row r="322" spans="1:15" x14ac:dyDescent="0.25">
      <c r="A322" s="5"/>
      <c r="B322" s="5"/>
      <c r="C322" s="5"/>
      <c r="D322" s="5"/>
      <c r="E322" s="5"/>
      <c r="F322" s="5"/>
      <c r="G322" s="5"/>
      <c r="H322" s="5"/>
      <c r="I322" s="5"/>
      <c r="J322" s="5"/>
      <c r="K322" s="5"/>
      <c r="L322" s="5"/>
      <c r="M322" s="5"/>
      <c r="N322" s="5"/>
      <c r="O322" s="5"/>
    </row>
    <row r="323" spans="1:15" x14ac:dyDescent="0.25">
      <c r="A323" s="5"/>
      <c r="B323" s="5"/>
      <c r="C323" s="5"/>
      <c r="D323" s="5"/>
      <c r="E323" s="5"/>
      <c r="F323" s="5"/>
      <c r="G323" s="5"/>
      <c r="H323" s="5"/>
      <c r="I323" s="5"/>
      <c r="J323" s="5"/>
      <c r="K323" s="5"/>
      <c r="L323" s="5"/>
      <c r="M323" s="5"/>
      <c r="N323" s="5"/>
      <c r="O323" s="5"/>
    </row>
    <row r="324" spans="1:15" x14ac:dyDescent="0.25">
      <c r="A324" s="5"/>
      <c r="B324" s="5"/>
      <c r="C324" s="5"/>
      <c r="D324" s="5"/>
      <c r="E324" s="5"/>
      <c r="F324" s="5"/>
      <c r="G324" s="5"/>
      <c r="H324" s="5"/>
      <c r="I324" s="5"/>
      <c r="J324" s="5"/>
      <c r="K324" s="5"/>
      <c r="L324" s="5"/>
      <c r="M324" s="5"/>
      <c r="N324" s="5"/>
      <c r="O324" s="5"/>
    </row>
    <row r="325" spans="1:15" x14ac:dyDescent="0.25">
      <c r="A325" s="5"/>
      <c r="B325" s="5"/>
      <c r="C325" s="5"/>
      <c r="D325" s="5"/>
      <c r="E325" s="5"/>
      <c r="F325" s="5"/>
      <c r="G325" s="5"/>
      <c r="H325" s="5"/>
      <c r="I325" s="5"/>
      <c r="J325" s="5"/>
      <c r="K325" s="5"/>
      <c r="L325" s="5"/>
      <c r="M325" s="5"/>
      <c r="N325" s="5"/>
      <c r="O325" s="5"/>
    </row>
    <row r="326" spans="1:15" x14ac:dyDescent="0.25">
      <c r="A326" s="5"/>
      <c r="B326" s="5"/>
      <c r="C326" s="5"/>
      <c r="D326" s="5"/>
      <c r="E326" s="5"/>
      <c r="F326" s="5"/>
      <c r="G326" s="5"/>
      <c r="H326" s="5"/>
      <c r="I326" s="5"/>
      <c r="J326" s="5"/>
      <c r="K326" s="5"/>
      <c r="L326" s="5"/>
      <c r="M326" s="5"/>
      <c r="N326" s="5"/>
      <c r="O326" s="5"/>
    </row>
  </sheetData>
  <sheetProtection algorithmName="SHA-512" hashValue="KP76v3G8EywDmf1XSpeLT4aG8sABSTq//1cpKRbXp+B71f7fDTt2vDJfHZa7HIUXRa3/gRPk3xPXf7huz5P/dg==" saltValue="sysVY3dBMsR7DX1rnSeeeA==" spinCount="100000" sheet="1" objects="1" scenarios="1" selectLockedCells="1" selectUnlockedCells="1"/>
  <autoFilter ref="A22:P305">
    <filterColumn colId="2">
      <filters blank="1">
        <filter val="1 000"/>
        <filter val="1 156"/>
        <filter val="1 271"/>
        <filter val="1 275"/>
        <filter val="1 556"/>
        <filter val="1 583"/>
        <filter val="1 781"/>
        <filter val="1 881"/>
        <filter val="1 887"/>
        <filter val="10 520"/>
        <filter val="100"/>
        <filter val="12 842"/>
        <filter val="13 047"/>
        <filter val="142"/>
        <filter val="166"/>
        <filter val="169 848"/>
        <filter val="191 723"/>
        <filter val="2 964"/>
        <filter val="20 600"/>
        <filter val="207"/>
        <filter val="23"/>
        <filter val="24 602"/>
        <filter val="252 271"/>
        <filter val="290 352"/>
        <filter val="291 717"/>
        <filter val="292 239"/>
        <filter val="3 748"/>
        <filter val="3 827"/>
        <filter val="300"/>
        <filter val="32"/>
        <filter val="33 129"/>
        <filter val="373"/>
        <filter val="38 081"/>
        <filter val="4 483"/>
        <filter val="4 952"/>
        <filter val="428"/>
        <filter val="455"/>
        <filter val="47 706"/>
        <filter val="5 478"/>
        <filter val="5 933"/>
        <filter val="522"/>
        <filter val="-522"/>
        <filter val="592"/>
        <filter val="60 548"/>
        <filter val="680"/>
        <filter val="694"/>
        <filter val="7 931"/>
        <filter val="72"/>
        <filter val="8 218"/>
        <filter val="836"/>
        <filter val="922"/>
        <filter val="945"/>
        <filter val="977"/>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100.pielikums Jūrmalas pilsētas domes
2017.gada 30.janvāra saistošajiem noteikumiem Nr.10
(Protokols Nr.4, 1.punkts)
 </firstHeader>
    <firstFooter>&amp;L&amp;9&amp;D; &amp;T&amp;R&amp;9&amp;P (&amp;N)</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100" workbookViewId="0">
      <selection activeCell="S13" sqref="S13"/>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1053</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7"/>
    </row>
    <row r="4" spans="1:17" ht="15.75"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1054</v>
      </c>
      <c r="D6" s="1555"/>
      <c r="E6" s="1555"/>
      <c r="F6" s="1555"/>
      <c r="G6" s="1555"/>
      <c r="H6" s="1555"/>
      <c r="I6" s="1555"/>
      <c r="J6" s="1555"/>
      <c r="K6" s="1555"/>
      <c r="L6" s="1555"/>
      <c r="M6" s="1555"/>
      <c r="N6" s="1555"/>
      <c r="O6" s="1555"/>
      <c r="P6" s="1556"/>
      <c r="Q6" s="7"/>
    </row>
    <row r="7" spans="1:17" ht="12.75" x14ac:dyDescent="0.25">
      <c r="A7" s="13" t="s">
        <v>4</v>
      </c>
      <c r="B7" s="14"/>
      <c r="C7" s="1555" t="s">
        <v>1055</v>
      </c>
      <c r="D7" s="1555"/>
      <c r="E7" s="1555"/>
      <c r="F7" s="1555"/>
      <c r="G7" s="1555"/>
      <c r="H7" s="1555"/>
      <c r="I7" s="1555"/>
      <c r="J7" s="1555"/>
      <c r="K7" s="1555"/>
      <c r="L7" s="1555"/>
      <c r="M7" s="1555"/>
      <c r="N7" s="1555"/>
      <c r="O7" s="1555"/>
      <c r="P7" s="1556"/>
      <c r="Q7" s="7"/>
    </row>
    <row r="8" spans="1:17" x14ac:dyDescent="0.25">
      <c r="A8" s="8" t="s">
        <v>6</v>
      </c>
      <c r="B8" s="9"/>
      <c r="C8" s="1553" t="s">
        <v>1056</v>
      </c>
      <c r="D8" s="1553"/>
      <c r="E8" s="1553"/>
      <c r="F8" s="1553"/>
      <c r="G8" s="1553"/>
      <c r="H8" s="1553"/>
      <c r="I8" s="1553"/>
      <c r="J8" s="1553"/>
      <c r="K8" s="1553"/>
      <c r="L8" s="1553"/>
      <c r="M8" s="1553"/>
      <c r="N8" s="1553"/>
      <c r="O8" s="1553"/>
      <c r="P8" s="1554"/>
      <c r="Q8" s="7"/>
    </row>
    <row r="9" spans="1:17" x14ac:dyDescent="0.25">
      <c r="A9" s="8" t="s">
        <v>8</v>
      </c>
      <c r="B9" s="9"/>
      <c r="C9" s="1553" t="s">
        <v>9</v>
      </c>
      <c r="D9" s="1553"/>
      <c r="E9" s="1553"/>
      <c r="F9" s="1553"/>
      <c r="G9" s="1553"/>
      <c r="H9" s="1553"/>
      <c r="I9" s="1553"/>
      <c r="J9" s="1553"/>
      <c r="K9" s="1553"/>
      <c r="L9" s="1553"/>
      <c r="M9" s="1553"/>
      <c r="N9" s="1553"/>
      <c r="O9" s="1553"/>
      <c r="P9" s="1554"/>
      <c r="Q9" s="7"/>
    </row>
    <row r="10" spans="1:17" ht="22.5" customHeight="1" x14ac:dyDescent="0.25">
      <c r="A10" s="8" t="s">
        <v>10</v>
      </c>
      <c r="B10" s="9"/>
      <c r="C10" s="1555" t="s">
        <v>11</v>
      </c>
      <c r="D10" s="1555"/>
      <c r="E10" s="1555"/>
      <c r="F10" s="1555"/>
      <c r="G10" s="1555"/>
      <c r="H10" s="1555"/>
      <c r="I10" s="1555"/>
      <c r="J10" s="1555"/>
      <c r="K10" s="1555"/>
      <c r="L10" s="1555"/>
      <c r="M10" s="1555"/>
      <c r="N10" s="1555"/>
      <c r="O10" s="1555"/>
      <c r="P10" s="1556"/>
      <c r="Q10" s="7"/>
    </row>
    <row r="11" spans="1:17" x14ac:dyDescent="0.25">
      <c r="A11" s="8" t="s">
        <v>12</v>
      </c>
      <c r="B11" s="9"/>
      <c r="C11" s="1555" t="s">
        <v>13</v>
      </c>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1057</v>
      </c>
      <c r="D13" s="1553"/>
      <c r="E13" s="1553"/>
      <c r="F13" s="1553"/>
      <c r="G13" s="1553"/>
      <c r="H13" s="1553"/>
      <c r="I13" s="1553"/>
      <c r="J13" s="1553"/>
      <c r="K13" s="1553"/>
      <c r="L13" s="1553"/>
      <c r="M13" s="1553"/>
      <c r="N13" s="1553"/>
      <c r="O13" s="1553"/>
      <c r="P13" s="1554"/>
      <c r="Q13" s="7"/>
    </row>
    <row r="14" spans="1:17" x14ac:dyDescent="0.25">
      <c r="A14" s="8"/>
      <c r="B14" s="9" t="s">
        <v>17</v>
      </c>
      <c r="C14" s="1553" t="s">
        <v>1058</v>
      </c>
      <c r="D14" s="1553"/>
      <c r="E14" s="1553"/>
      <c r="F14" s="1553"/>
      <c r="G14" s="1553"/>
      <c r="H14" s="1553"/>
      <c r="I14" s="1553"/>
      <c r="J14" s="1553"/>
      <c r="K14" s="1553"/>
      <c r="L14" s="1553"/>
      <c r="M14" s="1553"/>
      <c r="N14" s="1553"/>
      <c r="O14" s="1553"/>
      <c r="P14" s="1554"/>
      <c r="Q14" s="7"/>
    </row>
    <row r="15" spans="1:17" x14ac:dyDescent="0.25">
      <c r="A15" s="8"/>
      <c r="B15" s="9" t="s">
        <v>19</v>
      </c>
      <c r="C15" s="1553"/>
      <c r="D15" s="1553"/>
      <c r="E15" s="1553"/>
      <c r="F15" s="1553"/>
      <c r="G15" s="1553"/>
      <c r="H15" s="1553"/>
      <c r="I15" s="1553"/>
      <c r="J15" s="1553"/>
      <c r="K15" s="1553"/>
      <c r="L15" s="1553"/>
      <c r="M15" s="1553"/>
      <c r="N15" s="1553"/>
      <c r="O15" s="1553"/>
      <c r="P15" s="1554"/>
      <c r="Q15" s="7"/>
    </row>
    <row r="16" spans="1:17" x14ac:dyDescent="0.25">
      <c r="A16" s="8"/>
      <c r="B16" s="9" t="s">
        <v>20</v>
      </c>
      <c r="C16" s="1553" t="s">
        <v>1059</v>
      </c>
      <c r="D16" s="1553"/>
      <c r="E16" s="1553"/>
      <c r="F16" s="1553"/>
      <c r="G16" s="1553"/>
      <c r="H16" s="1553"/>
      <c r="I16" s="1553"/>
      <c r="J16" s="1553"/>
      <c r="K16" s="1553"/>
      <c r="L16" s="1553"/>
      <c r="M16" s="1553"/>
      <c r="N16" s="1553"/>
      <c r="O16" s="1553"/>
      <c r="P16" s="1554"/>
      <c r="Q16" s="7"/>
    </row>
    <row r="17" spans="1:17" x14ac:dyDescent="0.25">
      <c r="A17" s="8"/>
      <c r="B17" s="9" t="s">
        <v>22</v>
      </c>
      <c r="C17" s="1553"/>
      <c r="D17" s="1553"/>
      <c r="E17" s="1553"/>
      <c r="F17" s="1553"/>
      <c r="G17" s="1553"/>
      <c r="H17" s="1553"/>
      <c r="I17" s="1553"/>
      <c r="J17" s="1553"/>
      <c r="K17" s="1553"/>
      <c r="L17" s="1553"/>
      <c r="M17" s="1553"/>
      <c r="N17" s="1553"/>
      <c r="O17" s="1553"/>
      <c r="P17" s="1554"/>
      <c r="Q17" s="7"/>
    </row>
    <row r="18" spans="1:17" x14ac:dyDescent="0.25">
      <c r="A18" s="18"/>
      <c r="B18" s="19"/>
      <c r="C18" s="1569"/>
      <c r="D18" s="1569"/>
      <c r="E18" s="1569"/>
      <c r="F18" s="1569"/>
      <c r="G18" s="1569"/>
      <c r="H18" s="1569"/>
      <c r="I18" s="1569"/>
      <c r="J18" s="1569"/>
      <c r="K18" s="1569"/>
      <c r="L18" s="1569"/>
      <c r="M18" s="1569"/>
      <c r="N18" s="1569"/>
      <c r="O18" s="1569"/>
      <c r="P18" s="1570"/>
      <c r="Q18" s="7"/>
    </row>
    <row r="19" spans="1:17"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17"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17" s="21" customFormat="1" ht="70.5" customHeight="1" thickBot="1" x14ac:dyDescent="0.3">
      <c r="A21" s="1573"/>
      <c r="B21" s="1576"/>
      <c r="C21" s="1581"/>
      <c r="D21" s="1566"/>
      <c r="E21" s="1568"/>
      <c r="F21" s="1564"/>
      <c r="G21" s="1566"/>
      <c r="H21" s="1568"/>
      <c r="I21" s="1564"/>
      <c r="J21" s="1566"/>
      <c r="K21" s="1568"/>
      <c r="L21" s="1564"/>
      <c r="M21" s="1566"/>
      <c r="N21" s="1568"/>
      <c r="O21" s="1564"/>
      <c r="P21" s="1576"/>
    </row>
    <row r="22" spans="1:17"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17" s="41" customFormat="1" x14ac:dyDescent="0.25">
      <c r="A23" s="30"/>
      <c r="B23" s="31" t="s">
        <v>41</v>
      </c>
      <c r="C23" s="32"/>
      <c r="D23" s="33"/>
      <c r="E23" s="34"/>
      <c r="F23" s="35"/>
      <c r="G23" s="33"/>
      <c r="H23" s="36"/>
      <c r="I23" s="37"/>
      <c r="J23" s="33"/>
      <c r="K23" s="38"/>
      <c r="L23" s="37"/>
      <c r="M23" s="38"/>
      <c r="N23" s="39"/>
      <c r="O23" s="37"/>
      <c r="P23" s="40"/>
    </row>
    <row r="24" spans="1:17" s="41" customFormat="1" ht="12.75" thickBot="1" x14ac:dyDescent="0.3">
      <c r="A24" s="42"/>
      <c r="B24" s="43" t="s">
        <v>42</v>
      </c>
      <c r="C24" s="44">
        <f>F24+I24+L24+O24</f>
        <v>316731</v>
      </c>
      <c r="D24" s="45">
        <f>SUM(D25,D28,D29,D45,D46)</f>
        <v>16254</v>
      </c>
      <c r="E24" s="46">
        <f>SUM(E25,E28,E29,E45,E46)</f>
        <v>2822</v>
      </c>
      <c r="F24" s="47">
        <f t="shared" ref="F24:F29" si="0">D24+E24</f>
        <v>19076</v>
      </c>
      <c r="G24" s="45">
        <f>SUM(G25,G28,G46)</f>
        <v>296413</v>
      </c>
      <c r="H24" s="48">
        <f>SUM(H25,H28,H46)</f>
        <v>0</v>
      </c>
      <c r="I24" s="49">
        <f>G24+H24</f>
        <v>296413</v>
      </c>
      <c r="J24" s="45">
        <f>SUM(J25,J30,J46)</f>
        <v>1242</v>
      </c>
      <c r="K24" s="48">
        <f>SUM(K25,K30,K46)</f>
        <v>0</v>
      </c>
      <c r="L24" s="49">
        <f>J24+K24</f>
        <v>1242</v>
      </c>
      <c r="M24" s="50">
        <f>SUM(M25,M48)</f>
        <v>0</v>
      </c>
      <c r="N24" s="51">
        <f>SUM(N25,N48)</f>
        <v>0</v>
      </c>
      <c r="O24" s="49">
        <f>M24+N24</f>
        <v>0</v>
      </c>
      <c r="P24" s="52"/>
    </row>
    <row r="25" spans="1:17" ht="12.75" thickTop="1" x14ac:dyDescent="0.25">
      <c r="A25" s="54"/>
      <c r="B25" s="55" t="s">
        <v>43</v>
      </c>
      <c r="C25" s="56">
        <f>F25+I25+L25+O25</f>
        <v>170</v>
      </c>
      <c r="D25" s="57">
        <f>SUM(D26:D27)</f>
        <v>0</v>
      </c>
      <c r="E25" s="58">
        <f>SUM(E26:E27)</f>
        <v>0</v>
      </c>
      <c r="F25" s="59">
        <f t="shared" si="0"/>
        <v>0</v>
      </c>
      <c r="G25" s="57">
        <f>SUM(G26:G27)</f>
        <v>0</v>
      </c>
      <c r="H25" s="60">
        <f>SUM(H26:H27)</f>
        <v>0</v>
      </c>
      <c r="I25" s="61">
        <f>G25+H25</f>
        <v>0</v>
      </c>
      <c r="J25" s="57">
        <f>SUM(J26:J27)</f>
        <v>170</v>
      </c>
      <c r="K25" s="60">
        <f>SUM(K26:K27)</f>
        <v>0</v>
      </c>
      <c r="L25" s="61">
        <f>J25+K25</f>
        <v>170</v>
      </c>
      <c r="M25" s="62">
        <f>SUM(M26:M27)</f>
        <v>0</v>
      </c>
      <c r="N25" s="63">
        <f>SUM(N26:N27)</f>
        <v>0</v>
      </c>
      <c r="O25" s="61">
        <f>M25+N25</f>
        <v>0</v>
      </c>
      <c r="P25" s="64"/>
    </row>
    <row r="26" spans="1:17" hidden="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row>
    <row r="27" spans="1:17" x14ac:dyDescent="0.25">
      <c r="A27" s="75"/>
      <c r="B27" s="76" t="s">
        <v>45</v>
      </c>
      <c r="C27" s="77">
        <f>F27+I27+L27+O27</f>
        <v>170</v>
      </c>
      <c r="D27" s="78"/>
      <c r="E27" s="79"/>
      <c r="F27" s="80">
        <f t="shared" si="0"/>
        <v>0</v>
      </c>
      <c r="G27" s="78"/>
      <c r="H27" s="81"/>
      <c r="I27" s="82">
        <f>G27+H27</f>
        <v>0</v>
      </c>
      <c r="J27" s="78">
        <v>170</v>
      </c>
      <c r="K27" s="81"/>
      <c r="L27" s="82">
        <f>J27+K27</f>
        <v>170</v>
      </c>
      <c r="M27" s="83"/>
      <c r="N27" s="84"/>
      <c r="O27" s="82">
        <f>M27+N27</f>
        <v>0</v>
      </c>
      <c r="P27" s="85"/>
    </row>
    <row r="28" spans="1:17" s="41" customFormat="1" ht="24.75" thickBot="1" x14ac:dyDescent="0.3">
      <c r="A28" s="86">
        <v>19300</v>
      </c>
      <c r="B28" s="86" t="s">
        <v>46</v>
      </c>
      <c r="C28" s="87">
        <f>SUM(F28,I28)</f>
        <v>315489</v>
      </c>
      <c r="D28" s="88">
        <v>16254</v>
      </c>
      <c r="E28" s="89">
        <v>2822</v>
      </c>
      <c r="F28" s="90">
        <f t="shared" si="0"/>
        <v>19076</v>
      </c>
      <c r="G28" s="88">
        <v>296413</v>
      </c>
      <c r="H28" s="91"/>
      <c r="I28" s="92">
        <f>G28+H28</f>
        <v>296413</v>
      </c>
      <c r="J28" s="93" t="s">
        <v>47</v>
      </c>
      <c r="K28" s="94" t="s">
        <v>47</v>
      </c>
      <c r="L28" s="95" t="s">
        <v>47</v>
      </c>
      <c r="M28" s="96" t="s">
        <v>47</v>
      </c>
      <c r="N28" s="97" t="s">
        <v>47</v>
      </c>
      <c r="O28" s="95" t="s">
        <v>47</v>
      </c>
      <c r="P28" s="98" t="s">
        <v>1060</v>
      </c>
    </row>
    <row r="29" spans="1:17" s="41" customFormat="1" ht="24.75" hidden="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row>
    <row r="30" spans="1:17" s="41" customFormat="1" ht="36.75" thickTop="1" x14ac:dyDescent="0.25">
      <c r="A30" s="99">
        <v>21300</v>
      </c>
      <c r="B30" s="99" t="s">
        <v>49</v>
      </c>
      <c r="C30" s="100">
        <f t="shared" ref="C30:C44" si="1">L30</f>
        <v>1072</v>
      </c>
      <c r="D30" s="104" t="s">
        <v>47</v>
      </c>
      <c r="E30" s="110" t="s">
        <v>47</v>
      </c>
      <c r="F30" s="111" t="s">
        <v>47</v>
      </c>
      <c r="G30" s="104" t="s">
        <v>47</v>
      </c>
      <c r="H30" s="105" t="s">
        <v>47</v>
      </c>
      <c r="I30" s="106" t="s">
        <v>47</v>
      </c>
      <c r="J30" s="112">
        <f>SUM(J31,J35,J37,J40)</f>
        <v>1072</v>
      </c>
      <c r="K30" s="113">
        <f>SUM(K31,K35,K37,K40)</f>
        <v>0</v>
      </c>
      <c r="L30" s="114">
        <f t="shared" ref="L30:L44" si="2">J30+K30</f>
        <v>1072</v>
      </c>
      <c r="M30" s="107" t="s">
        <v>47</v>
      </c>
      <c r="N30" s="108" t="s">
        <v>47</v>
      </c>
      <c r="O30" s="106" t="s">
        <v>47</v>
      </c>
      <c r="P30" s="109"/>
    </row>
    <row r="31" spans="1:17" s="41" customFormat="1" ht="24" hidden="1" x14ac:dyDescent="0.25">
      <c r="A31" s="115">
        <v>21350</v>
      </c>
      <c r="B31" s="99" t="s">
        <v>50</v>
      </c>
      <c r="C31" s="100">
        <f t="shared" si="1"/>
        <v>0</v>
      </c>
      <c r="D31" s="104" t="s">
        <v>47</v>
      </c>
      <c r="E31" s="108" t="s">
        <v>47</v>
      </c>
      <c r="F31" s="140" t="s">
        <v>47</v>
      </c>
      <c r="G31" s="104" t="s">
        <v>47</v>
      </c>
      <c r="H31" s="105" t="s">
        <v>47</v>
      </c>
      <c r="I31" s="106" t="s">
        <v>47</v>
      </c>
      <c r="J31" s="112">
        <f>SUM(J32:J34)</f>
        <v>0</v>
      </c>
      <c r="K31" s="113">
        <f>SUM(K32:K34)</f>
        <v>0</v>
      </c>
      <c r="L31" s="114">
        <f t="shared" si="2"/>
        <v>0</v>
      </c>
      <c r="M31" s="107" t="s">
        <v>47</v>
      </c>
      <c r="N31" s="108" t="s">
        <v>47</v>
      </c>
      <c r="O31" s="106" t="s">
        <v>47</v>
      </c>
      <c r="P31" s="109"/>
    </row>
    <row r="32" spans="1:17" hidden="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row>
    <row r="33" spans="1:16" hidden="1" x14ac:dyDescent="0.25">
      <c r="A33" s="75">
        <v>21352</v>
      </c>
      <c r="B33" s="127" t="s">
        <v>52</v>
      </c>
      <c r="C33" s="128">
        <f t="shared" si="1"/>
        <v>0</v>
      </c>
      <c r="D33" s="129" t="s">
        <v>47</v>
      </c>
      <c r="E33" s="138" t="s">
        <v>47</v>
      </c>
      <c r="F33" s="139" t="s">
        <v>47</v>
      </c>
      <c r="G33" s="129" t="s">
        <v>47</v>
      </c>
      <c r="H33" s="132" t="s">
        <v>47</v>
      </c>
      <c r="I33" s="133" t="s">
        <v>47</v>
      </c>
      <c r="J33" s="134"/>
      <c r="K33" s="135"/>
      <c r="L33" s="136">
        <f t="shared" si="2"/>
        <v>0</v>
      </c>
      <c r="M33" s="137" t="s">
        <v>47</v>
      </c>
      <c r="N33" s="138" t="s">
        <v>47</v>
      </c>
      <c r="O33" s="133" t="s">
        <v>47</v>
      </c>
      <c r="P33" s="85"/>
    </row>
    <row r="34" spans="1:16" ht="24" hidden="1" x14ac:dyDescent="0.25">
      <c r="A34" s="75">
        <v>21359</v>
      </c>
      <c r="B34" s="127" t="s">
        <v>53</v>
      </c>
      <c r="C34" s="128">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row>
    <row r="35" spans="1:16" s="41" customFormat="1" ht="36" hidden="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row>
    <row r="36" spans="1:16" ht="36" hidden="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row>
    <row r="37" spans="1:16" s="41" customFormat="1" hidden="1" x14ac:dyDescent="0.25">
      <c r="A37" s="115">
        <v>21380</v>
      </c>
      <c r="B37" s="99" t="s">
        <v>56</v>
      </c>
      <c r="C37" s="100">
        <f t="shared" si="1"/>
        <v>0</v>
      </c>
      <c r="D37" s="104" t="s">
        <v>47</v>
      </c>
      <c r="E37" s="108" t="s">
        <v>47</v>
      </c>
      <c r="F37" s="140" t="s">
        <v>47</v>
      </c>
      <c r="G37" s="104" t="s">
        <v>47</v>
      </c>
      <c r="H37" s="105" t="s">
        <v>47</v>
      </c>
      <c r="I37" s="106" t="s">
        <v>47</v>
      </c>
      <c r="J37" s="112">
        <f>SUM(J38:J39)</f>
        <v>0</v>
      </c>
      <c r="K37" s="113">
        <f>SUM(K38:K39)</f>
        <v>0</v>
      </c>
      <c r="L37" s="114">
        <f t="shared" si="2"/>
        <v>0</v>
      </c>
      <c r="M37" s="107" t="s">
        <v>47</v>
      </c>
      <c r="N37" s="108" t="s">
        <v>47</v>
      </c>
      <c r="O37" s="106" t="s">
        <v>47</v>
      </c>
      <c r="P37" s="109"/>
    </row>
    <row r="38" spans="1:16" hidden="1" x14ac:dyDescent="0.25">
      <c r="A38" s="66">
        <v>21381</v>
      </c>
      <c r="B38" s="116" t="s">
        <v>57</v>
      </c>
      <c r="C38" s="117">
        <f t="shared" si="1"/>
        <v>0</v>
      </c>
      <c r="D38" s="118" t="s">
        <v>47</v>
      </c>
      <c r="E38" s="119" t="s">
        <v>47</v>
      </c>
      <c r="F38" s="120" t="s">
        <v>47</v>
      </c>
      <c r="G38" s="118" t="s">
        <v>47</v>
      </c>
      <c r="H38" s="121" t="s">
        <v>47</v>
      </c>
      <c r="I38" s="122" t="s">
        <v>47</v>
      </c>
      <c r="J38" s="123"/>
      <c r="K38" s="124"/>
      <c r="L38" s="125">
        <f t="shared" si="2"/>
        <v>0</v>
      </c>
      <c r="M38" s="126" t="s">
        <v>47</v>
      </c>
      <c r="N38" s="119" t="s">
        <v>47</v>
      </c>
      <c r="O38" s="122" t="s">
        <v>47</v>
      </c>
      <c r="P38" s="74"/>
    </row>
    <row r="39" spans="1:16" ht="24" hidden="1" x14ac:dyDescent="0.25">
      <c r="A39" s="76">
        <v>21383</v>
      </c>
      <c r="B39" s="127" t="s">
        <v>58</v>
      </c>
      <c r="C39" s="128">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row>
    <row r="40" spans="1:16" s="41" customFormat="1" ht="24" x14ac:dyDescent="0.25">
      <c r="A40" s="115">
        <v>21390</v>
      </c>
      <c r="B40" s="99" t="s">
        <v>59</v>
      </c>
      <c r="C40" s="100">
        <f t="shared" si="1"/>
        <v>1072</v>
      </c>
      <c r="D40" s="104" t="s">
        <v>47</v>
      </c>
      <c r="E40" s="110" t="s">
        <v>47</v>
      </c>
      <c r="F40" s="111" t="s">
        <v>47</v>
      </c>
      <c r="G40" s="104" t="s">
        <v>47</v>
      </c>
      <c r="H40" s="105" t="s">
        <v>47</v>
      </c>
      <c r="I40" s="106" t="s">
        <v>47</v>
      </c>
      <c r="J40" s="112">
        <f>SUM(J41:J44)</f>
        <v>1072</v>
      </c>
      <c r="K40" s="113">
        <f>SUM(K41:K44)</f>
        <v>0</v>
      </c>
      <c r="L40" s="114">
        <f t="shared" si="2"/>
        <v>1072</v>
      </c>
      <c r="M40" s="107" t="s">
        <v>47</v>
      </c>
      <c r="N40" s="108" t="s">
        <v>47</v>
      </c>
      <c r="O40" s="106" t="s">
        <v>47</v>
      </c>
      <c r="P40" s="109"/>
    </row>
    <row r="41" spans="1:16" ht="24" hidden="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row>
    <row r="42" spans="1:16" hidden="1" x14ac:dyDescent="0.25">
      <c r="A42" s="76">
        <v>21393</v>
      </c>
      <c r="B42" s="127" t="s">
        <v>61</v>
      </c>
      <c r="C42" s="128">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row>
    <row r="43" spans="1:16" hidden="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row>
    <row r="44" spans="1:16" ht="24" x14ac:dyDescent="0.25">
      <c r="A44" s="76">
        <v>21399</v>
      </c>
      <c r="B44" s="127" t="s">
        <v>63</v>
      </c>
      <c r="C44" s="128">
        <f t="shared" si="1"/>
        <v>1072</v>
      </c>
      <c r="D44" s="129" t="s">
        <v>47</v>
      </c>
      <c r="E44" s="130" t="s">
        <v>47</v>
      </c>
      <c r="F44" s="131" t="s">
        <v>47</v>
      </c>
      <c r="G44" s="129" t="s">
        <v>47</v>
      </c>
      <c r="H44" s="132" t="s">
        <v>47</v>
      </c>
      <c r="I44" s="133" t="s">
        <v>47</v>
      </c>
      <c r="J44" s="134">
        <v>1072</v>
      </c>
      <c r="K44" s="135"/>
      <c r="L44" s="136">
        <f t="shared" si="2"/>
        <v>1072</v>
      </c>
      <c r="M44" s="137" t="s">
        <v>47</v>
      </c>
      <c r="N44" s="138" t="s">
        <v>47</v>
      </c>
      <c r="O44" s="133" t="s">
        <v>47</v>
      </c>
      <c r="P44" s="85"/>
    </row>
    <row r="45" spans="1:16" s="41" customFormat="1" ht="24" hidden="1" x14ac:dyDescent="0.25">
      <c r="A45" s="115">
        <v>21420</v>
      </c>
      <c r="B45" s="99" t="s">
        <v>64</v>
      </c>
      <c r="C45" s="156">
        <f>F45</f>
        <v>0</v>
      </c>
      <c r="D45" s="157"/>
      <c r="E45" s="158"/>
      <c r="F45" s="103">
        <f>D45+E45</f>
        <v>0</v>
      </c>
      <c r="G45" s="104" t="s">
        <v>47</v>
      </c>
      <c r="H45" s="105" t="s">
        <v>47</v>
      </c>
      <c r="I45" s="106" t="s">
        <v>47</v>
      </c>
      <c r="J45" s="104" t="s">
        <v>47</v>
      </c>
      <c r="K45" s="105" t="s">
        <v>47</v>
      </c>
      <c r="L45" s="106" t="s">
        <v>47</v>
      </c>
      <c r="M45" s="107" t="s">
        <v>47</v>
      </c>
      <c r="N45" s="108" t="s">
        <v>47</v>
      </c>
      <c r="O45" s="106" t="s">
        <v>47</v>
      </c>
      <c r="P45" s="109"/>
    </row>
    <row r="46" spans="1:16" s="41" customFormat="1" ht="24" hidden="1" x14ac:dyDescent="0.25">
      <c r="A46" s="159">
        <v>21490</v>
      </c>
      <c r="B46" s="160" t="s">
        <v>65</v>
      </c>
      <c r="C46" s="156">
        <f>F46+I46+L46</f>
        <v>0</v>
      </c>
      <c r="D46" s="161">
        <f>D47</f>
        <v>0</v>
      </c>
      <c r="E46" s="162">
        <f>E47</f>
        <v>0</v>
      </c>
      <c r="F46" s="163">
        <f>D46+E46</f>
        <v>0</v>
      </c>
      <c r="G46" s="161">
        <f>G47</f>
        <v>0</v>
      </c>
      <c r="H46" s="164">
        <f t="shared" ref="H46:K46" si="3">H47</f>
        <v>0</v>
      </c>
      <c r="I46" s="165">
        <f>G46+H46</f>
        <v>0</v>
      </c>
      <c r="J46" s="161">
        <f>J47</f>
        <v>0</v>
      </c>
      <c r="K46" s="164">
        <f t="shared" si="3"/>
        <v>0</v>
      </c>
      <c r="L46" s="165">
        <f>J46+K46</f>
        <v>0</v>
      </c>
      <c r="M46" s="107" t="s">
        <v>47</v>
      </c>
      <c r="N46" s="108" t="s">
        <v>47</v>
      </c>
      <c r="O46" s="106" t="s">
        <v>47</v>
      </c>
      <c r="P46" s="109"/>
    </row>
    <row r="47" spans="1:16" s="41" customFormat="1" ht="24" hidden="1" x14ac:dyDescent="0.25">
      <c r="A47" s="76">
        <v>21499</v>
      </c>
      <c r="B47" s="127" t="s">
        <v>66</v>
      </c>
      <c r="C47" s="166">
        <f>F47+I47+L47</f>
        <v>0</v>
      </c>
      <c r="D47" s="68"/>
      <c r="E47" s="69"/>
      <c r="F47" s="70">
        <f>D47+E47</f>
        <v>0</v>
      </c>
      <c r="G47" s="167"/>
      <c r="H47" s="71"/>
      <c r="I47" s="72">
        <f>G47+H47</f>
        <v>0</v>
      </c>
      <c r="J47" s="68"/>
      <c r="K47" s="71"/>
      <c r="L47" s="72">
        <f>J47+K47</f>
        <v>0</v>
      </c>
      <c r="M47" s="152" t="s">
        <v>47</v>
      </c>
      <c r="N47" s="145" t="s">
        <v>47</v>
      </c>
      <c r="O47" s="148" t="s">
        <v>47</v>
      </c>
      <c r="P47" s="153"/>
    </row>
    <row r="48" spans="1:16" ht="24" hidden="1" x14ac:dyDescent="0.25">
      <c r="A48" s="168">
        <v>23000</v>
      </c>
      <c r="B48" s="169" t="s">
        <v>67</v>
      </c>
      <c r="C48" s="156">
        <f>O48</f>
        <v>0</v>
      </c>
      <c r="D48" s="170" t="s">
        <v>47</v>
      </c>
      <c r="E48" s="171" t="s">
        <v>47</v>
      </c>
      <c r="F48" s="172" t="s">
        <v>47</v>
      </c>
      <c r="G48" s="170" t="s">
        <v>47</v>
      </c>
      <c r="H48" s="173" t="s">
        <v>47</v>
      </c>
      <c r="I48" s="174" t="s">
        <v>47</v>
      </c>
      <c r="J48" s="170" t="s">
        <v>47</v>
      </c>
      <c r="K48" s="173" t="s">
        <v>47</v>
      </c>
      <c r="L48" s="174" t="s">
        <v>47</v>
      </c>
      <c r="M48" s="175">
        <f>SUM(M49:M50)</f>
        <v>0</v>
      </c>
      <c r="N48" s="176">
        <f>SUM(N49:N50)</f>
        <v>0</v>
      </c>
      <c r="O48" s="177">
        <f>M48+N48</f>
        <v>0</v>
      </c>
      <c r="P48" s="109"/>
    </row>
    <row r="49" spans="1:16" ht="24" hidden="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row>
    <row r="50" spans="1:16" ht="24" hidden="1" x14ac:dyDescent="0.25">
      <c r="A50" s="178">
        <v>23510</v>
      </c>
      <c r="B50" s="179" t="s">
        <v>69</v>
      </c>
      <c r="C50" s="180">
        <f>O50</f>
        <v>0</v>
      </c>
      <c r="D50" s="181" t="s">
        <v>47</v>
      </c>
      <c r="E50" s="182" t="s">
        <v>47</v>
      </c>
      <c r="F50" s="183" t="s">
        <v>47</v>
      </c>
      <c r="G50" s="181" t="s">
        <v>47</v>
      </c>
      <c r="H50" s="184" t="s">
        <v>47</v>
      </c>
      <c r="I50" s="185" t="s">
        <v>47</v>
      </c>
      <c r="J50" s="181" t="s">
        <v>47</v>
      </c>
      <c r="K50" s="184" t="s">
        <v>47</v>
      </c>
      <c r="L50" s="185" t="s">
        <v>47</v>
      </c>
      <c r="M50" s="186"/>
      <c r="N50" s="187"/>
      <c r="O50" s="188">
        <f>M50+N50</f>
        <v>0</v>
      </c>
      <c r="P50" s="189"/>
    </row>
    <row r="51" spans="1:16" x14ac:dyDescent="0.25">
      <c r="A51" s="190"/>
      <c r="B51" s="179"/>
      <c r="C51" s="191"/>
      <c r="D51" s="192"/>
      <c r="E51" s="193"/>
      <c r="F51" s="194"/>
      <c r="G51" s="192"/>
      <c r="H51" s="195"/>
      <c r="I51" s="185"/>
      <c r="J51" s="196"/>
      <c r="K51" s="197"/>
      <c r="L51" s="188"/>
      <c r="M51" s="186"/>
      <c r="N51" s="187"/>
      <c r="O51" s="188"/>
      <c r="P51" s="189"/>
    </row>
    <row r="52" spans="1:16" s="41" customFormat="1" x14ac:dyDescent="0.25">
      <c r="A52" s="198"/>
      <c r="B52" s="199" t="s">
        <v>70</v>
      </c>
      <c r="C52" s="200"/>
      <c r="D52" s="201"/>
      <c r="E52" s="202"/>
      <c r="F52" s="203"/>
      <c r="G52" s="201"/>
      <c r="H52" s="204"/>
      <c r="I52" s="205"/>
      <c r="J52" s="201"/>
      <c r="K52" s="204"/>
      <c r="L52" s="205"/>
      <c r="M52" s="206"/>
      <c r="N52" s="207"/>
      <c r="O52" s="205"/>
      <c r="P52" s="208"/>
    </row>
    <row r="53" spans="1:16" s="41" customFormat="1" ht="12.75" thickBot="1" x14ac:dyDescent="0.3">
      <c r="A53" s="209"/>
      <c r="B53" s="42" t="s">
        <v>71</v>
      </c>
      <c r="C53" s="210">
        <f t="shared" ref="C53:C116" si="4">F53+I53+L53+O53</f>
        <v>316731</v>
      </c>
      <c r="D53" s="211">
        <f>SUM(D54,D284)</f>
        <v>16254</v>
      </c>
      <c r="E53" s="212">
        <f>SUM(E54,E284)</f>
        <v>2822</v>
      </c>
      <c r="F53" s="213">
        <f t="shared" ref="F53:F117" si="5">D53+E53</f>
        <v>19076</v>
      </c>
      <c r="G53" s="211">
        <f>SUM(G54,G284)</f>
        <v>296413</v>
      </c>
      <c r="H53" s="214">
        <f>SUM(H54,H284)</f>
        <v>0</v>
      </c>
      <c r="I53" s="215">
        <f t="shared" ref="I53:I117" si="6">G53+H53</f>
        <v>296413</v>
      </c>
      <c r="J53" s="211">
        <f>SUM(J54,J284)</f>
        <v>1242</v>
      </c>
      <c r="K53" s="214">
        <f>SUM(K54,K284)</f>
        <v>0</v>
      </c>
      <c r="L53" s="215">
        <f t="shared" ref="L53:L117" si="7">J53+K53</f>
        <v>1242</v>
      </c>
      <c r="M53" s="216">
        <f>SUM(M54,M284)</f>
        <v>0</v>
      </c>
      <c r="N53" s="217">
        <f>SUM(N54,N284)</f>
        <v>0</v>
      </c>
      <c r="O53" s="215">
        <f t="shared" ref="O53:O117" si="8">M53+N53</f>
        <v>0</v>
      </c>
      <c r="P53" s="52"/>
    </row>
    <row r="54" spans="1:16" s="41" customFormat="1" ht="36.75" thickTop="1" x14ac:dyDescent="0.25">
      <c r="A54" s="218"/>
      <c r="B54" s="219" t="s">
        <v>72</v>
      </c>
      <c r="C54" s="220">
        <f t="shared" si="4"/>
        <v>316731</v>
      </c>
      <c r="D54" s="221">
        <f>SUM(D55,D197)</f>
        <v>16254</v>
      </c>
      <c r="E54" s="222">
        <f>SUM(E55,E197)</f>
        <v>2822</v>
      </c>
      <c r="F54" s="223">
        <f t="shared" si="5"/>
        <v>19076</v>
      </c>
      <c r="G54" s="221">
        <f>SUM(G55,G197)</f>
        <v>296413</v>
      </c>
      <c r="H54" s="224">
        <f>SUM(H55,H197)</f>
        <v>0</v>
      </c>
      <c r="I54" s="225">
        <f t="shared" si="6"/>
        <v>296413</v>
      </c>
      <c r="J54" s="221">
        <f>SUM(J55,J197)</f>
        <v>1242</v>
      </c>
      <c r="K54" s="224">
        <f>SUM(K55,K197)</f>
        <v>0</v>
      </c>
      <c r="L54" s="225">
        <f t="shared" si="7"/>
        <v>1242</v>
      </c>
      <c r="M54" s="226">
        <f>SUM(M55,M197)</f>
        <v>0</v>
      </c>
      <c r="N54" s="227">
        <f>SUM(N55,N197)</f>
        <v>0</v>
      </c>
      <c r="O54" s="225">
        <f t="shared" si="8"/>
        <v>0</v>
      </c>
      <c r="P54" s="228"/>
    </row>
    <row r="55" spans="1:16" s="41" customFormat="1" ht="24" x14ac:dyDescent="0.25">
      <c r="A55" s="35"/>
      <c r="B55" s="30" t="s">
        <v>73</v>
      </c>
      <c r="C55" s="229">
        <f t="shared" si="4"/>
        <v>312867</v>
      </c>
      <c r="D55" s="230">
        <f>SUM(D56,D78,D176,D190)</f>
        <v>16254</v>
      </c>
      <c r="E55" s="231">
        <f>SUM(E56,E78,E176,E190)</f>
        <v>2822</v>
      </c>
      <c r="F55" s="232">
        <f t="shared" si="5"/>
        <v>19076</v>
      </c>
      <c r="G55" s="230">
        <f>SUM(G56,G78,G176,G190)</f>
        <v>292549</v>
      </c>
      <c r="H55" s="233">
        <f>SUM(H56,H78,H176,H190)</f>
        <v>0</v>
      </c>
      <c r="I55" s="234">
        <f t="shared" si="6"/>
        <v>292549</v>
      </c>
      <c r="J55" s="230">
        <f>SUM(J56,J78,J176,J190)</f>
        <v>1242</v>
      </c>
      <c r="K55" s="233">
        <f>SUM(K56,K78,K176,K190)</f>
        <v>0</v>
      </c>
      <c r="L55" s="234">
        <f t="shared" si="7"/>
        <v>1242</v>
      </c>
      <c r="M55" s="53">
        <f>SUM(M56,M78,M176,M190)</f>
        <v>0</v>
      </c>
      <c r="N55" s="235">
        <f>SUM(N56,N78,N176,N190)</f>
        <v>0</v>
      </c>
      <c r="O55" s="234">
        <f t="shared" si="8"/>
        <v>0</v>
      </c>
      <c r="P55" s="236"/>
    </row>
    <row r="56" spans="1:16" s="41" customFormat="1" x14ac:dyDescent="0.25">
      <c r="A56" s="237">
        <v>1000</v>
      </c>
      <c r="B56" s="237" t="s">
        <v>74</v>
      </c>
      <c r="C56" s="238">
        <f t="shared" si="4"/>
        <v>271874</v>
      </c>
      <c r="D56" s="239">
        <f>SUM(D57,D70)</f>
        <v>16254</v>
      </c>
      <c r="E56" s="240">
        <f>SUM(E57,E70)</f>
        <v>2822</v>
      </c>
      <c r="F56" s="241">
        <f t="shared" si="5"/>
        <v>19076</v>
      </c>
      <c r="G56" s="239">
        <f>SUM(G57,G70)</f>
        <v>252321</v>
      </c>
      <c r="H56" s="242">
        <f>SUM(H57,H70)</f>
        <v>477</v>
      </c>
      <c r="I56" s="243">
        <f t="shared" si="6"/>
        <v>252798</v>
      </c>
      <c r="J56" s="239">
        <f>SUM(J57,J70)</f>
        <v>0</v>
      </c>
      <c r="K56" s="242">
        <f>SUM(K57,K70)</f>
        <v>0</v>
      </c>
      <c r="L56" s="243">
        <f t="shared" si="7"/>
        <v>0</v>
      </c>
      <c r="M56" s="244">
        <f>SUM(M57,M70)</f>
        <v>0</v>
      </c>
      <c r="N56" s="245">
        <f>SUM(N57,N70)</f>
        <v>0</v>
      </c>
      <c r="O56" s="243">
        <f t="shared" si="8"/>
        <v>0</v>
      </c>
      <c r="P56" s="246"/>
    </row>
    <row r="57" spans="1:16" x14ac:dyDescent="0.25">
      <c r="A57" s="99">
        <v>1100</v>
      </c>
      <c r="B57" s="247" t="s">
        <v>75</v>
      </c>
      <c r="C57" s="100">
        <f t="shared" si="4"/>
        <v>205201</v>
      </c>
      <c r="D57" s="112">
        <f>SUM(D58,D61,D69)</f>
        <v>2083</v>
      </c>
      <c r="E57" s="248">
        <f>SUM(E58,E61,E69)</f>
        <v>3144</v>
      </c>
      <c r="F57" s="249">
        <f t="shared" si="5"/>
        <v>5227</v>
      </c>
      <c r="G57" s="112">
        <f>SUM(G58,G61,G69)</f>
        <v>202484</v>
      </c>
      <c r="H57" s="113">
        <f>SUM(H58,H61,H69)</f>
        <v>-2510</v>
      </c>
      <c r="I57" s="114">
        <f t="shared" si="6"/>
        <v>199974</v>
      </c>
      <c r="J57" s="112">
        <f>SUM(J58,J61,J69)</f>
        <v>0</v>
      </c>
      <c r="K57" s="113">
        <f>SUM(K58,K61,K69)</f>
        <v>0</v>
      </c>
      <c r="L57" s="114">
        <f t="shared" si="7"/>
        <v>0</v>
      </c>
      <c r="M57" s="250">
        <f>SUM(M58,M61,M69)</f>
        <v>0</v>
      </c>
      <c r="N57" s="251">
        <f>SUM(N58,N61,N69)</f>
        <v>0</v>
      </c>
      <c r="O57" s="252">
        <f t="shared" si="8"/>
        <v>0</v>
      </c>
      <c r="P57" s="253"/>
    </row>
    <row r="58" spans="1:16" x14ac:dyDescent="0.25">
      <c r="A58" s="254">
        <v>1110</v>
      </c>
      <c r="B58" s="179" t="s">
        <v>76</v>
      </c>
      <c r="C58" s="191">
        <f t="shared" si="4"/>
        <v>173316</v>
      </c>
      <c r="D58" s="255">
        <f>SUM(D59:D60)</f>
        <v>0</v>
      </c>
      <c r="E58" s="256">
        <f>SUM(E59:E60)</f>
        <v>0</v>
      </c>
      <c r="F58" s="257">
        <f t="shared" si="5"/>
        <v>0</v>
      </c>
      <c r="G58" s="255">
        <f>SUM(G59:G60)</f>
        <v>171534</v>
      </c>
      <c r="H58" s="258">
        <f>SUM(H59:H60)</f>
        <v>1782</v>
      </c>
      <c r="I58" s="259">
        <f t="shared" si="6"/>
        <v>173316</v>
      </c>
      <c r="J58" s="255">
        <f>SUM(J59:J60)</f>
        <v>0</v>
      </c>
      <c r="K58" s="258">
        <f>SUM(K59:K60)</f>
        <v>0</v>
      </c>
      <c r="L58" s="259">
        <f t="shared" si="7"/>
        <v>0</v>
      </c>
      <c r="M58" s="260">
        <f>SUM(M59:M60)</f>
        <v>0</v>
      </c>
      <c r="N58" s="261">
        <f>SUM(N59:N60)</f>
        <v>0</v>
      </c>
      <c r="O58" s="259">
        <f t="shared" si="8"/>
        <v>0</v>
      </c>
      <c r="P58" s="189"/>
    </row>
    <row r="59" spans="1:16" hidden="1" x14ac:dyDescent="0.25">
      <c r="A59" s="66">
        <v>1111</v>
      </c>
      <c r="B59" s="116" t="s">
        <v>77</v>
      </c>
      <c r="C59" s="117">
        <f t="shared" si="4"/>
        <v>0</v>
      </c>
      <c r="D59" s="123"/>
      <c r="E59" s="262"/>
      <c r="F59" s="263">
        <f t="shared" si="5"/>
        <v>0</v>
      </c>
      <c r="G59" s="123"/>
      <c r="H59" s="124"/>
      <c r="I59" s="125">
        <f t="shared" si="6"/>
        <v>0</v>
      </c>
      <c r="J59" s="123"/>
      <c r="K59" s="124"/>
      <c r="L59" s="125">
        <f t="shared" si="7"/>
        <v>0</v>
      </c>
      <c r="M59" s="264"/>
      <c r="N59" s="262"/>
      <c r="O59" s="125">
        <f t="shared" si="8"/>
        <v>0</v>
      </c>
      <c r="P59" s="74"/>
    </row>
    <row r="60" spans="1:16" ht="24" x14ac:dyDescent="0.25">
      <c r="A60" s="76">
        <v>1119</v>
      </c>
      <c r="B60" s="127" t="s">
        <v>78</v>
      </c>
      <c r="C60" s="128">
        <f t="shared" si="4"/>
        <v>173316</v>
      </c>
      <c r="D60" s="134"/>
      <c r="E60" s="283"/>
      <c r="F60" s="279">
        <f t="shared" si="5"/>
        <v>0</v>
      </c>
      <c r="G60" s="134">
        <v>171534</v>
      </c>
      <c r="H60" s="135">
        <f>1301+481</f>
        <v>1782</v>
      </c>
      <c r="I60" s="136">
        <f t="shared" si="6"/>
        <v>173316</v>
      </c>
      <c r="J60" s="134"/>
      <c r="K60" s="135"/>
      <c r="L60" s="136">
        <f t="shared" si="7"/>
        <v>0</v>
      </c>
      <c r="M60" s="284"/>
      <c r="N60" s="285"/>
      <c r="O60" s="136">
        <f t="shared" si="8"/>
        <v>0</v>
      </c>
      <c r="P60" s="85" t="s">
        <v>1061</v>
      </c>
    </row>
    <row r="61" spans="1:16" ht="24" x14ac:dyDescent="0.25">
      <c r="A61" s="276">
        <v>1140</v>
      </c>
      <c r="B61" s="127" t="s">
        <v>79</v>
      </c>
      <c r="C61" s="128">
        <f t="shared" si="4"/>
        <v>31885</v>
      </c>
      <c r="D61" s="277">
        <f>SUM(D62:D68)</f>
        <v>2083</v>
      </c>
      <c r="E61" s="278">
        <f>SUM(E62:E68)</f>
        <v>3144</v>
      </c>
      <c r="F61" s="279">
        <f>D61+E61</f>
        <v>5227</v>
      </c>
      <c r="G61" s="277">
        <f>SUM(G62:G68)</f>
        <v>30950</v>
      </c>
      <c r="H61" s="280">
        <f>SUM(H62:H68)</f>
        <v>-4292</v>
      </c>
      <c r="I61" s="136">
        <f t="shared" si="6"/>
        <v>26658</v>
      </c>
      <c r="J61" s="277">
        <f>SUM(J62:J68)</f>
        <v>0</v>
      </c>
      <c r="K61" s="280">
        <f>SUM(K62:K68)</f>
        <v>0</v>
      </c>
      <c r="L61" s="136">
        <f t="shared" si="7"/>
        <v>0</v>
      </c>
      <c r="M61" s="281">
        <f>SUM(M62:M68)</f>
        <v>0</v>
      </c>
      <c r="N61" s="282">
        <f>SUM(N62:N68)</f>
        <v>0</v>
      </c>
      <c r="O61" s="136">
        <f t="shared" si="8"/>
        <v>0</v>
      </c>
      <c r="P61" s="85"/>
    </row>
    <row r="62" spans="1:16" ht="24" x14ac:dyDescent="0.25">
      <c r="A62" s="76">
        <v>1141</v>
      </c>
      <c r="B62" s="127" t="s">
        <v>80</v>
      </c>
      <c r="C62" s="128">
        <f t="shared" si="4"/>
        <v>3172</v>
      </c>
      <c r="D62" s="134"/>
      <c r="E62" s="283"/>
      <c r="F62" s="279">
        <f t="shared" si="5"/>
        <v>0</v>
      </c>
      <c r="G62" s="134">
        <v>3088</v>
      </c>
      <c r="H62" s="135">
        <v>84</v>
      </c>
      <c r="I62" s="136">
        <f t="shared" si="6"/>
        <v>3172</v>
      </c>
      <c r="J62" s="134"/>
      <c r="K62" s="135"/>
      <c r="L62" s="136">
        <f t="shared" si="7"/>
        <v>0</v>
      </c>
      <c r="M62" s="284"/>
      <c r="N62" s="285"/>
      <c r="O62" s="136">
        <f t="shared" si="8"/>
        <v>0</v>
      </c>
      <c r="P62" s="85" t="s">
        <v>1062</v>
      </c>
    </row>
    <row r="63" spans="1:16" ht="24" x14ac:dyDescent="0.25">
      <c r="A63" s="76">
        <v>1142</v>
      </c>
      <c r="B63" s="127" t="s">
        <v>81</v>
      </c>
      <c r="C63" s="128">
        <f t="shared" si="4"/>
        <v>802</v>
      </c>
      <c r="D63" s="134"/>
      <c r="E63" s="283"/>
      <c r="F63" s="279">
        <f t="shared" si="5"/>
        <v>0</v>
      </c>
      <c r="G63" s="134">
        <v>1020</v>
      </c>
      <c r="H63" s="135">
        <v>-218</v>
      </c>
      <c r="I63" s="136">
        <f t="shared" si="6"/>
        <v>802</v>
      </c>
      <c r="J63" s="134"/>
      <c r="K63" s="135"/>
      <c r="L63" s="136">
        <f t="shared" si="7"/>
        <v>0</v>
      </c>
      <c r="M63" s="284"/>
      <c r="N63" s="285"/>
      <c r="O63" s="136">
        <f t="shared" si="8"/>
        <v>0</v>
      </c>
      <c r="P63" s="85" t="s">
        <v>550</v>
      </c>
    </row>
    <row r="64" spans="1:16" ht="24" x14ac:dyDescent="0.25">
      <c r="A64" s="76">
        <v>1145</v>
      </c>
      <c r="B64" s="127" t="s">
        <v>82</v>
      </c>
      <c r="C64" s="128">
        <f t="shared" si="4"/>
        <v>12359</v>
      </c>
      <c r="D64" s="134"/>
      <c r="E64" s="283"/>
      <c r="F64" s="279">
        <f t="shared" si="5"/>
        <v>0</v>
      </c>
      <c r="G64" s="134">
        <v>16138</v>
      </c>
      <c r="H64" s="135">
        <v>-3779</v>
      </c>
      <c r="I64" s="136">
        <f t="shared" si="6"/>
        <v>12359</v>
      </c>
      <c r="J64" s="134"/>
      <c r="K64" s="135"/>
      <c r="L64" s="136">
        <f t="shared" si="7"/>
        <v>0</v>
      </c>
      <c r="M64" s="284"/>
      <c r="N64" s="285"/>
      <c r="O64" s="136">
        <f t="shared" si="8"/>
        <v>0</v>
      </c>
      <c r="P64" s="85" t="s">
        <v>550</v>
      </c>
    </row>
    <row r="65" spans="1:16" ht="24" hidden="1" x14ac:dyDescent="0.25">
      <c r="A65" s="76">
        <v>1146</v>
      </c>
      <c r="B65" s="127" t="s">
        <v>83</v>
      </c>
      <c r="C65" s="128">
        <f t="shared" si="4"/>
        <v>0</v>
      </c>
      <c r="D65" s="134"/>
      <c r="E65" s="285"/>
      <c r="F65" s="286">
        <f t="shared" si="5"/>
        <v>0</v>
      </c>
      <c r="G65" s="134"/>
      <c r="H65" s="135"/>
      <c r="I65" s="136">
        <f t="shared" si="6"/>
        <v>0</v>
      </c>
      <c r="J65" s="134"/>
      <c r="K65" s="135"/>
      <c r="L65" s="136">
        <f t="shared" si="7"/>
        <v>0</v>
      </c>
      <c r="M65" s="284"/>
      <c r="N65" s="285"/>
      <c r="O65" s="136">
        <f t="shared" si="8"/>
        <v>0</v>
      </c>
      <c r="P65" s="85"/>
    </row>
    <row r="66" spans="1:16" x14ac:dyDescent="0.25">
      <c r="A66" s="76">
        <v>1147</v>
      </c>
      <c r="B66" s="127" t="s">
        <v>84</v>
      </c>
      <c r="C66" s="128">
        <f t="shared" si="4"/>
        <v>2435</v>
      </c>
      <c r="D66" s="134"/>
      <c r="E66" s="283"/>
      <c r="F66" s="279">
        <f t="shared" si="5"/>
        <v>0</v>
      </c>
      <c r="G66" s="134">
        <v>4441</v>
      </c>
      <c r="H66" s="135">
        <v>-2006</v>
      </c>
      <c r="I66" s="136">
        <f t="shared" si="6"/>
        <v>2435</v>
      </c>
      <c r="J66" s="134"/>
      <c r="K66" s="135"/>
      <c r="L66" s="136">
        <f t="shared" si="7"/>
        <v>0</v>
      </c>
      <c r="M66" s="284"/>
      <c r="N66" s="285"/>
      <c r="O66" s="136">
        <f t="shared" si="8"/>
        <v>0</v>
      </c>
      <c r="P66" s="85" t="s">
        <v>550</v>
      </c>
    </row>
    <row r="67" spans="1:16" ht="36" x14ac:dyDescent="0.25">
      <c r="A67" s="76">
        <v>1148</v>
      </c>
      <c r="B67" s="127" t="s">
        <v>85</v>
      </c>
      <c r="C67" s="128">
        <f t="shared" si="4"/>
        <v>10004</v>
      </c>
      <c r="D67" s="134">
        <v>2083</v>
      </c>
      <c r="E67" s="283">
        <f>1064+2080</f>
        <v>3144</v>
      </c>
      <c r="F67" s="279">
        <f t="shared" si="5"/>
        <v>5227</v>
      </c>
      <c r="G67" s="134">
        <v>3474</v>
      </c>
      <c r="H67" s="135">
        <v>1303</v>
      </c>
      <c r="I67" s="136">
        <f t="shared" si="6"/>
        <v>4777</v>
      </c>
      <c r="J67" s="134"/>
      <c r="K67" s="135"/>
      <c r="L67" s="136">
        <f t="shared" si="7"/>
        <v>0</v>
      </c>
      <c r="M67" s="284"/>
      <c r="N67" s="285"/>
      <c r="O67" s="136">
        <f t="shared" si="8"/>
        <v>0</v>
      </c>
      <c r="P67" s="85" t="s">
        <v>1063</v>
      </c>
    </row>
    <row r="68" spans="1:16" ht="36" x14ac:dyDescent="0.25">
      <c r="A68" s="76">
        <v>1149</v>
      </c>
      <c r="B68" s="127" t="s">
        <v>86</v>
      </c>
      <c r="C68" s="128">
        <f t="shared" si="4"/>
        <v>3113</v>
      </c>
      <c r="D68" s="134"/>
      <c r="E68" s="283"/>
      <c r="F68" s="279">
        <f t="shared" si="5"/>
        <v>0</v>
      </c>
      <c r="G68" s="134">
        <v>2789</v>
      </c>
      <c r="H68" s="135">
        <v>324</v>
      </c>
      <c r="I68" s="136">
        <f t="shared" si="6"/>
        <v>3113</v>
      </c>
      <c r="J68" s="134"/>
      <c r="K68" s="135"/>
      <c r="L68" s="136">
        <f t="shared" si="7"/>
        <v>0</v>
      </c>
      <c r="M68" s="284"/>
      <c r="N68" s="285"/>
      <c r="O68" s="136">
        <f t="shared" si="8"/>
        <v>0</v>
      </c>
      <c r="P68" s="85" t="s">
        <v>1064</v>
      </c>
    </row>
    <row r="69" spans="1:16" ht="36" hidden="1" x14ac:dyDescent="0.25">
      <c r="A69" s="254">
        <v>1150</v>
      </c>
      <c r="B69" s="179" t="s">
        <v>87</v>
      </c>
      <c r="C69" s="128">
        <f t="shared" si="4"/>
        <v>0</v>
      </c>
      <c r="D69" s="287"/>
      <c r="E69" s="291"/>
      <c r="F69" s="310">
        <f t="shared" si="5"/>
        <v>0</v>
      </c>
      <c r="G69" s="287"/>
      <c r="H69" s="289"/>
      <c r="I69" s="259">
        <f t="shared" si="6"/>
        <v>0</v>
      </c>
      <c r="J69" s="287"/>
      <c r="K69" s="289"/>
      <c r="L69" s="259">
        <f t="shared" si="7"/>
        <v>0</v>
      </c>
      <c r="M69" s="290"/>
      <c r="N69" s="291"/>
      <c r="O69" s="259">
        <f t="shared" si="8"/>
        <v>0</v>
      </c>
      <c r="P69" s="189"/>
    </row>
    <row r="70" spans="1:16" ht="36" x14ac:dyDescent="0.25">
      <c r="A70" s="99">
        <v>1200</v>
      </c>
      <c r="B70" s="247" t="s">
        <v>88</v>
      </c>
      <c r="C70" s="100">
        <f t="shared" si="4"/>
        <v>66673</v>
      </c>
      <c r="D70" s="112">
        <f>SUM(D71:D72)</f>
        <v>14171</v>
      </c>
      <c r="E70" s="248">
        <f>SUM(E71:E72)</f>
        <v>-322</v>
      </c>
      <c r="F70" s="249">
        <f>D70+E70</f>
        <v>13849</v>
      </c>
      <c r="G70" s="112">
        <f>SUM(G71:G72)</f>
        <v>49837</v>
      </c>
      <c r="H70" s="113">
        <f>SUM(H71:H72)</f>
        <v>2987</v>
      </c>
      <c r="I70" s="114">
        <f t="shared" si="6"/>
        <v>52824</v>
      </c>
      <c r="J70" s="112">
        <f>SUM(J71:J72)</f>
        <v>0</v>
      </c>
      <c r="K70" s="113">
        <f>SUM(K71:K72)</f>
        <v>0</v>
      </c>
      <c r="L70" s="114">
        <f t="shared" si="7"/>
        <v>0</v>
      </c>
      <c r="M70" s="292">
        <f>SUM(M71:M72)</f>
        <v>0</v>
      </c>
      <c r="N70" s="293">
        <f>SUM(N71:N72)</f>
        <v>0</v>
      </c>
      <c r="O70" s="114">
        <f t="shared" si="8"/>
        <v>0</v>
      </c>
      <c r="P70" s="109"/>
    </row>
    <row r="71" spans="1:16" ht="36" x14ac:dyDescent="0.25">
      <c r="A71" s="656">
        <v>1210</v>
      </c>
      <c r="B71" s="116" t="s">
        <v>89</v>
      </c>
      <c r="C71" s="117">
        <f t="shared" si="4"/>
        <v>55814</v>
      </c>
      <c r="D71" s="123">
        <v>2861</v>
      </c>
      <c r="E71" s="295">
        <v>742</v>
      </c>
      <c r="F71" s="296">
        <f t="shared" si="5"/>
        <v>3603</v>
      </c>
      <c r="G71" s="123">
        <v>47779</v>
      </c>
      <c r="H71" s="124">
        <f>4436-4</f>
        <v>4432</v>
      </c>
      <c r="I71" s="125">
        <f t="shared" si="6"/>
        <v>52211</v>
      </c>
      <c r="J71" s="123"/>
      <c r="K71" s="124"/>
      <c r="L71" s="125">
        <f t="shared" si="7"/>
        <v>0</v>
      </c>
      <c r="M71" s="264"/>
      <c r="N71" s="262"/>
      <c r="O71" s="125">
        <f t="shared" si="8"/>
        <v>0</v>
      </c>
      <c r="P71" s="85" t="s">
        <v>1065</v>
      </c>
    </row>
    <row r="72" spans="1:16" ht="24" x14ac:dyDescent="0.25">
      <c r="A72" s="276">
        <v>1220</v>
      </c>
      <c r="B72" s="127" t="s">
        <v>90</v>
      </c>
      <c r="C72" s="128">
        <f t="shared" si="4"/>
        <v>10859</v>
      </c>
      <c r="D72" s="277">
        <f>SUM(D73:D77)</f>
        <v>11310</v>
      </c>
      <c r="E72" s="278">
        <f>SUM(E73:E77)</f>
        <v>-1064</v>
      </c>
      <c r="F72" s="279">
        <f t="shared" si="5"/>
        <v>10246</v>
      </c>
      <c r="G72" s="277">
        <f>SUM(G73:G77)</f>
        <v>2058</v>
      </c>
      <c r="H72" s="280">
        <f>SUM(H73:H77)</f>
        <v>-1445</v>
      </c>
      <c r="I72" s="136">
        <f t="shared" si="6"/>
        <v>613</v>
      </c>
      <c r="J72" s="277">
        <f>SUM(J73:J77)</f>
        <v>0</v>
      </c>
      <c r="K72" s="280">
        <f>SUM(K73:K77)</f>
        <v>0</v>
      </c>
      <c r="L72" s="136">
        <f t="shared" si="7"/>
        <v>0</v>
      </c>
      <c r="M72" s="281">
        <f>SUM(M73:M77)</f>
        <v>0</v>
      </c>
      <c r="N72" s="282">
        <f>SUM(N73:N77)</f>
        <v>0</v>
      </c>
      <c r="O72" s="136">
        <f t="shared" si="8"/>
        <v>0</v>
      </c>
      <c r="P72" s="85"/>
    </row>
    <row r="73" spans="1:16" ht="60" x14ac:dyDescent="0.25">
      <c r="A73" s="76">
        <v>1221</v>
      </c>
      <c r="B73" s="127" t="s">
        <v>91</v>
      </c>
      <c r="C73" s="128">
        <f t="shared" si="4"/>
        <v>6039</v>
      </c>
      <c r="D73" s="134">
        <v>6276</v>
      </c>
      <c r="E73" s="283">
        <v>-850</v>
      </c>
      <c r="F73" s="279">
        <f t="shared" si="5"/>
        <v>5426</v>
      </c>
      <c r="G73" s="134">
        <v>2058</v>
      </c>
      <c r="H73" s="135">
        <v>-1445</v>
      </c>
      <c r="I73" s="136">
        <f t="shared" si="6"/>
        <v>613</v>
      </c>
      <c r="J73" s="134"/>
      <c r="K73" s="135"/>
      <c r="L73" s="136">
        <f t="shared" si="7"/>
        <v>0</v>
      </c>
      <c r="M73" s="284"/>
      <c r="N73" s="285"/>
      <c r="O73" s="136">
        <f t="shared" si="8"/>
        <v>0</v>
      </c>
      <c r="P73" s="85" t="s">
        <v>550</v>
      </c>
    </row>
    <row r="74" spans="1:16" hidden="1" x14ac:dyDescent="0.25">
      <c r="A74" s="76">
        <v>1223</v>
      </c>
      <c r="B74" s="127" t="s">
        <v>92</v>
      </c>
      <c r="C74" s="128">
        <f t="shared" si="4"/>
        <v>0</v>
      </c>
      <c r="D74" s="134"/>
      <c r="E74" s="285"/>
      <c r="F74" s="286">
        <f t="shared" si="5"/>
        <v>0</v>
      </c>
      <c r="G74" s="134"/>
      <c r="H74" s="135"/>
      <c r="I74" s="136">
        <f t="shared" si="6"/>
        <v>0</v>
      </c>
      <c r="J74" s="134"/>
      <c r="K74" s="135"/>
      <c r="L74" s="136">
        <f t="shared" si="7"/>
        <v>0</v>
      </c>
      <c r="M74" s="284"/>
      <c r="N74" s="285"/>
      <c r="O74" s="136">
        <f t="shared" si="8"/>
        <v>0</v>
      </c>
      <c r="P74" s="85"/>
    </row>
    <row r="75" spans="1:16" hidden="1" x14ac:dyDescent="0.25">
      <c r="A75" s="76">
        <v>1225</v>
      </c>
      <c r="B75" s="127" t="s">
        <v>93</v>
      </c>
      <c r="C75" s="128">
        <f t="shared" si="4"/>
        <v>0</v>
      </c>
      <c r="D75" s="134"/>
      <c r="E75" s="285"/>
      <c r="F75" s="286">
        <f t="shared" si="5"/>
        <v>0</v>
      </c>
      <c r="G75" s="134"/>
      <c r="H75" s="135"/>
      <c r="I75" s="136">
        <f t="shared" si="6"/>
        <v>0</v>
      </c>
      <c r="J75" s="134"/>
      <c r="K75" s="135"/>
      <c r="L75" s="136">
        <f t="shared" si="7"/>
        <v>0</v>
      </c>
      <c r="M75" s="284"/>
      <c r="N75" s="285"/>
      <c r="O75" s="136">
        <f t="shared" si="8"/>
        <v>0</v>
      </c>
      <c r="P75" s="85"/>
    </row>
    <row r="76" spans="1:16" ht="36" x14ac:dyDescent="0.25">
      <c r="A76" s="265">
        <v>1227</v>
      </c>
      <c r="B76" s="266" t="s">
        <v>94</v>
      </c>
      <c r="C76" s="267">
        <f>F76+I76+L76+O76</f>
        <v>4606</v>
      </c>
      <c r="D76" s="268">
        <v>4606</v>
      </c>
      <c r="E76" s="269"/>
      <c r="F76" s="270">
        <f>D76+E76</f>
        <v>4606</v>
      </c>
      <c r="G76" s="268"/>
      <c r="H76" s="271"/>
      <c r="I76" s="272">
        <f>G76+H76</f>
        <v>0</v>
      </c>
      <c r="J76" s="268"/>
      <c r="K76" s="271"/>
      <c r="L76" s="272">
        <f>J76+K76</f>
        <v>0</v>
      </c>
      <c r="M76" s="273"/>
      <c r="N76" s="274"/>
      <c r="O76" s="272">
        <f>M76+N76</f>
        <v>0</v>
      </c>
      <c r="P76" s="275"/>
    </row>
    <row r="77" spans="1:16" ht="60" x14ac:dyDescent="0.25">
      <c r="A77" s="76">
        <v>1228</v>
      </c>
      <c r="B77" s="127" t="s">
        <v>95</v>
      </c>
      <c r="C77" s="128">
        <f t="shared" si="4"/>
        <v>214</v>
      </c>
      <c r="D77" s="134">
        <v>428</v>
      </c>
      <c r="E77" s="283">
        <v>-214</v>
      </c>
      <c r="F77" s="279">
        <f t="shared" si="5"/>
        <v>214</v>
      </c>
      <c r="G77" s="134"/>
      <c r="H77" s="135"/>
      <c r="I77" s="136">
        <f t="shared" si="6"/>
        <v>0</v>
      </c>
      <c r="J77" s="134"/>
      <c r="K77" s="135"/>
      <c r="L77" s="136">
        <f t="shared" si="7"/>
        <v>0</v>
      </c>
      <c r="M77" s="284"/>
      <c r="N77" s="285"/>
      <c r="O77" s="136">
        <f t="shared" si="8"/>
        <v>0</v>
      </c>
      <c r="P77" s="85" t="s">
        <v>550</v>
      </c>
    </row>
    <row r="78" spans="1:16" x14ac:dyDescent="0.25">
      <c r="A78" s="237">
        <v>2000</v>
      </c>
      <c r="B78" s="237" t="s">
        <v>96</v>
      </c>
      <c r="C78" s="238">
        <f t="shared" si="4"/>
        <v>40993</v>
      </c>
      <c r="D78" s="239">
        <f>SUM(D79,D86,D133,D167,D168,D175)</f>
        <v>0</v>
      </c>
      <c r="E78" s="240">
        <f>SUM(E79,E86,E133,E167,E168,E175)</f>
        <v>0</v>
      </c>
      <c r="F78" s="241">
        <f t="shared" si="5"/>
        <v>0</v>
      </c>
      <c r="G78" s="239">
        <f>SUM(G79,G86,G133,G167,G168,G175)</f>
        <v>40228</v>
      </c>
      <c r="H78" s="242">
        <f>SUM(H79,H86,H133,H167,H168,H175)</f>
        <v>-477</v>
      </c>
      <c r="I78" s="243">
        <f t="shared" si="6"/>
        <v>39751</v>
      </c>
      <c r="J78" s="239">
        <f>SUM(J79,J86,J133,J167,J168,J175)</f>
        <v>1242</v>
      </c>
      <c r="K78" s="242">
        <f>SUM(K79,K86,K133,K167,K168,K175)</f>
        <v>0</v>
      </c>
      <c r="L78" s="243">
        <f t="shared" si="7"/>
        <v>1242</v>
      </c>
      <c r="M78" s="244">
        <f>SUM(M79,M86,M133,M167,M168,M175)</f>
        <v>0</v>
      </c>
      <c r="N78" s="245">
        <f>SUM(N79,N86,N133,N167,N168,N175)</f>
        <v>0</v>
      </c>
      <c r="O78" s="243">
        <f t="shared" si="8"/>
        <v>0</v>
      </c>
      <c r="P78" s="246"/>
    </row>
    <row r="79" spans="1:16" ht="24" x14ac:dyDescent="0.25">
      <c r="A79" s="99">
        <v>2100</v>
      </c>
      <c r="B79" s="247" t="s">
        <v>97</v>
      </c>
      <c r="C79" s="100">
        <f t="shared" si="4"/>
        <v>80</v>
      </c>
      <c r="D79" s="112">
        <f>SUM(D80,D83)</f>
        <v>0</v>
      </c>
      <c r="E79" s="248">
        <f>SUM(E80,E83)</f>
        <v>0</v>
      </c>
      <c r="F79" s="249">
        <f t="shared" si="5"/>
        <v>0</v>
      </c>
      <c r="G79" s="112">
        <f>SUM(G80,G83)</f>
        <v>80</v>
      </c>
      <c r="H79" s="113">
        <f>SUM(H80,H83)</f>
        <v>0</v>
      </c>
      <c r="I79" s="114">
        <f t="shared" si="6"/>
        <v>80</v>
      </c>
      <c r="J79" s="112">
        <f>SUM(J80,J83)</f>
        <v>0</v>
      </c>
      <c r="K79" s="113">
        <f>SUM(K80,K83)</f>
        <v>0</v>
      </c>
      <c r="L79" s="114">
        <f t="shared" si="7"/>
        <v>0</v>
      </c>
      <c r="M79" s="292">
        <f>SUM(M80,M83)</f>
        <v>0</v>
      </c>
      <c r="N79" s="293">
        <f>SUM(N80,N83)</f>
        <v>0</v>
      </c>
      <c r="O79" s="114">
        <f t="shared" si="8"/>
        <v>0</v>
      </c>
      <c r="P79" s="109"/>
    </row>
    <row r="80" spans="1:16" ht="24" x14ac:dyDescent="0.25">
      <c r="A80" s="656">
        <v>2110</v>
      </c>
      <c r="B80" s="116" t="s">
        <v>98</v>
      </c>
      <c r="C80" s="117">
        <f t="shared" si="4"/>
        <v>80</v>
      </c>
      <c r="D80" s="297">
        <f>SUM(D81:D82)</f>
        <v>0</v>
      </c>
      <c r="E80" s="298">
        <f>SUM(E81:E82)</f>
        <v>0</v>
      </c>
      <c r="F80" s="296">
        <f t="shared" si="5"/>
        <v>0</v>
      </c>
      <c r="G80" s="297">
        <f>SUM(G81:G82)</f>
        <v>80</v>
      </c>
      <c r="H80" s="299">
        <f>SUM(H81:H82)</f>
        <v>0</v>
      </c>
      <c r="I80" s="125">
        <f t="shared" si="6"/>
        <v>80</v>
      </c>
      <c r="J80" s="297">
        <f>SUM(J81:J82)</f>
        <v>0</v>
      </c>
      <c r="K80" s="299">
        <f>SUM(K81:K82)</f>
        <v>0</v>
      </c>
      <c r="L80" s="125">
        <f t="shared" si="7"/>
        <v>0</v>
      </c>
      <c r="M80" s="300">
        <f>SUM(M81:M82)</f>
        <v>0</v>
      </c>
      <c r="N80" s="301">
        <f>SUM(N81:N82)</f>
        <v>0</v>
      </c>
      <c r="O80" s="125">
        <f t="shared" si="8"/>
        <v>0</v>
      </c>
      <c r="P80" s="74"/>
    </row>
    <row r="81" spans="1:16" hidden="1" x14ac:dyDescent="0.25">
      <c r="A81" s="76">
        <v>2111</v>
      </c>
      <c r="B81" s="127" t="s">
        <v>99</v>
      </c>
      <c r="C81" s="128">
        <f t="shared" si="4"/>
        <v>0</v>
      </c>
      <c r="D81" s="134"/>
      <c r="E81" s="285"/>
      <c r="F81" s="286">
        <f t="shared" si="5"/>
        <v>0</v>
      </c>
      <c r="G81" s="134"/>
      <c r="H81" s="135"/>
      <c r="I81" s="136">
        <f t="shared" si="6"/>
        <v>0</v>
      </c>
      <c r="J81" s="134"/>
      <c r="K81" s="135"/>
      <c r="L81" s="136">
        <f t="shared" si="7"/>
        <v>0</v>
      </c>
      <c r="M81" s="284"/>
      <c r="N81" s="285"/>
      <c r="O81" s="136">
        <f t="shared" si="8"/>
        <v>0</v>
      </c>
      <c r="P81" s="85"/>
    </row>
    <row r="82" spans="1:16" ht="24" x14ac:dyDescent="0.25">
      <c r="A82" s="76">
        <v>2112</v>
      </c>
      <c r="B82" s="127" t="s">
        <v>100</v>
      </c>
      <c r="C82" s="128">
        <f t="shared" si="4"/>
        <v>80</v>
      </c>
      <c r="D82" s="134"/>
      <c r="E82" s="283"/>
      <c r="F82" s="279">
        <f t="shared" si="5"/>
        <v>0</v>
      </c>
      <c r="G82" s="134">
        <v>80</v>
      </c>
      <c r="H82" s="135"/>
      <c r="I82" s="136">
        <f t="shared" si="6"/>
        <v>80</v>
      </c>
      <c r="J82" s="134"/>
      <c r="K82" s="135"/>
      <c r="L82" s="136">
        <f t="shared" si="7"/>
        <v>0</v>
      </c>
      <c r="M82" s="284"/>
      <c r="N82" s="285"/>
      <c r="O82" s="136">
        <f t="shared" si="8"/>
        <v>0</v>
      </c>
      <c r="P82" s="85"/>
    </row>
    <row r="83" spans="1:16" ht="24" hidden="1" x14ac:dyDescent="0.25">
      <c r="A83" s="276">
        <v>2120</v>
      </c>
      <c r="B83" s="127" t="s">
        <v>101</v>
      </c>
      <c r="C83" s="128">
        <f t="shared" si="4"/>
        <v>0</v>
      </c>
      <c r="D83" s="277">
        <f>SUM(D84:D85)</f>
        <v>0</v>
      </c>
      <c r="E83" s="282">
        <f>SUM(E84:E85)</f>
        <v>0</v>
      </c>
      <c r="F83" s="28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row>
    <row r="84" spans="1:16" hidden="1" x14ac:dyDescent="0.25">
      <c r="A84" s="76">
        <v>2121</v>
      </c>
      <c r="B84" s="127" t="s">
        <v>99</v>
      </c>
      <c r="C84" s="128">
        <f t="shared" si="4"/>
        <v>0</v>
      </c>
      <c r="D84" s="134"/>
      <c r="E84" s="285"/>
      <c r="F84" s="286">
        <f t="shared" si="5"/>
        <v>0</v>
      </c>
      <c r="G84" s="134"/>
      <c r="H84" s="135"/>
      <c r="I84" s="136">
        <f t="shared" si="6"/>
        <v>0</v>
      </c>
      <c r="J84" s="134"/>
      <c r="K84" s="135"/>
      <c r="L84" s="136">
        <f t="shared" si="7"/>
        <v>0</v>
      </c>
      <c r="M84" s="284"/>
      <c r="N84" s="285"/>
      <c r="O84" s="136">
        <f t="shared" si="8"/>
        <v>0</v>
      </c>
      <c r="P84" s="85"/>
    </row>
    <row r="85" spans="1:16" ht="24" hidden="1" x14ac:dyDescent="0.25">
      <c r="A85" s="76">
        <v>2122</v>
      </c>
      <c r="B85" s="127" t="s">
        <v>100</v>
      </c>
      <c r="C85" s="128">
        <f t="shared" si="4"/>
        <v>0</v>
      </c>
      <c r="D85" s="134"/>
      <c r="E85" s="285"/>
      <c r="F85" s="286">
        <f t="shared" si="5"/>
        <v>0</v>
      </c>
      <c r="G85" s="134"/>
      <c r="H85" s="135"/>
      <c r="I85" s="136">
        <f t="shared" si="6"/>
        <v>0</v>
      </c>
      <c r="J85" s="134"/>
      <c r="K85" s="135"/>
      <c r="L85" s="136">
        <f t="shared" si="7"/>
        <v>0</v>
      </c>
      <c r="M85" s="284"/>
      <c r="N85" s="285"/>
      <c r="O85" s="136">
        <f t="shared" si="8"/>
        <v>0</v>
      </c>
      <c r="P85" s="85"/>
    </row>
    <row r="86" spans="1:16" x14ac:dyDescent="0.25">
      <c r="A86" s="99">
        <v>2200</v>
      </c>
      <c r="B86" s="247" t="s">
        <v>102</v>
      </c>
      <c r="C86" s="302">
        <f t="shared" si="4"/>
        <v>16210</v>
      </c>
      <c r="D86" s="112">
        <f>SUM(D87,D92,D98,D106,D115,D119,D125,D131)</f>
        <v>0</v>
      </c>
      <c r="E86" s="248">
        <f>SUM(E87,E92,E98,E106,E115,E119,E125,E131)</f>
        <v>0</v>
      </c>
      <c r="F86" s="249">
        <f t="shared" si="5"/>
        <v>0</v>
      </c>
      <c r="G86" s="112">
        <f>SUM(G87,G92,G98,G106,G115,G119,G125,G131)</f>
        <v>16517</v>
      </c>
      <c r="H86" s="113">
        <f>SUM(H87,H92,H98,H106,H115,H119,H125,H131)</f>
        <v>-477</v>
      </c>
      <c r="I86" s="114">
        <f t="shared" si="6"/>
        <v>16040</v>
      </c>
      <c r="J86" s="112">
        <f>SUM(J87,J92,J98,J106,J115,J119,J125,J131)</f>
        <v>170</v>
      </c>
      <c r="K86" s="113">
        <f>SUM(K87,K92,K98,K106,K115,K119,K125,K131)</f>
        <v>0</v>
      </c>
      <c r="L86" s="114">
        <f t="shared" si="7"/>
        <v>170</v>
      </c>
      <c r="M86" s="303">
        <f>SUM(M87,M92,M98,M106,M115,M119,M125,M131)</f>
        <v>0</v>
      </c>
      <c r="N86" s="304">
        <f>SUM(N87,N92,N98,N106,N115,N119,N125,N131)</f>
        <v>0</v>
      </c>
      <c r="O86" s="305">
        <f t="shared" si="8"/>
        <v>0</v>
      </c>
      <c r="P86" s="306"/>
    </row>
    <row r="87" spans="1:16" ht="24" x14ac:dyDescent="0.25">
      <c r="A87" s="254">
        <v>2210</v>
      </c>
      <c r="B87" s="179" t="s">
        <v>103</v>
      </c>
      <c r="C87" s="191">
        <f t="shared" si="4"/>
        <v>586</v>
      </c>
      <c r="D87" s="255">
        <f>SUM(D88:D91)</f>
        <v>0</v>
      </c>
      <c r="E87" s="256">
        <f>SUM(E88:E91)</f>
        <v>0</v>
      </c>
      <c r="F87" s="257">
        <f t="shared" si="5"/>
        <v>0</v>
      </c>
      <c r="G87" s="255">
        <f>SUM(G88:G91)</f>
        <v>587</v>
      </c>
      <c r="H87" s="258">
        <f>SUM(H88:H91)</f>
        <v>-1</v>
      </c>
      <c r="I87" s="259">
        <f t="shared" si="6"/>
        <v>586</v>
      </c>
      <c r="J87" s="255">
        <f>SUM(J88:J91)</f>
        <v>0</v>
      </c>
      <c r="K87" s="258">
        <f>SUM(K88:K91)</f>
        <v>0</v>
      </c>
      <c r="L87" s="259">
        <f t="shared" si="7"/>
        <v>0</v>
      </c>
      <c r="M87" s="260">
        <f>SUM(M88:M91)</f>
        <v>0</v>
      </c>
      <c r="N87" s="261">
        <f>SUM(N88:N91)</f>
        <v>0</v>
      </c>
      <c r="O87" s="259">
        <f t="shared" si="8"/>
        <v>0</v>
      </c>
      <c r="P87" s="189"/>
    </row>
    <row r="88" spans="1:16" ht="24" hidden="1" x14ac:dyDescent="0.25">
      <c r="A88" s="66">
        <v>2211</v>
      </c>
      <c r="B88" s="116" t="s">
        <v>104</v>
      </c>
      <c r="C88" s="128">
        <f t="shared" si="4"/>
        <v>0</v>
      </c>
      <c r="D88" s="123"/>
      <c r="E88" s="262"/>
      <c r="F88" s="263">
        <f t="shared" si="5"/>
        <v>0</v>
      </c>
      <c r="G88" s="123"/>
      <c r="H88" s="124"/>
      <c r="I88" s="125">
        <f t="shared" si="6"/>
        <v>0</v>
      </c>
      <c r="J88" s="123"/>
      <c r="K88" s="124"/>
      <c r="L88" s="125">
        <f t="shared" si="7"/>
        <v>0</v>
      </c>
      <c r="M88" s="264"/>
      <c r="N88" s="262"/>
      <c r="O88" s="125">
        <f t="shared" si="8"/>
        <v>0</v>
      </c>
      <c r="P88" s="74"/>
    </row>
    <row r="89" spans="1:16" ht="36" x14ac:dyDescent="0.25">
      <c r="A89" s="265">
        <v>2212</v>
      </c>
      <c r="B89" s="266" t="s">
        <v>105</v>
      </c>
      <c r="C89" s="267">
        <f t="shared" si="4"/>
        <v>446</v>
      </c>
      <c r="D89" s="268"/>
      <c r="E89" s="269"/>
      <c r="F89" s="270">
        <f t="shared" si="5"/>
        <v>0</v>
      </c>
      <c r="G89" s="268">
        <v>446</v>
      </c>
      <c r="H89" s="271"/>
      <c r="I89" s="272">
        <f t="shared" si="6"/>
        <v>446</v>
      </c>
      <c r="J89" s="268"/>
      <c r="K89" s="271"/>
      <c r="L89" s="272">
        <f t="shared" si="7"/>
        <v>0</v>
      </c>
      <c r="M89" s="273"/>
      <c r="N89" s="274"/>
      <c r="O89" s="272">
        <f t="shared" si="8"/>
        <v>0</v>
      </c>
      <c r="P89" s="275"/>
    </row>
    <row r="90" spans="1:16" ht="24" x14ac:dyDescent="0.25">
      <c r="A90" s="76">
        <v>2214</v>
      </c>
      <c r="B90" s="127" t="s">
        <v>106</v>
      </c>
      <c r="C90" s="128">
        <f t="shared" si="4"/>
        <v>120</v>
      </c>
      <c r="D90" s="134"/>
      <c r="E90" s="283"/>
      <c r="F90" s="279">
        <f t="shared" si="5"/>
        <v>0</v>
      </c>
      <c r="G90" s="134">
        <v>121</v>
      </c>
      <c r="H90" s="135">
        <v>-1</v>
      </c>
      <c r="I90" s="136">
        <f t="shared" si="6"/>
        <v>120</v>
      </c>
      <c r="J90" s="134"/>
      <c r="K90" s="135"/>
      <c r="L90" s="136">
        <f t="shared" si="7"/>
        <v>0</v>
      </c>
      <c r="M90" s="284"/>
      <c r="N90" s="285"/>
      <c r="O90" s="136">
        <f t="shared" si="8"/>
        <v>0</v>
      </c>
      <c r="P90" s="85" t="s">
        <v>550</v>
      </c>
    </row>
    <row r="91" spans="1:16" x14ac:dyDescent="0.25">
      <c r="A91" s="76">
        <v>2219</v>
      </c>
      <c r="B91" s="127" t="s">
        <v>107</v>
      </c>
      <c r="C91" s="128">
        <f t="shared" si="4"/>
        <v>20</v>
      </c>
      <c r="D91" s="134"/>
      <c r="E91" s="283"/>
      <c r="F91" s="279">
        <f t="shared" si="5"/>
        <v>0</v>
      </c>
      <c r="G91" s="134">
        <v>20</v>
      </c>
      <c r="H91" s="135"/>
      <c r="I91" s="136">
        <f t="shared" si="6"/>
        <v>20</v>
      </c>
      <c r="J91" s="134"/>
      <c r="K91" s="135"/>
      <c r="L91" s="136">
        <f t="shared" si="7"/>
        <v>0</v>
      </c>
      <c r="M91" s="284"/>
      <c r="N91" s="285"/>
      <c r="O91" s="136">
        <f t="shared" si="8"/>
        <v>0</v>
      </c>
      <c r="P91" s="85"/>
    </row>
    <row r="92" spans="1:16" ht="24" x14ac:dyDescent="0.25">
      <c r="A92" s="276">
        <v>2220</v>
      </c>
      <c r="B92" s="127" t="s">
        <v>108</v>
      </c>
      <c r="C92" s="128">
        <f t="shared" si="4"/>
        <v>11845</v>
      </c>
      <c r="D92" s="277">
        <f>SUM(D93:D97)</f>
        <v>0</v>
      </c>
      <c r="E92" s="278">
        <f>SUM(E93:E97)</f>
        <v>0</v>
      </c>
      <c r="F92" s="279">
        <f t="shared" si="5"/>
        <v>0</v>
      </c>
      <c r="G92" s="277">
        <f>SUM(G93:G97)</f>
        <v>12150</v>
      </c>
      <c r="H92" s="280">
        <f>SUM(H93:H97)</f>
        <v>-475</v>
      </c>
      <c r="I92" s="136">
        <f t="shared" si="6"/>
        <v>11675</v>
      </c>
      <c r="J92" s="277">
        <f>SUM(J93:J97)</f>
        <v>170</v>
      </c>
      <c r="K92" s="280">
        <f>SUM(K93:K97)</f>
        <v>0</v>
      </c>
      <c r="L92" s="136">
        <f t="shared" si="7"/>
        <v>170</v>
      </c>
      <c r="M92" s="281">
        <f>SUM(M93:M97)</f>
        <v>0</v>
      </c>
      <c r="N92" s="282">
        <f>SUM(N93:N97)</f>
        <v>0</v>
      </c>
      <c r="O92" s="136">
        <f t="shared" si="8"/>
        <v>0</v>
      </c>
      <c r="P92" s="85"/>
    </row>
    <row r="93" spans="1:16" x14ac:dyDescent="0.25">
      <c r="A93" s="76">
        <v>2221</v>
      </c>
      <c r="B93" s="127" t="s">
        <v>109</v>
      </c>
      <c r="C93" s="128">
        <f t="shared" si="4"/>
        <v>7249</v>
      </c>
      <c r="D93" s="134"/>
      <c r="E93" s="283"/>
      <c r="F93" s="279">
        <f t="shared" si="5"/>
        <v>0</v>
      </c>
      <c r="G93" s="134">
        <v>7722</v>
      </c>
      <c r="H93" s="135">
        <v>-473</v>
      </c>
      <c r="I93" s="136">
        <f t="shared" si="6"/>
        <v>7249</v>
      </c>
      <c r="J93" s="134"/>
      <c r="K93" s="135"/>
      <c r="L93" s="136">
        <f t="shared" si="7"/>
        <v>0</v>
      </c>
      <c r="M93" s="284"/>
      <c r="N93" s="285"/>
      <c r="O93" s="136">
        <f t="shared" si="8"/>
        <v>0</v>
      </c>
      <c r="P93" s="85" t="s">
        <v>550</v>
      </c>
    </row>
    <row r="94" spans="1:16" x14ac:dyDescent="0.25">
      <c r="A94" s="76">
        <v>2222</v>
      </c>
      <c r="B94" s="127" t="s">
        <v>110</v>
      </c>
      <c r="C94" s="128">
        <f t="shared" si="4"/>
        <v>1276</v>
      </c>
      <c r="D94" s="134"/>
      <c r="E94" s="283"/>
      <c r="F94" s="279">
        <f t="shared" si="5"/>
        <v>0</v>
      </c>
      <c r="G94" s="134">
        <v>1165</v>
      </c>
      <c r="H94" s="135">
        <v>-12</v>
      </c>
      <c r="I94" s="136">
        <f t="shared" si="6"/>
        <v>1153</v>
      </c>
      <c r="J94" s="134">
        <v>123</v>
      </c>
      <c r="K94" s="135"/>
      <c r="L94" s="136">
        <f t="shared" si="7"/>
        <v>123</v>
      </c>
      <c r="M94" s="284"/>
      <c r="N94" s="285"/>
      <c r="O94" s="136">
        <f t="shared" si="8"/>
        <v>0</v>
      </c>
      <c r="P94" s="85" t="s">
        <v>550</v>
      </c>
    </row>
    <row r="95" spans="1:16" x14ac:dyDescent="0.25">
      <c r="A95" s="76">
        <v>2223</v>
      </c>
      <c r="B95" s="127" t="s">
        <v>111</v>
      </c>
      <c r="C95" s="128">
        <f t="shared" si="4"/>
        <v>3055</v>
      </c>
      <c r="D95" s="134"/>
      <c r="E95" s="283"/>
      <c r="F95" s="279">
        <f t="shared" si="5"/>
        <v>0</v>
      </c>
      <c r="G95" s="134">
        <v>2995</v>
      </c>
      <c r="H95" s="135">
        <v>13</v>
      </c>
      <c r="I95" s="136">
        <f t="shared" si="6"/>
        <v>3008</v>
      </c>
      <c r="J95" s="134">
        <v>47</v>
      </c>
      <c r="K95" s="135"/>
      <c r="L95" s="136">
        <f t="shared" si="7"/>
        <v>47</v>
      </c>
      <c r="M95" s="284"/>
      <c r="N95" s="285"/>
      <c r="O95" s="136">
        <f t="shared" si="8"/>
        <v>0</v>
      </c>
      <c r="P95" s="85" t="s">
        <v>1066</v>
      </c>
    </row>
    <row r="96" spans="1:16" ht="48" x14ac:dyDescent="0.25">
      <c r="A96" s="76">
        <v>2224</v>
      </c>
      <c r="B96" s="127" t="s">
        <v>112</v>
      </c>
      <c r="C96" s="128">
        <f t="shared" si="4"/>
        <v>265</v>
      </c>
      <c r="D96" s="134"/>
      <c r="E96" s="283"/>
      <c r="F96" s="279">
        <f t="shared" si="5"/>
        <v>0</v>
      </c>
      <c r="G96" s="134">
        <v>268</v>
      </c>
      <c r="H96" s="135">
        <v>-3</v>
      </c>
      <c r="I96" s="136">
        <f t="shared" si="6"/>
        <v>265</v>
      </c>
      <c r="J96" s="134"/>
      <c r="K96" s="135"/>
      <c r="L96" s="136">
        <f t="shared" si="7"/>
        <v>0</v>
      </c>
      <c r="M96" s="284"/>
      <c r="N96" s="285"/>
      <c r="O96" s="136">
        <f t="shared" si="8"/>
        <v>0</v>
      </c>
      <c r="P96" s="85" t="s">
        <v>550</v>
      </c>
    </row>
    <row r="97" spans="1:16" ht="24" hidden="1" x14ac:dyDescent="0.25">
      <c r="A97" s="76">
        <v>2229</v>
      </c>
      <c r="B97" s="127" t="s">
        <v>113</v>
      </c>
      <c r="C97" s="128">
        <f t="shared" si="4"/>
        <v>0</v>
      </c>
      <c r="D97" s="134"/>
      <c r="E97" s="285"/>
      <c r="F97" s="286">
        <f t="shared" si="5"/>
        <v>0</v>
      </c>
      <c r="G97" s="134"/>
      <c r="H97" s="135"/>
      <c r="I97" s="136">
        <f t="shared" si="6"/>
        <v>0</v>
      </c>
      <c r="J97" s="134"/>
      <c r="K97" s="135"/>
      <c r="L97" s="136">
        <f t="shared" si="7"/>
        <v>0</v>
      </c>
      <c r="M97" s="284"/>
      <c r="N97" s="285"/>
      <c r="O97" s="136">
        <f t="shared" si="8"/>
        <v>0</v>
      </c>
      <c r="P97" s="85"/>
    </row>
    <row r="98" spans="1:16" ht="36" x14ac:dyDescent="0.25">
      <c r="A98" s="276">
        <v>2230</v>
      </c>
      <c r="B98" s="127" t="s">
        <v>114</v>
      </c>
      <c r="C98" s="128">
        <f t="shared" si="4"/>
        <v>1310</v>
      </c>
      <c r="D98" s="277">
        <f>SUM(D99:D105)</f>
        <v>0</v>
      </c>
      <c r="E98" s="278">
        <f>SUM(E99:E105)</f>
        <v>0</v>
      </c>
      <c r="F98" s="279">
        <f t="shared" si="5"/>
        <v>0</v>
      </c>
      <c r="G98" s="277">
        <f>SUM(G99:G105)</f>
        <v>1310</v>
      </c>
      <c r="H98" s="280">
        <f>SUM(H99:H105)</f>
        <v>0</v>
      </c>
      <c r="I98" s="136">
        <f t="shared" si="6"/>
        <v>1310</v>
      </c>
      <c r="J98" s="277">
        <f>SUM(J99:J105)</f>
        <v>0</v>
      </c>
      <c r="K98" s="280">
        <f>SUM(K99:K105)</f>
        <v>0</v>
      </c>
      <c r="L98" s="136">
        <f t="shared" si="7"/>
        <v>0</v>
      </c>
      <c r="M98" s="281">
        <f>SUM(M99:M105)</f>
        <v>0</v>
      </c>
      <c r="N98" s="282">
        <f>SUM(N99:N105)</f>
        <v>0</v>
      </c>
      <c r="O98" s="136">
        <f t="shared" si="8"/>
        <v>0</v>
      </c>
      <c r="P98" s="85"/>
    </row>
    <row r="99" spans="1:16" ht="24" hidden="1" x14ac:dyDescent="0.25">
      <c r="A99" s="76">
        <v>2231</v>
      </c>
      <c r="B99" s="127" t="s">
        <v>115</v>
      </c>
      <c r="C99" s="128">
        <f t="shared" si="4"/>
        <v>0</v>
      </c>
      <c r="D99" s="134"/>
      <c r="E99" s="285"/>
      <c r="F99" s="286">
        <f t="shared" si="5"/>
        <v>0</v>
      </c>
      <c r="G99" s="134"/>
      <c r="H99" s="135"/>
      <c r="I99" s="136">
        <f t="shared" si="6"/>
        <v>0</v>
      </c>
      <c r="J99" s="134"/>
      <c r="K99" s="135"/>
      <c r="L99" s="136">
        <f t="shared" si="7"/>
        <v>0</v>
      </c>
      <c r="M99" s="284"/>
      <c r="N99" s="285"/>
      <c r="O99" s="136">
        <f t="shared" si="8"/>
        <v>0</v>
      </c>
      <c r="P99" s="85"/>
    </row>
    <row r="100" spans="1:16" ht="36" hidden="1" x14ac:dyDescent="0.25">
      <c r="A100" s="76">
        <v>2232</v>
      </c>
      <c r="B100" s="127" t="s">
        <v>116</v>
      </c>
      <c r="C100" s="128">
        <f t="shared" si="4"/>
        <v>0</v>
      </c>
      <c r="D100" s="134"/>
      <c r="E100" s="285"/>
      <c r="F100" s="286">
        <f t="shared" si="5"/>
        <v>0</v>
      </c>
      <c r="G100" s="134"/>
      <c r="H100" s="135"/>
      <c r="I100" s="136">
        <f t="shared" si="6"/>
        <v>0</v>
      </c>
      <c r="J100" s="134"/>
      <c r="K100" s="135"/>
      <c r="L100" s="136">
        <f t="shared" si="7"/>
        <v>0</v>
      </c>
      <c r="M100" s="284"/>
      <c r="N100" s="285"/>
      <c r="O100" s="136">
        <f t="shared" si="8"/>
        <v>0</v>
      </c>
      <c r="P100" s="85"/>
    </row>
    <row r="101" spans="1:16" ht="24" hidden="1" x14ac:dyDescent="0.25">
      <c r="A101" s="66">
        <v>2233</v>
      </c>
      <c r="B101" s="116" t="s">
        <v>117</v>
      </c>
      <c r="C101" s="128">
        <f t="shared" si="4"/>
        <v>0</v>
      </c>
      <c r="D101" s="123"/>
      <c r="E101" s="262"/>
      <c r="F101" s="263">
        <f t="shared" si="5"/>
        <v>0</v>
      </c>
      <c r="G101" s="123"/>
      <c r="H101" s="124"/>
      <c r="I101" s="125">
        <f t="shared" si="6"/>
        <v>0</v>
      </c>
      <c r="J101" s="123"/>
      <c r="K101" s="124"/>
      <c r="L101" s="125">
        <f t="shared" si="7"/>
        <v>0</v>
      </c>
      <c r="M101" s="264"/>
      <c r="N101" s="262"/>
      <c r="O101" s="125">
        <f t="shared" si="8"/>
        <v>0</v>
      </c>
      <c r="P101" s="74"/>
    </row>
    <row r="102" spans="1:16" ht="36" hidden="1" x14ac:dyDescent="0.25">
      <c r="A102" s="76">
        <v>2234</v>
      </c>
      <c r="B102" s="127" t="s">
        <v>118</v>
      </c>
      <c r="C102" s="128">
        <f t="shared" si="4"/>
        <v>0</v>
      </c>
      <c r="D102" s="134"/>
      <c r="E102" s="285"/>
      <c r="F102" s="286">
        <f t="shared" si="5"/>
        <v>0</v>
      </c>
      <c r="G102" s="134"/>
      <c r="H102" s="135"/>
      <c r="I102" s="136">
        <f t="shared" si="6"/>
        <v>0</v>
      </c>
      <c r="J102" s="134"/>
      <c r="K102" s="135"/>
      <c r="L102" s="136">
        <f t="shared" si="7"/>
        <v>0</v>
      </c>
      <c r="M102" s="284"/>
      <c r="N102" s="285"/>
      <c r="O102" s="136">
        <f t="shared" si="8"/>
        <v>0</v>
      </c>
      <c r="P102" s="85"/>
    </row>
    <row r="103" spans="1:16" ht="24" x14ac:dyDescent="0.25">
      <c r="A103" s="76">
        <v>2235</v>
      </c>
      <c r="B103" s="127" t="s">
        <v>119</v>
      </c>
      <c r="C103" s="128">
        <f t="shared" si="4"/>
        <v>668</v>
      </c>
      <c r="D103" s="134"/>
      <c r="E103" s="283"/>
      <c r="F103" s="279">
        <f t="shared" si="5"/>
        <v>0</v>
      </c>
      <c r="G103" s="134">
        <v>668</v>
      </c>
      <c r="H103" s="135"/>
      <c r="I103" s="136">
        <f t="shared" si="6"/>
        <v>668</v>
      </c>
      <c r="J103" s="134"/>
      <c r="K103" s="135"/>
      <c r="L103" s="136">
        <f t="shared" si="7"/>
        <v>0</v>
      </c>
      <c r="M103" s="284"/>
      <c r="N103" s="285"/>
      <c r="O103" s="136">
        <f t="shared" si="8"/>
        <v>0</v>
      </c>
      <c r="P103" s="85"/>
    </row>
    <row r="104" spans="1:16" hidden="1" x14ac:dyDescent="0.25">
      <c r="A104" s="76">
        <v>2236</v>
      </c>
      <c r="B104" s="127" t="s">
        <v>120</v>
      </c>
      <c r="C104" s="128">
        <f t="shared" si="4"/>
        <v>0</v>
      </c>
      <c r="D104" s="134"/>
      <c r="E104" s="285"/>
      <c r="F104" s="286">
        <f t="shared" si="5"/>
        <v>0</v>
      </c>
      <c r="G104" s="134"/>
      <c r="H104" s="135"/>
      <c r="I104" s="136">
        <f t="shared" si="6"/>
        <v>0</v>
      </c>
      <c r="J104" s="134"/>
      <c r="K104" s="135"/>
      <c r="L104" s="136">
        <f t="shared" si="7"/>
        <v>0</v>
      </c>
      <c r="M104" s="284"/>
      <c r="N104" s="285"/>
      <c r="O104" s="136">
        <f t="shared" si="8"/>
        <v>0</v>
      </c>
      <c r="P104" s="85"/>
    </row>
    <row r="105" spans="1:16" ht="24" x14ac:dyDescent="0.25">
      <c r="A105" s="265">
        <v>2239</v>
      </c>
      <c r="B105" s="266" t="s">
        <v>121</v>
      </c>
      <c r="C105" s="267">
        <f t="shared" si="4"/>
        <v>642</v>
      </c>
      <c r="D105" s="268"/>
      <c r="E105" s="269"/>
      <c r="F105" s="270">
        <f t="shared" si="5"/>
        <v>0</v>
      </c>
      <c r="G105" s="268">
        <v>642</v>
      </c>
      <c r="H105" s="271"/>
      <c r="I105" s="272">
        <f t="shared" si="6"/>
        <v>642</v>
      </c>
      <c r="J105" s="268"/>
      <c r="K105" s="271"/>
      <c r="L105" s="272">
        <f t="shared" si="7"/>
        <v>0</v>
      </c>
      <c r="M105" s="273"/>
      <c r="N105" s="274"/>
      <c r="O105" s="272">
        <f t="shared" si="8"/>
        <v>0</v>
      </c>
      <c r="P105" s="275"/>
    </row>
    <row r="106" spans="1:16" ht="36" x14ac:dyDescent="0.25">
      <c r="A106" s="276">
        <v>2240</v>
      </c>
      <c r="B106" s="127" t="s">
        <v>122</v>
      </c>
      <c r="C106" s="128">
        <f t="shared" si="4"/>
        <v>2157</v>
      </c>
      <c r="D106" s="277">
        <f>SUM(D107:D114)</f>
        <v>0</v>
      </c>
      <c r="E106" s="278">
        <f>SUM(E107:E114)</f>
        <v>0</v>
      </c>
      <c r="F106" s="279">
        <f t="shared" si="5"/>
        <v>0</v>
      </c>
      <c r="G106" s="277">
        <f>SUM(G107:G114)</f>
        <v>2158</v>
      </c>
      <c r="H106" s="280">
        <f>SUM(H107:H114)</f>
        <v>-1</v>
      </c>
      <c r="I106" s="136">
        <f t="shared" si="6"/>
        <v>2157</v>
      </c>
      <c r="J106" s="277">
        <f>SUM(J107:J114)</f>
        <v>0</v>
      </c>
      <c r="K106" s="280">
        <f>SUM(K107:K114)</f>
        <v>0</v>
      </c>
      <c r="L106" s="136">
        <f t="shared" si="7"/>
        <v>0</v>
      </c>
      <c r="M106" s="281">
        <f>SUM(M107:M114)</f>
        <v>0</v>
      </c>
      <c r="N106" s="282">
        <f>SUM(N107:N114)</f>
        <v>0</v>
      </c>
      <c r="O106" s="136">
        <f t="shared" si="8"/>
        <v>0</v>
      </c>
      <c r="P106" s="85"/>
    </row>
    <row r="107" spans="1:16" hidden="1" x14ac:dyDescent="0.25">
      <c r="A107" s="76">
        <v>2241</v>
      </c>
      <c r="B107" s="127" t="s">
        <v>123</v>
      </c>
      <c r="C107" s="128">
        <f t="shared" si="4"/>
        <v>0</v>
      </c>
      <c r="D107" s="134"/>
      <c r="E107" s="285"/>
      <c r="F107" s="286">
        <f t="shared" si="5"/>
        <v>0</v>
      </c>
      <c r="G107" s="134"/>
      <c r="H107" s="135"/>
      <c r="I107" s="136">
        <f t="shared" si="6"/>
        <v>0</v>
      </c>
      <c r="J107" s="134"/>
      <c r="K107" s="135"/>
      <c r="L107" s="136">
        <f t="shared" si="7"/>
        <v>0</v>
      </c>
      <c r="M107" s="284"/>
      <c r="N107" s="285"/>
      <c r="O107" s="136">
        <f t="shared" si="8"/>
        <v>0</v>
      </c>
      <c r="P107" s="85"/>
    </row>
    <row r="108" spans="1:16" ht="24" hidden="1" x14ac:dyDescent="0.25">
      <c r="A108" s="76">
        <v>2242</v>
      </c>
      <c r="B108" s="127" t="s">
        <v>124</v>
      </c>
      <c r="C108" s="128">
        <f t="shared" si="4"/>
        <v>0</v>
      </c>
      <c r="D108" s="134"/>
      <c r="E108" s="285"/>
      <c r="F108" s="286">
        <f t="shared" si="5"/>
        <v>0</v>
      </c>
      <c r="G108" s="134"/>
      <c r="H108" s="135"/>
      <c r="I108" s="136">
        <f t="shared" si="6"/>
        <v>0</v>
      </c>
      <c r="J108" s="134"/>
      <c r="K108" s="135"/>
      <c r="L108" s="136">
        <f t="shared" si="7"/>
        <v>0</v>
      </c>
      <c r="M108" s="284"/>
      <c r="N108" s="285"/>
      <c r="O108" s="136">
        <f t="shared" si="8"/>
        <v>0</v>
      </c>
      <c r="P108" s="85"/>
    </row>
    <row r="109" spans="1:16" ht="24" x14ac:dyDescent="0.25">
      <c r="A109" s="76">
        <v>2243</v>
      </c>
      <c r="B109" s="127" t="s">
        <v>125</v>
      </c>
      <c r="C109" s="128">
        <f t="shared" si="4"/>
        <v>370</v>
      </c>
      <c r="D109" s="134"/>
      <c r="E109" s="283"/>
      <c r="F109" s="279">
        <f t="shared" si="5"/>
        <v>0</v>
      </c>
      <c r="G109" s="134">
        <v>370</v>
      </c>
      <c r="H109" s="135"/>
      <c r="I109" s="136">
        <f t="shared" si="6"/>
        <v>370</v>
      </c>
      <c r="J109" s="134"/>
      <c r="K109" s="135"/>
      <c r="L109" s="136">
        <f t="shared" si="7"/>
        <v>0</v>
      </c>
      <c r="M109" s="284"/>
      <c r="N109" s="285"/>
      <c r="O109" s="136">
        <f t="shared" si="8"/>
        <v>0</v>
      </c>
      <c r="P109" s="85"/>
    </row>
    <row r="110" spans="1:16" x14ac:dyDescent="0.25">
      <c r="A110" s="76">
        <v>2244</v>
      </c>
      <c r="B110" s="127" t="s">
        <v>126</v>
      </c>
      <c r="C110" s="128">
        <f t="shared" si="4"/>
        <v>1137</v>
      </c>
      <c r="D110" s="134"/>
      <c r="E110" s="283"/>
      <c r="F110" s="279">
        <f t="shared" si="5"/>
        <v>0</v>
      </c>
      <c r="G110" s="134">
        <v>1138</v>
      </c>
      <c r="H110" s="135">
        <v>-1</v>
      </c>
      <c r="I110" s="136">
        <f t="shared" si="6"/>
        <v>1137</v>
      </c>
      <c r="J110" s="134"/>
      <c r="K110" s="135"/>
      <c r="L110" s="136">
        <f t="shared" si="7"/>
        <v>0</v>
      </c>
      <c r="M110" s="284"/>
      <c r="N110" s="285"/>
      <c r="O110" s="136">
        <f t="shared" si="8"/>
        <v>0</v>
      </c>
      <c r="P110" s="85" t="s">
        <v>550</v>
      </c>
    </row>
    <row r="111" spans="1:16" ht="24" hidden="1" x14ac:dyDescent="0.25">
      <c r="A111" s="76">
        <v>2246</v>
      </c>
      <c r="B111" s="127" t="s">
        <v>127</v>
      </c>
      <c r="C111" s="128">
        <f t="shared" si="4"/>
        <v>0</v>
      </c>
      <c r="D111" s="134"/>
      <c r="E111" s="285"/>
      <c r="F111" s="286">
        <f t="shared" si="5"/>
        <v>0</v>
      </c>
      <c r="G111" s="134"/>
      <c r="H111" s="135"/>
      <c r="I111" s="136">
        <f t="shared" si="6"/>
        <v>0</v>
      </c>
      <c r="J111" s="134"/>
      <c r="K111" s="135"/>
      <c r="L111" s="136">
        <f t="shared" si="7"/>
        <v>0</v>
      </c>
      <c r="M111" s="284"/>
      <c r="N111" s="285"/>
      <c r="O111" s="136">
        <f t="shared" si="8"/>
        <v>0</v>
      </c>
      <c r="P111" s="85"/>
    </row>
    <row r="112" spans="1:16" hidden="1" x14ac:dyDescent="0.25">
      <c r="A112" s="76">
        <v>2247</v>
      </c>
      <c r="B112" s="127" t="s">
        <v>128</v>
      </c>
      <c r="C112" s="128">
        <f t="shared" si="4"/>
        <v>0</v>
      </c>
      <c r="D112" s="134"/>
      <c r="E112" s="285"/>
      <c r="F112" s="286">
        <f t="shared" si="5"/>
        <v>0</v>
      </c>
      <c r="G112" s="134"/>
      <c r="H112" s="135"/>
      <c r="I112" s="136">
        <f t="shared" si="6"/>
        <v>0</v>
      </c>
      <c r="J112" s="134"/>
      <c r="K112" s="135"/>
      <c r="L112" s="136">
        <f t="shared" si="7"/>
        <v>0</v>
      </c>
      <c r="M112" s="284"/>
      <c r="N112" s="285"/>
      <c r="O112" s="136">
        <f t="shared" si="8"/>
        <v>0</v>
      </c>
      <c r="P112" s="85"/>
    </row>
    <row r="113" spans="1:16" ht="24" hidden="1" x14ac:dyDescent="0.25">
      <c r="A113" s="76">
        <v>2248</v>
      </c>
      <c r="B113" s="127" t="s">
        <v>129</v>
      </c>
      <c r="C113" s="128">
        <f t="shared" si="4"/>
        <v>0</v>
      </c>
      <c r="D113" s="134"/>
      <c r="E113" s="285"/>
      <c r="F113" s="286">
        <f t="shared" si="5"/>
        <v>0</v>
      </c>
      <c r="G113" s="134"/>
      <c r="H113" s="135"/>
      <c r="I113" s="136">
        <f t="shared" si="6"/>
        <v>0</v>
      </c>
      <c r="J113" s="134"/>
      <c r="K113" s="135"/>
      <c r="L113" s="136">
        <f t="shared" si="7"/>
        <v>0</v>
      </c>
      <c r="M113" s="284"/>
      <c r="N113" s="285"/>
      <c r="O113" s="136">
        <f t="shared" si="8"/>
        <v>0</v>
      </c>
      <c r="P113" s="85"/>
    </row>
    <row r="114" spans="1:16" ht="24" x14ac:dyDescent="0.25">
      <c r="A114" s="76">
        <v>2249</v>
      </c>
      <c r="B114" s="127" t="s">
        <v>130</v>
      </c>
      <c r="C114" s="128">
        <f t="shared" si="4"/>
        <v>650</v>
      </c>
      <c r="D114" s="134"/>
      <c r="E114" s="283"/>
      <c r="F114" s="279">
        <f t="shared" si="5"/>
        <v>0</v>
      </c>
      <c r="G114" s="134">
        <v>650</v>
      </c>
      <c r="H114" s="135"/>
      <c r="I114" s="136">
        <f t="shared" si="6"/>
        <v>650</v>
      </c>
      <c r="J114" s="134"/>
      <c r="K114" s="135"/>
      <c r="L114" s="136">
        <f t="shared" si="7"/>
        <v>0</v>
      </c>
      <c r="M114" s="284"/>
      <c r="N114" s="285"/>
      <c r="O114" s="136">
        <f t="shared" si="8"/>
        <v>0</v>
      </c>
      <c r="P114" s="85"/>
    </row>
    <row r="115" spans="1:16" x14ac:dyDescent="0.25">
      <c r="A115" s="276">
        <v>2250</v>
      </c>
      <c r="B115" s="127" t="s">
        <v>131</v>
      </c>
      <c r="C115" s="128">
        <f t="shared" si="4"/>
        <v>241</v>
      </c>
      <c r="D115" s="277">
        <f>SUM(D116:D118)</f>
        <v>0</v>
      </c>
      <c r="E115" s="278">
        <f>SUM(E116:E118)</f>
        <v>0</v>
      </c>
      <c r="F115" s="279">
        <f t="shared" si="5"/>
        <v>0</v>
      </c>
      <c r="G115" s="277">
        <f>SUM(G116:G118)</f>
        <v>241</v>
      </c>
      <c r="H115" s="280">
        <f>SUM(H116:H118)</f>
        <v>0</v>
      </c>
      <c r="I115" s="136">
        <f t="shared" si="6"/>
        <v>241</v>
      </c>
      <c r="J115" s="277">
        <f>SUM(J116:J118)</f>
        <v>0</v>
      </c>
      <c r="K115" s="280">
        <f>SUM(K116:K118)</f>
        <v>0</v>
      </c>
      <c r="L115" s="136">
        <f t="shared" si="7"/>
        <v>0</v>
      </c>
      <c r="M115" s="281">
        <f>SUM(M116:M118)</f>
        <v>0</v>
      </c>
      <c r="N115" s="282">
        <f>SUM(N116:N118)</f>
        <v>0</v>
      </c>
      <c r="O115" s="136">
        <f t="shared" si="8"/>
        <v>0</v>
      </c>
      <c r="P115" s="85"/>
    </row>
    <row r="116" spans="1:16" x14ac:dyDescent="0.25">
      <c r="A116" s="76">
        <v>2251</v>
      </c>
      <c r="B116" s="127" t="s">
        <v>132</v>
      </c>
      <c r="C116" s="128">
        <f t="shared" si="4"/>
        <v>166</v>
      </c>
      <c r="D116" s="134"/>
      <c r="E116" s="283"/>
      <c r="F116" s="279">
        <f t="shared" si="5"/>
        <v>0</v>
      </c>
      <c r="G116" s="134">
        <v>166</v>
      </c>
      <c r="H116" s="135"/>
      <c r="I116" s="136">
        <f t="shared" si="6"/>
        <v>166</v>
      </c>
      <c r="J116" s="134"/>
      <c r="K116" s="135"/>
      <c r="L116" s="136">
        <f t="shared" si="7"/>
        <v>0</v>
      </c>
      <c r="M116" s="284"/>
      <c r="N116" s="285"/>
      <c r="O116" s="136">
        <f t="shared" si="8"/>
        <v>0</v>
      </c>
      <c r="P116" s="85"/>
    </row>
    <row r="117" spans="1:16" ht="24" hidden="1" x14ac:dyDescent="0.25">
      <c r="A117" s="76">
        <v>2252</v>
      </c>
      <c r="B117" s="127" t="s">
        <v>133</v>
      </c>
      <c r="C117" s="128">
        <f t="shared" ref="C117:C181" si="9">F117+I117+L117+O117</f>
        <v>0</v>
      </c>
      <c r="D117" s="134"/>
      <c r="E117" s="285"/>
      <c r="F117" s="286">
        <f t="shared" si="5"/>
        <v>0</v>
      </c>
      <c r="G117" s="134"/>
      <c r="H117" s="135"/>
      <c r="I117" s="136">
        <f t="shared" si="6"/>
        <v>0</v>
      </c>
      <c r="J117" s="134"/>
      <c r="K117" s="135"/>
      <c r="L117" s="136">
        <f t="shared" si="7"/>
        <v>0</v>
      </c>
      <c r="M117" s="284"/>
      <c r="N117" s="285"/>
      <c r="O117" s="136">
        <f t="shared" si="8"/>
        <v>0</v>
      </c>
      <c r="P117" s="85"/>
    </row>
    <row r="118" spans="1:16" ht="24" x14ac:dyDescent="0.25">
      <c r="A118" s="265">
        <v>2259</v>
      </c>
      <c r="B118" s="266" t="s">
        <v>134</v>
      </c>
      <c r="C118" s="267">
        <f t="shared" si="9"/>
        <v>75</v>
      </c>
      <c r="D118" s="268"/>
      <c r="E118" s="269"/>
      <c r="F118" s="270">
        <f t="shared" ref="F118:F182" si="10">D118+E118</f>
        <v>0</v>
      </c>
      <c r="G118" s="268">
        <v>75</v>
      </c>
      <c r="H118" s="271"/>
      <c r="I118" s="272">
        <f t="shared" ref="I118:I182" si="11">G118+H118</f>
        <v>75</v>
      </c>
      <c r="J118" s="268"/>
      <c r="K118" s="271"/>
      <c r="L118" s="272">
        <f t="shared" ref="L118:L182" si="12">J118+K118</f>
        <v>0</v>
      </c>
      <c r="M118" s="273"/>
      <c r="N118" s="274"/>
      <c r="O118" s="272">
        <f t="shared" ref="O118:O182" si="13">M118+N118</f>
        <v>0</v>
      </c>
      <c r="P118" s="275"/>
    </row>
    <row r="119" spans="1:16" x14ac:dyDescent="0.25">
      <c r="A119" s="276">
        <v>2260</v>
      </c>
      <c r="B119" s="127" t="s">
        <v>135</v>
      </c>
      <c r="C119" s="128">
        <f t="shared" si="9"/>
        <v>21</v>
      </c>
      <c r="D119" s="277">
        <f>SUM(D120:D124)</f>
        <v>0</v>
      </c>
      <c r="E119" s="278">
        <f>SUM(E120:E124)</f>
        <v>0</v>
      </c>
      <c r="F119" s="279">
        <f t="shared" si="10"/>
        <v>0</v>
      </c>
      <c r="G119" s="277">
        <f>SUM(G120:G124)</f>
        <v>21</v>
      </c>
      <c r="H119" s="280">
        <f>SUM(H120:H124)</f>
        <v>0</v>
      </c>
      <c r="I119" s="136">
        <f t="shared" si="11"/>
        <v>21</v>
      </c>
      <c r="J119" s="277">
        <f>SUM(J120:J124)</f>
        <v>0</v>
      </c>
      <c r="K119" s="280">
        <f>SUM(K120:K124)</f>
        <v>0</v>
      </c>
      <c r="L119" s="136">
        <f t="shared" si="12"/>
        <v>0</v>
      </c>
      <c r="M119" s="281">
        <f>SUM(M120:M124)</f>
        <v>0</v>
      </c>
      <c r="N119" s="282">
        <f>SUM(N120:N124)</f>
        <v>0</v>
      </c>
      <c r="O119" s="136">
        <f t="shared" si="13"/>
        <v>0</v>
      </c>
      <c r="P119" s="85"/>
    </row>
    <row r="120" spans="1:16" hidden="1" x14ac:dyDescent="0.25">
      <c r="A120" s="76">
        <v>2261</v>
      </c>
      <c r="B120" s="127" t="s">
        <v>136</v>
      </c>
      <c r="C120" s="128">
        <f t="shared" si="9"/>
        <v>0</v>
      </c>
      <c r="D120" s="134"/>
      <c r="E120" s="285"/>
      <c r="F120" s="286">
        <f t="shared" si="10"/>
        <v>0</v>
      </c>
      <c r="G120" s="134"/>
      <c r="H120" s="135"/>
      <c r="I120" s="136">
        <f t="shared" si="11"/>
        <v>0</v>
      </c>
      <c r="J120" s="134"/>
      <c r="K120" s="135"/>
      <c r="L120" s="136">
        <f t="shared" si="12"/>
        <v>0</v>
      </c>
      <c r="M120" s="284"/>
      <c r="N120" s="285"/>
      <c r="O120" s="136">
        <f t="shared" si="13"/>
        <v>0</v>
      </c>
      <c r="P120" s="85"/>
    </row>
    <row r="121" spans="1:16" hidden="1" x14ac:dyDescent="0.25">
      <c r="A121" s="76">
        <v>2262</v>
      </c>
      <c r="B121" s="127" t="s">
        <v>137</v>
      </c>
      <c r="C121" s="128">
        <f t="shared" si="9"/>
        <v>0</v>
      </c>
      <c r="D121" s="134"/>
      <c r="E121" s="285"/>
      <c r="F121" s="286">
        <f t="shared" si="10"/>
        <v>0</v>
      </c>
      <c r="G121" s="134"/>
      <c r="H121" s="135"/>
      <c r="I121" s="136">
        <f t="shared" si="11"/>
        <v>0</v>
      </c>
      <c r="J121" s="134"/>
      <c r="K121" s="135"/>
      <c r="L121" s="136">
        <f t="shared" si="12"/>
        <v>0</v>
      </c>
      <c r="M121" s="284"/>
      <c r="N121" s="285"/>
      <c r="O121" s="136">
        <f t="shared" si="13"/>
        <v>0</v>
      </c>
      <c r="P121" s="85"/>
    </row>
    <row r="122" spans="1:16" hidden="1" x14ac:dyDescent="0.25">
      <c r="A122" s="76">
        <v>2263</v>
      </c>
      <c r="B122" s="127" t="s">
        <v>138</v>
      </c>
      <c r="C122" s="128">
        <f t="shared" si="9"/>
        <v>0</v>
      </c>
      <c r="D122" s="134"/>
      <c r="E122" s="285"/>
      <c r="F122" s="286">
        <f t="shared" si="10"/>
        <v>0</v>
      </c>
      <c r="G122" s="134"/>
      <c r="H122" s="135"/>
      <c r="I122" s="136">
        <f t="shared" si="11"/>
        <v>0</v>
      </c>
      <c r="J122" s="134"/>
      <c r="K122" s="135"/>
      <c r="L122" s="136">
        <f t="shared" si="12"/>
        <v>0</v>
      </c>
      <c r="M122" s="284"/>
      <c r="N122" s="285"/>
      <c r="O122" s="136">
        <f t="shared" si="13"/>
        <v>0</v>
      </c>
      <c r="P122" s="85"/>
    </row>
    <row r="123" spans="1:16" ht="24" hidden="1" x14ac:dyDescent="0.25">
      <c r="A123" s="76">
        <v>2264</v>
      </c>
      <c r="B123" s="127" t="s">
        <v>139</v>
      </c>
      <c r="C123" s="128">
        <f t="shared" si="9"/>
        <v>0</v>
      </c>
      <c r="D123" s="134"/>
      <c r="E123" s="285"/>
      <c r="F123" s="286">
        <f t="shared" si="10"/>
        <v>0</v>
      </c>
      <c r="G123" s="134"/>
      <c r="H123" s="135"/>
      <c r="I123" s="136">
        <f t="shared" si="11"/>
        <v>0</v>
      </c>
      <c r="J123" s="134"/>
      <c r="K123" s="135"/>
      <c r="L123" s="136">
        <f t="shared" si="12"/>
        <v>0</v>
      </c>
      <c r="M123" s="284"/>
      <c r="N123" s="285"/>
      <c r="O123" s="136">
        <f t="shared" si="13"/>
        <v>0</v>
      </c>
      <c r="P123" s="85"/>
    </row>
    <row r="124" spans="1:16" x14ac:dyDescent="0.25">
      <c r="A124" s="76">
        <v>2269</v>
      </c>
      <c r="B124" s="127" t="s">
        <v>140</v>
      </c>
      <c r="C124" s="128">
        <f t="shared" si="9"/>
        <v>21</v>
      </c>
      <c r="D124" s="134"/>
      <c r="E124" s="283"/>
      <c r="F124" s="279">
        <f t="shared" si="10"/>
        <v>0</v>
      </c>
      <c r="G124" s="134">
        <v>21</v>
      </c>
      <c r="H124" s="135"/>
      <c r="I124" s="136">
        <f t="shared" si="11"/>
        <v>21</v>
      </c>
      <c r="J124" s="134"/>
      <c r="K124" s="135"/>
      <c r="L124" s="136">
        <f t="shared" si="12"/>
        <v>0</v>
      </c>
      <c r="M124" s="284"/>
      <c r="N124" s="285"/>
      <c r="O124" s="136">
        <f t="shared" si="13"/>
        <v>0</v>
      </c>
      <c r="P124" s="85"/>
    </row>
    <row r="125" spans="1:16" x14ac:dyDescent="0.25">
      <c r="A125" s="276">
        <v>2270</v>
      </c>
      <c r="B125" s="127" t="s">
        <v>141</v>
      </c>
      <c r="C125" s="128">
        <f t="shared" si="9"/>
        <v>50</v>
      </c>
      <c r="D125" s="277">
        <f>SUM(D126:D130)</f>
        <v>0</v>
      </c>
      <c r="E125" s="278">
        <f>SUM(E126:E130)</f>
        <v>0</v>
      </c>
      <c r="F125" s="279">
        <f t="shared" si="10"/>
        <v>0</v>
      </c>
      <c r="G125" s="277">
        <f>SUM(G126:G130)</f>
        <v>50</v>
      </c>
      <c r="H125" s="280">
        <f>SUM(H126:H130)</f>
        <v>0</v>
      </c>
      <c r="I125" s="136">
        <f t="shared" si="11"/>
        <v>50</v>
      </c>
      <c r="J125" s="277">
        <f>SUM(J126:J130)</f>
        <v>0</v>
      </c>
      <c r="K125" s="280">
        <f>SUM(K126:K130)</f>
        <v>0</v>
      </c>
      <c r="L125" s="136">
        <f t="shared" si="12"/>
        <v>0</v>
      </c>
      <c r="M125" s="281">
        <f>SUM(M126:M130)</f>
        <v>0</v>
      </c>
      <c r="N125" s="282">
        <f>SUM(N126:N130)</f>
        <v>0</v>
      </c>
      <c r="O125" s="136">
        <f t="shared" si="13"/>
        <v>0</v>
      </c>
      <c r="P125" s="85"/>
    </row>
    <row r="126" spans="1:16" hidden="1" x14ac:dyDescent="0.25">
      <c r="A126" s="76">
        <v>2272</v>
      </c>
      <c r="B126" s="5" t="s">
        <v>142</v>
      </c>
      <c r="C126" s="128">
        <f t="shared" si="9"/>
        <v>0</v>
      </c>
      <c r="D126" s="134"/>
      <c r="E126" s="285"/>
      <c r="F126" s="286">
        <f t="shared" si="10"/>
        <v>0</v>
      </c>
      <c r="G126" s="134"/>
      <c r="H126" s="135"/>
      <c r="I126" s="136">
        <f t="shared" si="11"/>
        <v>0</v>
      </c>
      <c r="J126" s="134"/>
      <c r="K126" s="135"/>
      <c r="L126" s="136">
        <f t="shared" si="12"/>
        <v>0</v>
      </c>
      <c r="M126" s="284"/>
      <c r="N126" s="285"/>
      <c r="O126" s="136">
        <f t="shared" si="13"/>
        <v>0</v>
      </c>
      <c r="P126" s="85"/>
    </row>
    <row r="127" spans="1:16" ht="24" hidden="1" x14ac:dyDescent="0.25">
      <c r="A127" s="76">
        <v>2275</v>
      </c>
      <c r="B127" s="127" t="s">
        <v>143</v>
      </c>
      <c r="C127" s="128">
        <f t="shared" si="9"/>
        <v>0</v>
      </c>
      <c r="D127" s="134"/>
      <c r="E127" s="285"/>
      <c r="F127" s="286">
        <f t="shared" si="10"/>
        <v>0</v>
      </c>
      <c r="G127" s="134"/>
      <c r="H127" s="135"/>
      <c r="I127" s="136">
        <f t="shared" si="11"/>
        <v>0</v>
      </c>
      <c r="J127" s="134"/>
      <c r="K127" s="135"/>
      <c r="L127" s="136">
        <f t="shared" si="12"/>
        <v>0</v>
      </c>
      <c r="M127" s="284"/>
      <c r="N127" s="285"/>
      <c r="O127" s="136">
        <f t="shared" si="13"/>
        <v>0</v>
      </c>
      <c r="P127" s="85"/>
    </row>
    <row r="128" spans="1:16" ht="36" hidden="1" x14ac:dyDescent="0.25">
      <c r="A128" s="76">
        <v>2276</v>
      </c>
      <c r="B128" s="127" t="s">
        <v>144</v>
      </c>
      <c r="C128" s="128">
        <f t="shared" si="9"/>
        <v>0</v>
      </c>
      <c r="D128" s="134"/>
      <c r="E128" s="285"/>
      <c r="F128" s="286">
        <f t="shared" si="10"/>
        <v>0</v>
      </c>
      <c r="G128" s="134"/>
      <c r="H128" s="135"/>
      <c r="I128" s="136">
        <f t="shared" si="11"/>
        <v>0</v>
      </c>
      <c r="J128" s="134"/>
      <c r="K128" s="135"/>
      <c r="L128" s="136">
        <f t="shared" si="12"/>
        <v>0</v>
      </c>
      <c r="M128" s="284"/>
      <c r="N128" s="285"/>
      <c r="O128" s="136">
        <f t="shared" si="13"/>
        <v>0</v>
      </c>
      <c r="P128" s="85"/>
    </row>
    <row r="129" spans="1:16" ht="24" hidden="1" x14ac:dyDescent="0.25">
      <c r="A129" s="76">
        <v>2278</v>
      </c>
      <c r="B129" s="127" t="s">
        <v>145</v>
      </c>
      <c r="C129" s="128">
        <f t="shared" si="9"/>
        <v>0</v>
      </c>
      <c r="D129" s="134"/>
      <c r="E129" s="285"/>
      <c r="F129" s="286">
        <f t="shared" si="10"/>
        <v>0</v>
      </c>
      <c r="G129" s="134"/>
      <c r="H129" s="135"/>
      <c r="I129" s="136">
        <f t="shared" si="11"/>
        <v>0</v>
      </c>
      <c r="J129" s="134"/>
      <c r="K129" s="135"/>
      <c r="L129" s="136">
        <f t="shared" si="12"/>
        <v>0</v>
      </c>
      <c r="M129" s="284"/>
      <c r="N129" s="285"/>
      <c r="O129" s="136">
        <f t="shared" si="13"/>
        <v>0</v>
      </c>
      <c r="P129" s="85"/>
    </row>
    <row r="130" spans="1:16" ht="24" x14ac:dyDescent="0.25">
      <c r="A130" s="265">
        <v>2279</v>
      </c>
      <c r="B130" s="266" t="s">
        <v>146</v>
      </c>
      <c r="C130" s="267">
        <f t="shared" si="9"/>
        <v>50</v>
      </c>
      <c r="D130" s="268"/>
      <c r="E130" s="269"/>
      <c r="F130" s="270">
        <f t="shared" si="10"/>
        <v>0</v>
      </c>
      <c r="G130" s="268">
        <v>50</v>
      </c>
      <c r="H130" s="271"/>
      <c r="I130" s="272">
        <f t="shared" si="11"/>
        <v>50</v>
      </c>
      <c r="J130" s="268"/>
      <c r="K130" s="271"/>
      <c r="L130" s="272">
        <f t="shared" si="12"/>
        <v>0</v>
      </c>
      <c r="M130" s="273"/>
      <c r="N130" s="274"/>
      <c r="O130" s="272">
        <f t="shared" si="13"/>
        <v>0</v>
      </c>
      <c r="P130" s="275"/>
    </row>
    <row r="131" spans="1:16" ht="24" hidden="1" x14ac:dyDescent="0.25">
      <c r="A131" s="656">
        <v>2280</v>
      </c>
      <c r="B131" s="116" t="s">
        <v>147</v>
      </c>
      <c r="C131" s="128">
        <f t="shared" si="9"/>
        <v>0</v>
      </c>
      <c r="D131" s="297">
        <f t="shared" ref="D131:N131" si="14">SUM(D132)</f>
        <v>0</v>
      </c>
      <c r="E131" s="301">
        <f t="shared" si="14"/>
        <v>0</v>
      </c>
      <c r="F131" s="263">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row>
    <row r="132" spans="1:16" ht="24" hidden="1" x14ac:dyDescent="0.25">
      <c r="A132" s="76">
        <v>2283</v>
      </c>
      <c r="B132" s="127" t="s">
        <v>148</v>
      </c>
      <c r="C132" s="128">
        <f t="shared" si="9"/>
        <v>0</v>
      </c>
      <c r="D132" s="134"/>
      <c r="E132" s="285"/>
      <c r="F132" s="286">
        <f t="shared" si="10"/>
        <v>0</v>
      </c>
      <c r="G132" s="134"/>
      <c r="H132" s="135"/>
      <c r="I132" s="136">
        <f t="shared" si="11"/>
        <v>0</v>
      </c>
      <c r="J132" s="134"/>
      <c r="K132" s="135"/>
      <c r="L132" s="136">
        <f t="shared" si="12"/>
        <v>0</v>
      </c>
      <c r="M132" s="284"/>
      <c r="N132" s="285"/>
      <c r="O132" s="136">
        <f t="shared" si="13"/>
        <v>0</v>
      </c>
      <c r="P132" s="85"/>
    </row>
    <row r="133" spans="1:16" ht="36" x14ac:dyDescent="0.25">
      <c r="A133" s="99">
        <v>2300</v>
      </c>
      <c r="B133" s="247" t="s">
        <v>149</v>
      </c>
      <c r="C133" s="100">
        <f t="shared" si="9"/>
        <v>24703</v>
      </c>
      <c r="D133" s="112">
        <f>SUM(D134,D139,D143,D144,D147,D154,D162,D163,D166)</f>
        <v>0</v>
      </c>
      <c r="E133" s="248">
        <f>SUM(E134,E139,E143,E144,E147,E154,E162,E163,E166)</f>
        <v>0</v>
      </c>
      <c r="F133" s="249">
        <f t="shared" si="10"/>
        <v>0</v>
      </c>
      <c r="G133" s="112">
        <f>SUM(G134,G139,G143,G144,G147,G154,G162,G163,G166)</f>
        <v>23631</v>
      </c>
      <c r="H133" s="113">
        <f>SUM(H134,H139,H143,H144,H147,H154,H162,H163,H166)</f>
        <v>0</v>
      </c>
      <c r="I133" s="114">
        <f t="shared" si="11"/>
        <v>23631</v>
      </c>
      <c r="J133" s="112">
        <f>SUM(J134,J139,J143,J144,J147,J154,J162,J163,J166)</f>
        <v>1072</v>
      </c>
      <c r="K133" s="113">
        <f>SUM(K134,K139,K143,K144,K147,K154,K162,K163,K166)</f>
        <v>0</v>
      </c>
      <c r="L133" s="114">
        <f t="shared" si="12"/>
        <v>1072</v>
      </c>
      <c r="M133" s="292">
        <f>SUM(M134,M139,M143,M144,M147,M154,M162,M163,M166)</f>
        <v>0</v>
      </c>
      <c r="N133" s="293">
        <f>SUM(N134,N139,N143,N144,N147,N154,N162,N163,N166)</f>
        <v>0</v>
      </c>
      <c r="O133" s="114">
        <f t="shared" si="13"/>
        <v>0</v>
      </c>
      <c r="P133" s="109"/>
    </row>
    <row r="134" spans="1:16" ht="24" x14ac:dyDescent="0.25">
      <c r="A134" s="656">
        <v>2310</v>
      </c>
      <c r="B134" s="116" t="s">
        <v>150</v>
      </c>
      <c r="C134" s="117">
        <f t="shared" si="9"/>
        <v>2913</v>
      </c>
      <c r="D134" s="308">
        <f>SUM(D135:D138)</f>
        <v>0</v>
      </c>
      <c r="E134" s="300">
        <f>SUM(E135:E138)</f>
        <v>0</v>
      </c>
      <c r="F134" s="296">
        <f t="shared" si="10"/>
        <v>0</v>
      </c>
      <c r="G134" s="297">
        <f>SUM(G135:G138)</f>
        <v>2913</v>
      </c>
      <c r="H134" s="299">
        <f>SUM(H135:H138)</f>
        <v>0</v>
      </c>
      <c r="I134" s="125">
        <f t="shared" si="11"/>
        <v>2913</v>
      </c>
      <c r="J134" s="297">
        <f>SUM(J135:J138)</f>
        <v>0</v>
      </c>
      <c r="K134" s="299">
        <f>SUM(K135:K138)</f>
        <v>0</v>
      </c>
      <c r="L134" s="125">
        <f t="shared" si="12"/>
        <v>0</v>
      </c>
      <c r="M134" s="300">
        <f>SUM(M135:M138)</f>
        <v>0</v>
      </c>
      <c r="N134" s="301">
        <f>SUM(N135:N138)</f>
        <v>0</v>
      </c>
      <c r="O134" s="125">
        <f t="shared" si="13"/>
        <v>0</v>
      </c>
      <c r="P134" s="74"/>
    </row>
    <row r="135" spans="1:16" ht="30" customHeight="1" x14ac:dyDescent="0.25">
      <c r="A135" s="265">
        <v>2311</v>
      </c>
      <c r="B135" s="266" t="s">
        <v>151</v>
      </c>
      <c r="C135" s="267">
        <f t="shared" si="9"/>
        <v>765</v>
      </c>
      <c r="D135" s="268"/>
      <c r="E135" s="269"/>
      <c r="F135" s="270">
        <f t="shared" si="10"/>
        <v>0</v>
      </c>
      <c r="G135" s="268">
        <v>765</v>
      </c>
      <c r="H135" s="271"/>
      <c r="I135" s="272">
        <f t="shared" si="11"/>
        <v>765</v>
      </c>
      <c r="J135" s="268"/>
      <c r="K135" s="271"/>
      <c r="L135" s="272">
        <f t="shared" si="12"/>
        <v>0</v>
      </c>
      <c r="M135" s="273"/>
      <c r="N135" s="274"/>
      <c r="O135" s="272">
        <f t="shared" si="13"/>
        <v>0</v>
      </c>
      <c r="P135" s="275"/>
    </row>
    <row r="136" spans="1:16" x14ac:dyDescent="0.25">
      <c r="A136" s="265">
        <v>2312</v>
      </c>
      <c r="B136" s="266" t="s">
        <v>152</v>
      </c>
      <c r="C136" s="267">
        <f t="shared" si="9"/>
        <v>1937</v>
      </c>
      <c r="D136" s="268"/>
      <c r="E136" s="269"/>
      <c r="F136" s="270">
        <f t="shared" si="10"/>
        <v>0</v>
      </c>
      <c r="G136" s="268">
        <v>1937</v>
      </c>
      <c r="H136" s="271"/>
      <c r="I136" s="272">
        <f t="shared" si="11"/>
        <v>1937</v>
      </c>
      <c r="J136" s="268"/>
      <c r="K136" s="271"/>
      <c r="L136" s="272">
        <f t="shared" si="12"/>
        <v>0</v>
      </c>
      <c r="M136" s="273"/>
      <c r="N136" s="274"/>
      <c r="O136" s="272">
        <f t="shared" si="13"/>
        <v>0</v>
      </c>
      <c r="P136" s="275"/>
    </row>
    <row r="137" spans="1:16" x14ac:dyDescent="0.25">
      <c r="A137" s="265">
        <v>2313</v>
      </c>
      <c r="B137" s="266" t="s">
        <v>153</v>
      </c>
      <c r="C137" s="267">
        <f t="shared" si="9"/>
        <v>211</v>
      </c>
      <c r="D137" s="268"/>
      <c r="E137" s="269"/>
      <c r="F137" s="270">
        <f t="shared" si="10"/>
        <v>0</v>
      </c>
      <c r="G137" s="268">
        <v>211</v>
      </c>
      <c r="H137" s="271"/>
      <c r="I137" s="272">
        <f t="shared" si="11"/>
        <v>211</v>
      </c>
      <c r="J137" s="268"/>
      <c r="K137" s="271"/>
      <c r="L137" s="272">
        <f t="shared" si="12"/>
        <v>0</v>
      </c>
      <c r="M137" s="273"/>
      <c r="N137" s="274"/>
      <c r="O137" s="272">
        <f t="shared" si="13"/>
        <v>0</v>
      </c>
      <c r="P137" s="275"/>
    </row>
    <row r="138" spans="1:16" ht="36" hidden="1" x14ac:dyDescent="0.25">
      <c r="A138" s="76">
        <v>2314</v>
      </c>
      <c r="B138" s="127" t="s">
        <v>154</v>
      </c>
      <c r="C138" s="128">
        <f t="shared" si="9"/>
        <v>0</v>
      </c>
      <c r="D138" s="134"/>
      <c r="E138" s="285"/>
      <c r="F138" s="286">
        <f t="shared" si="10"/>
        <v>0</v>
      </c>
      <c r="G138" s="134"/>
      <c r="H138" s="135"/>
      <c r="I138" s="136">
        <f t="shared" si="11"/>
        <v>0</v>
      </c>
      <c r="J138" s="134"/>
      <c r="K138" s="135"/>
      <c r="L138" s="136">
        <f t="shared" si="12"/>
        <v>0</v>
      </c>
      <c r="M138" s="284"/>
      <c r="N138" s="285"/>
      <c r="O138" s="136">
        <f t="shared" si="13"/>
        <v>0</v>
      </c>
      <c r="P138" s="85"/>
    </row>
    <row r="139" spans="1:16" x14ac:dyDescent="0.25">
      <c r="A139" s="276">
        <v>2320</v>
      </c>
      <c r="B139" s="127" t="s">
        <v>155</v>
      </c>
      <c r="C139" s="128">
        <f t="shared" si="9"/>
        <v>20</v>
      </c>
      <c r="D139" s="277">
        <f>SUM(D140:D142)</f>
        <v>0</v>
      </c>
      <c r="E139" s="278">
        <f>SUM(E140:E142)</f>
        <v>0</v>
      </c>
      <c r="F139" s="279">
        <f t="shared" si="10"/>
        <v>0</v>
      </c>
      <c r="G139" s="277">
        <f>SUM(G140:G142)</f>
        <v>20</v>
      </c>
      <c r="H139" s="280">
        <f>SUM(H140:H142)</f>
        <v>0</v>
      </c>
      <c r="I139" s="136">
        <f t="shared" si="11"/>
        <v>20</v>
      </c>
      <c r="J139" s="277">
        <f>SUM(J140:J142)</f>
        <v>0</v>
      </c>
      <c r="K139" s="280">
        <f>SUM(K140:K142)</f>
        <v>0</v>
      </c>
      <c r="L139" s="136">
        <f t="shared" si="12"/>
        <v>0</v>
      </c>
      <c r="M139" s="281">
        <f>SUM(M140:M142)</f>
        <v>0</v>
      </c>
      <c r="N139" s="282">
        <f>SUM(N140:N142)</f>
        <v>0</v>
      </c>
      <c r="O139" s="136">
        <f t="shared" si="13"/>
        <v>0</v>
      </c>
      <c r="P139" s="85"/>
    </row>
    <row r="140" spans="1:16" hidden="1" x14ac:dyDescent="0.25">
      <c r="A140" s="76">
        <v>2321</v>
      </c>
      <c r="B140" s="127" t="s">
        <v>156</v>
      </c>
      <c r="C140" s="128">
        <f t="shared" si="9"/>
        <v>0</v>
      </c>
      <c r="D140" s="134"/>
      <c r="E140" s="285"/>
      <c r="F140" s="286">
        <f t="shared" si="10"/>
        <v>0</v>
      </c>
      <c r="G140" s="134"/>
      <c r="H140" s="135"/>
      <c r="I140" s="136">
        <f t="shared" si="11"/>
        <v>0</v>
      </c>
      <c r="J140" s="134"/>
      <c r="K140" s="135"/>
      <c r="L140" s="136">
        <f t="shared" si="12"/>
        <v>0</v>
      </c>
      <c r="M140" s="284"/>
      <c r="N140" s="285"/>
      <c r="O140" s="136">
        <f t="shared" si="13"/>
        <v>0</v>
      </c>
      <c r="P140" s="85"/>
    </row>
    <row r="141" spans="1:16" x14ac:dyDescent="0.25">
      <c r="A141" s="76">
        <v>2322</v>
      </c>
      <c r="B141" s="127" t="s">
        <v>157</v>
      </c>
      <c r="C141" s="128">
        <f t="shared" si="9"/>
        <v>20</v>
      </c>
      <c r="D141" s="134"/>
      <c r="E141" s="283"/>
      <c r="F141" s="279">
        <f t="shared" si="10"/>
        <v>0</v>
      </c>
      <c r="G141" s="134">
        <v>20</v>
      </c>
      <c r="H141" s="135"/>
      <c r="I141" s="136">
        <f t="shared" si="11"/>
        <v>20</v>
      </c>
      <c r="J141" s="134"/>
      <c r="K141" s="135"/>
      <c r="L141" s="136">
        <f t="shared" si="12"/>
        <v>0</v>
      </c>
      <c r="M141" s="284"/>
      <c r="N141" s="285"/>
      <c r="O141" s="136">
        <f t="shared" si="13"/>
        <v>0</v>
      </c>
      <c r="P141" s="85"/>
    </row>
    <row r="142" spans="1:16" hidden="1" x14ac:dyDescent="0.25">
      <c r="A142" s="76">
        <v>2329</v>
      </c>
      <c r="B142" s="127" t="s">
        <v>158</v>
      </c>
      <c r="C142" s="128">
        <f t="shared" si="9"/>
        <v>0</v>
      </c>
      <c r="D142" s="134"/>
      <c r="E142" s="285"/>
      <c r="F142" s="286">
        <f t="shared" si="10"/>
        <v>0</v>
      </c>
      <c r="G142" s="134"/>
      <c r="H142" s="135"/>
      <c r="I142" s="136">
        <f t="shared" si="11"/>
        <v>0</v>
      </c>
      <c r="J142" s="134"/>
      <c r="K142" s="135"/>
      <c r="L142" s="136">
        <f t="shared" si="12"/>
        <v>0</v>
      </c>
      <c r="M142" s="284"/>
      <c r="N142" s="285"/>
      <c r="O142" s="136">
        <f t="shared" si="13"/>
        <v>0</v>
      </c>
      <c r="P142" s="85"/>
    </row>
    <row r="143" spans="1:16" hidden="1" x14ac:dyDescent="0.25">
      <c r="A143" s="276">
        <v>2330</v>
      </c>
      <c r="B143" s="127" t="s">
        <v>159</v>
      </c>
      <c r="C143" s="128">
        <f t="shared" si="9"/>
        <v>0</v>
      </c>
      <c r="D143" s="134"/>
      <c r="E143" s="285"/>
      <c r="F143" s="286">
        <f t="shared" si="10"/>
        <v>0</v>
      </c>
      <c r="G143" s="134"/>
      <c r="H143" s="135"/>
      <c r="I143" s="136">
        <f t="shared" si="11"/>
        <v>0</v>
      </c>
      <c r="J143" s="134"/>
      <c r="K143" s="135"/>
      <c r="L143" s="136">
        <f t="shared" si="12"/>
        <v>0</v>
      </c>
      <c r="M143" s="284"/>
      <c r="N143" s="285"/>
      <c r="O143" s="136">
        <f t="shared" si="13"/>
        <v>0</v>
      </c>
      <c r="P143" s="85"/>
    </row>
    <row r="144" spans="1:16" ht="48" x14ac:dyDescent="0.25">
      <c r="A144" s="276">
        <v>2340</v>
      </c>
      <c r="B144" s="127" t="s">
        <v>160</v>
      </c>
      <c r="C144" s="128">
        <f t="shared" si="9"/>
        <v>35</v>
      </c>
      <c r="D144" s="277">
        <f>SUM(D145:D146)</f>
        <v>0</v>
      </c>
      <c r="E144" s="278">
        <f>SUM(E145:E146)</f>
        <v>0</v>
      </c>
      <c r="F144" s="279">
        <f t="shared" si="10"/>
        <v>0</v>
      </c>
      <c r="G144" s="277">
        <f>SUM(G145:G146)</f>
        <v>35</v>
      </c>
      <c r="H144" s="280">
        <f>SUM(H145:H146)</f>
        <v>0</v>
      </c>
      <c r="I144" s="136">
        <f t="shared" si="11"/>
        <v>35</v>
      </c>
      <c r="J144" s="277">
        <f>SUM(J145:J146)</f>
        <v>0</v>
      </c>
      <c r="K144" s="280">
        <f>SUM(K145:K146)</f>
        <v>0</v>
      </c>
      <c r="L144" s="136">
        <f t="shared" si="12"/>
        <v>0</v>
      </c>
      <c r="M144" s="281">
        <f>SUM(M145:M146)</f>
        <v>0</v>
      </c>
      <c r="N144" s="282">
        <f>SUM(N145:N146)</f>
        <v>0</v>
      </c>
      <c r="O144" s="136">
        <f t="shared" si="13"/>
        <v>0</v>
      </c>
      <c r="P144" s="85"/>
    </row>
    <row r="145" spans="1:16" x14ac:dyDescent="0.25">
      <c r="A145" s="76">
        <v>2341</v>
      </c>
      <c r="B145" s="127" t="s">
        <v>161</v>
      </c>
      <c r="C145" s="128">
        <f t="shared" si="9"/>
        <v>35</v>
      </c>
      <c r="D145" s="134"/>
      <c r="E145" s="283"/>
      <c r="F145" s="279">
        <f t="shared" si="10"/>
        <v>0</v>
      </c>
      <c r="G145" s="134">
        <v>35</v>
      </c>
      <c r="H145" s="135"/>
      <c r="I145" s="136">
        <f t="shared" si="11"/>
        <v>35</v>
      </c>
      <c r="J145" s="134"/>
      <c r="K145" s="135"/>
      <c r="L145" s="136">
        <f t="shared" si="12"/>
        <v>0</v>
      </c>
      <c r="M145" s="284"/>
      <c r="N145" s="285"/>
      <c r="O145" s="136">
        <f t="shared" si="13"/>
        <v>0</v>
      </c>
      <c r="P145" s="85"/>
    </row>
    <row r="146" spans="1:16" ht="24" hidden="1" x14ac:dyDescent="0.25">
      <c r="A146" s="76">
        <v>2344</v>
      </c>
      <c r="B146" s="127" t="s">
        <v>162</v>
      </c>
      <c r="C146" s="128">
        <f t="shared" si="9"/>
        <v>0</v>
      </c>
      <c r="D146" s="134"/>
      <c r="E146" s="285"/>
      <c r="F146" s="286">
        <f t="shared" si="10"/>
        <v>0</v>
      </c>
      <c r="G146" s="134"/>
      <c r="H146" s="135"/>
      <c r="I146" s="136">
        <f t="shared" si="11"/>
        <v>0</v>
      </c>
      <c r="J146" s="134"/>
      <c r="K146" s="135"/>
      <c r="L146" s="136">
        <f t="shared" si="12"/>
        <v>0</v>
      </c>
      <c r="M146" s="284"/>
      <c r="N146" s="285"/>
      <c r="O146" s="136">
        <f t="shared" si="13"/>
        <v>0</v>
      </c>
      <c r="P146" s="85"/>
    </row>
    <row r="147" spans="1:16" ht="24" x14ac:dyDescent="0.25">
      <c r="A147" s="254">
        <v>2350</v>
      </c>
      <c r="B147" s="179" t="s">
        <v>163</v>
      </c>
      <c r="C147" s="128">
        <f t="shared" si="9"/>
        <v>1735</v>
      </c>
      <c r="D147" s="255">
        <f>SUM(D148:D153)</f>
        <v>0</v>
      </c>
      <c r="E147" s="256">
        <f>SUM(E148:E153)</f>
        <v>0</v>
      </c>
      <c r="F147" s="257">
        <f t="shared" si="10"/>
        <v>0</v>
      </c>
      <c r="G147" s="255">
        <f>SUM(G148:G153)</f>
        <v>1735</v>
      </c>
      <c r="H147" s="258">
        <f>SUM(H148:H153)</f>
        <v>0</v>
      </c>
      <c r="I147" s="259">
        <f t="shared" si="11"/>
        <v>1735</v>
      </c>
      <c r="J147" s="255">
        <f>SUM(J148:J153)</f>
        <v>0</v>
      </c>
      <c r="K147" s="258">
        <f>SUM(K148:K153)</f>
        <v>0</v>
      </c>
      <c r="L147" s="259">
        <f t="shared" si="12"/>
        <v>0</v>
      </c>
      <c r="M147" s="260">
        <f>SUM(M148:M153)</f>
        <v>0</v>
      </c>
      <c r="N147" s="261">
        <f>SUM(N148:N153)</f>
        <v>0</v>
      </c>
      <c r="O147" s="259">
        <f t="shared" si="13"/>
        <v>0</v>
      </c>
      <c r="P147" s="189"/>
    </row>
    <row r="148" spans="1:16" ht="12.75" customHeight="1" x14ac:dyDescent="0.25">
      <c r="A148" s="66">
        <v>2351</v>
      </c>
      <c r="B148" s="116" t="s">
        <v>164</v>
      </c>
      <c r="C148" s="128">
        <f t="shared" si="9"/>
        <v>100</v>
      </c>
      <c r="D148" s="123"/>
      <c r="E148" s="295"/>
      <c r="F148" s="296">
        <f t="shared" si="10"/>
        <v>0</v>
      </c>
      <c r="G148" s="123">
        <v>100</v>
      </c>
      <c r="H148" s="124"/>
      <c r="I148" s="125">
        <f t="shared" si="11"/>
        <v>100</v>
      </c>
      <c r="J148" s="123"/>
      <c r="K148" s="124"/>
      <c r="L148" s="125">
        <f t="shared" si="12"/>
        <v>0</v>
      </c>
      <c r="M148" s="264"/>
      <c r="N148" s="262"/>
      <c r="O148" s="125">
        <f t="shared" si="13"/>
        <v>0</v>
      </c>
      <c r="P148" s="74"/>
    </row>
    <row r="149" spans="1:16" x14ac:dyDescent="0.25">
      <c r="A149" s="265">
        <v>2352</v>
      </c>
      <c r="B149" s="266" t="s">
        <v>165</v>
      </c>
      <c r="C149" s="267">
        <f t="shared" si="9"/>
        <v>1635</v>
      </c>
      <c r="D149" s="268"/>
      <c r="E149" s="269"/>
      <c r="F149" s="270">
        <f t="shared" si="10"/>
        <v>0</v>
      </c>
      <c r="G149" s="268">
        <v>1635</v>
      </c>
      <c r="H149" s="271"/>
      <c r="I149" s="272">
        <f t="shared" si="11"/>
        <v>1635</v>
      </c>
      <c r="J149" s="268"/>
      <c r="K149" s="271"/>
      <c r="L149" s="272">
        <f t="shared" si="12"/>
        <v>0</v>
      </c>
      <c r="M149" s="273"/>
      <c r="N149" s="274"/>
      <c r="O149" s="272">
        <f t="shared" si="13"/>
        <v>0</v>
      </c>
      <c r="P149" s="275"/>
    </row>
    <row r="150" spans="1:16" ht="24" hidden="1" x14ac:dyDescent="0.25">
      <c r="A150" s="76">
        <v>2353</v>
      </c>
      <c r="B150" s="127" t="s">
        <v>166</v>
      </c>
      <c r="C150" s="128">
        <f t="shared" si="9"/>
        <v>0</v>
      </c>
      <c r="D150" s="134"/>
      <c r="E150" s="285"/>
      <c r="F150" s="286">
        <f t="shared" si="10"/>
        <v>0</v>
      </c>
      <c r="G150" s="134"/>
      <c r="H150" s="135"/>
      <c r="I150" s="136">
        <f t="shared" si="11"/>
        <v>0</v>
      </c>
      <c r="J150" s="134"/>
      <c r="K150" s="135"/>
      <c r="L150" s="136">
        <f t="shared" si="12"/>
        <v>0</v>
      </c>
      <c r="M150" s="284"/>
      <c r="N150" s="285"/>
      <c r="O150" s="136">
        <f t="shared" si="13"/>
        <v>0</v>
      </c>
      <c r="P150" s="85"/>
    </row>
    <row r="151" spans="1:16" ht="24" hidden="1" x14ac:dyDescent="0.25">
      <c r="A151" s="76">
        <v>2354</v>
      </c>
      <c r="B151" s="127" t="s">
        <v>167</v>
      </c>
      <c r="C151" s="128">
        <f t="shared" si="9"/>
        <v>0</v>
      </c>
      <c r="D151" s="134"/>
      <c r="E151" s="285"/>
      <c r="F151" s="286">
        <f t="shared" si="10"/>
        <v>0</v>
      </c>
      <c r="G151" s="134"/>
      <c r="H151" s="135"/>
      <c r="I151" s="136">
        <f t="shared" si="11"/>
        <v>0</v>
      </c>
      <c r="J151" s="134"/>
      <c r="K151" s="135"/>
      <c r="L151" s="136">
        <f t="shared" si="12"/>
        <v>0</v>
      </c>
      <c r="M151" s="284"/>
      <c r="N151" s="285"/>
      <c r="O151" s="136">
        <f t="shared" si="13"/>
        <v>0</v>
      </c>
      <c r="P151" s="85"/>
    </row>
    <row r="152" spans="1:16" ht="24" hidden="1" x14ac:dyDescent="0.25">
      <c r="A152" s="76">
        <v>2355</v>
      </c>
      <c r="B152" s="127" t="s">
        <v>168</v>
      </c>
      <c r="C152" s="128">
        <f t="shared" si="9"/>
        <v>0</v>
      </c>
      <c r="D152" s="134"/>
      <c r="E152" s="285"/>
      <c r="F152" s="286">
        <f t="shared" si="10"/>
        <v>0</v>
      </c>
      <c r="G152" s="134"/>
      <c r="H152" s="135"/>
      <c r="I152" s="136">
        <f t="shared" si="11"/>
        <v>0</v>
      </c>
      <c r="J152" s="134"/>
      <c r="K152" s="135"/>
      <c r="L152" s="136">
        <f t="shared" si="12"/>
        <v>0</v>
      </c>
      <c r="M152" s="284"/>
      <c r="N152" s="285"/>
      <c r="O152" s="136">
        <f t="shared" si="13"/>
        <v>0</v>
      </c>
      <c r="P152" s="85"/>
    </row>
    <row r="153" spans="1:16" ht="24" hidden="1" x14ac:dyDescent="0.25">
      <c r="A153" s="76">
        <v>2359</v>
      </c>
      <c r="B153" s="127" t="s">
        <v>169</v>
      </c>
      <c r="C153" s="128">
        <f t="shared" si="9"/>
        <v>0</v>
      </c>
      <c r="D153" s="134"/>
      <c r="E153" s="285"/>
      <c r="F153" s="286">
        <f t="shared" si="10"/>
        <v>0</v>
      </c>
      <c r="G153" s="134"/>
      <c r="H153" s="135"/>
      <c r="I153" s="136">
        <f t="shared" si="11"/>
        <v>0</v>
      </c>
      <c r="J153" s="134"/>
      <c r="K153" s="135"/>
      <c r="L153" s="136">
        <f t="shared" si="12"/>
        <v>0</v>
      </c>
      <c r="M153" s="284"/>
      <c r="N153" s="285"/>
      <c r="O153" s="136">
        <f t="shared" si="13"/>
        <v>0</v>
      </c>
      <c r="P153" s="85"/>
    </row>
    <row r="154" spans="1:16" ht="24" x14ac:dyDescent="0.25">
      <c r="A154" s="276">
        <v>2360</v>
      </c>
      <c r="B154" s="127" t="s">
        <v>170</v>
      </c>
      <c r="C154" s="128">
        <f t="shared" si="9"/>
        <v>19161</v>
      </c>
      <c r="D154" s="277">
        <f>SUM(D155:D161)</f>
        <v>0</v>
      </c>
      <c r="E154" s="278">
        <f>SUM(E155:E161)</f>
        <v>0</v>
      </c>
      <c r="F154" s="279">
        <f t="shared" si="10"/>
        <v>0</v>
      </c>
      <c r="G154" s="277">
        <f>SUM(G155:G161)</f>
        <v>18089</v>
      </c>
      <c r="H154" s="280">
        <f>SUM(H155:H161)</f>
        <v>0</v>
      </c>
      <c r="I154" s="136">
        <f t="shared" si="11"/>
        <v>18089</v>
      </c>
      <c r="J154" s="277">
        <f>SUM(J155:J161)</f>
        <v>1072</v>
      </c>
      <c r="K154" s="280">
        <f>SUM(K155:K161)</f>
        <v>0</v>
      </c>
      <c r="L154" s="136">
        <f t="shared" si="12"/>
        <v>1072</v>
      </c>
      <c r="M154" s="281">
        <f>SUM(M155:M161)</f>
        <v>0</v>
      </c>
      <c r="N154" s="282">
        <f>SUM(N155:N161)</f>
        <v>0</v>
      </c>
      <c r="O154" s="136">
        <f t="shared" si="13"/>
        <v>0</v>
      </c>
      <c r="P154" s="85"/>
    </row>
    <row r="155" spans="1:16" x14ac:dyDescent="0.25">
      <c r="A155" s="781">
        <v>2361</v>
      </c>
      <c r="B155" s="266" t="s">
        <v>171</v>
      </c>
      <c r="C155" s="267">
        <f t="shared" si="9"/>
        <v>397</v>
      </c>
      <c r="D155" s="268"/>
      <c r="E155" s="269"/>
      <c r="F155" s="270">
        <f t="shared" si="10"/>
        <v>0</v>
      </c>
      <c r="G155" s="268">
        <v>397</v>
      </c>
      <c r="H155" s="271"/>
      <c r="I155" s="272">
        <f t="shared" si="11"/>
        <v>397</v>
      </c>
      <c r="J155" s="268"/>
      <c r="K155" s="271"/>
      <c r="L155" s="272">
        <f t="shared" si="12"/>
        <v>0</v>
      </c>
      <c r="M155" s="273"/>
      <c r="N155" s="274"/>
      <c r="O155" s="272">
        <f t="shared" si="13"/>
        <v>0</v>
      </c>
      <c r="P155" s="275"/>
    </row>
    <row r="156" spans="1:16" ht="24" x14ac:dyDescent="0.2">
      <c r="A156" s="781">
        <v>2362</v>
      </c>
      <c r="B156" s="266" t="s">
        <v>172</v>
      </c>
      <c r="C156" s="267">
        <f t="shared" si="9"/>
        <v>150</v>
      </c>
      <c r="D156" s="268"/>
      <c r="E156" s="269"/>
      <c r="F156" s="270">
        <f t="shared" si="10"/>
        <v>0</v>
      </c>
      <c r="G156" s="268">
        <v>150</v>
      </c>
      <c r="H156" s="271"/>
      <c r="I156" s="272">
        <f t="shared" si="11"/>
        <v>150</v>
      </c>
      <c r="J156" s="268"/>
      <c r="K156" s="271"/>
      <c r="L156" s="272">
        <f t="shared" si="12"/>
        <v>0</v>
      </c>
      <c r="M156" s="273"/>
      <c r="N156" s="274"/>
      <c r="O156" s="272">
        <f t="shared" si="13"/>
        <v>0</v>
      </c>
      <c r="P156" s="911"/>
    </row>
    <row r="157" spans="1:16" x14ac:dyDescent="0.25">
      <c r="A157" s="781">
        <v>2363</v>
      </c>
      <c r="B157" s="266" t="s">
        <v>173</v>
      </c>
      <c r="C157" s="267">
        <f t="shared" si="9"/>
        <v>18614</v>
      </c>
      <c r="D157" s="268"/>
      <c r="E157" s="269"/>
      <c r="F157" s="270">
        <f t="shared" si="10"/>
        <v>0</v>
      </c>
      <c r="G157" s="268">
        <v>17542</v>
      </c>
      <c r="H157" s="271"/>
      <c r="I157" s="272">
        <f t="shared" si="11"/>
        <v>17542</v>
      </c>
      <c r="J157" s="268">
        <v>1072</v>
      </c>
      <c r="K157" s="271"/>
      <c r="L157" s="272">
        <f t="shared" si="12"/>
        <v>1072</v>
      </c>
      <c r="M157" s="273"/>
      <c r="N157" s="274"/>
      <c r="O157" s="272">
        <f t="shared" si="13"/>
        <v>0</v>
      </c>
      <c r="P157" s="275"/>
    </row>
    <row r="158" spans="1:16" hidden="1" x14ac:dyDescent="0.25">
      <c r="A158" s="75">
        <v>2364</v>
      </c>
      <c r="B158" s="127" t="s">
        <v>174</v>
      </c>
      <c r="C158" s="128">
        <f t="shared" si="9"/>
        <v>0</v>
      </c>
      <c r="D158" s="134"/>
      <c r="E158" s="285"/>
      <c r="F158" s="286">
        <f t="shared" si="10"/>
        <v>0</v>
      </c>
      <c r="G158" s="134"/>
      <c r="H158" s="135"/>
      <c r="I158" s="136">
        <f t="shared" si="11"/>
        <v>0</v>
      </c>
      <c r="J158" s="134"/>
      <c r="K158" s="135"/>
      <c r="L158" s="136">
        <f t="shared" si="12"/>
        <v>0</v>
      </c>
      <c r="M158" s="284"/>
      <c r="N158" s="285"/>
      <c r="O158" s="136">
        <f t="shared" si="13"/>
        <v>0</v>
      </c>
      <c r="P158" s="85"/>
    </row>
    <row r="159" spans="1:16" hidden="1" x14ac:dyDescent="0.25">
      <c r="A159" s="75">
        <v>2365</v>
      </c>
      <c r="B159" s="127" t="s">
        <v>175</v>
      </c>
      <c r="C159" s="128">
        <f t="shared" si="9"/>
        <v>0</v>
      </c>
      <c r="D159" s="134"/>
      <c r="E159" s="285"/>
      <c r="F159" s="286">
        <f t="shared" si="10"/>
        <v>0</v>
      </c>
      <c r="G159" s="134"/>
      <c r="H159" s="135"/>
      <c r="I159" s="136">
        <f t="shared" si="11"/>
        <v>0</v>
      </c>
      <c r="J159" s="134"/>
      <c r="K159" s="135"/>
      <c r="L159" s="136">
        <f t="shared" si="12"/>
        <v>0</v>
      </c>
      <c r="M159" s="284"/>
      <c r="N159" s="285"/>
      <c r="O159" s="136">
        <f t="shared" si="13"/>
        <v>0</v>
      </c>
      <c r="P159" s="85"/>
    </row>
    <row r="160" spans="1:16" ht="36" hidden="1" x14ac:dyDescent="0.25">
      <c r="A160" s="75">
        <v>2366</v>
      </c>
      <c r="B160" s="127" t="s">
        <v>176</v>
      </c>
      <c r="C160" s="128">
        <f t="shared" si="9"/>
        <v>0</v>
      </c>
      <c r="D160" s="134"/>
      <c r="E160" s="285"/>
      <c r="F160" s="286">
        <f t="shared" si="10"/>
        <v>0</v>
      </c>
      <c r="G160" s="134"/>
      <c r="H160" s="135"/>
      <c r="I160" s="136">
        <f t="shared" si="11"/>
        <v>0</v>
      </c>
      <c r="J160" s="134"/>
      <c r="K160" s="135"/>
      <c r="L160" s="136">
        <f t="shared" si="12"/>
        <v>0</v>
      </c>
      <c r="M160" s="284"/>
      <c r="N160" s="285"/>
      <c r="O160" s="136">
        <f t="shared" si="13"/>
        <v>0</v>
      </c>
      <c r="P160" s="85"/>
    </row>
    <row r="161" spans="1:16" ht="48" hidden="1" x14ac:dyDescent="0.25">
      <c r="A161" s="75">
        <v>2369</v>
      </c>
      <c r="B161" s="127" t="s">
        <v>177</v>
      </c>
      <c r="C161" s="128">
        <f t="shared" si="9"/>
        <v>0</v>
      </c>
      <c r="D161" s="134"/>
      <c r="E161" s="285"/>
      <c r="F161" s="286">
        <f t="shared" si="10"/>
        <v>0</v>
      </c>
      <c r="G161" s="134"/>
      <c r="H161" s="135"/>
      <c r="I161" s="136">
        <f t="shared" si="11"/>
        <v>0</v>
      </c>
      <c r="J161" s="134"/>
      <c r="K161" s="135"/>
      <c r="L161" s="136">
        <f t="shared" si="12"/>
        <v>0</v>
      </c>
      <c r="M161" s="284"/>
      <c r="N161" s="285"/>
      <c r="O161" s="136">
        <f t="shared" si="13"/>
        <v>0</v>
      </c>
      <c r="P161" s="85"/>
    </row>
    <row r="162" spans="1:16" x14ac:dyDescent="0.25">
      <c r="A162" s="789">
        <v>2370</v>
      </c>
      <c r="B162" s="790" t="s">
        <v>178</v>
      </c>
      <c r="C162" s="267">
        <f t="shared" si="9"/>
        <v>839</v>
      </c>
      <c r="D162" s="791"/>
      <c r="E162" s="792"/>
      <c r="F162" s="793">
        <f t="shared" si="10"/>
        <v>0</v>
      </c>
      <c r="G162" s="791">
        <v>839</v>
      </c>
      <c r="H162" s="794"/>
      <c r="I162" s="795">
        <f t="shared" si="11"/>
        <v>839</v>
      </c>
      <c r="J162" s="791"/>
      <c r="K162" s="794"/>
      <c r="L162" s="795">
        <f t="shared" si="12"/>
        <v>0</v>
      </c>
      <c r="M162" s="796"/>
      <c r="N162" s="797"/>
      <c r="O162" s="795">
        <f t="shared" si="13"/>
        <v>0</v>
      </c>
      <c r="P162" s="275"/>
    </row>
    <row r="163" spans="1:16" hidden="1" x14ac:dyDescent="0.25">
      <c r="A163" s="254">
        <v>2380</v>
      </c>
      <c r="B163" s="179" t="s">
        <v>179</v>
      </c>
      <c r="C163" s="128">
        <f t="shared" si="9"/>
        <v>0</v>
      </c>
      <c r="D163" s="255">
        <f>SUM(D164:D165)</f>
        <v>0</v>
      </c>
      <c r="E163" s="261">
        <f>SUM(E164:E165)</f>
        <v>0</v>
      </c>
      <c r="F163" s="310">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row>
    <row r="164" spans="1:16" hidden="1" x14ac:dyDescent="0.25">
      <c r="A164" s="65">
        <v>2381</v>
      </c>
      <c r="B164" s="116" t="s">
        <v>180</v>
      </c>
      <c r="C164" s="128">
        <f t="shared" si="9"/>
        <v>0</v>
      </c>
      <c r="D164" s="123"/>
      <c r="E164" s="262"/>
      <c r="F164" s="263">
        <f t="shared" si="10"/>
        <v>0</v>
      </c>
      <c r="G164" s="123"/>
      <c r="H164" s="124"/>
      <c r="I164" s="125">
        <f t="shared" si="11"/>
        <v>0</v>
      </c>
      <c r="J164" s="123"/>
      <c r="K164" s="124"/>
      <c r="L164" s="125">
        <f t="shared" si="12"/>
        <v>0</v>
      </c>
      <c r="M164" s="264"/>
      <c r="N164" s="262"/>
      <c r="O164" s="125">
        <f t="shared" si="13"/>
        <v>0</v>
      </c>
      <c r="P164" s="74"/>
    </row>
    <row r="165" spans="1:16" ht="24" hidden="1" x14ac:dyDescent="0.25">
      <c r="A165" s="75">
        <v>2389</v>
      </c>
      <c r="B165" s="127" t="s">
        <v>181</v>
      </c>
      <c r="C165" s="128">
        <f t="shared" si="9"/>
        <v>0</v>
      </c>
      <c r="D165" s="134"/>
      <c r="E165" s="285"/>
      <c r="F165" s="286">
        <f t="shared" si="10"/>
        <v>0</v>
      </c>
      <c r="G165" s="134"/>
      <c r="H165" s="135"/>
      <c r="I165" s="136">
        <f t="shared" si="11"/>
        <v>0</v>
      </c>
      <c r="J165" s="134"/>
      <c r="K165" s="135"/>
      <c r="L165" s="136">
        <f t="shared" si="12"/>
        <v>0</v>
      </c>
      <c r="M165" s="284"/>
      <c r="N165" s="285"/>
      <c r="O165" s="136">
        <f t="shared" si="13"/>
        <v>0</v>
      </c>
      <c r="P165" s="85"/>
    </row>
    <row r="166" spans="1:16" hidden="1" x14ac:dyDescent="0.25">
      <c r="A166" s="254">
        <v>2390</v>
      </c>
      <c r="B166" s="179" t="s">
        <v>182</v>
      </c>
      <c r="C166" s="128">
        <f t="shared" si="9"/>
        <v>0</v>
      </c>
      <c r="D166" s="287"/>
      <c r="E166" s="291"/>
      <c r="F166" s="310">
        <f t="shared" si="10"/>
        <v>0</v>
      </c>
      <c r="G166" s="287"/>
      <c r="H166" s="289"/>
      <c r="I166" s="259">
        <f t="shared" si="11"/>
        <v>0</v>
      </c>
      <c r="J166" s="287"/>
      <c r="K166" s="289"/>
      <c r="L166" s="259">
        <f t="shared" si="12"/>
        <v>0</v>
      </c>
      <c r="M166" s="290"/>
      <c r="N166" s="291"/>
      <c r="O166" s="259">
        <f t="shared" si="13"/>
        <v>0</v>
      </c>
      <c r="P166" s="189"/>
    </row>
    <row r="167" spans="1:16" hidden="1" x14ac:dyDescent="0.25">
      <c r="A167" s="99">
        <v>2400</v>
      </c>
      <c r="B167" s="247" t="s">
        <v>183</v>
      </c>
      <c r="C167" s="100">
        <f t="shared" si="9"/>
        <v>0</v>
      </c>
      <c r="D167" s="311"/>
      <c r="E167" s="312"/>
      <c r="F167" s="313">
        <f t="shared" si="10"/>
        <v>0</v>
      </c>
      <c r="G167" s="311"/>
      <c r="H167" s="314"/>
      <c r="I167" s="114">
        <f t="shared" si="11"/>
        <v>0</v>
      </c>
      <c r="J167" s="311"/>
      <c r="K167" s="314"/>
      <c r="L167" s="114">
        <f t="shared" si="12"/>
        <v>0</v>
      </c>
      <c r="M167" s="315"/>
      <c r="N167" s="312"/>
      <c r="O167" s="114">
        <f t="shared" si="13"/>
        <v>0</v>
      </c>
      <c r="P167" s="109"/>
    </row>
    <row r="168" spans="1:16" ht="24" hidden="1" x14ac:dyDescent="0.25">
      <c r="A168" s="99">
        <v>2500</v>
      </c>
      <c r="B168" s="247" t="s">
        <v>184</v>
      </c>
      <c r="C168" s="100">
        <f t="shared" si="9"/>
        <v>0</v>
      </c>
      <c r="D168" s="112">
        <f>SUM(D169,D174)</f>
        <v>0</v>
      </c>
      <c r="E168" s="293">
        <f>SUM(E169,E174)</f>
        <v>0</v>
      </c>
      <c r="F168" s="313">
        <f t="shared" si="10"/>
        <v>0</v>
      </c>
      <c r="G168" s="112">
        <f>SUM(G169,G174)</f>
        <v>0</v>
      </c>
      <c r="H168" s="113">
        <f t="shared" ref="H168" si="17">SUM(H169,H174)</f>
        <v>0</v>
      </c>
      <c r="I168" s="114">
        <f t="shared" si="11"/>
        <v>0</v>
      </c>
      <c r="J168" s="112">
        <f>SUM(J169,J174)</f>
        <v>0</v>
      </c>
      <c r="K168" s="113">
        <f t="shared" ref="K168" si="18">SUM(K169,K174)</f>
        <v>0</v>
      </c>
      <c r="L168" s="114">
        <f t="shared" si="12"/>
        <v>0</v>
      </c>
      <c r="M168" s="250">
        <f t="shared" ref="M168:N168" si="19">SUM(M169,M174)</f>
        <v>0</v>
      </c>
      <c r="N168" s="251">
        <f t="shared" si="19"/>
        <v>0</v>
      </c>
      <c r="O168" s="252">
        <f t="shared" si="13"/>
        <v>0</v>
      </c>
      <c r="P168" s="253"/>
    </row>
    <row r="169" spans="1:16" hidden="1" x14ac:dyDescent="0.25">
      <c r="A169" s="656">
        <v>2510</v>
      </c>
      <c r="B169" s="116" t="s">
        <v>185</v>
      </c>
      <c r="C169" s="117">
        <f t="shared" si="9"/>
        <v>0</v>
      </c>
      <c r="D169" s="297">
        <f>SUM(D170:D173)</f>
        <v>0</v>
      </c>
      <c r="E169" s="301">
        <f>SUM(E170:E173)</f>
        <v>0</v>
      </c>
      <c r="F169" s="263">
        <f t="shared" si="10"/>
        <v>0</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row>
    <row r="170" spans="1:16" ht="24" hidden="1" x14ac:dyDescent="0.25">
      <c r="A170" s="76">
        <v>2512</v>
      </c>
      <c r="B170" s="127" t="s">
        <v>186</v>
      </c>
      <c r="C170" s="128">
        <f t="shared" si="9"/>
        <v>0</v>
      </c>
      <c r="D170" s="134"/>
      <c r="E170" s="285"/>
      <c r="F170" s="286">
        <f t="shared" si="10"/>
        <v>0</v>
      </c>
      <c r="G170" s="134"/>
      <c r="H170" s="135"/>
      <c r="I170" s="136">
        <f t="shared" si="11"/>
        <v>0</v>
      </c>
      <c r="J170" s="134"/>
      <c r="K170" s="135"/>
      <c r="L170" s="136">
        <f t="shared" si="12"/>
        <v>0</v>
      </c>
      <c r="M170" s="284"/>
      <c r="N170" s="285"/>
      <c r="O170" s="136">
        <f t="shared" si="13"/>
        <v>0</v>
      </c>
      <c r="P170" s="85"/>
    </row>
    <row r="171" spans="1:16" ht="36" hidden="1" x14ac:dyDescent="0.25">
      <c r="A171" s="76">
        <v>2513</v>
      </c>
      <c r="B171" s="127" t="s">
        <v>187</v>
      </c>
      <c r="C171" s="128">
        <f t="shared" si="9"/>
        <v>0</v>
      </c>
      <c r="D171" s="134"/>
      <c r="E171" s="285"/>
      <c r="F171" s="286">
        <f t="shared" si="10"/>
        <v>0</v>
      </c>
      <c r="G171" s="134"/>
      <c r="H171" s="135"/>
      <c r="I171" s="136">
        <f t="shared" si="11"/>
        <v>0</v>
      </c>
      <c r="J171" s="134"/>
      <c r="K171" s="135"/>
      <c r="L171" s="136">
        <f t="shared" si="12"/>
        <v>0</v>
      </c>
      <c r="M171" s="284"/>
      <c r="N171" s="285"/>
      <c r="O171" s="136">
        <f t="shared" si="13"/>
        <v>0</v>
      </c>
      <c r="P171" s="85"/>
    </row>
    <row r="172" spans="1:16" ht="24" hidden="1" x14ac:dyDescent="0.25">
      <c r="A172" s="76">
        <v>2515</v>
      </c>
      <c r="B172" s="127" t="s">
        <v>188</v>
      </c>
      <c r="C172" s="128">
        <f t="shared" si="9"/>
        <v>0</v>
      </c>
      <c r="D172" s="134"/>
      <c r="E172" s="285"/>
      <c r="F172" s="286">
        <f t="shared" si="10"/>
        <v>0</v>
      </c>
      <c r="G172" s="134"/>
      <c r="H172" s="135"/>
      <c r="I172" s="136">
        <f t="shared" si="11"/>
        <v>0</v>
      </c>
      <c r="J172" s="134"/>
      <c r="K172" s="135"/>
      <c r="L172" s="136">
        <f t="shared" si="12"/>
        <v>0</v>
      </c>
      <c r="M172" s="284"/>
      <c r="N172" s="285"/>
      <c r="O172" s="136">
        <f t="shared" si="13"/>
        <v>0</v>
      </c>
      <c r="P172" s="85"/>
    </row>
    <row r="173" spans="1:16" ht="24" hidden="1" x14ac:dyDescent="0.25">
      <c r="A173" s="76">
        <v>2519</v>
      </c>
      <c r="B173" s="127" t="s">
        <v>189</v>
      </c>
      <c r="C173" s="128">
        <f t="shared" si="9"/>
        <v>0</v>
      </c>
      <c r="D173" s="134"/>
      <c r="E173" s="285"/>
      <c r="F173" s="286">
        <f t="shared" si="10"/>
        <v>0</v>
      </c>
      <c r="G173" s="134"/>
      <c r="H173" s="135"/>
      <c r="I173" s="136">
        <f t="shared" si="11"/>
        <v>0</v>
      </c>
      <c r="J173" s="134"/>
      <c r="K173" s="135"/>
      <c r="L173" s="136">
        <f t="shared" si="12"/>
        <v>0</v>
      </c>
      <c r="M173" s="284"/>
      <c r="N173" s="285"/>
      <c r="O173" s="136">
        <f t="shared" si="13"/>
        <v>0</v>
      </c>
      <c r="P173" s="85"/>
    </row>
    <row r="174" spans="1:16" ht="24" hidden="1" x14ac:dyDescent="0.25">
      <c r="A174" s="276">
        <v>2520</v>
      </c>
      <c r="B174" s="127" t="s">
        <v>190</v>
      </c>
      <c r="C174" s="128">
        <f t="shared" si="9"/>
        <v>0</v>
      </c>
      <c r="D174" s="134"/>
      <c r="E174" s="285"/>
      <c r="F174" s="286">
        <f t="shared" si="10"/>
        <v>0</v>
      </c>
      <c r="G174" s="134"/>
      <c r="H174" s="135"/>
      <c r="I174" s="136">
        <f t="shared" si="11"/>
        <v>0</v>
      </c>
      <c r="J174" s="134"/>
      <c r="K174" s="135"/>
      <c r="L174" s="136">
        <f t="shared" si="12"/>
        <v>0</v>
      </c>
      <c r="M174" s="284"/>
      <c r="N174" s="285"/>
      <c r="O174" s="136">
        <f t="shared" si="13"/>
        <v>0</v>
      </c>
      <c r="P174" s="85"/>
    </row>
    <row r="175" spans="1:16" s="319" customFormat="1" ht="48" hidden="1" x14ac:dyDescent="0.25">
      <c r="A175" s="31">
        <v>2800</v>
      </c>
      <c r="B175" s="116" t="s">
        <v>191</v>
      </c>
      <c r="C175" s="117">
        <f t="shared" si="9"/>
        <v>0</v>
      </c>
      <c r="D175" s="68"/>
      <c r="E175" s="69"/>
      <c r="F175" s="70">
        <f t="shared" si="10"/>
        <v>0</v>
      </c>
      <c r="G175" s="68"/>
      <c r="H175" s="71"/>
      <c r="I175" s="72">
        <f t="shared" si="11"/>
        <v>0</v>
      </c>
      <c r="J175" s="68"/>
      <c r="K175" s="71"/>
      <c r="L175" s="72">
        <f t="shared" si="12"/>
        <v>0</v>
      </c>
      <c r="M175" s="73"/>
      <c r="N175" s="69"/>
      <c r="O175" s="72">
        <f t="shared" si="13"/>
        <v>0</v>
      </c>
      <c r="P175" s="74"/>
    </row>
    <row r="176" spans="1:16" hidden="1" x14ac:dyDescent="0.25">
      <c r="A176" s="237">
        <v>3000</v>
      </c>
      <c r="B176" s="237" t="s">
        <v>192</v>
      </c>
      <c r="C176" s="238">
        <f t="shared" si="9"/>
        <v>0</v>
      </c>
      <c r="D176" s="239">
        <f>SUM(D177,D187)</f>
        <v>0</v>
      </c>
      <c r="E176" s="245">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row>
    <row r="177" spans="1:16" ht="24" hidden="1" x14ac:dyDescent="0.25">
      <c r="A177" s="99">
        <v>3200</v>
      </c>
      <c r="B177" s="321" t="s">
        <v>193</v>
      </c>
      <c r="C177" s="100">
        <f t="shared" si="9"/>
        <v>0</v>
      </c>
      <c r="D177" s="112">
        <f>SUM(D178,D182)</f>
        <v>0</v>
      </c>
      <c r="E177" s="293">
        <f>SUM(E178,E182)</f>
        <v>0</v>
      </c>
      <c r="F177" s="313">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row>
    <row r="178" spans="1:16" ht="36" hidden="1" x14ac:dyDescent="0.25">
      <c r="A178" s="656">
        <v>3260</v>
      </c>
      <c r="B178" s="116" t="s">
        <v>194</v>
      </c>
      <c r="C178" s="117">
        <f t="shared" si="9"/>
        <v>0</v>
      </c>
      <c r="D178" s="297">
        <f>SUM(D179:D181)</f>
        <v>0</v>
      </c>
      <c r="E178" s="301">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row>
    <row r="179" spans="1:16" ht="24" hidden="1" x14ac:dyDescent="0.25">
      <c r="A179" s="76">
        <v>3261</v>
      </c>
      <c r="B179" s="127" t="s">
        <v>195</v>
      </c>
      <c r="C179" s="128">
        <f t="shared" si="9"/>
        <v>0</v>
      </c>
      <c r="D179" s="134"/>
      <c r="E179" s="285"/>
      <c r="F179" s="286">
        <f t="shared" si="10"/>
        <v>0</v>
      </c>
      <c r="G179" s="134"/>
      <c r="H179" s="135"/>
      <c r="I179" s="136">
        <f t="shared" si="11"/>
        <v>0</v>
      </c>
      <c r="J179" s="134"/>
      <c r="K179" s="135"/>
      <c r="L179" s="136">
        <f t="shared" si="12"/>
        <v>0</v>
      </c>
      <c r="M179" s="284"/>
      <c r="N179" s="285"/>
      <c r="O179" s="136">
        <f t="shared" si="13"/>
        <v>0</v>
      </c>
      <c r="P179" s="85"/>
    </row>
    <row r="180" spans="1:16" ht="36" hidden="1" x14ac:dyDescent="0.25">
      <c r="A180" s="76">
        <v>3262</v>
      </c>
      <c r="B180" s="127" t="s">
        <v>196</v>
      </c>
      <c r="C180" s="128">
        <f t="shared" si="9"/>
        <v>0</v>
      </c>
      <c r="D180" s="134"/>
      <c r="E180" s="285"/>
      <c r="F180" s="286">
        <f t="shared" si="10"/>
        <v>0</v>
      </c>
      <c r="G180" s="134"/>
      <c r="H180" s="135"/>
      <c r="I180" s="136">
        <f t="shared" si="11"/>
        <v>0</v>
      </c>
      <c r="J180" s="134"/>
      <c r="K180" s="135"/>
      <c r="L180" s="136">
        <f t="shared" si="12"/>
        <v>0</v>
      </c>
      <c r="M180" s="284"/>
      <c r="N180" s="285"/>
      <c r="O180" s="136">
        <f t="shared" si="13"/>
        <v>0</v>
      </c>
      <c r="P180" s="85"/>
    </row>
    <row r="181" spans="1:16" ht="24" hidden="1" x14ac:dyDescent="0.25">
      <c r="A181" s="76">
        <v>3263</v>
      </c>
      <c r="B181" s="127" t="s">
        <v>197</v>
      </c>
      <c r="C181" s="128">
        <f t="shared" si="9"/>
        <v>0</v>
      </c>
      <c r="D181" s="134"/>
      <c r="E181" s="285"/>
      <c r="F181" s="286">
        <f t="shared" si="10"/>
        <v>0</v>
      </c>
      <c r="G181" s="134"/>
      <c r="H181" s="135"/>
      <c r="I181" s="136">
        <f t="shared" si="11"/>
        <v>0</v>
      </c>
      <c r="J181" s="134"/>
      <c r="K181" s="135"/>
      <c r="L181" s="136">
        <f t="shared" si="12"/>
        <v>0</v>
      </c>
      <c r="M181" s="284"/>
      <c r="N181" s="285"/>
      <c r="O181" s="136">
        <f t="shared" si="13"/>
        <v>0</v>
      </c>
      <c r="P181" s="85"/>
    </row>
    <row r="182" spans="1:16" ht="84" hidden="1" x14ac:dyDescent="0.25">
      <c r="A182" s="656">
        <v>3290</v>
      </c>
      <c r="B182" s="116" t="s">
        <v>198</v>
      </c>
      <c r="C182" s="128">
        <f t="shared" ref="C182:C258" si="26">F182+I182+L182+O182</f>
        <v>0</v>
      </c>
      <c r="D182" s="297">
        <f>SUM(D183:D186)</f>
        <v>0</v>
      </c>
      <c r="E182" s="301">
        <f>SUM(E183:E186)</f>
        <v>0</v>
      </c>
      <c r="F182" s="263">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row>
    <row r="183" spans="1:16" ht="72" hidden="1" x14ac:dyDescent="0.25">
      <c r="A183" s="76">
        <v>3291</v>
      </c>
      <c r="B183" s="127" t="s">
        <v>199</v>
      </c>
      <c r="C183" s="128">
        <f t="shared" si="26"/>
        <v>0</v>
      </c>
      <c r="D183" s="134"/>
      <c r="E183" s="285"/>
      <c r="F183" s="286">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row>
    <row r="184" spans="1:16" ht="72" hidden="1" x14ac:dyDescent="0.25">
      <c r="A184" s="76">
        <v>3292</v>
      </c>
      <c r="B184" s="127" t="s">
        <v>200</v>
      </c>
      <c r="C184" s="128">
        <f t="shared" si="26"/>
        <v>0</v>
      </c>
      <c r="D184" s="134"/>
      <c r="E184" s="285"/>
      <c r="F184" s="286">
        <f t="shared" si="30"/>
        <v>0</v>
      </c>
      <c r="G184" s="134"/>
      <c r="H184" s="135"/>
      <c r="I184" s="136">
        <f t="shared" si="31"/>
        <v>0</v>
      </c>
      <c r="J184" s="134"/>
      <c r="K184" s="135"/>
      <c r="L184" s="136">
        <f t="shared" si="32"/>
        <v>0</v>
      </c>
      <c r="M184" s="284"/>
      <c r="N184" s="285"/>
      <c r="O184" s="136">
        <f t="shared" si="33"/>
        <v>0</v>
      </c>
      <c r="P184" s="85"/>
    </row>
    <row r="185" spans="1:16" ht="72" hidden="1" x14ac:dyDescent="0.25">
      <c r="A185" s="76">
        <v>3293</v>
      </c>
      <c r="B185" s="127" t="s">
        <v>201</v>
      </c>
      <c r="C185" s="128">
        <f t="shared" si="26"/>
        <v>0</v>
      </c>
      <c r="D185" s="134"/>
      <c r="E185" s="285"/>
      <c r="F185" s="286">
        <f t="shared" si="30"/>
        <v>0</v>
      </c>
      <c r="G185" s="134"/>
      <c r="H185" s="135"/>
      <c r="I185" s="136">
        <f t="shared" si="31"/>
        <v>0</v>
      </c>
      <c r="J185" s="134"/>
      <c r="K185" s="135"/>
      <c r="L185" s="136">
        <f t="shared" si="32"/>
        <v>0</v>
      </c>
      <c r="M185" s="284"/>
      <c r="N185" s="285"/>
      <c r="O185" s="136">
        <f t="shared" si="33"/>
        <v>0</v>
      </c>
      <c r="P185" s="85"/>
    </row>
    <row r="186" spans="1:16" ht="60" hidden="1" x14ac:dyDescent="0.25">
      <c r="A186" s="326">
        <v>3294</v>
      </c>
      <c r="B186" s="127" t="s">
        <v>202</v>
      </c>
      <c r="C186" s="327">
        <f t="shared" si="26"/>
        <v>0</v>
      </c>
      <c r="D186" s="328"/>
      <c r="E186" s="329"/>
      <c r="F186" s="330">
        <f t="shared" si="30"/>
        <v>0</v>
      </c>
      <c r="G186" s="328"/>
      <c r="H186" s="331"/>
      <c r="I186" s="324">
        <f t="shared" si="31"/>
        <v>0</v>
      </c>
      <c r="J186" s="328"/>
      <c r="K186" s="331"/>
      <c r="L186" s="324">
        <f t="shared" si="32"/>
        <v>0</v>
      </c>
      <c r="M186" s="332"/>
      <c r="N186" s="329"/>
      <c r="O186" s="324">
        <f t="shared" si="33"/>
        <v>0</v>
      </c>
      <c r="P186" s="325"/>
    </row>
    <row r="187" spans="1:16" ht="48" hidden="1" x14ac:dyDescent="0.25">
      <c r="A187" s="160">
        <v>3300</v>
      </c>
      <c r="B187" s="321" t="s">
        <v>203</v>
      </c>
      <c r="C187" s="333">
        <f t="shared" si="26"/>
        <v>0</v>
      </c>
      <c r="D187" s="334">
        <f>SUM(D188:D189)</f>
        <v>0</v>
      </c>
      <c r="E187" s="251">
        <f>SUM(E188:E189)</f>
        <v>0</v>
      </c>
      <c r="F187" s="335">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row>
    <row r="188" spans="1:16" ht="48" hidden="1" x14ac:dyDescent="0.25">
      <c r="A188" s="178">
        <v>3310</v>
      </c>
      <c r="B188" s="179" t="s">
        <v>204</v>
      </c>
      <c r="C188" s="191">
        <f t="shared" si="26"/>
        <v>0</v>
      </c>
      <c r="D188" s="287"/>
      <c r="E188" s="291"/>
      <c r="F188" s="310">
        <f t="shared" si="30"/>
        <v>0</v>
      </c>
      <c r="G188" s="287"/>
      <c r="H188" s="289"/>
      <c r="I188" s="259">
        <f t="shared" si="31"/>
        <v>0</v>
      </c>
      <c r="J188" s="287"/>
      <c r="K188" s="289"/>
      <c r="L188" s="259">
        <f t="shared" si="32"/>
        <v>0</v>
      </c>
      <c r="M188" s="290"/>
      <c r="N188" s="291"/>
      <c r="O188" s="259">
        <f t="shared" si="33"/>
        <v>0</v>
      </c>
      <c r="P188" s="189"/>
    </row>
    <row r="189" spans="1:16" ht="60" hidden="1" x14ac:dyDescent="0.25">
      <c r="A189" s="66">
        <v>3320</v>
      </c>
      <c r="B189" s="116" t="s">
        <v>205</v>
      </c>
      <c r="C189" s="117">
        <f t="shared" si="26"/>
        <v>0</v>
      </c>
      <c r="D189" s="123"/>
      <c r="E189" s="262"/>
      <c r="F189" s="263">
        <f t="shared" si="30"/>
        <v>0</v>
      </c>
      <c r="G189" s="123"/>
      <c r="H189" s="124"/>
      <c r="I189" s="125">
        <f t="shared" si="31"/>
        <v>0</v>
      </c>
      <c r="J189" s="123"/>
      <c r="K189" s="124"/>
      <c r="L189" s="125">
        <f t="shared" si="32"/>
        <v>0</v>
      </c>
      <c r="M189" s="264"/>
      <c r="N189" s="262"/>
      <c r="O189" s="125">
        <f t="shared" si="33"/>
        <v>0</v>
      </c>
      <c r="P189" s="74"/>
    </row>
    <row r="190" spans="1:16" hidden="1" x14ac:dyDescent="0.25">
      <c r="A190" s="337">
        <v>4000</v>
      </c>
      <c r="B190" s="237" t="s">
        <v>206</v>
      </c>
      <c r="C190" s="238">
        <f t="shared" si="26"/>
        <v>0</v>
      </c>
      <c r="D190" s="239">
        <f>SUM(D191,D194)</f>
        <v>0</v>
      </c>
      <c r="E190" s="245">
        <f>SUM(E191,E194)</f>
        <v>0</v>
      </c>
      <c r="F190" s="320">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row>
    <row r="191" spans="1:16" ht="24" hidden="1" x14ac:dyDescent="0.25">
      <c r="A191" s="338">
        <v>4200</v>
      </c>
      <c r="B191" s="247" t="s">
        <v>207</v>
      </c>
      <c r="C191" s="100">
        <f t="shared" si="26"/>
        <v>0</v>
      </c>
      <c r="D191" s="112">
        <f>SUM(D192,D193)</f>
        <v>0</v>
      </c>
      <c r="E191" s="293">
        <f>SUM(E192,E193)</f>
        <v>0</v>
      </c>
      <c r="F191" s="313">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row>
    <row r="192" spans="1:16" ht="36" hidden="1" x14ac:dyDescent="0.25">
      <c r="A192" s="656">
        <v>4240</v>
      </c>
      <c r="B192" s="116" t="s">
        <v>208</v>
      </c>
      <c r="C192" s="117">
        <f t="shared" si="26"/>
        <v>0</v>
      </c>
      <c r="D192" s="123"/>
      <c r="E192" s="262"/>
      <c r="F192" s="263">
        <f t="shared" si="30"/>
        <v>0</v>
      </c>
      <c r="G192" s="123"/>
      <c r="H192" s="124"/>
      <c r="I192" s="125">
        <f t="shared" si="31"/>
        <v>0</v>
      </c>
      <c r="J192" s="123"/>
      <c r="K192" s="124"/>
      <c r="L192" s="125">
        <f t="shared" si="32"/>
        <v>0</v>
      </c>
      <c r="M192" s="264"/>
      <c r="N192" s="262"/>
      <c r="O192" s="125">
        <f t="shared" si="33"/>
        <v>0</v>
      </c>
      <c r="P192" s="74"/>
    </row>
    <row r="193" spans="1:16" ht="24" hidden="1" x14ac:dyDescent="0.25">
      <c r="A193" s="276">
        <v>4250</v>
      </c>
      <c r="B193" s="127" t="s">
        <v>209</v>
      </c>
      <c r="C193" s="128">
        <f t="shared" si="26"/>
        <v>0</v>
      </c>
      <c r="D193" s="134"/>
      <c r="E193" s="285"/>
      <c r="F193" s="286">
        <f t="shared" si="30"/>
        <v>0</v>
      </c>
      <c r="G193" s="134"/>
      <c r="H193" s="135"/>
      <c r="I193" s="136">
        <f t="shared" si="31"/>
        <v>0</v>
      </c>
      <c r="J193" s="134"/>
      <c r="K193" s="135"/>
      <c r="L193" s="136">
        <f t="shared" si="32"/>
        <v>0</v>
      </c>
      <c r="M193" s="284"/>
      <c r="N193" s="285"/>
      <c r="O193" s="136">
        <f t="shared" si="33"/>
        <v>0</v>
      </c>
      <c r="P193" s="85"/>
    </row>
    <row r="194" spans="1:16" hidden="1" x14ac:dyDescent="0.25">
      <c r="A194" s="99">
        <v>4300</v>
      </c>
      <c r="B194" s="247" t="s">
        <v>210</v>
      </c>
      <c r="C194" s="100">
        <f t="shared" si="26"/>
        <v>0</v>
      </c>
      <c r="D194" s="112">
        <f>SUM(D195)</f>
        <v>0</v>
      </c>
      <c r="E194" s="293">
        <f>SUM(E195)</f>
        <v>0</v>
      </c>
      <c r="F194" s="313">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row>
    <row r="195" spans="1:16" ht="24" hidden="1" x14ac:dyDescent="0.25">
      <c r="A195" s="656">
        <v>4310</v>
      </c>
      <c r="B195" s="116" t="s">
        <v>211</v>
      </c>
      <c r="C195" s="117">
        <f t="shared" si="26"/>
        <v>0</v>
      </c>
      <c r="D195" s="297">
        <f>SUM(D196:D196)</f>
        <v>0</v>
      </c>
      <c r="E195" s="301">
        <f>SUM(E196:E196)</f>
        <v>0</v>
      </c>
      <c r="F195" s="263">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row>
    <row r="196" spans="1:16" ht="36" hidden="1" x14ac:dyDescent="0.25">
      <c r="A196" s="76">
        <v>4311</v>
      </c>
      <c r="B196" s="127" t="s">
        <v>212</v>
      </c>
      <c r="C196" s="128">
        <f t="shared" si="26"/>
        <v>0</v>
      </c>
      <c r="D196" s="134"/>
      <c r="E196" s="285"/>
      <c r="F196" s="286">
        <f t="shared" si="30"/>
        <v>0</v>
      </c>
      <c r="G196" s="134"/>
      <c r="H196" s="135"/>
      <c r="I196" s="136">
        <f t="shared" si="31"/>
        <v>0</v>
      </c>
      <c r="J196" s="134"/>
      <c r="K196" s="135"/>
      <c r="L196" s="136">
        <f t="shared" si="32"/>
        <v>0</v>
      </c>
      <c r="M196" s="284"/>
      <c r="N196" s="285"/>
      <c r="O196" s="136">
        <f t="shared" si="33"/>
        <v>0</v>
      </c>
      <c r="P196" s="85"/>
    </row>
    <row r="197" spans="1:16" s="41" customFormat="1" ht="24" x14ac:dyDescent="0.25">
      <c r="A197" s="339"/>
      <c r="B197" s="31" t="s">
        <v>213</v>
      </c>
      <c r="C197" s="229">
        <f t="shared" si="26"/>
        <v>3864</v>
      </c>
      <c r="D197" s="230">
        <f>SUM(D198,D233,D271)</f>
        <v>0</v>
      </c>
      <c r="E197" s="231">
        <f>SUM(E198,E233,E271)</f>
        <v>0</v>
      </c>
      <c r="F197" s="232">
        <f t="shared" si="30"/>
        <v>0</v>
      </c>
      <c r="G197" s="230">
        <f>SUM(G198,G233,G271)</f>
        <v>3864</v>
      </c>
      <c r="H197" s="233">
        <f>SUM(H198,H233,H271)</f>
        <v>0</v>
      </c>
      <c r="I197" s="234">
        <f t="shared" si="31"/>
        <v>3864</v>
      </c>
      <c r="J197" s="230">
        <f>SUM(J198,J233,J271)</f>
        <v>0</v>
      </c>
      <c r="K197" s="233">
        <f>SUM(K198,K233,K271)</f>
        <v>0</v>
      </c>
      <c r="L197" s="234">
        <f t="shared" si="32"/>
        <v>0</v>
      </c>
      <c r="M197" s="340">
        <f>SUM(M198,M233,M271)</f>
        <v>0</v>
      </c>
      <c r="N197" s="341">
        <f>SUM(N198,N233,N271)</f>
        <v>0</v>
      </c>
      <c r="O197" s="342">
        <f t="shared" si="33"/>
        <v>0</v>
      </c>
      <c r="P197" s="343"/>
    </row>
    <row r="198" spans="1:16" x14ac:dyDescent="0.25">
      <c r="A198" s="237">
        <v>5000</v>
      </c>
      <c r="B198" s="237" t="s">
        <v>214</v>
      </c>
      <c r="C198" s="238">
        <f>F198+I198+L198+O198</f>
        <v>3864</v>
      </c>
      <c r="D198" s="239">
        <f>D199+D207</f>
        <v>0</v>
      </c>
      <c r="E198" s="240">
        <f>E199+E207</f>
        <v>0</v>
      </c>
      <c r="F198" s="241">
        <f t="shared" si="30"/>
        <v>0</v>
      </c>
      <c r="G198" s="239">
        <f>G199+G207</f>
        <v>3864</v>
      </c>
      <c r="H198" s="242">
        <f>H199+H207</f>
        <v>0</v>
      </c>
      <c r="I198" s="243">
        <f t="shared" si="31"/>
        <v>3864</v>
      </c>
      <c r="J198" s="239">
        <f>J199+J207</f>
        <v>0</v>
      </c>
      <c r="K198" s="242">
        <f>K199+K207</f>
        <v>0</v>
      </c>
      <c r="L198" s="243">
        <f t="shared" si="32"/>
        <v>0</v>
      </c>
      <c r="M198" s="244">
        <f>M199+M207</f>
        <v>0</v>
      </c>
      <c r="N198" s="245">
        <f>N199+N207</f>
        <v>0</v>
      </c>
      <c r="O198" s="243">
        <f t="shared" si="33"/>
        <v>0</v>
      </c>
      <c r="P198" s="246"/>
    </row>
    <row r="199" spans="1:16" hidden="1" x14ac:dyDescent="0.25">
      <c r="A199" s="99">
        <v>5100</v>
      </c>
      <c r="B199" s="247" t="s">
        <v>215</v>
      </c>
      <c r="C199" s="100">
        <f t="shared" si="26"/>
        <v>0</v>
      </c>
      <c r="D199" s="112">
        <f>D200+D201+D204+D205+D206</f>
        <v>0</v>
      </c>
      <c r="E199" s="293">
        <f>E200+E201+E204+E205+E206</f>
        <v>0</v>
      </c>
      <c r="F199" s="313">
        <f t="shared" si="30"/>
        <v>0</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row>
    <row r="200" spans="1:16" hidden="1" x14ac:dyDescent="0.25">
      <c r="A200" s="656">
        <v>5110</v>
      </c>
      <c r="B200" s="116" t="s">
        <v>216</v>
      </c>
      <c r="C200" s="117">
        <f t="shared" si="26"/>
        <v>0</v>
      </c>
      <c r="D200" s="123"/>
      <c r="E200" s="262"/>
      <c r="F200" s="263">
        <f t="shared" si="30"/>
        <v>0</v>
      </c>
      <c r="G200" s="123"/>
      <c r="H200" s="124"/>
      <c r="I200" s="125">
        <f t="shared" si="31"/>
        <v>0</v>
      </c>
      <c r="J200" s="123"/>
      <c r="K200" s="124"/>
      <c r="L200" s="125">
        <f t="shared" si="32"/>
        <v>0</v>
      </c>
      <c r="M200" s="264"/>
      <c r="N200" s="262"/>
      <c r="O200" s="125">
        <f t="shared" si="33"/>
        <v>0</v>
      </c>
      <c r="P200" s="74"/>
    </row>
    <row r="201" spans="1:16" ht="24" hidden="1" x14ac:dyDescent="0.25">
      <c r="A201" s="276">
        <v>5120</v>
      </c>
      <c r="B201" s="127" t="s">
        <v>217</v>
      </c>
      <c r="C201" s="128">
        <f t="shared" si="26"/>
        <v>0</v>
      </c>
      <c r="D201" s="277">
        <f>D202+D203</f>
        <v>0</v>
      </c>
      <c r="E201" s="282">
        <f>E202+E203</f>
        <v>0</v>
      </c>
      <c r="F201" s="286">
        <f t="shared" si="30"/>
        <v>0</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row>
    <row r="202" spans="1:16" hidden="1" x14ac:dyDescent="0.25">
      <c r="A202" s="76">
        <v>5121</v>
      </c>
      <c r="B202" s="127" t="s">
        <v>218</v>
      </c>
      <c r="C202" s="128">
        <f t="shared" si="26"/>
        <v>0</v>
      </c>
      <c r="D202" s="134"/>
      <c r="E202" s="285"/>
      <c r="F202" s="286">
        <f t="shared" si="30"/>
        <v>0</v>
      </c>
      <c r="G202" s="134"/>
      <c r="H202" s="135"/>
      <c r="I202" s="136">
        <f t="shared" si="31"/>
        <v>0</v>
      </c>
      <c r="J202" s="134"/>
      <c r="K202" s="135"/>
      <c r="L202" s="136">
        <f t="shared" si="32"/>
        <v>0</v>
      </c>
      <c r="M202" s="284"/>
      <c r="N202" s="285"/>
      <c r="O202" s="136">
        <f t="shared" si="33"/>
        <v>0</v>
      </c>
      <c r="P202" s="85"/>
    </row>
    <row r="203" spans="1:16" ht="24" hidden="1" x14ac:dyDescent="0.25">
      <c r="A203" s="76">
        <v>5129</v>
      </c>
      <c r="B203" s="127" t="s">
        <v>219</v>
      </c>
      <c r="C203" s="128">
        <f t="shared" si="26"/>
        <v>0</v>
      </c>
      <c r="D203" s="134"/>
      <c r="E203" s="285"/>
      <c r="F203" s="286">
        <f t="shared" si="30"/>
        <v>0</v>
      </c>
      <c r="G203" s="134"/>
      <c r="H203" s="135"/>
      <c r="I203" s="136">
        <f t="shared" si="31"/>
        <v>0</v>
      </c>
      <c r="J203" s="134"/>
      <c r="K203" s="135"/>
      <c r="L203" s="136">
        <f t="shared" si="32"/>
        <v>0</v>
      </c>
      <c r="M203" s="284"/>
      <c r="N203" s="285"/>
      <c r="O203" s="136">
        <f t="shared" si="33"/>
        <v>0</v>
      </c>
      <c r="P203" s="85"/>
    </row>
    <row r="204" spans="1:16" hidden="1" x14ac:dyDescent="0.25">
      <c r="A204" s="276">
        <v>5130</v>
      </c>
      <c r="B204" s="127" t="s">
        <v>220</v>
      </c>
      <c r="C204" s="128">
        <f t="shared" si="26"/>
        <v>0</v>
      </c>
      <c r="D204" s="134"/>
      <c r="E204" s="285"/>
      <c r="F204" s="286">
        <f t="shared" si="30"/>
        <v>0</v>
      </c>
      <c r="G204" s="134"/>
      <c r="H204" s="135"/>
      <c r="I204" s="136">
        <f t="shared" si="31"/>
        <v>0</v>
      </c>
      <c r="J204" s="134"/>
      <c r="K204" s="135"/>
      <c r="L204" s="136">
        <f t="shared" si="32"/>
        <v>0</v>
      </c>
      <c r="M204" s="284"/>
      <c r="N204" s="285"/>
      <c r="O204" s="136">
        <f t="shared" si="33"/>
        <v>0</v>
      </c>
      <c r="P204" s="85"/>
    </row>
    <row r="205" spans="1:16" hidden="1" x14ac:dyDescent="0.25">
      <c r="A205" s="276">
        <v>5140</v>
      </c>
      <c r="B205" s="127" t="s">
        <v>221</v>
      </c>
      <c r="C205" s="128">
        <f t="shared" si="26"/>
        <v>0</v>
      </c>
      <c r="D205" s="134"/>
      <c r="E205" s="285"/>
      <c r="F205" s="286">
        <f t="shared" si="30"/>
        <v>0</v>
      </c>
      <c r="G205" s="134"/>
      <c r="H205" s="135"/>
      <c r="I205" s="136">
        <f t="shared" si="31"/>
        <v>0</v>
      </c>
      <c r="J205" s="134"/>
      <c r="K205" s="135"/>
      <c r="L205" s="136">
        <f t="shared" si="32"/>
        <v>0</v>
      </c>
      <c r="M205" s="284"/>
      <c r="N205" s="285"/>
      <c r="O205" s="136">
        <f t="shared" si="33"/>
        <v>0</v>
      </c>
      <c r="P205" s="85"/>
    </row>
    <row r="206" spans="1:16" ht="24" hidden="1" x14ac:dyDescent="0.25">
      <c r="A206" s="276">
        <v>5170</v>
      </c>
      <c r="B206" s="127" t="s">
        <v>222</v>
      </c>
      <c r="C206" s="128">
        <f t="shared" si="26"/>
        <v>0</v>
      </c>
      <c r="D206" s="134"/>
      <c r="E206" s="285"/>
      <c r="F206" s="286">
        <f t="shared" si="30"/>
        <v>0</v>
      </c>
      <c r="G206" s="134"/>
      <c r="H206" s="135"/>
      <c r="I206" s="136">
        <f t="shared" si="31"/>
        <v>0</v>
      </c>
      <c r="J206" s="134"/>
      <c r="K206" s="135"/>
      <c r="L206" s="136">
        <f t="shared" si="32"/>
        <v>0</v>
      </c>
      <c r="M206" s="284"/>
      <c r="N206" s="285"/>
      <c r="O206" s="136">
        <f t="shared" si="33"/>
        <v>0</v>
      </c>
      <c r="P206" s="85"/>
    </row>
    <row r="207" spans="1:16" x14ac:dyDescent="0.25">
      <c r="A207" s="99">
        <v>5200</v>
      </c>
      <c r="B207" s="247" t="s">
        <v>223</v>
      </c>
      <c r="C207" s="100">
        <f t="shared" si="26"/>
        <v>3864</v>
      </c>
      <c r="D207" s="112">
        <f>D208+D218+D219+D228+D229+D230+D232</f>
        <v>0</v>
      </c>
      <c r="E207" s="248">
        <f>E208+E218+E219+E228+E229+E230+E232</f>
        <v>0</v>
      </c>
      <c r="F207" s="249">
        <f t="shared" si="30"/>
        <v>0</v>
      </c>
      <c r="G207" s="112">
        <f>G208+G218+G219+G228+G229+G230+G232</f>
        <v>3864</v>
      </c>
      <c r="H207" s="113">
        <f>H208+H218+H219+H228+H229+H230+H232</f>
        <v>0</v>
      </c>
      <c r="I207" s="114">
        <f t="shared" si="31"/>
        <v>3864</v>
      </c>
      <c r="J207" s="112">
        <f>J208+J218+J219+J228+J229+J230+J232</f>
        <v>0</v>
      </c>
      <c r="K207" s="113">
        <f>K208+K218+K219+K228+K229+K230+K232</f>
        <v>0</v>
      </c>
      <c r="L207" s="114">
        <f t="shared" si="32"/>
        <v>0</v>
      </c>
      <c r="M207" s="292">
        <f>M208+M218+M219+M228+M229+M230+M232</f>
        <v>0</v>
      </c>
      <c r="N207" s="293">
        <f>N208+N218+N219+N228+N229+N230+N232</f>
        <v>0</v>
      </c>
      <c r="O207" s="114">
        <f t="shared" si="33"/>
        <v>0</v>
      </c>
      <c r="P207" s="109"/>
    </row>
    <row r="208" spans="1:16" hidden="1" x14ac:dyDescent="0.25">
      <c r="A208" s="254">
        <v>5210</v>
      </c>
      <c r="B208" s="179" t="s">
        <v>224</v>
      </c>
      <c r="C208" s="191">
        <f t="shared" si="26"/>
        <v>0</v>
      </c>
      <c r="D208" s="255">
        <f>SUM(D209:D217)</f>
        <v>0</v>
      </c>
      <c r="E208" s="261">
        <f>SUM(E209:E217)</f>
        <v>0</v>
      </c>
      <c r="F208" s="310">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row>
    <row r="209" spans="1:16" hidden="1" x14ac:dyDescent="0.25">
      <c r="A209" s="66">
        <v>5211</v>
      </c>
      <c r="B209" s="116" t="s">
        <v>225</v>
      </c>
      <c r="C209" s="279">
        <f t="shared" si="26"/>
        <v>0</v>
      </c>
      <c r="D209" s="123"/>
      <c r="E209" s="262"/>
      <c r="F209" s="263">
        <f t="shared" si="30"/>
        <v>0</v>
      </c>
      <c r="G209" s="123"/>
      <c r="H209" s="124"/>
      <c r="I209" s="125">
        <f t="shared" si="31"/>
        <v>0</v>
      </c>
      <c r="J209" s="123"/>
      <c r="K209" s="124"/>
      <c r="L209" s="125">
        <f t="shared" si="32"/>
        <v>0</v>
      </c>
      <c r="M209" s="264"/>
      <c r="N209" s="262"/>
      <c r="O209" s="125">
        <f t="shared" si="33"/>
        <v>0</v>
      </c>
      <c r="P209" s="74"/>
    </row>
    <row r="210" spans="1:16" hidden="1" x14ac:dyDescent="0.25">
      <c r="A210" s="76">
        <v>5212</v>
      </c>
      <c r="B210" s="127" t="s">
        <v>226</v>
      </c>
      <c r="C210" s="279">
        <f t="shared" si="26"/>
        <v>0</v>
      </c>
      <c r="D210" s="134"/>
      <c r="E210" s="285"/>
      <c r="F210" s="286">
        <f t="shared" si="30"/>
        <v>0</v>
      </c>
      <c r="G210" s="134"/>
      <c r="H210" s="135"/>
      <c r="I210" s="136">
        <f t="shared" si="31"/>
        <v>0</v>
      </c>
      <c r="J210" s="134"/>
      <c r="K210" s="135"/>
      <c r="L210" s="136">
        <f t="shared" si="32"/>
        <v>0</v>
      </c>
      <c r="M210" s="284"/>
      <c r="N210" s="285"/>
      <c r="O210" s="136">
        <f t="shared" si="33"/>
        <v>0</v>
      </c>
      <c r="P210" s="85"/>
    </row>
    <row r="211" spans="1:16" hidden="1" x14ac:dyDescent="0.25">
      <c r="A211" s="76">
        <v>5213</v>
      </c>
      <c r="B211" s="127" t="s">
        <v>227</v>
      </c>
      <c r="C211" s="279">
        <f t="shared" si="26"/>
        <v>0</v>
      </c>
      <c r="D211" s="134"/>
      <c r="E211" s="285"/>
      <c r="F211" s="286">
        <f t="shared" si="30"/>
        <v>0</v>
      </c>
      <c r="G211" s="134"/>
      <c r="H211" s="135"/>
      <c r="I211" s="136">
        <f t="shared" si="31"/>
        <v>0</v>
      </c>
      <c r="J211" s="134"/>
      <c r="K211" s="135"/>
      <c r="L211" s="136">
        <f t="shared" si="32"/>
        <v>0</v>
      </c>
      <c r="M211" s="284"/>
      <c r="N211" s="285"/>
      <c r="O211" s="136">
        <f t="shared" si="33"/>
        <v>0</v>
      </c>
      <c r="P211" s="85"/>
    </row>
    <row r="212" spans="1:16" hidden="1" x14ac:dyDescent="0.25">
      <c r="A212" s="76">
        <v>5214</v>
      </c>
      <c r="B212" s="127" t="s">
        <v>228</v>
      </c>
      <c r="C212" s="279">
        <f t="shared" si="26"/>
        <v>0</v>
      </c>
      <c r="D212" s="134"/>
      <c r="E212" s="285"/>
      <c r="F212" s="286">
        <f t="shared" si="30"/>
        <v>0</v>
      </c>
      <c r="G212" s="134"/>
      <c r="H212" s="135"/>
      <c r="I212" s="136">
        <f t="shared" si="31"/>
        <v>0</v>
      </c>
      <c r="J212" s="134"/>
      <c r="K212" s="135"/>
      <c r="L212" s="136">
        <f t="shared" si="32"/>
        <v>0</v>
      </c>
      <c r="M212" s="284"/>
      <c r="N212" s="285"/>
      <c r="O212" s="136">
        <f t="shared" si="33"/>
        <v>0</v>
      </c>
      <c r="P212" s="85"/>
    </row>
    <row r="213" spans="1:16" hidden="1" x14ac:dyDescent="0.25">
      <c r="A213" s="76">
        <v>5215</v>
      </c>
      <c r="B213" s="127" t="s">
        <v>229</v>
      </c>
      <c r="C213" s="279">
        <f t="shared" si="26"/>
        <v>0</v>
      </c>
      <c r="D213" s="134"/>
      <c r="E213" s="285"/>
      <c r="F213" s="286">
        <f t="shared" si="30"/>
        <v>0</v>
      </c>
      <c r="G213" s="134"/>
      <c r="H213" s="135"/>
      <c r="I213" s="136">
        <f t="shared" si="31"/>
        <v>0</v>
      </c>
      <c r="J213" s="134"/>
      <c r="K213" s="135"/>
      <c r="L213" s="136">
        <f t="shared" si="32"/>
        <v>0</v>
      </c>
      <c r="M213" s="284"/>
      <c r="N213" s="285"/>
      <c r="O213" s="136">
        <f t="shared" si="33"/>
        <v>0</v>
      </c>
      <c r="P213" s="85"/>
    </row>
    <row r="214" spans="1:16" ht="24" hidden="1" x14ac:dyDescent="0.25">
      <c r="A214" s="76">
        <v>5216</v>
      </c>
      <c r="B214" s="127" t="s">
        <v>230</v>
      </c>
      <c r="C214" s="279">
        <f t="shared" si="26"/>
        <v>0</v>
      </c>
      <c r="D214" s="134"/>
      <c r="E214" s="285"/>
      <c r="F214" s="286">
        <f t="shared" si="30"/>
        <v>0</v>
      </c>
      <c r="G214" s="134"/>
      <c r="H214" s="135"/>
      <c r="I214" s="136">
        <f t="shared" si="31"/>
        <v>0</v>
      </c>
      <c r="J214" s="134"/>
      <c r="K214" s="135"/>
      <c r="L214" s="136">
        <f t="shared" si="32"/>
        <v>0</v>
      </c>
      <c r="M214" s="284"/>
      <c r="N214" s="285"/>
      <c r="O214" s="136">
        <f t="shared" si="33"/>
        <v>0</v>
      </c>
      <c r="P214" s="85"/>
    </row>
    <row r="215" spans="1:16" hidden="1" x14ac:dyDescent="0.25">
      <c r="A215" s="76">
        <v>5217</v>
      </c>
      <c r="B215" s="127" t="s">
        <v>231</v>
      </c>
      <c r="C215" s="279">
        <f t="shared" si="26"/>
        <v>0</v>
      </c>
      <c r="D215" s="134"/>
      <c r="E215" s="285"/>
      <c r="F215" s="286">
        <f t="shared" si="30"/>
        <v>0</v>
      </c>
      <c r="G215" s="134"/>
      <c r="H215" s="135"/>
      <c r="I215" s="136">
        <f t="shared" si="31"/>
        <v>0</v>
      </c>
      <c r="J215" s="134"/>
      <c r="K215" s="135"/>
      <c r="L215" s="136">
        <f t="shared" si="32"/>
        <v>0</v>
      </c>
      <c r="M215" s="284"/>
      <c r="N215" s="285"/>
      <c r="O215" s="136">
        <f t="shared" si="33"/>
        <v>0</v>
      </c>
      <c r="P215" s="85"/>
    </row>
    <row r="216" spans="1:16" hidden="1" x14ac:dyDescent="0.25">
      <c r="A216" s="76">
        <v>5218</v>
      </c>
      <c r="B216" s="127" t="s">
        <v>232</v>
      </c>
      <c r="C216" s="279">
        <f t="shared" si="26"/>
        <v>0</v>
      </c>
      <c r="D216" s="134"/>
      <c r="E216" s="285"/>
      <c r="F216" s="286">
        <f t="shared" si="30"/>
        <v>0</v>
      </c>
      <c r="G216" s="134"/>
      <c r="H216" s="135"/>
      <c r="I216" s="136">
        <f t="shared" si="31"/>
        <v>0</v>
      </c>
      <c r="J216" s="134"/>
      <c r="K216" s="135"/>
      <c r="L216" s="136">
        <f t="shared" si="32"/>
        <v>0</v>
      </c>
      <c r="M216" s="284"/>
      <c r="N216" s="285"/>
      <c r="O216" s="136">
        <f t="shared" si="33"/>
        <v>0</v>
      </c>
      <c r="P216" s="85"/>
    </row>
    <row r="217" spans="1:16" hidden="1" x14ac:dyDescent="0.25">
      <c r="A217" s="76">
        <v>5219</v>
      </c>
      <c r="B217" s="127" t="s">
        <v>233</v>
      </c>
      <c r="C217" s="279">
        <f t="shared" si="26"/>
        <v>0</v>
      </c>
      <c r="D217" s="134"/>
      <c r="E217" s="285"/>
      <c r="F217" s="286">
        <f t="shared" si="30"/>
        <v>0</v>
      </c>
      <c r="G217" s="134"/>
      <c r="H217" s="135"/>
      <c r="I217" s="136">
        <f t="shared" si="31"/>
        <v>0</v>
      </c>
      <c r="J217" s="134"/>
      <c r="K217" s="135"/>
      <c r="L217" s="136">
        <f t="shared" si="32"/>
        <v>0</v>
      </c>
      <c r="M217" s="284"/>
      <c r="N217" s="285"/>
      <c r="O217" s="136">
        <f t="shared" si="33"/>
        <v>0</v>
      </c>
      <c r="P217" s="85"/>
    </row>
    <row r="218" spans="1:16" hidden="1" x14ac:dyDescent="0.25">
      <c r="A218" s="276">
        <v>5220</v>
      </c>
      <c r="B218" s="127" t="s">
        <v>234</v>
      </c>
      <c r="C218" s="279">
        <f t="shared" si="26"/>
        <v>0</v>
      </c>
      <c r="D218" s="134"/>
      <c r="E218" s="285"/>
      <c r="F218" s="286">
        <f t="shared" si="30"/>
        <v>0</v>
      </c>
      <c r="G218" s="134"/>
      <c r="H218" s="135"/>
      <c r="I218" s="136">
        <f t="shared" si="31"/>
        <v>0</v>
      </c>
      <c r="J218" s="134"/>
      <c r="K218" s="135"/>
      <c r="L218" s="136">
        <f t="shared" si="32"/>
        <v>0</v>
      </c>
      <c r="M218" s="284"/>
      <c r="N218" s="285"/>
      <c r="O218" s="136">
        <f t="shared" si="33"/>
        <v>0</v>
      </c>
      <c r="P218" s="85"/>
    </row>
    <row r="219" spans="1:16" x14ac:dyDescent="0.25">
      <c r="A219" s="276">
        <v>5230</v>
      </c>
      <c r="B219" s="127" t="s">
        <v>235</v>
      </c>
      <c r="C219" s="279">
        <f t="shared" si="26"/>
        <v>3864</v>
      </c>
      <c r="D219" s="277">
        <f>SUM(D220:D227)</f>
        <v>0</v>
      </c>
      <c r="E219" s="278">
        <f>SUM(E220:E227)</f>
        <v>0</v>
      </c>
      <c r="F219" s="279">
        <f t="shared" si="30"/>
        <v>0</v>
      </c>
      <c r="G219" s="277">
        <f>SUM(G220:G227)</f>
        <v>3864</v>
      </c>
      <c r="H219" s="280">
        <f>SUM(H220:H227)</f>
        <v>0</v>
      </c>
      <c r="I219" s="136">
        <f t="shared" si="31"/>
        <v>3864</v>
      </c>
      <c r="J219" s="277">
        <f>SUM(J220:J227)</f>
        <v>0</v>
      </c>
      <c r="K219" s="280">
        <f>SUM(K220:K227)</f>
        <v>0</v>
      </c>
      <c r="L219" s="136">
        <f t="shared" si="32"/>
        <v>0</v>
      </c>
      <c r="M219" s="281">
        <f>SUM(M220:M227)</f>
        <v>0</v>
      </c>
      <c r="N219" s="282">
        <f>SUM(N220:N227)</f>
        <v>0</v>
      </c>
      <c r="O219" s="136">
        <f t="shared" si="33"/>
        <v>0</v>
      </c>
      <c r="P219" s="85"/>
    </row>
    <row r="220" spans="1:16" hidden="1" x14ac:dyDescent="0.25">
      <c r="A220" s="76">
        <v>5231</v>
      </c>
      <c r="B220" s="127" t="s">
        <v>236</v>
      </c>
      <c r="C220" s="279">
        <f t="shared" si="26"/>
        <v>0</v>
      </c>
      <c r="D220" s="134"/>
      <c r="E220" s="285"/>
      <c r="F220" s="286">
        <f t="shared" si="30"/>
        <v>0</v>
      </c>
      <c r="G220" s="134"/>
      <c r="H220" s="135"/>
      <c r="I220" s="136">
        <f t="shared" si="31"/>
        <v>0</v>
      </c>
      <c r="J220" s="134"/>
      <c r="K220" s="135"/>
      <c r="L220" s="136">
        <f t="shared" si="32"/>
        <v>0</v>
      </c>
      <c r="M220" s="284"/>
      <c r="N220" s="285"/>
      <c r="O220" s="136">
        <f t="shared" si="33"/>
        <v>0</v>
      </c>
      <c r="P220" s="85"/>
    </row>
    <row r="221" spans="1:16" x14ac:dyDescent="0.25">
      <c r="A221" s="76">
        <v>5232</v>
      </c>
      <c r="B221" s="127" t="s">
        <v>237</v>
      </c>
      <c r="C221" s="279">
        <f t="shared" si="26"/>
        <v>3864</v>
      </c>
      <c r="D221" s="134"/>
      <c r="E221" s="283"/>
      <c r="F221" s="279">
        <f t="shared" si="30"/>
        <v>0</v>
      </c>
      <c r="G221" s="134">
        <v>3864</v>
      </c>
      <c r="H221" s="135"/>
      <c r="I221" s="136">
        <f t="shared" si="31"/>
        <v>3864</v>
      </c>
      <c r="J221" s="134"/>
      <c r="K221" s="135"/>
      <c r="L221" s="136">
        <f t="shared" si="32"/>
        <v>0</v>
      </c>
      <c r="M221" s="284"/>
      <c r="N221" s="285"/>
      <c r="O221" s="136">
        <f t="shared" si="33"/>
        <v>0</v>
      </c>
      <c r="P221" s="85"/>
    </row>
    <row r="222" spans="1:16" hidden="1" x14ac:dyDescent="0.25">
      <c r="A222" s="76">
        <v>5233</v>
      </c>
      <c r="B222" s="127" t="s">
        <v>238</v>
      </c>
      <c r="C222" s="279">
        <f t="shared" si="26"/>
        <v>0</v>
      </c>
      <c r="D222" s="134"/>
      <c r="E222" s="285"/>
      <c r="F222" s="286">
        <f t="shared" si="30"/>
        <v>0</v>
      </c>
      <c r="G222" s="134"/>
      <c r="H222" s="135"/>
      <c r="I222" s="136">
        <f t="shared" si="31"/>
        <v>0</v>
      </c>
      <c r="J222" s="134"/>
      <c r="K222" s="135"/>
      <c r="L222" s="136">
        <f t="shared" si="32"/>
        <v>0</v>
      </c>
      <c r="M222" s="284"/>
      <c r="N222" s="285"/>
      <c r="O222" s="136">
        <f t="shared" si="33"/>
        <v>0</v>
      </c>
      <c r="P222" s="85"/>
    </row>
    <row r="223" spans="1:16" ht="24" hidden="1" x14ac:dyDescent="0.25">
      <c r="A223" s="76">
        <v>5234</v>
      </c>
      <c r="B223" s="127" t="s">
        <v>239</v>
      </c>
      <c r="C223" s="279">
        <f t="shared" si="26"/>
        <v>0</v>
      </c>
      <c r="D223" s="134"/>
      <c r="E223" s="285"/>
      <c r="F223" s="286">
        <f t="shared" si="30"/>
        <v>0</v>
      </c>
      <c r="G223" s="134"/>
      <c r="H223" s="135"/>
      <c r="I223" s="136">
        <f t="shared" si="31"/>
        <v>0</v>
      </c>
      <c r="J223" s="134"/>
      <c r="K223" s="135"/>
      <c r="L223" s="136">
        <f t="shared" si="32"/>
        <v>0</v>
      </c>
      <c r="M223" s="284"/>
      <c r="N223" s="285"/>
      <c r="O223" s="136">
        <f t="shared" si="33"/>
        <v>0</v>
      </c>
      <c r="P223" s="85"/>
    </row>
    <row r="224" spans="1:16" hidden="1" x14ac:dyDescent="0.25">
      <c r="A224" s="76">
        <v>5236</v>
      </c>
      <c r="B224" s="127" t="s">
        <v>240</v>
      </c>
      <c r="C224" s="279">
        <f t="shared" si="26"/>
        <v>0</v>
      </c>
      <c r="D224" s="134"/>
      <c r="E224" s="285"/>
      <c r="F224" s="286">
        <f t="shared" si="30"/>
        <v>0</v>
      </c>
      <c r="G224" s="134"/>
      <c r="H224" s="135"/>
      <c r="I224" s="136">
        <f t="shared" si="31"/>
        <v>0</v>
      </c>
      <c r="J224" s="134"/>
      <c r="K224" s="135"/>
      <c r="L224" s="136">
        <f t="shared" si="32"/>
        <v>0</v>
      </c>
      <c r="M224" s="284"/>
      <c r="N224" s="285"/>
      <c r="O224" s="136">
        <f t="shared" si="33"/>
        <v>0</v>
      </c>
      <c r="P224" s="85"/>
    </row>
    <row r="225" spans="1:16" hidden="1" x14ac:dyDescent="0.25">
      <c r="A225" s="76">
        <v>5237</v>
      </c>
      <c r="B225" s="127" t="s">
        <v>241</v>
      </c>
      <c r="C225" s="279">
        <f t="shared" si="26"/>
        <v>0</v>
      </c>
      <c r="D225" s="134"/>
      <c r="E225" s="285"/>
      <c r="F225" s="286">
        <f t="shared" si="30"/>
        <v>0</v>
      </c>
      <c r="G225" s="134"/>
      <c r="H225" s="135"/>
      <c r="I225" s="136">
        <f t="shared" si="31"/>
        <v>0</v>
      </c>
      <c r="J225" s="134"/>
      <c r="K225" s="135"/>
      <c r="L225" s="136">
        <f t="shared" si="32"/>
        <v>0</v>
      </c>
      <c r="M225" s="284"/>
      <c r="N225" s="285"/>
      <c r="O225" s="136">
        <f t="shared" si="33"/>
        <v>0</v>
      </c>
      <c r="P225" s="85"/>
    </row>
    <row r="226" spans="1:16" ht="24" hidden="1" x14ac:dyDescent="0.25">
      <c r="A226" s="76">
        <v>5238</v>
      </c>
      <c r="B226" s="127" t="s">
        <v>242</v>
      </c>
      <c r="C226" s="279">
        <f t="shared" si="26"/>
        <v>0</v>
      </c>
      <c r="D226" s="134"/>
      <c r="E226" s="285"/>
      <c r="F226" s="286">
        <f t="shared" si="30"/>
        <v>0</v>
      </c>
      <c r="G226" s="134"/>
      <c r="H226" s="135"/>
      <c r="I226" s="136">
        <f t="shared" si="31"/>
        <v>0</v>
      </c>
      <c r="J226" s="134"/>
      <c r="K226" s="135"/>
      <c r="L226" s="136">
        <f t="shared" si="32"/>
        <v>0</v>
      </c>
      <c r="M226" s="284"/>
      <c r="N226" s="285"/>
      <c r="O226" s="136">
        <f t="shared" si="33"/>
        <v>0</v>
      </c>
      <c r="P226" s="85"/>
    </row>
    <row r="227" spans="1:16" ht="24" hidden="1" x14ac:dyDescent="0.25">
      <c r="A227" s="76">
        <v>5239</v>
      </c>
      <c r="B227" s="127" t="s">
        <v>243</v>
      </c>
      <c r="C227" s="279">
        <f t="shared" si="26"/>
        <v>0</v>
      </c>
      <c r="D227" s="134"/>
      <c r="E227" s="285"/>
      <c r="F227" s="286">
        <f t="shared" si="30"/>
        <v>0</v>
      </c>
      <c r="G227" s="134"/>
      <c r="H227" s="135"/>
      <c r="I227" s="136">
        <f t="shared" si="31"/>
        <v>0</v>
      </c>
      <c r="J227" s="134"/>
      <c r="K227" s="135"/>
      <c r="L227" s="136">
        <f t="shared" si="32"/>
        <v>0</v>
      </c>
      <c r="M227" s="284"/>
      <c r="N227" s="285"/>
      <c r="O227" s="136">
        <f t="shared" si="33"/>
        <v>0</v>
      </c>
      <c r="P227" s="85"/>
    </row>
    <row r="228" spans="1:16" ht="24" hidden="1" x14ac:dyDescent="0.25">
      <c r="A228" s="276">
        <v>5240</v>
      </c>
      <c r="B228" s="127" t="s">
        <v>244</v>
      </c>
      <c r="C228" s="279">
        <f t="shared" si="26"/>
        <v>0</v>
      </c>
      <c r="D228" s="134"/>
      <c r="E228" s="285"/>
      <c r="F228" s="286">
        <f t="shared" si="30"/>
        <v>0</v>
      </c>
      <c r="G228" s="134"/>
      <c r="H228" s="135"/>
      <c r="I228" s="136">
        <f t="shared" si="31"/>
        <v>0</v>
      </c>
      <c r="J228" s="134"/>
      <c r="K228" s="135"/>
      <c r="L228" s="136">
        <f t="shared" si="32"/>
        <v>0</v>
      </c>
      <c r="M228" s="284"/>
      <c r="N228" s="285"/>
      <c r="O228" s="136">
        <f t="shared" si="33"/>
        <v>0</v>
      </c>
      <c r="P228" s="85"/>
    </row>
    <row r="229" spans="1:16" hidden="1" x14ac:dyDescent="0.25">
      <c r="A229" s="276">
        <v>5250</v>
      </c>
      <c r="B229" s="127" t="s">
        <v>245</v>
      </c>
      <c r="C229" s="279">
        <f t="shared" si="26"/>
        <v>0</v>
      </c>
      <c r="D229" s="134"/>
      <c r="E229" s="285"/>
      <c r="F229" s="286">
        <f t="shared" si="30"/>
        <v>0</v>
      </c>
      <c r="G229" s="134"/>
      <c r="H229" s="135"/>
      <c r="I229" s="136">
        <f t="shared" si="31"/>
        <v>0</v>
      </c>
      <c r="J229" s="134"/>
      <c r="K229" s="135"/>
      <c r="L229" s="136">
        <f t="shared" si="32"/>
        <v>0</v>
      </c>
      <c r="M229" s="284"/>
      <c r="N229" s="285"/>
      <c r="O229" s="136">
        <f t="shared" si="33"/>
        <v>0</v>
      </c>
      <c r="P229" s="85"/>
    </row>
    <row r="230" spans="1:16" hidden="1" x14ac:dyDescent="0.25">
      <c r="A230" s="276">
        <v>5260</v>
      </c>
      <c r="B230" s="127" t="s">
        <v>246</v>
      </c>
      <c r="C230" s="279">
        <f t="shared" si="26"/>
        <v>0</v>
      </c>
      <c r="D230" s="277">
        <f>SUM(D231)</f>
        <v>0</v>
      </c>
      <c r="E230" s="282">
        <f>SUM(E231)</f>
        <v>0</v>
      </c>
      <c r="F230" s="286">
        <f t="shared" si="30"/>
        <v>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row>
    <row r="231" spans="1:16" ht="24" hidden="1" x14ac:dyDescent="0.25">
      <c r="A231" s="76">
        <v>5269</v>
      </c>
      <c r="B231" s="127" t="s">
        <v>247</v>
      </c>
      <c r="C231" s="279">
        <f t="shared" si="26"/>
        <v>0</v>
      </c>
      <c r="D231" s="134"/>
      <c r="E231" s="285"/>
      <c r="F231" s="286">
        <f t="shared" si="30"/>
        <v>0</v>
      </c>
      <c r="G231" s="134"/>
      <c r="H231" s="135"/>
      <c r="I231" s="136">
        <f t="shared" si="31"/>
        <v>0</v>
      </c>
      <c r="J231" s="134"/>
      <c r="K231" s="135"/>
      <c r="L231" s="136">
        <f t="shared" si="32"/>
        <v>0</v>
      </c>
      <c r="M231" s="284"/>
      <c r="N231" s="285"/>
      <c r="O231" s="136">
        <f t="shared" si="33"/>
        <v>0</v>
      </c>
      <c r="P231" s="85"/>
    </row>
    <row r="232" spans="1:16" ht="24" hidden="1" x14ac:dyDescent="0.25">
      <c r="A232" s="254">
        <v>5270</v>
      </c>
      <c r="B232" s="179" t="s">
        <v>248</v>
      </c>
      <c r="C232" s="302">
        <f t="shared" si="26"/>
        <v>0</v>
      </c>
      <c r="D232" s="287"/>
      <c r="E232" s="291"/>
      <c r="F232" s="310">
        <f t="shared" si="30"/>
        <v>0</v>
      </c>
      <c r="G232" s="287"/>
      <c r="H232" s="289"/>
      <c r="I232" s="259">
        <f t="shared" si="31"/>
        <v>0</v>
      </c>
      <c r="J232" s="287"/>
      <c r="K232" s="289"/>
      <c r="L232" s="259">
        <f t="shared" si="32"/>
        <v>0</v>
      </c>
      <c r="M232" s="290"/>
      <c r="N232" s="291"/>
      <c r="O232" s="259">
        <f t="shared" si="33"/>
        <v>0</v>
      </c>
      <c r="P232" s="189"/>
    </row>
    <row r="233" spans="1:16" hidden="1" x14ac:dyDescent="0.25">
      <c r="A233" s="237">
        <v>6000</v>
      </c>
      <c r="B233" s="237" t="s">
        <v>249</v>
      </c>
      <c r="C233" s="238">
        <f t="shared" si="26"/>
        <v>0</v>
      </c>
      <c r="D233" s="239">
        <f>D234+D254+D261</f>
        <v>0</v>
      </c>
      <c r="E233" s="245">
        <f>E234+E254+E261</f>
        <v>0</v>
      </c>
      <c r="F233" s="320">
        <f t="shared" si="30"/>
        <v>0</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row>
    <row r="234" spans="1:16"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row>
    <row r="235" spans="1:16" ht="24" hidden="1" x14ac:dyDescent="0.25">
      <c r="A235" s="656">
        <v>6220</v>
      </c>
      <c r="B235" s="116" t="s">
        <v>251</v>
      </c>
      <c r="C235" s="298">
        <f t="shared" si="26"/>
        <v>0</v>
      </c>
      <c r="D235" s="123"/>
      <c r="E235" s="262"/>
      <c r="F235" s="263">
        <f t="shared" si="30"/>
        <v>0</v>
      </c>
      <c r="G235" s="123"/>
      <c r="H235" s="124"/>
      <c r="I235" s="125">
        <f t="shared" si="31"/>
        <v>0</v>
      </c>
      <c r="J235" s="123"/>
      <c r="K235" s="124"/>
      <c r="L235" s="125">
        <f t="shared" si="32"/>
        <v>0</v>
      </c>
      <c r="M235" s="264"/>
      <c r="N235" s="262"/>
      <c r="O235" s="125">
        <f t="shared" si="33"/>
        <v>0</v>
      </c>
      <c r="P235" s="74"/>
    </row>
    <row r="236" spans="1:16" hidden="1" x14ac:dyDescent="0.25">
      <c r="A236" s="276">
        <v>6230</v>
      </c>
      <c r="B236" s="127" t="s">
        <v>252</v>
      </c>
      <c r="C236" s="278">
        <f t="shared" si="26"/>
        <v>0</v>
      </c>
      <c r="D236" s="277">
        <f>SUM(D237)</f>
        <v>0</v>
      </c>
      <c r="E236" s="280">
        <f>SUM(E237)</f>
        <v>0</v>
      </c>
      <c r="F236" s="28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row>
    <row r="237" spans="1:16" ht="24" hidden="1" x14ac:dyDescent="0.25">
      <c r="A237" s="76">
        <v>6239</v>
      </c>
      <c r="B237" s="116" t="s">
        <v>253</v>
      </c>
      <c r="C237" s="278">
        <f t="shared" si="26"/>
        <v>0</v>
      </c>
      <c r="D237" s="134"/>
      <c r="E237" s="285"/>
      <c r="F237" s="286">
        <f t="shared" si="30"/>
        <v>0</v>
      </c>
      <c r="G237" s="134"/>
      <c r="H237" s="135"/>
      <c r="I237" s="136">
        <f t="shared" si="31"/>
        <v>0</v>
      </c>
      <c r="J237" s="134"/>
      <c r="K237" s="135"/>
      <c r="L237" s="136">
        <f t="shared" si="32"/>
        <v>0</v>
      </c>
      <c r="M237" s="284"/>
      <c r="N237" s="285"/>
      <c r="O237" s="136">
        <f t="shared" si="33"/>
        <v>0</v>
      </c>
      <c r="P237" s="85"/>
    </row>
    <row r="238" spans="1:16" ht="24" hidden="1" x14ac:dyDescent="0.25">
      <c r="A238" s="276">
        <v>6240</v>
      </c>
      <c r="B238" s="127" t="s">
        <v>254</v>
      </c>
      <c r="C238" s="278">
        <f t="shared" si="26"/>
        <v>0</v>
      </c>
      <c r="D238" s="277">
        <f>SUM(D239:D240)</f>
        <v>0</v>
      </c>
      <c r="E238" s="282">
        <f>SUM(E239:E240)</f>
        <v>0</v>
      </c>
      <c r="F238" s="28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row>
    <row r="239" spans="1:16" hidden="1" x14ac:dyDescent="0.25">
      <c r="A239" s="76">
        <v>6241</v>
      </c>
      <c r="B239" s="127" t="s">
        <v>255</v>
      </c>
      <c r="C239" s="278">
        <f t="shared" si="26"/>
        <v>0</v>
      </c>
      <c r="D239" s="134"/>
      <c r="E239" s="285"/>
      <c r="F239" s="286">
        <f t="shared" si="30"/>
        <v>0</v>
      </c>
      <c r="G239" s="134"/>
      <c r="H239" s="135"/>
      <c r="I239" s="136">
        <f t="shared" si="31"/>
        <v>0</v>
      </c>
      <c r="J239" s="134"/>
      <c r="K239" s="135"/>
      <c r="L239" s="136">
        <f t="shared" si="32"/>
        <v>0</v>
      </c>
      <c r="M239" s="284"/>
      <c r="N239" s="285"/>
      <c r="O239" s="136">
        <f t="shared" si="33"/>
        <v>0</v>
      </c>
      <c r="P239" s="85"/>
    </row>
    <row r="240" spans="1:16" hidden="1" x14ac:dyDescent="0.25">
      <c r="A240" s="76">
        <v>6242</v>
      </c>
      <c r="B240" s="127" t="s">
        <v>256</v>
      </c>
      <c r="C240" s="278">
        <f t="shared" si="26"/>
        <v>0</v>
      </c>
      <c r="D240" s="134"/>
      <c r="E240" s="285"/>
      <c r="F240" s="286">
        <f t="shared" si="30"/>
        <v>0</v>
      </c>
      <c r="G240" s="134"/>
      <c r="H240" s="135"/>
      <c r="I240" s="136">
        <f t="shared" si="31"/>
        <v>0</v>
      </c>
      <c r="J240" s="134"/>
      <c r="K240" s="135"/>
      <c r="L240" s="136">
        <f t="shared" si="32"/>
        <v>0</v>
      </c>
      <c r="M240" s="284"/>
      <c r="N240" s="285"/>
      <c r="O240" s="136">
        <f t="shared" si="33"/>
        <v>0</v>
      </c>
      <c r="P240" s="85"/>
    </row>
    <row r="241" spans="1:16" ht="24" hidden="1" x14ac:dyDescent="0.25">
      <c r="A241" s="276">
        <v>6250</v>
      </c>
      <c r="B241" s="127" t="s">
        <v>257</v>
      </c>
      <c r="C241" s="278">
        <f t="shared" si="26"/>
        <v>0</v>
      </c>
      <c r="D241" s="277">
        <f>SUM(D242:D246)</f>
        <v>0</v>
      </c>
      <c r="E241" s="282">
        <f>SUM(E242:E246)</f>
        <v>0</v>
      </c>
      <c r="F241" s="28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row>
    <row r="242" spans="1:16" hidden="1" x14ac:dyDescent="0.25">
      <c r="A242" s="76">
        <v>6252</v>
      </c>
      <c r="B242" s="127" t="s">
        <v>258</v>
      </c>
      <c r="C242" s="278">
        <f t="shared" si="26"/>
        <v>0</v>
      </c>
      <c r="D242" s="134"/>
      <c r="E242" s="285"/>
      <c r="F242" s="286">
        <f t="shared" si="30"/>
        <v>0</v>
      </c>
      <c r="G242" s="134"/>
      <c r="H242" s="135"/>
      <c r="I242" s="136">
        <f t="shared" si="31"/>
        <v>0</v>
      </c>
      <c r="J242" s="134"/>
      <c r="K242" s="135"/>
      <c r="L242" s="136">
        <f t="shared" si="32"/>
        <v>0</v>
      </c>
      <c r="M242" s="284"/>
      <c r="N242" s="285"/>
      <c r="O242" s="136">
        <f t="shared" si="33"/>
        <v>0</v>
      </c>
      <c r="P242" s="85"/>
    </row>
    <row r="243" spans="1:16" hidden="1" x14ac:dyDescent="0.25">
      <c r="A243" s="76">
        <v>6253</v>
      </c>
      <c r="B243" s="127" t="s">
        <v>259</v>
      </c>
      <c r="C243" s="278">
        <f t="shared" si="26"/>
        <v>0</v>
      </c>
      <c r="D243" s="134"/>
      <c r="E243" s="285"/>
      <c r="F243" s="286">
        <f t="shared" si="30"/>
        <v>0</v>
      </c>
      <c r="G243" s="134"/>
      <c r="H243" s="135"/>
      <c r="I243" s="136">
        <f t="shared" si="31"/>
        <v>0</v>
      </c>
      <c r="J243" s="134"/>
      <c r="K243" s="135"/>
      <c r="L243" s="136">
        <f t="shared" si="32"/>
        <v>0</v>
      </c>
      <c r="M243" s="284"/>
      <c r="N243" s="285"/>
      <c r="O243" s="136">
        <f t="shared" si="33"/>
        <v>0</v>
      </c>
      <c r="P243" s="85"/>
    </row>
    <row r="244" spans="1:16" ht="24" hidden="1" x14ac:dyDescent="0.25">
      <c r="A244" s="76">
        <v>6254</v>
      </c>
      <c r="B244" s="127" t="s">
        <v>260</v>
      </c>
      <c r="C244" s="278">
        <f t="shared" si="26"/>
        <v>0</v>
      </c>
      <c r="D244" s="134"/>
      <c r="E244" s="285"/>
      <c r="F244" s="286">
        <f t="shared" si="30"/>
        <v>0</v>
      </c>
      <c r="G244" s="134"/>
      <c r="H244" s="135"/>
      <c r="I244" s="136">
        <f t="shared" si="31"/>
        <v>0</v>
      </c>
      <c r="J244" s="134"/>
      <c r="K244" s="135"/>
      <c r="L244" s="136">
        <f t="shared" si="32"/>
        <v>0</v>
      </c>
      <c r="M244" s="284"/>
      <c r="N244" s="285"/>
      <c r="O244" s="136">
        <f t="shared" si="33"/>
        <v>0</v>
      </c>
      <c r="P244" s="85"/>
    </row>
    <row r="245" spans="1:16" ht="24" hidden="1" x14ac:dyDescent="0.25">
      <c r="A245" s="76">
        <v>6255</v>
      </c>
      <c r="B245" s="127" t="s">
        <v>261</v>
      </c>
      <c r="C245" s="278">
        <f t="shared" si="26"/>
        <v>0</v>
      </c>
      <c r="D245" s="134"/>
      <c r="E245" s="285"/>
      <c r="F245" s="286">
        <f t="shared" si="30"/>
        <v>0</v>
      </c>
      <c r="G245" s="134"/>
      <c r="H245" s="135"/>
      <c r="I245" s="136">
        <f t="shared" si="31"/>
        <v>0</v>
      </c>
      <c r="J245" s="134"/>
      <c r="K245" s="135"/>
      <c r="L245" s="136">
        <f t="shared" si="32"/>
        <v>0</v>
      </c>
      <c r="M245" s="284"/>
      <c r="N245" s="285"/>
      <c r="O245" s="136">
        <f t="shared" si="33"/>
        <v>0</v>
      </c>
      <c r="P245" s="85"/>
    </row>
    <row r="246" spans="1:16" hidden="1" x14ac:dyDescent="0.25">
      <c r="A246" s="76">
        <v>6259</v>
      </c>
      <c r="B246" s="127" t="s">
        <v>262</v>
      </c>
      <c r="C246" s="278">
        <f t="shared" si="26"/>
        <v>0</v>
      </c>
      <c r="D246" s="134"/>
      <c r="E246" s="285"/>
      <c r="F246" s="286">
        <f t="shared" si="30"/>
        <v>0</v>
      </c>
      <c r="G246" s="134"/>
      <c r="H246" s="135"/>
      <c r="I246" s="136">
        <f t="shared" si="31"/>
        <v>0</v>
      </c>
      <c r="J246" s="134"/>
      <c r="K246" s="135"/>
      <c r="L246" s="136">
        <f t="shared" si="32"/>
        <v>0</v>
      </c>
      <c r="M246" s="284"/>
      <c r="N246" s="285"/>
      <c r="O246" s="136">
        <f t="shared" si="33"/>
        <v>0</v>
      </c>
      <c r="P246" s="85"/>
    </row>
    <row r="247" spans="1:16" ht="24" hidden="1" x14ac:dyDescent="0.25">
      <c r="A247" s="276">
        <v>6260</v>
      </c>
      <c r="B247" s="127" t="s">
        <v>263</v>
      </c>
      <c r="C247" s="278">
        <f t="shared" si="26"/>
        <v>0</v>
      </c>
      <c r="D247" s="134"/>
      <c r="E247" s="285"/>
      <c r="F247" s="286">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row>
    <row r="248" spans="1:16" hidden="1" x14ac:dyDescent="0.25">
      <c r="A248" s="276">
        <v>6270</v>
      </c>
      <c r="B248" s="127" t="s">
        <v>264</v>
      </c>
      <c r="C248" s="278">
        <f t="shared" si="26"/>
        <v>0</v>
      </c>
      <c r="D248" s="134"/>
      <c r="E248" s="285"/>
      <c r="F248" s="286">
        <f t="shared" si="37"/>
        <v>0</v>
      </c>
      <c r="G248" s="134"/>
      <c r="H248" s="135"/>
      <c r="I248" s="136">
        <f t="shared" si="38"/>
        <v>0</v>
      </c>
      <c r="J248" s="134"/>
      <c r="K248" s="135"/>
      <c r="L248" s="136">
        <f t="shared" si="39"/>
        <v>0</v>
      </c>
      <c r="M248" s="284"/>
      <c r="N248" s="285"/>
      <c r="O248" s="136">
        <f t="shared" si="40"/>
        <v>0</v>
      </c>
      <c r="P248" s="85"/>
    </row>
    <row r="249" spans="1:16" ht="24" hidden="1" x14ac:dyDescent="0.25">
      <c r="A249" s="656">
        <v>6290</v>
      </c>
      <c r="B249" s="116" t="s">
        <v>265</v>
      </c>
      <c r="C249" s="278">
        <f t="shared" si="26"/>
        <v>0</v>
      </c>
      <c r="D249" s="297">
        <f>SUM(D250:D253)</f>
        <v>0</v>
      </c>
      <c r="E249" s="301">
        <f>SUM(E250:E253)</f>
        <v>0</v>
      </c>
      <c r="F249" s="263">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row>
    <row r="250" spans="1:16" hidden="1" x14ac:dyDescent="0.25">
      <c r="A250" s="76">
        <v>6291</v>
      </c>
      <c r="B250" s="127" t="s">
        <v>266</v>
      </c>
      <c r="C250" s="278">
        <f t="shared" si="26"/>
        <v>0</v>
      </c>
      <c r="D250" s="134"/>
      <c r="E250" s="285"/>
      <c r="F250" s="286">
        <f t="shared" si="37"/>
        <v>0</v>
      </c>
      <c r="G250" s="134"/>
      <c r="H250" s="135"/>
      <c r="I250" s="136">
        <f t="shared" si="38"/>
        <v>0</v>
      </c>
      <c r="J250" s="134"/>
      <c r="K250" s="135"/>
      <c r="L250" s="136">
        <f t="shared" si="39"/>
        <v>0</v>
      </c>
      <c r="M250" s="284"/>
      <c r="N250" s="285"/>
      <c r="O250" s="136">
        <f t="shared" si="40"/>
        <v>0</v>
      </c>
      <c r="P250" s="85"/>
    </row>
    <row r="251" spans="1:16" hidden="1" x14ac:dyDescent="0.25">
      <c r="A251" s="76">
        <v>6292</v>
      </c>
      <c r="B251" s="127" t="s">
        <v>267</v>
      </c>
      <c r="C251" s="278">
        <f t="shared" si="26"/>
        <v>0</v>
      </c>
      <c r="D251" s="134"/>
      <c r="E251" s="285"/>
      <c r="F251" s="286">
        <f t="shared" si="37"/>
        <v>0</v>
      </c>
      <c r="G251" s="134"/>
      <c r="H251" s="135"/>
      <c r="I251" s="136">
        <f t="shared" si="38"/>
        <v>0</v>
      </c>
      <c r="J251" s="134"/>
      <c r="K251" s="135"/>
      <c r="L251" s="136">
        <f t="shared" si="39"/>
        <v>0</v>
      </c>
      <c r="M251" s="284"/>
      <c r="N251" s="285"/>
      <c r="O251" s="136">
        <f t="shared" si="40"/>
        <v>0</v>
      </c>
      <c r="P251" s="85"/>
    </row>
    <row r="252" spans="1:16" ht="72" hidden="1" x14ac:dyDescent="0.25">
      <c r="A252" s="76">
        <v>6296</v>
      </c>
      <c r="B252" s="127" t="s">
        <v>268</v>
      </c>
      <c r="C252" s="278">
        <f t="shared" si="26"/>
        <v>0</v>
      </c>
      <c r="D252" s="134"/>
      <c r="E252" s="285"/>
      <c r="F252" s="286">
        <f t="shared" si="37"/>
        <v>0</v>
      </c>
      <c r="G252" s="134"/>
      <c r="H252" s="135"/>
      <c r="I252" s="136">
        <f t="shared" si="38"/>
        <v>0</v>
      </c>
      <c r="J252" s="134"/>
      <c r="K252" s="135"/>
      <c r="L252" s="136">
        <f t="shared" si="39"/>
        <v>0</v>
      </c>
      <c r="M252" s="284"/>
      <c r="N252" s="285"/>
      <c r="O252" s="136">
        <f t="shared" si="40"/>
        <v>0</v>
      </c>
      <c r="P252" s="85"/>
    </row>
    <row r="253" spans="1:16" ht="36" hidden="1" x14ac:dyDescent="0.25">
      <c r="A253" s="76">
        <v>6299</v>
      </c>
      <c r="B253" s="127" t="s">
        <v>269</v>
      </c>
      <c r="C253" s="278">
        <f t="shared" si="26"/>
        <v>0</v>
      </c>
      <c r="D253" s="134"/>
      <c r="E253" s="285"/>
      <c r="F253" s="286">
        <f t="shared" si="37"/>
        <v>0</v>
      </c>
      <c r="G253" s="134"/>
      <c r="H253" s="135"/>
      <c r="I253" s="136">
        <f t="shared" si="38"/>
        <v>0</v>
      </c>
      <c r="J253" s="134"/>
      <c r="K253" s="135"/>
      <c r="L253" s="136">
        <f t="shared" si="39"/>
        <v>0</v>
      </c>
      <c r="M253" s="284"/>
      <c r="N253" s="285"/>
      <c r="O253" s="136">
        <f t="shared" si="40"/>
        <v>0</v>
      </c>
      <c r="P253" s="85"/>
    </row>
    <row r="254" spans="1:16" hidden="1" x14ac:dyDescent="0.25">
      <c r="A254" s="99">
        <v>6300</v>
      </c>
      <c r="B254" s="247" t="s">
        <v>270</v>
      </c>
      <c r="C254" s="100">
        <f t="shared" si="26"/>
        <v>0</v>
      </c>
      <c r="D254" s="112">
        <f>SUM(D255,D259,D260)</f>
        <v>0</v>
      </c>
      <c r="E254" s="293">
        <f>SUM(E255,E259,E260)</f>
        <v>0</v>
      </c>
      <c r="F254" s="313">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row>
    <row r="255" spans="1:16" ht="24" hidden="1" x14ac:dyDescent="0.25">
      <c r="A255" s="656">
        <v>6320</v>
      </c>
      <c r="B255" s="116" t="s">
        <v>271</v>
      </c>
      <c r="C255" s="322">
        <f t="shared" si="26"/>
        <v>0</v>
      </c>
      <c r="D255" s="297">
        <f>SUM(D256:D258)</f>
        <v>0</v>
      </c>
      <c r="E255" s="301">
        <f>SUM(E256:E258)</f>
        <v>0</v>
      </c>
      <c r="F255" s="263">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row>
    <row r="256" spans="1:16" hidden="1" x14ac:dyDescent="0.25">
      <c r="A256" s="76">
        <v>6322</v>
      </c>
      <c r="B256" s="127" t="s">
        <v>272</v>
      </c>
      <c r="C256" s="281">
        <f t="shared" si="26"/>
        <v>0</v>
      </c>
      <c r="D256" s="134"/>
      <c r="E256" s="285"/>
      <c r="F256" s="286">
        <f t="shared" si="37"/>
        <v>0</v>
      </c>
      <c r="G256" s="134"/>
      <c r="H256" s="135"/>
      <c r="I256" s="136">
        <f t="shared" si="38"/>
        <v>0</v>
      </c>
      <c r="J256" s="134"/>
      <c r="K256" s="135"/>
      <c r="L256" s="136">
        <f t="shared" si="39"/>
        <v>0</v>
      </c>
      <c r="M256" s="284"/>
      <c r="N256" s="285"/>
      <c r="O256" s="136">
        <f t="shared" si="40"/>
        <v>0</v>
      </c>
      <c r="P256" s="85"/>
    </row>
    <row r="257" spans="1:16" ht="24" hidden="1" x14ac:dyDescent="0.25">
      <c r="A257" s="76">
        <v>6323</v>
      </c>
      <c r="B257" s="127" t="s">
        <v>273</v>
      </c>
      <c r="C257" s="281">
        <f t="shared" si="26"/>
        <v>0</v>
      </c>
      <c r="D257" s="134"/>
      <c r="E257" s="285"/>
      <c r="F257" s="286">
        <f t="shared" si="37"/>
        <v>0</v>
      </c>
      <c r="G257" s="134"/>
      <c r="H257" s="135"/>
      <c r="I257" s="136">
        <f t="shared" si="38"/>
        <v>0</v>
      </c>
      <c r="J257" s="134"/>
      <c r="K257" s="135"/>
      <c r="L257" s="136">
        <f t="shared" si="39"/>
        <v>0</v>
      </c>
      <c r="M257" s="284"/>
      <c r="N257" s="285"/>
      <c r="O257" s="136">
        <f t="shared" si="40"/>
        <v>0</v>
      </c>
      <c r="P257" s="85"/>
    </row>
    <row r="258" spans="1:16" ht="24" hidden="1" x14ac:dyDescent="0.25">
      <c r="A258" s="66">
        <v>6324</v>
      </c>
      <c r="B258" s="116" t="s">
        <v>274</v>
      </c>
      <c r="C258" s="281">
        <f t="shared" si="26"/>
        <v>0</v>
      </c>
      <c r="D258" s="123"/>
      <c r="E258" s="262"/>
      <c r="F258" s="263">
        <f t="shared" si="37"/>
        <v>0</v>
      </c>
      <c r="G258" s="123"/>
      <c r="H258" s="124"/>
      <c r="I258" s="125">
        <f t="shared" si="38"/>
        <v>0</v>
      </c>
      <c r="J258" s="123"/>
      <c r="K258" s="124"/>
      <c r="L258" s="125">
        <f t="shared" si="39"/>
        <v>0</v>
      </c>
      <c r="M258" s="264"/>
      <c r="N258" s="262"/>
      <c r="O258" s="125">
        <f t="shared" si="40"/>
        <v>0</v>
      </c>
      <c r="P258" s="74"/>
    </row>
    <row r="259" spans="1:16" ht="24" hidden="1" x14ac:dyDescent="0.25">
      <c r="A259" s="344">
        <v>6330</v>
      </c>
      <c r="B259" s="345" t="s">
        <v>275</v>
      </c>
      <c r="C259" s="281">
        <f t="shared" ref="C259:C286" si="50">F259+I259+L259+O259</f>
        <v>0</v>
      </c>
      <c r="D259" s="328"/>
      <c r="E259" s="329"/>
      <c r="F259" s="330">
        <f t="shared" si="37"/>
        <v>0</v>
      </c>
      <c r="G259" s="328"/>
      <c r="H259" s="331"/>
      <c r="I259" s="324">
        <f t="shared" si="38"/>
        <v>0</v>
      </c>
      <c r="J259" s="328"/>
      <c r="K259" s="331"/>
      <c r="L259" s="324">
        <f t="shared" si="39"/>
        <v>0</v>
      </c>
      <c r="M259" s="332"/>
      <c r="N259" s="329"/>
      <c r="O259" s="324">
        <f t="shared" si="40"/>
        <v>0</v>
      </c>
      <c r="P259" s="325"/>
    </row>
    <row r="260" spans="1:16" hidden="1" x14ac:dyDescent="0.25">
      <c r="A260" s="276">
        <v>6360</v>
      </c>
      <c r="B260" s="127" t="s">
        <v>276</v>
      </c>
      <c r="C260" s="281">
        <f t="shared" si="50"/>
        <v>0</v>
      </c>
      <c r="D260" s="134"/>
      <c r="E260" s="285"/>
      <c r="F260" s="286">
        <f t="shared" si="37"/>
        <v>0</v>
      </c>
      <c r="G260" s="134"/>
      <c r="H260" s="135"/>
      <c r="I260" s="136">
        <f t="shared" si="38"/>
        <v>0</v>
      </c>
      <c r="J260" s="134"/>
      <c r="K260" s="135"/>
      <c r="L260" s="136">
        <f t="shared" si="39"/>
        <v>0</v>
      </c>
      <c r="M260" s="284"/>
      <c r="N260" s="285"/>
      <c r="O260" s="136">
        <f t="shared" si="40"/>
        <v>0</v>
      </c>
      <c r="P260" s="85"/>
    </row>
    <row r="261" spans="1:16" ht="36" hidden="1" x14ac:dyDescent="0.25">
      <c r="A261" s="99">
        <v>6400</v>
      </c>
      <c r="B261" s="247" t="s">
        <v>277</v>
      </c>
      <c r="C261" s="100">
        <f t="shared" si="50"/>
        <v>0</v>
      </c>
      <c r="D261" s="112">
        <f>SUM(D262,D266)</f>
        <v>0</v>
      </c>
      <c r="E261" s="293">
        <f>SUM(E262,E266)</f>
        <v>0</v>
      </c>
      <c r="F261" s="313">
        <f t="shared" si="37"/>
        <v>0</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row>
    <row r="262" spans="1:16" ht="24" hidden="1" x14ac:dyDescent="0.25">
      <c r="A262" s="656">
        <v>6410</v>
      </c>
      <c r="B262" s="116" t="s">
        <v>278</v>
      </c>
      <c r="C262" s="300">
        <f t="shared" si="50"/>
        <v>0</v>
      </c>
      <c r="D262" s="297">
        <f>SUM(D263:D265)</f>
        <v>0</v>
      </c>
      <c r="E262" s="301">
        <f>SUM(E263:E265)</f>
        <v>0</v>
      </c>
      <c r="F262" s="263">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row>
    <row r="263" spans="1:16" hidden="1" x14ac:dyDescent="0.25">
      <c r="A263" s="76">
        <v>6411</v>
      </c>
      <c r="B263" s="346" t="s">
        <v>279</v>
      </c>
      <c r="C263" s="278">
        <f t="shared" si="50"/>
        <v>0</v>
      </c>
      <c r="D263" s="134"/>
      <c r="E263" s="285"/>
      <c r="F263" s="286">
        <f t="shared" si="37"/>
        <v>0</v>
      </c>
      <c r="G263" s="134"/>
      <c r="H263" s="135"/>
      <c r="I263" s="136">
        <f t="shared" si="38"/>
        <v>0</v>
      </c>
      <c r="J263" s="134"/>
      <c r="K263" s="135"/>
      <c r="L263" s="136">
        <f t="shared" si="39"/>
        <v>0</v>
      </c>
      <c r="M263" s="284"/>
      <c r="N263" s="285"/>
      <c r="O263" s="136">
        <f t="shared" si="40"/>
        <v>0</v>
      </c>
      <c r="P263" s="85"/>
    </row>
    <row r="264" spans="1:16" ht="36" hidden="1" x14ac:dyDescent="0.25">
      <c r="A264" s="76">
        <v>6412</v>
      </c>
      <c r="B264" s="127" t="s">
        <v>280</v>
      </c>
      <c r="C264" s="278">
        <f t="shared" si="50"/>
        <v>0</v>
      </c>
      <c r="D264" s="134"/>
      <c r="E264" s="285"/>
      <c r="F264" s="286">
        <f t="shared" si="37"/>
        <v>0</v>
      </c>
      <c r="G264" s="134"/>
      <c r="H264" s="135"/>
      <c r="I264" s="136">
        <f t="shared" si="38"/>
        <v>0</v>
      </c>
      <c r="J264" s="134"/>
      <c r="K264" s="135"/>
      <c r="L264" s="136">
        <f t="shared" si="39"/>
        <v>0</v>
      </c>
      <c r="M264" s="284"/>
      <c r="N264" s="285"/>
      <c r="O264" s="136">
        <f t="shared" si="40"/>
        <v>0</v>
      </c>
      <c r="P264" s="85"/>
    </row>
    <row r="265" spans="1:16" ht="36" hidden="1" x14ac:dyDescent="0.25">
      <c r="A265" s="76">
        <v>6419</v>
      </c>
      <c r="B265" s="127" t="s">
        <v>281</v>
      </c>
      <c r="C265" s="278">
        <f t="shared" si="50"/>
        <v>0</v>
      </c>
      <c r="D265" s="134"/>
      <c r="E265" s="285"/>
      <c r="F265" s="286">
        <f t="shared" si="37"/>
        <v>0</v>
      </c>
      <c r="G265" s="134"/>
      <c r="H265" s="135"/>
      <c r="I265" s="136">
        <f t="shared" si="38"/>
        <v>0</v>
      </c>
      <c r="J265" s="134"/>
      <c r="K265" s="135"/>
      <c r="L265" s="136">
        <f t="shared" si="39"/>
        <v>0</v>
      </c>
      <c r="M265" s="284"/>
      <c r="N265" s="285"/>
      <c r="O265" s="136">
        <f t="shared" si="40"/>
        <v>0</v>
      </c>
      <c r="P265" s="85"/>
    </row>
    <row r="266" spans="1:16" ht="36" hidden="1" x14ac:dyDescent="0.25">
      <c r="A266" s="276">
        <v>6420</v>
      </c>
      <c r="B266" s="127" t="s">
        <v>282</v>
      </c>
      <c r="C266" s="278">
        <f t="shared" si="50"/>
        <v>0</v>
      </c>
      <c r="D266" s="277">
        <f>SUM(D267:D270)</f>
        <v>0</v>
      </c>
      <c r="E266" s="282">
        <f>SUM(E267:E270)</f>
        <v>0</v>
      </c>
      <c r="F266" s="286">
        <f t="shared" si="37"/>
        <v>0</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row>
    <row r="267" spans="1:16" hidden="1" x14ac:dyDescent="0.25">
      <c r="A267" s="76">
        <v>6421</v>
      </c>
      <c r="B267" s="127" t="s">
        <v>283</v>
      </c>
      <c r="C267" s="278">
        <f t="shared" si="50"/>
        <v>0</v>
      </c>
      <c r="D267" s="134"/>
      <c r="E267" s="285"/>
      <c r="F267" s="286">
        <f t="shared" si="37"/>
        <v>0</v>
      </c>
      <c r="G267" s="134"/>
      <c r="H267" s="135"/>
      <c r="I267" s="136">
        <f t="shared" si="38"/>
        <v>0</v>
      </c>
      <c r="J267" s="134"/>
      <c r="K267" s="135"/>
      <c r="L267" s="136">
        <f t="shared" si="39"/>
        <v>0</v>
      </c>
      <c r="M267" s="284"/>
      <c r="N267" s="285"/>
      <c r="O267" s="136">
        <f t="shared" si="40"/>
        <v>0</v>
      </c>
      <c r="P267" s="85"/>
    </row>
    <row r="268" spans="1:16" hidden="1" x14ac:dyDescent="0.25">
      <c r="A268" s="76">
        <v>6422</v>
      </c>
      <c r="B268" s="127" t="s">
        <v>284</v>
      </c>
      <c r="C268" s="278">
        <f t="shared" si="50"/>
        <v>0</v>
      </c>
      <c r="D268" s="134"/>
      <c r="E268" s="285"/>
      <c r="F268" s="286">
        <f t="shared" si="37"/>
        <v>0</v>
      </c>
      <c r="G268" s="134"/>
      <c r="H268" s="135"/>
      <c r="I268" s="136">
        <f t="shared" si="38"/>
        <v>0</v>
      </c>
      <c r="J268" s="134"/>
      <c r="K268" s="135"/>
      <c r="L268" s="136">
        <f t="shared" si="39"/>
        <v>0</v>
      </c>
      <c r="M268" s="284"/>
      <c r="N268" s="285"/>
      <c r="O268" s="136">
        <f t="shared" si="40"/>
        <v>0</v>
      </c>
      <c r="P268" s="85"/>
    </row>
    <row r="269" spans="1:16" ht="24" hidden="1" x14ac:dyDescent="0.25">
      <c r="A269" s="76">
        <v>6423</v>
      </c>
      <c r="B269" s="127" t="s">
        <v>285</v>
      </c>
      <c r="C269" s="278">
        <f t="shared" si="50"/>
        <v>0</v>
      </c>
      <c r="D269" s="134"/>
      <c r="E269" s="285"/>
      <c r="F269" s="286">
        <f t="shared" si="37"/>
        <v>0</v>
      </c>
      <c r="G269" s="134"/>
      <c r="H269" s="135"/>
      <c r="I269" s="136">
        <f t="shared" si="38"/>
        <v>0</v>
      </c>
      <c r="J269" s="134"/>
      <c r="K269" s="135"/>
      <c r="L269" s="136">
        <f t="shared" si="39"/>
        <v>0</v>
      </c>
      <c r="M269" s="284"/>
      <c r="N269" s="285"/>
      <c r="O269" s="136">
        <f t="shared" si="40"/>
        <v>0</v>
      </c>
      <c r="P269" s="85"/>
    </row>
    <row r="270" spans="1:16" ht="36" hidden="1" x14ac:dyDescent="0.25">
      <c r="A270" s="76">
        <v>6424</v>
      </c>
      <c r="B270" s="127" t="s">
        <v>286</v>
      </c>
      <c r="C270" s="278">
        <f t="shared" si="50"/>
        <v>0</v>
      </c>
      <c r="D270" s="134"/>
      <c r="E270" s="285"/>
      <c r="F270" s="286">
        <f t="shared" si="37"/>
        <v>0</v>
      </c>
      <c r="G270" s="134"/>
      <c r="H270" s="135"/>
      <c r="I270" s="136">
        <f t="shared" si="38"/>
        <v>0</v>
      </c>
      <c r="J270" s="134"/>
      <c r="K270" s="135"/>
      <c r="L270" s="136">
        <f t="shared" si="39"/>
        <v>0</v>
      </c>
      <c r="M270" s="284"/>
      <c r="N270" s="285"/>
      <c r="O270" s="136">
        <f t="shared" si="40"/>
        <v>0</v>
      </c>
      <c r="P270" s="85"/>
    </row>
    <row r="271" spans="1:16" ht="36" hidden="1" x14ac:dyDescent="0.25">
      <c r="A271" s="347">
        <v>7000</v>
      </c>
      <c r="B271" s="347" t="s">
        <v>287</v>
      </c>
      <c r="C271" s="348">
        <f t="shared" si="50"/>
        <v>0</v>
      </c>
      <c r="D271" s="349">
        <f>SUM(D272,D282)</f>
        <v>0</v>
      </c>
      <c r="E271" s="407">
        <f>SUM(E272,E282)</f>
        <v>0</v>
      </c>
      <c r="F271" s="408">
        <f t="shared" si="37"/>
        <v>0</v>
      </c>
      <c r="G271" s="349">
        <f>SUM(G272,G282)</f>
        <v>0</v>
      </c>
      <c r="H271" s="352">
        <f>SUM(H272,H282)</f>
        <v>0</v>
      </c>
      <c r="I271" s="353">
        <f t="shared" si="38"/>
        <v>0</v>
      </c>
      <c r="J271" s="349">
        <f>SUM(J272,J282)</f>
        <v>0</v>
      </c>
      <c r="K271" s="352">
        <f>SUM(K272,K282)</f>
        <v>0</v>
      </c>
      <c r="L271" s="353">
        <f t="shared" si="39"/>
        <v>0</v>
      </c>
      <c r="M271" s="354">
        <f>SUM(M272,M282)</f>
        <v>0</v>
      </c>
      <c r="N271" s="355">
        <f>SUM(N272,N282)</f>
        <v>0</v>
      </c>
      <c r="O271" s="356">
        <f t="shared" si="40"/>
        <v>0</v>
      </c>
      <c r="P271" s="357"/>
    </row>
    <row r="272" spans="1:16" ht="24" hidden="1" x14ac:dyDescent="0.25">
      <c r="A272" s="99">
        <v>7200</v>
      </c>
      <c r="B272" s="247" t="s">
        <v>288</v>
      </c>
      <c r="C272" s="100">
        <f t="shared" si="50"/>
        <v>0</v>
      </c>
      <c r="D272" s="112">
        <f>SUM(D273,D274,D277,D278,D281)</f>
        <v>0</v>
      </c>
      <c r="E272" s="293">
        <f>SUM(E273,E274,E277,E278,E281)</f>
        <v>0</v>
      </c>
      <c r="F272" s="313">
        <f t="shared" si="37"/>
        <v>0</v>
      </c>
      <c r="G272" s="112">
        <f>SUM(G273,G274,G277,G278,G281)</f>
        <v>0</v>
      </c>
      <c r="H272" s="113">
        <f>SUM(H273,H274,H277,H278,H281)</f>
        <v>0</v>
      </c>
      <c r="I272" s="114">
        <f t="shared" si="38"/>
        <v>0</v>
      </c>
      <c r="J272" s="112">
        <f>SUM(J273,J274,J277,J278,J281)</f>
        <v>0</v>
      </c>
      <c r="K272" s="113">
        <f>SUM(K273,K274,K277,K278,K281)</f>
        <v>0</v>
      </c>
      <c r="L272" s="114">
        <f t="shared" si="39"/>
        <v>0</v>
      </c>
      <c r="M272" s="250">
        <f>SUM(M273,M274,M277,M278,M281)</f>
        <v>0</v>
      </c>
      <c r="N272" s="251">
        <f>SUM(N273,N274,N277,N278,N281)</f>
        <v>0</v>
      </c>
      <c r="O272" s="252">
        <f t="shared" si="40"/>
        <v>0</v>
      </c>
      <c r="P272" s="253"/>
    </row>
    <row r="273" spans="1:16" ht="24" hidden="1" x14ac:dyDescent="0.25">
      <c r="A273" s="656">
        <v>7210</v>
      </c>
      <c r="B273" s="116" t="s">
        <v>289</v>
      </c>
      <c r="C273" s="117">
        <f t="shared" si="50"/>
        <v>0</v>
      </c>
      <c r="D273" s="123"/>
      <c r="E273" s="262"/>
      <c r="F273" s="263">
        <f t="shared" si="37"/>
        <v>0</v>
      </c>
      <c r="G273" s="123"/>
      <c r="H273" s="124"/>
      <c r="I273" s="125">
        <f t="shared" si="38"/>
        <v>0</v>
      </c>
      <c r="J273" s="123"/>
      <c r="K273" s="124"/>
      <c r="L273" s="125">
        <f t="shared" si="39"/>
        <v>0</v>
      </c>
      <c r="M273" s="264"/>
      <c r="N273" s="262"/>
      <c r="O273" s="125">
        <f t="shared" si="40"/>
        <v>0</v>
      </c>
      <c r="P273" s="74"/>
    </row>
    <row r="274" spans="1:16" s="358" customFormat="1" ht="36" hidden="1" x14ac:dyDescent="0.25">
      <c r="A274" s="276">
        <v>7220</v>
      </c>
      <c r="B274" s="127" t="s">
        <v>290</v>
      </c>
      <c r="C274" s="128">
        <f t="shared" si="50"/>
        <v>0</v>
      </c>
      <c r="D274" s="277">
        <f>SUM(D275:D276)</f>
        <v>0</v>
      </c>
      <c r="E274" s="282">
        <f>SUM(E275:E276)</f>
        <v>0</v>
      </c>
      <c r="F274" s="28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row>
    <row r="275" spans="1:16" s="358" customFormat="1" ht="36" hidden="1" x14ac:dyDescent="0.25">
      <c r="A275" s="76">
        <v>7221</v>
      </c>
      <c r="B275" s="127" t="s">
        <v>291</v>
      </c>
      <c r="C275" s="128">
        <f t="shared" si="50"/>
        <v>0</v>
      </c>
      <c r="D275" s="134"/>
      <c r="E275" s="285"/>
      <c r="F275" s="286">
        <f t="shared" si="37"/>
        <v>0</v>
      </c>
      <c r="G275" s="134"/>
      <c r="H275" s="135"/>
      <c r="I275" s="136">
        <f t="shared" si="38"/>
        <v>0</v>
      </c>
      <c r="J275" s="134"/>
      <c r="K275" s="135"/>
      <c r="L275" s="136">
        <f t="shared" si="39"/>
        <v>0</v>
      </c>
      <c r="M275" s="284"/>
      <c r="N275" s="285"/>
      <c r="O275" s="136">
        <f t="shared" si="40"/>
        <v>0</v>
      </c>
      <c r="P275" s="85"/>
    </row>
    <row r="276" spans="1:16" s="358" customFormat="1" ht="36" hidden="1" x14ac:dyDescent="0.25">
      <c r="A276" s="76">
        <v>7222</v>
      </c>
      <c r="B276" s="127" t="s">
        <v>292</v>
      </c>
      <c r="C276" s="128">
        <f t="shared" si="50"/>
        <v>0</v>
      </c>
      <c r="D276" s="134"/>
      <c r="E276" s="285"/>
      <c r="F276" s="286">
        <f t="shared" si="37"/>
        <v>0</v>
      </c>
      <c r="G276" s="134"/>
      <c r="H276" s="135"/>
      <c r="I276" s="136">
        <f t="shared" si="38"/>
        <v>0</v>
      </c>
      <c r="J276" s="134"/>
      <c r="K276" s="135"/>
      <c r="L276" s="136">
        <f t="shared" si="39"/>
        <v>0</v>
      </c>
      <c r="M276" s="284"/>
      <c r="N276" s="285"/>
      <c r="O276" s="136">
        <f t="shared" si="40"/>
        <v>0</v>
      </c>
      <c r="P276" s="85"/>
    </row>
    <row r="277" spans="1:16" s="358" customFormat="1" ht="24" hidden="1" x14ac:dyDescent="0.25">
      <c r="A277" s="276">
        <v>7230</v>
      </c>
      <c r="B277" s="127" t="s">
        <v>293</v>
      </c>
      <c r="C277" s="128">
        <f t="shared" si="50"/>
        <v>0</v>
      </c>
      <c r="D277" s="134"/>
      <c r="E277" s="285"/>
      <c r="F277" s="286">
        <f t="shared" si="37"/>
        <v>0</v>
      </c>
      <c r="G277" s="134"/>
      <c r="H277" s="135"/>
      <c r="I277" s="136">
        <f t="shared" si="38"/>
        <v>0</v>
      </c>
      <c r="J277" s="134"/>
      <c r="K277" s="135"/>
      <c r="L277" s="136">
        <f t="shared" si="39"/>
        <v>0</v>
      </c>
      <c r="M277" s="284"/>
      <c r="N277" s="285"/>
      <c r="O277" s="136">
        <f>M277+N277</f>
        <v>0</v>
      </c>
      <c r="P277" s="85"/>
    </row>
    <row r="278" spans="1:16" ht="24" hidden="1" x14ac:dyDescent="0.25">
      <c r="A278" s="276">
        <v>7240</v>
      </c>
      <c r="B278" s="127" t="s">
        <v>294</v>
      </c>
      <c r="C278" s="128">
        <f t="shared" si="50"/>
        <v>0</v>
      </c>
      <c r="D278" s="277">
        <f>SUM(D279:D280)</f>
        <v>0</v>
      </c>
      <c r="E278" s="282">
        <f>SUM(E279:E280)</f>
        <v>0</v>
      </c>
      <c r="F278" s="28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row>
    <row r="279" spans="1:16" ht="48" hidden="1" x14ac:dyDescent="0.25">
      <c r="A279" s="76">
        <v>7245</v>
      </c>
      <c r="B279" s="127" t="s">
        <v>295</v>
      </c>
      <c r="C279" s="128">
        <f t="shared" si="50"/>
        <v>0</v>
      </c>
      <c r="D279" s="134"/>
      <c r="E279" s="285"/>
      <c r="F279" s="286">
        <f t="shared" si="37"/>
        <v>0</v>
      </c>
      <c r="G279" s="134"/>
      <c r="H279" s="135"/>
      <c r="I279" s="136">
        <f t="shared" si="38"/>
        <v>0</v>
      </c>
      <c r="J279" s="134"/>
      <c r="K279" s="135"/>
      <c r="L279" s="136">
        <f t="shared" si="39"/>
        <v>0</v>
      </c>
      <c r="M279" s="284"/>
      <c r="N279" s="285"/>
      <c r="O279" s="136">
        <f t="shared" ref="O279:O282" si="57">M279+N279</f>
        <v>0</v>
      </c>
      <c r="P279" s="85"/>
    </row>
    <row r="280" spans="1:16" ht="96" hidden="1" x14ac:dyDescent="0.25">
      <c r="A280" s="76">
        <v>7246</v>
      </c>
      <c r="B280" s="127" t="s">
        <v>296</v>
      </c>
      <c r="C280" s="128">
        <f t="shared" si="50"/>
        <v>0</v>
      </c>
      <c r="D280" s="134"/>
      <c r="E280" s="285"/>
      <c r="F280" s="286">
        <f t="shared" si="37"/>
        <v>0</v>
      </c>
      <c r="G280" s="134"/>
      <c r="H280" s="135"/>
      <c r="I280" s="136">
        <f t="shared" si="38"/>
        <v>0</v>
      </c>
      <c r="J280" s="134"/>
      <c r="K280" s="135"/>
      <c r="L280" s="136">
        <f t="shared" si="39"/>
        <v>0</v>
      </c>
      <c r="M280" s="284"/>
      <c r="N280" s="285"/>
      <c r="O280" s="136">
        <f t="shared" si="57"/>
        <v>0</v>
      </c>
      <c r="P280" s="85"/>
    </row>
    <row r="281" spans="1:16" ht="24" hidden="1" x14ac:dyDescent="0.25">
      <c r="A281" s="276">
        <v>7260</v>
      </c>
      <c r="B281" s="127" t="s">
        <v>297</v>
      </c>
      <c r="C281" s="128">
        <f t="shared" si="50"/>
        <v>0</v>
      </c>
      <c r="D281" s="123"/>
      <c r="E281" s="262"/>
      <c r="F281" s="263">
        <f t="shared" si="37"/>
        <v>0</v>
      </c>
      <c r="G281" s="123"/>
      <c r="H281" s="124"/>
      <c r="I281" s="125">
        <f t="shared" si="38"/>
        <v>0</v>
      </c>
      <c r="J281" s="123"/>
      <c r="K281" s="124"/>
      <c r="L281" s="125">
        <f t="shared" si="39"/>
        <v>0</v>
      </c>
      <c r="M281" s="264"/>
      <c r="N281" s="262"/>
      <c r="O281" s="125">
        <f t="shared" si="57"/>
        <v>0</v>
      </c>
      <c r="P281" s="74"/>
    </row>
    <row r="282" spans="1:16" hidden="1" x14ac:dyDescent="0.25">
      <c r="A282" s="99">
        <v>7700</v>
      </c>
      <c r="B282" s="247" t="s">
        <v>298</v>
      </c>
      <c r="C282" s="359">
        <f t="shared" si="50"/>
        <v>0</v>
      </c>
      <c r="D282" s="360">
        <f>D283</f>
        <v>0</v>
      </c>
      <c r="E282" s="304">
        <f>SUM(E283)</f>
        <v>0</v>
      </c>
      <c r="F282" s="316">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row>
    <row r="283" spans="1:16" hidden="1" x14ac:dyDescent="0.25">
      <c r="A283" s="141">
        <v>7720</v>
      </c>
      <c r="B283" s="142" t="s">
        <v>299</v>
      </c>
      <c r="C283" s="362">
        <f t="shared" si="50"/>
        <v>0</v>
      </c>
      <c r="D283" s="149"/>
      <c r="E283" s="363"/>
      <c r="F283" s="364">
        <f t="shared" si="37"/>
        <v>0</v>
      </c>
      <c r="G283" s="149"/>
      <c r="H283" s="150"/>
      <c r="I283" s="151">
        <f t="shared" si="38"/>
        <v>0</v>
      </c>
      <c r="J283" s="149"/>
      <c r="K283" s="150"/>
      <c r="L283" s="151">
        <f t="shared" si="39"/>
        <v>0</v>
      </c>
      <c r="M283" s="365"/>
      <c r="N283" s="363"/>
      <c r="O283" s="151">
        <f>M283+N283</f>
        <v>0</v>
      </c>
      <c r="P283" s="153"/>
    </row>
    <row r="284" spans="1:16" hidden="1" x14ac:dyDescent="0.25">
      <c r="A284" s="366"/>
      <c r="B284" s="179" t="s">
        <v>300</v>
      </c>
      <c r="C284" s="117">
        <f t="shared" si="50"/>
        <v>0</v>
      </c>
      <c r="D284" s="255">
        <f>SUM(D285:D286)</f>
        <v>0</v>
      </c>
      <c r="E284" s="261">
        <f>SUM(E285:E286)</f>
        <v>0</v>
      </c>
      <c r="F284" s="310">
        <f t="shared" si="37"/>
        <v>0</v>
      </c>
      <c r="G284" s="255">
        <f>SUM(G285:G286)</f>
        <v>0</v>
      </c>
      <c r="H284" s="258">
        <f>SUM(H285:H286)</f>
        <v>0</v>
      </c>
      <c r="I284" s="259">
        <f t="shared" si="38"/>
        <v>0</v>
      </c>
      <c r="J284" s="255">
        <f>SUM(J285:J286)</f>
        <v>0</v>
      </c>
      <c r="K284" s="258">
        <f>SUM(K285:K286)</f>
        <v>0</v>
      </c>
      <c r="L284" s="259">
        <f t="shared" si="39"/>
        <v>0</v>
      </c>
      <c r="M284" s="260">
        <f>SUM(M285:M286)</f>
        <v>0</v>
      </c>
      <c r="N284" s="261">
        <f>SUM(N285:N286)</f>
        <v>0</v>
      </c>
      <c r="O284" s="259">
        <f t="shared" ref="O284:O299" si="58">M284+N284</f>
        <v>0</v>
      </c>
      <c r="P284" s="189"/>
    </row>
    <row r="285" spans="1:16" hidden="1" x14ac:dyDescent="0.25">
      <c r="A285" s="346" t="s">
        <v>301</v>
      </c>
      <c r="B285" s="76" t="s">
        <v>302</v>
      </c>
      <c r="C285" s="279">
        <f t="shared" si="50"/>
        <v>0</v>
      </c>
      <c r="D285" s="134"/>
      <c r="E285" s="285"/>
      <c r="F285" s="286">
        <f t="shared" si="37"/>
        <v>0</v>
      </c>
      <c r="G285" s="134"/>
      <c r="H285" s="135"/>
      <c r="I285" s="136">
        <f t="shared" si="38"/>
        <v>0</v>
      </c>
      <c r="J285" s="134"/>
      <c r="K285" s="135"/>
      <c r="L285" s="136">
        <f t="shared" si="39"/>
        <v>0</v>
      </c>
      <c r="M285" s="284"/>
      <c r="N285" s="285"/>
      <c r="O285" s="136">
        <f t="shared" si="58"/>
        <v>0</v>
      </c>
      <c r="P285" s="85"/>
    </row>
    <row r="286" spans="1:16" ht="24" hidden="1" x14ac:dyDescent="0.25">
      <c r="A286" s="346" t="s">
        <v>303</v>
      </c>
      <c r="B286" s="367" t="s">
        <v>304</v>
      </c>
      <c r="C286" s="117">
        <f t="shared" si="50"/>
        <v>0</v>
      </c>
      <c r="D286" s="123"/>
      <c r="E286" s="262"/>
      <c r="F286" s="263">
        <f t="shared" si="37"/>
        <v>0</v>
      </c>
      <c r="G286" s="123"/>
      <c r="H286" s="124"/>
      <c r="I286" s="125">
        <f t="shared" si="38"/>
        <v>0</v>
      </c>
      <c r="J286" s="123"/>
      <c r="K286" s="124"/>
      <c r="L286" s="125">
        <f t="shared" si="39"/>
        <v>0</v>
      </c>
      <c r="M286" s="264"/>
      <c r="N286" s="262"/>
      <c r="O286" s="125">
        <f t="shared" si="58"/>
        <v>0</v>
      </c>
      <c r="P286" s="74"/>
    </row>
    <row r="287" spans="1:16" x14ac:dyDescent="0.25">
      <c r="A287" s="368"/>
      <c r="B287" s="369" t="s">
        <v>305</v>
      </c>
      <c r="C287" s="370">
        <f>SUM(C284,C271,C233,C198,C190,C176,C78,C56)</f>
        <v>316731</v>
      </c>
      <c r="D287" s="371">
        <f>SUM(D284,D271,D233,D198,D190,D176,D78,D56)</f>
        <v>16254</v>
      </c>
      <c r="E287" s="372">
        <f>SUM(E284,E271,E233,E198,E190,E176,E78,E56)</f>
        <v>2822</v>
      </c>
      <c r="F287" s="373">
        <f t="shared" si="37"/>
        <v>19076</v>
      </c>
      <c r="G287" s="371">
        <f>SUM(G284,G271,G233,G198,G190,G176,G78,G56)</f>
        <v>296413</v>
      </c>
      <c r="H287" s="374">
        <f>SUM(H284,H271,H233,H198,H190,H176,H78,H56)</f>
        <v>0</v>
      </c>
      <c r="I287" s="375">
        <f t="shared" si="38"/>
        <v>296413</v>
      </c>
      <c r="J287" s="371">
        <f>SUM(J284,J271,J233,J198,J190,J176,J78,J56)</f>
        <v>1242</v>
      </c>
      <c r="K287" s="374">
        <f>SUM(K284,K271,K233,K198,K190,K176,K78,K56)</f>
        <v>0</v>
      </c>
      <c r="L287" s="375">
        <f t="shared" si="39"/>
        <v>1242</v>
      </c>
      <c r="M287" s="250">
        <f>SUM(M284,M271,M233,M198,M190,M176,M78,M56)</f>
        <v>0</v>
      </c>
      <c r="N287" s="251">
        <f>SUM(N284,N271,N233,N198,N190,N176,N78,N56)</f>
        <v>0</v>
      </c>
      <c r="O287" s="252">
        <f t="shared" si="58"/>
        <v>0</v>
      </c>
      <c r="P287" s="253"/>
    </row>
    <row r="288" spans="1:16" x14ac:dyDescent="0.25">
      <c r="A288" s="376" t="s">
        <v>306</v>
      </c>
      <c r="B288" s="377"/>
      <c r="C288" s="378">
        <f t="shared" ref="C288" si="59">F288+I288+L288+O288</f>
        <v>-170</v>
      </c>
      <c r="D288" s="379">
        <f>SUM(D28,D29,D45)-D54</f>
        <v>0</v>
      </c>
      <c r="E288" s="380">
        <f>SUM(E28,E29,E45)-E54</f>
        <v>0</v>
      </c>
      <c r="F288" s="381">
        <f t="shared" si="37"/>
        <v>0</v>
      </c>
      <c r="G288" s="379">
        <f>SUM(G28,G29,G45)-G54</f>
        <v>0</v>
      </c>
      <c r="H288" s="382">
        <f>SUM(H28,H29,H45)-H54</f>
        <v>0</v>
      </c>
      <c r="I288" s="383">
        <f t="shared" si="38"/>
        <v>0</v>
      </c>
      <c r="J288" s="379">
        <f>(J30+J46)-J54</f>
        <v>-170</v>
      </c>
      <c r="K288" s="382">
        <f>(K30+K46)-K54</f>
        <v>0</v>
      </c>
      <c r="L288" s="383">
        <f t="shared" si="39"/>
        <v>-170</v>
      </c>
      <c r="M288" s="378">
        <f>M48-M54</f>
        <v>0</v>
      </c>
      <c r="N288" s="384">
        <f>N48-N54</f>
        <v>0</v>
      </c>
      <c r="O288" s="383">
        <f t="shared" si="58"/>
        <v>0</v>
      </c>
      <c r="P288" s="385"/>
    </row>
    <row r="289" spans="1:17" s="41" customFormat="1" x14ac:dyDescent="0.25">
      <c r="A289" s="376" t="s">
        <v>307</v>
      </c>
      <c r="B289" s="377"/>
      <c r="C289" s="380">
        <f>SUM(C290,C291)-C298+C299</f>
        <v>170</v>
      </c>
      <c r="D289" s="379">
        <f>SUM(D290,D291)-D298+D299</f>
        <v>0</v>
      </c>
      <c r="E289" s="380">
        <f>SUM(E290,E291)-E298+E299</f>
        <v>0</v>
      </c>
      <c r="F289" s="381">
        <f t="shared" si="37"/>
        <v>0</v>
      </c>
      <c r="G289" s="379">
        <f>SUM(G290,G291)-G298+G299</f>
        <v>0</v>
      </c>
      <c r="H289" s="382">
        <f>SUM(H290,H291)-H298+H299</f>
        <v>0</v>
      </c>
      <c r="I289" s="383">
        <f t="shared" si="38"/>
        <v>0</v>
      </c>
      <c r="J289" s="379">
        <f>SUM(J290,J291)-J298+J299</f>
        <v>170</v>
      </c>
      <c r="K289" s="382">
        <f>SUM(K290,K291)-K298+K299</f>
        <v>0</v>
      </c>
      <c r="L289" s="383">
        <f t="shared" si="39"/>
        <v>170</v>
      </c>
      <c r="M289" s="378">
        <f>SUM(M290,M291)-M298+M299</f>
        <v>0</v>
      </c>
      <c r="N289" s="384">
        <f>SUM(N290,N291)-N298+N299</f>
        <v>0</v>
      </c>
      <c r="O289" s="383">
        <f t="shared" si="58"/>
        <v>0</v>
      </c>
      <c r="P289" s="385"/>
    </row>
    <row r="290" spans="1:17" s="41" customFormat="1" x14ac:dyDescent="0.25">
      <c r="A290" s="386" t="s">
        <v>308</v>
      </c>
      <c r="B290" s="386" t="s">
        <v>309</v>
      </c>
      <c r="C290" s="380">
        <f>C25-C284</f>
        <v>170</v>
      </c>
      <c r="D290" s="379">
        <f>D25-D284</f>
        <v>0</v>
      </c>
      <c r="E290" s="380">
        <f>E25-E284</f>
        <v>0</v>
      </c>
      <c r="F290" s="381">
        <f t="shared" si="37"/>
        <v>0</v>
      </c>
      <c r="G290" s="379">
        <f>G25-G284</f>
        <v>0</v>
      </c>
      <c r="H290" s="382">
        <f>H25-H284</f>
        <v>0</v>
      </c>
      <c r="I290" s="383">
        <f t="shared" si="38"/>
        <v>0</v>
      </c>
      <c r="J290" s="379">
        <f>J25-J284</f>
        <v>170</v>
      </c>
      <c r="K290" s="382">
        <f>K25-K284</f>
        <v>0</v>
      </c>
      <c r="L290" s="383">
        <f t="shared" si="39"/>
        <v>170</v>
      </c>
      <c r="M290" s="378">
        <f>M25-M284</f>
        <v>0</v>
      </c>
      <c r="N290" s="384">
        <f>N25-N284</f>
        <v>0</v>
      </c>
      <c r="O290" s="383">
        <f t="shared" si="58"/>
        <v>0</v>
      </c>
      <c r="P290" s="385"/>
    </row>
    <row r="291" spans="1:17" s="41" customFormat="1" hidden="1" x14ac:dyDescent="0.25">
      <c r="A291" s="387" t="s">
        <v>310</v>
      </c>
      <c r="B291" s="387" t="s">
        <v>311</v>
      </c>
      <c r="C291" s="380">
        <f>SUM(C292,C294,C296)-SUM(C293,C295,C297)</f>
        <v>0</v>
      </c>
      <c r="D291" s="379">
        <f t="shared" ref="D291:E291" si="60">SUM(D292,D294,D296)-SUM(D293,D295,D297)</f>
        <v>0</v>
      </c>
      <c r="E291" s="384">
        <f t="shared" si="60"/>
        <v>0</v>
      </c>
      <c r="F291" s="388">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row>
    <row r="292" spans="1:17" s="41" customFormat="1" hidden="1" x14ac:dyDescent="0.25">
      <c r="A292" s="366" t="s">
        <v>312</v>
      </c>
      <c r="B292" s="190" t="s">
        <v>313</v>
      </c>
      <c r="C292" s="143">
        <f t="shared" ref="C292:C299" si="64">F292+I292+L292+O292</f>
        <v>0</v>
      </c>
      <c r="D292" s="149"/>
      <c r="E292" s="363"/>
      <c r="F292" s="364">
        <f t="shared" si="37"/>
        <v>0</v>
      </c>
      <c r="G292" s="149"/>
      <c r="H292" s="150"/>
      <c r="I292" s="151">
        <f t="shared" si="38"/>
        <v>0</v>
      </c>
      <c r="J292" s="149"/>
      <c r="K292" s="150"/>
      <c r="L292" s="151">
        <f t="shared" si="39"/>
        <v>0</v>
      </c>
      <c r="M292" s="365"/>
      <c r="N292" s="363"/>
      <c r="O292" s="151">
        <f t="shared" si="58"/>
        <v>0</v>
      </c>
      <c r="P292" s="153"/>
    </row>
    <row r="293" spans="1:17" ht="24" hidden="1" x14ac:dyDescent="0.25">
      <c r="A293" s="346" t="s">
        <v>314</v>
      </c>
      <c r="B293" s="75" t="s">
        <v>315</v>
      </c>
      <c r="C293" s="128">
        <f t="shared" si="64"/>
        <v>0</v>
      </c>
      <c r="D293" s="134"/>
      <c r="E293" s="285"/>
      <c r="F293" s="286">
        <f t="shared" si="37"/>
        <v>0</v>
      </c>
      <c r="G293" s="134"/>
      <c r="H293" s="135"/>
      <c r="I293" s="136">
        <f t="shared" si="38"/>
        <v>0</v>
      </c>
      <c r="J293" s="134"/>
      <c r="K293" s="135"/>
      <c r="L293" s="136">
        <f t="shared" si="39"/>
        <v>0</v>
      </c>
      <c r="M293" s="284"/>
      <c r="N293" s="285"/>
      <c r="O293" s="136">
        <f t="shared" si="58"/>
        <v>0</v>
      </c>
      <c r="P293" s="85"/>
    </row>
    <row r="294" spans="1:17" hidden="1" x14ac:dyDescent="0.25">
      <c r="A294" s="346" t="s">
        <v>316</v>
      </c>
      <c r="B294" s="75" t="s">
        <v>317</v>
      </c>
      <c r="C294" s="128">
        <f t="shared" si="64"/>
        <v>0</v>
      </c>
      <c r="D294" s="134"/>
      <c r="E294" s="285"/>
      <c r="F294" s="286">
        <f t="shared" si="37"/>
        <v>0</v>
      </c>
      <c r="G294" s="134"/>
      <c r="H294" s="135"/>
      <c r="I294" s="136">
        <f t="shared" si="38"/>
        <v>0</v>
      </c>
      <c r="J294" s="134"/>
      <c r="K294" s="135"/>
      <c r="L294" s="136">
        <f t="shared" si="39"/>
        <v>0</v>
      </c>
      <c r="M294" s="284"/>
      <c r="N294" s="285"/>
      <c r="O294" s="136">
        <f t="shared" si="58"/>
        <v>0</v>
      </c>
      <c r="P294" s="85"/>
    </row>
    <row r="295" spans="1:17" ht="24" hidden="1" x14ac:dyDescent="0.25">
      <c r="A295" s="346" t="s">
        <v>318</v>
      </c>
      <c r="B295" s="75" t="s">
        <v>319</v>
      </c>
      <c r="C295" s="128">
        <f t="shared" si="64"/>
        <v>0</v>
      </c>
      <c r="D295" s="134"/>
      <c r="E295" s="285"/>
      <c r="F295" s="286">
        <f t="shared" si="37"/>
        <v>0</v>
      </c>
      <c r="G295" s="134"/>
      <c r="H295" s="135"/>
      <c r="I295" s="136">
        <f t="shared" si="38"/>
        <v>0</v>
      </c>
      <c r="J295" s="134"/>
      <c r="K295" s="135"/>
      <c r="L295" s="136">
        <f t="shared" si="39"/>
        <v>0</v>
      </c>
      <c r="M295" s="284"/>
      <c r="N295" s="285"/>
      <c r="O295" s="136">
        <f t="shared" si="58"/>
        <v>0</v>
      </c>
      <c r="P295" s="85"/>
    </row>
    <row r="296" spans="1:17" hidden="1" x14ac:dyDescent="0.25">
      <c r="A296" s="346" t="s">
        <v>320</v>
      </c>
      <c r="B296" s="75" t="s">
        <v>321</v>
      </c>
      <c r="C296" s="128">
        <f t="shared" si="64"/>
        <v>0</v>
      </c>
      <c r="D296" s="134"/>
      <c r="E296" s="285"/>
      <c r="F296" s="286">
        <f t="shared" si="37"/>
        <v>0</v>
      </c>
      <c r="G296" s="134"/>
      <c r="H296" s="135"/>
      <c r="I296" s="136">
        <f t="shared" si="38"/>
        <v>0</v>
      </c>
      <c r="J296" s="134"/>
      <c r="K296" s="135"/>
      <c r="L296" s="136">
        <f t="shared" si="39"/>
        <v>0</v>
      </c>
      <c r="M296" s="284"/>
      <c r="N296" s="285"/>
      <c r="O296" s="136">
        <f t="shared" si="58"/>
        <v>0</v>
      </c>
      <c r="P296" s="85"/>
    </row>
    <row r="297" spans="1:17" ht="24" hidden="1" x14ac:dyDescent="0.25">
      <c r="A297" s="389" t="s">
        <v>322</v>
      </c>
      <c r="B297" s="390" t="s">
        <v>323</v>
      </c>
      <c r="C297" s="327">
        <f t="shared" si="64"/>
        <v>0</v>
      </c>
      <c r="D297" s="328"/>
      <c r="E297" s="329"/>
      <c r="F297" s="330">
        <f t="shared" si="37"/>
        <v>0</v>
      </c>
      <c r="G297" s="328"/>
      <c r="H297" s="331"/>
      <c r="I297" s="324">
        <f t="shared" si="38"/>
        <v>0</v>
      </c>
      <c r="J297" s="328"/>
      <c r="K297" s="331"/>
      <c r="L297" s="324">
        <f t="shared" si="39"/>
        <v>0</v>
      </c>
      <c r="M297" s="332"/>
      <c r="N297" s="329"/>
      <c r="O297" s="324">
        <f t="shared" si="58"/>
        <v>0</v>
      </c>
      <c r="P297" s="325"/>
    </row>
    <row r="298" spans="1:17" hidden="1" x14ac:dyDescent="0.25">
      <c r="A298" s="387" t="s">
        <v>324</v>
      </c>
      <c r="B298" s="387" t="s">
        <v>325</v>
      </c>
      <c r="C298" s="391">
        <f t="shared" si="64"/>
        <v>0</v>
      </c>
      <c r="D298" s="392"/>
      <c r="E298" s="393"/>
      <c r="F298" s="388">
        <f t="shared" si="37"/>
        <v>0</v>
      </c>
      <c r="G298" s="392"/>
      <c r="H298" s="394"/>
      <c r="I298" s="383">
        <f t="shared" si="38"/>
        <v>0</v>
      </c>
      <c r="J298" s="392"/>
      <c r="K298" s="394"/>
      <c r="L298" s="383">
        <f t="shared" si="39"/>
        <v>0</v>
      </c>
      <c r="M298" s="395"/>
      <c r="N298" s="393"/>
      <c r="O298" s="383">
        <f t="shared" si="58"/>
        <v>0</v>
      </c>
      <c r="P298" s="385"/>
    </row>
    <row r="299" spans="1:17" s="41" customFormat="1" ht="48" hidden="1" x14ac:dyDescent="0.25">
      <c r="A299" s="387" t="s">
        <v>326</v>
      </c>
      <c r="B299" s="396" t="s">
        <v>327</v>
      </c>
      <c r="C299" s="397">
        <f t="shared" si="64"/>
        <v>0</v>
      </c>
      <c r="D299" s="398"/>
      <c r="E299" s="399"/>
      <c r="F299" s="400">
        <f t="shared" si="37"/>
        <v>0</v>
      </c>
      <c r="G299" s="392"/>
      <c r="H299" s="394"/>
      <c r="I299" s="383">
        <f t="shared" si="38"/>
        <v>0</v>
      </c>
      <c r="J299" s="392"/>
      <c r="K299" s="394"/>
      <c r="L299" s="383">
        <f t="shared" si="39"/>
        <v>0</v>
      </c>
      <c r="M299" s="395"/>
      <c r="N299" s="393"/>
      <c r="O299" s="383">
        <f t="shared" si="58"/>
        <v>0</v>
      </c>
      <c r="P299" s="385"/>
    </row>
    <row r="300" spans="1:17"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17" ht="12.75" thickBot="1" x14ac:dyDescent="0.3">
      <c r="A301" s="404"/>
      <c r="B301" s="405"/>
      <c r="C301" s="405"/>
      <c r="D301" s="405"/>
      <c r="E301" s="405"/>
      <c r="F301" s="405"/>
      <c r="G301" s="405"/>
      <c r="H301" s="405"/>
      <c r="I301" s="405"/>
      <c r="J301" s="405"/>
      <c r="K301" s="405"/>
      <c r="L301" s="405"/>
      <c r="M301" s="405"/>
      <c r="N301" s="405"/>
      <c r="O301" s="405"/>
      <c r="P301" s="406"/>
      <c r="Q301" s="7"/>
    </row>
    <row r="302" spans="1:17" x14ac:dyDescent="0.25">
      <c r="A302" s="5"/>
      <c r="B302" s="5"/>
      <c r="C302" s="5"/>
      <c r="D302" s="5"/>
      <c r="E302" s="5"/>
      <c r="F302" s="5"/>
      <c r="G302" s="5"/>
      <c r="H302" s="5"/>
      <c r="I302" s="5"/>
      <c r="J302" s="5"/>
      <c r="K302" s="5"/>
      <c r="L302" s="5"/>
      <c r="M302" s="5"/>
      <c r="N302" s="5"/>
      <c r="O302" s="5"/>
    </row>
    <row r="303" spans="1:17" x14ac:dyDescent="0.25">
      <c r="A303" s="5"/>
      <c r="B303" s="5"/>
      <c r="C303" s="5"/>
      <c r="D303" s="5"/>
      <c r="E303" s="5"/>
      <c r="F303" s="5"/>
      <c r="G303" s="5"/>
      <c r="H303" s="5"/>
      <c r="I303" s="5"/>
      <c r="J303" s="5"/>
      <c r="K303" s="5"/>
      <c r="L303" s="5"/>
      <c r="M303" s="5"/>
      <c r="N303" s="5"/>
      <c r="O303" s="5"/>
    </row>
    <row r="304" spans="1:17"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0B7juelerh56UTbYUcN2A1BYgisTmhcLdsti2jcZ4RYB4+e2HYfbtIeykJh6reyPeeJoQXGPo/zT+VfEv8CJzg==" saltValue="axowWTvO5pvocaa2TuzsKw==" spinCount="100000" sheet="1" objects="1" scenarios="1" selectLockedCells="1" selectUnlockedCells="1"/>
  <autoFilter ref="A22:P300">
    <filterColumn colId="2">
      <filters blank="1">
        <filter val="1 072"/>
        <filter val="1 137"/>
        <filter val="1 276"/>
        <filter val="1 310"/>
        <filter val="1 635"/>
        <filter val="1 735"/>
        <filter val="1 937"/>
        <filter val="10 004"/>
        <filter val="10 859"/>
        <filter val="100"/>
        <filter val="11 845"/>
        <filter val="12 359"/>
        <filter val="120"/>
        <filter val="150"/>
        <filter val="16 210"/>
        <filter val="166"/>
        <filter val="170"/>
        <filter val="-170"/>
        <filter val="173 316"/>
        <filter val="18 614"/>
        <filter val="19 161"/>
        <filter val="2 157"/>
        <filter val="2 435"/>
        <filter val="2 913"/>
        <filter val="20"/>
        <filter val="205 201"/>
        <filter val="21"/>
        <filter val="211"/>
        <filter val="214"/>
        <filter val="24 703"/>
        <filter val="241"/>
        <filter val="265"/>
        <filter val="271 874"/>
        <filter val="3 055"/>
        <filter val="3 113"/>
        <filter val="3 172"/>
        <filter val="3 864"/>
        <filter val="31 885"/>
        <filter val="312 867"/>
        <filter val="315 489"/>
        <filter val="316 731"/>
        <filter val="35"/>
        <filter val="370"/>
        <filter val="397"/>
        <filter val="4 606"/>
        <filter val="40 993"/>
        <filter val="446"/>
        <filter val="50"/>
        <filter val="55 814"/>
        <filter val="586"/>
        <filter val="6 039"/>
        <filter val="642"/>
        <filter val="650"/>
        <filter val="66 673"/>
        <filter val="668"/>
        <filter val="7 249"/>
        <filter val="75"/>
        <filter val="765"/>
        <filter val="80"/>
        <filter val="802"/>
        <filter val="839"/>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101.pielikums Jūrmalas pilsētas domes
2017.gada 30.janvāra saistošajiem noteikumiem Nr.10
(Protokols Nr.4, 1.punkts)
 </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R5" sqref="R5"/>
    </sheetView>
  </sheetViews>
  <sheetFormatPr defaultRowHeight="15" outlineLevelCol="1" x14ac:dyDescent="0.25"/>
  <cols>
    <col min="1" max="1" width="10.85546875" style="1" customWidth="1"/>
    <col min="2" max="2" width="28" style="1" customWidth="1"/>
    <col min="3" max="3" width="9.85546875" style="1" customWidth="1"/>
    <col min="4" max="4" width="8.7109375" style="1" hidden="1" customWidth="1" outlineLevel="1"/>
    <col min="5" max="5" width="9.85546875" style="1" hidden="1" customWidth="1" outlineLevel="1"/>
    <col min="6" max="6" width="10"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collapsed="1"/>
    <col min="18" max="16384" width="9.140625" style="5"/>
  </cols>
  <sheetData>
    <row r="1" spans="1:17" x14ac:dyDescent="0.25">
      <c r="B1" s="2"/>
      <c r="C1" s="2"/>
      <c r="D1" s="2"/>
      <c r="E1" s="2"/>
      <c r="F1" s="2"/>
      <c r="G1" s="2"/>
      <c r="H1" s="2"/>
      <c r="I1" s="2"/>
      <c r="J1" s="2"/>
      <c r="K1" s="2"/>
      <c r="L1" s="2"/>
      <c r="M1" s="3"/>
      <c r="N1" s="3"/>
      <c r="O1" s="4" t="s">
        <v>1269</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610"/>
    </row>
    <row r="4" spans="1:17" ht="15.75" x14ac:dyDescent="0.25">
      <c r="A4" s="1560" t="s">
        <v>1</v>
      </c>
      <c r="B4" s="1561"/>
      <c r="C4" s="1561"/>
      <c r="D4" s="1561"/>
      <c r="E4" s="1561"/>
      <c r="F4" s="1561"/>
      <c r="G4" s="1561"/>
      <c r="H4" s="1561"/>
      <c r="I4" s="1561"/>
      <c r="J4" s="1561"/>
      <c r="K4" s="1561"/>
      <c r="L4" s="1561"/>
      <c r="M4" s="1561"/>
      <c r="N4" s="1561"/>
      <c r="O4" s="1561"/>
      <c r="P4" s="1562"/>
      <c r="Q4" s="610"/>
    </row>
    <row r="5" spans="1:17" x14ac:dyDescent="0.25">
      <c r="A5" s="8"/>
      <c r="B5" s="9"/>
      <c r="C5" s="10"/>
      <c r="D5" s="9"/>
      <c r="E5" s="9"/>
      <c r="F5" s="9"/>
      <c r="G5" s="9"/>
      <c r="H5" s="9"/>
      <c r="I5" s="9"/>
      <c r="J5" s="9"/>
      <c r="K5" s="9"/>
      <c r="L5" s="9"/>
      <c r="M5" s="9"/>
      <c r="N5" s="9"/>
      <c r="O5" s="11"/>
      <c r="P5" s="12"/>
      <c r="Q5" s="610"/>
    </row>
    <row r="6" spans="1:17" x14ac:dyDescent="0.25">
      <c r="A6" s="13" t="s">
        <v>2</v>
      </c>
      <c r="B6" s="14"/>
      <c r="C6" s="1555" t="s">
        <v>1266</v>
      </c>
      <c r="D6" s="1555"/>
      <c r="E6" s="1555"/>
      <c r="F6" s="1555"/>
      <c r="G6" s="1555"/>
      <c r="H6" s="1555"/>
      <c r="I6" s="1555"/>
      <c r="J6" s="1555"/>
      <c r="K6" s="1555"/>
      <c r="L6" s="1555"/>
      <c r="M6" s="1555"/>
      <c r="N6" s="1555"/>
      <c r="O6" s="1555"/>
      <c r="P6" s="1556"/>
      <c r="Q6" s="610"/>
    </row>
    <row r="7" spans="1:17" x14ac:dyDescent="0.25">
      <c r="A7" s="13" t="s">
        <v>4</v>
      </c>
      <c r="B7" s="14"/>
      <c r="C7" s="1555" t="s">
        <v>1265</v>
      </c>
      <c r="D7" s="1555"/>
      <c r="E7" s="1555"/>
      <c r="F7" s="1555"/>
      <c r="G7" s="1555"/>
      <c r="H7" s="1555"/>
      <c r="I7" s="1555"/>
      <c r="J7" s="1555"/>
      <c r="K7" s="1555"/>
      <c r="L7" s="1555"/>
      <c r="M7" s="1555"/>
      <c r="N7" s="1555"/>
      <c r="O7" s="1555"/>
      <c r="P7" s="1556"/>
      <c r="Q7" s="610"/>
    </row>
    <row r="8" spans="1:17" x14ac:dyDescent="0.25">
      <c r="A8" s="8" t="s">
        <v>6</v>
      </c>
      <c r="B8" s="9"/>
      <c r="C8" s="1553" t="s">
        <v>1264</v>
      </c>
      <c r="D8" s="1553"/>
      <c r="E8" s="1553"/>
      <c r="F8" s="1553"/>
      <c r="G8" s="1553"/>
      <c r="H8" s="1553"/>
      <c r="I8" s="1553"/>
      <c r="J8" s="1553"/>
      <c r="K8" s="1553"/>
      <c r="L8" s="1553"/>
      <c r="M8" s="1553"/>
      <c r="N8" s="1553"/>
      <c r="O8" s="1553"/>
      <c r="P8" s="1554"/>
      <c r="Q8" s="610"/>
    </row>
    <row r="9" spans="1:17" x14ac:dyDescent="0.25">
      <c r="A9" s="8" t="s">
        <v>8</v>
      </c>
      <c r="B9" s="9"/>
      <c r="C9" s="1553" t="s">
        <v>1263</v>
      </c>
      <c r="D9" s="1553"/>
      <c r="E9" s="1553"/>
      <c r="F9" s="1553"/>
      <c r="G9" s="1553"/>
      <c r="H9" s="1553"/>
      <c r="I9" s="1553"/>
      <c r="J9" s="1553"/>
      <c r="K9" s="1553"/>
      <c r="L9" s="1553"/>
      <c r="M9" s="1553"/>
      <c r="N9" s="1553"/>
      <c r="O9" s="1553"/>
      <c r="P9" s="1554"/>
      <c r="Q9" s="610"/>
    </row>
    <row r="10" spans="1:17" ht="29.25" customHeight="1" x14ac:dyDescent="0.25">
      <c r="A10" s="8" t="s">
        <v>10</v>
      </c>
      <c r="B10" s="9"/>
      <c r="C10" s="1555" t="s">
        <v>1268</v>
      </c>
      <c r="D10" s="1555"/>
      <c r="E10" s="1555"/>
      <c r="F10" s="1555"/>
      <c r="G10" s="1555"/>
      <c r="H10" s="1555"/>
      <c r="I10" s="1555"/>
      <c r="J10" s="1555"/>
      <c r="K10" s="1555"/>
      <c r="L10" s="1555"/>
      <c r="M10" s="1555"/>
      <c r="N10" s="1555"/>
      <c r="O10" s="1555"/>
      <c r="P10" s="1556"/>
      <c r="Q10" s="610"/>
    </row>
    <row r="11" spans="1:17" x14ac:dyDescent="0.25">
      <c r="A11" s="8" t="s">
        <v>12</v>
      </c>
      <c r="B11" s="9"/>
      <c r="C11" s="1555" t="s">
        <v>1261</v>
      </c>
      <c r="D11" s="1555"/>
      <c r="E11" s="1555"/>
      <c r="F11" s="1555"/>
      <c r="G11" s="1555"/>
      <c r="H11" s="1555"/>
      <c r="I11" s="1555"/>
      <c r="J11" s="1555"/>
      <c r="K11" s="1555"/>
      <c r="L11" s="1555"/>
      <c r="M11" s="1555"/>
      <c r="N11" s="1555"/>
      <c r="O11" s="1555"/>
      <c r="P11" s="1556"/>
      <c r="Q11" s="610"/>
    </row>
    <row r="12" spans="1:17" x14ac:dyDescent="0.25">
      <c r="A12" s="15" t="s">
        <v>14</v>
      </c>
      <c r="B12" s="9"/>
      <c r="C12" s="16"/>
      <c r="D12" s="16"/>
      <c r="E12" s="16"/>
      <c r="F12" s="16"/>
      <c r="G12" s="16"/>
      <c r="H12" s="16"/>
      <c r="I12" s="16"/>
      <c r="J12" s="16"/>
      <c r="K12" s="16"/>
      <c r="L12" s="16"/>
      <c r="M12" s="16"/>
      <c r="N12" s="16"/>
      <c r="O12" s="16"/>
      <c r="P12" s="17"/>
      <c r="Q12" s="610"/>
    </row>
    <row r="13" spans="1:17" x14ac:dyDescent="0.25">
      <c r="A13" s="8"/>
      <c r="B13" s="9" t="s">
        <v>15</v>
      </c>
      <c r="C13" s="1553" t="s">
        <v>1260</v>
      </c>
      <c r="D13" s="1553"/>
      <c r="E13" s="1553"/>
      <c r="F13" s="1553"/>
      <c r="G13" s="1553"/>
      <c r="H13" s="1553"/>
      <c r="I13" s="1553"/>
      <c r="J13" s="1553"/>
      <c r="K13" s="1553"/>
      <c r="L13" s="1553"/>
      <c r="M13" s="1553"/>
      <c r="N13" s="1553"/>
      <c r="O13" s="1553"/>
      <c r="P13" s="1554"/>
      <c r="Q13" s="610"/>
    </row>
    <row r="14" spans="1:17" x14ac:dyDescent="0.25">
      <c r="A14" s="8"/>
      <c r="B14" s="9" t="s">
        <v>17</v>
      </c>
      <c r="C14" s="1553"/>
      <c r="D14" s="1553"/>
      <c r="E14" s="1553"/>
      <c r="F14" s="1553"/>
      <c r="G14" s="1553"/>
      <c r="H14" s="1553"/>
      <c r="I14" s="1553"/>
      <c r="J14" s="1553"/>
      <c r="K14" s="1553"/>
      <c r="L14" s="1553"/>
      <c r="M14" s="1553"/>
      <c r="N14" s="1553"/>
      <c r="O14" s="1553"/>
      <c r="P14" s="1554"/>
      <c r="Q14" s="610"/>
    </row>
    <row r="15" spans="1:17" x14ac:dyDescent="0.25">
      <c r="A15" s="8"/>
      <c r="B15" s="9" t="s">
        <v>19</v>
      </c>
      <c r="C15" s="1553"/>
      <c r="D15" s="1553"/>
      <c r="E15" s="1553"/>
      <c r="F15" s="1553"/>
      <c r="G15" s="1553"/>
      <c r="H15" s="1553"/>
      <c r="I15" s="1553"/>
      <c r="J15" s="1553"/>
      <c r="K15" s="1553"/>
      <c r="L15" s="1553"/>
      <c r="M15" s="1553"/>
      <c r="N15" s="1553"/>
      <c r="O15" s="1553"/>
      <c r="P15" s="1554"/>
      <c r="Q15" s="610"/>
    </row>
    <row r="16" spans="1:17" x14ac:dyDescent="0.25">
      <c r="A16" s="8"/>
      <c r="B16" s="9" t="s">
        <v>20</v>
      </c>
      <c r="C16" s="1553"/>
      <c r="D16" s="1553"/>
      <c r="E16" s="1553"/>
      <c r="F16" s="1553"/>
      <c r="G16" s="1553"/>
      <c r="H16" s="1553"/>
      <c r="I16" s="1553"/>
      <c r="J16" s="1553"/>
      <c r="K16" s="1553"/>
      <c r="L16" s="1553"/>
      <c r="M16" s="1553"/>
      <c r="N16" s="1553"/>
      <c r="O16" s="1553"/>
      <c r="P16" s="1554"/>
      <c r="Q16" s="610"/>
    </row>
    <row r="17" spans="1:17" x14ac:dyDescent="0.25">
      <c r="A17" s="8"/>
      <c r="B17" s="9" t="s">
        <v>22</v>
      </c>
      <c r="C17" s="1553"/>
      <c r="D17" s="1553"/>
      <c r="E17" s="1553"/>
      <c r="F17" s="1553"/>
      <c r="G17" s="1553"/>
      <c r="H17" s="1553"/>
      <c r="I17" s="1553"/>
      <c r="J17" s="1553"/>
      <c r="K17" s="1553"/>
      <c r="L17" s="1553"/>
      <c r="M17" s="1553"/>
      <c r="N17" s="1553"/>
      <c r="O17" s="1553"/>
      <c r="P17" s="1554"/>
      <c r="Q17" s="610"/>
    </row>
    <row r="18" spans="1:17" x14ac:dyDescent="0.25">
      <c r="A18" s="18"/>
      <c r="B18" s="19"/>
      <c r="C18" s="1569"/>
      <c r="D18" s="1569"/>
      <c r="E18" s="1569"/>
      <c r="F18" s="1569"/>
      <c r="G18" s="1569"/>
      <c r="H18" s="1569"/>
      <c r="I18" s="1569"/>
      <c r="J18" s="1569"/>
      <c r="K18" s="1569"/>
      <c r="L18" s="1569"/>
      <c r="M18" s="1569"/>
      <c r="N18" s="1569"/>
      <c r="O18" s="1569"/>
      <c r="P18" s="1570"/>
      <c r="Q18" s="610"/>
    </row>
    <row r="19" spans="1:17" s="20" customFormat="1" ht="12"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17" s="20" customFormat="1" ht="12"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17" s="21" customFormat="1" ht="70.5" customHeight="1" thickBot="1" x14ac:dyDescent="0.3">
      <c r="A21" s="1573"/>
      <c r="B21" s="1576"/>
      <c r="C21" s="1581"/>
      <c r="D21" s="1566"/>
      <c r="E21" s="1568"/>
      <c r="F21" s="1564"/>
      <c r="G21" s="1566"/>
      <c r="H21" s="1568"/>
      <c r="I21" s="1564"/>
      <c r="J21" s="1566"/>
      <c r="K21" s="1568"/>
      <c r="L21" s="1564"/>
      <c r="M21" s="1566"/>
      <c r="N21" s="1568"/>
      <c r="O21" s="1564"/>
      <c r="P21" s="1576"/>
    </row>
    <row r="22" spans="1:17"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17" s="41" customFormat="1" ht="12" x14ac:dyDescent="0.25">
      <c r="A23" s="30"/>
      <c r="B23" s="31" t="s">
        <v>41</v>
      </c>
      <c r="C23" s="32"/>
      <c r="D23" s="33"/>
      <c r="E23" s="34"/>
      <c r="F23" s="35"/>
      <c r="G23" s="33"/>
      <c r="H23" s="36"/>
      <c r="I23" s="37"/>
      <c r="J23" s="33"/>
      <c r="K23" s="38"/>
      <c r="L23" s="37"/>
      <c r="M23" s="38"/>
      <c r="N23" s="39"/>
      <c r="O23" s="37"/>
      <c r="P23" s="40"/>
    </row>
    <row r="24" spans="1:17" s="41" customFormat="1" ht="12.75" thickBot="1" x14ac:dyDescent="0.3">
      <c r="A24" s="42"/>
      <c r="B24" s="43" t="s">
        <v>42</v>
      </c>
      <c r="C24" s="44">
        <f>F24+I24+L24+O24</f>
        <v>192770</v>
      </c>
      <c r="D24" s="45">
        <f>SUM(D25,D28,D29,D45,D46)</f>
        <v>177470</v>
      </c>
      <c r="E24" s="46">
        <f>SUM(E25,E28,E29,E45,E46)</f>
        <v>15300</v>
      </c>
      <c r="F24" s="47">
        <f t="shared" ref="F24:F29" si="0">D24+E24</f>
        <v>192770</v>
      </c>
      <c r="G24" s="45">
        <f>SUM(G25,G28,G46)</f>
        <v>0</v>
      </c>
      <c r="H24" s="48">
        <f>SUM(H25,H28,H46)</f>
        <v>0</v>
      </c>
      <c r="I24" s="49">
        <f>G24+H24</f>
        <v>0</v>
      </c>
      <c r="J24" s="45">
        <f>SUM(J25,J30,J46)</f>
        <v>0</v>
      </c>
      <c r="K24" s="48">
        <f>SUM(K25,K30,K46)</f>
        <v>0</v>
      </c>
      <c r="L24" s="49">
        <f>J24+K24</f>
        <v>0</v>
      </c>
      <c r="M24" s="50">
        <f>SUM(M25,M48)</f>
        <v>0</v>
      </c>
      <c r="N24" s="51">
        <f>SUM(N25,N48)</f>
        <v>0</v>
      </c>
      <c r="O24" s="49">
        <f>M24+N24</f>
        <v>0</v>
      </c>
      <c r="P24" s="52"/>
    </row>
    <row r="25" spans="1:17" ht="15.75" hidden="1" thickTop="1" x14ac:dyDescent="0.25">
      <c r="A25" s="54"/>
      <c r="B25" s="55" t="s">
        <v>43</v>
      </c>
      <c r="C25" s="56">
        <f>F25+I25+L25+O25</f>
        <v>0</v>
      </c>
      <c r="D25" s="57">
        <f>SUM(D26:D27)</f>
        <v>0</v>
      </c>
      <c r="E25" s="58">
        <f>SUM(E26:E27)</f>
        <v>0</v>
      </c>
      <c r="F25" s="59">
        <f t="shared" si="0"/>
        <v>0</v>
      </c>
      <c r="G25" s="57">
        <f>SUM(G26:G27)</f>
        <v>0</v>
      </c>
      <c r="H25" s="60">
        <f>SUM(H26:H27)</f>
        <v>0</v>
      </c>
      <c r="I25" s="61">
        <f>G25+H25</f>
        <v>0</v>
      </c>
      <c r="J25" s="57">
        <f>SUM(J26:J27)</f>
        <v>0</v>
      </c>
      <c r="K25" s="60">
        <f>SUM(K26:K27)</f>
        <v>0</v>
      </c>
      <c r="L25" s="61">
        <f>J25+K25</f>
        <v>0</v>
      </c>
      <c r="M25" s="62">
        <f>SUM(M26:M27)</f>
        <v>0</v>
      </c>
      <c r="N25" s="63">
        <f>SUM(N26:N27)</f>
        <v>0</v>
      </c>
      <c r="O25" s="61">
        <f>M25+N25</f>
        <v>0</v>
      </c>
      <c r="P25" s="64"/>
    </row>
    <row r="26" spans="1:17" ht="15.75" hidden="1" thickTop="1" x14ac:dyDescent="0.25">
      <c r="A26" s="65"/>
      <c r="B26" s="66" t="s">
        <v>44</v>
      </c>
      <c r="C26" s="67">
        <f>F26+I26+L26+O26</f>
        <v>0</v>
      </c>
      <c r="D26" s="68"/>
      <c r="E26" s="673"/>
      <c r="F26" s="625">
        <f t="shared" si="0"/>
        <v>0</v>
      </c>
      <c r="G26" s="68"/>
      <c r="H26" s="71"/>
      <c r="I26" s="72">
        <f>G26+H26</f>
        <v>0</v>
      </c>
      <c r="J26" s="68"/>
      <c r="K26" s="71"/>
      <c r="L26" s="72">
        <f>J26+K26</f>
        <v>0</v>
      </c>
      <c r="M26" s="73"/>
      <c r="N26" s="69"/>
      <c r="O26" s="72">
        <f>M26+N26</f>
        <v>0</v>
      </c>
      <c r="P26" s="74"/>
    </row>
    <row r="27" spans="1:17" ht="15.75" hidden="1" thickTop="1" x14ac:dyDescent="0.25">
      <c r="A27" s="75"/>
      <c r="B27" s="76" t="s">
        <v>45</v>
      </c>
      <c r="C27" s="77">
        <f>F27+I27+L27+O27</f>
        <v>0</v>
      </c>
      <c r="D27" s="78"/>
      <c r="E27" s="79"/>
      <c r="F27" s="80">
        <f t="shared" si="0"/>
        <v>0</v>
      </c>
      <c r="G27" s="78"/>
      <c r="H27" s="81"/>
      <c r="I27" s="82">
        <f>G27+H27</f>
        <v>0</v>
      </c>
      <c r="J27" s="78"/>
      <c r="K27" s="81"/>
      <c r="L27" s="82">
        <f>J27+K27</f>
        <v>0</v>
      </c>
      <c r="M27" s="83"/>
      <c r="N27" s="84"/>
      <c r="O27" s="82">
        <f>M27+N27</f>
        <v>0</v>
      </c>
      <c r="P27" s="85"/>
    </row>
    <row r="28" spans="1:17" s="41" customFormat="1" ht="25.5" thickTop="1" thickBot="1" x14ac:dyDescent="0.3">
      <c r="A28" s="86">
        <v>19300</v>
      </c>
      <c r="B28" s="86" t="s">
        <v>46</v>
      </c>
      <c r="C28" s="87">
        <f>SUM(F28,I28)</f>
        <v>192770</v>
      </c>
      <c r="D28" s="88">
        <f>D54</f>
        <v>177470</v>
      </c>
      <c r="E28" s="89">
        <v>15300</v>
      </c>
      <c r="F28" s="90">
        <f t="shared" si="0"/>
        <v>192770</v>
      </c>
      <c r="G28" s="88"/>
      <c r="H28" s="91"/>
      <c r="I28" s="92">
        <f>G28+H28</f>
        <v>0</v>
      </c>
      <c r="J28" s="93" t="s">
        <v>47</v>
      </c>
      <c r="K28" s="94" t="s">
        <v>47</v>
      </c>
      <c r="L28" s="95" t="s">
        <v>47</v>
      </c>
      <c r="M28" s="96" t="s">
        <v>47</v>
      </c>
      <c r="N28" s="97" t="s">
        <v>47</v>
      </c>
      <c r="O28" s="95" t="s">
        <v>47</v>
      </c>
      <c r="P28" s="98"/>
    </row>
    <row r="29" spans="1:17" s="41" customFormat="1" ht="36.75" hidden="1" customHeight="1" thickTop="1" x14ac:dyDescent="0.25">
      <c r="A29" s="99"/>
      <c r="B29" s="99" t="s">
        <v>48</v>
      </c>
      <c r="C29" s="100">
        <f>F29</f>
        <v>0</v>
      </c>
      <c r="D29" s="101"/>
      <c r="E29" s="665"/>
      <c r="F29" s="634">
        <f t="shared" si="0"/>
        <v>0</v>
      </c>
      <c r="G29" s="104" t="s">
        <v>47</v>
      </c>
      <c r="H29" s="105" t="s">
        <v>47</v>
      </c>
      <c r="I29" s="106" t="s">
        <v>47</v>
      </c>
      <c r="J29" s="104" t="s">
        <v>47</v>
      </c>
      <c r="K29" s="105" t="s">
        <v>47</v>
      </c>
      <c r="L29" s="106" t="s">
        <v>47</v>
      </c>
      <c r="M29" s="107" t="s">
        <v>47</v>
      </c>
      <c r="N29" s="108" t="s">
        <v>47</v>
      </c>
      <c r="O29" s="106" t="s">
        <v>47</v>
      </c>
      <c r="P29" s="109"/>
    </row>
    <row r="30" spans="1:17" s="41" customFormat="1" ht="36.75" hidden="1" thickTop="1" x14ac:dyDescent="0.25">
      <c r="A30" s="99">
        <v>21300</v>
      </c>
      <c r="B30" s="99" t="s">
        <v>49</v>
      </c>
      <c r="C30" s="100">
        <f t="shared" ref="C30:C44" si="1">L30</f>
        <v>0</v>
      </c>
      <c r="D30" s="104" t="s">
        <v>47</v>
      </c>
      <c r="E30" s="110" t="s">
        <v>47</v>
      </c>
      <c r="F30" s="111" t="s">
        <v>47</v>
      </c>
      <c r="G30" s="104" t="s">
        <v>47</v>
      </c>
      <c r="H30" s="105" t="s">
        <v>47</v>
      </c>
      <c r="I30" s="106" t="s">
        <v>47</v>
      </c>
      <c r="J30" s="112">
        <f>SUM(J31,J35,J37,J40)</f>
        <v>0</v>
      </c>
      <c r="K30" s="113">
        <f>SUM(K31,K35,K37,K40)</f>
        <v>0</v>
      </c>
      <c r="L30" s="114">
        <f t="shared" ref="L30:L44" si="2">J30+K30</f>
        <v>0</v>
      </c>
      <c r="M30" s="107" t="s">
        <v>47</v>
      </c>
      <c r="N30" s="108" t="s">
        <v>47</v>
      </c>
      <c r="O30" s="106" t="s">
        <v>47</v>
      </c>
      <c r="P30" s="109"/>
    </row>
    <row r="31" spans="1:17" s="41" customFormat="1" ht="24.75" hidden="1" thickTop="1" x14ac:dyDescent="0.25">
      <c r="A31" s="115">
        <v>21350</v>
      </c>
      <c r="B31" s="99" t="s">
        <v>50</v>
      </c>
      <c r="C31" s="100">
        <f t="shared" si="1"/>
        <v>0</v>
      </c>
      <c r="D31" s="104" t="s">
        <v>47</v>
      </c>
      <c r="E31" s="110" t="s">
        <v>47</v>
      </c>
      <c r="F31" s="111" t="s">
        <v>47</v>
      </c>
      <c r="G31" s="104" t="s">
        <v>47</v>
      </c>
      <c r="H31" s="105" t="s">
        <v>47</v>
      </c>
      <c r="I31" s="106" t="s">
        <v>47</v>
      </c>
      <c r="J31" s="112">
        <f>SUM(J32:J34)</f>
        <v>0</v>
      </c>
      <c r="K31" s="113">
        <f>SUM(K32:K34)</f>
        <v>0</v>
      </c>
      <c r="L31" s="114">
        <f t="shared" si="2"/>
        <v>0</v>
      </c>
      <c r="M31" s="107" t="s">
        <v>47</v>
      </c>
      <c r="N31" s="108" t="s">
        <v>47</v>
      </c>
      <c r="O31" s="106" t="s">
        <v>47</v>
      </c>
      <c r="P31" s="109"/>
    </row>
    <row r="32" spans="1:17" ht="15.75" hidden="1" thickTop="1" x14ac:dyDescent="0.25">
      <c r="A32" s="65">
        <v>21351</v>
      </c>
      <c r="B32" s="116" t="s">
        <v>51</v>
      </c>
      <c r="C32" s="117">
        <f t="shared" si="1"/>
        <v>0</v>
      </c>
      <c r="D32" s="118" t="s">
        <v>47</v>
      </c>
      <c r="E32" s="154" t="s">
        <v>47</v>
      </c>
      <c r="F32" s="155" t="s">
        <v>47</v>
      </c>
      <c r="G32" s="118" t="s">
        <v>47</v>
      </c>
      <c r="H32" s="121" t="s">
        <v>47</v>
      </c>
      <c r="I32" s="122" t="s">
        <v>47</v>
      </c>
      <c r="J32" s="123"/>
      <c r="K32" s="124"/>
      <c r="L32" s="125">
        <f t="shared" si="2"/>
        <v>0</v>
      </c>
      <c r="M32" s="126" t="s">
        <v>47</v>
      </c>
      <c r="N32" s="119" t="s">
        <v>47</v>
      </c>
      <c r="O32" s="122" t="s">
        <v>47</v>
      </c>
      <c r="P32" s="74"/>
    </row>
    <row r="33" spans="1:16" ht="15.75" hidden="1" thickTop="1" x14ac:dyDescent="0.25">
      <c r="A33" s="75">
        <v>21352</v>
      </c>
      <c r="B33" s="127" t="s">
        <v>52</v>
      </c>
      <c r="C33" s="128">
        <f t="shared" si="1"/>
        <v>0</v>
      </c>
      <c r="D33" s="129" t="s">
        <v>47</v>
      </c>
      <c r="E33" s="130" t="s">
        <v>47</v>
      </c>
      <c r="F33" s="131" t="s">
        <v>47</v>
      </c>
      <c r="G33" s="129" t="s">
        <v>47</v>
      </c>
      <c r="H33" s="132" t="s">
        <v>47</v>
      </c>
      <c r="I33" s="133" t="s">
        <v>47</v>
      </c>
      <c r="J33" s="134"/>
      <c r="K33" s="135"/>
      <c r="L33" s="136">
        <f t="shared" si="2"/>
        <v>0</v>
      </c>
      <c r="M33" s="137" t="s">
        <v>47</v>
      </c>
      <c r="N33" s="138" t="s">
        <v>47</v>
      </c>
      <c r="O33" s="133" t="s">
        <v>47</v>
      </c>
      <c r="P33" s="85"/>
    </row>
    <row r="34" spans="1:16" ht="24.75" hidden="1" thickTop="1" x14ac:dyDescent="0.25">
      <c r="A34" s="75">
        <v>21359</v>
      </c>
      <c r="B34" s="127" t="s">
        <v>53</v>
      </c>
      <c r="C34" s="128">
        <f t="shared" si="1"/>
        <v>0</v>
      </c>
      <c r="D34" s="129" t="s">
        <v>47</v>
      </c>
      <c r="E34" s="130" t="s">
        <v>47</v>
      </c>
      <c r="F34" s="131" t="s">
        <v>47</v>
      </c>
      <c r="G34" s="129" t="s">
        <v>47</v>
      </c>
      <c r="H34" s="132" t="s">
        <v>47</v>
      </c>
      <c r="I34" s="133" t="s">
        <v>47</v>
      </c>
      <c r="J34" s="134"/>
      <c r="K34" s="135"/>
      <c r="L34" s="136">
        <f t="shared" si="2"/>
        <v>0</v>
      </c>
      <c r="M34" s="137" t="s">
        <v>47</v>
      </c>
      <c r="N34" s="138" t="s">
        <v>47</v>
      </c>
      <c r="O34" s="133" t="s">
        <v>47</v>
      </c>
      <c r="P34" s="85"/>
    </row>
    <row r="35" spans="1:16" s="41" customFormat="1" ht="36.75" hidden="1" thickTop="1" x14ac:dyDescent="0.25">
      <c r="A35" s="115">
        <v>21370</v>
      </c>
      <c r="B35" s="99" t="s">
        <v>54</v>
      </c>
      <c r="C35" s="100">
        <f t="shared" si="1"/>
        <v>0</v>
      </c>
      <c r="D35" s="104" t="s">
        <v>47</v>
      </c>
      <c r="E35" s="110" t="s">
        <v>47</v>
      </c>
      <c r="F35" s="111" t="s">
        <v>47</v>
      </c>
      <c r="G35" s="104" t="s">
        <v>47</v>
      </c>
      <c r="H35" s="105" t="s">
        <v>47</v>
      </c>
      <c r="I35" s="106" t="s">
        <v>47</v>
      </c>
      <c r="J35" s="112">
        <f>SUM(J36)</f>
        <v>0</v>
      </c>
      <c r="K35" s="113">
        <f>SUM(K36)</f>
        <v>0</v>
      </c>
      <c r="L35" s="114">
        <f t="shared" si="2"/>
        <v>0</v>
      </c>
      <c r="M35" s="107" t="s">
        <v>47</v>
      </c>
      <c r="N35" s="108" t="s">
        <v>47</v>
      </c>
      <c r="O35" s="106" t="s">
        <v>47</v>
      </c>
      <c r="P35" s="109"/>
    </row>
    <row r="36" spans="1:16" ht="36.75" hidden="1" thickTop="1" x14ac:dyDescent="0.25">
      <c r="A36" s="141">
        <v>21379</v>
      </c>
      <c r="B36" s="142" t="s">
        <v>55</v>
      </c>
      <c r="C36" s="143">
        <f t="shared" si="1"/>
        <v>0</v>
      </c>
      <c r="D36" s="144" t="s">
        <v>47</v>
      </c>
      <c r="E36" s="668" t="s">
        <v>47</v>
      </c>
      <c r="F36" s="773" t="s">
        <v>47</v>
      </c>
      <c r="G36" s="144" t="s">
        <v>47</v>
      </c>
      <c r="H36" s="147" t="s">
        <v>47</v>
      </c>
      <c r="I36" s="148" t="s">
        <v>47</v>
      </c>
      <c r="J36" s="149"/>
      <c r="K36" s="150"/>
      <c r="L36" s="151">
        <f t="shared" si="2"/>
        <v>0</v>
      </c>
      <c r="M36" s="152" t="s">
        <v>47</v>
      </c>
      <c r="N36" s="145" t="s">
        <v>47</v>
      </c>
      <c r="O36" s="148" t="s">
        <v>47</v>
      </c>
      <c r="P36" s="153"/>
    </row>
    <row r="37" spans="1:16" s="41" customFormat="1" ht="12.75" hidden="1" thickTop="1" x14ac:dyDescent="0.25">
      <c r="A37" s="115">
        <v>21380</v>
      </c>
      <c r="B37" s="99" t="s">
        <v>56</v>
      </c>
      <c r="C37" s="100">
        <f t="shared" si="1"/>
        <v>0</v>
      </c>
      <c r="D37" s="104" t="s">
        <v>47</v>
      </c>
      <c r="E37" s="110" t="s">
        <v>47</v>
      </c>
      <c r="F37" s="111" t="s">
        <v>47</v>
      </c>
      <c r="G37" s="104" t="s">
        <v>47</v>
      </c>
      <c r="H37" s="105" t="s">
        <v>47</v>
      </c>
      <c r="I37" s="106" t="s">
        <v>47</v>
      </c>
      <c r="J37" s="112">
        <f>SUM(J38:J39)</f>
        <v>0</v>
      </c>
      <c r="K37" s="113">
        <f>SUM(K38:K39)</f>
        <v>0</v>
      </c>
      <c r="L37" s="114">
        <f t="shared" si="2"/>
        <v>0</v>
      </c>
      <c r="M37" s="107" t="s">
        <v>47</v>
      </c>
      <c r="N37" s="108" t="s">
        <v>47</v>
      </c>
      <c r="O37" s="106" t="s">
        <v>47</v>
      </c>
      <c r="P37" s="109"/>
    </row>
    <row r="38" spans="1:16" ht="15.75" hidden="1" thickTop="1" x14ac:dyDescent="0.25">
      <c r="A38" s="66">
        <v>21381</v>
      </c>
      <c r="B38" s="116" t="s">
        <v>57</v>
      </c>
      <c r="C38" s="117">
        <f t="shared" si="1"/>
        <v>0</v>
      </c>
      <c r="D38" s="118" t="s">
        <v>47</v>
      </c>
      <c r="E38" s="154" t="s">
        <v>47</v>
      </c>
      <c r="F38" s="155" t="s">
        <v>47</v>
      </c>
      <c r="G38" s="118" t="s">
        <v>47</v>
      </c>
      <c r="H38" s="121" t="s">
        <v>47</v>
      </c>
      <c r="I38" s="122" t="s">
        <v>47</v>
      </c>
      <c r="J38" s="123"/>
      <c r="K38" s="124"/>
      <c r="L38" s="125">
        <f t="shared" si="2"/>
        <v>0</v>
      </c>
      <c r="M38" s="126" t="s">
        <v>47</v>
      </c>
      <c r="N38" s="119" t="s">
        <v>47</v>
      </c>
      <c r="O38" s="122" t="s">
        <v>47</v>
      </c>
      <c r="P38" s="74"/>
    </row>
    <row r="39" spans="1:16" ht="24.75" hidden="1" thickTop="1" x14ac:dyDescent="0.25">
      <c r="A39" s="76">
        <v>21383</v>
      </c>
      <c r="B39" s="127" t="s">
        <v>58</v>
      </c>
      <c r="C39" s="128">
        <f t="shared" si="1"/>
        <v>0</v>
      </c>
      <c r="D39" s="129" t="s">
        <v>47</v>
      </c>
      <c r="E39" s="130" t="s">
        <v>47</v>
      </c>
      <c r="F39" s="131" t="s">
        <v>47</v>
      </c>
      <c r="G39" s="129" t="s">
        <v>47</v>
      </c>
      <c r="H39" s="132" t="s">
        <v>47</v>
      </c>
      <c r="I39" s="133" t="s">
        <v>47</v>
      </c>
      <c r="J39" s="134"/>
      <c r="K39" s="135"/>
      <c r="L39" s="136">
        <f t="shared" si="2"/>
        <v>0</v>
      </c>
      <c r="M39" s="137" t="s">
        <v>47</v>
      </c>
      <c r="N39" s="138" t="s">
        <v>47</v>
      </c>
      <c r="O39" s="133" t="s">
        <v>47</v>
      </c>
      <c r="P39" s="85"/>
    </row>
    <row r="40" spans="1:16" s="41" customFormat="1" ht="24.75" hidden="1" thickTop="1" x14ac:dyDescent="0.25">
      <c r="A40" s="115">
        <v>21390</v>
      </c>
      <c r="B40" s="99" t="s">
        <v>59</v>
      </c>
      <c r="C40" s="100">
        <f t="shared" si="1"/>
        <v>0</v>
      </c>
      <c r="D40" s="104" t="s">
        <v>47</v>
      </c>
      <c r="E40" s="110" t="s">
        <v>47</v>
      </c>
      <c r="F40" s="111" t="s">
        <v>47</v>
      </c>
      <c r="G40" s="104" t="s">
        <v>47</v>
      </c>
      <c r="H40" s="105" t="s">
        <v>47</v>
      </c>
      <c r="I40" s="106" t="s">
        <v>47</v>
      </c>
      <c r="J40" s="112">
        <f>SUM(J41:J44)</f>
        <v>0</v>
      </c>
      <c r="K40" s="113">
        <f>SUM(K41:K44)</f>
        <v>0</v>
      </c>
      <c r="L40" s="114">
        <f t="shared" si="2"/>
        <v>0</v>
      </c>
      <c r="M40" s="107" t="s">
        <v>47</v>
      </c>
      <c r="N40" s="108" t="s">
        <v>47</v>
      </c>
      <c r="O40" s="106" t="s">
        <v>47</v>
      </c>
      <c r="P40" s="109"/>
    </row>
    <row r="41" spans="1:16" ht="24.75" hidden="1" thickTop="1" x14ac:dyDescent="0.25">
      <c r="A41" s="66">
        <v>21391</v>
      </c>
      <c r="B41" s="116" t="s">
        <v>60</v>
      </c>
      <c r="C41" s="117">
        <f t="shared" si="1"/>
        <v>0</v>
      </c>
      <c r="D41" s="118" t="s">
        <v>47</v>
      </c>
      <c r="E41" s="154" t="s">
        <v>47</v>
      </c>
      <c r="F41" s="155" t="s">
        <v>47</v>
      </c>
      <c r="G41" s="118" t="s">
        <v>47</v>
      </c>
      <c r="H41" s="121" t="s">
        <v>47</v>
      </c>
      <c r="I41" s="122" t="s">
        <v>47</v>
      </c>
      <c r="J41" s="123"/>
      <c r="K41" s="124"/>
      <c r="L41" s="125">
        <f t="shared" si="2"/>
        <v>0</v>
      </c>
      <c r="M41" s="126" t="s">
        <v>47</v>
      </c>
      <c r="N41" s="119" t="s">
        <v>47</v>
      </c>
      <c r="O41" s="122" t="s">
        <v>47</v>
      </c>
      <c r="P41" s="74"/>
    </row>
    <row r="42" spans="1:16" ht="15.75" hidden="1" thickTop="1" x14ac:dyDescent="0.25">
      <c r="A42" s="76">
        <v>21393</v>
      </c>
      <c r="B42" s="127" t="s">
        <v>61</v>
      </c>
      <c r="C42" s="128">
        <f t="shared" si="1"/>
        <v>0</v>
      </c>
      <c r="D42" s="129" t="s">
        <v>47</v>
      </c>
      <c r="E42" s="130" t="s">
        <v>47</v>
      </c>
      <c r="F42" s="131" t="s">
        <v>47</v>
      </c>
      <c r="G42" s="129" t="s">
        <v>47</v>
      </c>
      <c r="H42" s="132" t="s">
        <v>47</v>
      </c>
      <c r="I42" s="133" t="s">
        <v>47</v>
      </c>
      <c r="J42" s="134"/>
      <c r="K42" s="135"/>
      <c r="L42" s="136">
        <f t="shared" si="2"/>
        <v>0</v>
      </c>
      <c r="M42" s="137" t="s">
        <v>47</v>
      </c>
      <c r="N42" s="138" t="s">
        <v>47</v>
      </c>
      <c r="O42" s="133" t="s">
        <v>47</v>
      </c>
      <c r="P42" s="85"/>
    </row>
    <row r="43" spans="1:16" ht="15.75" hidden="1" thickTop="1" x14ac:dyDescent="0.25">
      <c r="A43" s="76">
        <v>21395</v>
      </c>
      <c r="B43" s="127" t="s">
        <v>62</v>
      </c>
      <c r="C43" s="128">
        <f t="shared" si="1"/>
        <v>0</v>
      </c>
      <c r="D43" s="129" t="s">
        <v>47</v>
      </c>
      <c r="E43" s="130" t="s">
        <v>47</v>
      </c>
      <c r="F43" s="131" t="s">
        <v>47</v>
      </c>
      <c r="G43" s="129" t="s">
        <v>47</v>
      </c>
      <c r="H43" s="132" t="s">
        <v>47</v>
      </c>
      <c r="I43" s="133" t="s">
        <v>47</v>
      </c>
      <c r="J43" s="134"/>
      <c r="K43" s="135"/>
      <c r="L43" s="136">
        <f t="shared" si="2"/>
        <v>0</v>
      </c>
      <c r="M43" s="137" t="s">
        <v>47</v>
      </c>
      <c r="N43" s="138" t="s">
        <v>47</v>
      </c>
      <c r="O43" s="133" t="s">
        <v>47</v>
      </c>
      <c r="P43" s="85"/>
    </row>
    <row r="44" spans="1:16" ht="24.75" hidden="1" thickTop="1" x14ac:dyDescent="0.25">
      <c r="A44" s="76">
        <v>21399</v>
      </c>
      <c r="B44" s="127" t="s">
        <v>63</v>
      </c>
      <c r="C44" s="128">
        <f t="shared" si="1"/>
        <v>0</v>
      </c>
      <c r="D44" s="129" t="s">
        <v>47</v>
      </c>
      <c r="E44" s="130" t="s">
        <v>47</v>
      </c>
      <c r="F44" s="131" t="s">
        <v>47</v>
      </c>
      <c r="G44" s="129" t="s">
        <v>47</v>
      </c>
      <c r="H44" s="132" t="s">
        <v>47</v>
      </c>
      <c r="I44" s="133" t="s">
        <v>47</v>
      </c>
      <c r="J44" s="134"/>
      <c r="K44" s="135"/>
      <c r="L44" s="136">
        <f t="shared" si="2"/>
        <v>0</v>
      </c>
      <c r="M44" s="137" t="s">
        <v>47</v>
      </c>
      <c r="N44" s="138" t="s">
        <v>47</v>
      </c>
      <c r="O44" s="133" t="s">
        <v>47</v>
      </c>
      <c r="P44" s="85"/>
    </row>
    <row r="45" spans="1:16" s="41" customFormat="1" ht="24.75" hidden="1" thickTop="1" x14ac:dyDescent="0.25">
      <c r="A45" s="115">
        <v>21420</v>
      </c>
      <c r="B45" s="99" t="s">
        <v>64</v>
      </c>
      <c r="C45" s="156">
        <f>F45</f>
        <v>0</v>
      </c>
      <c r="D45" s="157"/>
      <c r="E45" s="702"/>
      <c r="F45" s="634">
        <f>D45+E45</f>
        <v>0</v>
      </c>
      <c r="G45" s="104" t="s">
        <v>47</v>
      </c>
      <c r="H45" s="105" t="s">
        <v>47</v>
      </c>
      <c r="I45" s="106" t="s">
        <v>47</v>
      </c>
      <c r="J45" s="104" t="s">
        <v>47</v>
      </c>
      <c r="K45" s="105" t="s">
        <v>47</v>
      </c>
      <c r="L45" s="106" t="s">
        <v>47</v>
      </c>
      <c r="M45" s="107" t="s">
        <v>47</v>
      </c>
      <c r="N45" s="108" t="s">
        <v>47</v>
      </c>
      <c r="O45" s="106" t="s">
        <v>47</v>
      </c>
      <c r="P45" s="109"/>
    </row>
    <row r="46" spans="1:16" s="41" customFormat="1" ht="24.75" hidden="1" thickTop="1" x14ac:dyDescent="0.25">
      <c r="A46" s="159">
        <v>21490</v>
      </c>
      <c r="B46" s="160" t="s">
        <v>65</v>
      </c>
      <c r="C46" s="156">
        <f>F46+I46+L46</f>
        <v>0</v>
      </c>
      <c r="D46" s="161">
        <f>D47</f>
        <v>0</v>
      </c>
      <c r="E46" s="672">
        <f>E47</f>
        <v>0</v>
      </c>
      <c r="F46" s="774">
        <f>D46+E46</f>
        <v>0</v>
      </c>
      <c r="G46" s="161">
        <f>G47</f>
        <v>0</v>
      </c>
      <c r="H46" s="164">
        <f>H47</f>
        <v>0</v>
      </c>
      <c r="I46" s="165">
        <f>G46+H46</f>
        <v>0</v>
      </c>
      <c r="J46" s="161">
        <f>J47</f>
        <v>0</v>
      </c>
      <c r="K46" s="164">
        <f>K47</f>
        <v>0</v>
      </c>
      <c r="L46" s="165">
        <f>J46+K46</f>
        <v>0</v>
      </c>
      <c r="M46" s="107" t="s">
        <v>47</v>
      </c>
      <c r="N46" s="108" t="s">
        <v>47</v>
      </c>
      <c r="O46" s="106" t="s">
        <v>47</v>
      </c>
      <c r="P46" s="109"/>
    </row>
    <row r="47" spans="1:16" s="41" customFormat="1" ht="24.75" hidden="1" thickTop="1" x14ac:dyDescent="0.25">
      <c r="A47" s="76">
        <v>21499</v>
      </c>
      <c r="B47" s="127" t="s">
        <v>66</v>
      </c>
      <c r="C47" s="166">
        <f>F47+I47+L47</f>
        <v>0</v>
      </c>
      <c r="D47" s="68"/>
      <c r="E47" s="673"/>
      <c r="F47" s="625">
        <f>D47+E47</f>
        <v>0</v>
      </c>
      <c r="G47" s="167"/>
      <c r="H47" s="71"/>
      <c r="I47" s="72">
        <f>G47+H47</f>
        <v>0</v>
      </c>
      <c r="J47" s="68"/>
      <c r="K47" s="71"/>
      <c r="L47" s="72">
        <f>J47+K47</f>
        <v>0</v>
      </c>
      <c r="M47" s="152" t="s">
        <v>47</v>
      </c>
      <c r="N47" s="145" t="s">
        <v>47</v>
      </c>
      <c r="O47" s="148" t="s">
        <v>47</v>
      </c>
      <c r="P47" s="153"/>
    </row>
    <row r="48" spans="1:16" ht="24.75" hidden="1" thickTop="1" x14ac:dyDescent="0.25">
      <c r="A48" s="168">
        <v>23000</v>
      </c>
      <c r="B48" s="169" t="s">
        <v>67</v>
      </c>
      <c r="C48" s="156">
        <f>O48</f>
        <v>0</v>
      </c>
      <c r="D48" s="170" t="s">
        <v>47</v>
      </c>
      <c r="E48" s="669" t="s">
        <v>47</v>
      </c>
      <c r="F48" s="907" t="s">
        <v>47</v>
      </c>
      <c r="G48" s="170" t="s">
        <v>47</v>
      </c>
      <c r="H48" s="173" t="s">
        <v>47</v>
      </c>
      <c r="I48" s="174" t="s">
        <v>47</v>
      </c>
      <c r="J48" s="170" t="s">
        <v>47</v>
      </c>
      <c r="K48" s="173" t="s">
        <v>47</v>
      </c>
      <c r="L48" s="174" t="s">
        <v>47</v>
      </c>
      <c r="M48" s="175">
        <f>SUM(M49:M50)</f>
        <v>0</v>
      </c>
      <c r="N48" s="176">
        <f>SUM(N49:N50)</f>
        <v>0</v>
      </c>
      <c r="O48" s="177">
        <f>M48+N48</f>
        <v>0</v>
      </c>
      <c r="P48" s="109"/>
    </row>
    <row r="49" spans="1:16" ht="24.75" hidden="1" thickTop="1" x14ac:dyDescent="0.25">
      <c r="A49" s="178">
        <v>23410</v>
      </c>
      <c r="B49" s="179" t="s">
        <v>68</v>
      </c>
      <c r="C49" s="180">
        <f>O49</f>
        <v>0</v>
      </c>
      <c r="D49" s="181" t="s">
        <v>47</v>
      </c>
      <c r="E49" s="674" t="s">
        <v>47</v>
      </c>
      <c r="F49" s="908" t="s">
        <v>47</v>
      </c>
      <c r="G49" s="181" t="s">
        <v>47</v>
      </c>
      <c r="H49" s="184" t="s">
        <v>47</v>
      </c>
      <c r="I49" s="185" t="s">
        <v>47</v>
      </c>
      <c r="J49" s="181" t="s">
        <v>47</v>
      </c>
      <c r="K49" s="184" t="s">
        <v>47</v>
      </c>
      <c r="L49" s="185" t="s">
        <v>47</v>
      </c>
      <c r="M49" s="186"/>
      <c r="N49" s="187"/>
      <c r="O49" s="188">
        <f>M49+N49</f>
        <v>0</v>
      </c>
      <c r="P49" s="189"/>
    </row>
    <row r="50" spans="1:16" ht="24.75" hidden="1" thickTop="1" x14ac:dyDescent="0.25">
      <c r="A50" s="178">
        <v>23510</v>
      </c>
      <c r="B50" s="179" t="s">
        <v>69</v>
      </c>
      <c r="C50" s="180">
        <f>O50</f>
        <v>0</v>
      </c>
      <c r="D50" s="181" t="s">
        <v>47</v>
      </c>
      <c r="E50" s="674" t="s">
        <v>47</v>
      </c>
      <c r="F50" s="908" t="s">
        <v>47</v>
      </c>
      <c r="G50" s="181" t="s">
        <v>47</v>
      </c>
      <c r="H50" s="184" t="s">
        <v>47</v>
      </c>
      <c r="I50" s="185" t="s">
        <v>47</v>
      </c>
      <c r="J50" s="181" t="s">
        <v>47</v>
      </c>
      <c r="K50" s="184" t="s">
        <v>47</v>
      </c>
      <c r="L50" s="185" t="s">
        <v>47</v>
      </c>
      <c r="M50" s="186"/>
      <c r="N50" s="187"/>
      <c r="O50" s="188">
        <f>M50+N50</f>
        <v>0</v>
      </c>
      <c r="P50" s="189"/>
    </row>
    <row r="51" spans="1:16" ht="15.75" thickTop="1" x14ac:dyDescent="0.25">
      <c r="A51" s="190"/>
      <c r="B51" s="179"/>
      <c r="C51" s="191"/>
      <c r="D51" s="192"/>
      <c r="E51" s="193"/>
      <c r="F51" s="194"/>
      <c r="G51" s="192"/>
      <c r="H51" s="195"/>
      <c r="I51" s="185"/>
      <c r="J51" s="196"/>
      <c r="K51" s="197"/>
      <c r="L51" s="188"/>
      <c r="M51" s="186"/>
      <c r="N51" s="187"/>
      <c r="O51" s="188"/>
      <c r="P51" s="189"/>
    </row>
    <row r="52" spans="1:16" s="41" customFormat="1" ht="12" x14ac:dyDescent="0.25">
      <c r="A52" s="198"/>
      <c r="B52" s="199" t="s">
        <v>70</v>
      </c>
      <c r="C52" s="200"/>
      <c r="D52" s="201"/>
      <c r="E52" s="202"/>
      <c r="F52" s="203"/>
      <c r="G52" s="201"/>
      <c r="H52" s="204"/>
      <c r="I52" s="205"/>
      <c r="J52" s="201"/>
      <c r="K52" s="204"/>
      <c r="L52" s="205"/>
      <c r="M52" s="206"/>
      <c r="N52" s="207"/>
      <c r="O52" s="205"/>
      <c r="P52" s="208"/>
    </row>
    <row r="53" spans="1:16" s="41" customFormat="1" ht="12.75" thickBot="1" x14ac:dyDescent="0.3">
      <c r="A53" s="209"/>
      <c r="B53" s="42" t="s">
        <v>71</v>
      </c>
      <c r="C53" s="210">
        <f t="shared" ref="C53:C116" si="3">F53+I53+L53+O53</f>
        <v>192770</v>
      </c>
      <c r="D53" s="211">
        <f>SUM(D54,D284)</f>
        <v>177470</v>
      </c>
      <c r="E53" s="212">
        <f>SUM(E54,E284)</f>
        <v>15300</v>
      </c>
      <c r="F53" s="213">
        <f t="shared" ref="F53:F116" si="4">D53+E53</f>
        <v>192770</v>
      </c>
      <c r="G53" s="211">
        <f>SUM(G54,G284)</f>
        <v>0</v>
      </c>
      <c r="H53" s="214">
        <f>SUM(H54,H284)</f>
        <v>0</v>
      </c>
      <c r="I53" s="215">
        <f t="shared" ref="I53:I116" si="5">G53+H53</f>
        <v>0</v>
      </c>
      <c r="J53" s="211">
        <f>SUM(J54,J284)</f>
        <v>0</v>
      </c>
      <c r="K53" s="214">
        <f>SUM(K54,K284)</f>
        <v>0</v>
      </c>
      <c r="L53" s="215">
        <f t="shared" ref="L53:L116" si="6">J53+K53</f>
        <v>0</v>
      </c>
      <c r="M53" s="216">
        <f>SUM(M54,M284)</f>
        <v>0</v>
      </c>
      <c r="N53" s="217">
        <f>SUM(N54,N284)</f>
        <v>0</v>
      </c>
      <c r="O53" s="215">
        <f t="shared" ref="O53:O116" si="7">M53+N53</f>
        <v>0</v>
      </c>
      <c r="P53" s="52"/>
    </row>
    <row r="54" spans="1:16" s="41" customFormat="1" ht="36.75" thickTop="1" x14ac:dyDescent="0.25">
      <c r="A54" s="218"/>
      <c r="B54" s="219" t="s">
        <v>72</v>
      </c>
      <c r="C54" s="220">
        <f t="shared" si="3"/>
        <v>192770</v>
      </c>
      <c r="D54" s="221">
        <f>SUM(D55,D197)</f>
        <v>177470</v>
      </c>
      <c r="E54" s="222">
        <f>SUM(E55,E197)</f>
        <v>15300</v>
      </c>
      <c r="F54" s="223">
        <f t="shared" si="4"/>
        <v>192770</v>
      </c>
      <c r="G54" s="221">
        <f>SUM(G55,G197)</f>
        <v>0</v>
      </c>
      <c r="H54" s="224">
        <f>SUM(H55,H197)</f>
        <v>0</v>
      </c>
      <c r="I54" s="225">
        <f t="shared" si="5"/>
        <v>0</v>
      </c>
      <c r="J54" s="221">
        <f>SUM(J55,J197)</f>
        <v>0</v>
      </c>
      <c r="K54" s="224">
        <f>SUM(K55,K197)</f>
        <v>0</v>
      </c>
      <c r="L54" s="225">
        <f t="shared" si="6"/>
        <v>0</v>
      </c>
      <c r="M54" s="226">
        <f>SUM(M55,M197)</f>
        <v>0</v>
      </c>
      <c r="N54" s="227">
        <f>SUM(N55,N197)</f>
        <v>0</v>
      </c>
      <c r="O54" s="225">
        <f t="shared" si="7"/>
        <v>0</v>
      </c>
      <c r="P54" s="228"/>
    </row>
    <row r="55" spans="1:16" s="41" customFormat="1" ht="24" x14ac:dyDescent="0.25">
      <c r="A55" s="35"/>
      <c r="B55" s="30" t="s">
        <v>73</v>
      </c>
      <c r="C55" s="229">
        <f t="shared" si="3"/>
        <v>192770</v>
      </c>
      <c r="D55" s="230">
        <f>SUM(D56,D78,D176,D190)</f>
        <v>177470</v>
      </c>
      <c r="E55" s="231">
        <f>SUM(E56,E78,E176,E190)</f>
        <v>15300</v>
      </c>
      <c r="F55" s="232">
        <f t="shared" si="4"/>
        <v>192770</v>
      </c>
      <c r="G55" s="230">
        <f>SUM(G56,G78,G176,G190)</f>
        <v>0</v>
      </c>
      <c r="H55" s="233">
        <f>SUM(H56,H78,H176,H190)</f>
        <v>0</v>
      </c>
      <c r="I55" s="234">
        <f t="shared" si="5"/>
        <v>0</v>
      </c>
      <c r="J55" s="230">
        <f>SUM(J56,J78,J176,J190)</f>
        <v>0</v>
      </c>
      <c r="K55" s="233">
        <f>SUM(K56,K78,K176,K190)</f>
        <v>0</v>
      </c>
      <c r="L55" s="234">
        <f t="shared" si="6"/>
        <v>0</v>
      </c>
      <c r="M55" s="53">
        <f>SUM(M56,M78,M176,M190)</f>
        <v>0</v>
      </c>
      <c r="N55" s="235">
        <f>SUM(N56,N78,N176,N190)</f>
        <v>0</v>
      </c>
      <c r="O55" s="234">
        <f t="shared" si="7"/>
        <v>0</v>
      </c>
      <c r="P55" s="236"/>
    </row>
    <row r="56" spans="1:16" s="41" customFormat="1" ht="12" hidden="1" x14ac:dyDescent="0.25">
      <c r="A56" s="237">
        <v>1000</v>
      </c>
      <c r="B56" s="237" t="s">
        <v>74</v>
      </c>
      <c r="C56" s="238">
        <f t="shared" si="3"/>
        <v>0</v>
      </c>
      <c r="D56" s="239">
        <f>SUM(D57,D70)</f>
        <v>0</v>
      </c>
      <c r="E56" s="240">
        <f>SUM(E57,E70)</f>
        <v>0</v>
      </c>
      <c r="F56" s="241">
        <f t="shared" si="4"/>
        <v>0</v>
      </c>
      <c r="G56" s="239">
        <f>SUM(G57,G70)</f>
        <v>0</v>
      </c>
      <c r="H56" s="242">
        <f>SUM(H57,H70)</f>
        <v>0</v>
      </c>
      <c r="I56" s="243">
        <f t="shared" si="5"/>
        <v>0</v>
      </c>
      <c r="J56" s="239">
        <f>SUM(J57,J70)</f>
        <v>0</v>
      </c>
      <c r="K56" s="242">
        <f>SUM(K57,K70)</f>
        <v>0</v>
      </c>
      <c r="L56" s="243">
        <f t="shared" si="6"/>
        <v>0</v>
      </c>
      <c r="M56" s="244">
        <f>SUM(M57,M70)</f>
        <v>0</v>
      </c>
      <c r="N56" s="245">
        <f>SUM(N57,N70)</f>
        <v>0</v>
      </c>
      <c r="O56" s="243">
        <f t="shared" si="7"/>
        <v>0</v>
      </c>
      <c r="P56" s="246"/>
    </row>
    <row r="57" spans="1:16" hidden="1" x14ac:dyDescent="0.25">
      <c r="A57" s="99">
        <v>1100</v>
      </c>
      <c r="B57" s="247" t="s">
        <v>75</v>
      </c>
      <c r="C57" s="100">
        <f t="shared" si="3"/>
        <v>0</v>
      </c>
      <c r="D57" s="112">
        <f>SUM(D58,D61,D69)</f>
        <v>0</v>
      </c>
      <c r="E57" s="248">
        <f>SUM(E58,E61,E69)</f>
        <v>0</v>
      </c>
      <c r="F57" s="249">
        <f t="shared" si="4"/>
        <v>0</v>
      </c>
      <c r="G57" s="112">
        <f>SUM(G58,G61,G69)</f>
        <v>0</v>
      </c>
      <c r="H57" s="113">
        <f>SUM(H58,H61,H69)</f>
        <v>0</v>
      </c>
      <c r="I57" s="114">
        <f t="shared" si="5"/>
        <v>0</v>
      </c>
      <c r="J57" s="112">
        <f>SUM(J58,J61,J69)</f>
        <v>0</v>
      </c>
      <c r="K57" s="113">
        <f>SUM(K58,K61,K69)</f>
        <v>0</v>
      </c>
      <c r="L57" s="114">
        <f t="shared" si="6"/>
        <v>0</v>
      </c>
      <c r="M57" s="250">
        <f>SUM(M58,M61,M69)</f>
        <v>0</v>
      </c>
      <c r="N57" s="251">
        <f>SUM(N58,N61,N69)</f>
        <v>0</v>
      </c>
      <c r="O57" s="252">
        <f t="shared" si="7"/>
        <v>0</v>
      </c>
      <c r="P57" s="253"/>
    </row>
    <row r="58" spans="1:16" hidden="1" x14ac:dyDescent="0.25">
      <c r="A58" s="254">
        <v>1110</v>
      </c>
      <c r="B58" s="179" t="s">
        <v>76</v>
      </c>
      <c r="C58" s="191">
        <f t="shared" si="3"/>
        <v>0</v>
      </c>
      <c r="D58" s="255">
        <f>SUM(D59:D60)</f>
        <v>0</v>
      </c>
      <c r="E58" s="256">
        <f>SUM(E59:E60)</f>
        <v>0</v>
      </c>
      <c r="F58" s="257">
        <f t="shared" si="4"/>
        <v>0</v>
      </c>
      <c r="G58" s="255">
        <f>SUM(G59:G60)</f>
        <v>0</v>
      </c>
      <c r="H58" s="258">
        <f>SUM(H59:H60)</f>
        <v>0</v>
      </c>
      <c r="I58" s="259">
        <f t="shared" si="5"/>
        <v>0</v>
      </c>
      <c r="J58" s="255">
        <f>SUM(J59:J60)</f>
        <v>0</v>
      </c>
      <c r="K58" s="258">
        <f>SUM(K59:K60)</f>
        <v>0</v>
      </c>
      <c r="L58" s="259">
        <f t="shared" si="6"/>
        <v>0</v>
      </c>
      <c r="M58" s="260">
        <f>SUM(M59:M60)</f>
        <v>0</v>
      </c>
      <c r="N58" s="261">
        <f>SUM(N59:N60)</f>
        <v>0</v>
      </c>
      <c r="O58" s="259">
        <f t="shared" si="7"/>
        <v>0</v>
      </c>
      <c r="P58" s="189"/>
    </row>
    <row r="59" spans="1:16" hidden="1" x14ac:dyDescent="0.25">
      <c r="A59" s="66">
        <v>1111</v>
      </c>
      <c r="B59" s="116" t="s">
        <v>77</v>
      </c>
      <c r="C59" s="117">
        <f t="shared" si="3"/>
        <v>0</v>
      </c>
      <c r="D59" s="123"/>
      <c r="E59" s="295"/>
      <c r="F59" s="296">
        <f t="shared" si="4"/>
        <v>0</v>
      </c>
      <c r="G59" s="123"/>
      <c r="H59" s="124"/>
      <c r="I59" s="125">
        <f t="shared" si="5"/>
        <v>0</v>
      </c>
      <c r="J59" s="123"/>
      <c r="K59" s="124"/>
      <c r="L59" s="125">
        <f t="shared" si="6"/>
        <v>0</v>
      </c>
      <c r="M59" s="264"/>
      <c r="N59" s="262"/>
      <c r="O59" s="125">
        <f t="shared" si="7"/>
        <v>0</v>
      </c>
      <c r="P59" s="74"/>
    </row>
    <row r="60" spans="1:16" ht="24" hidden="1" x14ac:dyDescent="0.25">
      <c r="A60" s="76">
        <v>1119</v>
      </c>
      <c r="B60" s="127" t="s">
        <v>78</v>
      </c>
      <c r="C60" s="128">
        <f t="shared" si="3"/>
        <v>0</v>
      </c>
      <c r="D60" s="134"/>
      <c r="E60" s="283"/>
      <c r="F60" s="279">
        <f t="shared" si="4"/>
        <v>0</v>
      </c>
      <c r="G60" s="134"/>
      <c r="H60" s="135"/>
      <c r="I60" s="136">
        <f t="shared" si="5"/>
        <v>0</v>
      </c>
      <c r="J60" s="134"/>
      <c r="K60" s="135"/>
      <c r="L60" s="136">
        <f t="shared" si="6"/>
        <v>0</v>
      </c>
      <c r="M60" s="284"/>
      <c r="N60" s="285"/>
      <c r="O60" s="136">
        <f t="shared" si="7"/>
        <v>0</v>
      </c>
      <c r="P60" s="85"/>
    </row>
    <row r="61" spans="1:16" ht="24" hidden="1" x14ac:dyDescent="0.25">
      <c r="A61" s="276">
        <v>1140</v>
      </c>
      <c r="B61" s="127" t="s">
        <v>79</v>
      </c>
      <c r="C61" s="128">
        <f t="shared" si="3"/>
        <v>0</v>
      </c>
      <c r="D61" s="277">
        <f>SUM(D62:D68)</f>
        <v>0</v>
      </c>
      <c r="E61" s="278">
        <f>SUM(E62:E68)</f>
        <v>0</v>
      </c>
      <c r="F61" s="279">
        <f t="shared" si="4"/>
        <v>0</v>
      </c>
      <c r="G61" s="277">
        <f>SUM(G62:G68)</f>
        <v>0</v>
      </c>
      <c r="H61" s="280">
        <f>SUM(H62:H68)</f>
        <v>0</v>
      </c>
      <c r="I61" s="136">
        <f t="shared" si="5"/>
        <v>0</v>
      </c>
      <c r="J61" s="277">
        <f>SUM(J62:J68)</f>
        <v>0</v>
      </c>
      <c r="K61" s="280">
        <f>SUM(K62:K68)</f>
        <v>0</v>
      </c>
      <c r="L61" s="136">
        <f t="shared" si="6"/>
        <v>0</v>
      </c>
      <c r="M61" s="281">
        <f>SUM(M62:M68)</f>
        <v>0</v>
      </c>
      <c r="N61" s="282">
        <f>SUM(N62:N68)</f>
        <v>0</v>
      </c>
      <c r="O61" s="136">
        <f t="shared" si="7"/>
        <v>0</v>
      </c>
      <c r="P61" s="85"/>
    </row>
    <row r="62" spans="1:16" hidden="1" x14ac:dyDescent="0.25">
      <c r="A62" s="76">
        <v>1141</v>
      </c>
      <c r="B62" s="127" t="s">
        <v>80</v>
      </c>
      <c r="C62" s="128">
        <f t="shared" si="3"/>
        <v>0</v>
      </c>
      <c r="D62" s="134"/>
      <c r="E62" s="283"/>
      <c r="F62" s="279">
        <f t="shared" si="4"/>
        <v>0</v>
      </c>
      <c r="G62" s="134"/>
      <c r="H62" s="135"/>
      <c r="I62" s="136">
        <f t="shared" si="5"/>
        <v>0</v>
      </c>
      <c r="J62" s="134"/>
      <c r="K62" s="135"/>
      <c r="L62" s="136">
        <f t="shared" si="6"/>
        <v>0</v>
      </c>
      <c r="M62" s="284"/>
      <c r="N62" s="285"/>
      <c r="O62" s="136">
        <f t="shared" si="7"/>
        <v>0</v>
      </c>
      <c r="P62" s="85"/>
    </row>
    <row r="63" spans="1:16" ht="24" hidden="1" x14ac:dyDescent="0.25">
      <c r="A63" s="76">
        <v>1142</v>
      </c>
      <c r="B63" s="127" t="s">
        <v>81</v>
      </c>
      <c r="C63" s="128">
        <f t="shared" si="3"/>
        <v>0</v>
      </c>
      <c r="D63" s="134"/>
      <c r="E63" s="283"/>
      <c r="F63" s="279">
        <f t="shared" si="4"/>
        <v>0</v>
      </c>
      <c r="G63" s="134"/>
      <c r="H63" s="135"/>
      <c r="I63" s="136">
        <f t="shared" si="5"/>
        <v>0</v>
      </c>
      <c r="J63" s="134"/>
      <c r="K63" s="135"/>
      <c r="L63" s="136">
        <f t="shared" si="6"/>
        <v>0</v>
      </c>
      <c r="M63" s="284"/>
      <c r="N63" s="285"/>
      <c r="O63" s="136">
        <f t="shared" si="7"/>
        <v>0</v>
      </c>
      <c r="P63" s="85"/>
    </row>
    <row r="64" spans="1:16" ht="24" hidden="1" x14ac:dyDescent="0.25">
      <c r="A64" s="76">
        <v>1145</v>
      </c>
      <c r="B64" s="127" t="s">
        <v>82</v>
      </c>
      <c r="C64" s="128">
        <f t="shared" si="3"/>
        <v>0</v>
      </c>
      <c r="D64" s="134"/>
      <c r="E64" s="283"/>
      <c r="F64" s="279">
        <f t="shared" si="4"/>
        <v>0</v>
      </c>
      <c r="G64" s="134"/>
      <c r="H64" s="135"/>
      <c r="I64" s="136">
        <f t="shared" si="5"/>
        <v>0</v>
      </c>
      <c r="J64" s="134"/>
      <c r="K64" s="135"/>
      <c r="L64" s="136">
        <f t="shared" si="6"/>
        <v>0</v>
      </c>
      <c r="M64" s="284"/>
      <c r="N64" s="285"/>
      <c r="O64" s="136">
        <f t="shared" si="7"/>
        <v>0</v>
      </c>
      <c r="P64" s="85"/>
    </row>
    <row r="65" spans="1:16" ht="24" hidden="1" x14ac:dyDescent="0.25">
      <c r="A65" s="76">
        <v>1146</v>
      </c>
      <c r="B65" s="127" t="s">
        <v>83</v>
      </c>
      <c r="C65" s="128">
        <f t="shared" si="3"/>
        <v>0</v>
      </c>
      <c r="D65" s="134"/>
      <c r="E65" s="283"/>
      <c r="F65" s="279">
        <f t="shared" si="4"/>
        <v>0</v>
      </c>
      <c r="G65" s="134"/>
      <c r="H65" s="135"/>
      <c r="I65" s="136">
        <f t="shared" si="5"/>
        <v>0</v>
      </c>
      <c r="J65" s="134"/>
      <c r="K65" s="135"/>
      <c r="L65" s="136">
        <f t="shared" si="6"/>
        <v>0</v>
      </c>
      <c r="M65" s="284"/>
      <c r="N65" s="285"/>
      <c r="O65" s="136">
        <f t="shared" si="7"/>
        <v>0</v>
      </c>
      <c r="P65" s="85"/>
    </row>
    <row r="66" spans="1:16" hidden="1" x14ac:dyDescent="0.25">
      <c r="A66" s="76">
        <v>1147</v>
      </c>
      <c r="B66" s="127" t="s">
        <v>84</v>
      </c>
      <c r="C66" s="128">
        <f t="shared" si="3"/>
        <v>0</v>
      </c>
      <c r="D66" s="134"/>
      <c r="E66" s="283"/>
      <c r="F66" s="279">
        <f t="shared" si="4"/>
        <v>0</v>
      </c>
      <c r="G66" s="134"/>
      <c r="H66" s="135"/>
      <c r="I66" s="136">
        <f t="shared" si="5"/>
        <v>0</v>
      </c>
      <c r="J66" s="134"/>
      <c r="K66" s="135"/>
      <c r="L66" s="136">
        <f t="shared" si="6"/>
        <v>0</v>
      </c>
      <c r="M66" s="284"/>
      <c r="N66" s="285"/>
      <c r="O66" s="136">
        <f t="shared" si="7"/>
        <v>0</v>
      </c>
      <c r="P66" s="85"/>
    </row>
    <row r="67" spans="1:16" hidden="1" x14ac:dyDescent="0.25">
      <c r="A67" s="76">
        <v>1148</v>
      </c>
      <c r="B67" s="127" t="s">
        <v>85</v>
      </c>
      <c r="C67" s="128">
        <f t="shared" si="3"/>
        <v>0</v>
      </c>
      <c r="D67" s="134"/>
      <c r="E67" s="283"/>
      <c r="F67" s="279">
        <f t="shared" si="4"/>
        <v>0</v>
      </c>
      <c r="G67" s="134"/>
      <c r="H67" s="135"/>
      <c r="I67" s="136">
        <f t="shared" si="5"/>
        <v>0</v>
      </c>
      <c r="J67" s="134"/>
      <c r="K67" s="135"/>
      <c r="L67" s="136">
        <f t="shared" si="6"/>
        <v>0</v>
      </c>
      <c r="M67" s="284"/>
      <c r="N67" s="285"/>
      <c r="O67" s="136">
        <f t="shared" si="7"/>
        <v>0</v>
      </c>
      <c r="P67" s="85"/>
    </row>
    <row r="68" spans="1:16" ht="36" hidden="1" x14ac:dyDescent="0.25">
      <c r="A68" s="76">
        <v>1149</v>
      </c>
      <c r="B68" s="127" t="s">
        <v>86</v>
      </c>
      <c r="C68" s="128">
        <f t="shared" si="3"/>
        <v>0</v>
      </c>
      <c r="D68" s="134"/>
      <c r="E68" s="283"/>
      <c r="F68" s="279">
        <f t="shared" si="4"/>
        <v>0</v>
      </c>
      <c r="G68" s="134"/>
      <c r="H68" s="135"/>
      <c r="I68" s="136">
        <f t="shared" si="5"/>
        <v>0</v>
      </c>
      <c r="J68" s="134"/>
      <c r="K68" s="135"/>
      <c r="L68" s="136">
        <f t="shared" si="6"/>
        <v>0</v>
      </c>
      <c r="M68" s="284"/>
      <c r="N68" s="285"/>
      <c r="O68" s="136">
        <f t="shared" si="7"/>
        <v>0</v>
      </c>
      <c r="P68" s="85"/>
    </row>
    <row r="69" spans="1:16" ht="36" hidden="1" x14ac:dyDescent="0.25">
      <c r="A69" s="254">
        <v>1150</v>
      </c>
      <c r="B69" s="179" t="s">
        <v>87</v>
      </c>
      <c r="C69" s="128">
        <f t="shared" si="3"/>
        <v>0</v>
      </c>
      <c r="D69" s="287"/>
      <c r="E69" s="288"/>
      <c r="F69" s="257">
        <f t="shared" si="4"/>
        <v>0</v>
      </c>
      <c r="G69" s="287"/>
      <c r="H69" s="289"/>
      <c r="I69" s="259">
        <f t="shared" si="5"/>
        <v>0</v>
      </c>
      <c r="J69" s="287"/>
      <c r="K69" s="289"/>
      <c r="L69" s="259">
        <f t="shared" si="6"/>
        <v>0</v>
      </c>
      <c r="M69" s="290"/>
      <c r="N69" s="291"/>
      <c r="O69" s="259">
        <f t="shared" si="7"/>
        <v>0</v>
      </c>
      <c r="P69" s="189"/>
    </row>
    <row r="70" spans="1:16" ht="36" hidden="1" x14ac:dyDescent="0.25">
      <c r="A70" s="99">
        <v>1200</v>
      </c>
      <c r="B70" s="247" t="s">
        <v>88</v>
      </c>
      <c r="C70" s="100">
        <f t="shared" si="3"/>
        <v>0</v>
      </c>
      <c r="D70" s="112">
        <f>SUM(D71:D72)</f>
        <v>0</v>
      </c>
      <c r="E70" s="248">
        <f>SUM(E71:E72)</f>
        <v>0</v>
      </c>
      <c r="F70" s="249">
        <f t="shared" si="4"/>
        <v>0</v>
      </c>
      <c r="G70" s="112">
        <f>SUM(G71:G72)</f>
        <v>0</v>
      </c>
      <c r="H70" s="113">
        <f>SUM(H71:H72)</f>
        <v>0</v>
      </c>
      <c r="I70" s="114">
        <f t="shared" si="5"/>
        <v>0</v>
      </c>
      <c r="J70" s="112">
        <f>SUM(J71:J72)</f>
        <v>0</v>
      </c>
      <c r="K70" s="113">
        <f>SUM(K71:K72)</f>
        <v>0</v>
      </c>
      <c r="L70" s="114">
        <f t="shared" si="6"/>
        <v>0</v>
      </c>
      <c r="M70" s="292">
        <f>SUM(M71:M72)</f>
        <v>0</v>
      </c>
      <c r="N70" s="293">
        <f>SUM(N71:N72)</f>
        <v>0</v>
      </c>
      <c r="O70" s="114">
        <f t="shared" si="7"/>
        <v>0</v>
      </c>
      <c r="P70" s="109"/>
    </row>
    <row r="71" spans="1:16" ht="24" hidden="1" x14ac:dyDescent="0.25">
      <c r="A71" s="1036">
        <v>1210</v>
      </c>
      <c r="B71" s="116" t="s">
        <v>89</v>
      </c>
      <c r="C71" s="117">
        <f t="shared" si="3"/>
        <v>0</v>
      </c>
      <c r="D71" s="123"/>
      <c r="E71" s="295"/>
      <c r="F71" s="296">
        <f t="shared" si="4"/>
        <v>0</v>
      </c>
      <c r="G71" s="123"/>
      <c r="H71" s="124"/>
      <c r="I71" s="125">
        <f t="shared" si="5"/>
        <v>0</v>
      </c>
      <c r="J71" s="123"/>
      <c r="K71" s="124"/>
      <c r="L71" s="125">
        <f t="shared" si="6"/>
        <v>0</v>
      </c>
      <c r="M71" s="264"/>
      <c r="N71" s="262"/>
      <c r="O71" s="125">
        <f t="shared" si="7"/>
        <v>0</v>
      </c>
      <c r="P71" s="74"/>
    </row>
    <row r="72" spans="1:16" ht="24" hidden="1" x14ac:dyDescent="0.25">
      <c r="A72" s="276">
        <v>1220</v>
      </c>
      <c r="B72" s="127" t="s">
        <v>90</v>
      </c>
      <c r="C72" s="128">
        <f t="shared" si="3"/>
        <v>0</v>
      </c>
      <c r="D72" s="277">
        <f>SUM(D73:D77)</f>
        <v>0</v>
      </c>
      <c r="E72" s="278">
        <f>SUM(E73:E77)</f>
        <v>0</v>
      </c>
      <c r="F72" s="279">
        <f t="shared" si="4"/>
        <v>0</v>
      </c>
      <c r="G72" s="277">
        <f>SUM(G73:G77)</f>
        <v>0</v>
      </c>
      <c r="H72" s="280">
        <f>SUM(H73:H77)</f>
        <v>0</v>
      </c>
      <c r="I72" s="136">
        <f t="shared" si="5"/>
        <v>0</v>
      </c>
      <c r="J72" s="277">
        <f>SUM(J73:J77)</f>
        <v>0</v>
      </c>
      <c r="K72" s="280">
        <f>SUM(K73:K77)</f>
        <v>0</v>
      </c>
      <c r="L72" s="136">
        <f t="shared" si="6"/>
        <v>0</v>
      </c>
      <c r="M72" s="281">
        <f>SUM(M73:M77)</f>
        <v>0</v>
      </c>
      <c r="N72" s="282">
        <f>SUM(N73:N77)</f>
        <v>0</v>
      </c>
      <c r="O72" s="136">
        <f t="shared" si="7"/>
        <v>0</v>
      </c>
      <c r="P72" s="85"/>
    </row>
    <row r="73" spans="1:16" ht="60" hidden="1" x14ac:dyDescent="0.25">
      <c r="A73" s="76">
        <v>1221</v>
      </c>
      <c r="B73" s="127" t="s">
        <v>91</v>
      </c>
      <c r="C73" s="128">
        <f t="shared" si="3"/>
        <v>0</v>
      </c>
      <c r="D73" s="134"/>
      <c r="E73" s="283"/>
      <c r="F73" s="279">
        <f t="shared" si="4"/>
        <v>0</v>
      </c>
      <c r="G73" s="134"/>
      <c r="H73" s="135"/>
      <c r="I73" s="136">
        <f t="shared" si="5"/>
        <v>0</v>
      </c>
      <c r="J73" s="134"/>
      <c r="K73" s="135"/>
      <c r="L73" s="136">
        <f t="shared" si="6"/>
        <v>0</v>
      </c>
      <c r="M73" s="284"/>
      <c r="N73" s="285"/>
      <c r="O73" s="136">
        <f t="shared" si="7"/>
        <v>0</v>
      </c>
      <c r="P73" s="85"/>
    </row>
    <row r="74" spans="1:16" hidden="1" x14ac:dyDescent="0.25">
      <c r="A74" s="76">
        <v>1223</v>
      </c>
      <c r="B74" s="127" t="s">
        <v>92</v>
      </c>
      <c r="C74" s="128">
        <f t="shared" si="3"/>
        <v>0</v>
      </c>
      <c r="D74" s="134"/>
      <c r="E74" s="283"/>
      <c r="F74" s="279">
        <f t="shared" si="4"/>
        <v>0</v>
      </c>
      <c r="G74" s="134"/>
      <c r="H74" s="135"/>
      <c r="I74" s="136">
        <f t="shared" si="5"/>
        <v>0</v>
      </c>
      <c r="J74" s="134"/>
      <c r="K74" s="135"/>
      <c r="L74" s="136">
        <f t="shared" si="6"/>
        <v>0</v>
      </c>
      <c r="M74" s="284"/>
      <c r="N74" s="285"/>
      <c r="O74" s="136">
        <f t="shared" si="7"/>
        <v>0</v>
      </c>
      <c r="P74" s="85"/>
    </row>
    <row r="75" spans="1:16" hidden="1" x14ac:dyDescent="0.25">
      <c r="A75" s="76">
        <v>1225</v>
      </c>
      <c r="B75" s="127" t="s">
        <v>93</v>
      </c>
      <c r="C75" s="128">
        <f t="shared" si="3"/>
        <v>0</v>
      </c>
      <c r="D75" s="134"/>
      <c r="E75" s="283"/>
      <c r="F75" s="279">
        <f t="shared" si="4"/>
        <v>0</v>
      </c>
      <c r="G75" s="134"/>
      <c r="H75" s="135"/>
      <c r="I75" s="136">
        <f t="shared" si="5"/>
        <v>0</v>
      </c>
      <c r="J75" s="134"/>
      <c r="K75" s="135"/>
      <c r="L75" s="136">
        <f t="shared" si="6"/>
        <v>0</v>
      </c>
      <c r="M75" s="284"/>
      <c r="N75" s="285"/>
      <c r="O75" s="136">
        <f t="shared" si="7"/>
        <v>0</v>
      </c>
      <c r="P75" s="85"/>
    </row>
    <row r="76" spans="1:16" ht="36" hidden="1" x14ac:dyDescent="0.25">
      <c r="A76" s="76">
        <v>1227</v>
      </c>
      <c r="B76" s="127" t="s">
        <v>94</v>
      </c>
      <c r="C76" s="128">
        <f t="shared" si="3"/>
        <v>0</v>
      </c>
      <c r="D76" s="134"/>
      <c r="E76" s="283"/>
      <c r="F76" s="279">
        <f t="shared" si="4"/>
        <v>0</v>
      </c>
      <c r="G76" s="134"/>
      <c r="H76" s="135"/>
      <c r="I76" s="136">
        <f t="shared" si="5"/>
        <v>0</v>
      </c>
      <c r="J76" s="134"/>
      <c r="K76" s="135"/>
      <c r="L76" s="136">
        <f t="shared" si="6"/>
        <v>0</v>
      </c>
      <c r="M76" s="284"/>
      <c r="N76" s="285"/>
      <c r="O76" s="136">
        <f t="shared" si="7"/>
        <v>0</v>
      </c>
      <c r="P76" s="85"/>
    </row>
    <row r="77" spans="1:16" ht="60" hidden="1" x14ac:dyDescent="0.25">
      <c r="A77" s="76">
        <v>1228</v>
      </c>
      <c r="B77" s="127" t="s">
        <v>95</v>
      </c>
      <c r="C77" s="128">
        <f t="shared" si="3"/>
        <v>0</v>
      </c>
      <c r="D77" s="134"/>
      <c r="E77" s="283"/>
      <c r="F77" s="279">
        <f t="shared" si="4"/>
        <v>0</v>
      </c>
      <c r="G77" s="134"/>
      <c r="H77" s="135"/>
      <c r="I77" s="136">
        <f t="shared" si="5"/>
        <v>0</v>
      </c>
      <c r="J77" s="134"/>
      <c r="K77" s="135"/>
      <c r="L77" s="136">
        <f t="shared" si="6"/>
        <v>0</v>
      </c>
      <c r="M77" s="284"/>
      <c r="N77" s="285"/>
      <c r="O77" s="136">
        <f t="shared" si="7"/>
        <v>0</v>
      </c>
      <c r="P77" s="85"/>
    </row>
    <row r="78" spans="1:16" hidden="1" x14ac:dyDescent="0.25">
      <c r="A78" s="237">
        <v>2000</v>
      </c>
      <c r="B78" s="237" t="s">
        <v>96</v>
      </c>
      <c r="C78" s="238">
        <f t="shared" si="3"/>
        <v>0</v>
      </c>
      <c r="D78" s="239">
        <f>SUM(D79,D86,D133,D167,D168,D175)</f>
        <v>0</v>
      </c>
      <c r="E78" s="240">
        <f>SUM(E79,E86,E133,E167,E168,E175)</f>
        <v>0</v>
      </c>
      <c r="F78" s="241">
        <f t="shared" si="4"/>
        <v>0</v>
      </c>
      <c r="G78" s="239">
        <f>SUM(G79,G86,G133,G167,G168,G175)</f>
        <v>0</v>
      </c>
      <c r="H78" s="242">
        <f>SUM(H79,H86,H133,H167,H168,H175)</f>
        <v>0</v>
      </c>
      <c r="I78" s="243">
        <f t="shared" si="5"/>
        <v>0</v>
      </c>
      <c r="J78" s="239">
        <f>SUM(J79,J86,J133,J167,J168,J175)</f>
        <v>0</v>
      </c>
      <c r="K78" s="242">
        <f>SUM(K79,K86,K133,K167,K168,K175)</f>
        <v>0</v>
      </c>
      <c r="L78" s="243">
        <f t="shared" si="6"/>
        <v>0</v>
      </c>
      <c r="M78" s="244">
        <f>SUM(M79,M86,M133,M167,M168,M175)</f>
        <v>0</v>
      </c>
      <c r="N78" s="245">
        <f>SUM(N79,N86,N133,N167,N168,N175)</f>
        <v>0</v>
      </c>
      <c r="O78" s="243">
        <f t="shared" si="7"/>
        <v>0</v>
      </c>
      <c r="P78" s="246"/>
    </row>
    <row r="79" spans="1:16" ht="24" hidden="1" x14ac:dyDescent="0.25">
      <c r="A79" s="99">
        <v>2100</v>
      </c>
      <c r="B79" s="247" t="s">
        <v>97</v>
      </c>
      <c r="C79" s="100">
        <f t="shared" si="3"/>
        <v>0</v>
      </c>
      <c r="D79" s="112">
        <f>SUM(D80,D83)</f>
        <v>0</v>
      </c>
      <c r="E79" s="248">
        <f>SUM(E80,E83)</f>
        <v>0</v>
      </c>
      <c r="F79" s="249">
        <f t="shared" si="4"/>
        <v>0</v>
      </c>
      <c r="G79" s="112">
        <f>SUM(G80,G83)</f>
        <v>0</v>
      </c>
      <c r="H79" s="113">
        <f>SUM(H80,H83)</f>
        <v>0</v>
      </c>
      <c r="I79" s="114">
        <f t="shared" si="5"/>
        <v>0</v>
      </c>
      <c r="J79" s="112">
        <f>SUM(J80,J83)</f>
        <v>0</v>
      </c>
      <c r="K79" s="113">
        <f>SUM(K80,K83)</f>
        <v>0</v>
      </c>
      <c r="L79" s="114">
        <f t="shared" si="6"/>
        <v>0</v>
      </c>
      <c r="M79" s="292">
        <f>SUM(M80,M83)</f>
        <v>0</v>
      </c>
      <c r="N79" s="293">
        <f>SUM(N80,N83)</f>
        <v>0</v>
      </c>
      <c r="O79" s="114">
        <f t="shared" si="7"/>
        <v>0</v>
      </c>
      <c r="P79" s="109"/>
    </row>
    <row r="80" spans="1:16" ht="24" hidden="1" x14ac:dyDescent="0.25">
      <c r="A80" s="1036">
        <v>2110</v>
      </c>
      <c r="B80" s="116" t="s">
        <v>98</v>
      </c>
      <c r="C80" s="117">
        <f t="shared" si="3"/>
        <v>0</v>
      </c>
      <c r="D80" s="297">
        <f>SUM(D81:D82)</f>
        <v>0</v>
      </c>
      <c r="E80" s="298">
        <f>SUM(E81:E82)</f>
        <v>0</v>
      </c>
      <c r="F80" s="296">
        <f t="shared" si="4"/>
        <v>0</v>
      </c>
      <c r="G80" s="297">
        <f>SUM(G81:G82)</f>
        <v>0</v>
      </c>
      <c r="H80" s="299">
        <f>SUM(H81:H82)</f>
        <v>0</v>
      </c>
      <c r="I80" s="125">
        <f t="shared" si="5"/>
        <v>0</v>
      </c>
      <c r="J80" s="297">
        <f>SUM(J81:J82)</f>
        <v>0</v>
      </c>
      <c r="K80" s="299">
        <f>SUM(K81:K82)</f>
        <v>0</v>
      </c>
      <c r="L80" s="125">
        <f t="shared" si="6"/>
        <v>0</v>
      </c>
      <c r="M80" s="300">
        <f>SUM(M81:M82)</f>
        <v>0</v>
      </c>
      <c r="N80" s="301">
        <f>SUM(N81:N82)</f>
        <v>0</v>
      </c>
      <c r="O80" s="125">
        <f t="shared" si="7"/>
        <v>0</v>
      </c>
      <c r="P80" s="74"/>
    </row>
    <row r="81" spans="1:16" hidden="1" x14ac:dyDescent="0.25">
      <c r="A81" s="76">
        <v>2111</v>
      </c>
      <c r="B81" s="127" t="s">
        <v>99</v>
      </c>
      <c r="C81" s="128">
        <f t="shared" si="3"/>
        <v>0</v>
      </c>
      <c r="D81" s="134"/>
      <c r="E81" s="283"/>
      <c r="F81" s="279">
        <f t="shared" si="4"/>
        <v>0</v>
      </c>
      <c r="G81" s="134"/>
      <c r="H81" s="135"/>
      <c r="I81" s="136">
        <f t="shared" si="5"/>
        <v>0</v>
      </c>
      <c r="J81" s="134"/>
      <c r="K81" s="135"/>
      <c r="L81" s="136">
        <f t="shared" si="6"/>
        <v>0</v>
      </c>
      <c r="M81" s="284"/>
      <c r="N81" s="285"/>
      <c r="O81" s="136">
        <f t="shared" si="7"/>
        <v>0</v>
      </c>
      <c r="P81" s="85"/>
    </row>
    <row r="82" spans="1:16" ht="24" hidden="1" x14ac:dyDescent="0.25">
      <c r="A82" s="76">
        <v>2112</v>
      </c>
      <c r="B82" s="127" t="s">
        <v>100</v>
      </c>
      <c r="C82" s="128">
        <f t="shared" si="3"/>
        <v>0</v>
      </c>
      <c r="D82" s="134"/>
      <c r="E82" s="283"/>
      <c r="F82" s="279">
        <f t="shared" si="4"/>
        <v>0</v>
      </c>
      <c r="G82" s="134"/>
      <c r="H82" s="135"/>
      <c r="I82" s="136">
        <f t="shared" si="5"/>
        <v>0</v>
      </c>
      <c r="J82" s="134"/>
      <c r="K82" s="135"/>
      <c r="L82" s="136">
        <f t="shared" si="6"/>
        <v>0</v>
      </c>
      <c r="M82" s="284"/>
      <c r="N82" s="285"/>
      <c r="O82" s="136">
        <f t="shared" si="7"/>
        <v>0</v>
      </c>
      <c r="P82" s="85"/>
    </row>
    <row r="83" spans="1:16" ht="24" hidden="1" x14ac:dyDescent="0.25">
      <c r="A83" s="276">
        <v>2120</v>
      </c>
      <c r="B83" s="127" t="s">
        <v>101</v>
      </c>
      <c r="C83" s="128">
        <f t="shared" si="3"/>
        <v>0</v>
      </c>
      <c r="D83" s="277">
        <f>SUM(D84:D85)</f>
        <v>0</v>
      </c>
      <c r="E83" s="278">
        <f>SUM(E84:E85)</f>
        <v>0</v>
      </c>
      <c r="F83" s="279">
        <f t="shared" si="4"/>
        <v>0</v>
      </c>
      <c r="G83" s="277">
        <f>SUM(G84:G85)</f>
        <v>0</v>
      </c>
      <c r="H83" s="280">
        <f>SUM(H84:H85)</f>
        <v>0</v>
      </c>
      <c r="I83" s="136">
        <f t="shared" si="5"/>
        <v>0</v>
      </c>
      <c r="J83" s="277">
        <f>SUM(J84:J85)</f>
        <v>0</v>
      </c>
      <c r="K83" s="280">
        <f>SUM(K84:K85)</f>
        <v>0</v>
      </c>
      <c r="L83" s="136">
        <f t="shared" si="6"/>
        <v>0</v>
      </c>
      <c r="M83" s="281">
        <f>SUM(M84:M85)</f>
        <v>0</v>
      </c>
      <c r="N83" s="282">
        <f>SUM(N84:N85)</f>
        <v>0</v>
      </c>
      <c r="O83" s="136">
        <f t="shared" si="7"/>
        <v>0</v>
      </c>
      <c r="P83" s="85"/>
    </row>
    <row r="84" spans="1:16" hidden="1" x14ac:dyDescent="0.25">
      <c r="A84" s="76">
        <v>2121</v>
      </c>
      <c r="B84" s="127" t="s">
        <v>99</v>
      </c>
      <c r="C84" s="128">
        <f t="shared" si="3"/>
        <v>0</v>
      </c>
      <c r="D84" s="134"/>
      <c r="E84" s="283"/>
      <c r="F84" s="279">
        <f t="shared" si="4"/>
        <v>0</v>
      </c>
      <c r="G84" s="134"/>
      <c r="H84" s="135"/>
      <c r="I84" s="136">
        <f t="shared" si="5"/>
        <v>0</v>
      </c>
      <c r="J84" s="134"/>
      <c r="K84" s="135"/>
      <c r="L84" s="136">
        <f t="shared" si="6"/>
        <v>0</v>
      </c>
      <c r="M84" s="284"/>
      <c r="N84" s="285"/>
      <c r="O84" s="136">
        <f t="shared" si="7"/>
        <v>0</v>
      </c>
      <c r="P84" s="85"/>
    </row>
    <row r="85" spans="1:16" ht="24" hidden="1" x14ac:dyDescent="0.25">
      <c r="A85" s="76">
        <v>2122</v>
      </c>
      <c r="B85" s="127" t="s">
        <v>100</v>
      </c>
      <c r="C85" s="128">
        <f t="shared" si="3"/>
        <v>0</v>
      </c>
      <c r="D85" s="134"/>
      <c r="E85" s="283"/>
      <c r="F85" s="279">
        <f t="shared" si="4"/>
        <v>0</v>
      </c>
      <c r="G85" s="134"/>
      <c r="H85" s="135"/>
      <c r="I85" s="136">
        <f t="shared" si="5"/>
        <v>0</v>
      </c>
      <c r="J85" s="134"/>
      <c r="K85" s="135"/>
      <c r="L85" s="136">
        <f t="shared" si="6"/>
        <v>0</v>
      </c>
      <c r="M85" s="284"/>
      <c r="N85" s="285"/>
      <c r="O85" s="136">
        <f t="shared" si="7"/>
        <v>0</v>
      </c>
      <c r="P85" s="85"/>
    </row>
    <row r="86" spans="1:16" hidden="1" x14ac:dyDescent="0.25">
      <c r="A86" s="99">
        <v>2200</v>
      </c>
      <c r="B86" s="247" t="s">
        <v>102</v>
      </c>
      <c r="C86" s="302">
        <f t="shared" si="3"/>
        <v>0</v>
      </c>
      <c r="D86" s="112">
        <f>SUM(D87,D92,D98,D106,D115,D119,D125,D131)</f>
        <v>0</v>
      </c>
      <c r="E86" s="248">
        <f>SUM(E87,E92,E98,E106,E115,E119,E125,E131)</f>
        <v>0</v>
      </c>
      <c r="F86" s="249">
        <f t="shared" si="4"/>
        <v>0</v>
      </c>
      <c r="G86" s="112">
        <f>SUM(G87,G92,G98,G106,G115,G119,G125,G131)</f>
        <v>0</v>
      </c>
      <c r="H86" s="113">
        <f>SUM(H87,H92,H98,H106,H115,H119,H125,H131)</f>
        <v>0</v>
      </c>
      <c r="I86" s="114">
        <f t="shared" si="5"/>
        <v>0</v>
      </c>
      <c r="J86" s="112">
        <f>SUM(J87,J92,J98,J106,J115,J119,J125,J131)</f>
        <v>0</v>
      </c>
      <c r="K86" s="113">
        <f>SUM(K87,K92,K98,K106,K115,K119,K125,K131)</f>
        <v>0</v>
      </c>
      <c r="L86" s="114">
        <f t="shared" si="6"/>
        <v>0</v>
      </c>
      <c r="M86" s="303">
        <f>SUM(M87,M92,M98,M106,M115,M119,M125,M131)</f>
        <v>0</v>
      </c>
      <c r="N86" s="304">
        <f>SUM(N87,N92,N98,N106,N115,N119,N125,N131)</f>
        <v>0</v>
      </c>
      <c r="O86" s="305">
        <f t="shared" si="7"/>
        <v>0</v>
      </c>
      <c r="P86" s="306"/>
    </row>
    <row r="87" spans="1:16" ht="24" hidden="1" x14ac:dyDescent="0.25">
      <c r="A87" s="254">
        <v>2210</v>
      </c>
      <c r="B87" s="179" t="s">
        <v>103</v>
      </c>
      <c r="C87" s="191">
        <f t="shared" si="3"/>
        <v>0</v>
      </c>
      <c r="D87" s="255">
        <f>SUM(D88:D91)</f>
        <v>0</v>
      </c>
      <c r="E87" s="256">
        <f>SUM(E88:E91)</f>
        <v>0</v>
      </c>
      <c r="F87" s="257">
        <f t="shared" si="4"/>
        <v>0</v>
      </c>
      <c r="G87" s="255">
        <f>SUM(G88:G91)</f>
        <v>0</v>
      </c>
      <c r="H87" s="258">
        <f>SUM(H88:H91)</f>
        <v>0</v>
      </c>
      <c r="I87" s="259">
        <f t="shared" si="5"/>
        <v>0</v>
      </c>
      <c r="J87" s="255">
        <f>SUM(J88:J91)</f>
        <v>0</v>
      </c>
      <c r="K87" s="258">
        <f>SUM(K88:K91)</f>
        <v>0</v>
      </c>
      <c r="L87" s="259">
        <f t="shared" si="6"/>
        <v>0</v>
      </c>
      <c r="M87" s="260">
        <f>SUM(M88:M91)</f>
        <v>0</v>
      </c>
      <c r="N87" s="261">
        <f>SUM(N88:N91)</f>
        <v>0</v>
      </c>
      <c r="O87" s="259">
        <f t="shared" si="7"/>
        <v>0</v>
      </c>
      <c r="P87" s="189"/>
    </row>
    <row r="88" spans="1:16" ht="24" hidden="1" x14ac:dyDescent="0.25">
      <c r="A88" s="66">
        <v>2211</v>
      </c>
      <c r="B88" s="116" t="s">
        <v>104</v>
      </c>
      <c r="C88" s="128">
        <f t="shared" si="3"/>
        <v>0</v>
      </c>
      <c r="D88" s="123"/>
      <c r="E88" s="295"/>
      <c r="F88" s="296">
        <f t="shared" si="4"/>
        <v>0</v>
      </c>
      <c r="G88" s="123"/>
      <c r="H88" s="124"/>
      <c r="I88" s="125">
        <f t="shared" si="5"/>
        <v>0</v>
      </c>
      <c r="J88" s="123"/>
      <c r="K88" s="124"/>
      <c r="L88" s="125">
        <f t="shared" si="6"/>
        <v>0</v>
      </c>
      <c r="M88" s="264"/>
      <c r="N88" s="262"/>
      <c r="O88" s="125">
        <f t="shared" si="7"/>
        <v>0</v>
      </c>
      <c r="P88" s="74"/>
    </row>
    <row r="89" spans="1:16" ht="36" hidden="1" x14ac:dyDescent="0.25">
      <c r="A89" s="76">
        <v>2212</v>
      </c>
      <c r="B89" s="127" t="s">
        <v>105</v>
      </c>
      <c r="C89" s="128">
        <f t="shared" si="3"/>
        <v>0</v>
      </c>
      <c r="D89" s="134"/>
      <c r="E89" s="283"/>
      <c r="F89" s="279">
        <f t="shared" si="4"/>
        <v>0</v>
      </c>
      <c r="G89" s="134"/>
      <c r="H89" s="135"/>
      <c r="I89" s="136">
        <f t="shared" si="5"/>
        <v>0</v>
      </c>
      <c r="J89" s="134"/>
      <c r="K89" s="135"/>
      <c r="L89" s="136">
        <f t="shared" si="6"/>
        <v>0</v>
      </c>
      <c r="M89" s="284"/>
      <c r="N89" s="285"/>
      <c r="O89" s="136">
        <f t="shared" si="7"/>
        <v>0</v>
      </c>
      <c r="P89" s="85"/>
    </row>
    <row r="90" spans="1:16" ht="24" hidden="1" x14ac:dyDescent="0.25">
      <c r="A90" s="76">
        <v>2214</v>
      </c>
      <c r="B90" s="127" t="s">
        <v>106</v>
      </c>
      <c r="C90" s="128">
        <f t="shared" si="3"/>
        <v>0</v>
      </c>
      <c r="D90" s="134"/>
      <c r="E90" s="283"/>
      <c r="F90" s="279">
        <f t="shared" si="4"/>
        <v>0</v>
      </c>
      <c r="G90" s="134"/>
      <c r="H90" s="135"/>
      <c r="I90" s="136">
        <f t="shared" si="5"/>
        <v>0</v>
      </c>
      <c r="J90" s="134"/>
      <c r="K90" s="135"/>
      <c r="L90" s="136">
        <f t="shared" si="6"/>
        <v>0</v>
      </c>
      <c r="M90" s="284"/>
      <c r="N90" s="285"/>
      <c r="O90" s="136">
        <f t="shared" si="7"/>
        <v>0</v>
      </c>
      <c r="P90" s="85"/>
    </row>
    <row r="91" spans="1:16" hidden="1" x14ac:dyDescent="0.25">
      <c r="A91" s="76">
        <v>2219</v>
      </c>
      <c r="B91" s="127" t="s">
        <v>107</v>
      </c>
      <c r="C91" s="128">
        <f t="shared" si="3"/>
        <v>0</v>
      </c>
      <c r="D91" s="134"/>
      <c r="E91" s="283"/>
      <c r="F91" s="279">
        <f t="shared" si="4"/>
        <v>0</v>
      </c>
      <c r="G91" s="134"/>
      <c r="H91" s="135"/>
      <c r="I91" s="136">
        <f t="shared" si="5"/>
        <v>0</v>
      </c>
      <c r="J91" s="134"/>
      <c r="K91" s="135"/>
      <c r="L91" s="136">
        <f t="shared" si="6"/>
        <v>0</v>
      </c>
      <c r="M91" s="284"/>
      <c r="N91" s="285"/>
      <c r="O91" s="136">
        <f t="shared" si="7"/>
        <v>0</v>
      </c>
      <c r="P91" s="85"/>
    </row>
    <row r="92" spans="1:16" ht="24" hidden="1" x14ac:dyDescent="0.25">
      <c r="A92" s="276">
        <v>2220</v>
      </c>
      <c r="B92" s="127" t="s">
        <v>108</v>
      </c>
      <c r="C92" s="128">
        <f t="shared" si="3"/>
        <v>0</v>
      </c>
      <c r="D92" s="277">
        <f>SUM(D93:D97)</f>
        <v>0</v>
      </c>
      <c r="E92" s="278">
        <f>SUM(E93:E97)</f>
        <v>0</v>
      </c>
      <c r="F92" s="279">
        <f t="shared" si="4"/>
        <v>0</v>
      </c>
      <c r="G92" s="277">
        <f>SUM(G93:G97)</f>
        <v>0</v>
      </c>
      <c r="H92" s="280">
        <f>SUM(H93:H97)</f>
        <v>0</v>
      </c>
      <c r="I92" s="136">
        <f t="shared" si="5"/>
        <v>0</v>
      </c>
      <c r="J92" s="277">
        <f>SUM(J93:J97)</f>
        <v>0</v>
      </c>
      <c r="K92" s="280">
        <f>SUM(K93:K97)</f>
        <v>0</v>
      </c>
      <c r="L92" s="136">
        <f t="shared" si="6"/>
        <v>0</v>
      </c>
      <c r="M92" s="281">
        <f>SUM(M93:M97)</f>
        <v>0</v>
      </c>
      <c r="N92" s="282">
        <f>SUM(N93:N97)</f>
        <v>0</v>
      </c>
      <c r="O92" s="136">
        <f t="shared" si="7"/>
        <v>0</v>
      </c>
      <c r="P92" s="85"/>
    </row>
    <row r="93" spans="1:16" hidden="1" x14ac:dyDescent="0.25">
      <c r="A93" s="76">
        <v>2221</v>
      </c>
      <c r="B93" s="127" t="s">
        <v>109</v>
      </c>
      <c r="C93" s="128">
        <f t="shared" si="3"/>
        <v>0</v>
      </c>
      <c r="D93" s="134"/>
      <c r="E93" s="283"/>
      <c r="F93" s="279">
        <f t="shared" si="4"/>
        <v>0</v>
      </c>
      <c r="G93" s="134"/>
      <c r="H93" s="135"/>
      <c r="I93" s="136">
        <f t="shared" si="5"/>
        <v>0</v>
      </c>
      <c r="J93" s="134"/>
      <c r="K93" s="135"/>
      <c r="L93" s="136">
        <f t="shared" si="6"/>
        <v>0</v>
      </c>
      <c r="M93" s="284"/>
      <c r="N93" s="285"/>
      <c r="O93" s="136">
        <f t="shared" si="7"/>
        <v>0</v>
      </c>
      <c r="P93" s="85"/>
    </row>
    <row r="94" spans="1:16" hidden="1" x14ac:dyDescent="0.25">
      <c r="A94" s="76">
        <v>2222</v>
      </c>
      <c r="B94" s="127" t="s">
        <v>110</v>
      </c>
      <c r="C94" s="128">
        <f t="shared" si="3"/>
        <v>0</v>
      </c>
      <c r="D94" s="134"/>
      <c r="E94" s="283"/>
      <c r="F94" s="279">
        <f t="shared" si="4"/>
        <v>0</v>
      </c>
      <c r="G94" s="134"/>
      <c r="H94" s="135"/>
      <c r="I94" s="136">
        <f t="shared" si="5"/>
        <v>0</v>
      </c>
      <c r="J94" s="134"/>
      <c r="K94" s="135"/>
      <c r="L94" s="136">
        <f t="shared" si="6"/>
        <v>0</v>
      </c>
      <c r="M94" s="284"/>
      <c r="N94" s="285"/>
      <c r="O94" s="136">
        <f t="shared" si="7"/>
        <v>0</v>
      </c>
      <c r="P94" s="85"/>
    </row>
    <row r="95" spans="1:16" hidden="1" x14ac:dyDescent="0.25">
      <c r="A95" s="76">
        <v>2223</v>
      </c>
      <c r="B95" s="127" t="s">
        <v>111</v>
      </c>
      <c r="C95" s="128">
        <f t="shared" si="3"/>
        <v>0</v>
      </c>
      <c r="D95" s="134"/>
      <c r="E95" s="283"/>
      <c r="F95" s="279">
        <f t="shared" si="4"/>
        <v>0</v>
      </c>
      <c r="G95" s="134"/>
      <c r="H95" s="135"/>
      <c r="I95" s="136">
        <f t="shared" si="5"/>
        <v>0</v>
      </c>
      <c r="J95" s="134"/>
      <c r="K95" s="135"/>
      <c r="L95" s="136">
        <f t="shared" si="6"/>
        <v>0</v>
      </c>
      <c r="M95" s="284"/>
      <c r="N95" s="285"/>
      <c r="O95" s="136">
        <f t="shared" si="7"/>
        <v>0</v>
      </c>
      <c r="P95" s="85"/>
    </row>
    <row r="96" spans="1:16" ht="48" hidden="1" x14ac:dyDescent="0.25">
      <c r="A96" s="76">
        <v>2224</v>
      </c>
      <c r="B96" s="127" t="s">
        <v>112</v>
      </c>
      <c r="C96" s="128">
        <f t="shared" si="3"/>
        <v>0</v>
      </c>
      <c r="D96" s="134"/>
      <c r="E96" s="283"/>
      <c r="F96" s="279">
        <f t="shared" si="4"/>
        <v>0</v>
      </c>
      <c r="G96" s="134"/>
      <c r="H96" s="135"/>
      <c r="I96" s="136">
        <f t="shared" si="5"/>
        <v>0</v>
      </c>
      <c r="J96" s="134"/>
      <c r="K96" s="135"/>
      <c r="L96" s="136">
        <f t="shared" si="6"/>
        <v>0</v>
      </c>
      <c r="M96" s="284"/>
      <c r="N96" s="285"/>
      <c r="O96" s="136">
        <f t="shared" si="7"/>
        <v>0</v>
      </c>
      <c r="P96" s="85"/>
    </row>
    <row r="97" spans="1:16" ht="24" hidden="1" x14ac:dyDescent="0.25">
      <c r="A97" s="76">
        <v>2229</v>
      </c>
      <c r="B97" s="127" t="s">
        <v>113</v>
      </c>
      <c r="C97" s="128">
        <f t="shared" si="3"/>
        <v>0</v>
      </c>
      <c r="D97" s="134"/>
      <c r="E97" s="283"/>
      <c r="F97" s="279">
        <f t="shared" si="4"/>
        <v>0</v>
      </c>
      <c r="G97" s="134"/>
      <c r="H97" s="135"/>
      <c r="I97" s="136">
        <f t="shared" si="5"/>
        <v>0</v>
      </c>
      <c r="J97" s="134"/>
      <c r="K97" s="135"/>
      <c r="L97" s="136">
        <f t="shared" si="6"/>
        <v>0</v>
      </c>
      <c r="M97" s="284"/>
      <c r="N97" s="285"/>
      <c r="O97" s="136">
        <f t="shared" si="7"/>
        <v>0</v>
      </c>
      <c r="P97" s="85"/>
    </row>
    <row r="98" spans="1:16" ht="36" hidden="1" x14ac:dyDescent="0.25">
      <c r="A98" s="276">
        <v>2230</v>
      </c>
      <c r="B98" s="127" t="s">
        <v>114</v>
      </c>
      <c r="C98" s="128">
        <f t="shared" si="3"/>
        <v>0</v>
      </c>
      <c r="D98" s="277">
        <f>SUM(D99:D105)</f>
        <v>0</v>
      </c>
      <c r="E98" s="278">
        <f>SUM(E99:E105)</f>
        <v>0</v>
      </c>
      <c r="F98" s="279">
        <f t="shared" si="4"/>
        <v>0</v>
      </c>
      <c r="G98" s="277">
        <f>SUM(G99:G105)</f>
        <v>0</v>
      </c>
      <c r="H98" s="280">
        <f>SUM(H99:H105)</f>
        <v>0</v>
      </c>
      <c r="I98" s="136">
        <f t="shared" si="5"/>
        <v>0</v>
      </c>
      <c r="J98" s="277">
        <f>SUM(J99:J105)</f>
        <v>0</v>
      </c>
      <c r="K98" s="280">
        <f>SUM(K99:K105)</f>
        <v>0</v>
      </c>
      <c r="L98" s="136">
        <f t="shared" si="6"/>
        <v>0</v>
      </c>
      <c r="M98" s="281">
        <f>SUM(M99:M105)</f>
        <v>0</v>
      </c>
      <c r="N98" s="282">
        <f>SUM(N99:N105)</f>
        <v>0</v>
      </c>
      <c r="O98" s="136">
        <f t="shared" si="7"/>
        <v>0</v>
      </c>
      <c r="P98" s="85"/>
    </row>
    <row r="99" spans="1:16" ht="24" hidden="1" x14ac:dyDescent="0.25">
      <c r="A99" s="76">
        <v>2231</v>
      </c>
      <c r="B99" s="127" t="s">
        <v>115</v>
      </c>
      <c r="C99" s="128">
        <f t="shared" si="3"/>
        <v>0</v>
      </c>
      <c r="D99" s="134"/>
      <c r="E99" s="283"/>
      <c r="F99" s="279">
        <f t="shared" si="4"/>
        <v>0</v>
      </c>
      <c r="G99" s="134"/>
      <c r="H99" s="135"/>
      <c r="I99" s="136">
        <f t="shared" si="5"/>
        <v>0</v>
      </c>
      <c r="J99" s="134"/>
      <c r="K99" s="135"/>
      <c r="L99" s="136">
        <f t="shared" si="6"/>
        <v>0</v>
      </c>
      <c r="M99" s="284"/>
      <c r="N99" s="285"/>
      <c r="O99" s="136">
        <f t="shared" si="7"/>
        <v>0</v>
      </c>
      <c r="P99" s="85"/>
    </row>
    <row r="100" spans="1:16" ht="36" hidden="1" x14ac:dyDescent="0.25">
      <c r="A100" s="76">
        <v>2232</v>
      </c>
      <c r="B100" s="127" t="s">
        <v>116</v>
      </c>
      <c r="C100" s="128">
        <f t="shared" si="3"/>
        <v>0</v>
      </c>
      <c r="D100" s="134"/>
      <c r="E100" s="283"/>
      <c r="F100" s="279">
        <f t="shared" si="4"/>
        <v>0</v>
      </c>
      <c r="G100" s="134"/>
      <c r="H100" s="135"/>
      <c r="I100" s="136">
        <f t="shared" si="5"/>
        <v>0</v>
      </c>
      <c r="J100" s="134"/>
      <c r="K100" s="135"/>
      <c r="L100" s="136">
        <f t="shared" si="6"/>
        <v>0</v>
      </c>
      <c r="M100" s="284"/>
      <c r="N100" s="285"/>
      <c r="O100" s="136">
        <f t="shared" si="7"/>
        <v>0</v>
      </c>
      <c r="P100" s="85"/>
    </row>
    <row r="101" spans="1:16" ht="24" hidden="1" x14ac:dyDescent="0.25">
      <c r="A101" s="66">
        <v>2233</v>
      </c>
      <c r="B101" s="116" t="s">
        <v>117</v>
      </c>
      <c r="C101" s="128">
        <f t="shared" si="3"/>
        <v>0</v>
      </c>
      <c r="D101" s="123"/>
      <c r="E101" s="295"/>
      <c r="F101" s="296">
        <f t="shared" si="4"/>
        <v>0</v>
      </c>
      <c r="G101" s="123"/>
      <c r="H101" s="124"/>
      <c r="I101" s="125">
        <f t="shared" si="5"/>
        <v>0</v>
      </c>
      <c r="J101" s="123"/>
      <c r="K101" s="124"/>
      <c r="L101" s="125">
        <f t="shared" si="6"/>
        <v>0</v>
      </c>
      <c r="M101" s="264"/>
      <c r="N101" s="262"/>
      <c r="O101" s="125">
        <f t="shared" si="7"/>
        <v>0</v>
      </c>
      <c r="P101" s="74"/>
    </row>
    <row r="102" spans="1:16" ht="36" hidden="1" x14ac:dyDescent="0.25">
      <c r="A102" s="76">
        <v>2234</v>
      </c>
      <c r="B102" s="127" t="s">
        <v>118</v>
      </c>
      <c r="C102" s="128">
        <f t="shared" si="3"/>
        <v>0</v>
      </c>
      <c r="D102" s="134"/>
      <c r="E102" s="283"/>
      <c r="F102" s="279">
        <f t="shared" si="4"/>
        <v>0</v>
      </c>
      <c r="G102" s="134"/>
      <c r="H102" s="135"/>
      <c r="I102" s="136">
        <f t="shared" si="5"/>
        <v>0</v>
      </c>
      <c r="J102" s="134"/>
      <c r="K102" s="135"/>
      <c r="L102" s="136">
        <f t="shared" si="6"/>
        <v>0</v>
      </c>
      <c r="M102" s="284"/>
      <c r="N102" s="285"/>
      <c r="O102" s="136">
        <f t="shared" si="7"/>
        <v>0</v>
      </c>
      <c r="P102" s="85"/>
    </row>
    <row r="103" spans="1:16" ht="24" hidden="1" x14ac:dyDescent="0.25">
      <c r="A103" s="76">
        <v>2235</v>
      </c>
      <c r="B103" s="127" t="s">
        <v>119</v>
      </c>
      <c r="C103" s="128">
        <f t="shared" si="3"/>
        <v>0</v>
      </c>
      <c r="D103" s="134"/>
      <c r="E103" s="283"/>
      <c r="F103" s="279">
        <f t="shared" si="4"/>
        <v>0</v>
      </c>
      <c r="G103" s="134"/>
      <c r="H103" s="135"/>
      <c r="I103" s="136">
        <f t="shared" si="5"/>
        <v>0</v>
      </c>
      <c r="J103" s="134"/>
      <c r="K103" s="135"/>
      <c r="L103" s="136">
        <f t="shared" si="6"/>
        <v>0</v>
      </c>
      <c r="M103" s="284"/>
      <c r="N103" s="285"/>
      <c r="O103" s="136">
        <f t="shared" si="7"/>
        <v>0</v>
      </c>
      <c r="P103" s="85"/>
    </row>
    <row r="104" spans="1:16" hidden="1" x14ac:dyDescent="0.25">
      <c r="A104" s="76">
        <v>2236</v>
      </c>
      <c r="B104" s="127" t="s">
        <v>120</v>
      </c>
      <c r="C104" s="128">
        <f t="shared" si="3"/>
        <v>0</v>
      </c>
      <c r="D104" s="134"/>
      <c r="E104" s="283"/>
      <c r="F104" s="279">
        <f t="shared" si="4"/>
        <v>0</v>
      </c>
      <c r="G104" s="134"/>
      <c r="H104" s="135"/>
      <c r="I104" s="136">
        <f t="shared" si="5"/>
        <v>0</v>
      </c>
      <c r="J104" s="134"/>
      <c r="K104" s="135"/>
      <c r="L104" s="136">
        <f t="shared" si="6"/>
        <v>0</v>
      </c>
      <c r="M104" s="284"/>
      <c r="N104" s="285"/>
      <c r="O104" s="136">
        <f t="shared" si="7"/>
        <v>0</v>
      </c>
      <c r="P104" s="85"/>
    </row>
    <row r="105" spans="1:16" ht="24" hidden="1" x14ac:dyDescent="0.25">
      <c r="A105" s="76">
        <v>2239</v>
      </c>
      <c r="B105" s="127" t="s">
        <v>121</v>
      </c>
      <c r="C105" s="128">
        <f t="shared" si="3"/>
        <v>0</v>
      </c>
      <c r="D105" s="134"/>
      <c r="E105" s="283"/>
      <c r="F105" s="279">
        <f t="shared" si="4"/>
        <v>0</v>
      </c>
      <c r="G105" s="134"/>
      <c r="H105" s="135"/>
      <c r="I105" s="136">
        <f t="shared" si="5"/>
        <v>0</v>
      </c>
      <c r="J105" s="134"/>
      <c r="K105" s="135"/>
      <c r="L105" s="136">
        <f t="shared" si="6"/>
        <v>0</v>
      </c>
      <c r="M105" s="284"/>
      <c r="N105" s="285"/>
      <c r="O105" s="136">
        <f t="shared" si="7"/>
        <v>0</v>
      </c>
      <c r="P105" s="85"/>
    </row>
    <row r="106" spans="1:16" ht="36" hidden="1" x14ac:dyDescent="0.25">
      <c r="A106" s="276">
        <v>2240</v>
      </c>
      <c r="B106" s="127" t="s">
        <v>122</v>
      </c>
      <c r="C106" s="128">
        <f t="shared" si="3"/>
        <v>0</v>
      </c>
      <c r="D106" s="277">
        <f>SUM(D107:D114)</f>
        <v>0</v>
      </c>
      <c r="E106" s="278">
        <f>SUM(E107:E114)</f>
        <v>0</v>
      </c>
      <c r="F106" s="279">
        <f t="shared" si="4"/>
        <v>0</v>
      </c>
      <c r="G106" s="277">
        <f>SUM(G107:G114)</f>
        <v>0</v>
      </c>
      <c r="H106" s="280">
        <f>SUM(H107:H114)</f>
        <v>0</v>
      </c>
      <c r="I106" s="136">
        <f t="shared" si="5"/>
        <v>0</v>
      </c>
      <c r="J106" s="277">
        <f>SUM(J107:J114)</f>
        <v>0</v>
      </c>
      <c r="K106" s="280">
        <f>SUM(K107:K114)</f>
        <v>0</v>
      </c>
      <c r="L106" s="136">
        <f t="shared" si="6"/>
        <v>0</v>
      </c>
      <c r="M106" s="281">
        <f>SUM(M107:M114)</f>
        <v>0</v>
      </c>
      <c r="N106" s="282">
        <f>SUM(N107:N114)</f>
        <v>0</v>
      </c>
      <c r="O106" s="136">
        <f t="shared" si="7"/>
        <v>0</v>
      </c>
      <c r="P106" s="85"/>
    </row>
    <row r="107" spans="1:16" hidden="1" x14ac:dyDescent="0.25">
      <c r="A107" s="76">
        <v>2241</v>
      </c>
      <c r="B107" s="127" t="s">
        <v>123</v>
      </c>
      <c r="C107" s="128">
        <f t="shared" si="3"/>
        <v>0</v>
      </c>
      <c r="D107" s="134"/>
      <c r="E107" s="283"/>
      <c r="F107" s="279">
        <f t="shared" si="4"/>
        <v>0</v>
      </c>
      <c r="G107" s="134"/>
      <c r="H107" s="135"/>
      <c r="I107" s="136">
        <f t="shared" si="5"/>
        <v>0</v>
      </c>
      <c r="J107" s="134"/>
      <c r="K107" s="135"/>
      <c r="L107" s="136">
        <f t="shared" si="6"/>
        <v>0</v>
      </c>
      <c r="M107" s="284"/>
      <c r="N107" s="285"/>
      <c r="O107" s="136">
        <f t="shared" si="7"/>
        <v>0</v>
      </c>
      <c r="P107" s="85"/>
    </row>
    <row r="108" spans="1:16" ht="24" hidden="1" x14ac:dyDescent="0.25">
      <c r="A108" s="76">
        <v>2242</v>
      </c>
      <c r="B108" s="127" t="s">
        <v>124</v>
      </c>
      <c r="C108" s="128">
        <f t="shared" si="3"/>
        <v>0</v>
      </c>
      <c r="D108" s="134"/>
      <c r="E108" s="283"/>
      <c r="F108" s="279">
        <f t="shared" si="4"/>
        <v>0</v>
      </c>
      <c r="G108" s="134"/>
      <c r="H108" s="135"/>
      <c r="I108" s="136">
        <f t="shared" si="5"/>
        <v>0</v>
      </c>
      <c r="J108" s="134"/>
      <c r="K108" s="135"/>
      <c r="L108" s="136">
        <f t="shared" si="6"/>
        <v>0</v>
      </c>
      <c r="M108" s="284"/>
      <c r="N108" s="285"/>
      <c r="O108" s="136">
        <f t="shared" si="7"/>
        <v>0</v>
      </c>
      <c r="P108" s="85"/>
    </row>
    <row r="109" spans="1:16" ht="24" hidden="1" x14ac:dyDescent="0.25">
      <c r="A109" s="76">
        <v>2243</v>
      </c>
      <c r="B109" s="127" t="s">
        <v>125</v>
      </c>
      <c r="C109" s="128">
        <f t="shared" si="3"/>
        <v>0</v>
      </c>
      <c r="D109" s="134"/>
      <c r="E109" s="283"/>
      <c r="F109" s="279">
        <f t="shared" si="4"/>
        <v>0</v>
      </c>
      <c r="G109" s="134"/>
      <c r="H109" s="135"/>
      <c r="I109" s="136">
        <f t="shared" si="5"/>
        <v>0</v>
      </c>
      <c r="J109" s="134"/>
      <c r="K109" s="135"/>
      <c r="L109" s="136">
        <f t="shared" si="6"/>
        <v>0</v>
      </c>
      <c r="M109" s="284"/>
      <c r="N109" s="285"/>
      <c r="O109" s="136">
        <f t="shared" si="7"/>
        <v>0</v>
      </c>
      <c r="P109" s="85"/>
    </row>
    <row r="110" spans="1:16" hidden="1" x14ac:dyDescent="0.25">
      <c r="A110" s="76">
        <v>2244</v>
      </c>
      <c r="B110" s="127" t="s">
        <v>126</v>
      </c>
      <c r="C110" s="128">
        <f t="shared" si="3"/>
        <v>0</v>
      </c>
      <c r="D110" s="134"/>
      <c r="E110" s="283"/>
      <c r="F110" s="279">
        <f t="shared" si="4"/>
        <v>0</v>
      </c>
      <c r="G110" s="134"/>
      <c r="H110" s="135"/>
      <c r="I110" s="136">
        <f t="shared" si="5"/>
        <v>0</v>
      </c>
      <c r="J110" s="134"/>
      <c r="K110" s="135"/>
      <c r="L110" s="136">
        <f t="shared" si="6"/>
        <v>0</v>
      </c>
      <c r="M110" s="284"/>
      <c r="N110" s="285"/>
      <c r="O110" s="136">
        <f t="shared" si="7"/>
        <v>0</v>
      </c>
      <c r="P110" s="85"/>
    </row>
    <row r="111" spans="1:16" ht="24" hidden="1" x14ac:dyDescent="0.25">
      <c r="A111" s="76">
        <v>2246</v>
      </c>
      <c r="B111" s="127" t="s">
        <v>127</v>
      </c>
      <c r="C111" s="128">
        <f t="shared" si="3"/>
        <v>0</v>
      </c>
      <c r="D111" s="134"/>
      <c r="E111" s="283"/>
      <c r="F111" s="279">
        <f t="shared" si="4"/>
        <v>0</v>
      </c>
      <c r="G111" s="134"/>
      <c r="H111" s="135"/>
      <c r="I111" s="136">
        <f t="shared" si="5"/>
        <v>0</v>
      </c>
      <c r="J111" s="134"/>
      <c r="K111" s="135"/>
      <c r="L111" s="136">
        <f t="shared" si="6"/>
        <v>0</v>
      </c>
      <c r="M111" s="284"/>
      <c r="N111" s="285"/>
      <c r="O111" s="136">
        <f t="shared" si="7"/>
        <v>0</v>
      </c>
      <c r="P111" s="85"/>
    </row>
    <row r="112" spans="1:16" hidden="1" x14ac:dyDescent="0.25">
      <c r="A112" s="76">
        <v>2247</v>
      </c>
      <c r="B112" s="127" t="s">
        <v>128</v>
      </c>
      <c r="C112" s="128">
        <f t="shared" si="3"/>
        <v>0</v>
      </c>
      <c r="D112" s="134"/>
      <c r="E112" s="283"/>
      <c r="F112" s="279">
        <f t="shared" si="4"/>
        <v>0</v>
      </c>
      <c r="G112" s="134"/>
      <c r="H112" s="135"/>
      <c r="I112" s="136">
        <f t="shared" si="5"/>
        <v>0</v>
      </c>
      <c r="J112" s="134"/>
      <c r="K112" s="135"/>
      <c r="L112" s="136">
        <f t="shared" si="6"/>
        <v>0</v>
      </c>
      <c r="M112" s="284"/>
      <c r="N112" s="285"/>
      <c r="O112" s="136">
        <f t="shared" si="7"/>
        <v>0</v>
      </c>
      <c r="P112" s="85"/>
    </row>
    <row r="113" spans="1:16" ht="24" hidden="1" x14ac:dyDescent="0.25">
      <c r="A113" s="76">
        <v>2248</v>
      </c>
      <c r="B113" s="127" t="s">
        <v>129</v>
      </c>
      <c r="C113" s="128">
        <f t="shared" si="3"/>
        <v>0</v>
      </c>
      <c r="D113" s="134"/>
      <c r="E113" s="283"/>
      <c r="F113" s="279">
        <f t="shared" si="4"/>
        <v>0</v>
      </c>
      <c r="G113" s="134"/>
      <c r="H113" s="135"/>
      <c r="I113" s="136">
        <f t="shared" si="5"/>
        <v>0</v>
      </c>
      <c r="J113" s="134"/>
      <c r="K113" s="135"/>
      <c r="L113" s="136">
        <f t="shared" si="6"/>
        <v>0</v>
      </c>
      <c r="M113" s="284"/>
      <c r="N113" s="285"/>
      <c r="O113" s="136">
        <f t="shared" si="7"/>
        <v>0</v>
      </c>
      <c r="P113" s="85"/>
    </row>
    <row r="114" spans="1:16" ht="24" hidden="1" x14ac:dyDescent="0.25">
      <c r="A114" s="76">
        <v>2249</v>
      </c>
      <c r="B114" s="127" t="s">
        <v>130</v>
      </c>
      <c r="C114" s="128">
        <f t="shared" si="3"/>
        <v>0</v>
      </c>
      <c r="D114" s="134"/>
      <c r="E114" s="283"/>
      <c r="F114" s="279">
        <f t="shared" si="4"/>
        <v>0</v>
      </c>
      <c r="G114" s="134"/>
      <c r="H114" s="135"/>
      <c r="I114" s="136">
        <f t="shared" si="5"/>
        <v>0</v>
      </c>
      <c r="J114" s="134"/>
      <c r="K114" s="135"/>
      <c r="L114" s="136">
        <f t="shared" si="6"/>
        <v>0</v>
      </c>
      <c r="M114" s="284"/>
      <c r="N114" s="285"/>
      <c r="O114" s="136">
        <f t="shared" si="7"/>
        <v>0</v>
      </c>
      <c r="P114" s="85"/>
    </row>
    <row r="115" spans="1:16" hidden="1" x14ac:dyDescent="0.25">
      <c r="A115" s="276">
        <v>2250</v>
      </c>
      <c r="B115" s="127" t="s">
        <v>131</v>
      </c>
      <c r="C115" s="128">
        <f t="shared" si="3"/>
        <v>0</v>
      </c>
      <c r="D115" s="277">
        <f>SUM(D116:D118)</f>
        <v>0</v>
      </c>
      <c r="E115" s="278">
        <f>SUM(E116:E118)</f>
        <v>0</v>
      </c>
      <c r="F115" s="279">
        <f t="shared" si="4"/>
        <v>0</v>
      </c>
      <c r="G115" s="277">
        <f>SUM(G116:G118)</f>
        <v>0</v>
      </c>
      <c r="H115" s="280">
        <f>SUM(H116:H118)</f>
        <v>0</v>
      </c>
      <c r="I115" s="136">
        <f t="shared" si="5"/>
        <v>0</v>
      </c>
      <c r="J115" s="277">
        <f>SUM(J116:J118)</f>
        <v>0</v>
      </c>
      <c r="K115" s="280">
        <f>SUM(K116:K118)</f>
        <v>0</v>
      </c>
      <c r="L115" s="136">
        <f t="shared" si="6"/>
        <v>0</v>
      </c>
      <c r="M115" s="281">
        <f>SUM(M116:M118)</f>
        <v>0</v>
      </c>
      <c r="N115" s="282">
        <f>SUM(N116:N118)</f>
        <v>0</v>
      </c>
      <c r="O115" s="136">
        <f t="shared" si="7"/>
        <v>0</v>
      </c>
      <c r="P115" s="85"/>
    </row>
    <row r="116" spans="1:16" hidden="1" x14ac:dyDescent="0.25">
      <c r="A116" s="76">
        <v>2251</v>
      </c>
      <c r="B116" s="127" t="s">
        <v>132</v>
      </c>
      <c r="C116" s="128">
        <f t="shared" si="3"/>
        <v>0</v>
      </c>
      <c r="D116" s="134"/>
      <c r="E116" s="283"/>
      <c r="F116" s="279">
        <f t="shared" si="4"/>
        <v>0</v>
      </c>
      <c r="G116" s="134"/>
      <c r="H116" s="135"/>
      <c r="I116" s="136">
        <f t="shared" si="5"/>
        <v>0</v>
      </c>
      <c r="J116" s="134"/>
      <c r="K116" s="135"/>
      <c r="L116" s="136">
        <f t="shared" si="6"/>
        <v>0</v>
      </c>
      <c r="M116" s="284"/>
      <c r="N116" s="285"/>
      <c r="O116" s="136">
        <f t="shared" si="7"/>
        <v>0</v>
      </c>
      <c r="P116" s="85"/>
    </row>
    <row r="117" spans="1:16" ht="24" hidden="1" x14ac:dyDescent="0.25">
      <c r="A117" s="76">
        <v>2252</v>
      </c>
      <c r="B117" s="127" t="s">
        <v>133</v>
      </c>
      <c r="C117" s="128">
        <f t="shared" ref="C117:C180" si="8">F117+I117+L117+O117</f>
        <v>0</v>
      </c>
      <c r="D117" s="134"/>
      <c r="E117" s="283"/>
      <c r="F117" s="279">
        <f t="shared" ref="F117:F180" si="9">D117+E117</f>
        <v>0</v>
      </c>
      <c r="G117" s="134"/>
      <c r="H117" s="135"/>
      <c r="I117" s="136">
        <f t="shared" ref="I117:I180" si="10">G117+H117</f>
        <v>0</v>
      </c>
      <c r="J117" s="134"/>
      <c r="K117" s="135"/>
      <c r="L117" s="136">
        <f t="shared" ref="L117:L180" si="11">J117+K117</f>
        <v>0</v>
      </c>
      <c r="M117" s="284"/>
      <c r="N117" s="285"/>
      <c r="O117" s="136">
        <f t="shared" ref="O117:O180" si="12">M117+N117</f>
        <v>0</v>
      </c>
      <c r="P117" s="85"/>
    </row>
    <row r="118" spans="1:16" ht="24" hidden="1" x14ac:dyDescent="0.25">
      <c r="A118" s="76">
        <v>2259</v>
      </c>
      <c r="B118" s="127" t="s">
        <v>134</v>
      </c>
      <c r="C118" s="128">
        <f t="shared" si="8"/>
        <v>0</v>
      </c>
      <c r="D118" s="134"/>
      <c r="E118" s="283"/>
      <c r="F118" s="279">
        <f t="shared" si="9"/>
        <v>0</v>
      </c>
      <c r="G118" s="134"/>
      <c r="H118" s="135"/>
      <c r="I118" s="136">
        <f t="shared" si="10"/>
        <v>0</v>
      </c>
      <c r="J118" s="134"/>
      <c r="K118" s="135"/>
      <c r="L118" s="136">
        <f t="shared" si="11"/>
        <v>0</v>
      </c>
      <c r="M118" s="284"/>
      <c r="N118" s="285"/>
      <c r="O118" s="136">
        <f t="shared" si="12"/>
        <v>0</v>
      </c>
      <c r="P118" s="85"/>
    </row>
    <row r="119" spans="1:16" hidden="1" x14ac:dyDescent="0.25">
      <c r="A119" s="276">
        <v>2260</v>
      </c>
      <c r="B119" s="127" t="s">
        <v>135</v>
      </c>
      <c r="C119" s="128">
        <f t="shared" si="8"/>
        <v>0</v>
      </c>
      <c r="D119" s="277">
        <f>SUM(D120:D124)</f>
        <v>0</v>
      </c>
      <c r="E119" s="278">
        <f>SUM(E120:E124)</f>
        <v>0</v>
      </c>
      <c r="F119" s="279">
        <f t="shared" si="9"/>
        <v>0</v>
      </c>
      <c r="G119" s="277">
        <f>SUM(G120:G124)</f>
        <v>0</v>
      </c>
      <c r="H119" s="280">
        <f>SUM(H120:H124)</f>
        <v>0</v>
      </c>
      <c r="I119" s="136">
        <f t="shared" si="10"/>
        <v>0</v>
      </c>
      <c r="J119" s="277">
        <f>SUM(J120:J124)</f>
        <v>0</v>
      </c>
      <c r="K119" s="280">
        <f>SUM(K120:K124)</f>
        <v>0</v>
      </c>
      <c r="L119" s="136">
        <f t="shared" si="11"/>
        <v>0</v>
      </c>
      <c r="M119" s="281">
        <f>SUM(M120:M124)</f>
        <v>0</v>
      </c>
      <c r="N119" s="282">
        <f>SUM(N120:N124)</f>
        <v>0</v>
      </c>
      <c r="O119" s="136">
        <f t="shared" si="12"/>
        <v>0</v>
      </c>
      <c r="P119" s="85"/>
    </row>
    <row r="120" spans="1:16" hidden="1" x14ac:dyDescent="0.25">
      <c r="A120" s="76">
        <v>2261</v>
      </c>
      <c r="B120" s="127" t="s">
        <v>136</v>
      </c>
      <c r="C120" s="128">
        <f t="shared" si="8"/>
        <v>0</v>
      </c>
      <c r="D120" s="134"/>
      <c r="E120" s="283"/>
      <c r="F120" s="279">
        <f t="shared" si="9"/>
        <v>0</v>
      </c>
      <c r="G120" s="134"/>
      <c r="H120" s="135"/>
      <c r="I120" s="136">
        <f t="shared" si="10"/>
        <v>0</v>
      </c>
      <c r="J120" s="134"/>
      <c r="K120" s="135"/>
      <c r="L120" s="136">
        <f t="shared" si="11"/>
        <v>0</v>
      </c>
      <c r="M120" s="284"/>
      <c r="N120" s="285"/>
      <c r="O120" s="136">
        <f t="shared" si="12"/>
        <v>0</v>
      </c>
      <c r="P120" s="85"/>
    </row>
    <row r="121" spans="1:16" hidden="1" x14ac:dyDescent="0.25">
      <c r="A121" s="76">
        <v>2262</v>
      </c>
      <c r="B121" s="127" t="s">
        <v>137</v>
      </c>
      <c r="C121" s="128">
        <f t="shared" si="8"/>
        <v>0</v>
      </c>
      <c r="D121" s="134"/>
      <c r="E121" s="283"/>
      <c r="F121" s="279">
        <f t="shared" si="9"/>
        <v>0</v>
      </c>
      <c r="G121" s="134"/>
      <c r="H121" s="135"/>
      <c r="I121" s="136">
        <f t="shared" si="10"/>
        <v>0</v>
      </c>
      <c r="J121" s="134"/>
      <c r="K121" s="135"/>
      <c r="L121" s="136">
        <f t="shared" si="11"/>
        <v>0</v>
      </c>
      <c r="M121" s="284"/>
      <c r="N121" s="285"/>
      <c r="O121" s="136">
        <f t="shared" si="12"/>
        <v>0</v>
      </c>
      <c r="P121" s="85"/>
    </row>
    <row r="122" spans="1:16" hidden="1" x14ac:dyDescent="0.25">
      <c r="A122" s="76">
        <v>2263</v>
      </c>
      <c r="B122" s="127" t="s">
        <v>138</v>
      </c>
      <c r="C122" s="128">
        <f t="shared" si="8"/>
        <v>0</v>
      </c>
      <c r="D122" s="134"/>
      <c r="E122" s="283"/>
      <c r="F122" s="279">
        <f t="shared" si="9"/>
        <v>0</v>
      </c>
      <c r="G122" s="134"/>
      <c r="H122" s="135"/>
      <c r="I122" s="136">
        <f t="shared" si="10"/>
        <v>0</v>
      </c>
      <c r="J122" s="134"/>
      <c r="K122" s="135"/>
      <c r="L122" s="136">
        <f t="shared" si="11"/>
        <v>0</v>
      </c>
      <c r="M122" s="284"/>
      <c r="N122" s="285"/>
      <c r="O122" s="136">
        <f t="shared" si="12"/>
        <v>0</v>
      </c>
      <c r="P122" s="85"/>
    </row>
    <row r="123" spans="1:16" ht="24" hidden="1" x14ac:dyDescent="0.25">
      <c r="A123" s="76">
        <v>2264</v>
      </c>
      <c r="B123" s="127" t="s">
        <v>139</v>
      </c>
      <c r="C123" s="128">
        <f t="shared" si="8"/>
        <v>0</v>
      </c>
      <c r="D123" s="134"/>
      <c r="E123" s="283"/>
      <c r="F123" s="279">
        <f t="shared" si="9"/>
        <v>0</v>
      </c>
      <c r="G123" s="134"/>
      <c r="H123" s="135"/>
      <c r="I123" s="136">
        <f t="shared" si="10"/>
        <v>0</v>
      </c>
      <c r="J123" s="134"/>
      <c r="K123" s="135"/>
      <c r="L123" s="136">
        <f t="shared" si="11"/>
        <v>0</v>
      </c>
      <c r="M123" s="284"/>
      <c r="N123" s="285"/>
      <c r="O123" s="136">
        <f t="shared" si="12"/>
        <v>0</v>
      </c>
      <c r="P123" s="85"/>
    </row>
    <row r="124" spans="1:16" hidden="1" x14ac:dyDescent="0.25">
      <c r="A124" s="76">
        <v>2269</v>
      </c>
      <c r="B124" s="127" t="s">
        <v>140</v>
      </c>
      <c r="C124" s="128">
        <f t="shared" si="8"/>
        <v>0</v>
      </c>
      <c r="D124" s="134"/>
      <c r="E124" s="283"/>
      <c r="F124" s="279">
        <f t="shared" si="9"/>
        <v>0</v>
      </c>
      <c r="G124" s="134"/>
      <c r="H124" s="135"/>
      <c r="I124" s="136">
        <f t="shared" si="10"/>
        <v>0</v>
      </c>
      <c r="J124" s="134"/>
      <c r="K124" s="135"/>
      <c r="L124" s="136">
        <f t="shared" si="11"/>
        <v>0</v>
      </c>
      <c r="M124" s="284"/>
      <c r="N124" s="285"/>
      <c r="O124" s="136">
        <f t="shared" si="12"/>
        <v>0</v>
      </c>
      <c r="P124" s="85"/>
    </row>
    <row r="125" spans="1:16" hidden="1" x14ac:dyDescent="0.25">
      <c r="A125" s="276">
        <v>2270</v>
      </c>
      <c r="B125" s="127" t="s">
        <v>141</v>
      </c>
      <c r="C125" s="128">
        <f t="shared" si="8"/>
        <v>0</v>
      </c>
      <c r="D125" s="277">
        <f>SUM(D126:D130)</f>
        <v>0</v>
      </c>
      <c r="E125" s="278">
        <f>SUM(E126:E130)</f>
        <v>0</v>
      </c>
      <c r="F125" s="279">
        <f t="shared" si="9"/>
        <v>0</v>
      </c>
      <c r="G125" s="277">
        <f>SUM(G126:G130)</f>
        <v>0</v>
      </c>
      <c r="H125" s="280">
        <f>SUM(H126:H130)</f>
        <v>0</v>
      </c>
      <c r="I125" s="136">
        <f t="shared" si="10"/>
        <v>0</v>
      </c>
      <c r="J125" s="277">
        <f>SUM(J126:J130)</f>
        <v>0</v>
      </c>
      <c r="K125" s="280">
        <f>SUM(K126:K130)</f>
        <v>0</v>
      </c>
      <c r="L125" s="136">
        <f t="shared" si="11"/>
        <v>0</v>
      </c>
      <c r="M125" s="281">
        <f>SUM(M126:M130)</f>
        <v>0</v>
      </c>
      <c r="N125" s="282">
        <f>SUM(N126:N130)</f>
        <v>0</v>
      </c>
      <c r="O125" s="136">
        <f t="shared" si="12"/>
        <v>0</v>
      </c>
      <c r="P125" s="85"/>
    </row>
    <row r="126" spans="1:16" hidden="1" x14ac:dyDescent="0.25">
      <c r="A126" s="76">
        <v>2272</v>
      </c>
      <c r="B126" s="5" t="s">
        <v>142</v>
      </c>
      <c r="C126" s="128">
        <f t="shared" si="8"/>
        <v>0</v>
      </c>
      <c r="D126" s="134"/>
      <c r="E126" s="283"/>
      <c r="F126" s="279">
        <f t="shared" si="9"/>
        <v>0</v>
      </c>
      <c r="G126" s="134"/>
      <c r="H126" s="135"/>
      <c r="I126" s="136">
        <f t="shared" si="10"/>
        <v>0</v>
      </c>
      <c r="J126" s="134"/>
      <c r="K126" s="135"/>
      <c r="L126" s="136">
        <f t="shared" si="11"/>
        <v>0</v>
      </c>
      <c r="M126" s="284"/>
      <c r="N126" s="285"/>
      <c r="O126" s="136">
        <f t="shared" si="12"/>
        <v>0</v>
      </c>
      <c r="P126" s="85"/>
    </row>
    <row r="127" spans="1:16" ht="24" hidden="1" x14ac:dyDescent="0.25">
      <c r="A127" s="76">
        <v>2275</v>
      </c>
      <c r="B127" s="127" t="s">
        <v>143</v>
      </c>
      <c r="C127" s="128">
        <f t="shared" si="8"/>
        <v>0</v>
      </c>
      <c r="D127" s="134"/>
      <c r="E127" s="283"/>
      <c r="F127" s="279">
        <f t="shared" si="9"/>
        <v>0</v>
      </c>
      <c r="G127" s="134"/>
      <c r="H127" s="135"/>
      <c r="I127" s="136">
        <f t="shared" si="10"/>
        <v>0</v>
      </c>
      <c r="J127" s="134"/>
      <c r="K127" s="135"/>
      <c r="L127" s="136">
        <f t="shared" si="11"/>
        <v>0</v>
      </c>
      <c r="M127" s="284"/>
      <c r="N127" s="285"/>
      <c r="O127" s="136">
        <f t="shared" si="12"/>
        <v>0</v>
      </c>
      <c r="P127" s="85"/>
    </row>
    <row r="128" spans="1:16" ht="36" hidden="1" x14ac:dyDescent="0.25">
      <c r="A128" s="76">
        <v>2276</v>
      </c>
      <c r="B128" s="127" t="s">
        <v>144</v>
      </c>
      <c r="C128" s="128">
        <f t="shared" si="8"/>
        <v>0</v>
      </c>
      <c r="D128" s="134"/>
      <c r="E128" s="283"/>
      <c r="F128" s="279">
        <f t="shared" si="9"/>
        <v>0</v>
      </c>
      <c r="G128" s="134"/>
      <c r="H128" s="135"/>
      <c r="I128" s="136">
        <f t="shared" si="10"/>
        <v>0</v>
      </c>
      <c r="J128" s="134"/>
      <c r="K128" s="135"/>
      <c r="L128" s="136">
        <f t="shared" si="11"/>
        <v>0</v>
      </c>
      <c r="M128" s="284"/>
      <c r="N128" s="285"/>
      <c r="O128" s="136">
        <f t="shared" si="12"/>
        <v>0</v>
      </c>
      <c r="P128" s="85"/>
    </row>
    <row r="129" spans="1:16" ht="24" hidden="1" x14ac:dyDescent="0.25">
      <c r="A129" s="76">
        <v>2278</v>
      </c>
      <c r="B129" s="127" t="s">
        <v>145</v>
      </c>
      <c r="C129" s="128">
        <f t="shared" si="8"/>
        <v>0</v>
      </c>
      <c r="D129" s="134"/>
      <c r="E129" s="283"/>
      <c r="F129" s="279">
        <f t="shared" si="9"/>
        <v>0</v>
      </c>
      <c r="G129" s="134"/>
      <c r="H129" s="135"/>
      <c r="I129" s="136">
        <f t="shared" si="10"/>
        <v>0</v>
      </c>
      <c r="J129" s="134"/>
      <c r="K129" s="135"/>
      <c r="L129" s="136">
        <f t="shared" si="11"/>
        <v>0</v>
      </c>
      <c r="M129" s="284"/>
      <c r="N129" s="285"/>
      <c r="O129" s="136">
        <f t="shared" si="12"/>
        <v>0</v>
      </c>
      <c r="P129" s="85"/>
    </row>
    <row r="130" spans="1:16" ht="24" hidden="1" x14ac:dyDescent="0.25">
      <c r="A130" s="76">
        <v>2279</v>
      </c>
      <c r="B130" s="127" t="s">
        <v>146</v>
      </c>
      <c r="C130" s="128">
        <f t="shared" si="8"/>
        <v>0</v>
      </c>
      <c r="D130" s="134"/>
      <c r="E130" s="283"/>
      <c r="F130" s="279">
        <f t="shared" si="9"/>
        <v>0</v>
      </c>
      <c r="G130" s="134"/>
      <c r="H130" s="135"/>
      <c r="I130" s="136">
        <f t="shared" si="10"/>
        <v>0</v>
      </c>
      <c r="J130" s="134"/>
      <c r="K130" s="135"/>
      <c r="L130" s="136">
        <f t="shared" si="11"/>
        <v>0</v>
      </c>
      <c r="M130" s="284"/>
      <c r="N130" s="285"/>
      <c r="O130" s="136">
        <f t="shared" si="12"/>
        <v>0</v>
      </c>
      <c r="P130" s="85"/>
    </row>
    <row r="131" spans="1:16" ht="24" hidden="1" x14ac:dyDescent="0.25">
      <c r="A131" s="1036">
        <v>2280</v>
      </c>
      <c r="B131" s="116" t="s">
        <v>147</v>
      </c>
      <c r="C131" s="128">
        <f t="shared" si="8"/>
        <v>0</v>
      </c>
      <c r="D131" s="297">
        <f>SUM(D132)</f>
        <v>0</v>
      </c>
      <c r="E131" s="298">
        <f>SUM(E132)</f>
        <v>0</v>
      </c>
      <c r="F131" s="296">
        <f t="shared" si="9"/>
        <v>0</v>
      </c>
      <c r="G131" s="297">
        <f>SUM(G132)</f>
        <v>0</v>
      </c>
      <c r="H131" s="299">
        <f>SUM(H132)</f>
        <v>0</v>
      </c>
      <c r="I131" s="125">
        <f t="shared" si="10"/>
        <v>0</v>
      </c>
      <c r="J131" s="297">
        <f>SUM(J132)</f>
        <v>0</v>
      </c>
      <c r="K131" s="299">
        <f>SUM(K132)</f>
        <v>0</v>
      </c>
      <c r="L131" s="125">
        <f t="shared" si="11"/>
        <v>0</v>
      </c>
      <c r="M131" s="281">
        <f>SUM(M132)</f>
        <v>0</v>
      </c>
      <c r="N131" s="282">
        <f>SUM(N132)</f>
        <v>0</v>
      </c>
      <c r="O131" s="136">
        <f t="shared" si="12"/>
        <v>0</v>
      </c>
      <c r="P131" s="85"/>
    </row>
    <row r="132" spans="1:16" ht="24" hidden="1" x14ac:dyDescent="0.25">
      <c r="A132" s="76">
        <v>2283</v>
      </c>
      <c r="B132" s="127" t="s">
        <v>148</v>
      </c>
      <c r="C132" s="128">
        <f t="shared" si="8"/>
        <v>0</v>
      </c>
      <c r="D132" s="134"/>
      <c r="E132" s="283"/>
      <c r="F132" s="279">
        <f t="shared" si="9"/>
        <v>0</v>
      </c>
      <c r="G132" s="134"/>
      <c r="H132" s="135"/>
      <c r="I132" s="136">
        <f t="shared" si="10"/>
        <v>0</v>
      </c>
      <c r="J132" s="134"/>
      <c r="K132" s="135"/>
      <c r="L132" s="136">
        <f t="shared" si="11"/>
        <v>0</v>
      </c>
      <c r="M132" s="284"/>
      <c r="N132" s="285"/>
      <c r="O132" s="136">
        <f t="shared" si="12"/>
        <v>0</v>
      </c>
      <c r="P132" s="85"/>
    </row>
    <row r="133" spans="1:16" ht="36" hidden="1" x14ac:dyDescent="0.25">
      <c r="A133" s="99">
        <v>2300</v>
      </c>
      <c r="B133" s="247" t="s">
        <v>149</v>
      </c>
      <c r="C133" s="100">
        <f t="shared" si="8"/>
        <v>0</v>
      </c>
      <c r="D133" s="112">
        <f>SUM(D134,D139,D143,D144,D147,D154,D162,D163,D166)</f>
        <v>0</v>
      </c>
      <c r="E133" s="248">
        <f>SUM(E134,E139,E143,E144,E147,E154,E162,E163,E166)</f>
        <v>0</v>
      </c>
      <c r="F133" s="249">
        <f t="shared" si="9"/>
        <v>0</v>
      </c>
      <c r="G133" s="112">
        <f>SUM(G134,G139,G143,G144,G147,G154,G162,G163,G166)</f>
        <v>0</v>
      </c>
      <c r="H133" s="113">
        <f>SUM(H134,H139,H143,H144,H147,H154,H162,H163,H166)</f>
        <v>0</v>
      </c>
      <c r="I133" s="114">
        <f t="shared" si="10"/>
        <v>0</v>
      </c>
      <c r="J133" s="112">
        <f>SUM(J134,J139,J143,J144,J147,J154,J162,J163,J166)</f>
        <v>0</v>
      </c>
      <c r="K133" s="113">
        <f>SUM(K134,K139,K143,K144,K147,K154,K162,K163,K166)</f>
        <v>0</v>
      </c>
      <c r="L133" s="114">
        <f t="shared" si="11"/>
        <v>0</v>
      </c>
      <c r="M133" s="292">
        <f>SUM(M134,M139,M143,M144,M147,M154,M162,M163,M166)</f>
        <v>0</v>
      </c>
      <c r="N133" s="293">
        <f>SUM(N134,N139,N143,N144,N147,N154,N162,N163,N166)</f>
        <v>0</v>
      </c>
      <c r="O133" s="114">
        <f t="shared" si="12"/>
        <v>0</v>
      </c>
      <c r="P133" s="109"/>
    </row>
    <row r="134" spans="1:16" ht="24" hidden="1" x14ac:dyDescent="0.25">
      <c r="A134" s="1036">
        <v>2310</v>
      </c>
      <c r="B134" s="116" t="s">
        <v>150</v>
      </c>
      <c r="C134" s="117">
        <f t="shared" si="8"/>
        <v>0</v>
      </c>
      <c r="D134" s="308">
        <f>SUM(D135:D138)</f>
        <v>0</v>
      </c>
      <c r="E134" s="300">
        <f>SUM(E135:E138)</f>
        <v>0</v>
      </c>
      <c r="F134" s="296">
        <f t="shared" si="9"/>
        <v>0</v>
      </c>
      <c r="G134" s="297">
        <f>SUM(G135:G138)</f>
        <v>0</v>
      </c>
      <c r="H134" s="299">
        <f>SUM(H135:H138)</f>
        <v>0</v>
      </c>
      <c r="I134" s="125">
        <f t="shared" si="10"/>
        <v>0</v>
      </c>
      <c r="J134" s="297">
        <f>SUM(J135:J138)</f>
        <v>0</v>
      </c>
      <c r="K134" s="299">
        <f>SUM(K135:K138)</f>
        <v>0</v>
      </c>
      <c r="L134" s="125">
        <f t="shared" si="11"/>
        <v>0</v>
      </c>
      <c r="M134" s="300">
        <f>SUM(M135:M138)</f>
        <v>0</v>
      </c>
      <c r="N134" s="301">
        <f>SUM(N135:N138)</f>
        <v>0</v>
      </c>
      <c r="O134" s="125">
        <f t="shared" si="12"/>
        <v>0</v>
      </c>
      <c r="P134" s="74"/>
    </row>
    <row r="135" spans="1:16" hidden="1" x14ac:dyDescent="0.25">
      <c r="A135" s="76">
        <v>2311</v>
      </c>
      <c r="B135" s="127" t="s">
        <v>151</v>
      </c>
      <c r="C135" s="128">
        <f t="shared" si="8"/>
        <v>0</v>
      </c>
      <c r="D135" s="134"/>
      <c r="E135" s="283"/>
      <c r="F135" s="279">
        <f t="shared" si="9"/>
        <v>0</v>
      </c>
      <c r="G135" s="134"/>
      <c r="H135" s="135"/>
      <c r="I135" s="136">
        <f t="shared" si="10"/>
        <v>0</v>
      </c>
      <c r="J135" s="134"/>
      <c r="K135" s="135"/>
      <c r="L135" s="136">
        <f t="shared" si="11"/>
        <v>0</v>
      </c>
      <c r="M135" s="284"/>
      <c r="N135" s="285"/>
      <c r="O135" s="136">
        <f t="shared" si="12"/>
        <v>0</v>
      </c>
      <c r="P135" s="85"/>
    </row>
    <row r="136" spans="1:16" hidden="1" x14ac:dyDescent="0.25">
      <c r="A136" s="76">
        <v>2312</v>
      </c>
      <c r="B136" s="127" t="s">
        <v>152</v>
      </c>
      <c r="C136" s="128">
        <f t="shared" si="8"/>
        <v>0</v>
      </c>
      <c r="D136" s="134"/>
      <c r="E136" s="283"/>
      <c r="F136" s="279">
        <f t="shared" si="9"/>
        <v>0</v>
      </c>
      <c r="G136" s="134"/>
      <c r="H136" s="135"/>
      <c r="I136" s="136">
        <f t="shared" si="10"/>
        <v>0</v>
      </c>
      <c r="J136" s="134"/>
      <c r="K136" s="135"/>
      <c r="L136" s="136">
        <f t="shared" si="11"/>
        <v>0</v>
      </c>
      <c r="M136" s="284"/>
      <c r="N136" s="285"/>
      <c r="O136" s="136">
        <f t="shared" si="12"/>
        <v>0</v>
      </c>
      <c r="P136" s="85"/>
    </row>
    <row r="137" spans="1:16" hidden="1" x14ac:dyDescent="0.25">
      <c r="A137" s="76">
        <v>2313</v>
      </c>
      <c r="B137" s="127" t="s">
        <v>153</v>
      </c>
      <c r="C137" s="128">
        <f t="shared" si="8"/>
        <v>0</v>
      </c>
      <c r="D137" s="134"/>
      <c r="E137" s="283"/>
      <c r="F137" s="279">
        <f t="shared" si="9"/>
        <v>0</v>
      </c>
      <c r="G137" s="134"/>
      <c r="H137" s="135"/>
      <c r="I137" s="136">
        <f t="shared" si="10"/>
        <v>0</v>
      </c>
      <c r="J137" s="134"/>
      <c r="K137" s="135"/>
      <c r="L137" s="136">
        <f t="shared" si="11"/>
        <v>0</v>
      </c>
      <c r="M137" s="284"/>
      <c r="N137" s="285"/>
      <c r="O137" s="136">
        <f t="shared" si="12"/>
        <v>0</v>
      </c>
      <c r="P137" s="85"/>
    </row>
    <row r="138" spans="1:16" ht="36" hidden="1" x14ac:dyDescent="0.25">
      <c r="A138" s="76">
        <v>2314</v>
      </c>
      <c r="B138" s="127" t="s">
        <v>154</v>
      </c>
      <c r="C138" s="128">
        <f t="shared" si="8"/>
        <v>0</v>
      </c>
      <c r="D138" s="134"/>
      <c r="E138" s="283"/>
      <c r="F138" s="279">
        <f t="shared" si="9"/>
        <v>0</v>
      </c>
      <c r="G138" s="134"/>
      <c r="H138" s="135"/>
      <c r="I138" s="136">
        <f t="shared" si="10"/>
        <v>0</v>
      </c>
      <c r="J138" s="134"/>
      <c r="K138" s="135"/>
      <c r="L138" s="136">
        <f t="shared" si="11"/>
        <v>0</v>
      </c>
      <c r="M138" s="284"/>
      <c r="N138" s="285"/>
      <c r="O138" s="136">
        <f t="shared" si="12"/>
        <v>0</v>
      </c>
      <c r="P138" s="85"/>
    </row>
    <row r="139" spans="1:16" hidden="1" x14ac:dyDescent="0.25">
      <c r="A139" s="276">
        <v>2320</v>
      </c>
      <c r="B139" s="127" t="s">
        <v>155</v>
      </c>
      <c r="C139" s="128">
        <f t="shared" si="8"/>
        <v>0</v>
      </c>
      <c r="D139" s="277">
        <f>SUM(D140:D142)</f>
        <v>0</v>
      </c>
      <c r="E139" s="278">
        <f>SUM(E140:E142)</f>
        <v>0</v>
      </c>
      <c r="F139" s="279">
        <f t="shared" si="9"/>
        <v>0</v>
      </c>
      <c r="G139" s="277">
        <f>SUM(G140:G142)</f>
        <v>0</v>
      </c>
      <c r="H139" s="280">
        <f>SUM(H140:H142)</f>
        <v>0</v>
      </c>
      <c r="I139" s="136">
        <f t="shared" si="10"/>
        <v>0</v>
      </c>
      <c r="J139" s="277">
        <f>SUM(J140:J142)</f>
        <v>0</v>
      </c>
      <c r="K139" s="280">
        <f>SUM(K140:K142)</f>
        <v>0</v>
      </c>
      <c r="L139" s="136">
        <f t="shared" si="11"/>
        <v>0</v>
      </c>
      <c r="M139" s="281">
        <f>SUM(M140:M142)</f>
        <v>0</v>
      </c>
      <c r="N139" s="282">
        <f>SUM(N140:N142)</f>
        <v>0</v>
      </c>
      <c r="O139" s="136">
        <f t="shared" si="12"/>
        <v>0</v>
      </c>
      <c r="P139" s="85"/>
    </row>
    <row r="140" spans="1:16" hidden="1" x14ac:dyDescent="0.25">
      <c r="A140" s="76">
        <v>2321</v>
      </c>
      <c r="B140" s="127" t="s">
        <v>156</v>
      </c>
      <c r="C140" s="128">
        <f t="shared" si="8"/>
        <v>0</v>
      </c>
      <c r="D140" s="134"/>
      <c r="E140" s="283"/>
      <c r="F140" s="279">
        <f t="shared" si="9"/>
        <v>0</v>
      </c>
      <c r="G140" s="134"/>
      <c r="H140" s="135"/>
      <c r="I140" s="136">
        <f t="shared" si="10"/>
        <v>0</v>
      </c>
      <c r="J140" s="134"/>
      <c r="K140" s="135"/>
      <c r="L140" s="136">
        <f t="shared" si="11"/>
        <v>0</v>
      </c>
      <c r="M140" s="284"/>
      <c r="N140" s="285"/>
      <c r="O140" s="136">
        <f t="shared" si="12"/>
        <v>0</v>
      </c>
      <c r="P140" s="85"/>
    </row>
    <row r="141" spans="1:16" hidden="1" x14ac:dyDescent="0.25">
      <c r="A141" s="76">
        <v>2322</v>
      </c>
      <c r="B141" s="127" t="s">
        <v>157</v>
      </c>
      <c r="C141" s="128">
        <f t="shared" si="8"/>
        <v>0</v>
      </c>
      <c r="D141" s="134"/>
      <c r="E141" s="283"/>
      <c r="F141" s="279">
        <f t="shared" si="9"/>
        <v>0</v>
      </c>
      <c r="G141" s="134"/>
      <c r="H141" s="135"/>
      <c r="I141" s="136">
        <f t="shared" si="10"/>
        <v>0</v>
      </c>
      <c r="J141" s="134"/>
      <c r="K141" s="135"/>
      <c r="L141" s="136">
        <f t="shared" si="11"/>
        <v>0</v>
      </c>
      <c r="M141" s="284"/>
      <c r="N141" s="285"/>
      <c r="O141" s="136">
        <f t="shared" si="12"/>
        <v>0</v>
      </c>
      <c r="P141" s="85"/>
    </row>
    <row r="142" spans="1:16" hidden="1" x14ac:dyDescent="0.25">
      <c r="A142" s="76">
        <v>2329</v>
      </c>
      <c r="B142" s="127" t="s">
        <v>158</v>
      </c>
      <c r="C142" s="128">
        <f t="shared" si="8"/>
        <v>0</v>
      </c>
      <c r="D142" s="134"/>
      <c r="E142" s="283"/>
      <c r="F142" s="279">
        <f t="shared" si="9"/>
        <v>0</v>
      </c>
      <c r="G142" s="134"/>
      <c r="H142" s="135"/>
      <c r="I142" s="136">
        <f t="shared" si="10"/>
        <v>0</v>
      </c>
      <c r="J142" s="134"/>
      <c r="K142" s="135"/>
      <c r="L142" s="136">
        <f t="shared" si="11"/>
        <v>0</v>
      </c>
      <c r="M142" s="284"/>
      <c r="N142" s="285"/>
      <c r="O142" s="136">
        <f t="shared" si="12"/>
        <v>0</v>
      </c>
      <c r="P142" s="85"/>
    </row>
    <row r="143" spans="1:16" hidden="1" x14ac:dyDescent="0.25">
      <c r="A143" s="276">
        <v>2330</v>
      </c>
      <c r="B143" s="127" t="s">
        <v>159</v>
      </c>
      <c r="C143" s="128">
        <f t="shared" si="8"/>
        <v>0</v>
      </c>
      <c r="D143" s="134"/>
      <c r="E143" s="283"/>
      <c r="F143" s="279">
        <f t="shared" si="9"/>
        <v>0</v>
      </c>
      <c r="G143" s="134"/>
      <c r="H143" s="135"/>
      <c r="I143" s="136">
        <f t="shared" si="10"/>
        <v>0</v>
      </c>
      <c r="J143" s="134"/>
      <c r="K143" s="135"/>
      <c r="L143" s="136">
        <f t="shared" si="11"/>
        <v>0</v>
      </c>
      <c r="M143" s="284"/>
      <c r="N143" s="285"/>
      <c r="O143" s="136">
        <f t="shared" si="12"/>
        <v>0</v>
      </c>
      <c r="P143" s="85"/>
    </row>
    <row r="144" spans="1:16" ht="48" hidden="1" x14ac:dyDescent="0.25">
      <c r="A144" s="276">
        <v>2340</v>
      </c>
      <c r="B144" s="127" t="s">
        <v>160</v>
      </c>
      <c r="C144" s="128">
        <f t="shared" si="8"/>
        <v>0</v>
      </c>
      <c r="D144" s="277">
        <f>SUM(D145:D146)</f>
        <v>0</v>
      </c>
      <c r="E144" s="278">
        <f>SUM(E145:E146)</f>
        <v>0</v>
      </c>
      <c r="F144" s="279">
        <f t="shared" si="9"/>
        <v>0</v>
      </c>
      <c r="G144" s="277">
        <f>SUM(G145:G146)</f>
        <v>0</v>
      </c>
      <c r="H144" s="280">
        <f>SUM(H145:H146)</f>
        <v>0</v>
      </c>
      <c r="I144" s="136">
        <f t="shared" si="10"/>
        <v>0</v>
      </c>
      <c r="J144" s="277">
        <f>SUM(J145:J146)</f>
        <v>0</v>
      </c>
      <c r="K144" s="280">
        <f>SUM(K145:K146)</f>
        <v>0</v>
      </c>
      <c r="L144" s="136">
        <f t="shared" si="11"/>
        <v>0</v>
      </c>
      <c r="M144" s="281">
        <f>SUM(M145:M146)</f>
        <v>0</v>
      </c>
      <c r="N144" s="282">
        <f>SUM(N145:N146)</f>
        <v>0</v>
      </c>
      <c r="O144" s="136">
        <f t="shared" si="12"/>
        <v>0</v>
      </c>
      <c r="P144" s="85"/>
    </row>
    <row r="145" spans="1:16" hidden="1" x14ac:dyDescent="0.25">
      <c r="A145" s="76">
        <v>2341</v>
      </c>
      <c r="B145" s="127" t="s">
        <v>161</v>
      </c>
      <c r="C145" s="128">
        <f t="shared" si="8"/>
        <v>0</v>
      </c>
      <c r="D145" s="134"/>
      <c r="E145" s="283"/>
      <c r="F145" s="279">
        <f t="shared" si="9"/>
        <v>0</v>
      </c>
      <c r="G145" s="134"/>
      <c r="H145" s="135"/>
      <c r="I145" s="136">
        <f t="shared" si="10"/>
        <v>0</v>
      </c>
      <c r="J145" s="134"/>
      <c r="K145" s="135"/>
      <c r="L145" s="136">
        <f t="shared" si="11"/>
        <v>0</v>
      </c>
      <c r="M145" s="284"/>
      <c r="N145" s="285"/>
      <c r="O145" s="136">
        <f t="shared" si="12"/>
        <v>0</v>
      </c>
      <c r="P145" s="85"/>
    </row>
    <row r="146" spans="1:16" ht="24" hidden="1" x14ac:dyDescent="0.25">
      <c r="A146" s="76">
        <v>2344</v>
      </c>
      <c r="B146" s="127" t="s">
        <v>162</v>
      </c>
      <c r="C146" s="128">
        <f t="shared" si="8"/>
        <v>0</v>
      </c>
      <c r="D146" s="134"/>
      <c r="E146" s="283"/>
      <c r="F146" s="279">
        <f t="shared" si="9"/>
        <v>0</v>
      </c>
      <c r="G146" s="134"/>
      <c r="H146" s="135"/>
      <c r="I146" s="136">
        <f t="shared" si="10"/>
        <v>0</v>
      </c>
      <c r="J146" s="134"/>
      <c r="K146" s="135"/>
      <c r="L146" s="136">
        <f t="shared" si="11"/>
        <v>0</v>
      </c>
      <c r="M146" s="284"/>
      <c r="N146" s="285"/>
      <c r="O146" s="136">
        <f t="shared" si="12"/>
        <v>0</v>
      </c>
      <c r="P146" s="85"/>
    </row>
    <row r="147" spans="1:16" ht="24" hidden="1" x14ac:dyDescent="0.25">
      <c r="A147" s="254">
        <v>2350</v>
      </c>
      <c r="B147" s="179" t="s">
        <v>163</v>
      </c>
      <c r="C147" s="128">
        <f t="shared" si="8"/>
        <v>0</v>
      </c>
      <c r="D147" s="255">
        <f>SUM(D148:D153)</f>
        <v>0</v>
      </c>
      <c r="E147" s="256">
        <f>SUM(E148:E153)</f>
        <v>0</v>
      </c>
      <c r="F147" s="257">
        <f t="shared" si="9"/>
        <v>0</v>
      </c>
      <c r="G147" s="255">
        <f>SUM(G148:G153)</f>
        <v>0</v>
      </c>
      <c r="H147" s="258">
        <f>SUM(H148:H153)</f>
        <v>0</v>
      </c>
      <c r="I147" s="259">
        <f t="shared" si="10"/>
        <v>0</v>
      </c>
      <c r="J147" s="255">
        <f>SUM(J148:J153)</f>
        <v>0</v>
      </c>
      <c r="K147" s="258">
        <f>SUM(K148:K153)</f>
        <v>0</v>
      </c>
      <c r="L147" s="259">
        <f t="shared" si="11"/>
        <v>0</v>
      </c>
      <c r="M147" s="260">
        <f>SUM(M148:M153)</f>
        <v>0</v>
      </c>
      <c r="N147" s="261">
        <f>SUM(N148:N153)</f>
        <v>0</v>
      </c>
      <c r="O147" s="259">
        <f t="shared" si="12"/>
        <v>0</v>
      </c>
      <c r="P147" s="189"/>
    </row>
    <row r="148" spans="1:16" hidden="1" x14ac:dyDescent="0.25">
      <c r="A148" s="66">
        <v>2351</v>
      </c>
      <c r="B148" s="116" t="s">
        <v>164</v>
      </c>
      <c r="C148" s="128">
        <f t="shared" si="8"/>
        <v>0</v>
      </c>
      <c r="D148" s="123"/>
      <c r="E148" s="295"/>
      <c r="F148" s="296">
        <f t="shared" si="9"/>
        <v>0</v>
      </c>
      <c r="G148" s="123"/>
      <c r="H148" s="124"/>
      <c r="I148" s="125">
        <f t="shared" si="10"/>
        <v>0</v>
      </c>
      <c r="J148" s="123"/>
      <c r="K148" s="124"/>
      <c r="L148" s="125">
        <f t="shared" si="11"/>
        <v>0</v>
      </c>
      <c r="M148" s="264"/>
      <c r="N148" s="262"/>
      <c r="O148" s="125">
        <f t="shared" si="12"/>
        <v>0</v>
      </c>
      <c r="P148" s="74"/>
    </row>
    <row r="149" spans="1:16" hidden="1" x14ac:dyDescent="0.25">
      <c r="A149" s="76">
        <v>2352</v>
      </c>
      <c r="B149" s="127" t="s">
        <v>165</v>
      </c>
      <c r="C149" s="128">
        <f t="shared" si="8"/>
        <v>0</v>
      </c>
      <c r="D149" s="134"/>
      <c r="E149" s="283"/>
      <c r="F149" s="279">
        <f t="shared" si="9"/>
        <v>0</v>
      </c>
      <c r="G149" s="134"/>
      <c r="H149" s="135"/>
      <c r="I149" s="136">
        <f t="shared" si="10"/>
        <v>0</v>
      </c>
      <c r="J149" s="134"/>
      <c r="K149" s="135"/>
      <c r="L149" s="136">
        <f t="shared" si="11"/>
        <v>0</v>
      </c>
      <c r="M149" s="284"/>
      <c r="N149" s="285"/>
      <c r="O149" s="136">
        <f t="shared" si="12"/>
        <v>0</v>
      </c>
      <c r="P149" s="85"/>
    </row>
    <row r="150" spans="1:16" ht="24" hidden="1" x14ac:dyDescent="0.25">
      <c r="A150" s="76">
        <v>2353</v>
      </c>
      <c r="B150" s="127" t="s">
        <v>166</v>
      </c>
      <c r="C150" s="128">
        <f t="shared" si="8"/>
        <v>0</v>
      </c>
      <c r="D150" s="134"/>
      <c r="E150" s="283"/>
      <c r="F150" s="279">
        <f t="shared" si="9"/>
        <v>0</v>
      </c>
      <c r="G150" s="134"/>
      <c r="H150" s="135"/>
      <c r="I150" s="136">
        <f t="shared" si="10"/>
        <v>0</v>
      </c>
      <c r="J150" s="134"/>
      <c r="K150" s="135"/>
      <c r="L150" s="136">
        <f t="shared" si="11"/>
        <v>0</v>
      </c>
      <c r="M150" s="284"/>
      <c r="N150" s="285"/>
      <c r="O150" s="136">
        <f t="shared" si="12"/>
        <v>0</v>
      </c>
      <c r="P150" s="85"/>
    </row>
    <row r="151" spans="1:16" ht="24" hidden="1" x14ac:dyDescent="0.25">
      <c r="A151" s="76">
        <v>2354</v>
      </c>
      <c r="B151" s="127" t="s">
        <v>167</v>
      </c>
      <c r="C151" s="128">
        <f t="shared" si="8"/>
        <v>0</v>
      </c>
      <c r="D151" s="134"/>
      <c r="E151" s="283"/>
      <c r="F151" s="279">
        <f t="shared" si="9"/>
        <v>0</v>
      </c>
      <c r="G151" s="134"/>
      <c r="H151" s="135"/>
      <c r="I151" s="136">
        <f t="shared" si="10"/>
        <v>0</v>
      </c>
      <c r="J151" s="134"/>
      <c r="K151" s="135"/>
      <c r="L151" s="136">
        <f t="shared" si="11"/>
        <v>0</v>
      </c>
      <c r="M151" s="284"/>
      <c r="N151" s="285"/>
      <c r="O151" s="136">
        <f t="shared" si="12"/>
        <v>0</v>
      </c>
      <c r="P151" s="85"/>
    </row>
    <row r="152" spans="1:16" ht="24" hidden="1" x14ac:dyDescent="0.25">
      <c r="A152" s="76">
        <v>2355</v>
      </c>
      <c r="B152" s="127" t="s">
        <v>168</v>
      </c>
      <c r="C152" s="128">
        <f t="shared" si="8"/>
        <v>0</v>
      </c>
      <c r="D152" s="134"/>
      <c r="E152" s="283"/>
      <c r="F152" s="279">
        <f t="shared" si="9"/>
        <v>0</v>
      </c>
      <c r="G152" s="134"/>
      <c r="H152" s="135"/>
      <c r="I152" s="136">
        <f t="shared" si="10"/>
        <v>0</v>
      </c>
      <c r="J152" s="134"/>
      <c r="K152" s="135"/>
      <c r="L152" s="136">
        <f t="shared" si="11"/>
        <v>0</v>
      </c>
      <c r="M152" s="284"/>
      <c r="N152" s="285"/>
      <c r="O152" s="136">
        <f t="shared" si="12"/>
        <v>0</v>
      </c>
      <c r="P152" s="85"/>
    </row>
    <row r="153" spans="1:16" ht="24" hidden="1" x14ac:dyDescent="0.25">
      <c r="A153" s="76">
        <v>2359</v>
      </c>
      <c r="B153" s="127" t="s">
        <v>169</v>
      </c>
      <c r="C153" s="128">
        <f t="shared" si="8"/>
        <v>0</v>
      </c>
      <c r="D153" s="134"/>
      <c r="E153" s="283"/>
      <c r="F153" s="279">
        <f t="shared" si="9"/>
        <v>0</v>
      </c>
      <c r="G153" s="134"/>
      <c r="H153" s="135"/>
      <c r="I153" s="136">
        <f t="shared" si="10"/>
        <v>0</v>
      </c>
      <c r="J153" s="134"/>
      <c r="K153" s="135"/>
      <c r="L153" s="136">
        <f t="shared" si="11"/>
        <v>0</v>
      </c>
      <c r="M153" s="284"/>
      <c r="N153" s="285"/>
      <c r="O153" s="136">
        <f t="shared" si="12"/>
        <v>0</v>
      </c>
      <c r="P153" s="85"/>
    </row>
    <row r="154" spans="1:16" ht="24" hidden="1" x14ac:dyDescent="0.25">
      <c r="A154" s="276">
        <v>2360</v>
      </c>
      <c r="B154" s="127" t="s">
        <v>170</v>
      </c>
      <c r="C154" s="128">
        <f t="shared" si="8"/>
        <v>0</v>
      </c>
      <c r="D154" s="277">
        <f>SUM(D155:D161)</f>
        <v>0</v>
      </c>
      <c r="E154" s="278">
        <f>SUM(E155:E161)</f>
        <v>0</v>
      </c>
      <c r="F154" s="279">
        <f t="shared" si="9"/>
        <v>0</v>
      </c>
      <c r="G154" s="277">
        <f>SUM(G155:G161)</f>
        <v>0</v>
      </c>
      <c r="H154" s="280">
        <f>SUM(H155:H161)</f>
        <v>0</v>
      </c>
      <c r="I154" s="136">
        <f t="shared" si="10"/>
        <v>0</v>
      </c>
      <c r="J154" s="277">
        <f>SUM(J155:J161)</f>
        <v>0</v>
      </c>
      <c r="K154" s="280">
        <f>SUM(K155:K161)</f>
        <v>0</v>
      </c>
      <c r="L154" s="136">
        <f t="shared" si="11"/>
        <v>0</v>
      </c>
      <c r="M154" s="281">
        <f>SUM(M155:M161)</f>
        <v>0</v>
      </c>
      <c r="N154" s="282">
        <f>SUM(N155:N161)</f>
        <v>0</v>
      </c>
      <c r="O154" s="136">
        <f t="shared" si="12"/>
        <v>0</v>
      </c>
      <c r="P154" s="85"/>
    </row>
    <row r="155" spans="1:16" hidden="1" x14ac:dyDescent="0.25">
      <c r="A155" s="75">
        <v>2361</v>
      </c>
      <c r="B155" s="127" t="s">
        <v>171</v>
      </c>
      <c r="C155" s="128">
        <f t="shared" si="8"/>
        <v>0</v>
      </c>
      <c r="D155" s="134"/>
      <c r="E155" s="283"/>
      <c r="F155" s="279">
        <f t="shared" si="9"/>
        <v>0</v>
      </c>
      <c r="G155" s="134"/>
      <c r="H155" s="135"/>
      <c r="I155" s="136">
        <f t="shared" si="10"/>
        <v>0</v>
      </c>
      <c r="J155" s="134"/>
      <c r="K155" s="135"/>
      <c r="L155" s="136">
        <f t="shared" si="11"/>
        <v>0</v>
      </c>
      <c r="M155" s="284"/>
      <c r="N155" s="285"/>
      <c r="O155" s="136">
        <f t="shared" si="12"/>
        <v>0</v>
      </c>
      <c r="P155" s="85"/>
    </row>
    <row r="156" spans="1:16" ht="24" hidden="1" x14ac:dyDescent="0.25">
      <c r="A156" s="75">
        <v>2362</v>
      </c>
      <c r="B156" s="127" t="s">
        <v>172</v>
      </c>
      <c r="C156" s="128">
        <f t="shared" si="8"/>
        <v>0</v>
      </c>
      <c r="D156" s="134"/>
      <c r="E156" s="283"/>
      <c r="F156" s="279">
        <f t="shared" si="9"/>
        <v>0</v>
      </c>
      <c r="G156" s="134"/>
      <c r="H156" s="135"/>
      <c r="I156" s="136">
        <f t="shared" si="10"/>
        <v>0</v>
      </c>
      <c r="J156" s="134"/>
      <c r="K156" s="135"/>
      <c r="L156" s="136">
        <f t="shared" si="11"/>
        <v>0</v>
      </c>
      <c r="M156" s="284"/>
      <c r="N156" s="285"/>
      <c r="O156" s="136">
        <f t="shared" si="12"/>
        <v>0</v>
      </c>
      <c r="P156" s="85"/>
    </row>
    <row r="157" spans="1:16" hidden="1" x14ac:dyDescent="0.25">
      <c r="A157" s="75">
        <v>2363</v>
      </c>
      <c r="B157" s="127" t="s">
        <v>173</v>
      </c>
      <c r="C157" s="128">
        <f t="shared" si="8"/>
        <v>0</v>
      </c>
      <c r="D157" s="134"/>
      <c r="E157" s="283"/>
      <c r="F157" s="279">
        <f t="shared" si="9"/>
        <v>0</v>
      </c>
      <c r="G157" s="134"/>
      <c r="H157" s="135"/>
      <c r="I157" s="136">
        <f t="shared" si="10"/>
        <v>0</v>
      </c>
      <c r="J157" s="134"/>
      <c r="K157" s="135"/>
      <c r="L157" s="136">
        <f t="shared" si="11"/>
        <v>0</v>
      </c>
      <c r="M157" s="284"/>
      <c r="N157" s="285"/>
      <c r="O157" s="136">
        <f t="shared" si="12"/>
        <v>0</v>
      </c>
      <c r="P157" s="85"/>
    </row>
    <row r="158" spans="1:16" hidden="1" x14ac:dyDescent="0.25">
      <c r="A158" s="75">
        <v>2364</v>
      </c>
      <c r="B158" s="127" t="s">
        <v>174</v>
      </c>
      <c r="C158" s="128">
        <f t="shared" si="8"/>
        <v>0</v>
      </c>
      <c r="D158" s="134"/>
      <c r="E158" s="283"/>
      <c r="F158" s="279">
        <f t="shared" si="9"/>
        <v>0</v>
      </c>
      <c r="G158" s="134"/>
      <c r="H158" s="135"/>
      <c r="I158" s="136">
        <f t="shared" si="10"/>
        <v>0</v>
      </c>
      <c r="J158" s="134"/>
      <c r="K158" s="135"/>
      <c r="L158" s="136">
        <f t="shared" si="11"/>
        <v>0</v>
      </c>
      <c r="M158" s="284"/>
      <c r="N158" s="285"/>
      <c r="O158" s="136">
        <f t="shared" si="12"/>
        <v>0</v>
      </c>
      <c r="P158" s="85"/>
    </row>
    <row r="159" spans="1:16" hidden="1" x14ac:dyDescent="0.25">
      <c r="A159" s="75">
        <v>2365</v>
      </c>
      <c r="B159" s="127" t="s">
        <v>175</v>
      </c>
      <c r="C159" s="128">
        <f t="shared" si="8"/>
        <v>0</v>
      </c>
      <c r="D159" s="134"/>
      <c r="E159" s="283"/>
      <c r="F159" s="279">
        <f t="shared" si="9"/>
        <v>0</v>
      </c>
      <c r="G159" s="134"/>
      <c r="H159" s="135"/>
      <c r="I159" s="136">
        <f t="shared" si="10"/>
        <v>0</v>
      </c>
      <c r="J159" s="134"/>
      <c r="K159" s="135"/>
      <c r="L159" s="136">
        <f t="shared" si="11"/>
        <v>0</v>
      </c>
      <c r="M159" s="284"/>
      <c r="N159" s="285"/>
      <c r="O159" s="136">
        <f t="shared" si="12"/>
        <v>0</v>
      </c>
      <c r="P159" s="85"/>
    </row>
    <row r="160" spans="1:16" ht="36" hidden="1" x14ac:dyDescent="0.25">
      <c r="A160" s="75">
        <v>2366</v>
      </c>
      <c r="B160" s="127" t="s">
        <v>176</v>
      </c>
      <c r="C160" s="128">
        <f t="shared" si="8"/>
        <v>0</v>
      </c>
      <c r="D160" s="134"/>
      <c r="E160" s="283"/>
      <c r="F160" s="279">
        <f t="shared" si="9"/>
        <v>0</v>
      </c>
      <c r="G160" s="134"/>
      <c r="H160" s="135"/>
      <c r="I160" s="136">
        <f t="shared" si="10"/>
        <v>0</v>
      </c>
      <c r="J160" s="134"/>
      <c r="K160" s="135"/>
      <c r="L160" s="136">
        <f t="shared" si="11"/>
        <v>0</v>
      </c>
      <c r="M160" s="284"/>
      <c r="N160" s="285"/>
      <c r="O160" s="136">
        <f t="shared" si="12"/>
        <v>0</v>
      </c>
      <c r="P160" s="85"/>
    </row>
    <row r="161" spans="1:16" ht="48" hidden="1" x14ac:dyDescent="0.25">
      <c r="A161" s="75">
        <v>2369</v>
      </c>
      <c r="B161" s="127" t="s">
        <v>177</v>
      </c>
      <c r="C161" s="128">
        <f t="shared" si="8"/>
        <v>0</v>
      </c>
      <c r="D161" s="134"/>
      <c r="E161" s="283"/>
      <c r="F161" s="279">
        <f t="shared" si="9"/>
        <v>0</v>
      </c>
      <c r="G161" s="134"/>
      <c r="H161" s="135"/>
      <c r="I161" s="136">
        <f t="shared" si="10"/>
        <v>0</v>
      </c>
      <c r="J161" s="134"/>
      <c r="K161" s="135"/>
      <c r="L161" s="136">
        <f t="shared" si="11"/>
        <v>0</v>
      </c>
      <c r="M161" s="284"/>
      <c r="N161" s="285"/>
      <c r="O161" s="136">
        <f t="shared" si="12"/>
        <v>0</v>
      </c>
      <c r="P161" s="85"/>
    </row>
    <row r="162" spans="1:16" hidden="1" x14ac:dyDescent="0.25">
      <c r="A162" s="254">
        <v>2370</v>
      </c>
      <c r="B162" s="179" t="s">
        <v>178</v>
      </c>
      <c r="C162" s="128">
        <f t="shared" si="8"/>
        <v>0</v>
      </c>
      <c r="D162" s="287"/>
      <c r="E162" s="288"/>
      <c r="F162" s="257">
        <f t="shared" si="9"/>
        <v>0</v>
      </c>
      <c r="G162" s="287"/>
      <c r="H162" s="289"/>
      <c r="I162" s="259">
        <f t="shared" si="10"/>
        <v>0</v>
      </c>
      <c r="J162" s="287"/>
      <c r="K162" s="289"/>
      <c r="L162" s="259">
        <f t="shared" si="11"/>
        <v>0</v>
      </c>
      <c r="M162" s="290"/>
      <c r="N162" s="291"/>
      <c r="O162" s="259">
        <f t="shared" si="12"/>
        <v>0</v>
      </c>
      <c r="P162" s="189"/>
    </row>
    <row r="163" spans="1:16" hidden="1" x14ac:dyDescent="0.25">
      <c r="A163" s="254">
        <v>2380</v>
      </c>
      <c r="B163" s="179" t="s">
        <v>179</v>
      </c>
      <c r="C163" s="128">
        <f t="shared" si="8"/>
        <v>0</v>
      </c>
      <c r="D163" s="255">
        <f>SUM(D164:D165)</f>
        <v>0</v>
      </c>
      <c r="E163" s="256">
        <f>SUM(E164:E165)</f>
        <v>0</v>
      </c>
      <c r="F163" s="257">
        <f t="shared" si="9"/>
        <v>0</v>
      </c>
      <c r="G163" s="255">
        <f>SUM(G164:G165)</f>
        <v>0</v>
      </c>
      <c r="H163" s="258">
        <f>SUM(H164:H165)</f>
        <v>0</v>
      </c>
      <c r="I163" s="259">
        <f t="shared" si="10"/>
        <v>0</v>
      </c>
      <c r="J163" s="255">
        <f>SUM(J164:J165)</f>
        <v>0</v>
      </c>
      <c r="K163" s="258">
        <f>SUM(K164:K165)</f>
        <v>0</v>
      </c>
      <c r="L163" s="259">
        <f t="shared" si="11"/>
        <v>0</v>
      </c>
      <c r="M163" s="260">
        <f>SUM(M164:M165)</f>
        <v>0</v>
      </c>
      <c r="N163" s="261">
        <f>SUM(N164:N165)</f>
        <v>0</v>
      </c>
      <c r="O163" s="259">
        <f t="shared" si="12"/>
        <v>0</v>
      </c>
      <c r="P163" s="189"/>
    </row>
    <row r="164" spans="1:16" hidden="1" x14ac:dyDescent="0.25">
      <c r="A164" s="65">
        <v>2381</v>
      </c>
      <c r="B164" s="116" t="s">
        <v>180</v>
      </c>
      <c r="C164" s="128">
        <f t="shared" si="8"/>
        <v>0</v>
      </c>
      <c r="D164" s="123"/>
      <c r="E164" s="295"/>
      <c r="F164" s="296">
        <f t="shared" si="9"/>
        <v>0</v>
      </c>
      <c r="G164" s="123"/>
      <c r="H164" s="124"/>
      <c r="I164" s="125">
        <f t="shared" si="10"/>
        <v>0</v>
      </c>
      <c r="J164" s="123"/>
      <c r="K164" s="124"/>
      <c r="L164" s="125">
        <f t="shared" si="11"/>
        <v>0</v>
      </c>
      <c r="M164" s="264"/>
      <c r="N164" s="262"/>
      <c r="O164" s="125">
        <f t="shared" si="12"/>
        <v>0</v>
      </c>
      <c r="P164" s="74"/>
    </row>
    <row r="165" spans="1:16" ht="24" hidden="1" x14ac:dyDescent="0.25">
      <c r="A165" s="75">
        <v>2389</v>
      </c>
      <c r="B165" s="127" t="s">
        <v>181</v>
      </c>
      <c r="C165" s="128">
        <f t="shared" si="8"/>
        <v>0</v>
      </c>
      <c r="D165" s="134"/>
      <c r="E165" s="283"/>
      <c r="F165" s="279">
        <f t="shared" si="9"/>
        <v>0</v>
      </c>
      <c r="G165" s="134"/>
      <c r="H165" s="135"/>
      <c r="I165" s="136">
        <f t="shared" si="10"/>
        <v>0</v>
      </c>
      <c r="J165" s="134"/>
      <c r="K165" s="135"/>
      <c r="L165" s="136">
        <f t="shared" si="11"/>
        <v>0</v>
      </c>
      <c r="M165" s="284"/>
      <c r="N165" s="285"/>
      <c r="O165" s="136">
        <f t="shared" si="12"/>
        <v>0</v>
      </c>
      <c r="P165" s="85"/>
    </row>
    <row r="166" spans="1:16" hidden="1" x14ac:dyDescent="0.25">
      <c r="A166" s="254">
        <v>2390</v>
      </c>
      <c r="B166" s="179" t="s">
        <v>182</v>
      </c>
      <c r="C166" s="128">
        <f t="shared" si="8"/>
        <v>0</v>
      </c>
      <c r="D166" s="287"/>
      <c r="E166" s="288"/>
      <c r="F166" s="257">
        <f t="shared" si="9"/>
        <v>0</v>
      </c>
      <c r="G166" s="287"/>
      <c r="H166" s="289"/>
      <c r="I166" s="259">
        <f t="shared" si="10"/>
        <v>0</v>
      </c>
      <c r="J166" s="287"/>
      <c r="K166" s="289"/>
      <c r="L166" s="259">
        <f t="shared" si="11"/>
        <v>0</v>
      </c>
      <c r="M166" s="290"/>
      <c r="N166" s="291"/>
      <c r="O166" s="259">
        <f t="shared" si="12"/>
        <v>0</v>
      </c>
      <c r="P166" s="189"/>
    </row>
    <row r="167" spans="1:16" hidden="1" x14ac:dyDescent="0.25">
      <c r="A167" s="99">
        <v>2400</v>
      </c>
      <c r="B167" s="247" t="s">
        <v>183</v>
      </c>
      <c r="C167" s="100">
        <f t="shared" si="8"/>
        <v>0</v>
      </c>
      <c r="D167" s="311"/>
      <c r="E167" s="712"/>
      <c r="F167" s="249">
        <f t="shared" si="9"/>
        <v>0</v>
      </c>
      <c r="G167" s="311"/>
      <c r="H167" s="314"/>
      <c r="I167" s="114">
        <f t="shared" si="10"/>
        <v>0</v>
      </c>
      <c r="J167" s="311"/>
      <c r="K167" s="314"/>
      <c r="L167" s="114">
        <f t="shared" si="11"/>
        <v>0</v>
      </c>
      <c r="M167" s="315"/>
      <c r="N167" s="312"/>
      <c r="O167" s="114">
        <f t="shared" si="12"/>
        <v>0</v>
      </c>
      <c r="P167" s="109"/>
    </row>
    <row r="168" spans="1:16" ht="24" hidden="1" x14ac:dyDescent="0.25">
      <c r="A168" s="99">
        <v>2500</v>
      </c>
      <c r="B168" s="247" t="s">
        <v>184</v>
      </c>
      <c r="C168" s="100">
        <f t="shared" si="8"/>
        <v>0</v>
      </c>
      <c r="D168" s="112">
        <f>SUM(D169,D174)</f>
        <v>0</v>
      </c>
      <c r="E168" s="248">
        <f>SUM(E169,E174)</f>
        <v>0</v>
      </c>
      <c r="F168" s="249">
        <f t="shared" si="9"/>
        <v>0</v>
      </c>
      <c r="G168" s="112">
        <f>SUM(G169,G174)</f>
        <v>0</v>
      </c>
      <c r="H168" s="113">
        <f>SUM(H169,H174)</f>
        <v>0</v>
      </c>
      <c r="I168" s="114">
        <f t="shared" si="10"/>
        <v>0</v>
      </c>
      <c r="J168" s="112">
        <f>SUM(J169,J174)</f>
        <v>0</v>
      </c>
      <c r="K168" s="113">
        <f>SUM(K169,K174)</f>
        <v>0</v>
      </c>
      <c r="L168" s="114">
        <f t="shared" si="11"/>
        <v>0</v>
      </c>
      <c r="M168" s="250">
        <f>SUM(M169,M174)</f>
        <v>0</v>
      </c>
      <c r="N168" s="251">
        <f>SUM(N169,N174)</f>
        <v>0</v>
      </c>
      <c r="O168" s="252">
        <f t="shared" si="12"/>
        <v>0</v>
      </c>
      <c r="P168" s="253"/>
    </row>
    <row r="169" spans="1:16" hidden="1" x14ac:dyDescent="0.25">
      <c r="A169" s="1036">
        <v>2510</v>
      </c>
      <c r="B169" s="116" t="s">
        <v>185</v>
      </c>
      <c r="C169" s="117">
        <f t="shared" si="8"/>
        <v>0</v>
      </c>
      <c r="D169" s="297">
        <f>SUM(D170:D173)</f>
        <v>0</v>
      </c>
      <c r="E169" s="298">
        <f>SUM(E170:E173)</f>
        <v>0</v>
      </c>
      <c r="F169" s="296">
        <f t="shared" si="9"/>
        <v>0</v>
      </c>
      <c r="G169" s="297">
        <f>SUM(G170:G173)</f>
        <v>0</v>
      </c>
      <c r="H169" s="299">
        <f>SUM(H170:H173)</f>
        <v>0</v>
      </c>
      <c r="I169" s="125">
        <f t="shared" si="10"/>
        <v>0</v>
      </c>
      <c r="J169" s="297">
        <f>SUM(J170:J173)</f>
        <v>0</v>
      </c>
      <c r="K169" s="299">
        <f>SUM(K170:K173)</f>
        <v>0</v>
      </c>
      <c r="L169" s="125">
        <f t="shared" si="11"/>
        <v>0</v>
      </c>
      <c r="M169" s="317">
        <f>SUM(M170:M173)</f>
        <v>0</v>
      </c>
      <c r="N169" s="318">
        <f>SUM(N170:N173)</f>
        <v>0</v>
      </c>
      <c r="O169" s="151">
        <f t="shared" si="12"/>
        <v>0</v>
      </c>
      <c r="P169" s="153"/>
    </row>
    <row r="170" spans="1:16" ht="24" hidden="1" x14ac:dyDescent="0.25">
      <c r="A170" s="76">
        <v>2512</v>
      </c>
      <c r="B170" s="127" t="s">
        <v>186</v>
      </c>
      <c r="C170" s="128">
        <f t="shared" si="8"/>
        <v>0</v>
      </c>
      <c r="D170" s="134"/>
      <c r="E170" s="283"/>
      <c r="F170" s="279">
        <f t="shared" si="9"/>
        <v>0</v>
      </c>
      <c r="G170" s="134"/>
      <c r="H170" s="135"/>
      <c r="I170" s="136">
        <f t="shared" si="10"/>
        <v>0</v>
      </c>
      <c r="J170" s="134"/>
      <c r="K170" s="135"/>
      <c r="L170" s="136">
        <f t="shared" si="11"/>
        <v>0</v>
      </c>
      <c r="M170" s="284"/>
      <c r="N170" s="285"/>
      <c r="O170" s="136">
        <f t="shared" si="12"/>
        <v>0</v>
      </c>
      <c r="P170" s="85"/>
    </row>
    <row r="171" spans="1:16" ht="36" hidden="1" x14ac:dyDescent="0.25">
      <c r="A171" s="76">
        <v>2513</v>
      </c>
      <c r="B171" s="127" t="s">
        <v>187</v>
      </c>
      <c r="C171" s="128">
        <f t="shared" si="8"/>
        <v>0</v>
      </c>
      <c r="D171" s="134"/>
      <c r="E171" s="283"/>
      <c r="F171" s="279">
        <f t="shared" si="9"/>
        <v>0</v>
      </c>
      <c r="G171" s="134"/>
      <c r="H171" s="135"/>
      <c r="I171" s="136">
        <f t="shared" si="10"/>
        <v>0</v>
      </c>
      <c r="J171" s="134"/>
      <c r="K171" s="135"/>
      <c r="L171" s="136">
        <f t="shared" si="11"/>
        <v>0</v>
      </c>
      <c r="M171" s="284"/>
      <c r="N171" s="285"/>
      <c r="O171" s="136">
        <f t="shared" si="12"/>
        <v>0</v>
      </c>
      <c r="P171" s="85"/>
    </row>
    <row r="172" spans="1:16" ht="24" hidden="1" x14ac:dyDescent="0.25">
      <c r="A172" s="76">
        <v>2515</v>
      </c>
      <c r="B172" s="127" t="s">
        <v>188</v>
      </c>
      <c r="C172" s="128">
        <f t="shared" si="8"/>
        <v>0</v>
      </c>
      <c r="D172" s="134"/>
      <c r="E172" s="283"/>
      <c r="F172" s="279">
        <f t="shared" si="9"/>
        <v>0</v>
      </c>
      <c r="G172" s="134"/>
      <c r="H172" s="135"/>
      <c r="I172" s="136">
        <f t="shared" si="10"/>
        <v>0</v>
      </c>
      <c r="J172" s="134"/>
      <c r="K172" s="135"/>
      <c r="L172" s="136">
        <f t="shared" si="11"/>
        <v>0</v>
      </c>
      <c r="M172" s="284"/>
      <c r="N172" s="285"/>
      <c r="O172" s="136">
        <f t="shared" si="12"/>
        <v>0</v>
      </c>
      <c r="P172" s="85"/>
    </row>
    <row r="173" spans="1:16" ht="24" hidden="1" x14ac:dyDescent="0.25">
      <c r="A173" s="76">
        <v>2519</v>
      </c>
      <c r="B173" s="127" t="s">
        <v>189</v>
      </c>
      <c r="C173" s="128">
        <f t="shared" si="8"/>
        <v>0</v>
      </c>
      <c r="D173" s="134"/>
      <c r="E173" s="283"/>
      <c r="F173" s="279">
        <f t="shared" si="9"/>
        <v>0</v>
      </c>
      <c r="G173" s="134"/>
      <c r="H173" s="135"/>
      <c r="I173" s="136">
        <f t="shared" si="10"/>
        <v>0</v>
      </c>
      <c r="J173" s="134"/>
      <c r="K173" s="135"/>
      <c r="L173" s="136">
        <f t="shared" si="11"/>
        <v>0</v>
      </c>
      <c r="M173" s="284"/>
      <c r="N173" s="285"/>
      <c r="O173" s="136">
        <f t="shared" si="12"/>
        <v>0</v>
      </c>
      <c r="P173" s="85"/>
    </row>
    <row r="174" spans="1:16" ht="24" hidden="1" x14ac:dyDescent="0.25">
      <c r="A174" s="276">
        <v>2520</v>
      </c>
      <c r="B174" s="127" t="s">
        <v>190</v>
      </c>
      <c r="C174" s="128">
        <f t="shared" si="8"/>
        <v>0</v>
      </c>
      <c r="D174" s="134"/>
      <c r="E174" s="283"/>
      <c r="F174" s="279">
        <f t="shared" si="9"/>
        <v>0</v>
      </c>
      <c r="G174" s="134"/>
      <c r="H174" s="135"/>
      <c r="I174" s="136">
        <f t="shared" si="10"/>
        <v>0</v>
      </c>
      <c r="J174" s="134"/>
      <c r="K174" s="135"/>
      <c r="L174" s="136">
        <f t="shared" si="11"/>
        <v>0</v>
      </c>
      <c r="M174" s="284"/>
      <c r="N174" s="285"/>
      <c r="O174" s="136">
        <f t="shared" si="12"/>
        <v>0</v>
      </c>
      <c r="P174" s="85"/>
    </row>
    <row r="175" spans="1:16" s="319" customFormat="1" ht="48" hidden="1" x14ac:dyDescent="0.25">
      <c r="A175" s="31">
        <v>2800</v>
      </c>
      <c r="B175" s="116" t="s">
        <v>191</v>
      </c>
      <c r="C175" s="117">
        <f t="shared" si="8"/>
        <v>0</v>
      </c>
      <c r="D175" s="68"/>
      <c r="E175" s="673"/>
      <c r="F175" s="625">
        <f t="shared" si="9"/>
        <v>0</v>
      </c>
      <c r="G175" s="68"/>
      <c r="H175" s="71"/>
      <c r="I175" s="72">
        <f t="shared" si="10"/>
        <v>0</v>
      </c>
      <c r="J175" s="68"/>
      <c r="K175" s="71"/>
      <c r="L175" s="72">
        <f t="shared" si="11"/>
        <v>0</v>
      </c>
      <c r="M175" s="73"/>
      <c r="N175" s="69"/>
      <c r="O175" s="72">
        <f t="shared" si="12"/>
        <v>0</v>
      </c>
      <c r="P175" s="74"/>
    </row>
    <row r="176" spans="1:16" x14ac:dyDescent="0.25">
      <c r="A176" s="237">
        <v>3000</v>
      </c>
      <c r="B176" s="237" t="s">
        <v>192</v>
      </c>
      <c r="C176" s="238">
        <f t="shared" si="8"/>
        <v>192770</v>
      </c>
      <c r="D176" s="239">
        <f>SUM(D177,D187)</f>
        <v>177470</v>
      </c>
      <c r="E176" s="240">
        <f>SUM(E177,E187)</f>
        <v>15300</v>
      </c>
      <c r="F176" s="241">
        <f t="shared" si="9"/>
        <v>192770</v>
      </c>
      <c r="G176" s="239">
        <f>SUM(G177,G187)</f>
        <v>0</v>
      </c>
      <c r="H176" s="242">
        <f>SUM(H177,H187)</f>
        <v>0</v>
      </c>
      <c r="I176" s="243">
        <f t="shared" si="10"/>
        <v>0</v>
      </c>
      <c r="J176" s="239">
        <f>SUM(J177,J187)</f>
        <v>0</v>
      </c>
      <c r="K176" s="242">
        <f>SUM(K177,K187)</f>
        <v>0</v>
      </c>
      <c r="L176" s="243">
        <f t="shared" si="11"/>
        <v>0</v>
      </c>
      <c r="M176" s="244">
        <f>SUM(M177,M187)</f>
        <v>0</v>
      </c>
      <c r="N176" s="245">
        <f>SUM(N177,N187)</f>
        <v>0</v>
      </c>
      <c r="O176" s="243">
        <f t="shared" si="12"/>
        <v>0</v>
      </c>
      <c r="P176" s="246"/>
    </row>
    <row r="177" spans="1:16" ht="24" x14ac:dyDescent="0.25">
      <c r="A177" s="99">
        <v>3200</v>
      </c>
      <c r="B177" s="321" t="s">
        <v>193</v>
      </c>
      <c r="C177" s="100">
        <f t="shared" si="8"/>
        <v>192770</v>
      </c>
      <c r="D177" s="112">
        <f>SUM(D178,D182)</f>
        <v>177470</v>
      </c>
      <c r="E177" s="248">
        <f>SUM(E178,E182)</f>
        <v>15300</v>
      </c>
      <c r="F177" s="249">
        <f t="shared" si="9"/>
        <v>192770</v>
      </c>
      <c r="G177" s="112">
        <f>SUM(G178,G182)</f>
        <v>0</v>
      </c>
      <c r="H177" s="113">
        <f>SUM(H178,H182)</f>
        <v>0</v>
      </c>
      <c r="I177" s="114">
        <f t="shared" si="10"/>
        <v>0</v>
      </c>
      <c r="J177" s="112">
        <f>SUM(J178,J182)</f>
        <v>0</v>
      </c>
      <c r="K177" s="113">
        <f>SUM(K178,K182)</f>
        <v>0</v>
      </c>
      <c r="L177" s="114">
        <f t="shared" si="11"/>
        <v>0</v>
      </c>
      <c r="M177" s="250">
        <f>SUM(M178,M182)</f>
        <v>0</v>
      </c>
      <c r="N177" s="251">
        <f>SUM(N178,N182)</f>
        <v>0</v>
      </c>
      <c r="O177" s="252">
        <f t="shared" si="12"/>
        <v>0</v>
      </c>
      <c r="P177" s="253"/>
    </row>
    <row r="178" spans="1:16" ht="36" x14ac:dyDescent="0.25">
      <c r="A178" s="1036">
        <v>3260</v>
      </c>
      <c r="B178" s="116" t="s">
        <v>194</v>
      </c>
      <c r="C178" s="117">
        <f t="shared" si="8"/>
        <v>192770</v>
      </c>
      <c r="D178" s="297">
        <f>SUM(D179:D181)</f>
        <v>177470</v>
      </c>
      <c r="E178" s="298">
        <f>SUM(E179:E181)</f>
        <v>15300</v>
      </c>
      <c r="F178" s="296">
        <f t="shared" si="9"/>
        <v>192770</v>
      </c>
      <c r="G178" s="297">
        <f>SUM(G179:G181)</f>
        <v>0</v>
      </c>
      <c r="H178" s="299">
        <f>SUM(H179:H181)</f>
        <v>0</v>
      </c>
      <c r="I178" s="125">
        <f t="shared" si="10"/>
        <v>0</v>
      </c>
      <c r="J178" s="297">
        <f>SUM(J179:J181)</f>
        <v>0</v>
      </c>
      <c r="K178" s="299">
        <f>SUM(K179:K181)</f>
        <v>0</v>
      </c>
      <c r="L178" s="125">
        <f t="shared" si="11"/>
        <v>0</v>
      </c>
      <c r="M178" s="300">
        <f>SUM(M179:M181)</f>
        <v>0</v>
      </c>
      <c r="N178" s="301">
        <f>SUM(N179:N181)</f>
        <v>0</v>
      </c>
      <c r="O178" s="125">
        <f t="shared" si="12"/>
        <v>0</v>
      </c>
      <c r="P178" s="74"/>
    </row>
    <row r="179" spans="1:16" ht="24" x14ac:dyDescent="0.25">
      <c r="A179" s="76">
        <v>3261</v>
      </c>
      <c r="B179" s="127" t="s">
        <v>195</v>
      </c>
      <c r="C179" s="128">
        <f t="shared" si="8"/>
        <v>192770</v>
      </c>
      <c r="D179" s="134">
        <v>177470</v>
      </c>
      <c r="E179" s="283">
        <v>15300</v>
      </c>
      <c r="F179" s="279">
        <f t="shared" si="9"/>
        <v>192770</v>
      </c>
      <c r="G179" s="134"/>
      <c r="H179" s="135"/>
      <c r="I179" s="136">
        <f t="shared" si="10"/>
        <v>0</v>
      </c>
      <c r="J179" s="134"/>
      <c r="K179" s="135"/>
      <c r="L179" s="136">
        <f t="shared" si="11"/>
        <v>0</v>
      </c>
      <c r="M179" s="284"/>
      <c r="N179" s="285"/>
      <c r="O179" s="136">
        <f t="shared" si="12"/>
        <v>0</v>
      </c>
      <c r="P179" s="85"/>
    </row>
    <row r="180" spans="1:16" ht="36" hidden="1" x14ac:dyDescent="0.25">
      <c r="A180" s="76">
        <v>3262</v>
      </c>
      <c r="B180" s="127" t="s">
        <v>196</v>
      </c>
      <c r="C180" s="128">
        <f t="shared" si="8"/>
        <v>0</v>
      </c>
      <c r="D180" s="134"/>
      <c r="E180" s="283"/>
      <c r="F180" s="279">
        <f t="shared" si="9"/>
        <v>0</v>
      </c>
      <c r="G180" s="134"/>
      <c r="H180" s="135"/>
      <c r="I180" s="136">
        <f t="shared" si="10"/>
        <v>0</v>
      </c>
      <c r="J180" s="134"/>
      <c r="K180" s="135"/>
      <c r="L180" s="136">
        <f t="shared" si="11"/>
        <v>0</v>
      </c>
      <c r="M180" s="284"/>
      <c r="N180" s="285"/>
      <c r="O180" s="136">
        <f t="shared" si="12"/>
        <v>0</v>
      </c>
      <c r="P180" s="85"/>
    </row>
    <row r="181" spans="1:16" ht="24" hidden="1" x14ac:dyDescent="0.25">
      <c r="A181" s="76">
        <v>3263</v>
      </c>
      <c r="B181" s="127" t="s">
        <v>197</v>
      </c>
      <c r="C181" s="128">
        <f t="shared" ref="C181:C244" si="13">F181+I181+L181+O181</f>
        <v>0</v>
      </c>
      <c r="D181" s="134"/>
      <c r="E181" s="283"/>
      <c r="F181" s="279">
        <f t="shared" ref="F181:F244" si="14">D181+E181</f>
        <v>0</v>
      </c>
      <c r="G181" s="134"/>
      <c r="H181" s="135"/>
      <c r="I181" s="136">
        <f t="shared" ref="I181:I244" si="15">G181+H181</f>
        <v>0</v>
      </c>
      <c r="J181" s="134"/>
      <c r="K181" s="135"/>
      <c r="L181" s="136">
        <f t="shared" ref="L181:L244" si="16">J181+K181</f>
        <v>0</v>
      </c>
      <c r="M181" s="284"/>
      <c r="N181" s="285"/>
      <c r="O181" s="136">
        <f t="shared" ref="O181:O244" si="17">M181+N181</f>
        <v>0</v>
      </c>
      <c r="P181" s="85"/>
    </row>
    <row r="182" spans="1:16" ht="84" hidden="1" x14ac:dyDescent="0.25">
      <c r="A182" s="1036">
        <v>3290</v>
      </c>
      <c r="B182" s="116" t="s">
        <v>198</v>
      </c>
      <c r="C182" s="128">
        <f t="shared" si="13"/>
        <v>0</v>
      </c>
      <c r="D182" s="297">
        <f>SUM(D183:D186)</f>
        <v>0</v>
      </c>
      <c r="E182" s="298">
        <f>SUM(E183:E186)</f>
        <v>0</v>
      </c>
      <c r="F182" s="296">
        <f t="shared" si="14"/>
        <v>0</v>
      </c>
      <c r="G182" s="297">
        <f>SUM(G183:G186)</f>
        <v>0</v>
      </c>
      <c r="H182" s="299">
        <f>SUM(H183:H186)</f>
        <v>0</v>
      </c>
      <c r="I182" s="125">
        <f t="shared" si="15"/>
        <v>0</v>
      </c>
      <c r="J182" s="297">
        <f>SUM(J183:J186)</f>
        <v>0</v>
      </c>
      <c r="K182" s="299">
        <f>SUM(K183:K186)</f>
        <v>0</v>
      </c>
      <c r="L182" s="125">
        <f t="shared" si="16"/>
        <v>0</v>
      </c>
      <c r="M182" s="322">
        <f>SUM(M183:M186)</f>
        <v>0</v>
      </c>
      <c r="N182" s="323">
        <f>SUM(N183:N186)</f>
        <v>0</v>
      </c>
      <c r="O182" s="324">
        <f t="shared" si="17"/>
        <v>0</v>
      </c>
      <c r="P182" s="325"/>
    </row>
    <row r="183" spans="1:16" ht="72" hidden="1" x14ac:dyDescent="0.25">
      <c r="A183" s="76">
        <v>3291</v>
      </c>
      <c r="B183" s="127" t="s">
        <v>199</v>
      </c>
      <c r="C183" s="128">
        <f t="shared" si="13"/>
        <v>0</v>
      </c>
      <c r="D183" s="134"/>
      <c r="E183" s="283"/>
      <c r="F183" s="279">
        <f t="shared" si="14"/>
        <v>0</v>
      </c>
      <c r="G183" s="134"/>
      <c r="H183" s="135"/>
      <c r="I183" s="136">
        <f t="shared" si="15"/>
        <v>0</v>
      </c>
      <c r="J183" s="134"/>
      <c r="K183" s="135"/>
      <c r="L183" s="136">
        <f t="shared" si="16"/>
        <v>0</v>
      </c>
      <c r="M183" s="284"/>
      <c r="N183" s="285"/>
      <c r="O183" s="136">
        <f t="shared" si="17"/>
        <v>0</v>
      </c>
      <c r="P183" s="85"/>
    </row>
    <row r="184" spans="1:16" ht="72" hidden="1" x14ac:dyDescent="0.25">
      <c r="A184" s="76">
        <v>3292</v>
      </c>
      <c r="B184" s="127" t="s">
        <v>200</v>
      </c>
      <c r="C184" s="128">
        <f t="shared" si="13"/>
        <v>0</v>
      </c>
      <c r="D184" s="134"/>
      <c r="E184" s="283"/>
      <c r="F184" s="279">
        <f t="shared" si="14"/>
        <v>0</v>
      </c>
      <c r="G184" s="134"/>
      <c r="H184" s="135"/>
      <c r="I184" s="136">
        <f t="shared" si="15"/>
        <v>0</v>
      </c>
      <c r="J184" s="134"/>
      <c r="K184" s="135"/>
      <c r="L184" s="136">
        <f t="shared" si="16"/>
        <v>0</v>
      </c>
      <c r="M184" s="284"/>
      <c r="N184" s="285"/>
      <c r="O184" s="136">
        <f t="shared" si="17"/>
        <v>0</v>
      </c>
      <c r="P184" s="85"/>
    </row>
    <row r="185" spans="1:16" ht="72" hidden="1" x14ac:dyDescent="0.25">
      <c r="A185" s="76">
        <v>3293</v>
      </c>
      <c r="B185" s="127" t="s">
        <v>201</v>
      </c>
      <c r="C185" s="128">
        <f t="shared" si="13"/>
        <v>0</v>
      </c>
      <c r="D185" s="134"/>
      <c r="E185" s="283"/>
      <c r="F185" s="279">
        <f t="shared" si="14"/>
        <v>0</v>
      </c>
      <c r="G185" s="134"/>
      <c r="H185" s="135"/>
      <c r="I185" s="136">
        <f t="shared" si="15"/>
        <v>0</v>
      </c>
      <c r="J185" s="134"/>
      <c r="K185" s="135"/>
      <c r="L185" s="136">
        <f t="shared" si="16"/>
        <v>0</v>
      </c>
      <c r="M185" s="284"/>
      <c r="N185" s="285"/>
      <c r="O185" s="136">
        <f t="shared" si="17"/>
        <v>0</v>
      </c>
      <c r="P185" s="85"/>
    </row>
    <row r="186" spans="1:16" ht="60" hidden="1" x14ac:dyDescent="0.25">
      <c r="A186" s="326">
        <v>3294</v>
      </c>
      <c r="B186" s="127" t="s">
        <v>202</v>
      </c>
      <c r="C186" s="327">
        <f t="shared" si="13"/>
        <v>0</v>
      </c>
      <c r="D186" s="328"/>
      <c r="E186" s="683"/>
      <c r="F186" s="647">
        <f t="shared" si="14"/>
        <v>0</v>
      </c>
      <c r="G186" s="328"/>
      <c r="H186" s="331"/>
      <c r="I186" s="324">
        <f t="shared" si="15"/>
        <v>0</v>
      </c>
      <c r="J186" s="328"/>
      <c r="K186" s="331"/>
      <c r="L186" s="324">
        <f t="shared" si="16"/>
        <v>0</v>
      </c>
      <c r="M186" s="332"/>
      <c r="N186" s="329"/>
      <c r="O186" s="324">
        <f t="shared" si="17"/>
        <v>0</v>
      </c>
      <c r="P186" s="325"/>
    </row>
    <row r="187" spans="1:16" ht="48" hidden="1" x14ac:dyDescent="0.25">
      <c r="A187" s="160">
        <v>3300</v>
      </c>
      <c r="B187" s="321" t="s">
        <v>203</v>
      </c>
      <c r="C187" s="333">
        <f t="shared" si="13"/>
        <v>0</v>
      </c>
      <c r="D187" s="334">
        <f>SUM(D188:D189)</f>
        <v>0</v>
      </c>
      <c r="E187" s="684">
        <f>SUM(E188:E189)</f>
        <v>0</v>
      </c>
      <c r="F187" s="648">
        <f t="shared" si="14"/>
        <v>0</v>
      </c>
      <c r="G187" s="334">
        <f>SUM(G188:G189)</f>
        <v>0</v>
      </c>
      <c r="H187" s="336">
        <f>SUM(H188:H189)</f>
        <v>0</v>
      </c>
      <c r="I187" s="252">
        <f t="shared" si="15"/>
        <v>0</v>
      </c>
      <c r="J187" s="334">
        <f>SUM(J188:J189)</f>
        <v>0</v>
      </c>
      <c r="K187" s="336">
        <f>SUM(K188:K189)</f>
        <v>0</v>
      </c>
      <c r="L187" s="252">
        <f t="shared" si="16"/>
        <v>0</v>
      </c>
      <c r="M187" s="250">
        <f>SUM(M188:M189)</f>
        <v>0</v>
      </c>
      <c r="N187" s="251">
        <f>SUM(N188:N189)</f>
        <v>0</v>
      </c>
      <c r="O187" s="252">
        <f t="shared" si="17"/>
        <v>0</v>
      </c>
      <c r="P187" s="253"/>
    </row>
    <row r="188" spans="1:16" ht="48" hidden="1" x14ac:dyDescent="0.25">
      <c r="A188" s="178">
        <v>3310</v>
      </c>
      <c r="B188" s="179" t="s">
        <v>204</v>
      </c>
      <c r="C188" s="191">
        <f t="shared" si="13"/>
        <v>0</v>
      </c>
      <c r="D188" s="287"/>
      <c r="E188" s="288"/>
      <c r="F188" s="257">
        <f t="shared" si="14"/>
        <v>0</v>
      </c>
      <c r="G188" s="287"/>
      <c r="H188" s="289"/>
      <c r="I188" s="259">
        <f t="shared" si="15"/>
        <v>0</v>
      </c>
      <c r="J188" s="287"/>
      <c r="K188" s="289"/>
      <c r="L188" s="259">
        <f t="shared" si="16"/>
        <v>0</v>
      </c>
      <c r="M188" s="290"/>
      <c r="N188" s="291"/>
      <c r="O188" s="259">
        <f t="shared" si="17"/>
        <v>0</v>
      </c>
      <c r="P188" s="189"/>
    </row>
    <row r="189" spans="1:16" ht="60" hidden="1" x14ac:dyDescent="0.25">
      <c r="A189" s="66">
        <v>3320</v>
      </c>
      <c r="B189" s="116" t="s">
        <v>205</v>
      </c>
      <c r="C189" s="117">
        <f t="shared" si="13"/>
        <v>0</v>
      </c>
      <c r="D189" s="123"/>
      <c r="E189" s="295"/>
      <c r="F189" s="296">
        <f t="shared" si="14"/>
        <v>0</v>
      </c>
      <c r="G189" s="123"/>
      <c r="H189" s="124"/>
      <c r="I189" s="125">
        <f t="shared" si="15"/>
        <v>0</v>
      </c>
      <c r="J189" s="123"/>
      <c r="K189" s="124"/>
      <c r="L189" s="125">
        <f t="shared" si="16"/>
        <v>0</v>
      </c>
      <c r="M189" s="264"/>
      <c r="N189" s="262"/>
      <c r="O189" s="125">
        <f t="shared" si="17"/>
        <v>0</v>
      </c>
      <c r="P189" s="74"/>
    </row>
    <row r="190" spans="1:16" hidden="1" x14ac:dyDescent="0.25">
      <c r="A190" s="337">
        <v>4000</v>
      </c>
      <c r="B190" s="237" t="s">
        <v>206</v>
      </c>
      <c r="C190" s="238">
        <f t="shared" si="13"/>
        <v>0</v>
      </c>
      <c r="D190" s="239">
        <f>SUM(D191,D194)</f>
        <v>0</v>
      </c>
      <c r="E190" s="240">
        <f>SUM(E191,E194)</f>
        <v>0</v>
      </c>
      <c r="F190" s="241">
        <f t="shared" si="14"/>
        <v>0</v>
      </c>
      <c r="G190" s="239">
        <f>SUM(G191,G194)</f>
        <v>0</v>
      </c>
      <c r="H190" s="242">
        <f>SUM(H191,H194)</f>
        <v>0</v>
      </c>
      <c r="I190" s="243">
        <f t="shared" si="15"/>
        <v>0</v>
      </c>
      <c r="J190" s="239">
        <f>SUM(J191,J194)</f>
        <v>0</v>
      </c>
      <c r="K190" s="242">
        <f>SUM(K191,K194)</f>
        <v>0</v>
      </c>
      <c r="L190" s="243">
        <f t="shared" si="16"/>
        <v>0</v>
      </c>
      <c r="M190" s="244">
        <f>SUM(M191,M194)</f>
        <v>0</v>
      </c>
      <c r="N190" s="245">
        <f>SUM(N191,N194)</f>
        <v>0</v>
      </c>
      <c r="O190" s="243">
        <f t="shared" si="17"/>
        <v>0</v>
      </c>
      <c r="P190" s="246"/>
    </row>
    <row r="191" spans="1:16" ht="24" hidden="1" x14ac:dyDescent="0.25">
      <c r="A191" s="338">
        <v>4200</v>
      </c>
      <c r="B191" s="247" t="s">
        <v>207</v>
      </c>
      <c r="C191" s="100">
        <f t="shared" si="13"/>
        <v>0</v>
      </c>
      <c r="D191" s="112">
        <f>SUM(D192,D193)</f>
        <v>0</v>
      </c>
      <c r="E191" s="248">
        <f>SUM(E192,E193)</f>
        <v>0</v>
      </c>
      <c r="F191" s="249">
        <f t="shared" si="14"/>
        <v>0</v>
      </c>
      <c r="G191" s="112">
        <f>SUM(G192,G193)</f>
        <v>0</v>
      </c>
      <c r="H191" s="113">
        <f>SUM(H192,H193)</f>
        <v>0</v>
      </c>
      <c r="I191" s="114">
        <f t="shared" si="15"/>
        <v>0</v>
      </c>
      <c r="J191" s="112">
        <f>SUM(J192,J193)</f>
        <v>0</v>
      </c>
      <c r="K191" s="113">
        <f>SUM(K192,K193)</f>
        <v>0</v>
      </c>
      <c r="L191" s="114">
        <f t="shared" si="16"/>
        <v>0</v>
      </c>
      <c r="M191" s="292">
        <f>SUM(M192,M193)</f>
        <v>0</v>
      </c>
      <c r="N191" s="293">
        <f>SUM(N192,N193)</f>
        <v>0</v>
      </c>
      <c r="O191" s="114">
        <f t="shared" si="17"/>
        <v>0</v>
      </c>
      <c r="P191" s="109"/>
    </row>
    <row r="192" spans="1:16" ht="36" hidden="1" x14ac:dyDescent="0.25">
      <c r="A192" s="1036">
        <v>4240</v>
      </c>
      <c r="B192" s="116" t="s">
        <v>208</v>
      </c>
      <c r="C192" s="117">
        <f t="shared" si="13"/>
        <v>0</v>
      </c>
      <c r="D192" s="123"/>
      <c r="E192" s="295"/>
      <c r="F192" s="296">
        <f t="shared" si="14"/>
        <v>0</v>
      </c>
      <c r="G192" s="123"/>
      <c r="H192" s="124"/>
      <c r="I192" s="125">
        <f t="shared" si="15"/>
        <v>0</v>
      </c>
      <c r="J192" s="123"/>
      <c r="K192" s="124"/>
      <c r="L192" s="125">
        <f t="shared" si="16"/>
        <v>0</v>
      </c>
      <c r="M192" s="264"/>
      <c r="N192" s="262"/>
      <c r="O192" s="125">
        <f t="shared" si="17"/>
        <v>0</v>
      </c>
      <c r="P192" s="74"/>
    </row>
    <row r="193" spans="1:16" ht="24" hidden="1" x14ac:dyDescent="0.25">
      <c r="A193" s="276">
        <v>4250</v>
      </c>
      <c r="B193" s="127" t="s">
        <v>209</v>
      </c>
      <c r="C193" s="128">
        <f t="shared" si="13"/>
        <v>0</v>
      </c>
      <c r="D193" s="134"/>
      <c r="E193" s="283"/>
      <c r="F193" s="279">
        <f t="shared" si="14"/>
        <v>0</v>
      </c>
      <c r="G193" s="134"/>
      <c r="H193" s="135"/>
      <c r="I193" s="136">
        <f t="shared" si="15"/>
        <v>0</v>
      </c>
      <c r="J193" s="134"/>
      <c r="K193" s="135"/>
      <c r="L193" s="136">
        <f t="shared" si="16"/>
        <v>0</v>
      </c>
      <c r="M193" s="284"/>
      <c r="N193" s="285"/>
      <c r="O193" s="136">
        <f t="shared" si="17"/>
        <v>0</v>
      </c>
      <c r="P193" s="85"/>
    </row>
    <row r="194" spans="1:16" hidden="1" x14ac:dyDescent="0.25">
      <c r="A194" s="99">
        <v>4300</v>
      </c>
      <c r="B194" s="247" t="s">
        <v>210</v>
      </c>
      <c r="C194" s="100">
        <f t="shared" si="13"/>
        <v>0</v>
      </c>
      <c r="D194" s="112">
        <f>SUM(D195)</f>
        <v>0</v>
      </c>
      <c r="E194" s="248">
        <f>SUM(E195)</f>
        <v>0</v>
      </c>
      <c r="F194" s="249">
        <f t="shared" si="14"/>
        <v>0</v>
      </c>
      <c r="G194" s="112">
        <f>SUM(G195)</f>
        <v>0</v>
      </c>
      <c r="H194" s="113">
        <f>SUM(H195)</f>
        <v>0</v>
      </c>
      <c r="I194" s="114">
        <f t="shared" si="15"/>
        <v>0</v>
      </c>
      <c r="J194" s="112">
        <f>SUM(J195)</f>
        <v>0</v>
      </c>
      <c r="K194" s="113">
        <f>SUM(K195)</f>
        <v>0</v>
      </c>
      <c r="L194" s="114">
        <f t="shared" si="16"/>
        <v>0</v>
      </c>
      <c r="M194" s="292">
        <f>SUM(M195)</f>
        <v>0</v>
      </c>
      <c r="N194" s="293">
        <f>SUM(N195)</f>
        <v>0</v>
      </c>
      <c r="O194" s="114">
        <f t="shared" si="17"/>
        <v>0</v>
      </c>
      <c r="P194" s="109"/>
    </row>
    <row r="195" spans="1:16" ht="24" hidden="1" x14ac:dyDescent="0.25">
      <c r="A195" s="1036">
        <v>4310</v>
      </c>
      <c r="B195" s="116" t="s">
        <v>211</v>
      </c>
      <c r="C195" s="117">
        <f t="shared" si="13"/>
        <v>0</v>
      </c>
      <c r="D195" s="297">
        <f>SUM(D196:D196)</f>
        <v>0</v>
      </c>
      <c r="E195" s="298">
        <f>SUM(E196:E196)</f>
        <v>0</v>
      </c>
      <c r="F195" s="296">
        <f t="shared" si="14"/>
        <v>0</v>
      </c>
      <c r="G195" s="297">
        <f>SUM(G196:G196)</f>
        <v>0</v>
      </c>
      <c r="H195" s="299">
        <f>SUM(H196:H196)</f>
        <v>0</v>
      </c>
      <c r="I195" s="125">
        <f t="shared" si="15"/>
        <v>0</v>
      </c>
      <c r="J195" s="297">
        <f>SUM(J196:J196)</f>
        <v>0</v>
      </c>
      <c r="K195" s="299">
        <f>SUM(K196:K196)</f>
        <v>0</v>
      </c>
      <c r="L195" s="125">
        <f t="shared" si="16"/>
        <v>0</v>
      </c>
      <c r="M195" s="300">
        <f>SUM(M196:M196)</f>
        <v>0</v>
      </c>
      <c r="N195" s="301">
        <f>SUM(N196:N196)</f>
        <v>0</v>
      </c>
      <c r="O195" s="125">
        <f t="shared" si="17"/>
        <v>0</v>
      </c>
      <c r="P195" s="74"/>
    </row>
    <row r="196" spans="1:16" ht="36" hidden="1" x14ac:dyDescent="0.25">
      <c r="A196" s="76">
        <v>4311</v>
      </c>
      <c r="B196" s="127" t="s">
        <v>212</v>
      </c>
      <c r="C196" s="128">
        <f t="shared" si="13"/>
        <v>0</v>
      </c>
      <c r="D196" s="134"/>
      <c r="E196" s="283"/>
      <c r="F196" s="279">
        <f t="shared" si="14"/>
        <v>0</v>
      </c>
      <c r="G196" s="134"/>
      <c r="H196" s="135"/>
      <c r="I196" s="136">
        <f t="shared" si="15"/>
        <v>0</v>
      </c>
      <c r="J196" s="134"/>
      <c r="K196" s="135"/>
      <c r="L196" s="136">
        <f t="shared" si="16"/>
        <v>0</v>
      </c>
      <c r="M196" s="284"/>
      <c r="N196" s="285"/>
      <c r="O196" s="136">
        <f t="shared" si="17"/>
        <v>0</v>
      </c>
      <c r="P196" s="85"/>
    </row>
    <row r="197" spans="1:16" s="41" customFormat="1" ht="24" hidden="1" x14ac:dyDescent="0.25">
      <c r="A197" s="339"/>
      <c r="B197" s="31" t="s">
        <v>213</v>
      </c>
      <c r="C197" s="229">
        <f t="shared" si="13"/>
        <v>0</v>
      </c>
      <c r="D197" s="230">
        <f>SUM(D198,D233,D271)</f>
        <v>0</v>
      </c>
      <c r="E197" s="231">
        <f>SUM(E198,E233,E271)</f>
        <v>0</v>
      </c>
      <c r="F197" s="232">
        <f t="shared" si="14"/>
        <v>0</v>
      </c>
      <c r="G197" s="230">
        <f>SUM(G198,G233,G271)</f>
        <v>0</v>
      </c>
      <c r="H197" s="233">
        <f>SUM(H198,H233,H271)</f>
        <v>0</v>
      </c>
      <c r="I197" s="234">
        <f t="shared" si="15"/>
        <v>0</v>
      </c>
      <c r="J197" s="230">
        <f>SUM(J198,J233,J271)</f>
        <v>0</v>
      </c>
      <c r="K197" s="233">
        <f>SUM(K198,K233,K271)</f>
        <v>0</v>
      </c>
      <c r="L197" s="234">
        <f t="shared" si="16"/>
        <v>0</v>
      </c>
      <c r="M197" s="340">
        <f>SUM(M198,M233,M271)</f>
        <v>0</v>
      </c>
      <c r="N197" s="341">
        <f>SUM(N198,N233,N271)</f>
        <v>0</v>
      </c>
      <c r="O197" s="342">
        <f t="shared" si="17"/>
        <v>0</v>
      </c>
      <c r="P197" s="343"/>
    </row>
    <row r="198" spans="1:16" hidden="1" x14ac:dyDescent="0.25">
      <c r="A198" s="237">
        <v>5000</v>
      </c>
      <c r="B198" s="237" t="s">
        <v>214</v>
      </c>
      <c r="C198" s="238">
        <f t="shared" si="13"/>
        <v>0</v>
      </c>
      <c r="D198" s="239">
        <f>D199+D207</f>
        <v>0</v>
      </c>
      <c r="E198" s="240">
        <f>E199+E207</f>
        <v>0</v>
      </c>
      <c r="F198" s="241">
        <f t="shared" si="14"/>
        <v>0</v>
      </c>
      <c r="G198" s="239">
        <f>G199+G207</f>
        <v>0</v>
      </c>
      <c r="H198" s="242">
        <f>H199+H207</f>
        <v>0</v>
      </c>
      <c r="I198" s="243">
        <f t="shared" si="15"/>
        <v>0</v>
      </c>
      <c r="J198" s="239">
        <f>J199+J207</f>
        <v>0</v>
      </c>
      <c r="K198" s="242">
        <f>K199+K207</f>
        <v>0</v>
      </c>
      <c r="L198" s="243">
        <f t="shared" si="16"/>
        <v>0</v>
      </c>
      <c r="M198" s="244">
        <f>M199+M207</f>
        <v>0</v>
      </c>
      <c r="N198" s="245">
        <f>N199+N207</f>
        <v>0</v>
      </c>
      <c r="O198" s="243">
        <f t="shared" si="17"/>
        <v>0</v>
      </c>
      <c r="P198" s="246"/>
    </row>
    <row r="199" spans="1:16" hidden="1" x14ac:dyDescent="0.25">
      <c r="A199" s="99">
        <v>5100</v>
      </c>
      <c r="B199" s="247" t="s">
        <v>215</v>
      </c>
      <c r="C199" s="100">
        <f t="shared" si="13"/>
        <v>0</v>
      </c>
      <c r="D199" s="112">
        <f>D200+D201+D204+D205+D206</f>
        <v>0</v>
      </c>
      <c r="E199" s="248">
        <f>E200+E201+E204+E205+E206</f>
        <v>0</v>
      </c>
      <c r="F199" s="249">
        <f t="shared" si="14"/>
        <v>0</v>
      </c>
      <c r="G199" s="112">
        <f>G200+G201+G204+G205+G206</f>
        <v>0</v>
      </c>
      <c r="H199" s="113">
        <f>H200+H201+H204+H205+H206</f>
        <v>0</v>
      </c>
      <c r="I199" s="114">
        <f t="shared" si="15"/>
        <v>0</v>
      </c>
      <c r="J199" s="112">
        <f>J200+J201+J204+J205+J206</f>
        <v>0</v>
      </c>
      <c r="K199" s="113">
        <f>K200+K201+K204+K205+K206</f>
        <v>0</v>
      </c>
      <c r="L199" s="114">
        <f t="shared" si="16"/>
        <v>0</v>
      </c>
      <c r="M199" s="292">
        <f>M200+M201+M204+M205+M206</f>
        <v>0</v>
      </c>
      <c r="N199" s="293">
        <f>N200+N201+N204+N205+N206</f>
        <v>0</v>
      </c>
      <c r="O199" s="114">
        <f t="shared" si="17"/>
        <v>0</v>
      </c>
      <c r="P199" s="109"/>
    </row>
    <row r="200" spans="1:16" hidden="1" x14ac:dyDescent="0.25">
      <c r="A200" s="1036">
        <v>5110</v>
      </c>
      <c r="B200" s="116" t="s">
        <v>216</v>
      </c>
      <c r="C200" s="117">
        <f t="shared" si="13"/>
        <v>0</v>
      </c>
      <c r="D200" s="123"/>
      <c r="E200" s="295"/>
      <c r="F200" s="296">
        <f t="shared" si="14"/>
        <v>0</v>
      </c>
      <c r="G200" s="123"/>
      <c r="H200" s="124"/>
      <c r="I200" s="125">
        <f t="shared" si="15"/>
        <v>0</v>
      </c>
      <c r="J200" s="123"/>
      <c r="K200" s="124"/>
      <c r="L200" s="125">
        <f t="shared" si="16"/>
        <v>0</v>
      </c>
      <c r="M200" s="264"/>
      <c r="N200" s="262"/>
      <c r="O200" s="125">
        <f t="shared" si="17"/>
        <v>0</v>
      </c>
      <c r="P200" s="74"/>
    </row>
    <row r="201" spans="1:16" ht="24" hidden="1" x14ac:dyDescent="0.25">
      <c r="A201" s="276">
        <v>5120</v>
      </c>
      <c r="B201" s="127" t="s">
        <v>217</v>
      </c>
      <c r="C201" s="128">
        <f t="shared" si="13"/>
        <v>0</v>
      </c>
      <c r="D201" s="277">
        <f>D202+D203</f>
        <v>0</v>
      </c>
      <c r="E201" s="278">
        <f>E202+E203</f>
        <v>0</v>
      </c>
      <c r="F201" s="279">
        <f t="shared" si="14"/>
        <v>0</v>
      </c>
      <c r="G201" s="277">
        <f>G202+G203</f>
        <v>0</v>
      </c>
      <c r="H201" s="280">
        <f>H202+H203</f>
        <v>0</v>
      </c>
      <c r="I201" s="136">
        <f t="shared" si="15"/>
        <v>0</v>
      </c>
      <c r="J201" s="277">
        <f>J202+J203</f>
        <v>0</v>
      </c>
      <c r="K201" s="280">
        <f>K202+K203</f>
        <v>0</v>
      </c>
      <c r="L201" s="136">
        <f t="shared" si="16"/>
        <v>0</v>
      </c>
      <c r="M201" s="281">
        <f>M202+M203</f>
        <v>0</v>
      </c>
      <c r="N201" s="282">
        <f>N202+N203</f>
        <v>0</v>
      </c>
      <c r="O201" s="136">
        <f t="shared" si="17"/>
        <v>0</v>
      </c>
      <c r="P201" s="85"/>
    </row>
    <row r="202" spans="1:16" hidden="1" x14ac:dyDescent="0.25">
      <c r="A202" s="76">
        <v>5121</v>
      </c>
      <c r="B202" s="127" t="s">
        <v>218</v>
      </c>
      <c r="C202" s="128">
        <f t="shared" si="13"/>
        <v>0</v>
      </c>
      <c r="D202" s="134"/>
      <c r="E202" s="283"/>
      <c r="F202" s="279">
        <f t="shared" si="14"/>
        <v>0</v>
      </c>
      <c r="G202" s="134"/>
      <c r="H202" s="135"/>
      <c r="I202" s="136">
        <f t="shared" si="15"/>
        <v>0</v>
      </c>
      <c r="J202" s="134"/>
      <c r="K202" s="135"/>
      <c r="L202" s="136">
        <f t="shared" si="16"/>
        <v>0</v>
      </c>
      <c r="M202" s="284"/>
      <c r="N202" s="285"/>
      <c r="O202" s="136">
        <f t="shared" si="17"/>
        <v>0</v>
      </c>
      <c r="P202" s="85"/>
    </row>
    <row r="203" spans="1:16" ht="24" hidden="1" x14ac:dyDescent="0.25">
      <c r="A203" s="76">
        <v>5129</v>
      </c>
      <c r="B203" s="127" t="s">
        <v>219</v>
      </c>
      <c r="C203" s="128">
        <f t="shared" si="13"/>
        <v>0</v>
      </c>
      <c r="D203" s="134"/>
      <c r="E203" s="283"/>
      <c r="F203" s="279">
        <f t="shared" si="14"/>
        <v>0</v>
      </c>
      <c r="G203" s="134"/>
      <c r="H203" s="135"/>
      <c r="I203" s="136">
        <f t="shared" si="15"/>
        <v>0</v>
      </c>
      <c r="J203" s="134"/>
      <c r="K203" s="135"/>
      <c r="L203" s="136">
        <f t="shared" si="16"/>
        <v>0</v>
      </c>
      <c r="M203" s="284"/>
      <c r="N203" s="285"/>
      <c r="O203" s="136">
        <f t="shared" si="17"/>
        <v>0</v>
      </c>
      <c r="P203" s="85"/>
    </row>
    <row r="204" spans="1:16" hidden="1" x14ac:dyDescent="0.25">
      <c r="A204" s="276">
        <v>5130</v>
      </c>
      <c r="B204" s="127" t="s">
        <v>220</v>
      </c>
      <c r="C204" s="128">
        <f t="shared" si="13"/>
        <v>0</v>
      </c>
      <c r="D204" s="134"/>
      <c r="E204" s="283"/>
      <c r="F204" s="279">
        <f t="shared" si="14"/>
        <v>0</v>
      </c>
      <c r="G204" s="134"/>
      <c r="H204" s="135"/>
      <c r="I204" s="136">
        <f t="shared" si="15"/>
        <v>0</v>
      </c>
      <c r="J204" s="134"/>
      <c r="K204" s="135"/>
      <c r="L204" s="136">
        <f t="shared" si="16"/>
        <v>0</v>
      </c>
      <c r="M204" s="284"/>
      <c r="N204" s="285"/>
      <c r="O204" s="136">
        <f t="shared" si="17"/>
        <v>0</v>
      </c>
      <c r="P204" s="85"/>
    </row>
    <row r="205" spans="1:16" hidden="1" x14ac:dyDescent="0.25">
      <c r="A205" s="276">
        <v>5140</v>
      </c>
      <c r="B205" s="127" t="s">
        <v>221</v>
      </c>
      <c r="C205" s="128">
        <f t="shared" si="13"/>
        <v>0</v>
      </c>
      <c r="D205" s="134"/>
      <c r="E205" s="283"/>
      <c r="F205" s="279">
        <f t="shared" si="14"/>
        <v>0</v>
      </c>
      <c r="G205" s="134"/>
      <c r="H205" s="135"/>
      <c r="I205" s="136">
        <f t="shared" si="15"/>
        <v>0</v>
      </c>
      <c r="J205" s="134"/>
      <c r="K205" s="135"/>
      <c r="L205" s="136">
        <f t="shared" si="16"/>
        <v>0</v>
      </c>
      <c r="M205" s="284"/>
      <c r="N205" s="285"/>
      <c r="O205" s="136">
        <f t="shared" si="17"/>
        <v>0</v>
      </c>
      <c r="P205" s="85"/>
    </row>
    <row r="206" spans="1:16" ht="24" hidden="1" x14ac:dyDescent="0.25">
      <c r="A206" s="276">
        <v>5170</v>
      </c>
      <c r="B206" s="127" t="s">
        <v>222</v>
      </c>
      <c r="C206" s="128">
        <f t="shared" si="13"/>
        <v>0</v>
      </c>
      <c r="D206" s="134"/>
      <c r="E206" s="283"/>
      <c r="F206" s="279">
        <f t="shared" si="14"/>
        <v>0</v>
      </c>
      <c r="G206" s="134"/>
      <c r="H206" s="135"/>
      <c r="I206" s="136">
        <f t="shared" si="15"/>
        <v>0</v>
      </c>
      <c r="J206" s="134"/>
      <c r="K206" s="135"/>
      <c r="L206" s="136">
        <f t="shared" si="16"/>
        <v>0</v>
      </c>
      <c r="M206" s="284"/>
      <c r="N206" s="285"/>
      <c r="O206" s="136">
        <f t="shared" si="17"/>
        <v>0</v>
      </c>
      <c r="P206" s="85"/>
    </row>
    <row r="207" spans="1:16" hidden="1" x14ac:dyDescent="0.25">
      <c r="A207" s="99">
        <v>5200</v>
      </c>
      <c r="B207" s="247" t="s">
        <v>223</v>
      </c>
      <c r="C207" s="100">
        <f t="shared" si="13"/>
        <v>0</v>
      </c>
      <c r="D207" s="112">
        <f>D208+D218+D219+D228+D229+D230+D232</f>
        <v>0</v>
      </c>
      <c r="E207" s="248">
        <f>E208+E218+E219+E228+E229+E230+E232</f>
        <v>0</v>
      </c>
      <c r="F207" s="249">
        <f t="shared" si="14"/>
        <v>0</v>
      </c>
      <c r="G207" s="112">
        <f>G208+G218+G219+G228+G229+G230+G232</f>
        <v>0</v>
      </c>
      <c r="H207" s="113">
        <f>H208+H218+H219+H228+H229+H230+H232</f>
        <v>0</v>
      </c>
      <c r="I207" s="114">
        <f t="shared" si="15"/>
        <v>0</v>
      </c>
      <c r="J207" s="112">
        <f>J208+J218+J219+J228+J229+J230+J232</f>
        <v>0</v>
      </c>
      <c r="K207" s="113">
        <f>K208+K218+K219+K228+K229+K230+K232</f>
        <v>0</v>
      </c>
      <c r="L207" s="114">
        <f t="shared" si="16"/>
        <v>0</v>
      </c>
      <c r="M207" s="292">
        <f>M208+M218+M219+M228+M229+M230+M232</f>
        <v>0</v>
      </c>
      <c r="N207" s="293">
        <f>N208+N218+N219+N228+N229+N230+N232</f>
        <v>0</v>
      </c>
      <c r="O207" s="114">
        <f t="shared" si="17"/>
        <v>0</v>
      </c>
      <c r="P207" s="109"/>
    </row>
    <row r="208" spans="1:16" hidden="1" x14ac:dyDescent="0.25">
      <c r="A208" s="254">
        <v>5210</v>
      </c>
      <c r="B208" s="179" t="s">
        <v>224</v>
      </c>
      <c r="C208" s="191">
        <f t="shared" si="13"/>
        <v>0</v>
      </c>
      <c r="D208" s="255">
        <f>SUM(D209:D217)</f>
        <v>0</v>
      </c>
      <c r="E208" s="256">
        <f>SUM(E209:E217)</f>
        <v>0</v>
      </c>
      <c r="F208" s="257">
        <f t="shared" si="14"/>
        <v>0</v>
      </c>
      <c r="G208" s="255">
        <f>SUM(G209:G217)</f>
        <v>0</v>
      </c>
      <c r="H208" s="258">
        <f>SUM(H209:H217)</f>
        <v>0</v>
      </c>
      <c r="I208" s="259">
        <f t="shared" si="15"/>
        <v>0</v>
      </c>
      <c r="J208" s="255">
        <f>SUM(J209:J217)</f>
        <v>0</v>
      </c>
      <c r="K208" s="258">
        <f>SUM(K209:K217)</f>
        <v>0</v>
      </c>
      <c r="L208" s="259">
        <f t="shared" si="16"/>
        <v>0</v>
      </c>
      <c r="M208" s="260">
        <f>SUM(M209:M217)</f>
        <v>0</v>
      </c>
      <c r="N208" s="261">
        <f>SUM(N209:N217)</f>
        <v>0</v>
      </c>
      <c r="O208" s="259">
        <f t="shared" si="17"/>
        <v>0</v>
      </c>
      <c r="P208" s="189"/>
    </row>
    <row r="209" spans="1:16" hidden="1" x14ac:dyDescent="0.25">
      <c r="A209" s="66">
        <v>5211</v>
      </c>
      <c r="B209" s="116" t="s">
        <v>225</v>
      </c>
      <c r="C209" s="279">
        <f t="shared" si="13"/>
        <v>0</v>
      </c>
      <c r="D209" s="123"/>
      <c r="E209" s="295"/>
      <c r="F209" s="296">
        <f t="shared" si="14"/>
        <v>0</v>
      </c>
      <c r="G209" s="123"/>
      <c r="H209" s="124"/>
      <c r="I209" s="125">
        <f t="shared" si="15"/>
        <v>0</v>
      </c>
      <c r="J209" s="123"/>
      <c r="K209" s="124"/>
      <c r="L209" s="125">
        <f t="shared" si="16"/>
        <v>0</v>
      </c>
      <c r="M209" s="264"/>
      <c r="N209" s="262"/>
      <c r="O209" s="125">
        <f t="shared" si="17"/>
        <v>0</v>
      </c>
      <c r="P209" s="74"/>
    </row>
    <row r="210" spans="1:16" hidden="1" x14ac:dyDescent="0.25">
      <c r="A210" s="76">
        <v>5212</v>
      </c>
      <c r="B210" s="127" t="s">
        <v>226</v>
      </c>
      <c r="C210" s="279">
        <f t="shared" si="13"/>
        <v>0</v>
      </c>
      <c r="D210" s="134"/>
      <c r="E210" s="283"/>
      <c r="F210" s="279">
        <f t="shared" si="14"/>
        <v>0</v>
      </c>
      <c r="G210" s="134"/>
      <c r="H210" s="135"/>
      <c r="I210" s="136">
        <f t="shared" si="15"/>
        <v>0</v>
      </c>
      <c r="J210" s="134"/>
      <c r="K210" s="135"/>
      <c r="L210" s="136">
        <f t="shared" si="16"/>
        <v>0</v>
      </c>
      <c r="M210" s="284"/>
      <c r="N210" s="285"/>
      <c r="O210" s="136">
        <f t="shared" si="17"/>
        <v>0</v>
      </c>
      <c r="P210" s="85"/>
    </row>
    <row r="211" spans="1:16" hidden="1" x14ac:dyDescent="0.25">
      <c r="A211" s="76">
        <v>5213</v>
      </c>
      <c r="B211" s="127" t="s">
        <v>227</v>
      </c>
      <c r="C211" s="279">
        <f t="shared" si="13"/>
        <v>0</v>
      </c>
      <c r="D211" s="134"/>
      <c r="E211" s="283"/>
      <c r="F211" s="279">
        <f t="shared" si="14"/>
        <v>0</v>
      </c>
      <c r="G211" s="134"/>
      <c r="H211" s="135"/>
      <c r="I211" s="136">
        <f t="shared" si="15"/>
        <v>0</v>
      </c>
      <c r="J211" s="134"/>
      <c r="K211" s="135"/>
      <c r="L211" s="136">
        <f t="shared" si="16"/>
        <v>0</v>
      </c>
      <c r="M211" s="284"/>
      <c r="N211" s="285"/>
      <c r="O211" s="136">
        <f t="shared" si="17"/>
        <v>0</v>
      </c>
      <c r="P211" s="85"/>
    </row>
    <row r="212" spans="1:16" hidden="1" x14ac:dyDescent="0.25">
      <c r="A212" s="76">
        <v>5214</v>
      </c>
      <c r="B212" s="127" t="s">
        <v>228</v>
      </c>
      <c r="C212" s="279">
        <f t="shared" si="13"/>
        <v>0</v>
      </c>
      <c r="D212" s="134"/>
      <c r="E212" s="283"/>
      <c r="F212" s="279">
        <f t="shared" si="14"/>
        <v>0</v>
      </c>
      <c r="G212" s="134"/>
      <c r="H212" s="135"/>
      <c r="I212" s="136">
        <f t="shared" si="15"/>
        <v>0</v>
      </c>
      <c r="J212" s="134"/>
      <c r="K212" s="135"/>
      <c r="L212" s="136">
        <f t="shared" si="16"/>
        <v>0</v>
      </c>
      <c r="M212" s="284"/>
      <c r="N212" s="285"/>
      <c r="O212" s="136">
        <f t="shared" si="17"/>
        <v>0</v>
      </c>
      <c r="P212" s="85"/>
    </row>
    <row r="213" spans="1:16" hidden="1" x14ac:dyDescent="0.25">
      <c r="A213" s="76">
        <v>5215</v>
      </c>
      <c r="B213" s="127" t="s">
        <v>229</v>
      </c>
      <c r="C213" s="279">
        <f t="shared" si="13"/>
        <v>0</v>
      </c>
      <c r="D213" s="134"/>
      <c r="E213" s="283"/>
      <c r="F213" s="279">
        <f t="shared" si="14"/>
        <v>0</v>
      </c>
      <c r="G213" s="134"/>
      <c r="H213" s="135"/>
      <c r="I213" s="136">
        <f t="shared" si="15"/>
        <v>0</v>
      </c>
      <c r="J213" s="134"/>
      <c r="K213" s="135"/>
      <c r="L213" s="136">
        <f t="shared" si="16"/>
        <v>0</v>
      </c>
      <c r="M213" s="284"/>
      <c r="N213" s="285"/>
      <c r="O213" s="136">
        <f t="shared" si="17"/>
        <v>0</v>
      </c>
      <c r="P213" s="85"/>
    </row>
    <row r="214" spans="1:16" ht="24" hidden="1" x14ac:dyDescent="0.25">
      <c r="A214" s="76">
        <v>5216</v>
      </c>
      <c r="B214" s="127" t="s">
        <v>230</v>
      </c>
      <c r="C214" s="279">
        <f t="shared" si="13"/>
        <v>0</v>
      </c>
      <c r="D214" s="134"/>
      <c r="E214" s="283"/>
      <c r="F214" s="279">
        <f t="shared" si="14"/>
        <v>0</v>
      </c>
      <c r="G214" s="134"/>
      <c r="H214" s="135"/>
      <c r="I214" s="136">
        <f t="shared" si="15"/>
        <v>0</v>
      </c>
      <c r="J214" s="134"/>
      <c r="K214" s="135"/>
      <c r="L214" s="136">
        <f t="shared" si="16"/>
        <v>0</v>
      </c>
      <c r="M214" s="284"/>
      <c r="N214" s="285"/>
      <c r="O214" s="136">
        <f t="shared" si="17"/>
        <v>0</v>
      </c>
      <c r="P214" s="85"/>
    </row>
    <row r="215" spans="1:16" hidden="1" x14ac:dyDescent="0.25">
      <c r="A215" s="76">
        <v>5217</v>
      </c>
      <c r="B215" s="127" t="s">
        <v>231</v>
      </c>
      <c r="C215" s="279">
        <f t="shared" si="13"/>
        <v>0</v>
      </c>
      <c r="D215" s="134"/>
      <c r="E215" s="283"/>
      <c r="F215" s="279">
        <f t="shared" si="14"/>
        <v>0</v>
      </c>
      <c r="G215" s="134"/>
      <c r="H215" s="135"/>
      <c r="I215" s="136">
        <f t="shared" si="15"/>
        <v>0</v>
      </c>
      <c r="J215" s="134"/>
      <c r="K215" s="135"/>
      <c r="L215" s="136">
        <f t="shared" si="16"/>
        <v>0</v>
      </c>
      <c r="M215" s="284"/>
      <c r="N215" s="285"/>
      <c r="O215" s="136">
        <f t="shared" si="17"/>
        <v>0</v>
      </c>
      <c r="P215" s="85"/>
    </row>
    <row r="216" spans="1:16" hidden="1" x14ac:dyDescent="0.25">
      <c r="A216" s="76">
        <v>5218</v>
      </c>
      <c r="B216" s="127" t="s">
        <v>232</v>
      </c>
      <c r="C216" s="279">
        <f t="shared" si="13"/>
        <v>0</v>
      </c>
      <c r="D216" s="134"/>
      <c r="E216" s="283"/>
      <c r="F216" s="279">
        <f t="shared" si="14"/>
        <v>0</v>
      </c>
      <c r="G216" s="134"/>
      <c r="H216" s="135"/>
      <c r="I216" s="136">
        <f t="shared" si="15"/>
        <v>0</v>
      </c>
      <c r="J216" s="134"/>
      <c r="K216" s="135"/>
      <c r="L216" s="136">
        <f t="shared" si="16"/>
        <v>0</v>
      </c>
      <c r="M216" s="284"/>
      <c r="N216" s="285"/>
      <c r="O216" s="136">
        <f t="shared" si="17"/>
        <v>0</v>
      </c>
      <c r="P216" s="85"/>
    </row>
    <row r="217" spans="1:16" hidden="1" x14ac:dyDescent="0.25">
      <c r="A217" s="76">
        <v>5219</v>
      </c>
      <c r="B217" s="127" t="s">
        <v>233</v>
      </c>
      <c r="C217" s="279">
        <f t="shared" si="13"/>
        <v>0</v>
      </c>
      <c r="D217" s="134"/>
      <c r="E217" s="283"/>
      <c r="F217" s="279">
        <f t="shared" si="14"/>
        <v>0</v>
      </c>
      <c r="G217" s="134"/>
      <c r="H217" s="135"/>
      <c r="I217" s="136">
        <f t="shared" si="15"/>
        <v>0</v>
      </c>
      <c r="J217" s="134"/>
      <c r="K217" s="135"/>
      <c r="L217" s="136">
        <f t="shared" si="16"/>
        <v>0</v>
      </c>
      <c r="M217" s="284"/>
      <c r="N217" s="285"/>
      <c r="O217" s="136">
        <f t="shared" si="17"/>
        <v>0</v>
      </c>
      <c r="P217" s="85"/>
    </row>
    <row r="218" spans="1:16" hidden="1" x14ac:dyDescent="0.25">
      <c r="A218" s="276">
        <v>5220</v>
      </c>
      <c r="B218" s="127" t="s">
        <v>234</v>
      </c>
      <c r="C218" s="279">
        <f t="shared" si="13"/>
        <v>0</v>
      </c>
      <c r="D218" s="134"/>
      <c r="E218" s="283"/>
      <c r="F218" s="279">
        <f t="shared" si="14"/>
        <v>0</v>
      </c>
      <c r="G218" s="134"/>
      <c r="H218" s="135"/>
      <c r="I218" s="136">
        <f t="shared" si="15"/>
        <v>0</v>
      </c>
      <c r="J218" s="134"/>
      <c r="K218" s="135"/>
      <c r="L218" s="136">
        <f t="shared" si="16"/>
        <v>0</v>
      </c>
      <c r="M218" s="284"/>
      <c r="N218" s="285"/>
      <c r="O218" s="136">
        <f t="shared" si="17"/>
        <v>0</v>
      </c>
      <c r="P218" s="85"/>
    </row>
    <row r="219" spans="1:16" hidden="1" x14ac:dyDescent="0.25">
      <c r="A219" s="276">
        <v>5230</v>
      </c>
      <c r="B219" s="127" t="s">
        <v>235</v>
      </c>
      <c r="C219" s="279">
        <f t="shared" si="13"/>
        <v>0</v>
      </c>
      <c r="D219" s="277">
        <f>SUM(D220:D227)</f>
        <v>0</v>
      </c>
      <c r="E219" s="278">
        <f>SUM(E220:E227)</f>
        <v>0</v>
      </c>
      <c r="F219" s="279">
        <f t="shared" si="14"/>
        <v>0</v>
      </c>
      <c r="G219" s="277">
        <f>SUM(G220:G227)</f>
        <v>0</v>
      </c>
      <c r="H219" s="280">
        <f>SUM(H220:H227)</f>
        <v>0</v>
      </c>
      <c r="I219" s="136">
        <f t="shared" si="15"/>
        <v>0</v>
      </c>
      <c r="J219" s="277">
        <f>SUM(J220:J227)</f>
        <v>0</v>
      </c>
      <c r="K219" s="280">
        <f>SUM(K220:K227)</f>
        <v>0</v>
      </c>
      <c r="L219" s="136">
        <f t="shared" si="16"/>
        <v>0</v>
      </c>
      <c r="M219" s="281">
        <f>SUM(M220:M227)</f>
        <v>0</v>
      </c>
      <c r="N219" s="282">
        <f>SUM(N220:N227)</f>
        <v>0</v>
      </c>
      <c r="O219" s="136">
        <f t="shared" si="17"/>
        <v>0</v>
      </c>
      <c r="P219" s="85"/>
    </row>
    <row r="220" spans="1:16" hidden="1" x14ac:dyDescent="0.25">
      <c r="A220" s="76">
        <v>5231</v>
      </c>
      <c r="B220" s="127" t="s">
        <v>236</v>
      </c>
      <c r="C220" s="279">
        <f t="shared" si="13"/>
        <v>0</v>
      </c>
      <c r="D220" s="134"/>
      <c r="E220" s="283"/>
      <c r="F220" s="279">
        <f t="shared" si="14"/>
        <v>0</v>
      </c>
      <c r="G220" s="134"/>
      <c r="H220" s="135"/>
      <c r="I220" s="136">
        <f t="shared" si="15"/>
        <v>0</v>
      </c>
      <c r="J220" s="134"/>
      <c r="K220" s="135"/>
      <c r="L220" s="136">
        <f t="shared" si="16"/>
        <v>0</v>
      </c>
      <c r="M220" s="284"/>
      <c r="N220" s="285"/>
      <c r="O220" s="136">
        <f t="shared" si="17"/>
        <v>0</v>
      </c>
      <c r="P220" s="85"/>
    </row>
    <row r="221" spans="1:16" hidden="1" x14ac:dyDescent="0.25">
      <c r="A221" s="76">
        <v>5232</v>
      </c>
      <c r="B221" s="127" t="s">
        <v>237</v>
      </c>
      <c r="C221" s="279">
        <f t="shared" si="13"/>
        <v>0</v>
      </c>
      <c r="D221" s="134"/>
      <c r="E221" s="283"/>
      <c r="F221" s="279">
        <f t="shared" si="14"/>
        <v>0</v>
      </c>
      <c r="G221" s="134"/>
      <c r="H221" s="135"/>
      <c r="I221" s="136">
        <f t="shared" si="15"/>
        <v>0</v>
      </c>
      <c r="J221" s="134"/>
      <c r="K221" s="135"/>
      <c r="L221" s="136">
        <f t="shared" si="16"/>
        <v>0</v>
      </c>
      <c r="M221" s="284"/>
      <c r="N221" s="285"/>
      <c r="O221" s="136">
        <f t="shared" si="17"/>
        <v>0</v>
      </c>
      <c r="P221" s="85"/>
    </row>
    <row r="222" spans="1:16" hidden="1" x14ac:dyDescent="0.25">
      <c r="A222" s="76">
        <v>5233</v>
      </c>
      <c r="B222" s="127" t="s">
        <v>238</v>
      </c>
      <c r="C222" s="279">
        <f t="shared" si="13"/>
        <v>0</v>
      </c>
      <c r="D222" s="134"/>
      <c r="E222" s="283"/>
      <c r="F222" s="279">
        <f t="shared" si="14"/>
        <v>0</v>
      </c>
      <c r="G222" s="134"/>
      <c r="H222" s="135"/>
      <c r="I222" s="136">
        <f t="shared" si="15"/>
        <v>0</v>
      </c>
      <c r="J222" s="134"/>
      <c r="K222" s="135"/>
      <c r="L222" s="136">
        <f t="shared" si="16"/>
        <v>0</v>
      </c>
      <c r="M222" s="284"/>
      <c r="N222" s="285"/>
      <c r="O222" s="136">
        <f t="shared" si="17"/>
        <v>0</v>
      </c>
      <c r="P222" s="85"/>
    </row>
    <row r="223" spans="1:16" ht="24" hidden="1" x14ac:dyDescent="0.25">
      <c r="A223" s="76">
        <v>5234</v>
      </c>
      <c r="B223" s="127" t="s">
        <v>239</v>
      </c>
      <c r="C223" s="279">
        <f t="shared" si="13"/>
        <v>0</v>
      </c>
      <c r="D223" s="134"/>
      <c r="E223" s="283"/>
      <c r="F223" s="279">
        <f t="shared" si="14"/>
        <v>0</v>
      </c>
      <c r="G223" s="134"/>
      <c r="H223" s="135"/>
      <c r="I223" s="136">
        <f t="shared" si="15"/>
        <v>0</v>
      </c>
      <c r="J223" s="134"/>
      <c r="K223" s="135"/>
      <c r="L223" s="136">
        <f t="shared" si="16"/>
        <v>0</v>
      </c>
      <c r="M223" s="284"/>
      <c r="N223" s="285"/>
      <c r="O223" s="136">
        <f t="shared" si="17"/>
        <v>0</v>
      </c>
      <c r="P223" s="85"/>
    </row>
    <row r="224" spans="1:16" hidden="1" x14ac:dyDescent="0.25">
      <c r="A224" s="76">
        <v>5236</v>
      </c>
      <c r="B224" s="127" t="s">
        <v>240</v>
      </c>
      <c r="C224" s="279">
        <f t="shared" si="13"/>
        <v>0</v>
      </c>
      <c r="D224" s="134"/>
      <c r="E224" s="283"/>
      <c r="F224" s="279">
        <f t="shared" si="14"/>
        <v>0</v>
      </c>
      <c r="G224" s="134"/>
      <c r="H224" s="135"/>
      <c r="I224" s="136">
        <f t="shared" si="15"/>
        <v>0</v>
      </c>
      <c r="J224" s="134"/>
      <c r="K224" s="135"/>
      <c r="L224" s="136">
        <f t="shared" si="16"/>
        <v>0</v>
      </c>
      <c r="M224" s="284"/>
      <c r="N224" s="285"/>
      <c r="O224" s="136">
        <f t="shared" si="17"/>
        <v>0</v>
      </c>
      <c r="P224" s="85"/>
    </row>
    <row r="225" spans="1:16" hidden="1" x14ac:dyDescent="0.25">
      <c r="A225" s="76">
        <v>5237</v>
      </c>
      <c r="B225" s="127" t="s">
        <v>241</v>
      </c>
      <c r="C225" s="279">
        <f t="shared" si="13"/>
        <v>0</v>
      </c>
      <c r="D225" s="134"/>
      <c r="E225" s="283"/>
      <c r="F225" s="279">
        <f t="shared" si="14"/>
        <v>0</v>
      </c>
      <c r="G225" s="134"/>
      <c r="H225" s="135"/>
      <c r="I225" s="136">
        <f t="shared" si="15"/>
        <v>0</v>
      </c>
      <c r="J225" s="134"/>
      <c r="K225" s="135"/>
      <c r="L225" s="136">
        <f t="shared" si="16"/>
        <v>0</v>
      </c>
      <c r="M225" s="284"/>
      <c r="N225" s="285"/>
      <c r="O225" s="136">
        <f t="shared" si="17"/>
        <v>0</v>
      </c>
      <c r="P225" s="85"/>
    </row>
    <row r="226" spans="1:16" ht="24" hidden="1" x14ac:dyDescent="0.25">
      <c r="A226" s="76">
        <v>5238</v>
      </c>
      <c r="B226" s="127" t="s">
        <v>242</v>
      </c>
      <c r="C226" s="279">
        <f t="shared" si="13"/>
        <v>0</v>
      </c>
      <c r="D226" s="134"/>
      <c r="E226" s="283"/>
      <c r="F226" s="279">
        <f t="shared" si="14"/>
        <v>0</v>
      </c>
      <c r="G226" s="134"/>
      <c r="H226" s="135"/>
      <c r="I226" s="136">
        <f t="shared" si="15"/>
        <v>0</v>
      </c>
      <c r="J226" s="134"/>
      <c r="K226" s="135"/>
      <c r="L226" s="136">
        <f t="shared" si="16"/>
        <v>0</v>
      </c>
      <c r="M226" s="284"/>
      <c r="N226" s="285"/>
      <c r="O226" s="136">
        <f t="shared" si="17"/>
        <v>0</v>
      </c>
      <c r="P226" s="85"/>
    </row>
    <row r="227" spans="1:16" ht="24" hidden="1" x14ac:dyDescent="0.25">
      <c r="A227" s="76">
        <v>5239</v>
      </c>
      <c r="B227" s="127" t="s">
        <v>243</v>
      </c>
      <c r="C227" s="279">
        <f t="shared" si="13"/>
        <v>0</v>
      </c>
      <c r="D227" s="134"/>
      <c r="E227" s="283"/>
      <c r="F227" s="279">
        <f t="shared" si="14"/>
        <v>0</v>
      </c>
      <c r="G227" s="134"/>
      <c r="H227" s="135"/>
      <c r="I227" s="136">
        <f t="shared" si="15"/>
        <v>0</v>
      </c>
      <c r="J227" s="134"/>
      <c r="K227" s="135"/>
      <c r="L227" s="136">
        <f t="shared" si="16"/>
        <v>0</v>
      </c>
      <c r="M227" s="284"/>
      <c r="N227" s="285"/>
      <c r="O227" s="136">
        <f t="shared" si="17"/>
        <v>0</v>
      </c>
      <c r="P227" s="85"/>
    </row>
    <row r="228" spans="1:16" ht="24" hidden="1" x14ac:dyDescent="0.25">
      <c r="A228" s="276">
        <v>5240</v>
      </c>
      <c r="B228" s="127" t="s">
        <v>244</v>
      </c>
      <c r="C228" s="279">
        <f t="shared" si="13"/>
        <v>0</v>
      </c>
      <c r="D228" s="134"/>
      <c r="E228" s="283"/>
      <c r="F228" s="279">
        <f t="shared" si="14"/>
        <v>0</v>
      </c>
      <c r="G228" s="134"/>
      <c r="H228" s="135"/>
      <c r="I228" s="136">
        <f t="shared" si="15"/>
        <v>0</v>
      </c>
      <c r="J228" s="134"/>
      <c r="K228" s="135"/>
      <c r="L228" s="136">
        <f t="shared" si="16"/>
        <v>0</v>
      </c>
      <c r="M228" s="284"/>
      <c r="N228" s="285"/>
      <c r="O228" s="136">
        <f t="shared" si="17"/>
        <v>0</v>
      </c>
      <c r="P228" s="85"/>
    </row>
    <row r="229" spans="1:16" hidden="1" x14ac:dyDescent="0.25">
      <c r="A229" s="276">
        <v>5250</v>
      </c>
      <c r="B229" s="127" t="s">
        <v>245</v>
      </c>
      <c r="C229" s="279">
        <f t="shared" si="13"/>
        <v>0</v>
      </c>
      <c r="D229" s="134"/>
      <c r="E229" s="283"/>
      <c r="F229" s="279">
        <f t="shared" si="14"/>
        <v>0</v>
      </c>
      <c r="G229" s="134"/>
      <c r="H229" s="135"/>
      <c r="I229" s="136">
        <f t="shared" si="15"/>
        <v>0</v>
      </c>
      <c r="J229" s="134"/>
      <c r="K229" s="135"/>
      <c r="L229" s="136">
        <f t="shared" si="16"/>
        <v>0</v>
      </c>
      <c r="M229" s="284"/>
      <c r="N229" s="285"/>
      <c r="O229" s="136">
        <f t="shared" si="17"/>
        <v>0</v>
      </c>
      <c r="P229" s="85"/>
    </row>
    <row r="230" spans="1:16" hidden="1" x14ac:dyDescent="0.25">
      <c r="A230" s="276">
        <v>5260</v>
      </c>
      <c r="B230" s="127" t="s">
        <v>246</v>
      </c>
      <c r="C230" s="279">
        <f t="shared" si="13"/>
        <v>0</v>
      </c>
      <c r="D230" s="277">
        <f>SUM(D231)</f>
        <v>0</v>
      </c>
      <c r="E230" s="278">
        <f>SUM(E231)</f>
        <v>0</v>
      </c>
      <c r="F230" s="279">
        <f t="shared" si="14"/>
        <v>0</v>
      </c>
      <c r="G230" s="277">
        <f>SUM(G231)</f>
        <v>0</v>
      </c>
      <c r="H230" s="280">
        <f>SUM(H231)</f>
        <v>0</v>
      </c>
      <c r="I230" s="136">
        <f t="shared" si="15"/>
        <v>0</v>
      </c>
      <c r="J230" s="277">
        <f>SUM(J231)</f>
        <v>0</v>
      </c>
      <c r="K230" s="280">
        <f>SUM(K231)</f>
        <v>0</v>
      </c>
      <c r="L230" s="136">
        <f t="shared" si="16"/>
        <v>0</v>
      </c>
      <c r="M230" s="281">
        <f>SUM(M231)</f>
        <v>0</v>
      </c>
      <c r="N230" s="282">
        <f>SUM(N231)</f>
        <v>0</v>
      </c>
      <c r="O230" s="136">
        <f t="shared" si="17"/>
        <v>0</v>
      </c>
      <c r="P230" s="85"/>
    </row>
    <row r="231" spans="1:16" ht="24" hidden="1" x14ac:dyDescent="0.25">
      <c r="A231" s="76">
        <v>5269</v>
      </c>
      <c r="B231" s="127" t="s">
        <v>247</v>
      </c>
      <c r="C231" s="279">
        <f t="shared" si="13"/>
        <v>0</v>
      </c>
      <c r="D231" s="134"/>
      <c r="E231" s="283"/>
      <c r="F231" s="279">
        <f t="shared" si="14"/>
        <v>0</v>
      </c>
      <c r="G231" s="134"/>
      <c r="H231" s="135"/>
      <c r="I231" s="136">
        <f t="shared" si="15"/>
        <v>0</v>
      </c>
      <c r="J231" s="134"/>
      <c r="K231" s="135"/>
      <c r="L231" s="136">
        <f t="shared" si="16"/>
        <v>0</v>
      </c>
      <c r="M231" s="284"/>
      <c r="N231" s="285"/>
      <c r="O231" s="136">
        <f t="shared" si="17"/>
        <v>0</v>
      </c>
      <c r="P231" s="85"/>
    </row>
    <row r="232" spans="1:16" ht="24" hidden="1" x14ac:dyDescent="0.25">
      <c r="A232" s="254">
        <v>5270</v>
      </c>
      <c r="B232" s="179" t="s">
        <v>248</v>
      </c>
      <c r="C232" s="302">
        <f t="shared" si="13"/>
        <v>0</v>
      </c>
      <c r="D232" s="287"/>
      <c r="E232" s="288"/>
      <c r="F232" s="257">
        <f t="shared" si="14"/>
        <v>0</v>
      </c>
      <c r="G232" s="287"/>
      <c r="H232" s="289"/>
      <c r="I232" s="259">
        <f t="shared" si="15"/>
        <v>0</v>
      </c>
      <c r="J232" s="287"/>
      <c r="K232" s="289"/>
      <c r="L232" s="259">
        <f t="shared" si="16"/>
        <v>0</v>
      </c>
      <c r="M232" s="290"/>
      <c r="N232" s="291"/>
      <c r="O232" s="259">
        <f t="shared" si="17"/>
        <v>0</v>
      </c>
      <c r="P232" s="189"/>
    </row>
    <row r="233" spans="1:16" hidden="1" x14ac:dyDescent="0.25">
      <c r="A233" s="237">
        <v>6000</v>
      </c>
      <c r="B233" s="237" t="s">
        <v>249</v>
      </c>
      <c r="C233" s="238">
        <f t="shared" si="13"/>
        <v>0</v>
      </c>
      <c r="D233" s="239">
        <f>D234+D254+D261</f>
        <v>0</v>
      </c>
      <c r="E233" s="240">
        <f>E234+E254+E261</f>
        <v>0</v>
      </c>
      <c r="F233" s="241">
        <f t="shared" si="14"/>
        <v>0</v>
      </c>
      <c r="G233" s="239">
        <f>G234+G254+G261</f>
        <v>0</v>
      </c>
      <c r="H233" s="242">
        <f>H234+H254+H261</f>
        <v>0</v>
      </c>
      <c r="I233" s="243">
        <f t="shared" si="15"/>
        <v>0</v>
      </c>
      <c r="J233" s="239">
        <f>J234+J254+J261</f>
        <v>0</v>
      </c>
      <c r="K233" s="242">
        <f>K234+K254+K261</f>
        <v>0</v>
      </c>
      <c r="L233" s="243">
        <f t="shared" si="16"/>
        <v>0</v>
      </c>
      <c r="M233" s="244">
        <f>M234+M254+M261</f>
        <v>0</v>
      </c>
      <c r="N233" s="245">
        <f>N234+N254+N261</f>
        <v>0</v>
      </c>
      <c r="O233" s="243">
        <f t="shared" si="17"/>
        <v>0</v>
      </c>
      <c r="P233" s="246"/>
    </row>
    <row r="234" spans="1:16" hidden="1" x14ac:dyDescent="0.25">
      <c r="A234" s="160">
        <v>6200</v>
      </c>
      <c r="B234" s="321" t="s">
        <v>250</v>
      </c>
      <c r="C234" s="333">
        <f t="shared" si="13"/>
        <v>0</v>
      </c>
      <c r="D234" s="334">
        <f>SUM(D235,D236,D238,D241,D247,D248,D249)</f>
        <v>0</v>
      </c>
      <c r="E234" s="684">
        <f>SUM(E235,E236,E238,E241,E247,E248,E249)</f>
        <v>0</v>
      </c>
      <c r="F234" s="648">
        <f t="shared" si="14"/>
        <v>0</v>
      </c>
      <c r="G234" s="334">
        <f>SUM(G235,G236,G238,G241,G247,G248,G249)</f>
        <v>0</v>
      </c>
      <c r="H234" s="336">
        <f>SUM(H235,H236,H238,H241,H247,H248,H249)</f>
        <v>0</v>
      </c>
      <c r="I234" s="252">
        <f t="shared" si="15"/>
        <v>0</v>
      </c>
      <c r="J234" s="334">
        <f>SUM(J235,J236,J238,J241,J247,J248,J249)</f>
        <v>0</v>
      </c>
      <c r="K234" s="336">
        <f>SUM(K235,K236,K238,K241,K247,K248,K249)</f>
        <v>0</v>
      </c>
      <c r="L234" s="252">
        <f t="shared" si="16"/>
        <v>0</v>
      </c>
      <c r="M234" s="250">
        <f>SUM(M235,M236,M238,M241,M247,M248,M249)</f>
        <v>0</v>
      </c>
      <c r="N234" s="251">
        <f>SUM(N235,N236,N238,N241,N247,N248,N249)</f>
        <v>0</v>
      </c>
      <c r="O234" s="252">
        <f t="shared" si="17"/>
        <v>0</v>
      </c>
      <c r="P234" s="253"/>
    </row>
    <row r="235" spans="1:16" ht="24" hidden="1" x14ac:dyDescent="0.25">
      <c r="A235" s="1036">
        <v>6220</v>
      </c>
      <c r="B235" s="116" t="s">
        <v>251</v>
      </c>
      <c r="C235" s="298">
        <f t="shared" si="13"/>
        <v>0</v>
      </c>
      <c r="D235" s="123"/>
      <c r="E235" s="295"/>
      <c r="F235" s="296">
        <f t="shared" si="14"/>
        <v>0</v>
      </c>
      <c r="G235" s="123"/>
      <c r="H235" s="124"/>
      <c r="I235" s="125">
        <f t="shared" si="15"/>
        <v>0</v>
      </c>
      <c r="J235" s="123"/>
      <c r="K235" s="124"/>
      <c r="L235" s="125">
        <f t="shared" si="16"/>
        <v>0</v>
      </c>
      <c r="M235" s="264"/>
      <c r="N235" s="262"/>
      <c r="O235" s="125">
        <f t="shared" si="17"/>
        <v>0</v>
      </c>
      <c r="P235" s="74"/>
    </row>
    <row r="236" spans="1:16" hidden="1" x14ac:dyDescent="0.25">
      <c r="A236" s="276">
        <v>6230</v>
      </c>
      <c r="B236" s="127" t="s">
        <v>252</v>
      </c>
      <c r="C236" s="278">
        <f t="shared" si="13"/>
        <v>0</v>
      </c>
      <c r="D236" s="277">
        <f>SUM(D237)</f>
        <v>0</v>
      </c>
      <c r="E236" s="281">
        <f>SUM(E237)</f>
        <v>0</v>
      </c>
      <c r="F236" s="279">
        <f t="shared" si="14"/>
        <v>0</v>
      </c>
      <c r="G236" s="277">
        <f>SUM(G237)</f>
        <v>0</v>
      </c>
      <c r="H236" s="280">
        <f>SUM(H237)</f>
        <v>0</v>
      </c>
      <c r="I236" s="136">
        <f t="shared" si="15"/>
        <v>0</v>
      </c>
      <c r="J236" s="277">
        <f>SUM(J237)</f>
        <v>0</v>
      </c>
      <c r="K236" s="280">
        <f>SUM(K237)</f>
        <v>0</v>
      </c>
      <c r="L236" s="136">
        <f t="shared" si="16"/>
        <v>0</v>
      </c>
      <c r="M236" s="277">
        <f>SUM(M237)</f>
        <v>0</v>
      </c>
      <c r="N236" s="280">
        <f>SUM(N237)</f>
        <v>0</v>
      </c>
      <c r="O236" s="136">
        <f t="shared" si="17"/>
        <v>0</v>
      </c>
      <c r="P236" s="85"/>
    </row>
    <row r="237" spans="1:16" ht="24" hidden="1" x14ac:dyDescent="0.25">
      <c r="A237" s="76">
        <v>6239</v>
      </c>
      <c r="B237" s="116" t="s">
        <v>253</v>
      </c>
      <c r="C237" s="278">
        <f t="shared" si="13"/>
        <v>0</v>
      </c>
      <c r="D237" s="134"/>
      <c r="E237" s="283"/>
      <c r="F237" s="279">
        <f t="shared" si="14"/>
        <v>0</v>
      </c>
      <c r="G237" s="134"/>
      <c r="H237" s="135"/>
      <c r="I237" s="136">
        <f t="shared" si="15"/>
        <v>0</v>
      </c>
      <c r="J237" s="134"/>
      <c r="K237" s="135"/>
      <c r="L237" s="136">
        <f t="shared" si="16"/>
        <v>0</v>
      </c>
      <c r="M237" s="284"/>
      <c r="N237" s="285"/>
      <c r="O237" s="136">
        <f t="shared" si="17"/>
        <v>0</v>
      </c>
      <c r="P237" s="85"/>
    </row>
    <row r="238" spans="1:16" ht="24" hidden="1" x14ac:dyDescent="0.25">
      <c r="A238" s="276">
        <v>6240</v>
      </c>
      <c r="B238" s="127" t="s">
        <v>254</v>
      </c>
      <c r="C238" s="278">
        <f t="shared" si="13"/>
        <v>0</v>
      </c>
      <c r="D238" s="277">
        <f>SUM(D239:D240)</f>
        <v>0</v>
      </c>
      <c r="E238" s="278">
        <f>SUM(E239:E240)</f>
        <v>0</v>
      </c>
      <c r="F238" s="279">
        <f t="shared" si="14"/>
        <v>0</v>
      </c>
      <c r="G238" s="277">
        <f>SUM(G239:G240)</f>
        <v>0</v>
      </c>
      <c r="H238" s="280">
        <f>SUM(H239:H240)</f>
        <v>0</v>
      </c>
      <c r="I238" s="136">
        <f t="shared" si="15"/>
        <v>0</v>
      </c>
      <c r="J238" s="277">
        <f>SUM(J239:J240)</f>
        <v>0</v>
      </c>
      <c r="K238" s="280">
        <f>SUM(K239:K240)</f>
        <v>0</v>
      </c>
      <c r="L238" s="136">
        <f t="shared" si="16"/>
        <v>0</v>
      </c>
      <c r="M238" s="281">
        <f>SUM(M239:M240)</f>
        <v>0</v>
      </c>
      <c r="N238" s="282">
        <f>SUM(N239:N240)</f>
        <v>0</v>
      </c>
      <c r="O238" s="136">
        <f t="shared" si="17"/>
        <v>0</v>
      </c>
      <c r="P238" s="85"/>
    </row>
    <row r="239" spans="1:16" hidden="1" x14ac:dyDescent="0.25">
      <c r="A239" s="76">
        <v>6241</v>
      </c>
      <c r="B239" s="127" t="s">
        <v>255</v>
      </c>
      <c r="C239" s="278">
        <f t="shared" si="13"/>
        <v>0</v>
      </c>
      <c r="D239" s="134"/>
      <c r="E239" s="283"/>
      <c r="F239" s="279">
        <f t="shared" si="14"/>
        <v>0</v>
      </c>
      <c r="G239" s="134"/>
      <c r="H239" s="135"/>
      <c r="I239" s="136">
        <f t="shared" si="15"/>
        <v>0</v>
      </c>
      <c r="J239" s="134"/>
      <c r="K239" s="135"/>
      <c r="L239" s="136">
        <f t="shared" si="16"/>
        <v>0</v>
      </c>
      <c r="M239" s="284"/>
      <c r="N239" s="285"/>
      <c r="O239" s="136">
        <f t="shared" si="17"/>
        <v>0</v>
      </c>
      <c r="P239" s="85"/>
    </row>
    <row r="240" spans="1:16" hidden="1" x14ac:dyDescent="0.25">
      <c r="A240" s="76">
        <v>6242</v>
      </c>
      <c r="B240" s="127" t="s">
        <v>256</v>
      </c>
      <c r="C240" s="278">
        <f t="shared" si="13"/>
        <v>0</v>
      </c>
      <c r="D240" s="134"/>
      <c r="E240" s="283"/>
      <c r="F240" s="279">
        <f t="shared" si="14"/>
        <v>0</v>
      </c>
      <c r="G240" s="134"/>
      <c r="H240" s="135"/>
      <c r="I240" s="136">
        <f t="shared" si="15"/>
        <v>0</v>
      </c>
      <c r="J240" s="134"/>
      <c r="K240" s="135"/>
      <c r="L240" s="136">
        <f t="shared" si="16"/>
        <v>0</v>
      </c>
      <c r="M240" s="284"/>
      <c r="N240" s="285"/>
      <c r="O240" s="136">
        <f t="shared" si="17"/>
        <v>0</v>
      </c>
      <c r="P240" s="85"/>
    </row>
    <row r="241" spans="1:16" ht="24" hidden="1" x14ac:dyDescent="0.25">
      <c r="A241" s="276">
        <v>6250</v>
      </c>
      <c r="B241" s="127" t="s">
        <v>257</v>
      </c>
      <c r="C241" s="278">
        <f t="shared" si="13"/>
        <v>0</v>
      </c>
      <c r="D241" s="277">
        <f>SUM(D242:D246)</f>
        <v>0</v>
      </c>
      <c r="E241" s="278">
        <f>SUM(E242:E246)</f>
        <v>0</v>
      </c>
      <c r="F241" s="279">
        <f t="shared" si="14"/>
        <v>0</v>
      </c>
      <c r="G241" s="277">
        <f>SUM(G242:G246)</f>
        <v>0</v>
      </c>
      <c r="H241" s="280">
        <f>SUM(H242:H246)</f>
        <v>0</v>
      </c>
      <c r="I241" s="136">
        <f t="shared" si="15"/>
        <v>0</v>
      </c>
      <c r="J241" s="277">
        <f>SUM(J242:J246)</f>
        <v>0</v>
      </c>
      <c r="K241" s="280">
        <f>SUM(K242:K246)</f>
        <v>0</v>
      </c>
      <c r="L241" s="136">
        <f t="shared" si="16"/>
        <v>0</v>
      </c>
      <c r="M241" s="281">
        <f>SUM(M242:M246)</f>
        <v>0</v>
      </c>
      <c r="N241" s="282">
        <f>SUM(N242:N246)</f>
        <v>0</v>
      </c>
      <c r="O241" s="136">
        <f t="shared" si="17"/>
        <v>0</v>
      </c>
      <c r="P241" s="85"/>
    </row>
    <row r="242" spans="1:16" hidden="1" x14ac:dyDescent="0.25">
      <c r="A242" s="76">
        <v>6252</v>
      </c>
      <c r="B242" s="127" t="s">
        <v>258</v>
      </c>
      <c r="C242" s="278">
        <f t="shared" si="13"/>
        <v>0</v>
      </c>
      <c r="D242" s="134"/>
      <c r="E242" s="283"/>
      <c r="F242" s="279">
        <f t="shared" si="14"/>
        <v>0</v>
      </c>
      <c r="G242" s="134"/>
      <c r="H242" s="135"/>
      <c r="I242" s="136">
        <f t="shared" si="15"/>
        <v>0</v>
      </c>
      <c r="J242" s="134"/>
      <c r="K242" s="135"/>
      <c r="L242" s="136">
        <f t="shared" si="16"/>
        <v>0</v>
      </c>
      <c r="M242" s="284"/>
      <c r="N242" s="285"/>
      <c r="O242" s="136">
        <f t="shared" si="17"/>
        <v>0</v>
      </c>
      <c r="P242" s="85"/>
    </row>
    <row r="243" spans="1:16" hidden="1" x14ac:dyDescent="0.25">
      <c r="A243" s="76">
        <v>6253</v>
      </c>
      <c r="B243" s="127" t="s">
        <v>259</v>
      </c>
      <c r="C243" s="278">
        <f t="shared" si="13"/>
        <v>0</v>
      </c>
      <c r="D243" s="134"/>
      <c r="E243" s="283"/>
      <c r="F243" s="279">
        <f t="shared" si="14"/>
        <v>0</v>
      </c>
      <c r="G243" s="134"/>
      <c r="H243" s="135"/>
      <c r="I243" s="136">
        <f t="shared" si="15"/>
        <v>0</v>
      </c>
      <c r="J243" s="134"/>
      <c r="K243" s="135"/>
      <c r="L243" s="136">
        <f t="shared" si="16"/>
        <v>0</v>
      </c>
      <c r="M243" s="284"/>
      <c r="N243" s="285"/>
      <c r="O243" s="136">
        <f t="shared" si="17"/>
        <v>0</v>
      </c>
      <c r="P243" s="85"/>
    </row>
    <row r="244" spans="1:16" ht="24" hidden="1" x14ac:dyDescent="0.25">
      <c r="A244" s="76">
        <v>6254</v>
      </c>
      <c r="B244" s="127" t="s">
        <v>260</v>
      </c>
      <c r="C244" s="278">
        <f t="shared" si="13"/>
        <v>0</v>
      </c>
      <c r="D244" s="134"/>
      <c r="E244" s="283"/>
      <c r="F244" s="279">
        <f t="shared" si="14"/>
        <v>0</v>
      </c>
      <c r="G244" s="134"/>
      <c r="H244" s="135"/>
      <c r="I244" s="136">
        <f t="shared" si="15"/>
        <v>0</v>
      </c>
      <c r="J244" s="134"/>
      <c r="K244" s="135"/>
      <c r="L244" s="136">
        <f t="shared" si="16"/>
        <v>0</v>
      </c>
      <c r="M244" s="284"/>
      <c r="N244" s="285"/>
      <c r="O244" s="136">
        <f t="shared" si="17"/>
        <v>0</v>
      </c>
      <c r="P244" s="85"/>
    </row>
    <row r="245" spans="1:16" ht="24" hidden="1" x14ac:dyDescent="0.25">
      <c r="A245" s="76">
        <v>6255</v>
      </c>
      <c r="B245" s="127" t="s">
        <v>261</v>
      </c>
      <c r="C245" s="278">
        <f t="shared" ref="C245:C286" si="18">F245+I245+L245+O245</f>
        <v>0</v>
      </c>
      <c r="D245" s="134"/>
      <c r="E245" s="283"/>
      <c r="F245" s="279">
        <f t="shared" ref="F245:F299" si="19">D245+E245</f>
        <v>0</v>
      </c>
      <c r="G245" s="134"/>
      <c r="H245" s="135"/>
      <c r="I245" s="136">
        <f t="shared" ref="I245:I299" si="20">G245+H245</f>
        <v>0</v>
      </c>
      <c r="J245" s="134"/>
      <c r="K245" s="135"/>
      <c r="L245" s="136">
        <f t="shared" ref="L245:L299" si="21">J245+K245</f>
        <v>0</v>
      </c>
      <c r="M245" s="284"/>
      <c r="N245" s="285"/>
      <c r="O245" s="136">
        <f t="shared" ref="O245:O277" si="22">M245+N245</f>
        <v>0</v>
      </c>
      <c r="P245" s="85"/>
    </row>
    <row r="246" spans="1:16" hidden="1" x14ac:dyDescent="0.25">
      <c r="A246" s="76">
        <v>6259</v>
      </c>
      <c r="B246" s="127" t="s">
        <v>262</v>
      </c>
      <c r="C246" s="278">
        <f t="shared" si="18"/>
        <v>0</v>
      </c>
      <c r="D246" s="134"/>
      <c r="E246" s="283"/>
      <c r="F246" s="279">
        <f t="shared" si="19"/>
        <v>0</v>
      </c>
      <c r="G246" s="134"/>
      <c r="H246" s="135"/>
      <c r="I246" s="136">
        <f t="shared" si="20"/>
        <v>0</v>
      </c>
      <c r="J246" s="134"/>
      <c r="K246" s="135"/>
      <c r="L246" s="136">
        <f t="shared" si="21"/>
        <v>0</v>
      </c>
      <c r="M246" s="284"/>
      <c r="N246" s="285"/>
      <c r="O246" s="136">
        <f t="shared" si="22"/>
        <v>0</v>
      </c>
      <c r="P246" s="85"/>
    </row>
    <row r="247" spans="1:16" ht="24" hidden="1" x14ac:dyDescent="0.25">
      <c r="A247" s="276">
        <v>6260</v>
      </c>
      <c r="B247" s="127" t="s">
        <v>263</v>
      </c>
      <c r="C247" s="278">
        <f t="shared" si="18"/>
        <v>0</v>
      </c>
      <c r="D247" s="134"/>
      <c r="E247" s="283"/>
      <c r="F247" s="279">
        <f t="shared" si="19"/>
        <v>0</v>
      </c>
      <c r="G247" s="134"/>
      <c r="H247" s="135"/>
      <c r="I247" s="136">
        <f t="shared" si="20"/>
        <v>0</v>
      </c>
      <c r="J247" s="134"/>
      <c r="K247" s="135"/>
      <c r="L247" s="136">
        <f t="shared" si="21"/>
        <v>0</v>
      </c>
      <c r="M247" s="284"/>
      <c r="N247" s="285"/>
      <c r="O247" s="136">
        <f t="shared" si="22"/>
        <v>0</v>
      </c>
      <c r="P247" s="85"/>
    </row>
    <row r="248" spans="1:16" hidden="1" x14ac:dyDescent="0.25">
      <c r="A248" s="276">
        <v>6270</v>
      </c>
      <c r="B248" s="127" t="s">
        <v>264</v>
      </c>
      <c r="C248" s="278">
        <f t="shared" si="18"/>
        <v>0</v>
      </c>
      <c r="D248" s="134"/>
      <c r="E248" s="283"/>
      <c r="F248" s="279">
        <f t="shared" si="19"/>
        <v>0</v>
      </c>
      <c r="G248" s="134"/>
      <c r="H248" s="135"/>
      <c r="I248" s="136">
        <f t="shared" si="20"/>
        <v>0</v>
      </c>
      <c r="J248" s="134"/>
      <c r="K248" s="135"/>
      <c r="L248" s="136">
        <f t="shared" si="21"/>
        <v>0</v>
      </c>
      <c r="M248" s="284"/>
      <c r="N248" s="285"/>
      <c r="O248" s="136">
        <f t="shared" si="22"/>
        <v>0</v>
      </c>
      <c r="P248" s="85"/>
    </row>
    <row r="249" spans="1:16" ht="24" hidden="1" x14ac:dyDescent="0.25">
      <c r="A249" s="1036">
        <v>6290</v>
      </c>
      <c r="B249" s="116" t="s">
        <v>265</v>
      </c>
      <c r="C249" s="278">
        <f t="shared" si="18"/>
        <v>0</v>
      </c>
      <c r="D249" s="297">
        <f>SUM(D250:D253)</f>
        <v>0</v>
      </c>
      <c r="E249" s="298">
        <f>SUM(E250:E253)</f>
        <v>0</v>
      </c>
      <c r="F249" s="296">
        <f t="shared" si="19"/>
        <v>0</v>
      </c>
      <c r="G249" s="297">
        <f>SUM(G250:G253)</f>
        <v>0</v>
      </c>
      <c r="H249" s="299">
        <f>SUM(H250:H253)</f>
        <v>0</v>
      </c>
      <c r="I249" s="125">
        <f t="shared" si="20"/>
        <v>0</v>
      </c>
      <c r="J249" s="297">
        <f>SUM(J250:J253)</f>
        <v>0</v>
      </c>
      <c r="K249" s="299">
        <f>SUM(K250:K253)</f>
        <v>0</v>
      </c>
      <c r="L249" s="125">
        <f t="shared" si="21"/>
        <v>0</v>
      </c>
      <c r="M249" s="322">
        <f>SUM(M250:M253)</f>
        <v>0</v>
      </c>
      <c r="N249" s="323">
        <f>SUM(N250:N253)</f>
        <v>0</v>
      </c>
      <c r="O249" s="324">
        <f t="shared" si="22"/>
        <v>0</v>
      </c>
      <c r="P249" s="325"/>
    </row>
    <row r="250" spans="1:16" hidden="1" x14ac:dyDescent="0.25">
      <c r="A250" s="76">
        <v>6291</v>
      </c>
      <c r="B250" s="127" t="s">
        <v>266</v>
      </c>
      <c r="C250" s="278">
        <f t="shared" si="18"/>
        <v>0</v>
      </c>
      <c r="D250" s="134"/>
      <c r="E250" s="283"/>
      <c r="F250" s="279">
        <f t="shared" si="19"/>
        <v>0</v>
      </c>
      <c r="G250" s="134"/>
      <c r="H250" s="135"/>
      <c r="I250" s="136">
        <f t="shared" si="20"/>
        <v>0</v>
      </c>
      <c r="J250" s="134"/>
      <c r="K250" s="135"/>
      <c r="L250" s="136">
        <f t="shared" si="21"/>
        <v>0</v>
      </c>
      <c r="M250" s="284"/>
      <c r="N250" s="285"/>
      <c r="O250" s="136">
        <f t="shared" si="22"/>
        <v>0</v>
      </c>
      <c r="P250" s="85"/>
    </row>
    <row r="251" spans="1:16" hidden="1" x14ac:dyDescent="0.25">
      <c r="A251" s="76">
        <v>6292</v>
      </c>
      <c r="B251" s="127" t="s">
        <v>267</v>
      </c>
      <c r="C251" s="278">
        <f t="shared" si="18"/>
        <v>0</v>
      </c>
      <c r="D251" s="134"/>
      <c r="E251" s="283"/>
      <c r="F251" s="279">
        <f t="shared" si="19"/>
        <v>0</v>
      </c>
      <c r="G251" s="134"/>
      <c r="H251" s="135"/>
      <c r="I251" s="136">
        <f t="shared" si="20"/>
        <v>0</v>
      </c>
      <c r="J251" s="134"/>
      <c r="K251" s="135"/>
      <c r="L251" s="136">
        <f t="shared" si="21"/>
        <v>0</v>
      </c>
      <c r="M251" s="284"/>
      <c r="N251" s="285"/>
      <c r="O251" s="136">
        <f t="shared" si="22"/>
        <v>0</v>
      </c>
      <c r="P251" s="85"/>
    </row>
    <row r="252" spans="1:16" ht="72" hidden="1" x14ac:dyDescent="0.25">
      <c r="A252" s="76">
        <v>6296</v>
      </c>
      <c r="B252" s="127" t="s">
        <v>268</v>
      </c>
      <c r="C252" s="278">
        <f t="shared" si="18"/>
        <v>0</v>
      </c>
      <c r="D252" s="134"/>
      <c r="E252" s="283"/>
      <c r="F252" s="279">
        <f t="shared" si="19"/>
        <v>0</v>
      </c>
      <c r="G252" s="134"/>
      <c r="H252" s="135"/>
      <c r="I252" s="136">
        <f t="shared" si="20"/>
        <v>0</v>
      </c>
      <c r="J252" s="134"/>
      <c r="K252" s="135"/>
      <c r="L252" s="136">
        <f t="shared" si="21"/>
        <v>0</v>
      </c>
      <c r="M252" s="284"/>
      <c r="N252" s="285"/>
      <c r="O252" s="136">
        <f t="shared" si="22"/>
        <v>0</v>
      </c>
      <c r="P252" s="85"/>
    </row>
    <row r="253" spans="1:16" ht="36" hidden="1" x14ac:dyDescent="0.25">
      <c r="A253" s="76">
        <v>6299</v>
      </c>
      <c r="B253" s="127" t="s">
        <v>269</v>
      </c>
      <c r="C253" s="278">
        <f t="shared" si="18"/>
        <v>0</v>
      </c>
      <c r="D253" s="134"/>
      <c r="E253" s="283"/>
      <c r="F253" s="279">
        <f t="shared" si="19"/>
        <v>0</v>
      </c>
      <c r="G253" s="134"/>
      <c r="H253" s="135"/>
      <c r="I253" s="136">
        <f t="shared" si="20"/>
        <v>0</v>
      </c>
      <c r="J253" s="134"/>
      <c r="K253" s="135"/>
      <c r="L253" s="136">
        <f t="shared" si="21"/>
        <v>0</v>
      </c>
      <c r="M253" s="284"/>
      <c r="N253" s="285"/>
      <c r="O253" s="136">
        <f t="shared" si="22"/>
        <v>0</v>
      </c>
      <c r="P253" s="85"/>
    </row>
    <row r="254" spans="1:16" hidden="1" x14ac:dyDescent="0.25">
      <c r="A254" s="99">
        <v>6300</v>
      </c>
      <c r="B254" s="247" t="s">
        <v>270</v>
      </c>
      <c r="C254" s="100">
        <f t="shared" si="18"/>
        <v>0</v>
      </c>
      <c r="D254" s="112">
        <f>SUM(D255,D259,D260)</f>
        <v>0</v>
      </c>
      <c r="E254" s="248">
        <f>SUM(E255,E259,E260)</f>
        <v>0</v>
      </c>
      <c r="F254" s="249">
        <f t="shared" si="19"/>
        <v>0</v>
      </c>
      <c r="G254" s="112">
        <f>SUM(G255,G259,G260)</f>
        <v>0</v>
      </c>
      <c r="H254" s="113">
        <f>SUM(H255,H259,H260)</f>
        <v>0</v>
      </c>
      <c r="I254" s="114">
        <f t="shared" si="20"/>
        <v>0</v>
      </c>
      <c r="J254" s="112">
        <f>SUM(J255,J259,J260)</f>
        <v>0</v>
      </c>
      <c r="K254" s="113">
        <f>SUM(K255,K259,K260)</f>
        <v>0</v>
      </c>
      <c r="L254" s="114">
        <f t="shared" si="21"/>
        <v>0</v>
      </c>
      <c r="M254" s="303">
        <f>SUM(M255,M259,M260)</f>
        <v>0</v>
      </c>
      <c r="N254" s="304">
        <f>SUM(N255,N259,N260)</f>
        <v>0</v>
      </c>
      <c r="O254" s="305">
        <f t="shared" si="22"/>
        <v>0</v>
      </c>
      <c r="P254" s="306"/>
    </row>
    <row r="255" spans="1:16" ht="24" hidden="1" x14ac:dyDescent="0.25">
      <c r="A255" s="1036">
        <v>6320</v>
      </c>
      <c r="B255" s="116" t="s">
        <v>271</v>
      </c>
      <c r="C255" s="322">
        <f t="shared" si="18"/>
        <v>0</v>
      </c>
      <c r="D255" s="297">
        <f>SUM(D256:D258)</f>
        <v>0</v>
      </c>
      <c r="E255" s="298">
        <f>SUM(E256:E258)</f>
        <v>0</v>
      </c>
      <c r="F255" s="296">
        <f t="shared" si="19"/>
        <v>0</v>
      </c>
      <c r="G255" s="297">
        <f>SUM(G256:G258)</f>
        <v>0</v>
      </c>
      <c r="H255" s="299">
        <f>SUM(H256:H258)</f>
        <v>0</v>
      </c>
      <c r="I255" s="125">
        <f t="shared" si="20"/>
        <v>0</v>
      </c>
      <c r="J255" s="297">
        <f>SUM(J256:J258)</f>
        <v>0</v>
      </c>
      <c r="K255" s="299">
        <f>SUM(K256:K258)</f>
        <v>0</v>
      </c>
      <c r="L255" s="125">
        <f t="shared" si="21"/>
        <v>0</v>
      </c>
      <c r="M255" s="300">
        <f>SUM(M256:M258)</f>
        <v>0</v>
      </c>
      <c r="N255" s="301">
        <f>SUM(N256:N258)</f>
        <v>0</v>
      </c>
      <c r="O255" s="125">
        <f t="shared" si="22"/>
        <v>0</v>
      </c>
      <c r="P255" s="74"/>
    </row>
    <row r="256" spans="1:16" hidden="1" x14ac:dyDescent="0.25">
      <c r="A256" s="76">
        <v>6322</v>
      </c>
      <c r="B256" s="127" t="s">
        <v>272</v>
      </c>
      <c r="C256" s="281">
        <f t="shared" si="18"/>
        <v>0</v>
      </c>
      <c r="D256" s="134"/>
      <c r="E256" s="283"/>
      <c r="F256" s="279">
        <f t="shared" si="19"/>
        <v>0</v>
      </c>
      <c r="G256" s="134"/>
      <c r="H256" s="135"/>
      <c r="I256" s="136">
        <f t="shared" si="20"/>
        <v>0</v>
      </c>
      <c r="J256" s="134"/>
      <c r="K256" s="135"/>
      <c r="L256" s="136">
        <f t="shared" si="21"/>
        <v>0</v>
      </c>
      <c r="M256" s="284"/>
      <c r="N256" s="285"/>
      <c r="O256" s="136">
        <f t="shared" si="22"/>
        <v>0</v>
      </c>
      <c r="P256" s="85"/>
    </row>
    <row r="257" spans="1:16" ht="24" hidden="1" x14ac:dyDescent="0.25">
      <c r="A257" s="76">
        <v>6323</v>
      </c>
      <c r="B257" s="127" t="s">
        <v>273</v>
      </c>
      <c r="C257" s="281">
        <f t="shared" si="18"/>
        <v>0</v>
      </c>
      <c r="D257" s="134"/>
      <c r="E257" s="283"/>
      <c r="F257" s="279">
        <f t="shared" si="19"/>
        <v>0</v>
      </c>
      <c r="G257" s="134"/>
      <c r="H257" s="135"/>
      <c r="I257" s="136">
        <f t="shared" si="20"/>
        <v>0</v>
      </c>
      <c r="J257" s="134"/>
      <c r="K257" s="135"/>
      <c r="L257" s="136">
        <f t="shared" si="21"/>
        <v>0</v>
      </c>
      <c r="M257" s="284"/>
      <c r="N257" s="285"/>
      <c r="O257" s="136">
        <f t="shared" si="22"/>
        <v>0</v>
      </c>
      <c r="P257" s="85"/>
    </row>
    <row r="258" spans="1:16" ht="24" hidden="1" x14ac:dyDescent="0.25">
      <c r="A258" s="66">
        <v>6324</v>
      </c>
      <c r="B258" s="116" t="s">
        <v>274</v>
      </c>
      <c r="C258" s="281">
        <f t="shared" si="18"/>
        <v>0</v>
      </c>
      <c r="D258" s="123"/>
      <c r="E258" s="295"/>
      <c r="F258" s="296">
        <f t="shared" si="19"/>
        <v>0</v>
      </c>
      <c r="G258" s="123"/>
      <c r="H258" s="124"/>
      <c r="I258" s="125">
        <f t="shared" si="20"/>
        <v>0</v>
      </c>
      <c r="J258" s="123"/>
      <c r="K258" s="124"/>
      <c r="L258" s="125">
        <f t="shared" si="21"/>
        <v>0</v>
      </c>
      <c r="M258" s="264"/>
      <c r="N258" s="262"/>
      <c r="O258" s="125">
        <f t="shared" si="22"/>
        <v>0</v>
      </c>
      <c r="P258" s="74"/>
    </row>
    <row r="259" spans="1:16" ht="24" hidden="1" x14ac:dyDescent="0.25">
      <c r="A259" s="344">
        <v>6330</v>
      </c>
      <c r="B259" s="345" t="s">
        <v>275</v>
      </c>
      <c r="C259" s="281">
        <f t="shared" si="18"/>
        <v>0</v>
      </c>
      <c r="D259" s="328"/>
      <c r="E259" s="683"/>
      <c r="F259" s="647">
        <f t="shared" si="19"/>
        <v>0</v>
      </c>
      <c r="G259" s="328"/>
      <c r="H259" s="331"/>
      <c r="I259" s="324">
        <f t="shared" si="20"/>
        <v>0</v>
      </c>
      <c r="J259" s="328"/>
      <c r="K259" s="331"/>
      <c r="L259" s="324">
        <f t="shared" si="21"/>
        <v>0</v>
      </c>
      <c r="M259" s="332"/>
      <c r="N259" s="329"/>
      <c r="O259" s="324">
        <f t="shared" si="22"/>
        <v>0</v>
      </c>
      <c r="P259" s="325"/>
    </row>
    <row r="260" spans="1:16" hidden="1" x14ac:dyDescent="0.25">
      <c r="A260" s="276">
        <v>6360</v>
      </c>
      <c r="B260" s="127" t="s">
        <v>276</v>
      </c>
      <c r="C260" s="281">
        <f t="shared" si="18"/>
        <v>0</v>
      </c>
      <c r="D260" s="134"/>
      <c r="E260" s="283"/>
      <c r="F260" s="279">
        <f t="shared" si="19"/>
        <v>0</v>
      </c>
      <c r="G260" s="134"/>
      <c r="H260" s="135"/>
      <c r="I260" s="136">
        <f t="shared" si="20"/>
        <v>0</v>
      </c>
      <c r="J260" s="134"/>
      <c r="K260" s="135"/>
      <c r="L260" s="136">
        <f t="shared" si="21"/>
        <v>0</v>
      </c>
      <c r="M260" s="284"/>
      <c r="N260" s="285"/>
      <c r="O260" s="136">
        <f t="shared" si="22"/>
        <v>0</v>
      </c>
      <c r="P260" s="85"/>
    </row>
    <row r="261" spans="1:16" ht="36" hidden="1" x14ac:dyDescent="0.25">
      <c r="A261" s="99">
        <v>6400</v>
      </c>
      <c r="B261" s="247" t="s">
        <v>277</v>
      </c>
      <c r="C261" s="100">
        <f t="shared" si="18"/>
        <v>0</v>
      </c>
      <c r="D261" s="112">
        <f>SUM(D262,D266)</f>
        <v>0</v>
      </c>
      <c r="E261" s="248">
        <f>SUM(E262,E266)</f>
        <v>0</v>
      </c>
      <c r="F261" s="249">
        <f t="shared" si="19"/>
        <v>0</v>
      </c>
      <c r="G261" s="112">
        <f>SUM(G262,G266)</f>
        <v>0</v>
      </c>
      <c r="H261" s="113">
        <f>SUM(H262,H266)</f>
        <v>0</v>
      </c>
      <c r="I261" s="114">
        <f t="shared" si="20"/>
        <v>0</v>
      </c>
      <c r="J261" s="112">
        <f>SUM(J262,J266)</f>
        <v>0</v>
      </c>
      <c r="K261" s="113">
        <f>SUM(K262,K266)</f>
        <v>0</v>
      </c>
      <c r="L261" s="114">
        <f t="shared" si="21"/>
        <v>0</v>
      </c>
      <c r="M261" s="303">
        <f>SUM(M262,M266)</f>
        <v>0</v>
      </c>
      <c r="N261" s="304">
        <f>SUM(N262,N266)</f>
        <v>0</v>
      </c>
      <c r="O261" s="305">
        <f t="shared" si="22"/>
        <v>0</v>
      </c>
      <c r="P261" s="306"/>
    </row>
    <row r="262" spans="1:16" ht="24" hidden="1" x14ac:dyDescent="0.25">
      <c r="A262" s="1036">
        <v>6410</v>
      </c>
      <c r="B262" s="116" t="s">
        <v>278</v>
      </c>
      <c r="C262" s="300">
        <f t="shared" si="18"/>
        <v>0</v>
      </c>
      <c r="D262" s="297">
        <f>SUM(D263:D265)</f>
        <v>0</v>
      </c>
      <c r="E262" s="298">
        <f>SUM(E263:E265)</f>
        <v>0</v>
      </c>
      <c r="F262" s="296">
        <f t="shared" si="19"/>
        <v>0</v>
      </c>
      <c r="G262" s="297">
        <f>SUM(G263:G265)</f>
        <v>0</v>
      </c>
      <c r="H262" s="299">
        <f>SUM(H263:H265)</f>
        <v>0</v>
      </c>
      <c r="I262" s="125">
        <f t="shared" si="20"/>
        <v>0</v>
      </c>
      <c r="J262" s="297">
        <f>SUM(J263:J265)</f>
        <v>0</v>
      </c>
      <c r="K262" s="299">
        <f>SUM(K263:K265)</f>
        <v>0</v>
      </c>
      <c r="L262" s="125">
        <f t="shared" si="21"/>
        <v>0</v>
      </c>
      <c r="M262" s="317">
        <f>SUM(M263:M265)</f>
        <v>0</v>
      </c>
      <c r="N262" s="318">
        <f>SUM(N263:N265)</f>
        <v>0</v>
      </c>
      <c r="O262" s="151">
        <f t="shared" si="22"/>
        <v>0</v>
      </c>
      <c r="P262" s="153"/>
    </row>
    <row r="263" spans="1:16" hidden="1" x14ac:dyDescent="0.25">
      <c r="A263" s="76">
        <v>6411</v>
      </c>
      <c r="B263" s="346" t="s">
        <v>279</v>
      </c>
      <c r="C263" s="278">
        <f t="shared" si="18"/>
        <v>0</v>
      </c>
      <c r="D263" s="134"/>
      <c r="E263" s="283"/>
      <c r="F263" s="279">
        <f t="shared" si="19"/>
        <v>0</v>
      </c>
      <c r="G263" s="134"/>
      <c r="H263" s="135"/>
      <c r="I263" s="136">
        <f t="shared" si="20"/>
        <v>0</v>
      </c>
      <c r="J263" s="134"/>
      <c r="K263" s="135"/>
      <c r="L263" s="136">
        <f t="shared" si="21"/>
        <v>0</v>
      </c>
      <c r="M263" s="284"/>
      <c r="N263" s="285"/>
      <c r="O263" s="136">
        <f t="shared" si="22"/>
        <v>0</v>
      </c>
      <c r="P263" s="85"/>
    </row>
    <row r="264" spans="1:16" ht="36" hidden="1" x14ac:dyDescent="0.25">
      <c r="A264" s="76">
        <v>6412</v>
      </c>
      <c r="B264" s="127" t="s">
        <v>280</v>
      </c>
      <c r="C264" s="278">
        <f t="shared" si="18"/>
        <v>0</v>
      </c>
      <c r="D264" s="134"/>
      <c r="E264" s="283"/>
      <c r="F264" s="279">
        <f t="shared" si="19"/>
        <v>0</v>
      </c>
      <c r="G264" s="134"/>
      <c r="H264" s="135"/>
      <c r="I264" s="136">
        <f t="shared" si="20"/>
        <v>0</v>
      </c>
      <c r="J264" s="134"/>
      <c r="K264" s="135"/>
      <c r="L264" s="136">
        <f t="shared" si="21"/>
        <v>0</v>
      </c>
      <c r="M264" s="284"/>
      <c r="N264" s="285"/>
      <c r="O264" s="136">
        <f t="shared" si="22"/>
        <v>0</v>
      </c>
      <c r="P264" s="85"/>
    </row>
    <row r="265" spans="1:16" ht="36" hidden="1" x14ac:dyDescent="0.25">
      <c r="A265" s="76">
        <v>6419</v>
      </c>
      <c r="B265" s="127" t="s">
        <v>281</v>
      </c>
      <c r="C265" s="278">
        <f t="shared" si="18"/>
        <v>0</v>
      </c>
      <c r="D265" s="134"/>
      <c r="E265" s="283"/>
      <c r="F265" s="279">
        <f t="shared" si="19"/>
        <v>0</v>
      </c>
      <c r="G265" s="134"/>
      <c r="H265" s="135"/>
      <c r="I265" s="136">
        <f t="shared" si="20"/>
        <v>0</v>
      </c>
      <c r="J265" s="134"/>
      <c r="K265" s="135"/>
      <c r="L265" s="136">
        <f t="shared" si="21"/>
        <v>0</v>
      </c>
      <c r="M265" s="284"/>
      <c r="N265" s="285"/>
      <c r="O265" s="136">
        <f t="shared" si="22"/>
        <v>0</v>
      </c>
      <c r="P265" s="85"/>
    </row>
    <row r="266" spans="1:16" ht="36" hidden="1" x14ac:dyDescent="0.25">
      <c r="A266" s="276">
        <v>6420</v>
      </c>
      <c r="B266" s="127" t="s">
        <v>282</v>
      </c>
      <c r="C266" s="278">
        <f t="shared" si="18"/>
        <v>0</v>
      </c>
      <c r="D266" s="277">
        <f>SUM(D267:D270)</f>
        <v>0</v>
      </c>
      <c r="E266" s="278">
        <f>SUM(E267:E270)</f>
        <v>0</v>
      </c>
      <c r="F266" s="279">
        <f t="shared" si="19"/>
        <v>0</v>
      </c>
      <c r="G266" s="277">
        <f>SUM(G267:G270)</f>
        <v>0</v>
      </c>
      <c r="H266" s="280">
        <f>SUM(H267:H270)</f>
        <v>0</v>
      </c>
      <c r="I266" s="136">
        <f t="shared" si="20"/>
        <v>0</v>
      </c>
      <c r="J266" s="277">
        <f>SUM(J267:J270)</f>
        <v>0</v>
      </c>
      <c r="K266" s="280">
        <f>SUM(K267:K270)</f>
        <v>0</v>
      </c>
      <c r="L266" s="136">
        <f t="shared" si="21"/>
        <v>0</v>
      </c>
      <c r="M266" s="281">
        <f>SUM(M267:M270)</f>
        <v>0</v>
      </c>
      <c r="N266" s="282">
        <f>SUM(N267:N270)</f>
        <v>0</v>
      </c>
      <c r="O266" s="136">
        <f t="shared" si="22"/>
        <v>0</v>
      </c>
      <c r="P266" s="85"/>
    </row>
    <row r="267" spans="1:16" hidden="1" x14ac:dyDescent="0.25">
      <c r="A267" s="76">
        <v>6421</v>
      </c>
      <c r="B267" s="127" t="s">
        <v>283</v>
      </c>
      <c r="C267" s="278">
        <f t="shared" si="18"/>
        <v>0</v>
      </c>
      <c r="D267" s="134"/>
      <c r="E267" s="283"/>
      <c r="F267" s="279">
        <f t="shared" si="19"/>
        <v>0</v>
      </c>
      <c r="G267" s="134"/>
      <c r="H267" s="135"/>
      <c r="I267" s="136">
        <f t="shared" si="20"/>
        <v>0</v>
      </c>
      <c r="J267" s="134"/>
      <c r="K267" s="135"/>
      <c r="L267" s="136">
        <f t="shared" si="21"/>
        <v>0</v>
      </c>
      <c r="M267" s="284"/>
      <c r="N267" s="285"/>
      <c r="O267" s="136">
        <f t="shared" si="22"/>
        <v>0</v>
      </c>
      <c r="P267" s="85"/>
    </row>
    <row r="268" spans="1:16" hidden="1" x14ac:dyDescent="0.25">
      <c r="A268" s="76">
        <v>6422</v>
      </c>
      <c r="B268" s="127" t="s">
        <v>284</v>
      </c>
      <c r="C268" s="278">
        <f t="shared" si="18"/>
        <v>0</v>
      </c>
      <c r="D268" s="134"/>
      <c r="E268" s="283"/>
      <c r="F268" s="279">
        <f t="shared" si="19"/>
        <v>0</v>
      </c>
      <c r="G268" s="134"/>
      <c r="H268" s="135"/>
      <c r="I268" s="136">
        <f t="shared" si="20"/>
        <v>0</v>
      </c>
      <c r="J268" s="134"/>
      <c r="K268" s="135"/>
      <c r="L268" s="136">
        <f t="shared" si="21"/>
        <v>0</v>
      </c>
      <c r="M268" s="284"/>
      <c r="N268" s="285"/>
      <c r="O268" s="136">
        <f t="shared" si="22"/>
        <v>0</v>
      </c>
      <c r="P268" s="85"/>
    </row>
    <row r="269" spans="1:16" ht="24" hidden="1" x14ac:dyDescent="0.25">
      <c r="A269" s="76">
        <v>6423</v>
      </c>
      <c r="B269" s="127" t="s">
        <v>285</v>
      </c>
      <c r="C269" s="278">
        <f t="shared" si="18"/>
        <v>0</v>
      </c>
      <c r="D269" s="134"/>
      <c r="E269" s="283"/>
      <c r="F269" s="279">
        <f t="shared" si="19"/>
        <v>0</v>
      </c>
      <c r="G269" s="134"/>
      <c r="H269" s="135"/>
      <c r="I269" s="136">
        <f t="shared" si="20"/>
        <v>0</v>
      </c>
      <c r="J269" s="134"/>
      <c r="K269" s="135"/>
      <c r="L269" s="136">
        <f t="shared" si="21"/>
        <v>0</v>
      </c>
      <c r="M269" s="284"/>
      <c r="N269" s="285"/>
      <c r="O269" s="136">
        <f t="shared" si="22"/>
        <v>0</v>
      </c>
      <c r="P269" s="85"/>
    </row>
    <row r="270" spans="1:16" ht="36" hidden="1" x14ac:dyDescent="0.25">
      <c r="A270" s="76">
        <v>6424</v>
      </c>
      <c r="B270" s="127" t="s">
        <v>286</v>
      </c>
      <c r="C270" s="278">
        <f t="shared" si="18"/>
        <v>0</v>
      </c>
      <c r="D270" s="134"/>
      <c r="E270" s="283"/>
      <c r="F270" s="279">
        <f t="shared" si="19"/>
        <v>0</v>
      </c>
      <c r="G270" s="134"/>
      <c r="H270" s="135"/>
      <c r="I270" s="136">
        <f t="shared" si="20"/>
        <v>0</v>
      </c>
      <c r="J270" s="134"/>
      <c r="K270" s="135"/>
      <c r="L270" s="136">
        <f t="shared" si="21"/>
        <v>0</v>
      </c>
      <c r="M270" s="284"/>
      <c r="N270" s="285"/>
      <c r="O270" s="136">
        <f t="shared" si="22"/>
        <v>0</v>
      </c>
      <c r="P270" s="85"/>
    </row>
    <row r="271" spans="1:16" ht="36" hidden="1" x14ac:dyDescent="0.25">
      <c r="A271" s="347">
        <v>7000</v>
      </c>
      <c r="B271" s="347" t="s">
        <v>287</v>
      </c>
      <c r="C271" s="348">
        <f t="shared" si="18"/>
        <v>0</v>
      </c>
      <c r="D271" s="349">
        <f>SUM(D272,D282)</f>
        <v>0</v>
      </c>
      <c r="E271" s="350">
        <f>SUM(E272,E282)</f>
        <v>0</v>
      </c>
      <c r="F271" s="351">
        <f t="shared" si="19"/>
        <v>0</v>
      </c>
      <c r="G271" s="349">
        <f>SUM(G272,G282)</f>
        <v>0</v>
      </c>
      <c r="H271" s="352">
        <f>SUM(H272,H282)</f>
        <v>0</v>
      </c>
      <c r="I271" s="353">
        <f t="shared" si="20"/>
        <v>0</v>
      </c>
      <c r="J271" s="349">
        <f>SUM(J272,J282)</f>
        <v>0</v>
      </c>
      <c r="K271" s="352">
        <f>SUM(K272,K282)</f>
        <v>0</v>
      </c>
      <c r="L271" s="353">
        <f t="shared" si="21"/>
        <v>0</v>
      </c>
      <c r="M271" s="354">
        <f>SUM(M272,M282)</f>
        <v>0</v>
      </c>
      <c r="N271" s="355">
        <f>SUM(N272,N282)</f>
        <v>0</v>
      </c>
      <c r="O271" s="356">
        <f t="shared" si="22"/>
        <v>0</v>
      </c>
      <c r="P271" s="357"/>
    </row>
    <row r="272" spans="1:16" ht="24" hidden="1" x14ac:dyDescent="0.25">
      <c r="A272" s="99">
        <v>7200</v>
      </c>
      <c r="B272" s="247" t="s">
        <v>288</v>
      </c>
      <c r="C272" s="100">
        <f t="shared" si="18"/>
        <v>0</v>
      </c>
      <c r="D272" s="112">
        <f>SUM(D273,D274,D277,D278,D281)</f>
        <v>0</v>
      </c>
      <c r="E272" s="248">
        <f>SUM(E273,E274,E277,E278,E281)</f>
        <v>0</v>
      </c>
      <c r="F272" s="249">
        <f t="shared" si="19"/>
        <v>0</v>
      </c>
      <c r="G272" s="112">
        <f>SUM(G273,G274,G277,G278,G281)</f>
        <v>0</v>
      </c>
      <c r="H272" s="113">
        <f>SUM(H273,H274,H277,H278,H281)</f>
        <v>0</v>
      </c>
      <c r="I272" s="114">
        <f t="shared" si="20"/>
        <v>0</v>
      </c>
      <c r="J272" s="112">
        <f>SUM(J273,J274,J277,J278,J281)</f>
        <v>0</v>
      </c>
      <c r="K272" s="113">
        <f>SUM(K273,K274,K277,K278,K281)</f>
        <v>0</v>
      </c>
      <c r="L272" s="114">
        <f t="shared" si="21"/>
        <v>0</v>
      </c>
      <c r="M272" s="250">
        <f>SUM(M273,M274,M277,M278,M281)</f>
        <v>0</v>
      </c>
      <c r="N272" s="251">
        <f>SUM(N273,N274,N277,N278,N281)</f>
        <v>0</v>
      </c>
      <c r="O272" s="252">
        <f t="shared" si="22"/>
        <v>0</v>
      </c>
      <c r="P272" s="253"/>
    </row>
    <row r="273" spans="1:16" ht="24" hidden="1" x14ac:dyDescent="0.25">
      <c r="A273" s="1036">
        <v>7210</v>
      </c>
      <c r="B273" s="116" t="s">
        <v>289</v>
      </c>
      <c r="C273" s="117">
        <f t="shared" si="18"/>
        <v>0</v>
      </c>
      <c r="D273" s="123"/>
      <c r="E273" s="295"/>
      <c r="F273" s="296">
        <f t="shared" si="19"/>
        <v>0</v>
      </c>
      <c r="G273" s="123"/>
      <c r="H273" s="124"/>
      <c r="I273" s="125">
        <f t="shared" si="20"/>
        <v>0</v>
      </c>
      <c r="J273" s="123"/>
      <c r="K273" s="124"/>
      <c r="L273" s="125">
        <f t="shared" si="21"/>
        <v>0</v>
      </c>
      <c r="M273" s="264"/>
      <c r="N273" s="262"/>
      <c r="O273" s="125">
        <f t="shared" si="22"/>
        <v>0</v>
      </c>
      <c r="P273" s="74"/>
    </row>
    <row r="274" spans="1:16" s="358" customFormat="1" ht="36" hidden="1" x14ac:dyDescent="0.25">
      <c r="A274" s="276">
        <v>7220</v>
      </c>
      <c r="B274" s="127" t="s">
        <v>290</v>
      </c>
      <c r="C274" s="128">
        <f t="shared" si="18"/>
        <v>0</v>
      </c>
      <c r="D274" s="277">
        <f>SUM(D275:D276)</f>
        <v>0</v>
      </c>
      <c r="E274" s="278">
        <f>SUM(E275:E276)</f>
        <v>0</v>
      </c>
      <c r="F274" s="279">
        <f t="shared" si="19"/>
        <v>0</v>
      </c>
      <c r="G274" s="277">
        <f>SUM(G275:G276)</f>
        <v>0</v>
      </c>
      <c r="H274" s="280">
        <f>SUM(H275:H276)</f>
        <v>0</v>
      </c>
      <c r="I274" s="136">
        <f t="shared" si="20"/>
        <v>0</v>
      </c>
      <c r="J274" s="277">
        <f>SUM(J275:J276)</f>
        <v>0</v>
      </c>
      <c r="K274" s="280">
        <f>SUM(K275:K276)</f>
        <v>0</v>
      </c>
      <c r="L274" s="136">
        <f t="shared" si="21"/>
        <v>0</v>
      </c>
      <c r="M274" s="281">
        <f>SUM(M275:M276)</f>
        <v>0</v>
      </c>
      <c r="N274" s="282">
        <f>SUM(N275:N276)</f>
        <v>0</v>
      </c>
      <c r="O274" s="136">
        <f t="shared" si="22"/>
        <v>0</v>
      </c>
      <c r="P274" s="85"/>
    </row>
    <row r="275" spans="1:16" s="358" customFormat="1" ht="36" hidden="1" x14ac:dyDescent="0.25">
      <c r="A275" s="76">
        <v>7221</v>
      </c>
      <c r="B275" s="127" t="s">
        <v>291</v>
      </c>
      <c r="C275" s="128">
        <f t="shared" si="18"/>
        <v>0</v>
      </c>
      <c r="D275" s="134"/>
      <c r="E275" s="283"/>
      <c r="F275" s="279">
        <f t="shared" si="19"/>
        <v>0</v>
      </c>
      <c r="G275" s="134"/>
      <c r="H275" s="135"/>
      <c r="I275" s="136">
        <f t="shared" si="20"/>
        <v>0</v>
      </c>
      <c r="J275" s="134"/>
      <c r="K275" s="135"/>
      <c r="L275" s="136">
        <f t="shared" si="21"/>
        <v>0</v>
      </c>
      <c r="M275" s="284"/>
      <c r="N275" s="285"/>
      <c r="O275" s="136">
        <f t="shared" si="22"/>
        <v>0</v>
      </c>
      <c r="P275" s="85"/>
    </row>
    <row r="276" spans="1:16" s="358" customFormat="1" ht="36" hidden="1" x14ac:dyDescent="0.25">
      <c r="A276" s="76">
        <v>7222</v>
      </c>
      <c r="B276" s="127" t="s">
        <v>292</v>
      </c>
      <c r="C276" s="128">
        <f t="shared" si="18"/>
        <v>0</v>
      </c>
      <c r="D276" s="134"/>
      <c r="E276" s="283"/>
      <c r="F276" s="279">
        <f t="shared" si="19"/>
        <v>0</v>
      </c>
      <c r="G276" s="134"/>
      <c r="H276" s="135"/>
      <c r="I276" s="136">
        <f t="shared" si="20"/>
        <v>0</v>
      </c>
      <c r="J276" s="134"/>
      <c r="K276" s="135"/>
      <c r="L276" s="136">
        <f t="shared" si="21"/>
        <v>0</v>
      </c>
      <c r="M276" s="284"/>
      <c r="N276" s="285"/>
      <c r="O276" s="136">
        <f t="shared" si="22"/>
        <v>0</v>
      </c>
      <c r="P276" s="85"/>
    </row>
    <row r="277" spans="1:16" s="358" customFormat="1" ht="24" hidden="1" x14ac:dyDescent="0.25">
      <c r="A277" s="276">
        <v>7230</v>
      </c>
      <c r="B277" s="127" t="s">
        <v>293</v>
      </c>
      <c r="C277" s="128">
        <f t="shared" si="18"/>
        <v>0</v>
      </c>
      <c r="D277" s="134"/>
      <c r="E277" s="283"/>
      <c r="F277" s="279">
        <f t="shared" si="19"/>
        <v>0</v>
      </c>
      <c r="G277" s="134"/>
      <c r="H277" s="135"/>
      <c r="I277" s="136">
        <f t="shared" si="20"/>
        <v>0</v>
      </c>
      <c r="J277" s="134"/>
      <c r="K277" s="135"/>
      <c r="L277" s="136">
        <f t="shared" si="21"/>
        <v>0</v>
      </c>
      <c r="M277" s="284"/>
      <c r="N277" s="285"/>
      <c r="O277" s="136">
        <f t="shared" si="22"/>
        <v>0</v>
      </c>
      <c r="P277" s="85"/>
    </row>
    <row r="278" spans="1:16" ht="24" hidden="1" x14ac:dyDescent="0.25">
      <c r="A278" s="276">
        <v>7240</v>
      </c>
      <c r="B278" s="127" t="s">
        <v>294</v>
      </c>
      <c r="C278" s="128">
        <f t="shared" si="18"/>
        <v>0</v>
      </c>
      <c r="D278" s="277">
        <f>SUM(D279:D280)</f>
        <v>0</v>
      </c>
      <c r="E278" s="278">
        <f>SUM(E279:E280)</f>
        <v>0</v>
      </c>
      <c r="F278" s="279">
        <f t="shared" si="19"/>
        <v>0</v>
      </c>
      <c r="G278" s="277">
        <f>SUM(G279:G280)</f>
        <v>0</v>
      </c>
      <c r="H278" s="280">
        <f>SUM(H279:H280)</f>
        <v>0</v>
      </c>
      <c r="I278" s="136">
        <f t="shared" si="20"/>
        <v>0</v>
      </c>
      <c r="J278" s="277">
        <f>SUM(J279:J280)</f>
        <v>0</v>
      </c>
      <c r="K278" s="280">
        <f>SUM(K279:K280)</f>
        <v>0</v>
      </c>
      <c r="L278" s="136">
        <f t="shared" si="21"/>
        <v>0</v>
      </c>
      <c r="M278" s="281">
        <f>SUM(M279:M280)</f>
        <v>0</v>
      </c>
      <c r="N278" s="282">
        <f>SUM(N279:N280)</f>
        <v>0</v>
      </c>
      <c r="O278" s="136">
        <f>SUM(O279:O280)</f>
        <v>0</v>
      </c>
      <c r="P278" s="85"/>
    </row>
    <row r="279" spans="1:16" ht="48" hidden="1" x14ac:dyDescent="0.25">
      <c r="A279" s="76">
        <v>7245</v>
      </c>
      <c r="B279" s="127" t="s">
        <v>295</v>
      </c>
      <c r="C279" s="128">
        <f t="shared" si="18"/>
        <v>0</v>
      </c>
      <c r="D279" s="134"/>
      <c r="E279" s="283"/>
      <c r="F279" s="279">
        <f t="shared" si="19"/>
        <v>0</v>
      </c>
      <c r="G279" s="134"/>
      <c r="H279" s="135"/>
      <c r="I279" s="136">
        <f t="shared" si="20"/>
        <v>0</v>
      </c>
      <c r="J279" s="134"/>
      <c r="K279" s="135"/>
      <c r="L279" s="136">
        <f t="shared" si="21"/>
        <v>0</v>
      </c>
      <c r="M279" s="284"/>
      <c r="N279" s="285"/>
      <c r="O279" s="136">
        <f t="shared" ref="O279:O299" si="23">M279+N279</f>
        <v>0</v>
      </c>
      <c r="P279" s="85"/>
    </row>
    <row r="280" spans="1:16" ht="96" hidden="1" x14ac:dyDescent="0.25">
      <c r="A280" s="76">
        <v>7246</v>
      </c>
      <c r="B280" s="127" t="s">
        <v>296</v>
      </c>
      <c r="C280" s="128">
        <f t="shared" si="18"/>
        <v>0</v>
      </c>
      <c r="D280" s="134"/>
      <c r="E280" s="283"/>
      <c r="F280" s="279">
        <f t="shared" si="19"/>
        <v>0</v>
      </c>
      <c r="G280" s="134"/>
      <c r="H280" s="135"/>
      <c r="I280" s="136">
        <f t="shared" si="20"/>
        <v>0</v>
      </c>
      <c r="J280" s="134"/>
      <c r="K280" s="135"/>
      <c r="L280" s="136">
        <f t="shared" si="21"/>
        <v>0</v>
      </c>
      <c r="M280" s="284"/>
      <c r="N280" s="285"/>
      <c r="O280" s="136">
        <f t="shared" si="23"/>
        <v>0</v>
      </c>
      <c r="P280" s="85"/>
    </row>
    <row r="281" spans="1:16" ht="24" hidden="1" x14ac:dyDescent="0.25">
      <c r="A281" s="276">
        <v>7260</v>
      </c>
      <c r="B281" s="127" t="s">
        <v>297</v>
      </c>
      <c r="C281" s="128">
        <f t="shared" si="18"/>
        <v>0</v>
      </c>
      <c r="D281" s="123"/>
      <c r="E281" s="295"/>
      <c r="F281" s="296">
        <f t="shared" si="19"/>
        <v>0</v>
      </c>
      <c r="G281" s="123"/>
      <c r="H281" s="124"/>
      <c r="I281" s="125">
        <f t="shared" si="20"/>
        <v>0</v>
      </c>
      <c r="J281" s="123"/>
      <c r="K281" s="124"/>
      <c r="L281" s="125">
        <f t="shared" si="21"/>
        <v>0</v>
      </c>
      <c r="M281" s="264"/>
      <c r="N281" s="262"/>
      <c r="O281" s="125">
        <f t="shared" si="23"/>
        <v>0</v>
      </c>
      <c r="P281" s="74"/>
    </row>
    <row r="282" spans="1:16" hidden="1" x14ac:dyDescent="0.25">
      <c r="A282" s="99">
        <v>7700</v>
      </c>
      <c r="B282" s="247" t="s">
        <v>298</v>
      </c>
      <c r="C282" s="359">
        <f t="shared" si="18"/>
        <v>0</v>
      </c>
      <c r="D282" s="360">
        <f>D283</f>
        <v>0</v>
      </c>
      <c r="E282" s="679">
        <f>SUM(E283)</f>
        <v>0</v>
      </c>
      <c r="F282" s="302">
        <f t="shared" si="19"/>
        <v>0</v>
      </c>
      <c r="G282" s="360">
        <f>G283</f>
        <v>0</v>
      </c>
      <c r="H282" s="361">
        <f>SUM(H283)</f>
        <v>0</v>
      </c>
      <c r="I282" s="305">
        <f t="shared" si="20"/>
        <v>0</v>
      </c>
      <c r="J282" s="360">
        <f>J283</f>
        <v>0</v>
      </c>
      <c r="K282" s="361">
        <f>SUM(K283)</f>
        <v>0</v>
      </c>
      <c r="L282" s="305">
        <f t="shared" si="21"/>
        <v>0</v>
      </c>
      <c r="M282" s="303">
        <f>SUM(M283)</f>
        <v>0</v>
      </c>
      <c r="N282" s="304">
        <f>SUM(N283)</f>
        <v>0</v>
      </c>
      <c r="O282" s="305">
        <f t="shared" si="23"/>
        <v>0</v>
      </c>
      <c r="P282" s="306"/>
    </row>
    <row r="283" spans="1:16" hidden="1" x14ac:dyDescent="0.25">
      <c r="A283" s="141">
        <v>7720</v>
      </c>
      <c r="B283" s="142" t="s">
        <v>299</v>
      </c>
      <c r="C283" s="362">
        <f t="shared" si="18"/>
        <v>0</v>
      </c>
      <c r="D283" s="149"/>
      <c r="E283" s="686"/>
      <c r="F283" s="362">
        <f t="shared" si="19"/>
        <v>0</v>
      </c>
      <c r="G283" s="149"/>
      <c r="H283" s="150"/>
      <c r="I283" s="151">
        <f t="shared" si="20"/>
        <v>0</v>
      </c>
      <c r="J283" s="149"/>
      <c r="K283" s="150"/>
      <c r="L283" s="151">
        <f t="shared" si="21"/>
        <v>0</v>
      </c>
      <c r="M283" s="365"/>
      <c r="N283" s="363"/>
      <c r="O283" s="151">
        <f t="shared" si="23"/>
        <v>0</v>
      </c>
      <c r="P283" s="153"/>
    </row>
    <row r="284" spans="1:16" hidden="1" x14ac:dyDescent="0.25">
      <c r="A284" s="366"/>
      <c r="B284" s="179" t="s">
        <v>300</v>
      </c>
      <c r="C284" s="117">
        <f t="shared" si="18"/>
        <v>0</v>
      </c>
      <c r="D284" s="255">
        <f>SUM(D285:D286)</f>
        <v>0</v>
      </c>
      <c r="E284" s="256">
        <f>SUM(E285:E286)</f>
        <v>0</v>
      </c>
      <c r="F284" s="257">
        <f t="shared" si="19"/>
        <v>0</v>
      </c>
      <c r="G284" s="255">
        <f>SUM(G285:G286)</f>
        <v>0</v>
      </c>
      <c r="H284" s="258">
        <f>SUM(H285:H286)</f>
        <v>0</v>
      </c>
      <c r="I284" s="259">
        <f t="shared" si="20"/>
        <v>0</v>
      </c>
      <c r="J284" s="255">
        <f>SUM(J285:J286)</f>
        <v>0</v>
      </c>
      <c r="K284" s="258">
        <f>SUM(K285:K286)</f>
        <v>0</v>
      </c>
      <c r="L284" s="259">
        <f t="shared" si="21"/>
        <v>0</v>
      </c>
      <c r="M284" s="260">
        <f>SUM(M285:M286)</f>
        <v>0</v>
      </c>
      <c r="N284" s="261">
        <f>SUM(N285:N286)</f>
        <v>0</v>
      </c>
      <c r="O284" s="259">
        <f t="shared" si="23"/>
        <v>0</v>
      </c>
      <c r="P284" s="189"/>
    </row>
    <row r="285" spans="1:16" hidden="1" x14ac:dyDescent="0.25">
      <c r="A285" s="346" t="s">
        <v>301</v>
      </c>
      <c r="B285" s="76" t="s">
        <v>302</v>
      </c>
      <c r="C285" s="279">
        <f t="shared" si="18"/>
        <v>0</v>
      </c>
      <c r="D285" s="134"/>
      <c r="E285" s="283"/>
      <c r="F285" s="279">
        <f t="shared" si="19"/>
        <v>0</v>
      </c>
      <c r="G285" s="134"/>
      <c r="H285" s="135"/>
      <c r="I285" s="136">
        <f t="shared" si="20"/>
        <v>0</v>
      </c>
      <c r="J285" s="134"/>
      <c r="K285" s="135"/>
      <c r="L285" s="136">
        <f t="shared" si="21"/>
        <v>0</v>
      </c>
      <c r="M285" s="284"/>
      <c r="N285" s="285"/>
      <c r="O285" s="136">
        <f t="shared" si="23"/>
        <v>0</v>
      </c>
      <c r="P285" s="85"/>
    </row>
    <row r="286" spans="1:16" ht="24" hidden="1" x14ac:dyDescent="0.25">
      <c r="A286" s="346" t="s">
        <v>303</v>
      </c>
      <c r="B286" s="367" t="s">
        <v>304</v>
      </c>
      <c r="C286" s="117">
        <f t="shared" si="18"/>
        <v>0</v>
      </c>
      <c r="D286" s="123"/>
      <c r="E286" s="295"/>
      <c r="F286" s="296">
        <f t="shared" si="19"/>
        <v>0</v>
      </c>
      <c r="G286" s="123"/>
      <c r="H286" s="124"/>
      <c r="I286" s="125">
        <f t="shared" si="20"/>
        <v>0</v>
      </c>
      <c r="J286" s="123"/>
      <c r="K286" s="124"/>
      <c r="L286" s="125">
        <f t="shared" si="21"/>
        <v>0</v>
      </c>
      <c r="M286" s="264"/>
      <c r="N286" s="262"/>
      <c r="O286" s="125">
        <f t="shared" si="23"/>
        <v>0</v>
      </c>
      <c r="P286" s="74"/>
    </row>
    <row r="287" spans="1:16" x14ac:dyDescent="0.25">
      <c r="A287" s="368"/>
      <c r="B287" s="369" t="s">
        <v>305</v>
      </c>
      <c r="C287" s="370">
        <f>SUM(C284,C271,C233,C198,C190,C176,C78,C56)</f>
        <v>192770</v>
      </c>
      <c r="D287" s="371">
        <f>SUM(D284,D271,D233,D198,D190,D176,D78,D56)</f>
        <v>177470</v>
      </c>
      <c r="E287" s="372">
        <f>SUM(E284,E271,E233,E198,E190,E176,E78,E56)</f>
        <v>15300</v>
      </c>
      <c r="F287" s="373">
        <f t="shared" si="19"/>
        <v>192770</v>
      </c>
      <c r="G287" s="371">
        <f>SUM(G284,G271,G233,G198,G190,G176,G78,G56)</f>
        <v>0</v>
      </c>
      <c r="H287" s="374">
        <f>SUM(H284,H271,H233,H198,H190,H176,H78,H56)</f>
        <v>0</v>
      </c>
      <c r="I287" s="375">
        <f t="shared" si="20"/>
        <v>0</v>
      </c>
      <c r="J287" s="371">
        <f>SUM(J284,J271,J233,J198,J190,J176,J78,J56)</f>
        <v>0</v>
      </c>
      <c r="K287" s="374">
        <f>SUM(K284,K271,K233,K198,K190,K176,K78,K56)</f>
        <v>0</v>
      </c>
      <c r="L287" s="375">
        <f t="shared" si="21"/>
        <v>0</v>
      </c>
      <c r="M287" s="250">
        <f>SUM(M284,M271,M233,M198,M190,M176,M78,M56)</f>
        <v>0</v>
      </c>
      <c r="N287" s="251">
        <f>SUM(N284,N271,N233,N198,N190,N176,N78,N56)</f>
        <v>0</v>
      </c>
      <c r="O287" s="252">
        <f t="shared" si="23"/>
        <v>0</v>
      </c>
      <c r="P287" s="253"/>
    </row>
    <row r="288" spans="1:16" hidden="1" x14ac:dyDescent="0.25">
      <c r="A288" s="376" t="s">
        <v>306</v>
      </c>
      <c r="B288" s="377"/>
      <c r="C288" s="378">
        <f>F288+I288+L288+O288</f>
        <v>0</v>
      </c>
      <c r="D288" s="379">
        <f>SUM(D28,D29,D45)-D54</f>
        <v>0</v>
      </c>
      <c r="E288" s="380">
        <f>SUM(E28,E29,E45)-E54</f>
        <v>0</v>
      </c>
      <c r="F288" s="381">
        <f t="shared" si="19"/>
        <v>0</v>
      </c>
      <c r="G288" s="379">
        <f>SUM(G28,G29,G45)-G54</f>
        <v>0</v>
      </c>
      <c r="H288" s="382">
        <f>SUM(H28,H29,H45)-H54</f>
        <v>0</v>
      </c>
      <c r="I288" s="383">
        <f t="shared" si="20"/>
        <v>0</v>
      </c>
      <c r="J288" s="379">
        <f>(J30+J46)-J54</f>
        <v>0</v>
      </c>
      <c r="K288" s="382">
        <f>(K30+K46)-K54</f>
        <v>0</v>
      </c>
      <c r="L288" s="383">
        <f t="shared" si="21"/>
        <v>0</v>
      </c>
      <c r="M288" s="378">
        <f>M48-M54</f>
        <v>0</v>
      </c>
      <c r="N288" s="384">
        <f>N48-N54</f>
        <v>0</v>
      </c>
      <c r="O288" s="383">
        <f t="shared" si="23"/>
        <v>0</v>
      </c>
      <c r="P288" s="385"/>
    </row>
    <row r="289" spans="1:17" s="41" customFormat="1" ht="12" hidden="1" x14ac:dyDescent="0.25">
      <c r="A289" s="376" t="s">
        <v>307</v>
      </c>
      <c r="B289" s="377"/>
      <c r="C289" s="380">
        <f>SUM(C290,C291)-C298+C299</f>
        <v>0</v>
      </c>
      <c r="D289" s="379">
        <f>SUM(D290,D291)-D298+D299</f>
        <v>0</v>
      </c>
      <c r="E289" s="380">
        <f>SUM(E290,E291)-E298+E299</f>
        <v>0</v>
      </c>
      <c r="F289" s="381">
        <f t="shared" si="19"/>
        <v>0</v>
      </c>
      <c r="G289" s="379">
        <f>SUM(G290,G291)-G298+G299</f>
        <v>0</v>
      </c>
      <c r="H289" s="382">
        <f>SUM(H290,H291)-H298+H299</f>
        <v>0</v>
      </c>
      <c r="I289" s="383">
        <f t="shared" si="20"/>
        <v>0</v>
      </c>
      <c r="J289" s="379">
        <f>SUM(J290,J291)-J298+J299</f>
        <v>0</v>
      </c>
      <c r="K289" s="382">
        <f>SUM(K290,K291)-K298+K299</f>
        <v>0</v>
      </c>
      <c r="L289" s="383">
        <f t="shared" si="21"/>
        <v>0</v>
      </c>
      <c r="M289" s="378">
        <f>SUM(M290,M291)-M298+M299</f>
        <v>0</v>
      </c>
      <c r="N289" s="384">
        <f>SUM(N290,N291)-N298+N299</f>
        <v>0</v>
      </c>
      <c r="O289" s="383">
        <f t="shared" si="23"/>
        <v>0</v>
      </c>
      <c r="P289" s="385"/>
    </row>
    <row r="290" spans="1:17" s="41" customFormat="1" ht="12" hidden="1" x14ac:dyDescent="0.25">
      <c r="A290" s="386" t="s">
        <v>308</v>
      </c>
      <c r="B290" s="386" t="s">
        <v>309</v>
      </c>
      <c r="C290" s="380">
        <f>C25-C284</f>
        <v>0</v>
      </c>
      <c r="D290" s="379">
        <f>D25-D284</f>
        <v>0</v>
      </c>
      <c r="E290" s="380">
        <f>E25-E284</f>
        <v>0</v>
      </c>
      <c r="F290" s="381">
        <f t="shared" si="19"/>
        <v>0</v>
      </c>
      <c r="G290" s="379">
        <f>G25-G284</f>
        <v>0</v>
      </c>
      <c r="H290" s="382">
        <f>H25-H284</f>
        <v>0</v>
      </c>
      <c r="I290" s="383">
        <f t="shared" si="20"/>
        <v>0</v>
      </c>
      <c r="J290" s="379">
        <f>J25-J284</f>
        <v>0</v>
      </c>
      <c r="K290" s="382">
        <f>K25-K284</f>
        <v>0</v>
      </c>
      <c r="L290" s="383">
        <f t="shared" si="21"/>
        <v>0</v>
      </c>
      <c r="M290" s="378">
        <f>M25-M284</f>
        <v>0</v>
      </c>
      <c r="N290" s="384">
        <f>N25-N284</f>
        <v>0</v>
      </c>
      <c r="O290" s="383">
        <f t="shared" si="23"/>
        <v>0</v>
      </c>
      <c r="P290" s="385"/>
    </row>
    <row r="291" spans="1:17" s="41" customFormat="1" ht="12" hidden="1" x14ac:dyDescent="0.25">
      <c r="A291" s="387" t="s">
        <v>310</v>
      </c>
      <c r="B291" s="387" t="s">
        <v>311</v>
      </c>
      <c r="C291" s="380">
        <f>SUM(C292,C294,C296)-SUM(C293,C295,C297)</f>
        <v>0</v>
      </c>
      <c r="D291" s="379">
        <f>SUM(D292,D294,D296)-SUM(D293,D295,D297)</f>
        <v>0</v>
      </c>
      <c r="E291" s="380">
        <f>SUM(E292,E294,E296)-SUM(E293,E295,E297)</f>
        <v>0</v>
      </c>
      <c r="F291" s="381">
        <f t="shared" si="19"/>
        <v>0</v>
      </c>
      <c r="G291" s="379">
        <f>SUM(G292,G294,G296)-SUM(G293,G295,G297)</f>
        <v>0</v>
      </c>
      <c r="H291" s="382">
        <f>SUM(H292,H294,H296)-SUM(H293,H295,H297)</f>
        <v>0</v>
      </c>
      <c r="I291" s="383">
        <f t="shared" si="20"/>
        <v>0</v>
      </c>
      <c r="J291" s="379">
        <f>SUM(J292,J294,J296)-SUM(J293,J295,J297)</f>
        <v>0</v>
      </c>
      <c r="K291" s="382">
        <f>SUM(K292,K294,K296)-SUM(K293,K295,K297)</f>
        <v>0</v>
      </c>
      <c r="L291" s="383">
        <f t="shared" si="21"/>
        <v>0</v>
      </c>
      <c r="M291" s="378">
        <f>SUM(M292,M294,M296)-SUM(M293,M295,M297)</f>
        <v>0</v>
      </c>
      <c r="N291" s="384">
        <f>SUM(N292,N294,N296)-SUM(N293,N295,N297)</f>
        <v>0</v>
      </c>
      <c r="O291" s="383">
        <f t="shared" si="23"/>
        <v>0</v>
      </c>
      <c r="P291" s="385"/>
    </row>
    <row r="292" spans="1:17" s="41" customFormat="1" ht="12" hidden="1" x14ac:dyDescent="0.25">
      <c r="A292" s="366" t="s">
        <v>312</v>
      </c>
      <c r="B292" s="190" t="s">
        <v>313</v>
      </c>
      <c r="C292" s="143">
        <f t="shared" ref="C292:C299" si="24">F292+I292+L292+O292</f>
        <v>0</v>
      </c>
      <c r="D292" s="149"/>
      <c r="E292" s="686"/>
      <c r="F292" s="362">
        <f t="shared" si="19"/>
        <v>0</v>
      </c>
      <c r="G292" s="149"/>
      <c r="H292" s="150"/>
      <c r="I292" s="151">
        <f t="shared" si="20"/>
        <v>0</v>
      </c>
      <c r="J292" s="149"/>
      <c r="K292" s="150"/>
      <c r="L292" s="151">
        <f t="shared" si="21"/>
        <v>0</v>
      </c>
      <c r="M292" s="365"/>
      <c r="N292" s="363"/>
      <c r="O292" s="151">
        <f t="shared" si="23"/>
        <v>0</v>
      </c>
      <c r="P292" s="153"/>
    </row>
    <row r="293" spans="1:17" ht="24" hidden="1" x14ac:dyDescent="0.25">
      <c r="A293" s="346" t="s">
        <v>314</v>
      </c>
      <c r="B293" s="75" t="s">
        <v>315</v>
      </c>
      <c r="C293" s="128">
        <f t="shared" si="24"/>
        <v>0</v>
      </c>
      <c r="D293" s="134"/>
      <c r="E293" s="283"/>
      <c r="F293" s="279">
        <f t="shared" si="19"/>
        <v>0</v>
      </c>
      <c r="G293" s="134"/>
      <c r="H293" s="135"/>
      <c r="I293" s="136">
        <f t="shared" si="20"/>
        <v>0</v>
      </c>
      <c r="J293" s="134"/>
      <c r="K293" s="135"/>
      <c r="L293" s="136">
        <f t="shared" si="21"/>
        <v>0</v>
      </c>
      <c r="M293" s="284"/>
      <c r="N293" s="285"/>
      <c r="O293" s="136">
        <f t="shared" si="23"/>
        <v>0</v>
      </c>
      <c r="P293" s="85"/>
    </row>
    <row r="294" spans="1:17" hidden="1" x14ac:dyDescent="0.25">
      <c r="A294" s="346" t="s">
        <v>316</v>
      </c>
      <c r="B294" s="75" t="s">
        <v>317</v>
      </c>
      <c r="C294" s="128">
        <f t="shared" si="24"/>
        <v>0</v>
      </c>
      <c r="D294" s="134"/>
      <c r="E294" s="283"/>
      <c r="F294" s="279">
        <f t="shared" si="19"/>
        <v>0</v>
      </c>
      <c r="G294" s="134"/>
      <c r="H294" s="135"/>
      <c r="I294" s="136">
        <f t="shared" si="20"/>
        <v>0</v>
      </c>
      <c r="J294" s="134"/>
      <c r="K294" s="135"/>
      <c r="L294" s="136">
        <f t="shared" si="21"/>
        <v>0</v>
      </c>
      <c r="M294" s="284"/>
      <c r="N294" s="285"/>
      <c r="O294" s="136">
        <f t="shared" si="23"/>
        <v>0</v>
      </c>
      <c r="P294" s="85"/>
    </row>
    <row r="295" spans="1:17" ht="24" hidden="1" x14ac:dyDescent="0.25">
      <c r="A295" s="346" t="s">
        <v>318</v>
      </c>
      <c r="B295" s="75" t="s">
        <v>319</v>
      </c>
      <c r="C295" s="128">
        <f t="shared" si="24"/>
        <v>0</v>
      </c>
      <c r="D295" s="134"/>
      <c r="E295" s="283"/>
      <c r="F295" s="279">
        <f t="shared" si="19"/>
        <v>0</v>
      </c>
      <c r="G295" s="134"/>
      <c r="H295" s="135"/>
      <c r="I295" s="136">
        <f t="shared" si="20"/>
        <v>0</v>
      </c>
      <c r="J295" s="134"/>
      <c r="K295" s="135"/>
      <c r="L295" s="136">
        <f t="shared" si="21"/>
        <v>0</v>
      </c>
      <c r="M295" s="284"/>
      <c r="N295" s="285"/>
      <c r="O295" s="136">
        <f t="shared" si="23"/>
        <v>0</v>
      </c>
      <c r="P295" s="85"/>
    </row>
    <row r="296" spans="1:17" hidden="1" x14ac:dyDescent="0.25">
      <c r="A296" s="346" t="s">
        <v>320</v>
      </c>
      <c r="B296" s="75" t="s">
        <v>321</v>
      </c>
      <c r="C296" s="128">
        <f t="shared" si="24"/>
        <v>0</v>
      </c>
      <c r="D296" s="134"/>
      <c r="E296" s="283"/>
      <c r="F296" s="279">
        <f t="shared" si="19"/>
        <v>0</v>
      </c>
      <c r="G296" s="134"/>
      <c r="H296" s="135"/>
      <c r="I296" s="136">
        <f t="shared" si="20"/>
        <v>0</v>
      </c>
      <c r="J296" s="134"/>
      <c r="K296" s="135"/>
      <c r="L296" s="136">
        <f t="shared" si="21"/>
        <v>0</v>
      </c>
      <c r="M296" s="284"/>
      <c r="N296" s="285"/>
      <c r="O296" s="136">
        <f t="shared" si="23"/>
        <v>0</v>
      </c>
      <c r="P296" s="85"/>
    </row>
    <row r="297" spans="1:17" ht="24" hidden="1" x14ac:dyDescent="0.25">
      <c r="A297" s="389" t="s">
        <v>322</v>
      </c>
      <c r="B297" s="390" t="s">
        <v>323</v>
      </c>
      <c r="C297" s="327">
        <f t="shared" si="24"/>
        <v>0</v>
      </c>
      <c r="D297" s="328"/>
      <c r="E297" s="683"/>
      <c r="F297" s="647">
        <f t="shared" si="19"/>
        <v>0</v>
      </c>
      <c r="G297" s="328"/>
      <c r="H297" s="331"/>
      <c r="I297" s="324">
        <f t="shared" si="20"/>
        <v>0</v>
      </c>
      <c r="J297" s="328"/>
      <c r="K297" s="331"/>
      <c r="L297" s="324">
        <f t="shared" si="21"/>
        <v>0</v>
      </c>
      <c r="M297" s="332"/>
      <c r="N297" s="329"/>
      <c r="O297" s="324">
        <f t="shared" si="23"/>
        <v>0</v>
      </c>
      <c r="P297" s="325"/>
    </row>
    <row r="298" spans="1:17" hidden="1" x14ac:dyDescent="0.25">
      <c r="A298" s="387" t="s">
        <v>324</v>
      </c>
      <c r="B298" s="387" t="s">
        <v>325</v>
      </c>
      <c r="C298" s="391">
        <f t="shared" si="24"/>
        <v>0</v>
      </c>
      <c r="D298" s="392"/>
      <c r="E298" s="687"/>
      <c r="F298" s="381">
        <f t="shared" si="19"/>
        <v>0</v>
      </c>
      <c r="G298" s="392"/>
      <c r="H298" s="394"/>
      <c r="I298" s="383">
        <f t="shared" si="20"/>
        <v>0</v>
      </c>
      <c r="J298" s="392"/>
      <c r="K298" s="394"/>
      <c r="L298" s="383">
        <f t="shared" si="21"/>
        <v>0</v>
      </c>
      <c r="M298" s="395"/>
      <c r="N298" s="393"/>
      <c r="O298" s="383">
        <f t="shared" si="23"/>
        <v>0</v>
      </c>
      <c r="P298" s="385"/>
    </row>
    <row r="299" spans="1:17" s="41" customFormat="1" ht="48" hidden="1" x14ac:dyDescent="0.25">
      <c r="A299" s="387" t="s">
        <v>326</v>
      </c>
      <c r="B299" s="396" t="s">
        <v>327</v>
      </c>
      <c r="C299" s="397">
        <f t="shared" si="24"/>
        <v>0</v>
      </c>
      <c r="D299" s="398"/>
      <c r="E299" s="688"/>
      <c r="F299" s="651">
        <f t="shared" si="19"/>
        <v>0</v>
      </c>
      <c r="G299" s="392"/>
      <c r="H299" s="394"/>
      <c r="I299" s="383">
        <f t="shared" si="20"/>
        <v>0</v>
      </c>
      <c r="J299" s="392"/>
      <c r="K299" s="394"/>
      <c r="L299" s="383">
        <f t="shared" si="21"/>
        <v>0</v>
      </c>
      <c r="M299" s="395"/>
      <c r="N299" s="393"/>
      <c r="O299" s="383">
        <f t="shared" si="23"/>
        <v>0</v>
      </c>
      <c r="P299" s="385"/>
    </row>
    <row r="300" spans="1:17" s="41" customFormat="1" ht="12" x14ac:dyDescent="0.25">
      <c r="A300" s="401" t="s">
        <v>328</v>
      </c>
      <c r="B300" s="402"/>
      <c r="C300" s="402"/>
      <c r="D300" s="402"/>
      <c r="E300" s="402"/>
      <c r="F300" s="402"/>
      <c r="G300" s="402"/>
      <c r="H300" s="402"/>
      <c r="I300" s="402"/>
      <c r="J300" s="402"/>
      <c r="K300" s="402"/>
      <c r="L300" s="402"/>
      <c r="M300" s="402"/>
      <c r="N300" s="402"/>
      <c r="O300" s="402"/>
      <c r="P300" s="403"/>
      <c r="Q300" s="32"/>
    </row>
    <row r="301" spans="1:17" customFormat="1" ht="15.75" thickBot="1" x14ac:dyDescent="0.3">
      <c r="A301" s="404"/>
      <c r="B301" s="405"/>
      <c r="C301" s="405"/>
      <c r="D301" s="405"/>
      <c r="E301" s="405"/>
      <c r="F301" s="405"/>
      <c r="G301" s="405"/>
      <c r="H301" s="405"/>
      <c r="I301" s="405"/>
      <c r="J301" s="405"/>
      <c r="K301" s="405"/>
      <c r="L301" s="405"/>
      <c r="M301" s="405"/>
      <c r="N301" s="405"/>
      <c r="O301" s="405"/>
      <c r="P301" s="406"/>
      <c r="Q301" s="610"/>
    </row>
    <row r="302" spans="1:17" customFormat="1" x14ac:dyDescent="0.25">
      <c r="A302" s="5"/>
      <c r="B302" s="5"/>
      <c r="C302" s="5"/>
      <c r="D302" s="5"/>
      <c r="E302" s="5"/>
      <c r="F302" s="5"/>
      <c r="G302" s="5"/>
      <c r="H302" s="5"/>
      <c r="I302" s="5"/>
      <c r="J302" s="5"/>
      <c r="K302" s="5"/>
      <c r="L302" s="5"/>
      <c r="M302" s="5"/>
      <c r="N302" s="5"/>
      <c r="O302" s="5"/>
      <c r="P302" s="5"/>
    </row>
    <row r="303" spans="1:17" customFormat="1" x14ac:dyDescent="0.25">
      <c r="A303" s="5"/>
      <c r="B303" s="5"/>
      <c r="C303" s="5"/>
      <c r="D303" s="5"/>
      <c r="E303" s="5"/>
      <c r="F303" s="5"/>
      <c r="G303" s="5"/>
      <c r="H303" s="5"/>
      <c r="I303" s="5"/>
      <c r="J303" s="5"/>
      <c r="K303" s="5"/>
      <c r="L303" s="5"/>
      <c r="M303" s="5"/>
      <c r="N303" s="5"/>
      <c r="O303" s="5"/>
      <c r="P303" s="5"/>
    </row>
    <row r="304" spans="1:17" customFormat="1" x14ac:dyDescent="0.25">
      <c r="A304" s="5"/>
      <c r="B304" s="5"/>
      <c r="C304" s="5"/>
      <c r="D304" s="5"/>
      <c r="E304" s="5"/>
      <c r="F304" s="5"/>
      <c r="G304" s="5"/>
      <c r="H304" s="5"/>
      <c r="I304" s="5"/>
      <c r="J304" s="5"/>
      <c r="K304" s="5"/>
      <c r="L304" s="5"/>
      <c r="M304" s="5"/>
      <c r="N304" s="5"/>
      <c r="O304" s="5"/>
      <c r="P304" s="5"/>
    </row>
    <row r="305" spans="1:16" customFormat="1" x14ac:dyDescent="0.25">
      <c r="A305" s="5"/>
      <c r="B305" s="5"/>
      <c r="C305" s="5"/>
      <c r="D305" s="5"/>
      <c r="E305" s="5"/>
      <c r="F305" s="5"/>
      <c r="G305" s="5"/>
      <c r="H305" s="5"/>
      <c r="I305" s="5"/>
      <c r="J305" s="5"/>
      <c r="K305" s="5"/>
      <c r="L305" s="5"/>
      <c r="M305" s="5"/>
      <c r="N305" s="5"/>
      <c r="O305" s="5"/>
      <c r="P305" s="5"/>
    </row>
    <row r="306" spans="1:16" customFormat="1" x14ac:dyDescent="0.25">
      <c r="A306" s="5"/>
      <c r="B306" s="5"/>
      <c r="C306" s="5"/>
      <c r="D306" s="5"/>
      <c r="E306" s="5"/>
      <c r="F306" s="5"/>
      <c r="G306" s="5"/>
      <c r="H306" s="5"/>
      <c r="I306" s="5"/>
      <c r="J306" s="5"/>
      <c r="K306" s="5"/>
      <c r="L306" s="5"/>
      <c r="M306" s="5"/>
      <c r="N306" s="5"/>
      <c r="O306" s="5"/>
      <c r="P306" s="5"/>
    </row>
    <row r="307" spans="1:16" customFormat="1" x14ac:dyDescent="0.25">
      <c r="A307" s="5"/>
      <c r="B307" s="5"/>
      <c r="C307" s="5"/>
      <c r="D307" s="5"/>
      <c r="E307" s="5"/>
      <c r="F307" s="5"/>
      <c r="G307" s="5"/>
      <c r="H307" s="5"/>
      <c r="I307" s="5"/>
      <c r="J307" s="5"/>
      <c r="K307" s="5"/>
      <c r="L307" s="5"/>
      <c r="M307" s="5"/>
      <c r="N307" s="5"/>
      <c r="O307" s="5"/>
      <c r="P307" s="5"/>
    </row>
    <row r="308" spans="1:16" customFormat="1" x14ac:dyDescent="0.25">
      <c r="A308" s="5"/>
      <c r="B308" s="5"/>
      <c r="C308" s="5"/>
      <c r="D308" s="5"/>
      <c r="E308" s="5"/>
      <c r="F308" s="5"/>
      <c r="G308" s="5"/>
      <c r="H308" s="5"/>
      <c r="I308" s="5"/>
      <c r="J308" s="5"/>
      <c r="K308" s="5"/>
      <c r="L308" s="5"/>
      <c r="M308" s="5"/>
      <c r="N308" s="5"/>
      <c r="O308" s="5"/>
      <c r="P308" s="5"/>
    </row>
    <row r="309" spans="1:16" customFormat="1" x14ac:dyDescent="0.25">
      <c r="A309" s="5"/>
      <c r="B309" s="5"/>
      <c r="C309" s="5"/>
      <c r="D309" s="5"/>
      <c r="E309" s="5"/>
      <c r="F309" s="5"/>
      <c r="G309" s="5"/>
      <c r="H309" s="5"/>
      <c r="I309" s="5"/>
      <c r="J309" s="5"/>
      <c r="K309" s="5"/>
      <c r="L309" s="5"/>
      <c r="M309" s="5"/>
      <c r="N309" s="5"/>
      <c r="O309" s="5"/>
      <c r="P309" s="5"/>
    </row>
    <row r="310" spans="1:16" customFormat="1" x14ac:dyDescent="0.25">
      <c r="A310" s="5"/>
      <c r="B310" s="5"/>
      <c r="C310" s="5"/>
      <c r="D310" s="5"/>
      <c r="E310" s="5"/>
      <c r="F310" s="5"/>
      <c r="G310" s="5"/>
      <c r="H310" s="5"/>
      <c r="I310" s="5"/>
      <c r="J310" s="5"/>
      <c r="K310" s="5"/>
      <c r="L310" s="5"/>
      <c r="M310" s="5"/>
      <c r="N310" s="5"/>
      <c r="O310" s="5"/>
      <c r="P310" s="5"/>
    </row>
    <row r="311" spans="1:16" customFormat="1" x14ac:dyDescent="0.25">
      <c r="A311" s="5"/>
      <c r="B311" s="5"/>
      <c r="C311" s="5"/>
      <c r="D311" s="5"/>
      <c r="E311" s="5"/>
      <c r="F311" s="5"/>
      <c r="G311" s="5"/>
      <c r="H311" s="5"/>
      <c r="I311" s="5"/>
      <c r="J311" s="5"/>
      <c r="K311" s="5"/>
      <c r="L311" s="5"/>
      <c r="M311" s="5"/>
      <c r="N311" s="5"/>
      <c r="O311" s="5"/>
      <c r="P311" s="5"/>
    </row>
    <row r="312" spans="1:16" customFormat="1" x14ac:dyDescent="0.25">
      <c r="A312" s="5"/>
      <c r="B312" s="5"/>
      <c r="C312" s="5"/>
      <c r="D312" s="5"/>
      <c r="E312" s="5"/>
      <c r="F312" s="5"/>
      <c r="G312" s="5"/>
      <c r="H312" s="5"/>
      <c r="I312" s="5"/>
      <c r="J312" s="5"/>
      <c r="K312" s="5"/>
      <c r="L312" s="5"/>
      <c r="M312" s="5"/>
      <c r="N312" s="5"/>
      <c r="O312" s="5"/>
      <c r="P312" s="5"/>
    </row>
    <row r="313" spans="1:16" x14ac:dyDescent="0.25">
      <c r="A313" s="5"/>
      <c r="B313" s="5"/>
      <c r="C313" s="5"/>
      <c r="D313" s="5"/>
      <c r="E313" s="5"/>
      <c r="F313" s="5"/>
      <c r="G313" s="5"/>
      <c r="H313" s="5"/>
      <c r="I313" s="5"/>
      <c r="J313" s="5"/>
      <c r="K313" s="5"/>
      <c r="L313" s="5"/>
      <c r="M313" s="5"/>
      <c r="N313" s="5"/>
      <c r="O313" s="5"/>
    </row>
    <row r="314" spans="1:16" x14ac:dyDescent="0.25">
      <c r="A314" s="5"/>
      <c r="B314" s="5"/>
      <c r="C314" s="5"/>
      <c r="D314" s="5"/>
      <c r="E314" s="5"/>
      <c r="F314" s="5"/>
      <c r="G314" s="5"/>
      <c r="H314" s="5"/>
      <c r="I314" s="5"/>
      <c r="J314" s="5"/>
      <c r="K314" s="5"/>
      <c r="L314" s="5"/>
      <c r="M314" s="5"/>
      <c r="N314" s="5"/>
      <c r="O314" s="5"/>
    </row>
    <row r="315" spans="1:16" x14ac:dyDescent="0.25">
      <c r="A315" s="5"/>
      <c r="B315" s="5"/>
      <c r="C315" s="5"/>
      <c r="D315" s="5"/>
      <c r="E315" s="5"/>
      <c r="F315" s="5"/>
      <c r="G315" s="5"/>
      <c r="H315" s="5"/>
      <c r="I315" s="5"/>
      <c r="J315" s="5"/>
      <c r="K315" s="5"/>
      <c r="L315" s="5"/>
      <c r="M315" s="5"/>
      <c r="N315" s="5"/>
      <c r="O315" s="5"/>
    </row>
    <row r="316" spans="1:16" x14ac:dyDescent="0.25">
      <c r="A316" s="5"/>
      <c r="B316" s="5"/>
      <c r="C316" s="5"/>
      <c r="D316" s="5"/>
      <c r="E316" s="5"/>
      <c r="F316" s="5"/>
      <c r="G316" s="5"/>
      <c r="H316" s="5"/>
      <c r="I316" s="5"/>
      <c r="J316" s="5"/>
      <c r="K316" s="5"/>
      <c r="L316" s="5"/>
      <c r="M316" s="5"/>
      <c r="N316" s="5"/>
      <c r="O316" s="5"/>
    </row>
    <row r="317" spans="1:16" x14ac:dyDescent="0.25">
      <c r="A317" s="5"/>
      <c r="B317" s="5"/>
      <c r="C317" s="5"/>
      <c r="D317" s="5"/>
      <c r="E317" s="5"/>
      <c r="F317" s="5"/>
      <c r="G317" s="5"/>
      <c r="H317" s="5"/>
      <c r="I317" s="5"/>
      <c r="J317" s="5"/>
      <c r="K317" s="5"/>
      <c r="L317" s="5"/>
      <c r="M317" s="5"/>
      <c r="N317" s="5"/>
      <c r="O317" s="5"/>
    </row>
    <row r="318" spans="1:16" x14ac:dyDescent="0.25">
      <c r="A318" s="5"/>
      <c r="B318" s="5"/>
      <c r="C318" s="5"/>
      <c r="D318" s="5"/>
      <c r="E318" s="5"/>
      <c r="F318" s="5"/>
      <c r="G318" s="5"/>
      <c r="H318" s="5"/>
      <c r="I318" s="5"/>
      <c r="J318" s="5"/>
      <c r="K318" s="5"/>
      <c r="L318" s="5"/>
      <c r="M318" s="5"/>
      <c r="N318" s="5"/>
      <c r="O318" s="5"/>
    </row>
    <row r="319" spans="1:16" x14ac:dyDescent="0.25">
      <c r="A319" s="5"/>
      <c r="B319" s="5"/>
      <c r="C319" s="5"/>
      <c r="D319" s="5"/>
      <c r="E319" s="5"/>
      <c r="F319" s="5"/>
      <c r="G319" s="5"/>
      <c r="H319" s="5"/>
      <c r="I319" s="5"/>
      <c r="J319" s="5"/>
      <c r="K319" s="5"/>
      <c r="L319" s="5"/>
      <c r="M319" s="5"/>
      <c r="N319" s="5"/>
      <c r="O319" s="5"/>
    </row>
    <row r="320" spans="1:16"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9Gc4I3WUfq/43PlQdX8bHhuZZeygBaA3oPcZVZVT1xsVfzaZ/z/PEwrtT1gSZCDf5xjsTPxK78XD0htJq7vl1Q==" saltValue="CuM5YfGGv/0fsJ9tblqFiA==" spinCount="100000" sheet="1" objects="1" scenarios="1" formatCells="0" formatColumns="0" formatRows="0"/>
  <autoFilter ref="A22:P300">
    <filterColumn colId="2">
      <filters>
        <filter val="192 770"/>
      </filters>
    </filterColumn>
  </autoFilter>
  <mergeCells count="31">
    <mergeCell ref="A19:A21"/>
    <mergeCell ref="B19:B21"/>
    <mergeCell ref="C19:O19"/>
    <mergeCell ref="P19:P21"/>
    <mergeCell ref="C20:C21"/>
    <mergeCell ref="O20:O21"/>
    <mergeCell ref="G20:G21"/>
    <mergeCell ref="H20:H21"/>
    <mergeCell ref="I20:I21"/>
    <mergeCell ref="J20:J21"/>
    <mergeCell ref="K20:K21"/>
    <mergeCell ref="L20:L21"/>
    <mergeCell ref="D20:D21"/>
    <mergeCell ref="E20:E21"/>
    <mergeCell ref="F20:F21"/>
    <mergeCell ref="M20:M21"/>
    <mergeCell ref="N20:N21"/>
    <mergeCell ref="C14:P14"/>
    <mergeCell ref="C15:P15"/>
    <mergeCell ref="C16:P16"/>
    <mergeCell ref="C17:P17"/>
    <mergeCell ref="C18:P18"/>
    <mergeCell ref="C9:P9"/>
    <mergeCell ref="C10:P10"/>
    <mergeCell ref="C11:P11"/>
    <mergeCell ref="C13:P13"/>
    <mergeCell ref="A3:P3"/>
    <mergeCell ref="A4:P4"/>
    <mergeCell ref="C6:P6"/>
    <mergeCell ref="C7:P7"/>
    <mergeCell ref="C8:P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66.pielikums Jūrmalas pilsētas domes
2017.gada 30.janvāra saistošajiem noteikumiem Nr.10
(Protokols Nr.4, 1.punkts)
 </firstHeader>
    <firstFooter>&amp;L&amp;9&amp;D; &amp;T&amp;R&amp;9&amp;P (&amp;N)</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21"/>
  <sheetViews>
    <sheetView view="pageLayout" zoomScaleNormal="100" workbookViewId="0">
      <selection activeCell="S13" sqref="S13"/>
    </sheetView>
  </sheetViews>
  <sheetFormatPr defaultRowHeight="12" outlineLevelCol="1" x14ac:dyDescent="0.25"/>
  <cols>
    <col min="1" max="1" width="10.85546875" style="1" customWidth="1"/>
    <col min="2" max="2" width="29.85546875"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1157</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7"/>
    </row>
    <row r="4" spans="1:17" ht="15.75"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1158</v>
      </c>
      <c r="D6" s="1555"/>
      <c r="E6" s="1555"/>
      <c r="F6" s="1555"/>
      <c r="G6" s="1555"/>
      <c r="H6" s="1555"/>
      <c r="I6" s="1555"/>
      <c r="J6" s="1555"/>
      <c r="K6" s="1555"/>
      <c r="L6" s="1555"/>
      <c r="M6" s="1555"/>
      <c r="N6" s="1555"/>
      <c r="O6" s="1555"/>
      <c r="P6" s="1556"/>
      <c r="Q6" s="7"/>
    </row>
    <row r="7" spans="1:17" ht="12.75" x14ac:dyDescent="0.25">
      <c r="A7" s="13" t="s">
        <v>4</v>
      </c>
      <c r="B7" s="14"/>
      <c r="C7" s="1555" t="s">
        <v>1159</v>
      </c>
      <c r="D7" s="1555"/>
      <c r="E7" s="1555"/>
      <c r="F7" s="1555"/>
      <c r="G7" s="1555"/>
      <c r="H7" s="1555"/>
      <c r="I7" s="1555"/>
      <c r="J7" s="1555"/>
      <c r="K7" s="1555"/>
      <c r="L7" s="1555"/>
      <c r="M7" s="1555"/>
      <c r="N7" s="1555"/>
      <c r="O7" s="1555"/>
      <c r="P7" s="1556"/>
      <c r="Q7" s="7"/>
    </row>
    <row r="8" spans="1:17" x14ac:dyDescent="0.25">
      <c r="A8" s="8" t="s">
        <v>6</v>
      </c>
      <c r="B8" s="9"/>
      <c r="C8" s="1553" t="s">
        <v>1160</v>
      </c>
      <c r="D8" s="1553"/>
      <c r="E8" s="1553"/>
      <c r="F8" s="1553"/>
      <c r="G8" s="1553"/>
      <c r="H8" s="1553"/>
      <c r="I8" s="1553"/>
      <c r="J8" s="1553"/>
      <c r="K8" s="1553"/>
      <c r="L8" s="1553"/>
      <c r="M8" s="1553"/>
      <c r="N8" s="1553"/>
      <c r="O8" s="1553"/>
      <c r="P8" s="1554"/>
      <c r="Q8" s="7"/>
    </row>
    <row r="9" spans="1:17" x14ac:dyDescent="0.25">
      <c r="A9" s="8" t="s">
        <v>8</v>
      </c>
      <c r="B9" s="9"/>
      <c r="C9" s="1553" t="s">
        <v>9</v>
      </c>
      <c r="D9" s="1553"/>
      <c r="E9" s="1553"/>
      <c r="F9" s="1553"/>
      <c r="G9" s="1553"/>
      <c r="H9" s="1553"/>
      <c r="I9" s="1553"/>
      <c r="J9" s="1553"/>
      <c r="K9" s="1553"/>
      <c r="L9" s="1553"/>
      <c r="M9" s="1553"/>
      <c r="N9" s="1553"/>
      <c r="O9" s="1553"/>
      <c r="P9" s="1554"/>
      <c r="Q9" s="7"/>
    </row>
    <row r="10" spans="1:17" ht="24.75" customHeight="1" x14ac:dyDescent="0.25">
      <c r="A10" s="8" t="s">
        <v>10</v>
      </c>
      <c r="B10" s="9"/>
      <c r="C10" s="1555" t="s">
        <v>11</v>
      </c>
      <c r="D10" s="1555"/>
      <c r="E10" s="1555"/>
      <c r="F10" s="1555"/>
      <c r="G10" s="1555"/>
      <c r="H10" s="1555"/>
      <c r="I10" s="1555"/>
      <c r="J10" s="1555"/>
      <c r="K10" s="1555"/>
      <c r="L10" s="1555"/>
      <c r="M10" s="1555"/>
      <c r="N10" s="1555"/>
      <c r="O10" s="1555"/>
      <c r="P10" s="1556"/>
      <c r="Q10" s="7"/>
    </row>
    <row r="11" spans="1:17" x14ac:dyDescent="0.25">
      <c r="A11" s="8" t="s">
        <v>12</v>
      </c>
      <c r="B11" s="9"/>
      <c r="C11" s="1555" t="s">
        <v>13</v>
      </c>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1161</v>
      </c>
      <c r="D13" s="1553"/>
      <c r="E13" s="1553"/>
      <c r="F13" s="1553"/>
      <c r="G13" s="1553"/>
      <c r="H13" s="1553"/>
      <c r="I13" s="1553"/>
      <c r="J13" s="1553"/>
      <c r="K13" s="1553"/>
      <c r="L13" s="1553"/>
      <c r="M13" s="1553"/>
      <c r="N13" s="1553"/>
      <c r="O13" s="1553"/>
      <c r="P13" s="1554"/>
      <c r="Q13" s="7"/>
    </row>
    <row r="14" spans="1:17" x14ac:dyDescent="0.25">
      <c r="A14" s="8"/>
      <c r="B14" s="9" t="s">
        <v>17</v>
      </c>
      <c r="C14" s="1553" t="s">
        <v>1162</v>
      </c>
      <c r="D14" s="1553"/>
      <c r="E14" s="1553"/>
      <c r="F14" s="1553"/>
      <c r="G14" s="1553"/>
      <c r="H14" s="1553"/>
      <c r="I14" s="1553"/>
      <c r="J14" s="1553"/>
      <c r="K14" s="1553"/>
      <c r="L14" s="1553"/>
      <c r="M14" s="1553"/>
      <c r="N14" s="1553"/>
      <c r="O14" s="1553"/>
      <c r="P14" s="1554"/>
      <c r="Q14" s="7"/>
    </row>
    <row r="15" spans="1:17" x14ac:dyDescent="0.25">
      <c r="A15" s="8"/>
      <c r="B15" s="9" t="s">
        <v>19</v>
      </c>
      <c r="C15" s="1553"/>
      <c r="D15" s="1553"/>
      <c r="E15" s="1553"/>
      <c r="F15" s="1553"/>
      <c r="G15" s="1553"/>
      <c r="H15" s="1553"/>
      <c r="I15" s="1553"/>
      <c r="J15" s="1553"/>
      <c r="K15" s="1553"/>
      <c r="L15" s="1553"/>
      <c r="M15" s="1553"/>
      <c r="N15" s="1553"/>
      <c r="O15" s="1553"/>
      <c r="P15" s="1554"/>
      <c r="Q15" s="7"/>
    </row>
    <row r="16" spans="1:17" x14ac:dyDescent="0.25">
      <c r="A16" s="8"/>
      <c r="B16" s="9" t="s">
        <v>20</v>
      </c>
      <c r="C16" s="1553" t="s">
        <v>1163</v>
      </c>
      <c r="D16" s="1553"/>
      <c r="E16" s="1553"/>
      <c r="F16" s="1553"/>
      <c r="G16" s="1553"/>
      <c r="H16" s="1553"/>
      <c r="I16" s="1553"/>
      <c r="J16" s="1553"/>
      <c r="K16" s="1553"/>
      <c r="L16" s="1553"/>
      <c r="M16" s="1553"/>
      <c r="N16" s="1553"/>
      <c r="O16" s="1553"/>
      <c r="P16" s="1554"/>
      <c r="Q16" s="7"/>
    </row>
    <row r="17" spans="1:19" x14ac:dyDescent="0.25">
      <c r="A17" s="8"/>
      <c r="B17" s="9" t="s">
        <v>22</v>
      </c>
      <c r="C17" s="1553"/>
      <c r="D17" s="1553"/>
      <c r="E17" s="1553"/>
      <c r="F17" s="1553"/>
      <c r="G17" s="1553"/>
      <c r="H17" s="1553"/>
      <c r="I17" s="1553"/>
      <c r="J17" s="1553"/>
      <c r="K17" s="1553"/>
      <c r="L17" s="1553"/>
      <c r="M17" s="1553"/>
      <c r="N17" s="1553"/>
      <c r="O17" s="1553"/>
      <c r="P17" s="1554"/>
      <c r="Q17" s="7"/>
    </row>
    <row r="18" spans="1:19" x14ac:dyDescent="0.25">
      <c r="A18" s="18"/>
      <c r="B18" s="19"/>
      <c r="C18" s="1569"/>
      <c r="D18" s="1569"/>
      <c r="E18" s="1569"/>
      <c r="F18" s="1569"/>
      <c r="G18" s="1569"/>
      <c r="H18" s="1569"/>
      <c r="I18" s="1569"/>
      <c r="J18" s="1569"/>
      <c r="K18" s="1569"/>
      <c r="L18" s="1569"/>
      <c r="M18" s="1569"/>
      <c r="N18" s="1569"/>
      <c r="O18" s="1569"/>
      <c r="P18" s="1570"/>
      <c r="Q18" s="7"/>
    </row>
    <row r="19" spans="1:19"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19"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19" s="21" customFormat="1" ht="55.5" customHeight="1" thickBot="1" x14ac:dyDescent="0.3">
      <c r="A21" s="1573"/>
      <c r="B21" s="1576"/>
      <c r="C21" s="1581"/>
      <c r="D21" s="1566"/>
      <c r="E21" s="1568"/>
      <c r="F21" s="1564"/>
      <c r="G21" s="1566"/>
      <c r="H21" s="1568"/>
      <c r="I21" s="1564"/>
      <c r="J21" s="1566"/>
      <c r="K21" s="1568"/>
      <c r="L21" s="1564"/>
      <c r="M21" s="1566"/>
      <c r="N21" s="1568"/>
      <c r="O21" s="1564"/>
      <c r="P21" s="1576"/>
    </row>
    <row r="22" spans="1:19"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19" s="41" customFormat="1" x14ac:dyDescent="0.25">
      <c r="A23" s="30"/>
      <c r="B23" s="31" t="s">
        <v>41</v>
      </c>
      <c r="C23" s="32"/>
      <c r="D23" s="33"/>
      <c r="E23" s="34"/>
      <c r="F23" s="35"/>
      <c r="G23" s="33"/>
      <c r="H23" s="36"/>
      <c r="I23" s="37"/>
      <c r="J23" s="33"/>
      <c r="K23" s="38"/>
      <c r="L23" s="37"/>
      <c r="M23" s="38"/>
      <c r="N23" s="39"/>
      <c r="O23" s="37"/>
      <c r="P23" s="40"/>
    </row>
    <row r="24" spans="1:19" s="41" customFormat="1" ht="12.75" thickBot="1" x14ac:dyDescent="0.3">
      <c r="A24" s="42"/>
      <c r="B24" s="43" t="s">
        <v>42</v>
      </c>
      <c r="C24" s="44">
        <f>F24+I24+L24+O24</f>
        <v>574029</v>
      </c>
      <c r="D24" s="45">
        <f>SUM(D25,D28,D29,D45,D46)</f>
        <v>522112</v>
      </c>
      <c r="E24" s="46">
        <f>SUM(E25,E28,E29,E45,E46)</f>
        <v>0</v>
      </c>
      <c r="F24" s="47">
        <f t="shared" ref="F24:F29" si="0">D24+E24</f>
        <v>522112</v>
      </c>
      <c r="G24" s="45">
        <f>SUM(G25,G28,G46)</f>
        <v>46140</v>
      </c>
      <c r="H24" s="48">
        <f>SUM(H25,H28,H46)</f>
        <v>0</v>
      </c>
      <c r="I24" s="49">
        <f>G24+H24</f>
        <v>46140</v>
      </c>
      <c r="J24" s="45">
        <f>SUM(J25,J30,J46)</f>
        <v>5777</v>
      </c>
      <c r="K24" s="48">
        <f>SUM(K25,K30,K46)</f>
        <v>0</v>
      </c>
      <c r="L24" s="49">
        <f>J24+K24</f>
        <v>5777</v>
      </c>
      <c r="M24" s="50">
        <f>SUM(M25,M48)</f>
        <v>0</v>
      </c>
      <c r="N24" s="51">
        <f>SUM(N25,N48)</f>
        <v>0</v>
      </c>
      <c r="O24" s="49">
        <f>M24+N24</f>
        <v>0</v>
      </c>
      <c r="P24" s="52"/>
      <c r="R24" s="53"/>
      <c r="S24" s="53"/>
    </row>
    <row r="25" spans="1:19" ht="12.75" thickTop="1" x14ac:dyDescent="0.25">
      <c r="A25" s="54"/>
      <c r="B25" s="55" t="s">
        <v>43</v>
      </c>
      <c r="C25" s="56">
        <f>F25+I25+L25+O25</f>
        <v>2149</v>
      </c>
      <c r="D25" s="57">
        <f>SUM(D26:D27)</f>
        <v>0</v>
      </c>
      <c r="E25" s="58">
        <f>SUM(E26:E27)</f>
        <v>0</v>
      </c>
      <c r="F25" s="59">
        <f t="shared" si="0"/>
        <v>0</v>
      </c>
      <c r="G25" s="57">
        <f>SUM(G26:G27)</f>
        <v>0</v>
      </c>
      <c r="H25" s="60">
        <f>SUM(H26:H27)</f>
        <v>0</v>
      </c>
      <c r="I25" s="61">
        <f>G25+H25</f>
        <v>0</v>
      </c>
      <c r="J25" s="57">
        <f>SUM(J26:J27)</f>
        <v>2149</v>
      </c>
      <c r="K25" s="60">
        <f>SUM(K26:K27)</f>
        <v>0</v>
      </c>
      <c r="L25" s="61">
        <f>J25+K25</f>
        <v>2149</v>
      </c>
      <c r="M25" s="62">
        <f>SUM(M26:M27)</f>
        <v>0</v>
      </c>
      <c r="N25" s="63">
        <f>SUM(N26:N27)</f>
        <v>0</v>
      </c>
      <c r="O25" s="61">
        <f>M25+N25</f>
        <v>0</v>
      </c>
      <c r="P25" s="64"/>
    </row>
    <row r="26" spans="1:19" hidden="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row>
    <row r="27" spans="1:19" x14ac:dyDescent="0.25">
      <c r="A27" s="75"/>
      <c r="B27" s="76" t="s">
        <v>45</v>
      </c>
      <c r="C27" s="77">
        <f>F27+I27+L27+O27</f>
        <v>2149</v>
      </c>
      <c r="D27" s="78"/>
      <c r="E27" s="79"/>
      <c r="F27" s="80">
        <f t="shared" si="0"/>
        <v>0</v>
      </c>
      <c r="G27" s="78"/>
      <c r="H27" s="81"/>
      <c r="I27" s="82">
        <f>G27+H27</f>
        <v>0</v>
      </c>
      <c r="J27" s="78">
        <v>2149</v>
      </c>
      <c r="K27" s="81"/>
      <c r="L27" s="82">
        <f>J27+K27</f>
        <v>2149</v>
      </c>
      <c r="M27" s="83"/>
      <c r="N27" s="84"/>
      <c r="O27" s="82">
        <f>M27+N27</f>
        <v>0</v>
      </c>
      <c r="P27" s="85"/>
    </row>
    <row r="28" spans="1:19" s="41" customFormat="1" ht="24.75" thickBot="1" x14ac:dyDescent="0.3">
      <c r="A28" s="86">
        <v>19300</v>
      </c>
      <c r="B28" s="86" t="s">
        <v>46</v>
      </c>
      <c r="C28" s="87">
        <f>SUM(F28,I28)</f>
        <v>568252</v>
      </c>
      <c r="D28" s="88">
        <v>522112</v>
      </c>
      <c r="E28" s="89"/>
      <c r="F28" s="90">
        <f t="shared" si="0"/>
        <v>522112</v>
      </c>
      <c r="G28" s="88">
        <v>46140</v>
      </c>
      <c r="H28" s="91"/>
      <c r="I28" s="92">
        <f>G28+H28</f>
        <v>46140</v>
      </c>
      <c r="J28" s="93" t="s">
        <v>47</v>
      </c>
      <c r="K28" s="94" t="s">
        <v>47</v>
      </c>
      <c r="L28" s="95" t="s">
        <v>47</v>
      </c>
      <c r="M28" s="96" t="s">
        <v>47</v>
      </c>
      <c r="N28" s="97" t="s">
        <v>47</v>
      </c>
      <c r="O28" s="95" t="s">
        <v>47</v>
      </c>
      <c r="P28" s="98"/>
    </row>
    <row r="29" spans="1:19" s="41" customFormat="1" ht="24.75" hidden="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row>
    <row r="30" spans="1:19" s="41" customFormat="1" ht="27.75" customHeight="1" thickTop="1" x14ac:dyDescent="0.25">
      <c r="A30" s="99">
        <v>21300</v>
      </c>
      <c r="B30" s="99" t="s">
        <v>49</v>
      </c>
      <c r="C30" s="100">
        <f t="shared" ref="C30:C44" si="1">L30</f>
        <v>3623</v>
      </c>
      <c r="D30" s="104" t="s">
        <v>47</v>
      </c>
      <c r="E30" s="110" t="s">
        <v>47</v>
      </c>
      <c r="F30" s="111" t="s">
        <v>47</v>
      </c>
      <c r="G30" s="104" t="s">
        <v>47</v>
      </c>
      <c r="H30" s="105" t="s">
        <v>47</v>
      </c>
      <c r="I30" s="106" t="s">
        <v>47</v>
      </c>
      <c r="J30" s="112">
        <f>SUM(J31,J35,J37,J40)</f>
        <v>3623</v>
      </c>
      <c r="K30" s="113">
        <f>SUM(K31,K35,K37,K40)</f>
        <v>0</v>
      </c>
      <c r="L30" s="114">
        <f t="shared" ref="L30:L44" si="2">J30+K30</f>
        <v>3623</v>
      </c>
      <c r="M30" s="107" t="s">
        <v>47</v>
      </c>
      <c r="N30" s="108" t="s">
        <v>47</v>
      </c>
      <c r="O30" s="106" t="s">
        <v>47</v>
      </c>
      <c r="P30" s="109"/>
    </row>
    <row r="31" spans="1:19" s="41" customFormat="1" hidden="1" x14ac:dyDescent="0.25">
      <c r="A31" s="115">
        <v>21350</v>
      </c>
      <c r="B31" s="99" t="s">
        <v>50</v>
      </c>
      <c r="C31" s="100">
        <f t="shared" si="1"/>
        <v>0</v>
      </c>
      <c r="D31" s="104" t="s">
        <v>47</v>
      </c>
      <c r="E31" s="108" t="s">
        <v>47</v>
      </c>
      <c r="F31" s="140" t="s">
        <v>47</v>
      </c>
      <c r="G31" s="104" t="s">
        <v>47</v>
      </c>
      <c r="H31" s="105" t="s">
        <v>47</v>
      </c>
      <c r="I31" s="106" t="s">
        <v>47</v>
      </c>
      <c r="J31" s="112">
        <f>SUM(J32:J34)</f>
        <v>0</v>
      </c>
      <c r="K31" s="113">
        <f>SUM(K32:K34)</f>
        <v>0</v>
      </c>
      <c r="L31" s="114">
        <f t="shared" si="2"/>
        <v>0</v>
      </c>
      <c r="M31" s="107" t="s">
        <v>47</v>
      </c>
      <c r="N31" s="108" t="s">
        <v>47</v>
      </c>
      <c r="O31" s="106" t="s">
        <v>47</v>
      </c>
      <c r="P31" s="109"/>
    </row>
    <row r="32" spans="1:19" hidden="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row>
    <row r="33" spans="1:16" hidden="1" x14ac:dyDescent="0.25">
      <c r="A33" s="75">
        <v>21352</v>
      </c>
      <c r="B33" s="127" t="s">
        <v>52</v>
      </c>
      <c r="C33" s="128">
        <f t="shared" si="1"/>
        <v>0</v>
      </c>
      <c r="D33" s="129" t="s">
        <v>47</v>
      </c>
      <c r="E33" s="138" t="s">
        <v>47</v>
      </c>
      <c r="F33" s="139" t="s">
        <v>47</v>
      </c>
      <c r="G33" s="129" t="s">
        <v>47</v>
      </c>
      <c r="H33" s="132" t="s">
        <v>47</v>
      </c>
      <c r="I33" s="133" t="s">
        <v>47</v>
      </c>
      <c r="J33" s="134"/>
      <c r="K33" s="135"/>
      <c r="L33" s="136">
        <f t="shared" si="2"/>
        <v>0</v>
      </c>
      <c r="M33" s="137" t="s">
        <v>47</v>
      </c>
      <c r="N33" s="138" t="s">
        <v>47</v>
      </c>
      <c r="O33" s="133" t="s">
        <v>47</v>
      </c>
      <c r="P33" s="85"/>
    </row>
    <row r="34" spans="1:16" ht="24" hidden="1" x14ac:dyDescent="0.25">
      <c r="A34" s="75">
        <v>21359</v>
      </c>
      <c r="B34" s="127" t="s">
        <v>53</v>
      </c>
      <c r="C34" s="128">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row>
    <row r="35" spans="1:16" s="41" customFormat="1" ht="36" hidden="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row>
    <row r="36" spans="1:16" ht="36" hidden="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row>
    <row r="37" spans="1:16" s="41" customFormat="1" hidden="1" x14ac:dyDescent="0.25">
      <c r="A37" s="115">
        <v>21380</v>
      </c>
      <c r="B37" s="99" t="s">
        <v>56</v>
      </c>
      <c r="C37" s="100">
        <f t="shared" si="1"/>
        <v>0</v>
      </c>
      <c r="D37" s="104" t="s">
        <v>47</v>
      </c>
      <c r="E37" s="108" t="s">
        <v>47</v>
      </c>
      <c r="F37" s="140" t="s">
        <v>47</v>
      </c>
      <c r="G37" s="104" t="s">
        <v>47</v>
      </c>
      <c r="H37" s="105" t="s">
        <v>47</v>
      </c>
      <c r="I37" s="106" t="s">
        <v>47</v>
      </c>
      <c r="J37" s="112">
        <f>SUM(J38:J39)</f>
        <v>0</v>
      </c>
      <c r="K37" s="113">
        <f>SUM(K38:K39)</f>
        <v>0</v>
      </c>
      <c r="L37" s="114">
        <f t="shared" si="2"/>
        <v>0</v>
      </c>
      <c r="M37" s="107" t="s">
        <v>47</v>
      </c>
      <c r="N37" s="108" t="s">
        <v>47</v>
      </c>
      <c r="O37" s="106" t="s">
        <v>47</v>
      </c>
      <c r="P37" s="109"/>
    </row>
    <row r="38" spans="1:16" hidden="1" x14ac:dyDescent="0.25">
      <c r="A38" s="66">
        <v>21381</v>
      </c>
      <c r="B38" s="116" t="s">
        <v>57</v>
      </c>
      <c r="C38" s="117">
        <f t="shared" si="1"/>
        <v>0</v>
      </c>
      <c r="D38" s="118" t="s">
        <v>47</v>
      </c>
      <c r="E38" s="119" t="s">
        <v>47</v>
      </c>
      <c r="F38" s="120" t="s">
        <v>47</v>
      </c>
      <c r="G38" s="118" t="s">
        <v>47</v>
      </c>
      <c r="H38" s="121" t="s">
        <v>47</v>
      </c>
      <c r="I38" s="122" t="s">
        <v>47</v>
      </c>
      <c r="J38" s="123"/>
      <c r="K38" s="124"/>
      <c r="L38" s="125">
        <f t="shared" si="2"/>
        <v>0</v>
      </c>
      <c r="M38" s="126" t="s">
        <v>47</v>
      </c>
      <c r="N38" s="119" t="s">
        <v>47</v>
      </c>
      <c r="O38" s="122" t="s">
        <v>47</v>
      </c>
      <c r="P38" s="928"/>
    </row>
    <row r="39" spans="1:16" ht="24" hidden="1" x14ac:dyDescent="0.25">
      <c r="A39" s="76">
        <v>21383</v>
      </c>
      <c r="B39" s="127" t="s">
        <v>58</v>
      </c>
      <c r="C39" s="128">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row>
    <row r="40" spans="1:16" s="41" customFormat="1" ht="24" x14ac:dyDescent="0.25">
      <c r="A40" s="115">
        <v>21390</v>
      </c>
      <c r="B40" s="99" t="s">
        <v>59</v>
      </c>
      <c r="C40" s="100">
        <f t="shared" si="1"/>
        <v>3623</v>
      </c>
      <c r="D40" s="104" t="s">
        <v>47</v>
      </c>
      <c r="E40" s="110" t="s">
        <v>47</v>
      </c>
      <c r="F40" s="111" t="s">
        <v>47</v>
      </c>
      <c r="G40" s="104" t="s">
        <v>47</v>
      </c>
      <c r="H40" s="105" t="s">
        <v>47</v>
      </c>
      <c r="I40" s="106" t="s">
        <v>47</v>
      </c>
      <c r="J40" s="112">
        <f>SUM(J41:J44)</f>
        <v>3623</v>
      </c>
      <c r="K40" s="113">
        <f>SUM(K41:K44)</f>
        <v>0</v>
      </c>
      <c r="L40" s="114">
        <f t="shared" si="2"/>
        <v>3623</v>
      </c>
      <c r="M40" s="107" t="s">
        <v>47</v>
      </c>
      <c r="N40" s="108" t="s">
        <v>47</v>
      </c>
      <c r="O40" s="106" t="s">
        <v>47</v>
      </c>
      <c r="P40" s="109"/>
    </row>
    <row r="41" spans="1:16" ht="24" hidden="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row>
    <row r="42" spans="1:16" hidden="1" x14ac:dyDescent="0.25">
      <c r="A42" s="76">
        <v>21393</v>
      </c>
      <c r="B42" s="127" t="s">
        <v>61</v>
      </c>
      <c r="C42" s="128">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row>
    <row r="43" spans="1:16" hidden="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row>
    <row r="44" spans="1:16" ht="24" x14ac:dyDescent="0.25">
      <c r="A44" s="76">
        <v>21399</v>
      </c>
      <c r="B44" s="127" t="s">
        <v>63</v>
      </c>
      <c r="C44" s="302">
        <f t="shared" si="1"/>
        <v>3623</v>
      </c>
      <c r="D44" s="129" t="s">
        <v>47</v>
      </c>
      <c r="E44" s="130" t="s">
        <v>47</v>
      </c>
      <c r="F44" s="907" t="s">
        <v>47</v>
      </c>
      <c r="G44" s="129" t="s">
        <v>47</v>
      </c>
      <c r="H44" s="132" t="s">
        <v>47</v>
      </c>
      <c r="I44" s="174" t="s">
        <v>47</v>
      </c>
      <c r="J44" s="134">
        <v>3623</v>
      </c>
      <c r="K44" s="135"/>
      <c r="L44" s="305">
        <f t="shared" si="2"/>
        <v>3623</v>
      </c>
      <c r="M44" s="137" t="s">
        <v>47</v>
      </c>
      <c r="N44" s="138" t="s">
        <v>47</v>
      </c>
      <c r="O44" s="174" t="s">
        <v>47</v>
      </c>
      <c r="P44" s="85"/>
    </row>
    <row r="45" spans="1:16" s="41" customFormat="1" ht="24" hidden="1" x14ac:dyDescent="0.25">
      <c r="A45" s="115">
        <v>21420</v>
      </c>
      <c r="B45" s="99" t="s">
        <v>64</v>
      </c>
      <c r="C45" s="156">
        <f>F45</f>
        <v>0</v>
      </c>
      <c r="D45" s="157"/>
      <c r="E45" s="158"/>
      <c r="F45" s="103">
        <f>D45+E45</f>
        <v>0</v>
      </c>
      <c r="G45" s="104" t="s">
        <v>47</v>
      </c>
      <c r="H45" s="105" t="s">
        <v>47</v>
      </c>
      <c r="I45" s="106" t="s">
        <v>47</v>
      </c>
      <c r="J45" s="104" t="s">
        <v>47</v>
      </c>
      <c r="K45" s="105" t="s">
        <v>47</v>
      </c>
      <c r="L45" s="106" t="s">
        <v>47</v>
      </c>
      <c r="M45" s="107" t="s">
        <v>47</v>
      </c>
      <c r="N45" s="108" t="s">
        <v>47</v>
      </c>
      <c r="O45" s="106" t="s">
        <v>47</v>
      </c>
      <c r="P45" s="109"/>
    </row>
    <row r="46" spans="1:16" s="41" customFormat="1" ht="24" x14ac:dyDescent="0.25">
      <c r="A46" s="159">
        <v>21490</v>
      </c>
      <c r="B46" s="160" t="s">
        <v>65</v>
      </c>
      <c r="C46" s="156">
        <f>F46+I46+L46</f>
        <v>5</v>
      </c>
      <c r="D46" s="161">
        <f>D47</f>
        <v>0</v>
      </c>
      <c r="E46" s="672">
        <f>E47</f>
        <v>0</v>
      </c>
      <c r="F46" s="774">
        <f>D46+E46</f>
        <v>0</v>
      </c>
      <c r="G46" s="161">
        <f>G47</f>
        <v>0</v>
      </c>
      <c r="H46" s="164">
        <f t="shared" ref="H46:K46" si="3">H47</f>
        <v>0</v>
      </c>
      <c r="I46" s="165">
        <f>G46+H46</f>
        <v>0</v>
      </c>
      <c r="J46" s="161">
        <f>J47</f>
        <v>5</v>
      </c>
      <c r="K46" s="164">
        <f t="shared" si="3"/>
        <v>0</v>
      </c>
      <c r="L46" s="165">
        <f>J46+K46</f>
        <v>5</v>
      </c>
      <c r="M46" s="107" t="s">
        <v>47</v>
      </c>
      <c r="N46" s="108" t="s">
        <v>47</v>
      </c>
      <c r="O46" s="106" t="s">
        <v>47</v>
      </c>
      <c r="P46" s="109"/>
    </row>
    <row r="47" spans="1:16" s="41" customFormat="1" ht="24" x14ac:dyDescent="0.25">
      <c r="A47" s="265">
        <v>21499</v>
      </c>
      <c r="B47" s="266" t="s">
        <v>66</v>
      </c>
      <c r="C47" s="929">
        <f>F47+I47+L47</f>
        <v>5</v>
      </c>
      <c r="D47" s="930"/>
      <c r="E47" s="948"/>
      <c r="F47" s="949">
        <f>D47+E47</f>
        <v>0</v>
      </c>
      <c r="G47" s="933"/>
      <c r="H47" s="934"/>
      <c r="I47" s="980">
        <f>G47+H47</f>
        <v>0</v>
      </c>
      <c r="J47" s="930">
        <v>5</v>
      </c>
      <c r="K47" s="934"/>
      <c r="L47" s="980">
        <f>J47+K47</f>
        <v>5</v>
      </c>
      <c r="M47" s="936" t="s">
        <v>47</v>
      </c>
      <c r="N47" s="937" t="s">
        <v>47</v>
      </c>
      <c r="O47" s="938" t="s">
        <v>47</v>
      </c>
      <c r="P47" s="939"/>
    </row>
    <row r="48" spans="1:16" hidden="1" x14ac:dyDescent="0.25">
      <c r="A48" s="168">
        <v>23000</v>
      </c>
      <c r="B48" s="169" t="s">
        <v>67</v>
      </c>
      <c r="C48" s="156">
        <f>O48</f>
        <v>0</v>
      </c>
      <c r="D48" s="170" t="s">
        <v>47</v>
      </c>
      <c r="E48" s="171" t="s">
        <v>47</v>
      </c>
      <c r="F48" s="172" t="s">
        <v>47</v>
      </c>
      <c r="G48" s="170" t="s">
        <v>47</v>
      </c>
      <c r="H48" s="173" t="s">
        <v>47</v>
      </c>
      <c r="I48" s="174" t="s">
        <v>47</v>
      </c>
      <c r="J48" s="170" t="s">
        <v>47</v>
      </c>
      <c r="K48" s="173" t="s">
        <v>47</v>
      </c>
      <c r="L48" s="174" t="s">
        <v>47</v>
      </c>
      <c r="M48" s="175">
        <f>SUM(M49:M50)</f>
        <v>0</v>
      </c>
      <c r="N48" s="176">
        <f>SUM(N49:N50)</f>
        <v>0</v>
      </c>
      <c r="O48" s="177">
        <f>M48+N48</f>
        <v>0</v>
      </c>
      <c r="P48" s="109"/>
    </row>
    <row r="49" spans="1:16" ht="24" hidden="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row>
    <row r="50" spans="1:16" ht="24" hidden="1" x14ac:dyDescent="0.25">
      <c r="A50" s="178">
        <v>23510</v>
      </c>
      <c r="B50" s="179" t="s">
        <v>69</v>
      </c>
      <c r="C50" s="180">
        <f>O50</f>
        <v>0</v>
      </c>
      <c r="D50" s="181" t="s">
        <v>47</v>
      </c>
      <c r="E50" s="182" t="s">
        <v>47</v>
      </c>
      <c r="F50" s="183" t="s">
        <v>47</v>
      </c>
      <c r="G50" s="181" t="s">
        <v>47</v>
      </c>
      <c r="H50" s="184" t="s">
        <v>47</v>
      </c>
      <c r="I50" s="185" t="s">
        <v>47</v>
      </c>
      <c r="J50" s="181" t="s">
        <v>47</v>
      </c>
      <c r="K50" s="184" t="s">
        <v>47</v>
      </c>
      <c r="L50" s="185" t="s">
        <v>47</v>
      </c>
      <c r="M50" s="186"/>
      <c r="N50" s="187"/>
      <c r="O50" s="188">
        <f>M50+N50</f>
        <v>0</v>
      </c>
      <c r="P50" s="189"/>
    </row>
    <row r="51" spans="1:16" x14ac:dyDescent="0.25">
      <c r="A51" s="190"/>
      <c r="B51" s="179"/>
      <c r="C51" s="191"/>
      <c r="D51" s="192"/>
      <c r="E51" s="193"/>
      <c r="F51" s="194"/>
      <c r="G51" s="192"/>
      <c r="H51" s="195"/>
      <c r="I51" s="185"/>
      <c r="J51" s="196"/>
      <c r="K51" s="197"/>
      <c r="L51" s="188"/>
      <c r="M51" s="186"/>
      <c r="N51" s="187"/>
      <c r="O51" s="188"/>
      <c r="P51" s="189"/>
    </row>
    <row r="52" spans="1:16" s="41" customFormat="1" x14ac:dyDescent="0.25">
      <c r="A52" s="198"/>
      <c r="B52" s="199" t="s">
        <v>70</v>
      </c>
      <c r="C52" s="200"/>
      <c r="D52" s="201"/>
      <c r="E52" s="202"/>
      <c r="F52" s="203"/>
      <c r="G52" s="201"/>
      <c r="H52" s="204"/>
      <c r="I52" s="205"/>
      <c r="J52" s="201"/>
      <c r="K52" s="204"/>
      <c r="L52" s="205"/>
      <c r="M52" s="206"/>
      <c r="N52" s="207"/>
      <c r="O52" s="205"/>
      <c r="P52" s="208"/>
    </row>
    <row r="53" spans="1:16" s="41" customFormat="1" ht="12.75" thickBot="1" x14ac:dyDescent="0.3">
      <c r="A53" s="209"/>
      <c r="B53" s="42" t="s">
        <v>71</v>
      </c>
      <c r="C53" s="210">
        <f t="shared" ref="C53:C116" si="4">F53+I53+L53+O53</f>
        <v>574029</v>
      </c>
      <c r="D53" s="211">
        <f>SUM(D54,D284)</f>
        <v>522112</v>
      </c>
      <c r="E53" s="212">
        <f>SUM(E54,E284)</f>
        <v>0</v>
      </c>
      <c r="F53" s="213">
        <f t="shared" ref="F53:F117" si="5">D53+E53</f>
        <v>522112</v>
      </c>
      <c r="G53" s="211">
        <f>SUM(G54,G284)</f>
        <v>46140</v>
      </c>
      <c r="H53" s="214">
        <f>SUM(H54,H284)</f>
        <v>0</v>
      </c>
      <c r="I53" s="215">
        <f t="shared" ref="I53:I117" si="6">G53+H53</f>
        <v>46140</v>
      </c>
      <c r="J53" s="211">
        <f>SUM(J54,J284)</f>
        <v>5777</v>
      </c>
      <c r="K53" s="214">
        <f>SUM(K54,K284)</f>
        <v>0</v>
      </c>
      <c r="L53" s="215">
        <f t="shared" ref="L53:L117" si="7">J53+K53</f>
        <v>5777</v>
      </c>
      <c r="M53" s="216">
        <f>SUM(M54,M284)</f>
        <v>0</v>
      </c>
      <c r="N53" s="217">
        <f>SUM(N54,N284)</f>
        <v>0</v>
      </c>
      <c r="O53" s="215">
        <f t="shared" ref="O53:O117" si="8">M53+N53</f>
        <v>0</v>
      </c>
      <c r="P53" s="52"/>
    </row>
    <row r="54" spans="1:16" s="41" customFormat="1" ht="36.75" thickTop="1" x14ac:dyDescent="0.25">
      <c r="A54" s="218"/>
      <c r="B54" s="219" t="s">
        <v>72</v>
      </c>
      <c r="C54" s="220">
        <f t="shared" si="4"/>
        <v>574029</v>
      </c>
      <c r="D54" s="221">
        <f>SUM(D55,D197)</f>
        <v>522112</v>
      </c>
      <c r="E54" s="222">
        <f>SUM(E55,E197)</f>
        <v>0</v>
      </c>
      <c r="F54" s="223">
        <f t="shared" si="5"/>
        <v>522112</v>
      </c>
      <c r="G54" s="221">
        <f>SUM(G55,G197)</f>
        <v>46140</v>
      </c>
      <c r="H54" s="224">
        <f>SUM(H55,H197)</f>
        <v>0</v>
      </c>
      <c r="I54" s="225">
        <f t="shared" si="6"/>
        <v>46140</v>
      </c>
      <c r="J54" s="221">
        <f>SUM(J55,J197)</f>
        <v>5777</v>
      </c>
      <c r="K54" s="224">
        <f>SUM(K55,K197)</f>
        <v>0</v>
      </c>
      <c r="L54" s="225">
        <f t="shared" si="7"/>
        <v>5777</v>
      </c>
      <c r="M54" s="226">
        <f>SUM(M55,M197)</f>
        <v>0</v>
      </c>
      <c r="N54" s="227">
        <f>SUM(N55,N197)</f>
        <v>0</v>
      </c>
      <c r="O54" s="225">
        <f t="shared" si="8"/>
        <v>0</v>
      </c>
      <c r="P54" s="228"/>
    </row>
    <row r="55" spans="1:16" s="41" customFormat="1" ht="24" x14ac:dyDescent="0.25">
      <c r="A55" s="35"/>
      <c r="B55" s="30" t="s">
        <v>73</v>
      </c>
      <c r="C55" s="229">
        <f t="shared" si="4"/>
        <v>568364</v>
      </c>
      <c r="D55" s="230">
        <f>SUM(D56,D78,D176,D190)</f>
        <v>516907</v>
      </c>
      <c r="E55" s="231">
        <f>SUM(E56,E78,E176,E190)</f>
        <v>0</v>
      </c>
      <c r="F55" s="232">
        <f t="shared" si="5"/>
        <v>516907</v>
      </c>
      <c r="G55" s="230">
        <f>SUM(G56,G78,G176,G190)</f>
        <v>45840</v>
      </c>
      <c r="H55" s="233">
        <f>SUM(H56,H78,H176,H190)</f>
        <v>0</v>
      </c>
      <c r="I55" s="234">
        <f t="shared" si="6"/>
        <v>45840</v>
      </c>
      <c r="J55" s="230">
        <f>SUM(J56,J78,J176,J190)</f>
        <v>5617</v>
      </c>
      <c r="K55" s="233">
        <f>SUM(K56,K78,K176,K190)</f>
        <v>0</v>
      </c>
      <c r="L55" s="234">
        <f t="shared" si="7"/>
        <v>5617</v>
      </c>
      <c r="M55" s="53">
        <f>SUM(M56,M78,M176,M190)</f>
        <v>0</v>
      </c>
      <c r="N55" s="235">
        <f>SUM(N56,N78,N176,N190)</f>
        <v>0</v>
      </c>
      <c r="O55" s="234">
        <f t="shared" si="8"/>
        <v>0</v>
      </c>
      <c r="P55" s="236"/>
    </row>
    <row r="56" spans="1:16" s="41" customFormat="1" x14ac:dyDescent="0.25">
      <c r="A56" s="237">
        <v>1000</v>
      </c>
      <c r="B56" s="237" t="s">
        <v>74</v>
      </c>
      <c r="C56" s="238">
        <f t="shared" si="4"/>
        <v>490218</v>
      </c>
      <c r="D56" s="239">
        <f>SUM(D57,D70)</f>
        <v>445573</v>
      </c>
      <c r="E56" s="240">
        <f>SUM(E57,E70)</f>
        <v>0</v>
      </c>
      <c r="F56" s="241">
        <f t="shared" si="5"/>
        <v>445573</v>
      </c>
      <c r="G56" s="239">
        <f>SUM(G57,G70)</f>
        <v>44645</v>
      </c>
      <c r="H56" s="242">
        <f>SUM(H57,H70)</f>
        <v>0</v>
      </c>
      <c r="I56" s="243">
        <f t="shared" si="6"/>
        <v>44645</v>
      </c>
      <c r="J56" s="239">
        <f>SUM(J57,J70)</f>
        <v>0</v>
      </c>
      <c r="K56" s="242">
        <f>SUM(K57,K70)</f>
        <v>0</v>
      </c>
      <c r="L56" s="243">
        <f t="shared" si="7"/>
        <v>0</v>
      </c>
      <c r="M56" s="244">
        <f>SUM(M57,M70)</f>
        <v>0</v>
      </c>
      <c r="N56" s="245">
        <f>SUM(N57,N70)</f>
        <v>0</v>
      </c>
      <c r="O56" s="243">
        <f t="shared" si="8"/>
        <v>0</v>
      </c>
      <c r="P56" s="246"/>
    </row>
    <row r="57" spans="1:16" x14ac:dyDescent="0.25">
      <c r="A57" s="99">
        <v>1100</v>
      </c>
      <c r="B57" s="247" t="s">
        <v>75</v>
      </c>
      <c r="C57" s="100">
        <f t="shared" si="4"/>
        <v>371223</v>
      </c>
      <c r="D57" s="112">
        <f>SUM(D58,D61,D69)</f>
        <v>335304</v>
      </c>
      <c r="E57" s="248">
        <f>SUM(E58,E61,E69)</f>
        <v>0</v>
      </c>
      <c r="F57" s="249">
        <f t="shared" si="5"/>
        <v>335304</v>
      </c>
      <c r="G57" s="112">
        <f>SUM(G58,G61,G69)</f>
        <v>35673</v>
      </c>
      <c r="H57" s="113">
        <f>SUM(H58,H61,H69)</f>
        <v>246</v>
      </c>
      <c r="I57" s="114">
        <f t="shared" si="6"/>
        <v>35919</v>
      </c>
      <c r="J57" s="112">
        <f>SUM(J58,J61,J69)</f>
        <v>0</v>
      </c>
      <c r="K57" s="113">
        <f>SUM(K58,K61,K69)</f>
        <v>0</v>
      </c>
      <c r="L57" s="114">
        <f t="shared" si="7"/>
        <v>0</v>
      </c>
      <c r="M57" s="250">
        <f>SUM(M58,M61,M69)</f>
        <v>0</v>
      </c>
      <c r="N57" s="251">
        <f>SUM(N58,N61,N69)</f>
        <v>0</v>
      </c>
      <c r="O57" s="252">
        <f t="shared" si="8"/>
        <v>0</v>
      </c>
      <c r="P57" s="253"/>
    </row>
    <row r="58" spans="1:16" x14ac:dyDescent="0.25">
      <c r="A58" s="254">
        <v>1110</v>
      </c>
      <c r="B58" s="179" t="s">
        <v>76</v>
      </c>
      <c r="C58" s="191">
        <f t="shared" si="4"/>
        <v>337442</v>
      </c>
      <c r="D58" s="255">
        <f>SUM(D59:D60)</f>
        <v>301871</v>
      </c>
      <c r="E58" s="256">
        <f>SUM(E59:E60)</f>
        <v>0</v>
      </c>
      <c r="F58" s="257">
        <f t="shared" si="5"/>
        <v>301871</v>
      </c>
      <c r="G58" s="255">
        <f>SUM(G59:G60)</f>
        <v>35172</v>
      </c>
      <c r="H58" s="258">
        <f>SUM(H59:H60)</f>
        <v>399</v>
      </c>
      <c r="I58" s="259">
        <f t="shared" si="6"/>
        <v>35571</v>
      </c>
      <c r="J58" s="255">
        <f>SUM(J59:J60)</f>
        <v>0</v>
      </c>
      <c r="K58" s="258">
        <f>SUM(K59:K60)</f>
        <v>0</v>
      </c>
      <c r="L58" s="259">
        <f t="shared" si="7"/>
        <v>0</v>
      </c>
      <c r="M58" s="260">
        <f>SUM(M59:M60)</f>
        <v>0</v>
      </c>
      <c r="N58" s="261">
        <f>SUM(N59:N60)</f>
        <v>0</v>
      </c>
      <c r="O58" s="259">
        <f t="shared" si="8"/>
        <v>0</v>
      </c>
      <c r="P58" s="189"/>
    </row>
    <row r="59" spans="1:16" hidden="1" x14ac:dyDescent="0.25">
      <c r="A59" s="66">
        <v>1111</v>
      </c>
      <c r="B59" s="116" t="s">
        <v>77</v>
      </c>
      <c r="C59" s="117">
        <f t="shared" si="4"/>
        <v>0</v>
      </c>
      <c r="D59" s="123"/>
      <c r="E59" s="262"/>
      <c r="F59" s="263">
        <f t="shared" si="5"/>
        <v>0</v>
      </c>
      <c r="G59" s="123"/>
      <c r="H59" s="124"/>
      <c r="I59" s="125">
        <f t="shared" si="6"/>
        <v>0</v>
      </c>
      <c r="J59" s="123"/>
      <c r="K59" s="124"/>
      <c r="L59" s="125">
        <f t="shared" si="7"/>
        <v>0</v>
      </c>
      <c r="M59" s="264"/>
      <c r="N59" s="262"/>
      <c r="O59" s="125">
        <f t="shared" si="8"/>
        <v>0</v>
      </c>
      <c r="P59" s="74"/>
    </row>
    <row r="60" spans="1:16" ht="24" x14ac:dyDescent="0.25">
      <c r="A60" s="76">
        <v>1119</v>
      </c>
      <c r="B60" s="127" t="s">
        <v>78</v>
      </c>
      <c r="C60" s="128">
        <f t="shared" si="4"/>
        <v>337442</v>
      </c>
      <c r="D60" s="134">
        <v>301871</v>
      </c>
      <c r="E60" s="283"/>
      <c r="F60" s="279">
        <f t="shared" si="5"/>
        <v>301871</v>
      </c>
      <c r="G60" s="134">
        <v>35172</v>
      </c>
      <c r="H60" s="135">
        <v>399</v>
      </c>
      <c r="I60" s="136">
        <f t="shared" si="6"/>
        <v>35571</v>
      </c>
      <c r="J60" s="134"/>
      <c r="K60" s="135"/>
      <c r="L60" s="136">
        <f t="shared" si="7"/>
        <v>0</v>
      </c>
      <c r="M60" s="284"/>
      <c r="N60" s="285"/>
      <c r="O60" s="136">
        <f t="shared" si="8"/>
        <v>0</v>
      </c>
      <c r="P60" s="85" t="s">
        <v>1124</v>
      </c>
    </row>
    <row r="61" spans="1:16" x14ac:dyDescent="0.25">
      <c r="A61" s="276">
        <v>1140</v>
      </c>
      <c r="B61" s="127" t="s">
        <v>79</v>
      </c>
      <c r="C61" s="128">
        <f t="shared" si="4"/>
        <v>32081</v>
      </c>
      <c r="D61" s="277">
        <f>SUM(D62:D68)</f>
        <v>31733</v>
      </c>
      <c r="E61" s="278">
        <f>SUM(E62:E68)</f>
        <v>0</v>
      </c>
      <c r="F61" s="279">
        <f>D61+E61</f>
        <v>31733</v>
      </c>
      <c r="G61" s="277">
        <f>SUM(G62:G68)</f>
        <v>501</v>
      </c>
      <c r="H61" s="280">
        <f>SUM(H62:H68)</f>
        <v>-153</v>
      </c>
      <c r="I61" s="136">
        <f t="shared" si="6"/>
        <v>348</v>
      </c>
      <c r="J61" s="277">
        <f>SUM(J62:J68)</f>
        <v>0</v>
      </c>
      <c r="K61" s="280">
        <f>SUM(K62:K68)</f>
        <v>0</v>
      </c>
      <c r="L61" s="136">
        <f t="shared" si="7"/>
        <v>0</v>
      </c>
      <c r="M61" s="281">
        <f>SUM(M62:M68)</f>
        <v>0</v>
      </c>
      <c r="N61" s="282">
        <f>SUM(N62:N68)</f>
        <v>0</v>
      </c>
      <c r="O61" s="136">
        <f t="shared" si="8"/>
        <v>0</v>
      </c>
      <c r="P61" s="85"/>
    </row>
    <row r="62" spans="1:16" x14ac:dyDescent="0.25">
      <c r="A62" s="76">
        <v>1141</v>
      </c>
      <c r="B62" s="127" t="s">
        <v>80</v>
      </c>
      <c r="C62" s="128">
        <f t="shared" si="4"/>
        <v>3748</v>
      </c>
      <c r="D62" s="134">
        <v>3748</v>
      </c>
      <c r="E62" s="283"/>
      <c r="F62" s="279">
        <f t="shared" si="5"/>
        <v>3748</v>
      </c>
      <c r="G62" s="134"/>
      <c r="H62" s="135"/>
      <c r="I62" s="136">
        <f t="shared" si="6"/>
        <v>0</v>
      </c>
      <c r="J62" s="134"/>
      <c r="K62" s="135"/>
      <c r="L62" s="136">
        <f t="shared" si="7"/>
        <v>0</v>
      </c>
      <c r="M62" s="284"/>
      <c r="N62" s="285"/>
      <c r="O62" s="136">
        <f t="shared" si="8"/>
        <v>0</v>
      </c>
      <c r="P62" s="85"/>
    </row>
    <row r="63" spans="1:16" ht="24" x14ac:dyDescent="0.25">
      <c r="A63" s="76">
        <v>1142</v>
      </c>
      <c r="B63" s="127" t="s">
        <v>81</v>
      </c>
      <c r="C63" s="128">
        <f t="shared" si="4"/>
        <v>922</v>
      </c>
      <c r="D63" s="134">
        <v>922</v>
      </c>
      <c r="E63" s="283"/>
      <c r="F63" s="279">
        <f t="shared" si="5"/>
        <v>922</v>
      </c>
      <c r="G63" s="134"/>
      <c r="H63" s="135"/>
      <c r="I63" s="136">
        <f t="shared" si="6"/>
        <v>0</v>
      </c>
      <c r="J63" s="134"/>
      <c r="K63" s="135"/>
      <c r="L63" s="136">
        <f t="shared" si="7"/>
        <v>0</v>
      </c>
      <c r="M63" s="284"/>
      <c r="N63" s="285"/>
      <c r="O63" s="136">
        <f t="shared" si="8"/>
        <v>0</v>
      </c>
      <c r="P63" s="85"/>
    </row>
    <row r="64" spans="1:16" ht="24" hidden="1" x14ac:dyDescent="0.25">
      <c r="A64" s="76">
        <v>1145</v>
      </c>
      <c r="B64" s="127" t="s">
        <v>82</v>
      </c>
      <c r="C64" s="128">
        <f t="shared" si="4"/>
        <v>0</v>
      </c>
      <c r="D64" s="134"/>
      <c r="E64" s="285"/>
      <c r="F64" s="286">
        <f t="shared" si="5"/>
        <v>0</v>
      </c>
      <c r="G64" s="134"/>
      <c r="H64" s="135"/>
      <c r="I64" s="136">
        <f t="shared" si="6"/>
        <v>0</v>
      </c>
      <c r="J64" s="134"/>
      <c r="K64" s="135"/>
      <c r="L64" s="136">
        <f t="shared" si="7"/>
        <v>0</v>
      </c>
      <c r="M64" s="284"/>
      <c r="N64" s="285"/>
      <c r="O64" s="136">
        <f t="shared" si="8"/>
        <v>0</v>
      </c>
      <c r="P64" s="85"/>
    </row>
    <row r="65" spans="1:16" ht="24" hidden="1" x14ac:dyDescent="0.25">
      <c r="A65" s="76">
        <v>1146</v>
      </c>
      <c r="B65" s="127" t="s">
        <v>83</v>
      </c>
      <c r="C65" s="128">
        <f t="shared" si="4"/>
        <v>0</v>
      </c>
      <c r="D65" s="134"/>
      <c r="E65" s="285"/>
      <c r="F65" s="286">
        <f t="shared" si="5"/>
        <v>0</v>
      </c>
      <c r="G65" s="134"/>
      <c r="H65" s="135"/>
      <c r="I65" s="136">
        <f t="shared" si="6"/>
        <v>0</v>
      </c>
      <c r="J65" s="134"/>
      <c r="K65" s="135"/>
      <c r="L65" s="136">
        <f t="shared" si="7"/>
        <v>0</v>
      </c>
      <c r="M65" s="284"/>
      <c r="N65" s="285"/>
      <c r="O65" s="136">
        <f t="shared" si="8"/>
        <v>0</v>
      </c>
      <c r="P65" s="85"/>
    </row>
    <row r="66" spans="1:16" x14ac:dyDescent="0.25">
      <c r="A66" s="76">
        <v>1147</v>
      </c>
      <c r="B66" s="127" t="s">
        <v>84</v>
      </c>
      <c r="C66" s="128">
        <f t="shared" si="4"/>
        <v>3264</v>
      </c>
      <c r="D66" s="134">
        <v>3264</v>
      </c>
      <c r="E66" s="283"/>
      <c r="F66" s="279">
        <f t="shared" si="5"/>
        <v>3264</v>
      </c>
      <c r="G66" s="134"/>
      <c r="H66" s="135"/>
      <c r="I66" s="136">
        <f t="shared" si="6"/>
        <v>0</v>
      </c>
      <c r="J66" s="134"/>
      <c r="K66" s="135"/>
      <c r="L66" s="136">
        <f t="shared" si="7"/>
        <v>0</v>
      </c>
      <c r="M66" s="284"/>
      <c r="N66" s="285"/>
      <c r="O66" s="136">
        <f t="shared" si="8"/>
        <v>0</v>
      </c>
      <c r="P66" s="85"/>
    </row>
    <row r="67" spans="1:16" x14ac:dyDescent="0.25">
      <c r="A67" s="76">
        <v>1148</v>
      </c>
      <c r="B67" s="127" t="s">
        <v>85</v>
      </c>
      <c r="C67" s="128">
        <f t="shared" si="4"/>
        <v>23608</v>
      </c>
      <c r="D67" s="134">
        <v>23608</v>
      </c>
      <c r="E67" s="283"/>
      <c r="F67" s="279">
        <f t="shared" si="5"/>
        <v>23608</v>
      </c>
      <c r="G67" s="134"/>
      <c r="H67" s="135"/>
      <c r="I67" s="136">
        <f t="shared" si="6"/>
        <v>0</v>
      </c>
      <c r="J67" s="134"/>
      <c r="K67" s="135"/>
      <c r="L67" s="136">
        <f t="shared" si="7"/>
        <v>0</v>
      </c>
      <c r="M67" s="284"/>
      <c r="N67" s="285"/>
      <c r="O67" s="136">
        <f t="shared" si="8"/>
        <v>0</v>
      </c>
      <c r="P67" s="85"/>
    </row>
    <row r="68" spans="1:16" ht="26.25" customHeight="1" x14ac:dyDescent="0.25">
      <c r="A68" s="76">
        <v>1149</v>
      </c>
      <c r="B68" s="127" t="s">
        <v>86</v>
      </c>
      <c r="C68" s="128">
        <f t="shared" si="4"/>
        <v>539</v>
      </c>
      <c r="D68" s="134">
        <v>191</v>
      </c>
      <c r="E68" s="283"/>
      <c r="F68" s="279">
        <f t="shared" si="5"/>
        <v>191</v>
      </c>
      <c r="G68" s="134">
        <v>501</v>
      </c>
      <c r="H68" s="135">
        <v>-153</v>
      </c>
      <c r="I68" s="136">
        <f t="shared" si="6"/>
        <v>348</v>
      </c>
      <c r="J68" s="134"/>
      <c r="K68" s="135"/>
      <c r="L68" s="136">
        <f t="shared" si="7"/>
        <v>0</v>
      </c>
      <c r="M68" s="284"/>
      <c r="N68" s="285"/>
      <c r="O68" s="136">
        <f t="shared" si="8"/>
        <v>0</v>
      </c>
      <c r="P68" s="85" t="s">
        <v>550</v>
      </c>
    </row>
    <row r="69" spans="1:16" ht="36" x14ac:dyDescent="0.25">
      <c r="A69" s="254">
        <v>1150</v>
      </c>
      <c r="B69" s="179" t="s">
        <v>87</v>
      </c>
      <c r="C69" s="128">
        <f t="shared" si="4"/>
        <v>1700</v>
      </c>
      <c r="D69" s="287">
        <v>1700</v>
      </c>
      <c r="E69" s="288"/>
      <c r="F69" s="257">
        <f t="shared" si="5"/>
        <v>1700</v>
      </c>
      <c r="G69" s="287"/>
      <c r="H69" s="289"/>
      <c r="I69" s="259">
        <f t="shared" si="6"/>
        <v>0</v>
      </c>
      <c r="J69" s="287"/>
      <c r="K69" s="289"/>
      <c r="L69" s="259">
        <f t="shared" si="7"/>
        <v>0</v>
      </c>
      <c r="M69" s="290"/>
      <c r="N69" s="291"/>
      <c r="O69" s="259">
        <f t="shared" si="8"/>
        <v>0</v>
      </c>
      <c r="P69" s="189"/>
    </row>
    <row r="70" spans="1:16" ht="36" x14ac:dyDescent="0.25">
      <c r="A70" s="99">
        <v>1200</v>
      </c>
      <c r="B70" s="247" t="s">
        <v>88</v>
      </c>
      <c r="C70" s="100">
        <f t="shared" si="4"/>
        <v>118995</v>
      </c>
      <c r="D70" s="112">
        <f>SUM(D71:D72)</f>
        <v>110269</v>
      </c>
      <c r="E70" s="248">
        <f>SUM(E71:E72)</f>
        <v>0</v>
      </c>
      <c r="F70" s="249">
        <f>D70+E70</f>
        <v>110269</v>
      </c>
      <c r="G70" s="112">
        <f>SUM(G71:G72)</f>
        <v>8972</v>
      </c>
      <c r="H70" s="113">
        <f>SUM(H71:H72)</f>
        <v>-246</v>
      </c>
      <c r="I70" s="114">
        <f t="shared" si="6"/>
        <v>8726</v>
      </c>
      <c r="J70" s="112">
        <f>SUM(J71:J72)</f>
        <v>0</v>
      </c>
      <c r="K70" s="113">
        <f>SUM(K71:K72)</f>
        <v>0</v>
      </c>
      <c r="L70" s="114">
        <f t="shared" si="7"/>
        <v>0</v>
      </c>
      <c r="M70" s="292">
        <f>SUM(M71:M72)</f>
        <v>0</v>
      </c>
      <c r="N70" s="293">
        <f>SUM(N71:N72)</f>
        <v>0</v>
      </c>
      <c r="O70" s="114">
        <f t="shared" si="8"/>
        <v>0</v>
      </c>
      <c r="P70" s="109"/>
    </row>
    <row r="71" spans="1:16" ht="24" x14ac:dyDescent="0.25">
      <c r="A71" s="656">
        <v>1210</v>
      </c>
      <c r="B71" s="116" t="s">
        <v>89</v>
      </c>
      <c r="C71" s="117">
        <f t="shared" si="4"/>
        <v>91425</v>
      </c>
      <c r="D71" s="123">
        <v>82903</v>
      </c>
      <c r="E71" s="295"/>
      <c r="F71" s="296">
        <f t="shared" si="5"/>
        <v>82903</v>
      </c>
      <c r="G71" s="123">
        <v>8522</v>
      </c>
      <c r="H71" s="124"/>
      <c r="I71" s="125">
        <f t="shared" si="6"/>
        <v>8522</v>
      </c>
      <c r="J71" s="123"/>
      <c r="K71" s="124"/>
      <c r="L71" s="125">
        <f t="shared" si="7"/>
        <v>0</v>
      </c>
      <c r="M71" s="264"/>
      <c r="N71" s="262"/>
      <c r="O71" s="125">
        <f t="shared" si="8"/>
        <v>0</v>
      </c>
      <c r="P71" s="74"/>
    </row>
    <row r="72" spans="1:16" ht="24" x14ac:dyDescent="0.25">
      <c r="A72" s="276">
        <v>1220</v>
      </c>
      <c r="B72" s="127" t="s">
        <v>90</v>
      </c>
      <c r="C72" s="128">
        <f t="shared" si="4"/>
        <v>27570</v>
      </c>
      <c r="D72" s="277">
        <f>SUM(D73:D77)</f>
        <v>27366</v>
      </c>
      <c r="E72" s="278">
        <f>SUM(E73:E77)</f>
        <v>0</v>
      </c>
      <c r="F72" s="279">
        <f t="shared" si="5"/>
        <v>27366</v>
      </c>
      <c r="G72" s="277">
        <f>SUM(G73:G77)</f>
        <v>450</v>
      </c>
      <c r="H72" s="280">
        <f>SUM(H73:H77)</f>
        <v>-246</v>
      </c>
      <c r="I72" s="136">
        <f t="shared" si="6"/>
        <v>204</v>
      </c>
      <c r="J72" s="277">
        <f>SUM(J73:J77)</f>
        <v>0</v>
      </c>
      <c r="K72" s="280">
        <f>SUM(K73:K77)</f>
        <v>0</v>
      </c>
      <c r="L72" s="136">
        <f t="shared" si="7"/>
        <v>0</v>
      </c>
      <c r="M72" s="281">
        <f>SUM(M73:M77)</f>
        <v>0</v>
      </c>
      <c r="N72" s="282">
        <f>SUM(N73:N77)</f>
        <v>0</v>
      </c>
      <c r="O72" s="136">
        <f t="shared" si="8"/>
        <v>0</v>
      </c>
      <c r="P72" s="85"/>
    </row>
    <row r="73" spans="1:16" ht="48" x14ac:dyDescent="0.25">
      <c r="A73" s="76">
        <v>1221</v>
      </c>
      <c r="B73" s="127" t="s">
        <v>91</v>
      </c>
      <c r="C73" s="128">
        <f t="shared" si="4"/>
        <v>16043</v>
      </c>
      <c r="D73" s="134">
        <v>15839</v>
      </c>
      <c r="E73" s="283"/>
      <c r="F73" s="279">
        <f t="shared" si="5"/>
        <v>15839</v>
      </c>
      <c r="G73" s="134">
        <v>450</v>
      </c>
      <c r="H73" s="135">
        <v>-246</v>
      </c>
      <c r="I73" s="136">
        <f t="shared" si="6"/>
        <v>204</v>
      </c>
      <c r="J73" s="134"/>
      <c r="K73" s="135"/>
      <c r="L73" s="136">
        <f t="shared" si="7"/>
        <v>0</v>
      </c>
      <c r="M73" s="284"/>
      <c r="N73" s="285"/>
      <c r="O73" s="136">
        <f t="shared" si="8"/>
        <v>0</v>
      </c>
      <c r="P73" s="85" t="s">
        <v>550</v>
      </c>
    </row>
    <row r="74" spans="1:16" hidden="1" x14ac:dyDescent="0.25">
      <c r="A74" s="76">
        <v>1223</v>
      </c>
      <c r="B74" s="127" t="s">
        <v>92</v>
      </c>
      <c r="C74" s="128">
        <f t="shared" si="4"/>
        <v>0</v>
      </c>
      <c r="D74" s="134"/>
      <c r="E74" s="285"/>
      <c r="F74" s="286">
        <f t="shared" si="5"/>
        <v>0</v>
      </c>
      <c r="G74" s="134"/>
      <c r="H74" s="135"/>
      <c r="I74" s="136">
        <f t="shared" si="6"/>
        <v>0</v>
      </c>
      <c r="J74" s="134"/>
      <c r="K74" s="135"/>
      <c r="L74" s="136">
        <f t="shared" si="7"/>
        <v>0</v>
      </c>
      <c r="M74" s="284"/>
      <c r="N74" s="285"/>
      <c r="O74" s="136">
        <f t="shared" si="8"/>
        <v>0</v>
      </c>
      <c r="P74" s="85"/>
    </row>
    <row r="75" spans="1:16" hidden="1" x14ac:dyDescent="0.25">
      <c r="A75" s="76">
        <v>1225</v>
      </c>
      <c r="B75" s="127" t="s">
        <v>93</v>
      </c>
      <c r="C75" s="128">
        <f t="shared" si="4"/>
        <v>0</v>
      </c>
      <c r="D75" s="134"/>
      <c r="E75" s="285"/>
      <c r="F75" s="286">
        <f t="shared" si="5"/>
        <v>0</v>
      </c>
      <c r="G75" s="134"/>
      <c r="H75" s="135"/>
      <c r="I75" s="136">
        <f t="shared" si="6"/>
        <v>0</v>
      </c>
      <c r="J75" s="134"/>
      <c r="K75" s="135"/>
      <c r="L75" s="136">
        <f t="shared" si="7"/>
        <v>0</v>
      </c>
      <c r="M75" s="284"/>
      <c r="N75" s="285"/>
      <c r="O75" s="136">
        <f t="shared" si="8"/>
        <v>0</v>
      </c>
      <c r="P75" s="85"/>
    </row>
    <row r="76" spans="1:16" ht="28.5" customHeight="1" x14ac:dyDescent="0.25">
      <c r="A76" s="76">
        <v>1227</v>
      </c>
      <c r="B76" s="127" t="s">
        <v>94</v>
      </c>
      <c r="C76" s="128">
        <f t="shared" si="4"/>
        <v>11099</v>
      </c>
      <c r="D76" s="134">
        <v>11099</v>
      </c>
      <c r="E76" s="283"/>
      <c r="F76" s="279">
        <f t="shared" si="5"/>
        <v>11099</v>
      </c>
      <c r="G76" s="134"/>
      <c r="H76" s="135"/>
      <c r="I76" s="136">
        <f t="shared" si="6"/>
        <v>0</v>
      </c>
      <c r="J76" s="134"/>
      <c r="K76" s="135"/>
      <c r="L76" s="136">
        <f t="shared" si="7"/>
        <v>0</v>
      </c>
      <c r="M76" s="284"/>
      <c r="N76" s="285"/>
      <c r="O76" s="136">
        <f t="shared" si="8"/>
        <v>0</v>
      </c>
      <c r="P76" s="85"/>
    </row>
    <row r="77" spans="1:16" ht="48" x14ac:dyDescent="0.25">
      <c r="A77" s="76">
        <v>1228</v>
      </c>
      <c r="B77" s="127" t="s">
        <v>95</v>
      </c>
      <c r="C77" s="128">
        <f t="shared" si="4"/>
        <v>428</v>
      </c>
      <c r="D77" s="134">
        <v>428</v>
      </c>
      <c r="E77" s="283"/>
      <c r="F77" s="279">
        <f t="shared" si="5"/>
        <v>428</v>
      </c>
      <c r="G77" s="134"/>
      <c r="H77" s="135"/>
      <c r="I77" s="136">
        <f t="shared" si="6"/>
        <v>0</v>
      </c>
      <c r="J77" s="134"/>
      <c r="K77" s="135"/>
      <c r="L77" s="136">
        <f t="shared" si="7"/>
        <v>0</v>
      </c>
      <c r="M77" s="284"/>
      <c r="N77" s="285"/>
      <c r="O77" s="136">
        <f t="shared" si="8"/>
        <v>0</v>
      </c>
      <c r="P77" s="85"/>
    </row>
    <row r="78" spans="1:16" x14ac:dyDescent="0.25">
      <c r="A78" s="237">
        <v>2000</v>
      </c>
      <c r="B78" s="237" t="s">
        <v>96</v>
      </c>
      <c r="C78" s="238">
        <f t="shared" si="4"/>
        <v>78146</v>
      </c>
      <c r="D78" s="239">
        <f>SUM(D79,D86,D133,D167,D168,D175)</f>
        <v>71334</v>
      </c>
      <c r="E78" s="240">
        <f>SUM(E79,E86,E133,E167,E168,E175)</f>
        <v>0</v>
      </c>
      <c r="F78" s="241">
        <f t="shared" si="5"/>
        <v>71334</v>
      </c>
      <c r="G78" s="239">
        <f>SUM(G79,G86,G133,G167,G168,G175)</f>
        <v>1195</v>
      </c>
      <c r="H78" s="242">
        <f>SUM(H79,H86,H133,H167,H168,H175)</f>
        <v>0</v>
      </c>
      <c r="I78" s="243">
        <f t="shared" si="6"/>
        <v>1195</v>
      </c>
      <c r="J78" s="239">
        <f>SUM(J79,J86,J133,J167,J168,J175)</f>
        <v>5617</v>
      </c>
      <c r="K78" s="242">
        <f>SUM(K79,K86,K133,K167,K168,K175)</f>
        <v>0</v>
      </c>
      <c r="L78" s="243">
        <f t="shared" si="7"/>
        <v>5617</v>
      </c>
      <c r="M78" s="244">
        <f>SUM(M79,M86,M133,M167,M168,M175)</f>
        <v>0</v>
      </c>
      <c r="N78" s="245">
        <f>SUM(N79,N86,N133,N167,N168,N175)</f>
        <v>0</v>
      </c>
      <c r="O78" s="243">
        <f t="shared" si="8"/>
        <v>0</v>
      </c>
      <c r="P78" s="246"/>
    </row>
    <row r="79" spans="1:16" ht="24" x14ac:dyDescent="0.25">
      <c r="A79" s="99">
        <v>2100</v>
      </c>
      <c r="B79" s="247" t="s">
        <v>97</v>
      </c>
      <c r="C79" s="100">
        <f t="shared" si="4"/>
        <v>204</v>
      </c>
      <c r="D79" s="112">
        <f>SUM(D80,D83)</f>
        <v>204</v>
      </c>
      <c r="E79" s="248">
        <f>SUM(E80,E83)</f>
        <v>0</v>
      </c>
      <c r="F79" s="249">
        <f t="shared" si="5"/>
        <v>204</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row>
    <row r="80" spans="1:16" ht="24" x14ac:dyDescent="0.25">
      <c r="A80" s="656">
        <v>2110</v>
      </c>
      <c r="B80" s="116" t="s">
        <v>98</v>
      </c>
      <c r="C80" s="117">
        <f t="shared" si="4"/>
        <v>204</v>
      </c>
      <c r="D80" s="297">
        <f>SUM(D81:D82)</f>
        <v>204</v>
      </c>
      <c r="E80" s="298">
        <f>SUM(E81:E82)</f>
        <v>0</v>
      </c>
      <c r="F80" s="296">
        <f t="shared" si="5"/>
        <v>204</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row>
    <row r="81" spans="1:16" hidden="1" x14ac:dyDescent="0.25">
      <c r="A81" s="76">
        <v>2111</v>
      </c>
      <c r="B81" s="127" t="s">
        <v>99</v>
      </c>
      <c r="C81" s="128">
        <f t="shared" si="4"/>
        <v>0</v>
      </c>
      <c r="D81" s="134"/>
      <c r="E81" s="285"/>
      <c r="F81" s="286">
        <f t="shared" si="5"/>
        <v>0</v>
      </c>
      <c r="G81" s="134"/>
      <c r="H81" s="135"/>
      <c r="I81" s="136">
        <f t="shared" si="6"/>
        <v>0</v>
      </c>
      <c r="J81" s="134"/>
      <c r="K81" s="135"/>
      <c r="L81" s="136">
        <f t="shared" si="7"/>
        <v>0</v>
      </c>
      <c r="M81" s="284"/>
      <c r="N81" s="285"/>
      <c r="O81" s="136">
        <f t="shared" si="8"/>
        <v>0</v>
      </c>
      <c r="P81" s="85"/>
    </row>
    <row r="82" spans="1:16" ht="24" x14ac:dyDescent="0.25">
      <c r="A82" s="76">
        <v>2112</v>
      </c>
      <c r="B82" s="127" t="s">
        <v>100</v>
      </c>
      <c r="C82" s="128">
        <f t="shared" si="4"/>
        <v>204</v>
      </c>
      <c r="D82" s="134">
        <v>204</v>
      </c>
      <c r="E82" s="283"/>
      <c r="F82" s="279">
        <f t="shared" si="5"/>
        <v>204</v>
      </c>
      <c r="G82" s="134"/>
      <c r="H82" s="135"/>
      <c r="I82" s="136">
        <f t="shared" si="6"/>
        <v>0</v>
      </c>
      <c r="J82" s="134"/>
      <c r="K82" s="135"/>
      <c r="L82" s="136">
        <f t="shared" si="7"/>
        <v>0</v>
      </c>
      <c r="M82" s="284"/>
      <c r="N82" s="285"/>
      <c r="O82" s="136">
        <f t="shared" si="8"/>
        <v>0</v>
      </c>
      <c r="P82" s="85"/>
    </row>
    <row r="83" spans="1:16" ht="24" hidden="1" x14ac:dyDescent="0.25">
      <c r="A83" s="276">
        <v>2120</v>
      </c>
      <c r="B83" s="127" t="s">
        <v>101</v>
      </c>
      <c r="C83" s="128">
        <f t="shared" si="4"/>
        <v>0</v>
      </c>
      <c r="D83" s="277">
        <f>SUM(D84:D85)</f>
        <v>0</v>
      </c>
      <c r="E83" s="282">
        <f>SUM(E84:E85)</f>
        <v>0</v>
      </c>
      <c r="F83" s="28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row>
    <row r="84" spans="1:16" hidden="1" x14ac:dyDescent="0.25">
      <c r="A84" s="76">
        <v>2121</v>
      </c>
      <c r="B84" s="127" t="s">
        <v>99</v>
      </c>
      <c r="C84" s="128">
        <f t="shared" si="4"/>
        <v>0</v>
      </c>
      <c r="D84" s="134"/>
      <c r="E84" s="285"/>
      <c r="F84" s="286">
        <f t="shared" si="5"/>
        <v>0</v>
      </c>
      <c r="G84" s="134"/>
      <c r="H84" s="135"/>
      <c r="I84" s="136">
        <f t="shared" si="6"/>
        <v>0</v>
      </c>
      <c r="J84" s="134"/>
      <c r="K84" s="135"/>
      <c r="L84" s="136">
        <f t="shared" si="7"/>
        <v>0</v>
      </c>
      <c r="M84" s="284"/>
      <c r="N84" s="285"/>
      <c r="O84" s="136">
        <f t="shared" si="8"/>
        <v>0</v>
      </c>
      <c r="P84" s="85"/>
    </row>
    <row r="85" spans="1:16" ht="24" hidden="1" x14ac:dyDescent="0.25">
      <c r="A85" s="76">
        <v>2122</v>
      </c>
      <c r="B85" s="127" t="s">
        <v>100</v>
      </c>
      <c r="C85" s="128">
        <f t="shared" si="4"/>
        <v>0</v>
      </c>
      <c r="D85" s="134"/>
      <c r="E85" s="285"/>
      <c r="F85" s="286">
        <f t="shared" si="5"/>
        <v>0</v>
      </c>
      <c r="G85" s="134"/>
      <c r="H85" s="135"/>
      <c r="I85" s="136">
        <f t="shared" si="6"/>
        <v>0</v>
      </c>
      <c r="J85" s="134"/>
      <c r="K85" s="135"/>
      <c r="L85" s="136">
        <f t="shared" si="7"/>
        <v>0</v>
      </c>
      <c r="M85" s="284"/>
      <c r="N85" s="285"/>
      <c r="O85" s="136">
        <f t="shared" si="8"/>
        <v>0</v>
      </c>
      <c r="P85" s="85"/>
    </row>
    <row r="86" spans="1:16" x14ac:dyDescent="0.25">
      <c r="A86" s="99">
        <v>2200</v>
      </c>
      <c r="B86" s="247" t="s">
        <v>102</v>
      </c>
      <c r="C86" s="302">
        <f t="shared" si="4"/>
        <v>62705</v>
      </c>
      <c r="D86" s="112">
        <f>SUM(D87,D92,D98,D106,D115,D119,D125,D131)</f>
        <v>61261</v>
      </c>
      <c r="E86" s="248">
        <f>SUM(E87,E92,E98,E106,E115,E119,E125,E131)</f>
        <v>0</v>
      </c>
      <c r="F86" s="249">
        <f t="shared" si="5"/>
        <v>61261</v>
      </c>
      <c r="G86" s="112">
        <f>SUM(G87,G92,G98,G106,G115,G119,G125,G131)</f>
        <v>0</v>
      </c>
      <c r="H86" s="113">
        <f>SUM(H87,H92,H98,H106,H115,H119,H125,H131)</f>
        <v>0</v>
      </c>
      <c r="I86" s="114">
        <f t="shared" si="6"/>
        <v>0</v>
      </c>
      <c r="J86" s="112">
        <f>SUM(J87,J92,J98,J106,J115,J119,J125,J131)</f>
        <v>1444</v>
      </c>
      <c r="K86" s="113">
        <f>SUM(K87,K92,K98,K106,K115,K119,K125,K131)</f>
        <v>0</v>
      </c>
      <c r="L86" s="114">
        <f t="shared" si="7"/>
        <v>1444</v>
      </c>
      <c r="M86" s="303">
        <f>SUM(M87,M92,M98,M106,M115,M119,M125,M131)</f>
        <v>0</v>
      </c>
      <c r="N86" s="304">
        <f>SUM(N87,N92,N98,N106,N115,N119,N125,N131)</f>
        <v>0</v>
      </c>
      <c r="O86" s="305">
        <f t="shared" si="8"/>
        <v>0</v>
      </c>
      <c r="P86" s="306"/>
    </row>
    <row r="87" spans="1:16" ht="24" x14ac:dyDescent="0.25">
      <c r="A87" s="254">
        <v>2210</v>
      </c>
      <c r="B87" s="179" t="s">
        <v>103</v>
      </c>
      <c r="C87" s="191">
        <f t="shared" si="4"/>
        <v>906</v>
      </c>
      <c r="D87" s="255">
        <f>SUM(D88:D91)</f>
        <v>901</v>
      </c>
      <c r="E87" s="256">
        <f>SUM(E88:E91)</f>
        <v>0</v>
      </c>
      <c r="F87" s="257">
        <f t="shared" si="5"/>
        <v>901</v>
      </c>
      <c r="G87" s="255">
        <f>SUM(G88:G91)</f>
        <v>0</v>
      </c>
      <c r="H87" s="258">
        <f>SUM(H88:H91)</f>
        <v>0</v>
      </c>
      <c r="I87" s="259">
        <f t="shared" si="6"/>
        <v>0</v>
      </c>
      <c r="J87" s="255">
        <f>SUM(J88:J91)</f>
        <v>5</v>
      </c>
      <c r="K87" s="258">
        <f>SUM(K88:K91)</f>
        <v>0</v>
      </c>
      <c r="L87" s="259">
        <f t="shared" si="7"/>
        <v>5</v>
      </c>
      <c r="M87" s="260">
        <f>SUM(M88:M91)</f>
        <v>0</v>
      </c>
      <c r="N87" s="261">
        <f>SUM(N88:N91)</f>
        <v>0</v>
      </c>
      <c r="O87" s="259">
        <f t="shared" si="8"/>
        <v>0</v>
      </c>
      <c r="P87" s="189"/>
    </row>
    <row r="88" spans="1:16" ht="24" hidden="1" x14ac:dyDescent="0.25">
      <c r="A88" s="66">
        <v>2211</v>
      </c>
      <c r="B88" s="116" t="s">
        <v>104</v>
      </c>
      <c r="C88" s="128">
        <f t="shared" si="4"/>
        <v>0</v>
      </c>
      <c r="D88" s="123"/>
      <c r="E88" s="262"/>
      <c r="F88" s="263">
        <f t="shared" si="5"/>
        <v>0</v>
      </c>
      <c r="G88" s="123"/>
      <c r="H88" s="124"/>
      <c r="I88" s="125">
        <f t="shared" si="6"/>
        <v>0</v>
      </c>
      <c r="J88" s="123"/>
      <c r="K88" s="124"/>
      <c r="L88" s="125">
        <f t="shared" si="7"/>
        <v>0</v>
      </c>
      <c r="M88" s="264"/>
      <c r="N88" s="262"/>
      <c r="O88" s="125">
        <f t="shared" si="8"/>
        <v>0</v>
      </c>
      <c r="P88" s="74"/>
    </row>
    <row r="89" spans="1:16" ht="36" x14ac:dyDescent="0.25">
      <c r="A89" s="265">
        <v>2212</v>
      </c>
      <c r="B89" s="266" t="s">
        <v>105</v>
      </c>
      <c r="C89" s="267">
        <f t="shared" si="4"/>
        <v>712</v>
      </c>
      <c r="D89" s="268">
        <v>712</v>
      </c>
      <c r="E89" s="269"/>
      <c r="F89" s="270">
        <f t="shared" si="5"/>
        <v>712</v>
      </c>
      <c r="G89" s="268"/>
      <c r="H89" s="271"/>
      <c r="I89" s="272">
        <f t="shared" si="6"/>
        <v>0</v>
      </c>
      <c r="J89" s="268"/>
      <c r="K89" s="271"/>
      <c r="L89" s="272">
        <f t="shared" si="7"/>
        <v>0</v>
      </c>
      <c r="M89" s="273"/>
      <c r="N89" s="274"/>
      <c r="O89" s="272">
        <f t="shared" si="8"/>
        <v>0</v>
      </c>
      <c r="P89" s="275"/>
    </row>
    <row r="90" spans="1:16" ht="24" x14ac:dyDescent="0.25">
      <c r="A90" s="265">
        <v>2214</v>
      </c>
      <c r="B90" s="266" t="s">
        <v>106</v>
      </c>
      <c r="C90" s="267">
        <f t="shared" si="4"/>
        <v>165</v>
      </c>
      <c r="D90" s="268">
        <v>160</v>
      </c>
      <c r="E90" s="269"/>
      <c r="F90" s="270">
        <f t="shared" si="5"/>
        <v>160</v>
      </c>
      <c r="G90" s="268"/>
      <c r="H90" s="271"/>
      <c r="I90" s="272">
        <f t="shared" si="6"/>
        <v>0</v>
      </c>
      <c r="J90" s="268">
        <v>5</v>
      </c>
      <c r="K90" s="271"/>
      <c r="L90" s="272">
        <f t="shared" si="7"/>
        <v>5</v>
      </c>
      <c r="M90" s="273"/>
      <c r="N90" s="274"/>
      <c r="O90" s="272">
        <f t="shared" si="8"/>
        <v>0</v>
      </c>
      <c r="P90" s="275"/>
    </row>
    <row r="91" spans="1:16" x14ac:dyDescent="0.25">
      <c r="A91" s="76">
        <v>2219</v>
      </c>
      <c r="B91" s="127" t="s">
        <v>107</v>
      </c>
      <c r="C91" s="128">
        <f t="shared" si="4"/>
        <v>29</v>
      </c>
      <c r="D91" s="134">
        <v>29</v>
      </c>
      <c r="E91" s="283"/>
      <c r="F91" s="279">
        <f t="shared" si="5"/>
        <v>29</v>
      </c>
      <c r="G91" s="134"/>
      <c r="H91" s="135"/>
      <c r="I91" s="136">
        <f t="shared" si="6"/>
        <v>0</v>
      </c>
      <c r="J91" s="134"/>
      <c r="K91" s="135"/>
      <c r="L91" s="136">
        <f t="shared" si="7"/>
        <v>0</v>
      </c>
      <c r="M91" s="284"/>
      <c r="N91" s="285"/>
      <c r="O91" s="136">
        <f t="shared" si="8"/>
        <v>0</v>
      </c>
      <c r="P91" s="85"/>
    </row>
    <row r="92" spans="1:16" ht="24" x14ac:dyDescent="0.25">
      <c r="A92" s="276">
        <v>2220</v>
      </c>
      <c r="B92" s="127" t="s">
        <v>108</v>
      </c>
      <c r="C92" s="128">
        <f t="shared" si="4"/>
        <v>45489</v>
      </c>
      <c r="D92" s="277">
        <f>SUM(D93:D97)</f>
        <v>45489</v>
      </c>
      <c r="E92" s="278">
        <f>SUM(E93:E97)</f>
        <v>0</v>
      </c>
      <c r="F92" s="279">
        <f t="shared" si="5"/>
        <v>45489</v>
      </c>
      <c r="G92" s="277">
        <f>SUM(G93:G97)</f>
        <v>0</v>
      </c>
      <c r="H92" s="280">
        <f>SUM(H93:H97)</f>
        <v>0</v>
      </c>
      <c r="I92" s="136">
        <f t="shared" si="6"/>
        <v>0</v>
      </c>
      <c r="J92" s="277">
        <f>SUM(J93:J97)</f>
        <v>0</v>
      </c>
      <c r="K92" s="280">
        <f>SUM(K93:K97)</f>
        <v>0</v>
      </c>
      <c r="L92" s="136">
        <f t="shared" si="7"/>
        <v>0</v>
      </c>
      <c r="M92" s="281">
        <f>SUM(M93:M97)</f>
        <v>0</v>
      </c>
      <c r="N92" s="282">
        <f>SUM(N93:N97)</f>
        <v>0</v>
      </c>
      <c r="O92" s="136">
        <f t="shared" si="8"/>
        <v>0</v>
      </c>
      <c r="P92" s="85"/>
    </row>
    <row r="93" spans="1:16" x14ac:dyDescent="0.25">
      <c r="A93" s="265">
        <v>2221</v>
      </c>
      <c r="B93" s="266" t="s">
        <v>109</v>
      </c>
      <c r="C93" s="267">
        <f t="shared" si="4"/>
        <v>27126</v>
      </c>
      <c r="D93" s="268">
        <v>27126</v>
      </c>
      <c r="E93" s="269"/>
      <c r="F93" s="270">
        <f t="shared" si="5"/>
        <v>27126</v>
      </c>
      <c r="G93" s="268"/>
      <c r="H93" s="271"/>
      <c r="I93" s="272">
        <f t="shared" si="6"/>
        <v>0</v>
      </c>
      <c r="J93" s="268"/>
      <c r="K93" s="271"/>
      <c r="L93" s="272">
        <f t="shared" si="7"/>
        <v>0</v>
      </c>
      <c r="M93" s="273"/>
      <c r="N93" s="274"/>
      <c r="O93" s="272">
        <f t="shared" si="8"/>
        <v>0</v>
      </c>
      <c r="P93" s="966"/>
    </row>
    <row r="94" spans="1:16" x14ac:dyDescent="0.25">
      <c r="A94" s="76">
        <v>2222</v>
      </c>
      <c r="B94" s="127" t="s">
        <v>110</v>
      </c>
      <c r="C94" s="128">
        <f t="shared" si="4"/>
        <v>7958</v>
      </c>
      <c r="D94" s="134">
        <v>7958</v>
      </c>
      <c r="E94" s="283"/>
      <c r="F94" s="279">
        <f t="shared" si="5"/>
        <v>7958</v>
      </c>
      <c r="G94" s="134"/>
      <c r="H94" s="135"/>
      <c r="I94" s="136">
        <f t="shared" si="6"/>
        <v>0</v>
      </c>
      <c r="J94" s="134"/>
      <c r="K94" s="135"/>
      <c r="L94" s="136">
        <f t="shared" si="7"/>
        <v>0</v>
      </c>
      <c r="M94" s="284"/>
      <c r="N94" s="285"/>
      <c r="O94" s="136">
        <f t="shared" si="8"/>
        <v>0</v>
      </c>
      <c r="P94" s="928"/>
    </row>
    <row r="95" spans="1:16" x14ac:dyDescent="0.25">
      <c r="A95" s="265">
        <v>2223</v>
      </c>
      <c r="B95" s="266" t="s">
        <v>111</v>
      </c>
      <c r="C95" s="267">
        <f t="shared" si="4"/>
        <v>8944</v>
      </c>
      <c r="D95" s="268">
        <v>8944</v>
      </c>
      <c r="E95" s="269"/>
      <c r="F95" s="270">
        <f t="shared" si="5"/>
        <v>8944</v>
      </c>
      <c r="G95" s="268"/>
      <c r="H95" s="271"/>
      <c r="I95" s="272">
        <f t="shared" si="6"/>
        <v>0</v>
      </c>
      <c r="J95" s="268"/>
      <c r="K95" s="271"/>
      <c r="L95" s="272">
        <f t="shared" si="7"/>
        <v>0</v>
      </c>
      <c r="M95" s="273"/>
      <c r="N95" s="274"/>
      <c r="O95" s="272">
        <f t="shared" si="8"/>
        <v>0</v>
      </c>
      <c r="P95" s="966"/>
    </row>
    <row r="96" spans="1:16" ht="48" x14ac:dyDescent="0.25">
      <c r="A96" s="76">
        <v>2224</v>
      </c>
      <c r="B96" s="127" t="s">
        <v>112</v>
      </c>
      <c r="C96" s="128">
        <f t="shared" si="4"/>
        <v>1461</v>
      </c>
      <c r="D96" s="134">
        <v>1461</v>
      </c>
      <c r="E96" s="283"/>
      <c r="F96" s="279">
        <f t="shared" si="5"/>
        <v>1461</v>
      </c>
      <c r="G96" s="134"/>
      <c r="H96" s="135"/>
      <c r="I96" s="136">
        <f t="shared" si="6"/>
        <v>0</v>
      </c>
      <c r="J96" s="134"/>
      <c r="K96" s="135"/>
      <c r="L96" s="136">
        <f t="shared" si="7"/>
        <v>0</v>
      </c>
      <c r="M96" s="284"/>
      <c r="N96" s="285"/>
      <c r="O96" s="136">
        <f t="shared" si="8"/>
        <v>0</v>
      </c>
      <c r="P96" s="85"/>
    </row>
    <row r="97" spans="1:16" ht="24" hidden="1" x14ac:dyDescent="0.25">
      <c r="A97" s="76">
        <v>2229</v>
      </c>
      <c r="B97" s="127" t="s">
        <v>113</v>
      </c>
      <c r="C97" s="128">
        <f t="shared" si="4"/>
        <v>0</v>
      </c>
      <c r="D97" s="134"/>
      <c r="E97" s="285"/>
      <c r="F97" s="286">
        <f t="shared" si="5"/>
        <v>0</v>
      </c>
      <c r="G97" s="134"/>
      <c r="H97" s="135"/>
      <c r="I97" s="136">
        <f t="shared" si="6"/>
        <v>0</v>
      </c>
      <c r="J97" s="134"/>
      <c r="K97" s="135"/>
      <c r="L97" s="136">
        <f t="shared" si="7"/>
        <v>0</v>
      </c>
      <c r="M97" s="284"/>
      <c r="N97" s="285"/>
      <c r="O97" s="136">
        <f t="shared" si="8"/>
        <v>0</v>
      </c>
      <c r="P97" s="85"/>
    </row>
    <row r="98" spans="1:16" ht="36" x14ac:dyDescent="0.25">
      <c r="A98" s="276">
        <v>2230</v>
      </c>
      <c r="B98" s="127" t="s">
        <v>114</v>
      </c>
      <c r="C98" s="128">
        <f t="shared" si="4"/>
        <v>2269</v>
      </c>
      <c r="D98" s="277">
        <f>SUM(D99:D105)</f>
        <v>2269</v>
      </c>
      <c r="E98" s="278">
        <f>SUM(E99:E105)</f>
        <v>0</v>
      </c>
      <c r="F98" s="279">
        <f t="shared" si="5"/>
        <v>2269</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row>
    <row r="99" spans="1:16" ht="24" hidden="1" x14ac:dyDescent="0.25">
      <c r="A99" s="76">
        <v>2231</v>
      </c>
      <c r="B99" s="127" t="s">
        <v>115</v>
      </c>
      <c r="C99" s="128">
        <f t="shared" si="4"/>
        <v>0</v>
      </c>
      <c r="D99" s="134"/>
      <c r="E99" s="285"/>
      <c r="F99" s="286">
        <f t="shared" si="5"/>
        <v>0</v>
      </c>
      <c r="G99" s="134"/>
      <c r="H99" s="135"/>
      <c r="I99" s="136">
        <f t="shared" si="6"/>
        <v>0</v>
      </c>
      <c r="J99" s="134"/>
      <c r="K99" s="135"/>
      <c r="L99" s="136">
        <f t="shared" si="7"/>
        <v>0</v>
      </c>
      <c r="M99" s="284"/>
      <c r="N99" s="285"/>
      <c r="O99" s="136">
        <f t="shared" si="8"/>
        <v>0</v>
      </c>
      <c r="P99" s="85"/>
    </row>
    <row r="100" spans="1:16" ht="24" hidden="1" x14ac:dyDescent="0.25">
      <c r="A100" s="76">
        <v>2232</v>
      </c>
      <c r="B100" s="127" t="s">
        <v>116</v>
      </c>
      <c r="C100" s="128">
        <f t="shared" si="4"/>
        <v>0</v>
      </c>
      <c r="D100" s="134"/>
      <c r="E100" s="285"/>
      <c r="F100" s="286">
        <f t="shared" si="5"/>
        <v>0</v>
      </c>
      <c r="G100" s="134"/>
      <c r="H100" s="135"/>
      <c r="I100" s="136">
        <f t="shared" si="6"/>
        <v>0</v>
      </c>
      <c r="J100" s="134"/>
      <c r="K100" s="135"/>
      <c r="L100" s="136">
        <f t="shared" si="7"/>
        <v>0</v>
      </c>
      <c r="M100" s="284"/>
      <c r="N100" s="285"/>
      <c r="O100" s="136">
        <f t="shared" si="8"/>
        <v>0</v>
      </c>
      <c r="P100" s="85"/>
    </row>
    <row r="101" spans="1:16" hidden="1" x14ac:dyDescent="0.25">
      <c r="A101" s="66">
        <v>2233</v>
      </c>
      <c r="B101" s="116" t="s">
        <v>117</v>
      </c>
      <c r="C101" s="128">
        <f t="shared" si="4"/>
        <v>0</v>
      </c>
      <c r="D101" s="123"/>
      <c r="E101" s="262"/>
      <c r="F101" s="263">
        <f t="shared" si="5"/>
        <v>0</v>
      </c>
      <c r="G101" s="123"/>
      <c r="H101" s="124"/>
      <c r="I101" s="125">
        <f t="shared" si="6"/>
        <v>0</v>
      </c>
      <c r="J101" s="123"/>
      <c r="K101" s="124"/>
      <c r="L101" s="125">
        <f t="shared" si="7"/>
        <v>0</v>
      </c>
      <c r="M101" s="264"/>
      <c r="N101" s="262"/>
      <c r="O101" s="125">
        <f t="shared" si="8"/>
        <v>0</v>
      </c>
      <c r="P101" s="74"/>
    </row>
    <row r="102" spans="1:16" ht="36" hidden="1" x14ac:dyDescent="0.25">
      <c r="A102" s="76">
        <v>2234</v>
      </c>
      <c r="B102" s="127" t="s">
        <v>118</v>
      </c>
      <c r="C102" s="128">
        <f t="shared" si="4"/>
        <v>0</v>
      </c>
      <c r="D102" s="134"/>
      <c r="E102" s="285"/>
      <c r="F102" s="286">
        <f t="shared" si="5"/>
        <v>0</v>
      </c>
      <c r="G102" s="134"/>
      <c r="H102" s="135"/>
      <c r="I102" s="136">
        <f t="shared" si="6"/>
        <v>0</v>
      </c>
      <c r="J102" s="134"/>
      <c r="K102" s="135"/>
      <c r="L102" s="136">
        <f t="shared" si="7"/>
        <v>0</v>
      </c>
      <c r="M102" s="284"/>
      <c r="N102" s="285"/>
      <c r="O102" s="136">
        <f t="shared" si="8"/>
        <v>0</v>
      </c>
      <c r="P102" s="85"/>
    </row>
    <row r="103" spans="1:16" ht="24" hidden="1" x14ac:dyDescent="0.25">
      <c r="A103" s="76">
        <v>2235</v>
      </c>
      <c r="B103" s="127" t="s">
        <v>119</v>
      </c>
      <c r="C103" s="128">
        <f t="shared" si="4"/>
        <v>0</v>
      </c>
      <c r="D103" s="134"/>
      <c r="E103" s="285"/>
      <c r="F103" s="286">
        <f t="shared" si="5"/>
        <v>0</v>
      </c>
      <c r="G103" s="134"/>
      <c r="H103" s="135"/>
      <c r="I103" s="136">
        <f t="shared" si="6"/>
        <v>0</v>
      </c>
      <c r="J103" s="134"/>
      <c r="K103" s="135"/>
      <c r="L103" s="136">
        <f t="shared" si="7"/>
        <v>0</v>
      </c>
      <c r="M103" s="284"/>
      <c r="N103" s="285"/>
      <c r="O103" s="136">
        <f t="shared" si="8"/>
        <v>0</v>
      </c>
      <c r="P103" s="85"/>
    </row>
    <row r="104" spans="1:16" hidden="1" x14ac:dyDescent="0.25">
      <c r="A104" s="76">
        <v>2236</v>
      </c>
      <c r="B104" s="127" t="s">
        <v>120</v>
      </c>
      <c r="C104" s="128">
        <f t="shared" si="4"/>
        <v>0</v>
      </c>
      <c r="D104" s="134"/>
      <c r="E104" s="285"/>
      <c r="F104" s="286">
        <f t="shared" si="5"/>
        <v>0</v>
      </c>
      <c r="G104" s="134"/>
      <c r="H104" s="135"/>
      <c r="I104" s="136">
        <f t="shared" si="6"/>
        <v>0</v>
      </c>
      <c r="J104" s="134"/>
      <c r="K104" s="135"/>
      <c r="L104" s="136">
        <f t="shared" si="7"/>
        <v>0</v>
      </c>
      <c r="M104" s="284"/>
      <c r="N104" s="285"/>
      <c r="O104" s="136">
        <f t="shared" si="8"/>
        <v>0</v>
      </c>
      <c r="P104" s="85"/>
    </row>
    <row r="105" spans="1:16" x14ac:dyDescent="0.25">
      <c r="A105" s="265">
        <v>2239</v>
      </c>
      <c r="B105" s="266" t="s">
        <v>121</v>
      </c>
      <c r="C105" s="267">
        <f t="shared" si="4"/>
        <v>2269</v>
      </c>
      <c r="D105" s="268">
        <v>2269</v>
      </c>
      <c r="E105" s="269"/>
      <c r="F105" s="270">
        <f t="shared" si="5"/>
        <v>2269</v>
      </c>
      <c r="G105" s="268"/>
      <c r="H105" s="271"/>
      <c r="I105" s="272">
        <f t="shared" si="6"/>
        <v>0</v>
      </c>
      <c r="J105" s="268"/>
      <c r="K105" s="271"/>
      <c r="L105" s="272">
        <f t="shared" si="7"/>
        <v>0</v>
      </c>
      <c r="M105" s="273"/>
      <c r="N105" s="274"/>
      <c r="O105" s="272">
        <f t="shared" si="8"/>
        <v>0</v>
      </c>
      <c r="P105" s="275"/>
    </row>
    <row r="106" spans="1:16" ht="24" x14ac:dyDescent="0.25">
      <c r="A106" s="276">
        <v>2240</v>
      </c>
      <c r="B106" s="127" t="s">
        <v>122</v>
      </c>
      <c r="C106" s="128">
        <f t="shared" si="4"/>
        <v>4864</v>
      </c>
      <c r="D106" s="277">
        <f>SUM(D107:D114)</f>
        <v>4864</v>
      </c>
      <c r="E106" s="278">
        <f>SUM(E107:E114)</f>
        <v>0</v>
      </c>
      <c r="F106" s="279">
        <f t="shared" si="5"/>
        <v>4864</v>
      </c>
      <c r="G106" s="277">
        <f>SUM(G107:G114)</f>
        <v>0</v>
      </c>
      <c r="H106" s="280">
        <f>SUM(H107:H114)</f>
        <v>0</v>
      </c>
      <c r="I106" s="136">
        <f t="shared" si="6"/>
        <v>0</v>
      </c>
      <c r="J106" s="277">
        <f>SUM(J107:J114)</f>
        <v>0</v>
      </c>
      <c r="K106" s="280">
        <f>SUM(K107:K114)</f>
        <v>0</v>
      </c>
      <c r="L106" s="136">
        <f t="shared" si="7"/>
        <v>0</v>
      </c>
      <c r="M106" s="281">
        <f>SUM(M107:M114)</f>
        <v>0</v>
      </c>
      <c r="N106" s="282">
        <f>SUM(N107:N114)</f>
        <v>0</v>
      </c>
      <c r="O106" s="136">
        <f t="shared" si="8"/>
        <v>0</v>
      </c>
      <c r="P106" s="85"/>
    </row>
    <row r="107" spans="1:16" hidden="1" x14ac:dyDescent="0.25">
      <c r="A107" s="76">
        <v>2241</v>
      </c>
      <c r="B107" s="127" t="s">
        <v>123</v>
      </c>
      <c r="C107" s="128">
        <f t="shared" si="4"/>
        <v>0</v>
      </c>
      <c r="D107" s="134"/>
      <c r="E107" s="285"/>
      <c r="F107" s="286">
        <f t="shared" si="5"/>
        <v>0</v>
      </c>
      <c r="G107" s="134"/>
      <c r="H107" s="135"/>
      <c r="I107" s="136">
        <f t="shared" si="6"/>
        <v>0</v>
      </c>
      <c r="J107" s="134"/>
      <c r="K107" s="135"/>
      <c r="L107" s="136">
        <f t="shared" si="7"/>
        <v>0</v>
      </c>
      <c r="M107" s="284"/>
      <c r="N107" s="285"/>
      <c r="O107" s="136">
        <f t="shared" si="8"/>
        <v>0</v>
      </c>
      <c r="P107" s="85"/>
    </row>
    <row r="108" spans="1:16" ht="24" hidden="1" x14ac:dyDescent="0.25">
      <c r="A108" s="76">
        <v>2242</v>
      </c>
      <c r="B108" s="127" t="s">
        <v>124</v>
      </c>
      <c r="C108" s="128">
        <f t="shared" si="4"/>
        <v>0</v>
      </c>
      <c r="D108" s="134"/>
      <c r="E108" s="285"/>
      <c r="F108" s="286">
        <f t="shared" si="5"/>
        <v>0</v>
      </c>
      <c r="G108" s="134"/>
      <c r="H108" s="135"/>
      <c r="I108" s="136">
        <f t="shared" si="6"/>
        <v>0</v>
      </c>
      <c r="J108" s="134"/>
      <c r="K108" s="135"/>
      <c r="L108" s="136">
        <f t="shared" si="7"/>
        <v>0</v>
      </c>
      <c r="M108" s="284"/>
      <c r="N108" s="285"/>
      <c r="O108" s="136">
        <f t="shared" si="8"/>
        <v>0</v>
      </c>
      <c r="P108" s="85"/>
    </row>
    <row r="109" spans="1:16" ht="24" x14ac:dyDescent="0.25">
      <c r="A109" s="76">
        <v>2243</v>
      </c>
      <c r="B109" s="127" t="s">
        <v>125</v>
      </c>
      <c r="C109" s="128">
        <f t="shared" si="4"/>
        <v>1394</v>
      </c>
      <c r="D109" s="134">
        <v>1394</v>
      </c>
      <c r="E109" s="283"/>
      <c r="F109" s="279">
        <f t="shared" si="5"/>
        <v>1394</v>
      </c>
      <c r="G109" s="134"/>
      <c r="H109" s="135"/>
      <c r="I109" s="136">
        <f t="shared" si="6"/>
        <v>0</v>
      </c>
      <c r="J109" s="134"/>
      <c r="K109" s="135"/>
      <c r="L109" s="136">
        <f t="shared" si="7"/>
        <v>0</v>
      </c>
      <c r="M109" s="284"/>
      <c r="N109" s="285"/>
      <c r="O109" s="136">
        <f t="shared" si="8"/>
        <v>0</v>
      </c>
      <c r="P109" s="85"/>
    </row>
    <row r="110" spans="1:16" x14ac:dyDescent="0.25">
      <c r="A110" s="265">
        <v>2244</v>
      </c>
      <c r="B110" s="266" t="s">
        <v>126</v>
      </c>
      <c r="C110" s="267">
        <f t="shared" si="4"/>
        <v>3470</v>
      </c>
      <c r="D110" s="268">
        <v>3470</v>
      </c>
      <c r="E110" s="269"/>
      <c r="F110" s="270">
        <f t="shared" si="5"/>
        <v>3470</v>
      </c>
      <c r="G110" s="268"/>
      <c r="H110" s="271"/>
      <c r="I110" s="272">
        <f t="shared" si="6"/>
        <v>0</v>
      </c>
      <c r="J110" s="268"/>
      <c r="K110" s="271"/>
      <c r="L110" s="272">
        <f t="shared" si="7"/>
        <v>0</v>
      </c>
      <c r="M110" s="273"/>
      <c r="N110" s="274"/>
      <c r="O110" s="272">
        <f t="shared" si="8"/>
        <v>0</v>
      </c>
      <c r="P110" s="275"/>
    </row>
    <row r="111" spans="1:16" ht="24" hidden="1" x14ac:dyDescent="0.25">
      <c r="A111" s="76">
        <v>2246</v>
      </c>
      <c r="B111" s="127" t="s">
        <v>127</v>
      </c>
      <c r="C111" s="128">
        <f t="shared" si="4"/>
        <v>0</v>
      </c>
      <c r="D111" s="134"/>
      <c r="E111" s="285"/>
      <c r="F111" s="286">
        <f t="shared" si="5"/>
        <v>0</v>
      </c>
      <c r="G111" s="134"/>
      <c r="H111" s="135"/>
      <c r="I111" s="136">
        <f t="shared" si="6"/>
        <v>0</v>
      </c>
      <c r="J111" s="134"/>
      <c r="K111" s="135"/>
      <c r="L111" s="136">
        <f t="shared" si="7"/>
        <v>0</v>
      </c>
      <c r="M111" s="284"/>
      <c r="N111" s="285"/>
      <c r="O111" s="136">
        <f t="shared" si="8"/>
        <v>0</v>
      </c>
      <c r="P111" s="85"/>
    </row>
    <row r="112" spans="1:16" hidden="1" x14ac:dyDescent="0.25">
      <c r="A112" s="76">
        <v>2247</v>
      </c>
      <c r="B112" s="127" t="s">
        <v>128</v>
      </c>
      <c r="C112" s="128">
        <f t="shared" si="4"/>
        <v>0</v>
      </c>
      <c r="D112" s="134"/>
      <c r="E112" s="285"/>
      <c r="F112" s="286">
        <f t="shared" si="5"/>
        <v>0</v>
      </c>
      <c r="G112" s="134"/>
      <c r="H112" s="135"/>
      <c r="I112" s="136">
        <f t="shared" si="6"/>
        <v>0</v>
      </c>
      <c r="J112" s="134"/>
      <c r="K112" s="135"/>
      <c r="L112" s="136">
        <f t="shared" si="7"/>
        <v>0</v>
      </c>
      <c r="M112" s="284"/>
      <c r="N112" s="285"/>
      <c r="O112" s="136">
        <f t="shared" si="8"/>
        <v>0</v>
      </c>
      <c r="P112" s="85"/>
    </row>
    <row r="113" spans="1:16" ht="24" hidden="1" x14ac:dyDescent="0.25">
      <c r="A113" s="76">
        <v>2248</v>
      </c>
      <c r="B113" s="127" t="s">
        <v>129</v>
      </c>
      <c r="C113" s="128">
        <f t="shared" si="4"/>
        <v>0</v>
      </c>
      <c r="D113" s="134"/>
      <c r="E113" s="285"/>
      <c r="F113" s="286">
        <f t="shared" si="5"/>
        <v>0</v>
      </c>
      <c r="G113" s="134"/>
      <c r="H113" s="135"/>
      <c r="I113" s="136">
        <f t="shared" si="6"/>
        <v>0</v>
      </c>
      <c r="J113" s="134"/>
      <c r="K113" s="135"/>
      <c r="L113" s="136">
        <f t="shared" si="7"/>
        <v>0</v>
      </c>
      <c r="M113" s="284"/>
      <c r="N113" s="285"/>
      <c r="O113" s="136">
        <f t="shared" si="8"/>
        <v>0</v>
      </c>
      <c r="P113" s="85"/>
    </row>
    <row r="114" spans="1:16" ht="24" hidden="1" x14ac:dyDescent="0.25">
      <c r="A114" s="76">
        <v>2249</v>
      </c>
      <c r="B114" s="127" t="s">
        <v>130</v>
      </c>
      <c r="C114" s="128">
        <f t="shared" si="4"/>
        <v>0</v>
      </c>
      <c r="D114" s="134"/>
      <c r="E114" s="285"/>
      <c r="F114" s="286">
        <f t="shared" si="5"/>
        <v>0</v>
      </c>
      <c r="G114" s="134"/>
      <c r="H114" s="135"/>
      <c r="I114" s="136">
        <f t="shared" si="6"/>
        <v>0</v>
      </c>
      <c r="J114" s="134"/>
      <c r="K114" s="135"/>
      <c r="L114" s="136">
        <f t="shared" si="7"/>
        <v>0</v>
      </c>
      <c r="M114" s="284"/>
      <c r="N114" s="285"/>
      <c r="O114" s="136">
        <f t="shared" si="8"/>
        <v>0</v>
      </c>
      <c r="P114" s="85"/>
    </row>
    <row r="115" spans="1:16" x14ac:dyDescent="0.25">
      <c r="A115" s="276">
        <v>2250</v>
      </c>
      <c r="B115" s="127" t="s">
        <v>131</v>
      </c>
      <c r="C115" s="128">
        <f t="shared" si="4"/>
        <v>316</v>
      </c>
      <c r="D115" s="277">
        <f>SUM(D116:D118)</f>
        <v>316</v>
      </c>
      <c r="E115" s="278">
        <f>SUM(E116:E118)</f>
        <v>0</v>
      </c>
      <c r="F115" s="279">
        <f t="shared" si="5"/>
        <v>316</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row>
    <row r="116" spans="1:16" x14ac:dyDescent="0.25">
      <c r="A116" s="76">
        <v>2251</v>
      </c>
      <c r="B116" s="127" t="s">
        <v>132</v>
      </c>
      <c r="C116" s="128">
        <f t="shared" si="4"/>
        <v>166</v>
      </c>
      <c r="D116" s="134">
        <v>166</v>
      </c>
      <c r="E116" s="283"/>
      <c r="F116" s="279">
        <f t="shared" si="5"/>
        <v>166</v>
      </c>
      <c r="G116" s="134"/>
      <c r="H116" s="135"/>
      <c r="I116" s="136">
        <f t="shared" si="6"/>
        <v>0</v>
      </c>
      <c r="J116" s="134"/>
      <c r="K116" s="135"/>
      <c r="L116" s="136">
        <f t="shared" si="7"/>
        <v>0</v>
      </c>
      <c r="M116" s="284"/>
      <c r="N116" s="285"/>
      <c r="O116" s="136">
        <f t="shared" si="8"/>
        <v>0</v>
      </c>
      <c r="P116" s="85"/>
    </row>
    <row r="117" spans="1:16" ht="24" hidden="1" x14ac:dyDescent="0.25">
      <c r="A117" s="76">
        <v>2252</v>
      </c>
      <c r="B117" s="127" t="s">
        <v>133</v>
      </c>
      <c r="C117" s="128">
        <f t="shared" ref="C117:C181" si="9">F117+I117+L117+O117</f>
        <v>0</v>
      </c>
      <c r="D117" s="134"/>
      <c r="E117" s="285"/>
      <c r="F117" s="286">
        <f t="shared" si="5"/>
        <v>0</v>
      </c>
      <c r="G117" s="134"/>
      <c r="H117" s="135"/>
      <c r="I117" s="136">
        <f t="shared" si="6"/>
        <v>0</v>
      </c>
      <c r="J117" s="134"/>
      <c r="K117" s="135"/>
      <c r="L117" s="136">
        <f t="shared" si="7"/>
        <v>0</v>
      </c>
      <c r="M117" s="284"/>
      <c r="N117" s="285"/>
      <c r="O117" s="136">
        <f t="shared" si="8"/>
        <v>0</v>
      </c>
      <c r="P117" s="85"/>
    </row>
    <row r="118" spans="1:16" ht="24" x14ac:dyDescent="0.25">
      <c r="A118" s="76">
        <v>2259</v>
      </c>
      <c r="B118" s="127" t="s">
        <v>134</v>
      </c>
      <c r="C118" s="128">
        <f t="shared" si="9"/>
        <v>150</v>
      </c>
      <c r="D118" s="134">
        <v>150</v>
      </c>
      <c r="E118" s="283"/>
      <c r="F118" s="279">
        <f t="shared" ref="F118:F182" si="10">D118+E118</f>
        <v>150</v>
      </c>
      <c r="G118" s="134"/>
      <c r="H118" s="135"/>
      <c r="I118" s="136">
        <f t="shared" ref="I118:I182" si="11">G118+H118</f>
        <v>0</v>
      </c>
      <c r="J118" s="134"/>
      <c r="K118" s="135"/>
      <c r="L118" s="136">
        <f t="shared" ref="L118:L182" si="12">J118+K118</f>
        <v>0</v>
      </c>
      <c r="M118" s="284"/>
      <c r="N118" s="285"/>
      <c r="O118" s="136">
        <f t="shared" ref="O118:O182" si="13">M118+N118</f>
        <v>0</v>
      </c>
      <c r="P118" s="85"/>
    </row>
    <row r="119" spans="1:16" x14ac:dyDescent="0.25">
      <c r="A119" s="276">
        <v>2260</v>
      </c>
      <c r="B119" s="127" t="s">
        <v>135</v>
      </c>
      <c r="C119" s="128">
        <f t="shared" si="9"/>
        <v>7422</v>
      </c>
      <c r="D119" s="277">
        <f>SUM(D120:D124)</f>
        <v>7422</v>
      </c>
      <c r="E119" s="278">
        <f>SUM(E120:E124)</f>
        <v>0</v>
      </c>
      <c r="F119" s="279">
        <f t="shared" si="10"/>
        <v>7422</v>
      </c>
      <c r="G119" s="277">
        <f>SUM(G120:G124)</f>
        <v>0</v>
      </c>
      <c r="H119" s="280">
        <f>SUM(H120:H124)</f>
        <v>0</v>
      </c>
      <c r="I119" s="136">
        <f t="shared" si="11"/>
        <v>0</v>
      </c>
      <c r="J119" s="277">
        <f>SUM(J120:J124)</f>
        <v>0</v>
      </c>
      <c r="K119" s="280">
        <f>SUM(K120:K124)</f>
        <v>0</v>
      </c>
      <c r="L119" s="136">
        <f t="shared" si="12"/>
        <v>0</v>
      </c>
      <c r="M119" s="281">
        <f>SUM(M120:M124)</f>
        <v>0</v>
      </c>
      <c r="N119" s="282">
        <f>SUM(N120:N124)</f>
        <v>0</v>
      </c>
      <c r="O119" s="136">
        <f t="shared" si="13"/>
        <v>0</v>
      </c>
      <c r="P119" s="85"/>
    </row>
    <row r="120" spans="1:16" hidden="1" x14ac:dyDescent="0.25">
      <c r="A120" s="76">
        <v>2261</v>
      </c>
      <c r="B120" s="127" t="s">
        <v>136</v>
      </c>
      <c r="C120" s="128">
        <f t="shared" si="9"/>
        <v>0</v>
      </c>
      <c r="D120" s="134"/>
      <c r="E120" s="285"/>
      <c r="F120" s="286">
        <f t="shared" si="10"/>
        <v>0</v>
      </c>
      <c r="G120" s="134"/>
      <c r="H120" s="135"/>
      <c r="I120" s="136">
        <f t="shared" si="11"/>
        <v>0</v>
      </c>
      <c r="J120" s="134"/>
      <c r="K120" s="135"/>
      <c r="L120" s="136">
        <f t="shared" si="12"/>
        <v>0</v>
      </c>
      <c r="M120" s="284"/>
      <c r="N120" s="285"/>
      <c r="O120" s="136">
        <f t="shared" si="13"/>
        <v>0</v>
      </c>
      <c r="P120" s="85"/>
    </row>
    <row r="121" spans="1:16" hidden="1" x14ac:dyDescent="0.25">
      <c r="A121" s="76">
        <v>2262</v>
      </c>
      <c r="B121" s="127" t="s">
        <v>137</v>
      </c>
      <c r="C121" s="128">
        <f t="shared" si="9"/>
        <v>0</v>
      </c>
      <c r="D121" s="134"/>
      <c r="E121" s="285"/>
      <c r="F121" s="286">
        <f t="shared" si="10"/>
        <v>0</v>
      </c>
      <c r="G121" s="134"/>
      <c r="H121" s="135"/>
      <c r="I121" s="136">
        <f t="shared" si="11"/>
        <v>0</v>
      </c>
      <c r="J121" s="134"/>
      <c r="K121" s="135"/>
      <c r="L121" s="136">
        <f t="shared" si="12"/>
        <v>0</v>
      </c>
      <c r="M121" s="284"/>
      <c r="N121" s="285"/>
      <c r="O121" s="136">
        <f t="shared" si="13"/>
        <v>0</v>
      </c>
      <c r="P121" s="85"/>
    </row>
    <row r="122" spans="1:16" x14ac:dyDescent="0.25">
      <c r="A122" s="76">
        <v>2263</v>
      </c>
      <c r="B122" s="127" t="s">
        <v>138</v>
      </c>
      <c r="C122" s="128">
        <f t="shared" si="9"/>
        <v>7376</v>
      </c>
      <c r="D122" s="134">
        <v>7376</v>
      </c>
      <c r="E122" s="283"/>
      <c r="F122" s="279">
        <f t="shared" si="10"/>
        <v>7376</v>
      </c>
      <c r="G122" s="134"/>
      <c r="H122" s="135"/>
      <c r="I122" s="136">
        <f t="shared" si="11"/>
        <v>0</v>
      </c>
      <c r="J122" s="134"/>
      <c r="K122" s="135"/>
      <c r="L122" s="136">
        <f t="shared" si="12"/>
        <v>0</v>
      </c>
      <c r="M122" s="284"/>
      <c r="N122" s="285"/>
      <c r="O122" s="136">
        <f t="shared" si="13"/>
        <v>0</v>
      </c>
      <c r="P122" s="85"/>
    </row>
    <row r="123" spans="1:16" ht="24" hidden="1" x14ac:dyDescent="0.25">
      <c r="A123" s="76">
        <v>2264</v>
      </c>
      <c r="B123" s="127" t="s">
        <v>139</v>
      </c>
      <c r="C123" s="128">
        <f t="shared" si="9"/>
        <v>0</v>
      </c>
      <c r="D123" s="134"/>
      <c r="E123" s="285"/>
      <c r="F123" s="286">
        <f t="shared" si="10"/>
        <v>0</v>
      </c>
      <c r="G123" s="134"/>
      <c r="H123" s="135"/>
      <c r="I123" s="136">
        <f t="shared" si="11"/>
        <v>0</v>
      </c>
      <c r="J123" s="134"/>
      <c r="K123" s="135"/>
      <c r="L123" s="136">
        <f t="shared" si="12"/>
        <v>0</v>
      </c>
      <c r="M123" s="284"/>
      <c r="N123" s="285"/>
      <c r="O123" s="136">
        <f t="shared" si="13"/>
        <v>0</v>
      </c>
      <c r="P123" s="85"/>
    </row>
    <row r="124" spans="1:16" x14ac:dyDescent="0.25">
      <c r="A124" s="76">
        <v>2269</v>
      </c>
      <c r="B124" s="127" t="s">
        <v>140</v>
      </c>
      <c r="C124" s="128">
        <f t="shared" si="9"/>
        <v>46</v>
      </c>
      <c r="D124" s="134">
        <v>46</v>
      </c>
      <c r="E124" s="283"/>
      <c r="F124" s="279">
        <f t="shared" si="10"/>
        <v>46</v>
      </c>
      <c r="G124" s="134"/>
      <c r="H124" s="135"/>
      <c r="I124" s="136">
        <f t="shared" si="11"/>
        <v>0</v>
      </c>
      <c r="J124" s="134"/>
      <c r="K124" s="135"/>
      <c r="L124" s="136">
        <f t="shared" si="12"/>
        <v>0</v>
      </c>
      <c r="M124" s="284"/>
      <c r="N124" s="285"/>
      <c r="O124" s="136">
        <f t="shared" si="13"/>
        <v>0</v>
      </c>
      <c r="P124" s="85"/>
    </row>
    <row r="125" spans="1:16" x14ac:dyDescent="0.25">
      <c r="A125" s="276">
        <v>2270</v>
      </c>
      <c r="B125" s="127" t="s">
        <v>141</v>
      </c>
      <c r="C125" s="128">
        <f t="shared" si="9"/>
        <v>1439</v>
      </c>
      <c r="D125" s="277">
        <f>SUM(D126:D130)</f>
        <v>0</v>
      </c>
      <c r="E125" s="278">
        <f>SUM(E126:E130)</f>
        <v>0</v>
      </c>
      <c r="F125" s="279">
        <f t="shared" si="10"/>
        <v>0</v>
      </c>
      <c r="G125" s="277">
        <f>SUM(G126:G130)</f>
        <v>0</v>
      </c>
      <c r="H125" s="280">
        <f>SUM(H126:H130)</f>
        <v>0</v>
      </c>
      <c r="I125" s="136">
        <f t="shared" si="11"/>
        <v>0</v>
      </c>
      <c r="J125" s="277">
        <f>SUM(J126:J130)</f>
        <v>1439</v>
      </c>
      <c r="K125" s="280">
        <f>SUM(K126:K130)</f>
        <v>0</v>
      </c>
      <c r="L125" s="136">
        <f t="shared" si="12"/>
        <v>1439</v>
      </c>
      <c r="M125" s="281">
        <f>SUM(M126:M130)</f>
        <v>0</v>
      </c>
      <c r="N125" s="282">
        <f>SUM(N126:N130)</f>
        <v>0</v>
      </c>
      <c r="O125" s="136">
        <f t="shared" si="13"/>
        <v>0</v>
      </c>
      <c r="P125" s="85"/>
    </row>
    <row r="126" spans="1:16" hidden="1" x14ac:dyDescent="0.25">
      <c r="A126" s="76">
        <v>2272</v>
      </c>
      <c r="B126" s="5" t="s">
        <v>142</v>
      </c>
      <c r="C126" s="128">
        <f t="shared" si="9"/>
        <v>0</v>
      </c>
      <c r="D126" s="134"/>
      <c r="E126" s="285"/>
      <c r="F126" s="286">
        <f t="shared" si="10"/>
        <v>0</v>
      </c>
      <c r="G126" s="134"/>
      <c r="H126" s="135"/>
      <c r="I126" s="136">
        <f t="shared" si="11"/>
        <v>0</v>
      </c>
      <c r="J126" s="134"/>
      <c r="K126" s="135"/>
      <c r="L126" s="136">
        <f t="shared" si="12"/>
        <v>0</v>
      </c>
      <c r="M126" s="284"/>
      <c r="N126" s="285"/>
      <c r="O126" s="136">
        <f t="shared" si="13"/>
        <v>0</v>
      </c>
      <c r="P126" s="85"/>
    </row>
    <row r="127" spans="1:16" ht="24" hidden="1" x14ac:dyDescent="0.25">
      <c r="A127" s="76">
        <v>2275</v>
      </c>
      <c r="B127" s="127" t="s">
        <v>143</v>
      </c>
      <c r="C127" s="128">
        <f t="shared" si="9"/>
        <v>0</v>
      </c>
      <c r="D127" s="134"/>
      <c r="E127" s="285"/>
      <c r="F127" s="286">
        <f t="shared" si="10"/>
        <v>0</v>
      </c>
      <c r="G127" s="134"/>
      <c r="H127" s="135"/>
      <c r="I127" s="136">
        <f t="shared" si="11"/>
        <v>0</v>
      </c>
      <c r="J127" s="134"/>
      <c r="K127" s="135"/>
      <c r="L127" s="136">
        <f t="shared" si="12"/>
        <v>0</v>
      </c>
      <c r="M127" s="284"/>
      <c r="N127" s="285"/>
      <c r="O127" s="136">
        <f t="shared" si="13"/>
        <v>0</v>
      </c>
      <c r="P127" s="85"/>
    </row>
    <row r="128" spans="1:16" ht="36" hidden="1" x14ac:dyDescent="0.25">
      <c r="A128" s="76">
        <v>2276</v>
      </c>
      <c r="B128" s="127" t="s">
        <v>144</v>
      </c>
      <c r="C128" s="128">
        <f t="shared" si="9"/>
        <v>0</v>
      </c>
      <c r="D128" s="134"/>
      <c r="E128" s="285"/>
      <c r="F128" s="286">
        <f t="shared" si="10"/>
        <v>0</v>
      </c>
      <c r="G128" s="134"/>
      <c r="H128" s="135"/>
      <c r="I128" s="136">
        <f t="shared" si="11"/>
        <v>0</v>
      </c>
      <c r="J128" s="134"/>
      <c r="K128" s="135"/>
      <c r="L128" s="136">
        <f t="shared" si="12"/>
        <v>0</v>
      </c>
      <c r="M128" s="284"/>
      <c r="N128" s="285"/>
      <c r="O128" s="136">
        <f t="shared" si="13"/>
        <v>0</v>
      </c>
      <c r="P128" s="85"/>
    </row>
    <row r="129" spans="1:16" ht="24" hidden="1" x14ac:dyDescent="0.25">
      <c r="A129" s="76">
        <v>2278</v>
      </c>
      <c r="B129" s="127" t="s">
        <v>145</v>
      </c>
      <c r="C129" s="128">
        <f t="shared" si="9"/>
        <v>0</v>
      </c>
      <c r="D129" s="134"/>
      <c r="E129" s="285"/>
      <c r="F129" s="286">
        <f t="shared" si="10"/>
        <v>0</v>
      </c>
      <c r="G129" s="134"/>
      <c r="H129" s="135"/>
      <c r="I129" s="136">
        <f t="shared" si="11"/>
        <v>0</v>
      </c>
      <c r="J129" s="134"/>
      <c r="K129" s="135"/>
      <c r="L129" s="136">
        <f t="shared" si="12"/>
        <v>0</v>
      </c>
      <c r="M129" s="284"/>
      <c r="N129" s="285"/>
      <c r="O129" s="136">
        <f t="shared" si="13"/>
        <v>0</v>
      </c>
      <c r="P129" s="85"/>
    </row>
    <row r="130" spans="1:16" ht="24" x14ac:dyDescent="0.25">
      <c r="A130" s="265">
        <v>2279</v>
      </c>
      <c r="B130" s="266" t="s">
        <v>146</v>
      </c>
      <c r="C130" s="267">
        <f t="shared" si="9"/>
        <v>1439</v>
      </c>
      <c r="D130" s="268">
        <v>0</v>
      </c>
      <c r="E130" s="269"/>
      <c r="F130" s="270">
        <f t="shared" si="10"/>
        <v>0</v>
      </c>
      <c r="G130" s="268"/>
      <c r="H130" s="271"/>
      <c r="I130" s="272">
        <f t="shared" si="11"/>
        <v>0</v>
      </c>
      <c r="J130" s="268">
        <v>1439</v>
      </c>
      <c r="K130" s="271"/>
      <c r="L130" s="272">
        <f t="shared" si="12"/>
        <v>1439</v>
      </c>
      <c r="M130" s="273"/>
      <c r="N130" s="274"/>
      <c r="O130" s="272">
        <f t="shared" si="13"/>
        <v>0</v>
      </c>
      <c r="P130" s="275"/>
    </row>
    <row r="131" spans="1:16" ht="24" hidden="1" x14ac:dyDescent="0.25">
      <c r="A131" s="656">
        <v>2280</v>
      </c>
      <c r="B131" s="116" t="s">
        <v>147</v>
      </c>
      <c r="C131" s="128">
        <f t="shared" si="9"/>
        <v>0</v>
      </c>
      <c r="D131" s="297">
        <f t="shared" ref="D131:N131" si="14">SUM(D132)</f>
        <v>0</v>
      </c>
      <c r="E131" s="301">
        <f t="shared" si="14"/>
        <v>0</v>
      </c>
      <c r="F131" s="263">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row>
    <row r="132" spans="1:16" ht="24" hidden="1" x14ac:dyDescent="0.25">
      <c r="A132" s="76">
        <v>2283</v>
      </c>
      <c r="B132" s="127" t="s">
        <v>148</v>
      </c>
      <c r="C132" s="128">
        <f t="shared" si="9"/>
        <v>0</v>
      </c>
      <c r="D132" s="134"/>
      <c r="E132" s="285"/>
      <c r="F132" s="286">
        <f t="shared" si="10"/>
        <v>0</v>
      </c>
      <c r="G132" s="134"/>
      <c r="H132" s="135"/>
      <c r="I132" s="136">
        <f t="shared" si="11"/>
        <v>0</v>
      </c>
      <c r="J132" s="134"/>
      <c r="K132" s="135"/>
      <c r="L132" s="136">
        <f t="shared" si="12"/>
        <v>0</v>
      </c>
      <c r="M132" s="284"/>
      <c r="N132" s="285"/>
      <c r="O132" s="136">
        <f t="shared" si="13"/>
        <v>0</v>
      </c>
      <c r="P132" s="85"/>
    </row>
    <row r="133" spans="1:16" ht="36" x14ac:dyDescent="0.25">
      <c r="A133" s="99">
        <v>2300</v>
      </c>
      <c r="B133" s="247" t="s">
        <v>149</v>
      </c>
      <c r="C133" s="100">
        <f t="shared" si="9"/>
        <v>15054</v>
      </c>
      <c r="D133" s="112">
        <f>SUM(D134,D139,D143,D144,D147,D154,D162,D163,D166)</f>
        <v>9686</v>
      </c>
      <c r="E133" s="248">
        <f>SUM(E134,E139,E143,E144,E147,E154,E162,E163,E166)</f>
        <v>0</v>
      </c>
      <c r="F133" s="249">
        <f t="shared" si="10"/>
        <v>9686</v>
      </c>
      <c r="G133" s="112">
        <f>SUM(G134,G139,G143,G144,G147,G154,G162,G163,G166)</f>
        <v>1195</v>
      </c>
      <c r="H133" s="113">
        <f>SUM(H134,H139,H143,H144,H147,H154,H162,H163,H166)</f>
        <v>0</v>
      </c>
      <c r="I133" s="114">
        <f t="shared" si="11"/>
        <v>1195</v>
      </c>
      <c r="J133" s="112">
        <f>SUM(J134,J139,J143,J144,J147,J154,J162,J163,J166)</f>
        <v>4173</v>
      </c>
      <c r="K133" s="113">
        <f>SUM(K134,K139,K143,K144,K147,K154,K162,K163,K166)</f>
        <v>0</v>
      </c>
      <c r="L133" s="114">
        <f t="shared" si="12"/>
        <v>4173</v>
      </c>
      <c r="M133" s="292">
        <f>SUM(M134,M139,M143,M144,M147,M154,M162,M163,M166)</f>
        <v>0</v>
      </c>
      <c r="N133" s="293">
        <f>SUM(N134,N139,N143,N144,N147,N154,N162,N163,N166)</f>
        <v>0</v>
      </c>
      <c r="O133" s="114">
        <f t="shared" si="13"/>
        <v>0</v>
      </c>
      <c r="P133" s="109"/>
    </row>
    <row r="134" spans="1:16" ht="24" x14ac:dyDescent="0.25">
      <c r="A134" s="656">
        <v>2310</v>
      </c>
      <c r="B134" s="116" t="s">
        <v>150</v>
      </c>
      <c r="C134" s="117">
        <f t="shared" si="9"/>
        <v>2932</v>
      </c>
      <c r="D134" s="308">
        <f>SUM(D135:D138)</f>
        <v>2932</v>
      </c>
      <c r="E134" s="300">
        <f>SUM(E135:E138)</f>
        <v>0</v>
      </c>
      <c r="F134" s="296">
        <f t="shared" si="10"/>
        <v>2932</v>
      </c>
      <c r="G134" s="297">
        <f>SUM(G135:G138)</f>
        <v>0</v>
      </c>
      <c r="H134" s="299">
        <f>SUM(H135:H138)</f>
        <v>0</v>
      </c>
      <c r="I134" s="125">
        <f t="shared" si="11"/>
        <v>0</v>
      </c>
      <c r="J134" s="297">
        <f>SUM(J135:J138)</f>
        <v>0</v>
      </c>
      <c r="K134" s="299">
        <f>SUM(K135:K138)</f>
        <v>0</v>
      </c>
      <c r="L134" s="125">
        <f t="shared" si="12"/>
        <v>0</v>
      </c>
      <c r="M134" s="300">
        <f>SUM(M135:M138)</f>
        <v>0</v>
      </c>
      <c r="N134" s="301">
        <f>SUM(N135:N138)</f>
        <v>0</v>
      </c>
      <c r="O134" s="125">
        <f t="shared" si="13"/>
        <v>0</v>
      </c>
      <c r="P134" s="74"/>
    </row>
    <row r="135" spans="1:16" x14ac:dyDescent="0.25">
      <c r="A135" s="76">
        <v>2311</v>
      </c>
      <c r="B135" s="127" t="s">
        <v>151</v>
      </c>
      <c r="C135" s="128">
        <f t="shared" si="9"/>
        <v>385</v>
      </c>
      <c r="D135" s="134">
        <v>385</v>
      </c>
      <c r="E135" s="283"/>
      <c r="F135" s="279">
        <f t="shared" si="10"/>
        <v>385</v>
      </c>
      <c r="G135" s="134"/>
      <c r="H135" s="135"/>
      <c r="I135" s="136">
        <f t="shared" si="11"/>
        <v>0</v>
      </c>
      <c r="J135" s="134"/>
      <c r="K135" s="135"/>
      <c r="L135" s="136">
        <f t="shared" si="12"/>
        <v>0</v>
      </c>
      <c r="M135" s="284"/>
      <c r="N135" s="285"/>
      <c r="O135" s="136">
        <f t="shared" si="13"/>
        <v>0</v>
      </c>
      <c r="P135" s="85"/>
    </row>
    <row r="136" spans="1:16" x14ac:dyDescent="0.25">
      <c r="A136" s="76">
        <v>2312</v>
      </c>
      <c r="B136" s="127" t="s">
        <v>152</v>
      </c>
      <c r="C136" s="128">
        <f t="shared" si="9"/>
        <v>2417</v>
      </c>
      <c r="D136" s="134">
        <v>2417</v>
      </c>
      <c r="E136" s="283"/>
      <c r="F136" s="279">
        <f t="shared" si="10"/>
        <v>2417</v>
      </c>
      <c r="G136" s="134"/>
      <c r="H136" s="135"/>
      <c r="I136" s="136">
        <f t="shared" si="11"/>
        <v>0</v>
      </c>
      <c r="J136" s="134"/>
      <c r="K136" s="135"/>
      <c r="L136" s="136">
        <f t="shared" si="12"/>
        <v>0</v>
      </c>
      <c r="M136" s="284"/>
      <c r="N136" s="285"/>
      <c r="O136" s="136">
        <f t="shared" si="13"/>
        <v>0</v>
      </c>
      <c r="P136" s="85"/>
    </row>
    <row r="137" spans="1:16" x14ac:dyDescent="0.25">
      <c r="A137" s="76">
        <v>2313</v>
      </c>
      <c r="B137" s="127" t="s">
        <v>153</v>
      </c>
      <c r="C137" s="128">
        <f t="shared" si="9"/>
        <v>130</v>
      </c>
      <c r="D137" s="134">
        <v>130</v>
      </c>
      <c r="E137" s="283"/>
      <c r="F137" s="279">
        <f t="shared" si="10"/>
        <v>130</v>
      </c>
      <c r="G137" s="134"/>
      <c r="H137" s="135"/>
      <c r="I137" s="136">
        <f t="shared" si="11"/>
        <v>0</v>
      </c>
      <c r="J137" s="134"/>
      <c r="K137" s="135"/>
      <c r="L137" s="136">
        <f t="shared" si="12"/>
        <v>0</v>
      </c>
      <c r="M137" s="284"/>
      <c r="N137" s="285"/>
      <c r="O137" s="136">
        <f t="shared" si="13"/>
        <v>0</v>
      </c>
      <c r="P137" s="85"/>
    </row>
    <row r="138" spans="1:16" ht="24" hidden="1" x14ac:dyDescent="0.25">
      <c r="A138" s="76">
        <v>2314</v>
      </c>
      <c r="B138" s="127" t="s">
        <v>154</v>
      </c>
      <c r="C138" s="128">
        <f t="shared" si="9"/>
        <v>0</v>
      </c>
      <c r="D138" s="134"/>
      <c r="E138" s="285"/>
      <c r="F138" s="286">
        <f t="shared" si="10"/>
        <v>0</v>
      </c>
      <c r="G138" s="134"/>
      <c r="H138" s="135"/>
      <c r="I138" s="136">
        <f t="shared" si="11"/>
        <v>0</v>
      </c>
      <c r="J138" s="134"/>
      <c r="K138" s="135"/>
      <c r="L138" s="136">
        <f t="shared" si="12"/>
        <v>0</v>
      </c>
      <c r="M138" s="284"/>
      <c r="N138" s="285"/>
      <c r="O138" s="136">
        <f t="shared" si="13"/>
        <v>0</v>
      </c>
      <c r="P138" s="85"/>
    </row>
    <row r="139" spans="1:16" x14ac:dyDescent="0.25">
      <c r="A139" s="276">
        <v>2320</v>
      </c>
      <c r="B139" s="127" t="s">
        <v>155</v>
      </c>
      <c r="C139" s="128">
        <f t="shared" si="9"/>
        <v>72</v>
      </c>
      <c r="D139" s="277">
        <f>SUM(D140:D142)</f>
        <v>72</v>
      </c>
      <c r="E139" s="278">
        <f>SUM(E140:E142)</f>
        <v>0</v>
      </c>
      <c r="F139" s="279">
        <f t="shared" si="10"/>
        <v>72</v>
      </c>
      <c r="G139" s="277">
        <f>SUM(G140:G142)</f>
        <v>0</v>
      </c>
      <c r="H139" s="280">
        <f>SUM(H140:H142)</f>
        <v>0</v>
      </c>
      <c r="I139" s="136">
        <f t="shared" si="11"/>
        <v>0</v>
      </c>
      <c r="J139" s="277">
        <f>SUM(J140:J142)</f>
        <v>0</v>
      </c>
      <c r="K139" s="280">
        <f>SUM(K140:K142)</f>
        <v>0</v>
      </c>
      <c r="L139" s="136">
        <f t="shared" si="12"/>
        <v>0</v>
      </c>
      <c r="M139" s="281">
        <f>SUM(M140:M142)</f>
        <v>0</v>
      </c>
      <c r="N139" s="282">
        <f>SUM(N140:N142)</f>
        <v>0</v>
      </c>
      <c r="O139" s="136">
        <f t="shared" si="13"/>
        <v>0</v>
      </c>
      <c r="P139" s="85"/>
    </row>
    <row r="140" spans="1:16" hidden="1" x14ac:dyDescent="0.25">
      <c r="A140" s="76">
        <v>2321</v>
      </c>
      <c r="B140" s="127" t="s">
        <v>156</v>
      </c>
      <c r="C140" s="128">
        <f t="shared" si="9"/>
        <v>0</v>
      </c>
      <c r="D140" s="134"/>
      <c r="E140" s="285"/>
      <c r="F140" s="286">
        <f t="shared" si="10"/>
        <v>0</v>
      </c>
      <c r="G140" s="134"/>
      <c r="H140" s="135"/>
      <c r="I140" s="136">
        <f t="shared" si="11"/>
        <v>0</v>
      </c>
      <c r="J140" s="134"/>
      <c r="K140" s="135"/>
      <c r="L140" s="136">
        <f t="shared" si="12"/>
        <v>0</v>
      </c>
      <c r="M140" s="284"/>
      <c r="N140" s="285"/>
      <c r="O140" s="136">
        <f t="shared" si="13"/>
        <v>0</v>
      </c>
      <c r="P140" s="85"/>
    </row>
    <row r="141" spans="1:16" x14ac:dyDescent="0.25">
      <c r="A141" s="76">
        <v>2322</v>
      </c>
      <c r="B141" s="127" t="s">
        <v>157</v>
      </c>
      <c r="C141" s="128">
        <f t="shared" si="9"/>
        <v>72</v>
      </c>
      <c r="D141" s="134">
        <v>72</v>
      </c>
      <c r="E141" s="283"/>
      <c r="F141" s="279">
        <f t="shared" si="10"/>
        <v>72</v>
      </c>
      <c r="G141" s="134"/>
      <c r="H141" s="135"/>
      <c r="I141" s="136">
        <f t="shared" si="11"/>
        <v>0</v>
      </c>
      <c r="J141" s="134"/>
      <c r="K141" s="135"/>
      <c r="L141" s="136">
        <f t="shared" si="12"/>
        <v>0</v>
      </c>
      <c r="M141" s="284"/>
      <c r="N141" s="285"/>
      <c r="O141" s="136">
        <f t="shared" si="13"/>
        <v>0</v>
      </c>
      <c r="P141" s="85"/>
    </row>
    <row r="142" spans="1:16" hidden="1" x14ac:dyDescent="0.25">
      <c r="A142" s="76">
        <v>2329</v>
      </c>
      <c r="B142" s="127" t="s">
        <v>158</v>
      </c>
      <c r="C142" s="128">
        <f t="shared" si="9"/>
        <v>0</v>
      </c>
      <c r="D142" s="134"/>
      <c r="E142" s="285"/>
      <c r="F142" s="286">
        <f t="shared" si="10"/>
        <v>0</v>
      </c>
      <c r="G142" s="134"/>
      <c r="H142" s="135"/>
      <c r="I142" s="136">
        <f t="shared" si="11"/>
        <v>0</v>
      </c>
      <c r="J142" s="134"/>
      <c r="K142" s="135"/>
      <c r="L142" s="136">
        <f t="shared" si="12"/>
        <v>0</v>
      </c>
      <c r="M142" s="284"/>
      <c r="N142" s="285"/>
      <c r="O142" s="136">
        <f t="shared" si="13"/>
        <v>0</v>
      </c>
      <c r="P142" s="85"/>
    </row>
    <row r="143" spans="1:16" hidden="1" x14ac:dyDescent="0.25">
      <c r="A143" s="276">
        <v>2330</v>
      </c>
      <c r="B143" s="127" t="s">
        <v>159</v>
      </c>
      <c r="C143" s="128">
        <f t="shared" si="9"/>
        <v>0</v>
      </c>
      <c r="D143" s="134"/>
      <c r="E143" s="285"/>
      <c r="F143" s="286">
        <f t="shared" si="10"/>
        <v>0</v>
      </c>
      <c r="G143" s="134"/>
      <c r="H143" s="135"/>
      <c r="I143" s="136">
        <f t="shared" si="11"/>
        <v>0</v>
      </c>
      <c r="J143" s="134"/>
      <c r="K143" s="135"/>
      <c r="L143" s="136">
        <f t="shared" si="12"/>
        <v>0</v>
      </c>
      <c r="M143" s="284"/>
      <c r="N143" s="285"/>
      <c r="O143" s="136">
        <f t="shared" si="13"/>
        <v>0</v>
      </c>
      <c r="P143" s="85"/>
    </row>
    <row r="144" spans="1:16" ht="37.5" customHeight="1" x14ac:dyDescent="0.25">
      <c r="A144" s="276">
        <v>2340</v>
      </c>
      <c r="B144" s="127" t="s">
        <v>160</v>
      </c>
      <c r="C144" s="128">
        <f t="shared" si="9"/>
        <v>145</v>
      </c>
      <c r="D144" s="277">
        <f>SUM(D145:D146)</f>
        <v>145</v>
      </c>
      <c r="E144" s="278">
        <f>SUM(E145:E146)</f>
        <v>0</v>
      </c>
      <c r="F144" s="279">
        <f t="shared" si="10"/>
        <v>145</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row>
    <row r="145" spans="1:16" x14ac:dyDescent="0.25">
      <c r="A145" s="76">
        <v>2341</v>
      </c>
      <c r="B145" s="127" t="s">
        <v>161</v>
      </c>
      <c r="C145" s="128">
        <f t="shared" si="9"/>
        <v>145</v>
      </c>
      <c r="D145" s="134">
        <v>145</v>
      </c>
      <c r="E145" s="283"/>
      <c r="F145" s="279">
        <f t="shared" si="10"/>
        <v>145</v>
      </c>
      <c r="G145" s="134"/>
      <c r="H145" s="135"/>
      <c r="I145" s="136">
        <f t="shared" si="11"/>
        <v>0</v>
      </c>
      <c r="J145" s="134"/>
      <c r="K145" s="135"/>
      <c r="L145" s="136">
        <f t="shared" si="12"/>
        <v>0</v>
      </c>
      <c r="M145" s="284"/>
      <c r="N145" s="285"/>
      <c r="O145" s="136">
        <f t="shared" si="13"/>
        <v>0</v>
      </c>
      <c r="P145" s="85"/>
    </row>
    <row r="146" spans="1:16" ht="24" hidden="1" x14ac:dyDescent="0.25">
      <c r="A146" s="76">
        <v>2344</v>
      </c>
      <c r="B146" s="127" t="s">
        <v>162</v>
      </c>
      <c r="C146" s="128">
        <f t="shared" si="9"/>
        <v>0</v>
      </c>
      <c r="D146" s="134"/>
      <c r="E146" s="285"/>
      <c r="F146" s="286">
        <f t="shared" si="10"/>
        <v>0</v>
      </c>
      <c r="G146" s="134"/>
      <c r="H146" s="135"/>
      <c r="I146" s="136">
        <f t="shared" si="11"/>
        <v>0</v>
      </c>
      <c r="J146" s="134"/>
      <c r="K146" s="135"/>
      <c r="L146" s="136">
        <f t="shared" si="12"/>
        <v>0</v>
      </c>
      <c r="M146" s="284"/>
      <c r="N146" s="285"/>
      <c r="O146" s="136">
        <f t="shared" si="13"/>
        <v>0</v>
      </c>
      <c r="P146" s="85"/>
    </row>
    <row r="147" spans="1:16" ht="24" x14ac:dyDescent="0.25">
      <c r="A147" s="254">
        <v>2350</v>
      </c>
      <c r="B147" s="179" t="s">
        <v>163</v>
      </c>
      <c r="C147" s="128">
        <f t="shared" si="9"/>
        <v>4720</v>
      </c>
      <c r="D147" s="255">
        <f>SUM(D148:D153)</f>
        <v>4720</v>
      </c>
      <c r="E147" s="256">
        <f>SUM(E148:E153)</f>
        <v>0</v>
      </c>
      <c r="F147" s="257">
        <f t="shared" si="10"/>
        <v>4720</v>
      </c>
      <c r="G147" s="255">
        <f>SUM(G148:G153)</f>
        <v>0</v>
      </c>
      <c r="H147" s="258">
        <f>SUM(H148:H153)</f>
        <v>0</v>
      </c>
      <c r="I147" s="259">
        <f t="shared" si="11"/>
        <v>0</v>
      </c>
      <c r="J147" s="255">
        <f>SUM(J148:J153)</f>
        <v>0</v>
      </c>
      <c r="K147" s="258">
        <f>SUM(K148:K153)</f>
        <v>0</v>
      </c>
      <c r="L147" s="259">
        <f t="shared" si="12"/>
        <v>0</v>
      </c>
      <c r="M147" s="260">
        <f>SUM(M148:M153)</f>
        <v>0</v>
      </c>
      <c r="N147" s="261">
        <f>SUM(N148:N153)</f>
        <v>0</v>
      </c>
      <c r="O147" s="259">
        <f t="shared" si="13"/>
        <v>0</v>
      </c>
      <c r="P147" s="189"/>
    </row>
    <row r="148" spans="1:16" x14ac:dyDescent="0.25">
      <c r="A148" s="66">
        <v>2351</v>
      </c>
      <c r="B148" s="116" t="s">
        <v>164</v>
      </c>
      <c r="C148" s="128">
        <f t="shared" si="9"/>
        <v>555</v>
      </c>
      <c r="D148" s="123">
        <v>555</v>
      </c>
      <c r="E148" s="295"/>
      <c r="F148" s="296">
        <f t="shared" si="10"/>
        <v>555</v>
      </c>
      <c r="G148" s="123"/>
      <c r="H148" s="124"/>
      <c r="I148" s="125">
        <f t="shared" si="11"/>
        <v>0</v>
      </c>
      <c r="J148" s="123"/>
      <c r="K148" s="124"/>
      <c r="L148" s="125">
        <f t="shared" si="12"/>
        <v>0</v>
      </c>
      <c r="M148" s="264"/>
      <c r="N148" s="262"/>
      <c r="O148" s="125">
        <f t="shared" si="13"/>
        <v>0</v>
      </c>
      <c r="P148" s="74"/>
    </row>
    <row r="149" spans="1:16" x14ac:dyDescent="0.25">
      <c r="A149" s="265">
        <v>2352</v>
      </c>
      <c r="B149" s="266" t="s">
        <v>165</v>
      </c>
      <c r="C149" s="267">
        <f t="shared" si="9"/>
        <v>4125</v>
      </c>
      <c r="D149" s="268">
        <v>4125</v>
      </c>
      <c r="E149" s="269"/>
      <c r="F149" s="270">
        <f t="shared" si="10"/>
        <v>4125</v>
      </c>
      <c r="G149" s="268"/>
      <c r="H149" s="271"/>
      <c r="I149" s="272">
        <f t="shared" si="11"/>
        <v>0</v>
      </c>
      <c r="J149" s="268"/>
      <c r="K149" s="271"/>
      <c r="L149" s="272">
        <f t="shared" si="12"/>
        <v>0</v>
      </c>
      <c r="M149" s="273"/>
      <c r="N149" s="274"/>
      <c r="O149" s="272">
        <f t="shared" si="13"/>
        <v>0</v>
      </c>
      <c r="P149" s="275"/>
    </row>
    <row r="150" spans="1:16" ht="24" hidden="1" x14ac:dyDescent="0.25">
      <c r="A150" s="76">
        <v>2353</v>
      </c>
      <c r="B150" s="127" t="s">
        <v>166</v>
      </c>
      <c r="C150" s="128">
        <f t="shared" si="9"/>
        <v>0</v>
      </c>
      <c r="D150" s="134"/>
      <c r="E150" s="285"/>
      <c r="F150" s="286">
        <f t="shared" si="10"/>
        <v>0</v>
      </c>
      <c r="G150" s="134"/>
      <c r="H150" s="135"/>
      <c r="I150" s="136">
        <f t="shared" si="11"/>
        <v>0</v>
      </c>
      <c r="J150" s="134"/>
      <c r="K150" s="135"/>
      <c r="L150" s="136">
        <f t="shared" si="12"/>
        <v>0</v>
      </c>
      <c r="M150" s="284"/>
      <c r="N150" s="285"/>
      <c r="O150" s="136">
        <f t="shared" si="13"/>
        <v>0</v>
      </c>
      <c r="P150" s="85"/>
    </row>
    <row r="151" spans="1:16" ht="24" hidden="1" x14ac:dyDescent="0.25">
      <c r="A151" s="76">
        <v>2354</v>
      </c>
      <c r="B151" s="127" t="s">
        <v>167</v>
      </c>
      <c r="C151" s="128">
        <f t="shared" si="9"/>
        <v>0</v>
      </c>
      <c r="D151" s="134"/>
      <c r="E151" s="285"/>
      <c r="F151" s="286">
        <f t="shared" si="10"/>
        <v>0</v>
      </c>
      <c r="G151" s="134"/>
      <c r="H151" s="135"/>
      <c r="I151" s="136">
        <f t="shared" si="11"/>
        <v>0</v>
      </c>
      <c r="J151" s="134"/>
      <c r="K151" s="135"/>
      <c r="L151" s="136">
        <f t="shared" si="12"/>
        <v>0</v>
      </c>
      <c r="M151" s="284"/>
      <c r="N151" s="285"/>
      <c r="O151" s="136">
        <f t="shared" si="13"/>
        <v>0</v>
      </c>
      <c r="P151" s="85"/>
    </row>
    <row r="152" spans="1:16" ht="24" x14ac:dyDescent="0.25">
      <c r="A152" s="76">
        <v>2355</v>
      </c>
      <c r="B152" s="127" t="s">
        <v>168</v>
      </c>
      <c r="C152" s="128">
        <f t="shared" si="9"/>
        <v>40</v>
      </c>
      <c r="D152" s="134">
        <v>40</v>
      </c>
      <c r="E152" s="283"/>
      <c r="F152" s="279">
        <f t="shared" si="10"/>
        <v>40</v>
      </c>
      <c r="G152" s="134"/>
      <c r="H152" s="135"/>
      <c r="I152" s="136">
        <f t="shared" si="11"/>
        <v>0</v>
      </c>
      <c r="J152" s="134"/>
      <c r="K152" s="135"/>
      <c r="L152" s="136">
        <f t="shared" si="12"/>
        <v>0</v>
      </c>
      <c r="M152" s="284"/>
      <c r="N152" s="285"/>
      <c r="O152" s="136">
        <f t="shared" si="13"/>
        <v>0</v>
      </c>
      <c r="P152" s="85"/>
    </row>
    <row r="153" spans="1:16" ht="24" hidden="1" x14ac:dyDescent="0.25">
      <c r="A153" s="76">
        <v>2359</v>
      </c>
      <c r="B153" s="127" t="s">
        <v>169</v>
      </c>
      <c r="C153" s="128">
        <f t="shared" si="9"/>
        <v>0</v>
      </c>
      <c r="D153" s="134"/>
      <c r="E153" s="285"/>
      <c r="F153" s="286">
        <f t="shared" si="10"/>
        <v>0</v>
      </c>
      <c r="G153" s="134"/>
      <c r="H153" s="135"/>
      <c r="I153" s="136">
        <f t="shared" si="11"/>
        <v>0</v>
      </c>
      <c r="J153" s="134"/>
      <c r="K153" s="135"/>
      <c r="L153" s="136">
        <f t="shared" si="12"/>
        <v>0</v>
      </c>
      <c r="M153" s="284"/>
      <c r="N153" s="285"/>
      <c r="O153" s="136">
        <f t="shared" si="13"/>
        <v>0</v>
      </c>
      <c r="P153" s="85"/>
    </row>
    <row r="154" spans="1:16" ht="24" x14ac:dyDescent="0.25">
      <c r="A154" s="276">
        <v>2360</v>
      </c>
      <c r="B154" s="127" t="s">
        <v>170</v>
      </c>
      <c r="C154" s="128">
        <f t="shared" si="9"/>
        <v>5182</v>
      </c>
      <c r="D154" s="277">
        <f>SUM(D155:D161)</f>
        <v>1009</v>
      </c>
      <c r="E154" s="278">
        <f>SUM(E155:E161)</f>
        <v>0</v>
      </c>
      <c r="F154" s="279">
        <f t="shared" si="10"/>
        <v>1009</v>
      </c>
      <c r="G154" s="277">
        <f>SUM(G155:G161)</f>
        <v>0</v>
      </c>
      <c r="H154" s="280">
        <f>SUM(H155:H161)</f>
        <v>0</v>
      </c>
      <c r="I154" s="136">
        <f t="shared" si="11"/>
        <v>0</v>
      </c>
      <c r="J154" s="277">
        <f>SUM(J155:J161)</f>
        <v>4173</v>
      </c>
      <c r="K154" s="280">
        <f>SUM(K155:K161)</f>
        <v>0</v>
      </c>
      <c r="L154" s="136">
        <f t="shared" si="12"/>
        <v>4173</v>
      </c>
      <c r="M154" s="281">
        <f>SUM(M155:M161)</f>
        <v>0</v>
      </c>
      <c r="N154" s="282">
        <f>SUM(N155:N161)</f>
        <v>0</v>
      </c>
      <c r="O154" s="136">
        <f t="shared" si="13"/>
        <v>0</v>
      </c>
      <c r="P154" s="85"/>
    </row>
    <row r="155" spans="1:16" x14ac:dyDescent="0.25">
      <c r="A155" s="75">
        <v>2361</v>
      </c>
      <c r="B155" s="127" t="s">
        <v>171</v>
      </c>
      <c r="C155" s="128">
        <f t="shared" si="9"/>
        <v>474</v>
      </c>
      <c r="D155" s="134">
        <v>474</v>
      </c>
      <c r="E155" s="283"/>
      <c r="F155" s="279">
        <f t="shared" si="10"/>
        <v>474</v>
      </c>
      <c r="G155" s="134"/>
      <c r="H155" s="135"/>
      <c r="I155" s="136">
        <f t="shared" si="11"/>
        <v>0</v>
      </c>
      <c r="J155" s="134"/>
      <c r="K155" s="135"/>
      <c r="L155" s="136">
        <f t="shared" si="12"/>
        <v>0</v>
      </c>
      <c r="M155" s="284"/>
      <c r="N155" s="285"/>
      <c r="O155" s="136">
        <f t="shared" si="13"/>
        <v>0</v>
      </c>
      <c r="P155" s="85"/>
    </row>
    <row r="156" spans="1:16" ht="24" x14ac:dyDescent="0.25">
      <c r="A156" s="75">
        <v>2362</v>
      </c>
      <c r="B156" s="127" t="s">
        <v>172</v>
      </c>
      <c r="C156" s="128">
        <f t="shared" si="9"/>
        <v>535</v>
      </c>
      <c r="D156" s="134">
        <v>535</v>
      </c>
      <c r="E156" s="283"/>
      <c r="F156" s="279">
        <f t="shared" si="10"/>
        <v>535</v>
      </c>
      <c r="G156" s="134"/>
      <c r="H156" s="135"/>
      <c r="I156" s="136">
        <f t="shared" si="11"/>
        <v>0</v>
      </c>
      <c r="J156" s="134"/>
      <c r="K156" s="135"/>
      <c r="L156" s="136">
        <f t="shared" si="12"/>
        <v>0</v>
      </c>
      <c r="M156" s="284"/>
      <c r="N156" s="285"/>
      <c r="O156" s="136">
        <f t="shared" si="13"/>
        <v>0</v>
      </c>
      <c r="P156" s="85"/>
    </row>
    <row r="157" spans="1:16" x14ac:dyDescent="0.25">
      <c r="A157" s="75">
        <v>2363</v>
      </c>
      <c r="B157" s="127" t="s">
        <v>173</v>
      </c>
      <c r="C157" s="128">
        <f t="shared" si="9"/>
        <v>4173</v>
      </c>
      <c r="D157" s="134"/>
      <c r="E157" s="283"/>
      <c r="F157" s="279">
        <f t="shared" si="10"/>
        <v>0</v>
      </c>
      <c r="G157" s="134"/>
      <c r="H157" s="135"/>
      <c r="I157" s="136">
        <f t="shared" si="11"/>
        <v>0</v>
      </c>
      <c r="J157" s="953">
        <v>4173</v>
      </c>
      <c r="K157" s="135"/>
      <c r="L157" s="136">
        <f t="shared" si="12"/>
        <v>4173</v>
      </c>
      <c r="M157" s="284"/>
      <c r="N157" s="285"/>
      <c r="O157" s="136">
        <f t="shared" si="13"/>
        <v>0</v>
      </c>
      <c r="P157" s="275"/>
    </row>
    <row r="158" spans="1:16" hidden="1" x14ac:dyDescent="0.25">
      <c r="A158" s="75">
        <v>2364</v>
      </c>
      <c r="B158" s="127" t="s">
        <v>174</v>
      </c>
      <c r="C158" s="128">
        <f t="shared" si="9"/>
        <v>0</v>
      </c>
      <c r="D158" s="134"/>
      <c r="E158" s="285"/>
      <c r="F158" s="286">
        <f t="shared" si="10"/>
        <v>0</v>
      </c>
      <c r="G158" s="134"/>
      <c r="H158" s="135"/>
      <c r="I158" s="136">
        <f t="shared" si="11"/>
        <v>0</v>
      </c>
      <c r="J158" s="134"/>
      <c r="K158" s="135"/>
      <c r="L158" s="136">
        <f t="shared" si="12"/>
        <v>0</v>
      </c>
      <c r="M158" s="284"/>
      <c r="N158" s="285"/>
      <c r="O158" s="136">
        <f t="shared" si="13"/>
        <v>0</v>
      </c>
      <c r="P158" s="85"/>
    </row>
    <row r="159" spans="1:16" hidden="1" x14ac:dyDescent="0.25">
      <c r="A159" s="75">
        <v>2365</v>
      </c>
      <c r="B159" s="127" t="s">
        <v>175</v>
      </c>
      <c r="C159" s="128">
        <f t="shared" si="9"/>
        <v>0</v>
      </c>
      <c r="D159" s="134"/>
      <c r="E159" s="285"/>
      <c r="F159" s="286">
        <f t="shared" si="10"/>
        <v>0</v>
      </c>
      <c r="G159" s="134"/>
      <c r="H159" s="135"/>
      <c r="I159" s="136">
        <f t="shared" si="11"/>
        <v>0</v>
      </c>
      <c r="J159" s="134"/>
      <c r="K159" s="135"/>
      <c r="L159" s="136">
        <f t="shared" si="12"/>
        <v>0</v>
      </c>
      <c r="M159" s="284"/>
      <c r="N159" s="285"/>
      <c r="O159" s="136">
        <f t="shared" si="13"/>
        <v>0</v>
      </c>
      <c r="P159" s="85"/>
    </row>
    <row r="160" spans="1:16" ht="36" hidden="1" x14ac:dyDescent="0.25">
      <c r="A160" s="75">
        <v>2366</v>
      </c>
      <c r="B160" s="127" t="s">
        <v>176</v>
      </c>
      <c r="C160" s="128">
        <f t="shared" si="9"/>
        <v>0</v>
      </c>
      <c r="D160" s="134"/>
      <c r="E160" s="285"/>
      <c r="F160" s="286">
        <f t="shared" si="10"/>
        <v>0</v>
      </c>
      <c r="G160" s="134"/>
      <c r="H160" s="135"/>
      <c r="I160" s="136">
        <f t="shared" si="11"/>
        <v>0</v>
      </c>
      <c r="J160" s="134"/>
      <c r="K160" s="135"/>
      <c r="L160" s="136">
        <f t="shared" si="12"/>
        <v>0</v>
      </c>
      <c r="M160" s="284"/>
      <c r="N160" s="285"/>
      <c r="O160" s="136">
        <f t="shared" si="13"/>
        <v>0</v>
      </c>
      <c r="P160" s="85"/>
    </row>
    <row r="161" spans="1:16" ht="48" hidden="1" x14ac:dyDescent="0.25">
      <c r="A161" s="75">
        <v>2369</v>
      </c>
      <c r="B161" s="127" t="s">
        <v>177</v>
      </c>
      <c r="C161" s="128">
        <f t="shared" si="9"/>
        <v>0</v>
      </c>
      <c r="D161" s="134"/>
      <c r="E161" s="285"/>
      <c r="F161" s="286">
        <f t="shared" si="10"/>
        <v>0</v>
      </c>
      <c r="G161" s="134"/>
      <c r="H161" s="135"/>
      <c r="I161" s="136">
        <f t="shared" si="11"/>
        <v>0</v>
      </c>
      <c r="J161" s="134"/>
      <c r="K161" s="135"/>
      <c r="L161" s="136">
        <f t="shared" si="12"/>
        <v>0</v>
      </c>
      <c r="M161" s="284"/>
      <c r="N161" s="285"/>
      <c r="O161" s="136">
        <f t="shared" si="13"/>
        <v>0</v>
      </c>
      <c r="P161" s="85"/>
    </row>
    <row r="162" spans="1:16" x14ac:dyDescent="0.25">
      <c r="A162" s="254">
        <v>2370</v>
      </c>
      <c r="B162" s="179" t="s">
        <v>178</v>
      </c>
      <c r="C162" s="128">
        <f t="shared" si="9"/>
        <v>2003</v>
      </c>
      <c r="D162" s="287">
        <v>808</v>
      </c>
      <c r="E162" s="288"/>
      <c r="F162" s="257">
        <f t="shared" si="10"/>
        <v>808</v>
      </c>
      <c r="G162" s="287">
        <v>1195</v>
      </c>
      <c r="H162" s="289"/>
      <c r="I162" s="259">
        <f t="shared" si="11"/>
        <v>1195</v>
      </c>
      <c r="J162" s="287"/>
      <c r="K162" s="289"/>
      <c r="L162" s="259">
        <f t="shared" si="12"/>
        <v>0</v>
      </c>
      <c r="M162" s="290"/>
      <c r="N162" s="291"/>
      <c r="O162" s="259">
        <f t="shared" si="13"/>
        <v>0</v>
      </c>
      <c r="P162" s="189"/>
    </row>
    <row r="163" spans="1:16" hidden="1" x14ac:dyDescent="0.25">
      <c r="A163" s="254">
        <v>2380</v>
      </c>
      <c r="B163" s="179" t="s">
        <v>179</v>
      </c>
      <c r="C163" s="128">
        <f t="shared" si="9"/>
        <v>0</v>
      </c>
      <c r="D163" s="255">
        <f>SUM(D164:D165)</f>
        <v>0</v>
      </c>
      <c r="E163" s="261">
        <f>SUM(E164:E165)</f>
        <v>0</v>
      </c>
      <c r="F163" s="310">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row>
    <row r="164" spans="1:16" hidden="1" x14ac:dyDescent="0.25">
      <c r="A164" s="65">
        <v>2381</v>
      </c>
      <c r="B164" s="116" t="s">
        <v>180</v>
      </c>
      <c r="C164" s="128">
        <f t="shared" si="9"/>
        <v>0</v>
      </c>
      <c r="D164" s="123"/>
      <c r="E164" s="262"/>
      <c r="F164" s="263">
        <f t="shared" si="10"/>
        <v>0</v>
      </c>
      <c r="G164" s="123"/>
      <c r="H164" s="124"/>
      <c r="I164" s="125">
        <f t="shared" si="11"/>
        <v>0</v>
      </c>
      <c r="J164" s="123"/>
      <c r="K164" s="124"/>
      <c r="L164" s="125">
        <f t="shared" si="12"/>
        <v>0</v>
      </c>
      <c r="M164" s="264"/>
      <c r="N164" s="262"/>
      <c r="O164" s="125">
        <f t="shared" si="13"/>
        <v>0</v>
      </c>
      <c r="P164" s="74"/>
    </row>
    <row r="165" spans="1:16" ht="24" hidden="1" x14ac:dyDescent="0.25">
      <c r="A165" s="75">
        <v>2389</v>
      </c>
      <c r="B165" s="127" t="s">
        <v>181</v>
      </c>
      <c r="C165" s="128">
        <f t="shared" si="9"/>
        <v>0</v>
      </c>
      <c r="D165" s="134"/>
      <c r="E165" s="285"/>
      <c r="F165" s="286">
        <f t="shared" si="10"/>
        <v>0</v>
      </c>
      <c r="G165" s="134"/>
      <c r="H165" s="135"/>
      <c r="I165" s="136">
        <f t="shared" si="11"/>
        <v>0</v>
      </c>
      <c r="J165" s="134"/>
      <c r="K165" s="135"/>
      <c r="L165" s="136">
        <f t="shared" si="12"/>
        <v>0</v>
      </c>
      <c r="M165" s="284"/>
      <c r="N165" s="285"/>
      <c r="O165" s="136">
        <f t="shared" si="13"/>
        <v>0</v>
      </c>
      <c r="P165" s="85"/>
    </row>
    <row r="166" spans="1:16" hidden="1" x14ac:dyDescent="0.25">
      <c r="A166" s="254">
        <v>2390</v>
      </c>
      <c r="B166" s="179" t="s">
        <v>182</v>
      </c>
      <c r="C166" s="128">
        <f t="shared" si="9"/>
        <v>0</v>
      </c>
      <c r="D166" s="287"/>
      <c r="E166" s="291"/>
      <c r="F166" s="310">
        <f t="shared" si="10"/>
        <v>0</v>
      </c>
      <c r="G166" s="287"/>
      <c r="H166" s="289"/>
      <c r="I166" s="259">
        <f t="shared" si="11"/>
        <v>0</v>
      </c>
      <c r="J166" s="287"/>
      <c r="K166" s="289"/>
      <c r="L166" s="259">
        <f t="shared" si="12"/>
        <v>0</v>
      </c>
      <c r="M166" s="290"/>
      <c r="N166" s="291"/>
      <c r="O166" s="259">
        <f t="shared" si="13"/>
        <v>0</v>
      </c>
      <c r="P166" s="189"/>
    </row>
    <row r="167" spans="1:16" hidden="1" x14ac:dyDescent="0.25">
      <c r="A167" s="99">
        <v>2400</v>
      </c>
      <c r="B167" s="247" t="s">
        <v>183</v>
      </c>
      <c r="C167" s="100">
        <f t="shared" si="9"/>
        <v>0</v>
      </c>
      <c r="D167" s="311"/>
      <c r="E167" s="312"/>
      <c r="F167" s="313">
        <f t="shared" si="10"/>
        <v>0</v>
      </c>
      <c r="G167" s="311"/>
      <c r="H167" s="314"/>
      <c r="I167" s="114">
        <f t="shared" si="11"/>
        <v>0</v>
      </c>
      <c r="J167" s="311"/>
      <c r="K167" s="314"/>
      <c r="L167" s="114">
        <f t="shared" si="12"/>
        <v>0</v>
      </c>
      <c r="M167" s="315"/>
      <c r="N167" s="312"/>
      <c r="O167" s="114">
        <f t="shared" si="13"/>
        <v>0</v>
      </c>
      <c r="P167" s="109"/>
    </row>
    <row r="168" spans="1:16" ht="24" x14ac:dyDescent="0.25">
      <c r="A168" s="99">
        <v>2500</v>
      </c>
      <c r="B168" s="247" t="s">
        <v>184</v>
      </c>
      <c r="C168" s="100">
        <f t="shared" si="9"/>
        <v>183</v>
      </c>
      <c r="D168" s="112">
        <f>SUM(D169,D174)</f>
        <v>183</v>
      </c>
      <c r="E168" s="248">
        <f>SUM(E169,E174)</f>
        <v>0</v>
      </c>
      <c r="F168" s="249">
        <f t="shared" si="10"/>
        <v>183</v>
      </c>
      <c r="G168" s="112">
        <f>SUM(G169,G174)</f>
        <v>0</v>
      </c>
      <c r="H168" s="113">
        <f t="shared" ref="H168" si="17">SUM(H169,H174)</f>
        <v>0</v>
      </c>
      <c r="I168" s="114">
        <f t="shared" si="11"/>
        <v>0</v>
      </c>
      <c r="J168" s="112">
        <f>SUM(J169,J174)</f>
        <v>0</v>
      </c>
      <c r="K168" s="113">
        <f t="shared" ref="K168" si="18">SUM(K169,K174)</f>
        <v>0</v>
      </c>
      <c r="L168" s="114">
        <f t="shared" si="12"/>
        <v>0</v>
      </c>
      <c r="M168" s="250">
        <f t="shared" ref="M168:N168" si="19">SUM(M169,M174)</f>
        <v>0</v>
      </c>
      <c r="N168" s="251">
        <f t="shared" si="19"/>
        <v>0</v>
      </c>
      <c r="O168" s="252">
        <f t="shared" si="13"/>
        <v>0</v>
      </c>
      <c r="P168" s="253"/>
    </row>
    <row r="169" spans="1:16" x14ac:dyDescent="0.25">
      <c r="A169" s="656">
        <v>2510</v>
      </c>
      <c r="B169" s="116" t="s">
        <v>185</v>
      </c>
      <c r="C169" s="117">
        <f t="shared" si="9"/>
        <v>183</v>
      </c>
      <c r="D169" s="297">
        <f>SUM(D170:D173)</f>
        <v>183</v>
      </c>
      <c r="E169" s="298">
        <f>SUM(E170:E173)</f>
        <v>0</v>
      </c>
      <c r="F169" s="296">
        <f t="shared" si="10"/>
        <v>183</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row>
    <row r="170" spans="1:16" ht="24" hidden="1" x14ac:dyDescent="0.25">
      <c r="A170" s="76">
        <v>2512</v>
      </c>
      <c r="B170" s="127" t="s">
        <v>186</v>
      </c>
      <c r="C170" s="128">
        <f t="shared" si="9"/>
        <v>0</v>
      </c>
      <c r="D170" s="134"/>
      <c r="E170" s="285"/>
      <c r="F170" s="286">
        <f t="shared" si="10"/>
        <v>0</v>
      </c>
      <c r="G170" s="134"/>
      <c r="H170" s="135"/>
      <c r="I170" s="136">
        <f t="shared" si="11"/>
        <v>0</v>
      </c>
      <c r="J170" s="134"/>
      <c r="K170" s="135"/>
      <c r="L170" s="136">
        <f t="shared" si="12"/>
        <v>0</v>
      </c>
      <c r="M170" s="284"/>
      <c r="N170" s="285"/>
      <c r="O170" s="136">
        <f t="shared" si="13"/>
        <v>0</v>
      </c>
      <c r="P170" s="85"/>
    </row>
    <row r="171" spans="1:16" ht="36" x14ac:dyDescent="0.25">
      <c r="A171" s="76">
        <v>2513</v>
      </c>
      <c r="B171" s="127" t="s">
        <v>187</v>
      </c>
      <c r="C171" s="128">
        <f t="shared" si="9"/>
        <v>183</v>
      </c>
      <c r="D171" s="134">
        <v>183</v>
      </c>
      <c r="E171" s="283"/>
      <c r="F171" s="279">
        <f t="shared" si="10"/>
        <v>183</v>
      </c>
      <c r="G171" s="134"/>
      <c r="H171" s="135"/>
      <c r="I171" s="136">
        <f t="shared" si="11"/>
        <v>0</v>
      </c>
      <c r="J171" s="134"/>
      <c r="K171" s="135"/>
      <c r="L171" s="136">
        <f t="shared" si="12"/>
        <v>0</v>
      </c>
      <c r="M171" s="284"/>
      <c r="N171" s="285"/>
      <c r="O171" s="136">
        <f t="shared" si="13"/>
        <v>0</v>
      </c>
      <c r="P171" s="85"/>
    </row>
    <row r="172" spans="1:16" ht="24" hidden="1" x14ac:dyDescent="0.25">
      <c r="A172" s="76">
        <v>2515</v>
      </c>
      <c r="B172" s="127" t="s">
        <v>188</v>
      </c>
      <c r="C172" s="128">
        <f t="shared" si="9"/>
        <v>0</v>
      </c>
      <c r="D172" s="134"/>
      <c r="E172" s="285"/>
      <c r="F172" s="286">
        <f t="shared" si="10"/>
        <v>0</v>
      </c>
      <c r="G172" s="134"/>
      <c r="H172" s="135"/>
      <c r="I172" s="136">
        <f t="shared" si="11"/>
        <v>0</v>
      </c>
      <c r="J172" s="134"/>
      <c r="K172" s="135"/>
      <c r="L172" s="136">
        <f t="shared" si="12"/>
        <v>0</v>
      </c>
      <c r="M172" s="284"/>
      <c r="N172" s="285"/>
      <c r="O172" s="136">
        <f t="shared" si="13"/>
        <v>0</v>
      </c>
      <c r="P172" s="85"/>
    </row>
    <row r="173" spans="1:16" ht="24" hidden="1" x14ac:dyDescent="0.25">
      <c r="A173" s="76">
        <v>2519</v>
      </c>
      <c r="B173" s="127" t="s">
        <v>189</v>
      </c>
      <c r="C173" s="128">
        <f t="shared" si="9"/>
        <v>0</v>
      </c>
      <c r="D173" s="134"/>
      <c r="E173" s="285"/>
      <c r="F173" s="286">
        <f t="shared" si="10"/>
        <v>0</v>
      </c>
      <c r="G173" s="134"/>
      <c r="H173" s="135"/>
      <c r="I173" s="136">
        <f t="shared" si="11"/>
        <v>0</v>
      </c>
      <c r="J173" s="134"/>
      <c r="K173" s="135"/>
      <c r="L173" s="136">
        <f t="shared" si="12"/>
        <v>0</v>
      </c>
      <c r="M173" s="284"/>
      <c r="N173" s="285"/>
      <c r="O173" s="136">
        <f t="shared" si="13"/>
        <v>0</v>
      </c>
      <c r="P173" s="85"/>
    </row>
    <row r="174" spans="1:16" hidden="1" x14ac:dyDescent="0.25">
      <c r="A174" s="276">
        <v>2520</v>
      </c>
      <c r="B174" s="127" t="s">
        <v>190</v>
      </c>
      <c r="C174" s="128">
        <f t="shared" si="9"/>
        <v>0</v>
      </c>
      <c r="D174" s="134"/>
      <c r="E174" s="285"/>
      <c r="F174" s="286">
        <f t="shared" si="10"/>
        <v>0</v>
      </c>
      <c r="G174" s="134"/>
      <c r="H174" s="135"/>
      <c r="I174" s="136">
        <f t="shared" si="11"/>
        <v>0</v>
      </c>
      <c r="J174" s="134"/>
      <c r="K174" s="135"/>
      <c r="L174" s="136">
        <f t="shared" si="12"/>
        <v>0</v>
      </c>
      <c r="M174" s="284"/>
      <c r="N174" s="285"/>
      <c r="O174" s="136">
        <f t="shared" si="13"/>
        <v>0</v>
      </c>
      <c r="P174" s="85"/>
    </row>
    <row r="175" spans="1:16" s="319" customFormat="1" ht="36" hidden="1" x14ac:dyDescent="0.25">
      <c r="A175" s="31">
        <v>2800</v>
      </c>
      <c r="B175" s="116" t="s">
        <v>191</v>
      </c>
      <c r="C175" s="117">
        <f t="shared" si="9"/>
        <v>0</v>
      </c>
      <c r="D175" s="68"/>
      <c r="E175" s="69"/>
      <c r="F175" s="70">
        <f t="shared" si="10"/>
        <v>0</v>
      </c>
      <c r="G175" s="68"/>
      <c r="H175" s="71"/>
      <c r="I175" s="72">
        <f t="shared" si="11"/>
        <v>0</v>
      </c>
      <c r="J175" s="68"/>
      <c r="K175" s="71"/>
      <c r="L175" s="72">
        <f t="shared" si="12"/>
        <v>0</v>
      </c>
      <c r="M175" s="73"/>
      <c r="N175" s="69"/>
      <c r="O175" s="72">
        <f t="shared" si="13"/>
        <v>0</v>
      </c>
      <c r="P175" s="74"/>
    </row>
    <row r="176" spans="1:16" hidden="1" x14ac:dyDescent="0.25">
      <c r="A176" s="237">
        <v>3000</v>
      </c>
      <c r="B176" s="237" t="s">
        <v>192</v>
      </c>
      <c r="C176" s="238">
        <f t="shared" si="9"/>
        <v>0</v>
      </c>
      <c r="D176" s="239">
        <f>SUM(D177,D187)</f>
        <v>0</v>
      </c>
      <c r="E176" s="245">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row>
    <row r="177" spans="1:16" ht="24" hidden="1" x14ac:dyDescent="0.25">
      <c r="A177" s="99">
        <v>3200</v>
      </c>
      <c r="B177" s="321" t="s">
        <v>193</v>
      </c>
      <c r="C177" s="100">
        <f t="shared" si="9"/>
        <v>0</v>
      </c>
      <c r="D177" s="112">
        <f>SUM(D178,D182)</f>
        <v>0</v>
      </c>
      <c r="E177" s="293">
        <f>SUM(E178,E182)</f>
        <v>0</v>
      </c>
      <c r="F177" s="313">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row>
    <row r="178" spans="1:16" ht="36" hidden="1" x14ac:dyDescent="0.25">
      <c r="A178" s="656">
        <v>3260</v>
      </c>
      <c r="B178" s="116" t="s">
        <v>194</v>
      </c>
      <c r="C178" s="117">
        <f t="shared" si="9"/>
        <v>0</v>
      </c>
      <c r="D178" s="297">
        <f>SUM(D179:D181)</f>
        <v>0</v>
      </c>
      <c r="E178" s="301">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row>
    <row r="179" spans="1:16" ht="24" hidden="1" x14ac:dyDescent="0.25">
      <c r="A179" s="76">
        <v>3261</v>
      </c>
      <c r="B179" s="127" t="s">
        <v>195</v>
      </c>
      <c r="C179" s="128">
        <f t="shared" si="9"/>
        <v>0</v>
      </c>
      <c r="D179" s="134"/>
      <c r="E179" s="285"/>
      <c r="F179" s="286">
        <f t="shared" si="10"/>
        <v>0</v>
      </c>
      <c r="G179" s="134"/>
      <c r="H179" s="135"/>
      <c r="I179" s="136">
        <f t="shared" si="11"/>
        <v>0</v>
      </c>
      <c r="J179" s="134"/>
      <c r="K179" s="135"/>
      <c r="L179" s="136">
        <f t="shared" si="12"/>
        <v>0</v>
      </c>
      <c r="M179" s="284"/>
      <c r="N179" s="285"/>
      <c r="O179" s="136">
        <f t="shared" si="13"/>
        <v>0</v>
      </c>
      <c r="P179" s="85"/>
    </row>
    <row r="180" spans="1:16" ht="36" hidden="1" x14ac:dyDescent="0.25">
      <c r="A180" s="76">
        <v>3262</v>
      </c>
      <c r="B180" s="127" t="s">
        <v>196</v>
      </c>
      <c r="C180" s="128">
        <f t="shared" si="9"/>
        <v>0</v>
      </c>
      <c r="D180" s="134"/>
      <c r="E180" s="285"/>
      <c r="F180" s="286">
        <f t="shared" si="10"/>
        <v>0</v>
      </c>
      <c r="G180" s="134"/>
      <c r="H180" s="135"/>
      <c r="I180" s="136">
        <f t="shared" si="11"/>
        <v>0</v>
      </c>
      <c r="J180" s="134"/>
      <c r="K180" s="135"/>
      <c r="L180" s="136">
        <f t="shared" si="12"/>
        <v>0</v>
      </c>
      <c r="M180" s="284"/>
      <c r="N180" s="285"/>
      <c r="O180" s="136">
        <f t="shared" si="13"/>
        <v>0</v>
      </c>
      <c r="P180" s="85"/>
    </row>
    <row r="181" spans="1:16" ht="24" hidden="1" x14ac:dyDescent="0.25">
      <c r="A181" s="76">
        <v>3263</v>
      </c>
      <c r="B181" s="127" t="s">
        <v>197</v>
      </c>
      <c r="C181" s="128">
        <f t="shared" si="9"/>
        <v>0</v>
      </c>
      <c r="D181" s="134"/>
      <c r="E181" s="285"/>
      <c r="F181" s="286">
        <f t="shared" si="10"/>
        <v>0</v>
      </c>
      <c r="G181" s="134"/>
      <c r="H181" s="135"/>
      <c r="I181" s="136">
        <f t="shared" si="11"/>
        <v>0</v>
      </c>
      <c r="J181" s="134"/>
      <c r="K181" s="135"/>
      <c r="L181" s="136">
        <f t="shared" si="12"/>
        <v>0</v>
      </c>
      <c r="M181" s="284"/>
      <c r="N181" s="285"/>
      <c r="O181" s="136">
        <f t="shared" si="13"/>
        <v>0</v>
      </c>
      <c r="P181" s="85"/>
    </row>
    <row r="182" spans="1:16" ht="84" hidden="1" x14ac:dyDescent="0.25">
      <c r="A182" s="656">
        <v>3290</v>
      </c>
      <c r="B182" s="116" t="s">
        <v>198</v>
      </c>
      <c r="C182" s="128">
        <f t="shared" ref="C182:C258" si="26">F182+I182+L182+O182</f>
        <v>0</v>
      </c>
      <c r="D182" s="297">
        <f>SUM(D183:D186)</f>
        <v>0</v>
      </c>
      <c r="E182" s="301">
        <f>SUM(E183:E186)</f>
        <v>0</v>
      </c>
      <c r="F182" s="263">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row>
    <row r="183" spans="1:16" ht="60" hidden="1" x14ac:dyDescent="0.25">
      <c r="A183" s="76">
        <v>3291</v>
      </c>
      <c r="B183" s="127" t="s">
        <v>199</v>
      </c>
      <c r="C183" s="128">
        <f t="shared" si="26"/>
        <v>0</v>
      </c>
      <c r="D183" s="134"/>
      <c r="E183" s="285"/>
      <c r="F183" s="286">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row>
    <row r="184" spans="1:16" ht="72" hidden="1" x14ac:dyDescent="0.25">
      <c r="A184" s="76">
        <v>3292</v>
      </c>
      <c r="B184" s="127" t="s">
        <v>200</v>
      </c>
      <c r="C184" s="128">
        <f t="shared" si="26"/>
        <v>0</v>
      </c>
      <c r="D184" s="134"/>
      <c r="E184" s="285"/>
      <c r="F184" s="286">
        <f t="shared" si="30"/>
        <v>0</v>
      </c>
      <c r="G184" s="134"/>
      <c r="H184" s="135"/>
      <c r="I184" s="136">
        <f t="shared" si="31"/>
        <v>0</v>
      </c>
      <c r="J184" s="134"/>
      <c r="K184" s="135"/>
      <c r="L184" s="136">
        <f t="shared" si="32"/>
        <v>0</v>
      </c>
      <c r="M184" s="284"/>
      <c r="N184" s="285"/>
      <c r="O184" s="136">
        <f t="shared" si="33"/>
        <v>0</v>
      </c>
      <c r="P184" s="85"/>
    </row>
    <row r="185" spans="1:16" ht="60" hidden="1" x14ac:dyDescent="0.25">
      <c r="A185" s="76">
        <v>3293</v>
      </c>
      <c r="B185" s="127" t="s">
        <v>201</v>
      </c>
      <c r="C185" s="128">
        <f t="shared" si="26"/>
        <v>0</v>
      </c>
      <c r="D185" s="134"/>
      <c r="E185" s="285"/>
      <c r="F185" s="286">
        <f t="shared" si="30"/>
        <v>0</v>
      </c>
      <c r="G185" s="134"/>
      <c r="H185" s="135"/>
      <c r="I185" s="136">
        <f t="shared" si="31"/>
        <v>0</v>
      </c>
      <c r="J185" s="134"/>
      <c r="K185" s="135"/>
      <c r="L185" s="136">
        <f t="shared" si="32"/>
        <v>0</v>
      </c>
      <c r="M185" s="284"/>
      <c r="N185" s="285"/>
      <c r="O185" s="136">
        <f t="shared" si="33"/>
        <v>0</v>
      </c>
      <c r="P185" s="85"/>
    </row>
    <row r="186" spans="1:16" ht="60" hidden="1" x14ac:dyDescent="0.25">
      <c r="A186" s="326">
        <v>3294</v>
      </c>
      <c r="B186" s="127" t="s">
        <v>202</v>
      </c>
      <c r="C186" s="327">
        <f t="shared" si="26"/>
        <v>0</v>
      </c>
      <c r="D186" s="328"/>
      <c r="E186" s="329"/>
      <c r="F186" s="330">
        <f t="shared" si="30"/>
        <v>0</v>
      </c>
      <c r="G186" s="328"/>
      <c r="H186" s="331"/>
      <c r="I186" s="324">
        <f t="shared" si="31"/>
        <v>0</v>
      </c>
      <c r="J186" s="328"/>
      <c r="K186" s="331"/>
      <c r="L186" s="324">
        <f t="shared" si="32"/>
        <v>0</v>
      </c>
      <c r="M186" s="332"/>
      <c r="N186" s="329"/>
      <c r="O186" s="324">
        <f t="shared" si="33"/>
        <v>0</v>
      </c>
      <c r="P186" s="325"/>
    </row>
    <row r="187" spans="1:16" ht="48" hidden="1" x14ac:dyDescent="0.25">
      <c r="A187" s="160">
        <v>3300</v>
      </c>
      <c r="B187" s="321" t="s">
        <v>203</v>
      </c>
      <c r="C187" s="333">
        <f t="shared" si="26"/>
        <v>0</v>
      </c>
      <c r="D187" s="334">
        <f>SUM(D188:D189)</f>
        <v>0</v>
      </c>
      <c r="E187" s="251">
        <f>SUM(E188:E189)</f>
        <v>0</v>
      </c>
      <c r="F187" s="335">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row>
    <row r="188" spans="1:16" ht="48" hidden="1" x14ac:dyDescent="0.25">
      <c r="A188" s="178">
        <v>3310</v>
      </c>
      <c r="B188" s="179" t="s">
        <v>204</v>
      </c>
      <c r="C188" s="191">
        <f t="shared" si="26"/>
        <v>0</v>
      </c>
      <c r="D188" s="287"/>
      <c r="E188" s="291"/>
      <c r="F188" s="310">
        <f t="shared" si="30"/>
        <v>0</v>
      </c>
      <c r="G188" s="287"/>
      <c r="H188" s="289"/>
      <c r="I188" s="259">
        <f t="shared" si="31"/>
        <v>0</v>
      </c>
      <c r="J188" s="287"/>
      <c r="K188" s="289"/>
      <c r="L188" s="259">
        <f t="shared" si="32"/>
        <v>0</v>
      </c>
      <c r="M188" s="290"/>
      <c r="N188" s="291"/>
      <c r="O188" s="259">
        <f t="shared" si="33"/>
        <v>0</v>
      </c>
      <c r="P188" s="189"/>
    </row>
    <row r="189" spans="1:16" ht="48" hidden="1" x14ac:dyDescent="0.25">
      <c r="A189" s="66">
        <v>3320</v>
      </c>
      <c r="B189" s="116" t="s">
        <v>205</v>
      </c>
      <c r="C189" s="117">
        <f t="shared" si="26"/>
        <v>0</v>
      </c>
      <c r="D189" s="123"/>
      <c r="E189" s="262"/>
      <c r="F189" s="263">
        <f t="shared" si="30"/>
        <v>0</v>
      </c>
      <c r="G189" s="123"/>
      <c r="H189" s="124"/>
      <c r="I189" s="125">
        <f t="shared" si="31"/>
        <v>0</v>
      </c>
      <c r="J189" s="123"/>
      <c r="K189" s="124"/>
      <c r="L189" s="125">
        <f t="shared" si="32"/>
        <v>0</v>
      </c>
      <c r="M189" s="264"/>
      <c r="N189" s="262"/>
      <c r="O189" s="125">
        <f t="shared" si="33"/>
        <v>0</v>
      </c>
      <c r="P189" s="74"/>
    </row>
    <row r="190" spans="1:16" hidden="1" x14ac:dyDescent="0.25">
      <c r="A190" s="337">
        <v>4000</v>
      </c>
      <c r="B190" s="237" t="s">
        <v>206</v>
      </c>
      <c r="C190" s="238">
        <f t="shared" si="26"/>
        <v>0</v>
      </c>
      <c r="D190" s="239">
        <f>SUM(D191,D194)</f>
        <v>0</v>
      </c>
      <c r="E190" s="245">
        <f>SUM(E191,E194)</f>
        <v>0</v>
      </c>
      <c r="F190" s="320">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row>
    <row r="191" spans="1:16" ht="24" hidden="1" x14ac:dyDescent="0.25">
      <c r="A191" s="338">
        <v>4200</v>
      </c>
      <c r="B191" s="247" t="s">
        <v>207</v>
      </c>
      <c r="C191" s="100">
        <f t="shared" si="26"/>
        <v>0</v>
      </c>
      <c r="D191" s="112">
        <f>SUM(D192,D193)</f>
        <v>0</v>
      </c>
      <c r="E191" s="293">
        <f>SUM(E192,E193)</f>
        <v>0</v>
      </c>
      <c r="F191" s="313">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row>
    <row r="192" spans="1:16" ht="36" hidden="1" x14ac:dyDescent="0.25">
      <c r="A192" s="656">
        <v>4240</v>
      </c>
      <c r="B192" s="116" t="s">
        <v>208</v>
      </c>
      <c r="C192" s="117">
        <f t="shared" si="26"/>
        <v>0</v>
      </c>
      <c r="D192" s="123"/>
      <c r="E192" s="262"/>
      <c r="F192" s="263">
        <f t="shared" si="30"/>
        <v>0</v>
      </c>
      <c r="G192" s="123"/>
      <c r="H192" s="124"/>
      <c r="I192" s="125">
        <f t="shared" si="31"/>
        <v>0</v>
      </c>
      <c r="J192" s="123"/>
      <c r="K192" s="124"/>
      <c r="L192" s="125">
        <f t="shared" si="32"/>
        <v>0</v>
      </c>
      <c r="M192" s="264"/>
      <c r="N192" s="262"/>
      <c r="O192" s="125">
        <f t="shared" si="33"/>
        <v>0</v>
      </c>
      <c r="P192" s="74"/>
    </row>
    <row r="193" spans="1:16" ht="24" hidden="1" x14ac:dyDescent="0.25">
      <c r="A193" s="276">
        <v>4250</v>
      </c>
      <c r="B193" s="127" t="s">
        <v>209</v>
      </c>
      <c r="C193" s="128">
        <f t="shared" si="26"/>
        <v>0</v>
      </c>
      <c r="D193" s="134"/>
      <c r="E193" s="285"/>
      <c r="F193" s="286">
        <f t="shared" si="30"/>
        <v>0</v>
      </c>
      <c r="G193" s="134"/>
      <c r="H193" s="135"/>
      <c r="I193" s="136">
        <f t="shared" si="31"/>
        <v>0</v>
      </c>
      <c r="J193" s="134"/>
      <c r="K193" s="135"/>
      <c r="L193" s="136">
        <f t="shared" si="32"/>
        <v>0</v>
      </c>
      <c r="M193" s="284"/>
      <c r="N193" s="285"/>
      <c r="O193" s="136">
        <f t="shared" si="33"/>
        <v>0</v>
      </c>
      <c r="P193" s="85"/>
    </row>
    <row r="194" spans="1:16" hidden="1" x14ac:dyDescent="0.25">
      <c r="A194" s="99">
        <v>4300</v>
      </c>
      <c r="B194" s="247" t="s">
        <v>210</v>
      </c>
      <c r="C194" s="100">
        <f t="shared" si="26"/>
        <v>0</v>
      </c>
      <c r="D194" s="112">
        <f>SUM(D195)</f>
        <v>0</v>
      </c>
      <c r="E194" s="293">
        <f>SUM(E195)</f>
        <v>0</v>
      </c>
      <c r="F194" s="313">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row>
    <row r="195" spans="1:16" ht="24" hidden="1" x14ac:dyDescent="0.25">
      <c r="A195" s="656">
        <v>4310</v>
      </c>
      <c r="B195" s="116" t="s">
        <v>211</v>
      </c>
      <c r="C195" s="117">
        <f t="shared" si="26"/>
        <v>0</v>
      </c>
      <c r="D195" s="297">
        <f>SUM(D196:D196)</f>
        <v>0</v>
      </c>
      <c r="E195" s="301">
        <f>SUM(E196:E196)</f>
        <v>0</v>
      </c>
      <c r="F195" s="263">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row>
    <row r="196" spans="1:16" ht="36" hidden="1" x14ac:dyDescent="0.25">
      <c r="A196" s="76">
        <v>4311</v>
      </c>
      <c r="B196" s="127" t="s">
        <v>212</v>
      </c>
      <c r="C196" s="128">
        <f t="shared" si="26"/>
        <v>0</v>
      </c>
      <c r="D196" s="134"/>
      <c r="E196" s="285"/>
      <c r="F196" s="286">
        <f t="shared" si="30"/>
        <v>0</v>
      </c>
      <c r="G196" s="134"/>
      <c r="H196" s="135"/>
      <c r="I196" s="136">
        <f t="shared" si="31"/>
        <v>0</v>
      </c>
      <c r="J196" s="134"/>
      <c r="K196" s="135"/>
      <c r="L196" s="136">
        <f t="shared" si="32"/>
        <v>0</v>
      </c>
      <c r="M196" s="284"/>
      <c r="N196" s="285"/>
      <c r="O196" s="136">
        <f t="shared" si="33"/>
        <v>0</v>
      </c>
      <c r="P196" s="85"/>
    </row>
    <row r="197" spans="1:16" s="41" customFormat="1" ht="16.5" customHeight="1" x14ac:dyDescent="0.25">
      <c r="A197" s="339"/>
      <c r="B197" s="31" t="s">
        <v>213</v>
      </c>
      <c r="C197" s="229">
        <f t="shared" si="26"/>
        <v>5665</v>
      </c>
      <c r="D197" s="230">
        <f>SUM(D198,D233,D271)</f>
        <v>5205</v>
      </c>
      <c r="E197" s="231">
        <f>SUM(E198,E233,E271)</f>
        <v>0</v>
      </c>
      <c r="F197" s="232">
        <f t="shared" si="30"/>
        <v>5205</v>
      </c>
      <c r="G197" s="230">
        <f>SUM(G198,G233,G271)</f>
        <v>300</v>
      </c>
      <c r="H197" s="233">
        <f>SUM(H198,H233,H271)</f>
        <v>0</v>
      </c>
      <c r="I197" s="234">
        <f t="shared" si="31"/>
        <v>300</v>
      </c>
      <c r="J197" s="230">
        <f>SUM(J198,J233,J271)</f>
        <v>160</v>
      </c>
      <c r="K197" s="233">
        <f>SUM(K198,K233,K271)</f>
        <v>0</v>
      </c>
      <c r="L197" s="234">
        <f t="shared" si="32"/>
        <v>160</v>
      </c>
      <c r="M197" s="340">
        <f>SUM(M198,M233,M271)</f>
        <v>0</v>
      </c>
      <c r="N197" s="341">
        <f>SUM(N198,N233,N271)</f>
        <v>0</v>
      </c>
      <c r="O197" s="342">
        <f t="shared" si="33"/>
        <v>0</v>
      </c>
      <c r="P197" s="343"/>
    </row>
    <row r="198" spans="1:16" x14ac:dyDescent="0.25">
      <c r="A198" s="237">
        <v>5000</v>
      </c>
      <c r="B198" s="237" t="s">
        <v>214</v>
      </c>
      <c r="C198" s="238">
        <f>F198+I198+L198+O198</f>
        <v>5505</v>
      </c>
      <c r="D198" s="239">
        <f>D199+D207</f>
        <v>5205</v>
      </c>
      <c r="E198" s="240">
        <f>E199+E207</f>
        <v>0</v>
      </c>
      <c r="F198" s="241">
        <f t="shared" si="30"/>
        <v>5205</v>
      </c>
      <c r="G198" s="239">
        <f>G199+G207</f>
        <v>300</v>
      </c>
      <c r="H198" s="242">
        <f>H199+H207</f>
        <v>0</v>
      </c>
      <c r="I198" s="243">
        <f t="shared" si="31"/>
        <v>300</v>
      </c>
      <c r="J198" s="239">
        <f>J199+J207</f>
        <v>0</v>
      </c>
      <c r="K198" s="242">
        <f>K199+K207</f>
        <v>0</v>
      </c>
      <c r="L198" s="243">
        <f t="shared" si="32"/>
        <v>0</v>
      </c>
      <c r="M198" s="244">
        <f>M199+M207</f>
        <v>0</v>
      </c>
      <c r="N198" s="245">
        <f>N199+N207</f>
        <v>0</v>
      </c>
      <c r="O198" s="243">
        <f t="shared" si="33"/>
        <v>0</v>
      </c>
      <c r="P198" s="246"/>
    </row>
    <row r="199" spans="1:16" x14ac:dyDescent="0.25">
      <c r="A199" s="99">
        <v>5100</v>
      </c>
      <c r="B199" s="247" t="s">
        <v>215</v>
      </c>
      <c r="C199" s="100">
        <f t="shared" si="26"/>
        <v>65</v>
      </c>
      <c r="D199" s="112">
        <f>D200+D201+D204+D205+D206</f>
        <v>65</v>
      </c>
      <c r="E199" s="248">
        <f>E200+E201+E204+E205+E206</f>
        <v>0</v>
      </c>
      <c r="F199" s="249">
        <f t="shared" si="30"/>
        <v>65</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row>
    <row r="200" spans="1:16" hidden="1" x14ac:dyDescent="0.25">
      <c r="A200" s="656">
        <v>5110</v>
      </c>
      <c r="B200" s="116" t="s">
        <v>216</v>
      </c>
      <c r="C200" s="117">
        <f t="shared" si="26"/>
        <v>0</v>
      </c>
      <c r="D200" s="123"/>
      <c r="E200" s="262"/>
      <c r="F200" s="263">
        <f t="shared" si="30"/>
        <v>0</v>
      </c>
      <c r="G200" s="123"/>
      <c r="H200" s="124"/>
      <c r="I200" s="125">
        <f t="shared" si="31"/>
        <v>0</v>
      </c>
      <c r="J200" s="123"/>
      <c r="K200" s="124"/>
      <c r="L200" s="125">
        <f t="shared" si="32"/>
        <v>0</v>
      </c>
      <c r="M200" s="264"/>
      <c r="N200" s="262"/>
      <c r="O200" s="125">
        <f t="shared" si="33"/>
        <v>0</v>
      </c>
      <c r="P200" s="74"/>
    </row>
    <row r="201" spans="1:16" ht="24" x14ac:dyDescent="0.25">
      <c r="A201" s="276">
        <v>5120</v>
      </c>
      <c r="B201" s="127" t="s">
        <v>217</v>
      </c>
      <c r="C201" s="128">
        <f t="shared" si="26"/>
        <v>65</v>
      </c>
      <c r="D201" s="277">
        <f>D202+D203</f>
        <v>65</v>
      </c>
      <c r="E201" s="278">
        <f>E202+E203</f>
        <v>0</v>
      </c>
      <c r="F201" s="279">
        <f t="shared" si="30"/>
        <v>65</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row>
    <row r="202" spans="1:16" x14ac:dyDescent="0.25">
      <c r="A202" s="265">
        <v>5121</v>
      </c>
      <c r="B202" s="266" t="s">
        <v>218</v>
      </c>
      <c r="C202" s="267">
        <f t="shared" si="26"/>
        <v>65</v>
      </c>
      <c r="D202" s="268">
        <v>65</v>
      </c>
      <c r="E202" s="269"/>
      <c r="F202" s="270">
        <f t="shared" si="30"/>
        <v>65</v>
      </c>
      <c r="G202" s="268"/>
      <c r="H202" s="271"/>
      <c r="I202" s="272">
        <f t="shared" si="31"/>
        <v>0</v>
      </c>
      <c r="J202" s="268"/>
      <c r="K202" s="271"/>
      <c r="L202" s="272">
        <f t="shared" si="32"/>
        <v>0</v>
      </c>
      <c r="M202" s="273"/>
      <c r="N202" s="274"/>
      <c r="O202" s="272">
        <f t="shared" si="33"/>
        <v>0</v>
      </c>
      <c r="P202" s="275"/>
    </row>
    <row r="203" spans="1:16" ht="24" hidden="1" x14ac:dyDescent="0.25">
      <c r="A203" s="76">
        <v>5129</v>
      </c>
      <c r="B203" s="127" t="s">
        <v>219</v>
      </c>
      <c r="C203" s="128">
        <f t="shared" si="26"/>
        <v>0</v>
      </c>
      <c r="D203" s="134"/>
      <c r="E203" s="285"/>
      <c r="F203" s="286">
        <f t="shared" si="30"/>
        <v>0</v>
      </c>
      <c r="G203" s="134"/>
      <c r="H203" s="135"/>
      <c r="I203" s="136">
        <f t="shared" si="31"/>
        <v>0</v>
      </c>
      <c r="J203" s="134"/>
      <c r="K203" s="135"/>
      <c r="L203" s="136">
        <f t="shared" si="32"/>
        <v>0</v>
      </c>
      <c r="M203" s="284"/>
      <c r="N203" s="285"/>
      <c r="O203" s="136">
        <f t="shared" si="33"/>
        <v>0</v>
      </c>
      <c r="P203" s="85"/>
    </row>
    <row r="204" spans="1:16" hidden="1" x14ac:dyDescent="0.25">
      <c r="A204" s="276">
        <v>5130</v>
      </c>
      <c r="B204" s="127" t="s">
        <v>220</v>
      </c>
      <c r="C204" s="128">
        <f t="shared" si="26"/>
        <v>0</v>
      </c>
      <c r="D204" s="134"/>
      <c r="E204" s="285"/>
      <c r="F204" s="286">
        <f t="shared" si="30"/>
        <v>0</v>
      </c>
      <c r="G204" s="134"/>
      <c r="H204" s="135"/>
      <c r="I204" s="136">
        <f t="shared" si="31"/>
        <v>0</v>
      </c>
      <c r="J204" s="134"/>
      <c r="K204" s="135"/>
      <c r="L204" s="136">
        <f t="shared" si="32"/>
        <v>0</v>
      </c>
      <c r="M204" s="284"/>
      <c r="N204" s="285"/>
      <c r="O204" s="136">
        <f t="shared" si="33"/>
        <v>0</v>
      </c>
      <c r="P204" s="85"/>
    </row>
    <row r="205" spans="1:16" hidden="1" x14ac:dyDescent="0.25">
      <c r="A205" s="276">
        <v>5140</v>
      </c>
      <c r="B205" s="127" t="s">
        <v>221</v>
      </c>
      <c r="C205" s="128">
        <f t="shared" si="26"/>
        <v>0</v>
      </c>
      <c r="D205" s="134"/>
      <c r="E205" s="285"/>
      <c r="F205" s="286">
        <f t="shared" si="30"/>
        <v>0</v>
      </c>
      <c r="G205" s="134"/>
      <c r="H205" s="135"/>
      <c r="I205" s="136">
        <f t="shared" si="31"/>
        <v>0</v>
      </c>
      <c r="J205" s="134"/>
      <c r="K205" s="135"/>
      <c r="L205" s="136">
        <f t="shared" si="32"/>
        <v>0</v>
      </c>
      <c r="M205" s="284"/>
      <c r="N205" s="285"/>
      <c r="O205" s="136">
        <f t="shared" si="33"/>
        <v>0</v>
      </c>
      <c r="P205" s="85"/>
    </row>
    <row r="206" spans="1:16" ht="24" hidden="1" x14ac:dyDescent="0.25">
      <c r="A206" s="276">
        <v>5170</v>
      </c>
      <c r="B206" s="127" t="s">
        <v>222</v>
      </c>
      <c r="C206" s="128">
        <f t="shared" si="26"/>
        <v>0</v>
      </c>
      <c r="D206" s="134"/>
      <c r="E206" s="285"/>
      <c r="F206" s="286">
        <f t="shared" si="30"/>
        <v>0</v>
      </c>
      <c r="G206" s="134"/>
      <c r="H206" s="135"/>
      <c r="I206" s="136">
        <f t="shared" si="31"/>
        <v>0</v>
      </c>
      <c r="J206" s="134"/>
      <c r="K206" s="135"/>
      <c r="L206" s="136">
        <f t="shared" si="32"/>
        <v>0</v>
      </c>
      <c r="M206" s="284"/>
      <c r="N206" s="285"/>
      <c r="O206" s="136">
        <f t="shared" si="33"/>
        <v>0</v>
      </c>
      <c r="P206" s="85"/>
    </row>
    <row r="207" spans="1:16" x14ac:dyDescent="0.25">
      <c r="A207" s="99">
        <v>5200</v>
      </c>
      <c r="B207" s="247" t="s">
        <v>223</v>
      </c>
      <c r="C207" s="100">
        <f t="shared" si="26"/>
        <v>5440</v>
      </c>
      <c r="D207" s="112">
        <f>D208+D218+D219+D228+D229+D230+D232</f>
        <v>5140</v>
      </c>
      <c r="E207" s="248">
        <f>E208+E218+E219+E228+E229+E230+E232</f>
        <v>0</v>
      </c>
      <c r="F207" s="249">
        <f t="shared" si="30"/>
        <v>5140</v>
      </c>
      <c r="G207" s="112">
        <f>G208+G218+G219+G228+G229+G230+G232</f>
        <v>300</v>
      </c>
      <c r="H207" s="113">
        <f>H208+H218+H219+H228+H229+H230+H232</f>
        <v>0</v>
      </c>
      <c r="I207" s="114">
        <f t="shared" si="31"/>
        <v>300</v>
      </c>
      <c r="J207" s="112">
        <f>J208+J218+J219+J228+J229+J230+J232</f>
        <v>0</v>
      </c>
      <c r="K207" s="113">
        <f>K208+K218+K219+K228+K229+K230+K232</f>
        <v>0</v>
      </c>
      <c r="L207" s="114">
        <f t="shared" si="32"/>
        <v>0</v>
      </c>
      <c r="M207" s="292">
        <f>M208+M218+M219+M228+M229+M230+M232</f>
        <v>0</v>
      </c>
      <c r="N207" s="293">
        <f>N208+N218+N219+N228+N229+N230+N232</f>
        <v>0</v>
      </c>
      <c r="O207" s="114">
        <f t="shared" si="33"/>
        <v>0</v>
      </c>
      <c r="P207" s="109"/>
    </row>
    <row r="208" spans="1:16" hidden="1" x14ac:dyDescent="0.25">
      <c r="A208" s="254">
        <v>5210</v>
      </c>
      <c r="B208" s="179" t="s">
        <v>224</v>
      </c>
      <c r="C208" s="191">
        <f t="shared" si="26"/>
        <v>0</v>
      </c>
      <c r="D208" s="255">
        <f>SUM(D209:D217)</f>
        <v>0</v>
      </c>
      <c r="E208" s="261">
        <f>SUM(E209:E217)</f>
        <v>0</v>
      </c>
      <c r="F208" s="310">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row>
    <row r="209" spans="1:16" hidden="1" x14ac:dyDescent="0.25">
      <c r="A209" s="66">
        <v>5211</v>
      </c>
      <c r="B209" s="116" t="s">
        <v>225</v>
      </c>
      <c r="C209" s="279">
        <f t="shared" si="26"/>
        <v>0</v>
      </c>
      <c r="D209" s="123"/>
      <c r="E209" s="262"/>
      <c r="F209" s="263">
        <f t="shared" si="30"/>
        <v>0</v>
      </c>
      <c r="G209" s="123"/>
      <c r="H209" s="124"/>
      <c r="I209" s="125">
        <f t="shared" si="31"/>
        <v>0</v>
      </c>
      <c r="J209" s="123"/>
      <c r="K209" s="124"/>
      <c r="L209" s="125">
        <f t="shared" si="32"/>
        <v>0</v>
      </c>
      <c r="M209" s="264"/>
      <c r="N209" s="262"/>
      <c r="O209" s="125">
        <f t="shared" si="33"/>
        <v>0</v>
      </c>
      <c r="P209" s="74"/>
    </row>
    <row r="210" spans="1:16" hidden="1" x14ac:dyDescent="0.25">
      <c r="A210" s="76">
        <v>5212</v>
      </c>
      <c r="B210" s="127" t="s">
        <v>226</v>
      </c>
      <c r="C210" s="279">
        <f t="shared" si="26"/>
        <v>0</v>
      </c>
      <c r="D210" s="134"/>
      <c r="E210" s="285"/>
      <c r="F210" s="286">
        <f t="shared" si="30"/>
        <v>0</v>
      </c>
      <c r="G210" s="134"/>
      <c r="H210" s="135"/>
      <c r="I210" s="136">
        <f t="shared" si="31"/>
        <v>0</v>
      </c>
      <c r="J210" s="134"/>
      <c r="K210" s="135"/>
      <c r="L210" s="136">
        <f t="shared" si="32"/>
        <v>0</v>
      </c>
      <c r="M210" s="284"/>
      <c r="N210" s="285"/>
      <c r="O210" s="136">
        <f t="shared" si="33"/>
        <v>0</v>
      </c>
      <c r="P210" s="85"/>
    </row>
    <row r="211" spans="1:16" hidden="1" x14ac:dyDescent="0.25">
      <c r="A211" s="76">
        <v>5213</v>
      </c>
      <c r="B211" s="127" t="s">
        <v>227</v>
      </c>
      <c r="C211" s="279">
        <f t="shared" si="26"/>
        <v>0</v>
      </c>
      <c r="D211" s="134"/>
      <c r="E211" s="285"/>
      <c r="F211" s="286">
        <f t="shared" si="30"/>
        <v>0</v>
      </c>
      <c r="G211" s="134"/>
      <c r="H211" s="135"/>
      <c r="I211" s="136">
        <f t="shared" si="31"/>
        <v>0</v>
      </c>
      <c r="J211" s="134"/>
      <c r="K211" s="135"/>
      <c r="L211" s="136">
        <f t="shared" si="32"/>
        <v>0</v>
      </c>
      <c r="M211" s="284"/>
      <c r="N211" s="285"/>
      <c r="O211" s="136">
        <f t="shared" si="33"/>
        <v>0</v>
      </c>
      <c r="P211" s="85"/>
    </row>
    <row r="212" spans="1:16" hidden="1" x14ac:dyDescent="0.25">
      <c r="A212" s="76">
        <v>5214</v>
      </c>
      <c r="B212" s="127" t="s">
        <v>228</v>
      </c>
      <c r="C212" s="279">
        <f t="shared" si="26"/>
        <v>0</v>
      </c>
      <c r="D212" s="134"/>
      <c r="E212" s="285"/>
      <c r="F212" s="286">
        <f t="shared" si="30"/>
        <v>0</v>
      </c>
      <c r="G212" s="134"/>
      <c r="H212" s="135"/>
      <c r="I212" s="136">
        <f t="shared" si="31"/>
        <v>0</v>
      </c>
      <c r="J212" s="134"/>
      <c r="K212" s="135"/>
      <c r="L212" s="136">
        <f t="shared" si="32"/>
        <v>0</v>
      </c>
      <c r="M212" s="284"/>
      <c r="N212" s="285"/>
      <c r="O212" s="136">
        <f t="shared" si="33"/>
        <v>0</v>
      </c>
      <c r="P212" s="85"/>
    </row>
    <row r="213" spans="1:16" hidden="1" x14ac:dyDescent="0.25">
      <c r="A213" s="76">
        <v>5215</v>
      </c>
      <c r="B213" s="127" t="s">
        <v>229</v>
      </c>
      <c r="C213" s="279">
        <f t="shared" si="26"/>
        <v>0</v>
      </c>
      <c r="D213" s="134"/>
      <c r="E213" s="285"/>
      <c r="F213" s="286">
        <f t="shared" si="30"/>
        <v>0</v>
      </c>
      <c r="G213" s="134"/>
      <c r="H213" s="135"/>
      <c r="I213" s="136">
        <f t="shared" si="31"/>
        <v>0</v>
      </c>
      <c r="J213" s="134"/>
      <c r="K213" s="135"/>
      <c r="L213" s="136">
        <f t="shared" si="32"/>
        <v>0</v>
      </c>
      <c r="M213" s="284"/>
      <c r="N213" s="285"/>
      <c r="O213" s="136">
        <f t="shared" si="33"/>
        <v>0</v>
      </c>
      <c r="P213" s="85"/>
    </row>
    <row r="214" spans="1:16" hidden="1" x14ac:dyDescent="0.25">
      <c r="A214" s="76">
        <v>5216</v>
      </c>
      <c r="B214" s="127" t="s">
        <v>230</v>
      </c>
      <c r="C214" s="279">
        <f t="shared" si="26"/>
        <v>0</v>
      </c>
      <c r="D214" s="134"/>
      <c r="E214" s="285"/>
      <c r="F214" s="286">
        <f t="shared" si="30"/>
        <v>0</v>
      </c>
      <c r="G214" s="134"/>
      <c r="H214" s="135"/>
      <c r="I214" s="136">
        <f t="shared" si="31"/>
        <v>0</v>
      </c>
      <c r="J214" s="134"/>
      <c r="K214" s="135"/>
      <c r="L214" s="136">
        <f t="shared" si="32"/>
        <v>0</v>
      </c>
      <c r="M214" s="284"/>
      <c r="N214" s="285"/>
      <c r="O214" s="136">
        <f t="shared" si="33"/>
        <v>0</v>
      </c>
      <c r="P214" s="85"/>
    </row>
    <row r="215" spans="1:16" hidden="1" x14ac:dyDescent="0.25">
      <c r="A215" s="76">
        <v>5217</v>
      </c>
      <c r="B215" s="127" t="s">
        <v>231</v>
      </c>
      <c r="C215" s="279">
        <f t="shared" si="26"/>
        <v>0</v>
      </c>
      <c r="D215" s="134"/>
      <c r="E215" s="285"/>
      <c r="F215" s="286">
        <f t="shared" si="30"/>
        <v>0</v>
      </c>
      <c r="G215" s="134"/>
      <c r="H215" s="135"/>
      <c r="I215" s="136">
        <f t="shared" si="31"/>
        <v>0</v>
      </c>
      <c r="J215" s="134"/>
      <c r="K215" s="135"/>
      <c r="L215" s="136">
        <f t="shared" si="32"/>
        <v>0</v>
      </c>
      <c r="M215" s="284"/>
      <c r="N215" s="285"/>
      <c r="O215" s="136">
        <f t="shared" si="33"/>
        <v>0</v>
      </c>
      <c r="P215" s="85"/>
    </row>
    <row r="216" spans="1:16" hidden="1" x14ac:dyDescent="0.25">
      <c r="A216" s="76">
        <v>5218</v>
      </c>
      <c r="B216" s="127" t="s">
        <v>232</v>
      </c>
      <c r="C216" s="279">
        <f t="shared" si="26"/>
        <v>0</v>
      </c>
      <c r="D216" s="134"/>
      <c r="E216" s="285"/>
      <c r="F216" s="286">
        <f t="shared" si="30"/>
        <v>0</v>
      </c>
      <c r="G216" s="134"/>
      <c r="H216" s="135"/>
      <c r="I216" s="136">
        <f t="shared" si="31"/>
        <v>0</v>
      </c>
      <c r="J216" s="134"/>
      <c r="K216" s="135"/>
      <c r="L216" s="136">
        <f t="shared" si="32"/>
        <v>0</v>
      </c>
      <c r="M216" s="284"/>
      <c r="N216" s="285"/>
      <c r="O216" s="136">
        <f t="shared" si="33"/>
        <v>0</v>
      </c>
      <c r="P216" s="85"/>
    </row>
    <row r="217" spans="1:16" hidden="1" x14ac:dyDescent="0.25">
      <c r="A217" s="76">
        <v>5219</v>
      </c>
      <c r="B217" s="127" t="s">
        <v>233</v>
      </c>
      <c r="C217" s="279">
        <f t="shared" si="26"/>
        <v>0</v>
      </c>
      <c r="D217" s="134"/>
      <c r="E217" s="285"/>
      <c r="F217" s="286">
        <f t="shared" si="30"/>
        <v>0</v>
      </c>
      <c r="G217" s="134"/>
      <c r="H217" s="135"/>
      <c r="I217" s="136">
        <f t="shared" si="31"/>
        <v>0</v>
      </c>
      <c r="J217" s="134"/>
      <c r="K217" s="135"/>
      <c r="L217" s="136">
        <f t="shared" si="32"/>
        <v>0</v>
      </c>
      <c r="M217" s="284"/>
      <c r="N217" s="285"/>
      <c r="O217" s="136">
        <f t="shared" si="33"/>
        <v>0</v>
      </c>
      <c r="P217" s="85"/>
    </row>
    <row r="218" spans="1:16" hidden="1" x14ac:dyDescent="0.25">
      <c r="A218" s="276">
        <v>5220</v>
      </c>
      <c r="B218" s="127" t="s">
        <v>234</v>
      </c>
      <c r="C218" s="279">
        <f t="shared" si="26"/>
        <v>0</v>
      </c>
      <c r="D218" s="134"/>
      <c r="E218" s="285"/>
      <c r="F218" s="286">
        <f t="shared" si="30"/>
        <v>0</v>
      </c>
      <c r="G218" s="134"/>
      <c r="H218" s="135"/>
      <c r="I218" s="136">
        <f t="shared" si="31"/>
        <v>0</v>
      </c>
      <c r="J218" s="134"/>
      <c r="K218" s="135"/>
      <c r="L218" s="136">
        <f t="shared" si="32"/>
        <v>0</v>
      </c>
      <c r="M218" s="284"/>
      <c r="N218" s="285"/>
      <c r="O218" s="136">
        <f t="shared" si="33"/>
        <v>0</v>
      </c>
      <c r="P218" s="85"/>
    </row>
    <row r="219" spans="1:16" x14ac:dyDescent="0.25">
      <c r="A219" s="276">
        <v>5230</v>
      </c>
      <c r="B219" s="127" t="s">
        <v>235</v>
      </c>
      <c r="C219" s="279">
        <f t="shared" si="26"/>
        <v>5440</v>
      </c>
      <c r="D219" s="277">
        <f>SUM(D220:D227)</f>
        <v>5140</v>
      </c>
      <c r="E219" s="278">
        <f>SUM(E220:E227)</f>
        <v>0</v>
      </c>
      <c r="F219" s="279">
        <f t="shared" si="30"/>
        <v>5140</v>
      </c>
      <c r="G219" s="277">
        <f>SUM(G220:G227)</f>
        <v>300</v>
      </c>
      <c r="H219" s="280">
        <f>SUM(H220:H227)</f>
        <v>0</v>
      </c>
      <c r="I219" s="136">
        <f t="shared" si="31"/>
        <v>300</v>
      </c>
      <c r="J219" s="277">
        <f>SUM(J220:J227)</f>
        <v>0</v>
      </c>
      <c r="K219" s="280">
        <f>SUM(K220:K227)</f>
        <v>0</v>
      </c>
      <c r="L219" s="136">
        <f t="shared" si="32"/>
        <v>0</v>
      </c>
      <c r="M219" s="281">
        <f>SUM(M220:M227)</f>
        <v>0</v>
      </c>
      <c r="N219" s="282">
        <f>SUM(N220:N227)</f>
        <v>0</v>
      </c>
      <c r="O219" s="136">
        <f t="shared" si="33"/>
        <v>0</v>
      </c>
      <c r="P219" s="85"/>
    </row>
    <row r="220" spans="1:16" hidden="1" x14ac:dyDescent="0.25">
      <c r="A220" s="76">
        <v>5231</v>
      </c>
      <c r="B220" s="127" t="s">
        <v>236</v>
      </c>
      <c r="C220" s="279">
        <f t="shared" si="26"/>
        <v>0</v>
      </c>
      <c r="D220" s="134"/>
      <c r="E220" s="285"/>
      <c r="F220" s="286">
        <f t="shared" si="30"/>
        <v>0</v>
      </c>
      <c r="G220" s="134"/>
      <c r="H220" s="135"/>
      <c r="I220" s="136">
        <f t="shared" si="31"/>
        <v>0</v>
      </c>
      <c r="J220" s="134"/>
      <c r="K220" s="135"/>
      <c r="L220" s="136">
        <f t="shared" si="32"/>
        <v>0</v>
      </c>
      <c r="M220" s="284"/>
      <c r="N220" s="285"/>
      <c r="O220" s="136">
        <f t="shared" si="33"/>
        <v>0</v>
      </c>
      <c r="P220" s="85"/>
    </row>
    <row r="221" spans="1:16" x14ac:dyDescent="0.25">
      <c r="A221" s="76">
        <v>5232</v>
      </c>
      <c r="B221" s="127" t="s">
        <v>237</v>
      </c>
      <c r="C221" s="279">
        <f t="shared" si="26"/>
        <v>2865</v>
      </c>
      <c r="D221" s="134">
        <v>2865</v>
      </c>
      <c r="E221" s="283"/>
      <c r="F221" s="279">
        <f t="shared" si="30"/>
        <v>2865</v>
      </c>
      <c r="G221" s="134"/>
      <c r="H221" s="135"/>
      <c r="I221" s="136">
        <f t="shared" si="31"/>
        <v>0</v>
      </c>
      <c r="J221" s="134"/>
      <c r="K221" s="135"/>
      <c r="L221" s="136">
        <f t="shared" si="32"/>
        <v>0</v>
      </c>
      <c r="M221" s="284"/>
      <c r="N221" s="285"/>
      <c r="O221" s="136">
        <f t="shared" si="33"/>
        <v>0</v>
      </c>
      <c r="P221" s="85"/>
    </row>
    <row r="222" spans="1:16" x14ac:dyDescent="0.25">
      <c r="A222" s="76">
        <v>5233</v>
      </c>
      <c r="B222" s="127" t="s">
        <v>238</v>
      </c>
      <c r="C222" s="279">
        <f t="shared" si="26"/>
        <v>505</v>
      </c>
      <c r="D222" s="134">
        <v>205</v>
      </c>
      <c r="E222" s="283"/>
      <c r="F222" s="279">
        <f t="shared" si="30"/>
        <v>205</v>
      </c>
      <c r="G222" s="134">
        <v>300</v>
      </c>
      <c r="H222" s="135"/>
      <c r="I222" s="136">
        <f t="shared" si="31"/>
        <v>300</v>
      </c>
      <c r="J222" s="134"/>
      <c r="K222" s="135"/>
      <c r="L222" s="136">
        <f t="shared" si="32"/>
        <v>0</v>
      </c>
      <c r="M222" s="284"/>
      <c r="N222" s="285"/>
      <c r="O222" s="136">
        <f t="shared" si="33"/>
        <v>0</v>
      </c>
      <c r="P222" s="85"/>
    </row>
    <row r="223" spans="1:16" ht="24" hidden="1" x14ac:dyDescent="0.25">
      <c r="A223" s="76">
        <v>5234</v>
      </c>
      <c r="B223" s="127" t="s">
        <v>239</v>
      </c>
      <c r="C223" s="279">
        <f t="shared" si="26"/>
        <v>0</v>
      </c>
      <c r="D223" s="134"/>
      <c r="E223" s="285"/>
      <c r="F223" s="286">
        <f t="shared" si="30"/>
        <v>0</v>
      </c>
      <c r="G223" s="134"/>
      <c r="H223" s="135"/>
      <c r="I223" s="136">
        <f t="shared" si="31"/>
        <v>0</v>
      </c>
      <c r="J223" s="134"/>
      <c r="K223" s="135"/>
      <c r="L223" s="136">
        <f t="shared" si="32"/>
        <v>0</v>
      </c>
      <c r="M223" s="284"/>
      <c r="N223" s="285"/>
      <c r="O223" s="136">
        <f t="shared" si="33"/>
        <v>0</v>
      </c>
      <c r="P223" s="85"/>
    </row>
    <row r="224" spans="1:16" hidden="1" x14ac:dyDescent="0.25">
      <c r="A224" s="76">
        <v>5236</v>
      </c>
      <c r="B224" s="127" t="s">
        <v>240</v>
      </c>
      <c r="C224" s="279">
        <f t="shared" si="26"/>
        <v>0</v>
      </c>
      <c r="D224" s="134"/>
      <c r="E224" s="285"/>
      <c r="F224" s="286">
        <f t="shared" si="30"/>
        <v>0</v>
      </c>
      <c r="G224" s="134"/>
      <c r="H224" s="135"/>
      <c r="I224" s="136">
        <f t="shared" si="31"/>
        <v>0</v>
      </c>
      <c r="J224" s="134"/>
      <c r="K224" s="135"/>
      <c r="L224" s="136">
        <f t="shared" si="32"/>
        <v>0</v>
      </c>
      <c r="M224" s="284"/>
      <c r="N224" s="285"/>
      <c r="O224" s="136">
        <f t="shared" si="33"/>
        <v>0</v>
      </c>
      <c r="P224" s="85"/>
    </row>
    <row r="225" spans="1:16" hidden="1" x14ac:dyDescent="0.25">
      <c r="A225" s="76">
        <v>5237</v>
      </c>
      <c r="B225" s="127" t="s">
        <v>241</v>
      </c>
      <c r="C225" s="279">
        <f t="shared" si="26"/>
        <v>0</v>
      </c>
      <c r="D225" s="134"/>
      <c r="E225" s="285"/>
      <c r="F225" s="286">
        <f t="shared" si="30"/>
        <v>0</v>
      </c>
      <c r="G225" s="134"/>
      <c r="H225" s="135"/>
      <c r="I225" s="136">
        <f t="shared" si="31"/>
        <v>0</v>
      </c>
      <c r="J225" s="134"/>
      <c r="K225" s="135"/>
      <c r="L225" s="136">
        <f t="shared" si="32"/>
        <v>0</v>
      </c>
      <c r="M225" s="284"/>
      <c r="N225" s="285"/>
      <c r="O225" s="136">
        <f t="shared" si="33"/>
        <v>0</v>
      </c>
      <c r="P225" s="85"/>
    </row>
    <row r="226" spans="1:16" ht="18" customHeight="1" x14ac:dyDescent="0.25">
      <c r="A226" s="76">
        <v>5238</v>
      </c>
      <c r="B226" s="127" t="s">
        <v>242</v>
      </c>
      <c r="C226" s="279">
        <f t="shared" si="26"/>
        <v>2070</v>
      </c>
      <c r="D226" s="134">
        <v>2070</v>
      </c>
      <c r="E226" s="283"/>
      <c r="F226" s="279">
        <f t="shared" si="30"/>
        <v>2070</v>
      </c>
      <c r="G226" s="134"/>
      <c r="H226" s="135"/>
      <c r="I226" s="136">
        <f t="shared" si="31"/>
        <v>0</v>
      </c>
      <c r="J226" s="134"/>
      <c r="K226" s="135"/>
      <c r="L226" s="136">
        <f t="shared" si="32"/>
        <v>0</v>
      </c>
      <c r="M226" s="284"/>
      <c r="N226" s="285"/>
      <c r="O226" s="136">
        <f t="shared" si="33"/>
        <v>0</v>
      </c>
      <c r="P226" s="85"/>
    </row>
    <row r="227" spans="1:16" ht="24" hidden="1" x14ac:dyDescent="0.25">
      <c r="A227" s="76">
        <v>5239</v>
      </c>
      <c r="B227" s="127" t="s">
        <v>243</v>
      </c>
      <c r="C227" s="279">
        <f t="shared" si="26"/>
        <v>0</v>
      </c>
      <c r="D227" s="134"/>
      <c r="E227" s="285"/>
      <c r="F227" s="286">
        <f t="shared" si="30"/>
        <v>0</v>
      </c>
      <c r="G227" s="134"/>
      <c r="H227" s="135"/>
      <c r="I227" s="136">
        <f t="shared" si="31"/>
        <v>0</v>
      </c>
      <c r="J227" s="134"/>
      <c r="K227" s="135"/>
      <c r="L227" s="136">
        <f t="shared" si="32"/>
        <v>0</v>
      </c>
      <c r="M227" s="284"/>
      <c r="N227" s="285"/>
      <c r="O227" s="136">
        <f t="shared" si="33"/>
        <v>0</v>
      </c>
      <c r="P227" s="85"/>
    </row>
    <row r="228" spans="1:16" ht="24" hidden="1" x14ac:dyDescent="0.25">
      <c r="A228" s="276">
        <v>5240</v>
      </c>
      <c r="B228" s="127" t="s">
        <v>244</v>
      </c>
      <c r="C228" s="279">
        <f t="shared" si="26"/>
        <v>0</v>
      </c>
      <c r="D228" s="134"/>
      <c r="E228" s="285"/>
      <c r="F228" s="286">
        <f t="shared" si="30"/>
        <v>0</v>
      </c>
      <c r="G228" s="134"/>
      <c r="H228" s="135"/>
      <c r="I228" s="136">
        <f t="shared" si="31"/>
        <v>0</v>
      </c>
      <c r="J228" s="134"/>
      <c r="K228" s="135"/>
      <c r="L228" s="136">
        <f t="shared" si="32"/>
        <v>0</v>
      </c>
      <c r="M228" s="284"/>
      <c r="N228" s="285"/>
      <c r="O228" s="136">
        <f t="shared" si="33"/>
        <v>0</v>
      </c>
      <c r="P228" s="85"/>
    </row>
    <row r="229" spans="1:16" hidden="1" x14ac:dyDescent="0.25">
      <c r="A229" s="276">
        <v>5250</v>
      </c>
      <c r="B229" s="127" t="s">
        <v>245</v>
      </c>
      <c r="C229" s="279">
        <f t="shared" si="26"/>
        <v>0</v>
      </c>
      <c r="D229" s="134"/>
      <c r="E229" s="285"/>
      <c r="F229" s="286">
        <f t="shared" si="30"/>
        <v>0</v>
      </c>
      <c r="G229" s="134"/>
      <c r="H229" s="135"/>
      <c r="I229" s="136">
        <f t="shared" si="31"/>
        <v>0</v>
      </c>
      <c r="J229" s="134"/>
      <c r="K229" s="135"/>
      <c r="L229" s="136">
        <f t="shared" si="32"/>
        <v>0</v>
      </c>
      <c r="M229" s="284"/>
      <c r="N229" s="285"/>
      <c r="O229" s="136">
        <f t="shared" si="33"/>
        <v>0</v>
      </c>
      <c r="P229" s="85"/>
    </row>
    <row r="230" spans="1:16" hidden="1" x14ac:dyDescent="0.25">
      <c r="A230" s="276">
        <v>5260</v>
      </c>
      <c r="B230" s="127" t="s">
        <v>246</v>
      </c>
      <c r="C230" s="279">
        <f t="shared" si="26"/>
        <v>0</v>
      </c>
      <c r="D230" s="277">
        <f>SUM(D231)</f>
        <v>0</v>
      </c>
      <c r="E230" s="282">
        <f>SUM(E231)</f>
        <v>0</v>
      </c>
      <c r="F230" s="286">
        <f t="shared" si="30"/>
        <v>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row>
    <row r="231" spans="1:16" ht="24" hidden="1" x14ac:dyDescent="0.25">
      <c r="A231" s="76">
        <v>5269</v>
      </c>
      <c r="B231" s="127" t="s">
        <v>247</v>
      </c>
      <c r="C231" s="279">
        <f t="shared" si="26"/>
        <v>0</v>
      </c>
      <c r="D231" s="134"/>
      <c r="E231" s="285"/>
      <c r="F231" s="286">
        <f t="shared" si="30"/>
        <v>0</v>
      </c>
      <c r="G231" s="134"/>
      <c r="H231" s="135"/>
      <c r="I231" s="136">
        <f t="shared" si="31"/>
        <v>0</v>
      </c>
      <c r="J231" s="134"/>
      <c r="K231" s="135"/>
      <c r="L231" s="136">
        <f t="shared" si="32"/>
        <v>0</v>
      </c>
      <c r="M231" s="284"/>
      <c r="N231" s="285"/>
      <c r="O231" s="136">
        <f t="shared" si="33"/>
        <v>0</v>
      </c>
      <c r="P231" s="85"/>
    </row>
    <row r="232" spans="1:16" ht="24" hidden="1" x14ac:dyDescent="0.25">
      <c r="A232" s="254">
        <v>5270</v>
      </c>
      <c r="B232" s="179" t="s">
        <v>248</v>
      </c>
      <c r="C232" s="302">
        <f t="shared" si="26"/>
        <v>0</v>
      </c>
      <c r="D232" s="287"/>
      <c r="E232" s="291"/>
      <c r="F232" s="310">
        <f t="shared" si="30"/>
        <v>0</v>
      </c>
      <c r="G232" s="287"/>
      <c r="H232" s="289"/>
      <c r="I232" s="259">
        <f t="shared" si="31"/>
        <v>0</v>
      </c>
      <c r="J232" s="287"/>
      <c r="K232" s="289"/>
      <c r="L232" s="259">
        <f t="shared" si="32"/>
        <v>0</v>
      </c>
      <c r="M232" s="290"/>
      <c r="N232" s="291"/>
      <c r="O232" s="259">
        <f t="shared" si="33"/>
        <v>0</v>
      </c>
      <c r="P232" s="189"/>
    </row>
    <row r="233" spans="1:16" hidden="1" x14ac:dyDescent="0.25">
      <c r="A233" s="237">
        <v>6000</v>
      </c>
      <c r="B233" s="237" t="s">
        <v>249</v>
      </c>
      <c r="C233" s="238">
        <f t="shared" si="26"/>
        <v>0</v>
      </c>
      <c r="D233" s="239">
        <f>D234+D254+D261</f>
        <v>0</v>
      </c>
      <c r="E233" s="245">
        <f>E234+E254+E261</f>
        <v>0</v>
      </c>
      <c r="F233" s="320">
        <f t="shared" si="30"/>
        <v>0</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row>
    <row r="234" spans="1:16"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row>
    <row r="235" spans="1:16" ht="24" hidden="1" x14ac:dyDescent="0.25">
      <c r="A235" s="656">
        <v>6220</v>
      </c>
      <c r="B235" s="116" t="s">
        <v>251</v>
      </c>
      <c r="C235" s="298">
        <f t="shared" si="26"/>
        <v>0</v>
      </c>
      <c r="D235" s="123"/>
      <c r="E235" s="262"/>
      <c r="F235" s="263">
        <f t="shared" si="30"/>
        <v>0</v>
      </c>
      <c r="G235" s="123"/>
      <c r="H235" s="124"/>
      <c r="I235" s="125">
        <f t="shared" si="31"/>
        <v>0</v>
      </c>
      <c r="J235" s="123"/>
      <c r="K235" s="124"/>
      <c r="L235" s="125">
        <f t="shared" si="32"/>
        <v>0</v>
      </c>
      <c r="M235" s="264"/>
      <c r="N235" s="262"/>
      <c r="O235" s="125">
        <f t="shared" si="33"/>
        <v>0</v>
      </c>
      <c r="P235" s="74"/>
    </row>
    <row r="236" spans="1:16" hidden="1" x14ac:dyDescent="0.25">
      <c r="A236" s="276">
        <v>6230</v>
      </c>
      <c r="B236" s="127" t="s">
        <v>252</v>
      </c>
      <c r="C236" s="278">
        <f t="shared" si="26"/>
        <v>0</v>
      </c>
      <c r="D236" s="277">
        <f>SUM(D237)</f>
        <v>0</v>
      </c>
      <c r="E236" s="280">
        <f>SUM(E237)</f>
        <v>0</v>
      </c>
      <c r="F236" s="28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row>
    <row r="237" spans="1:16" hidden="1" x14ac:dyDescent="0.25">
      <c r="A237" s="76">
        <v>6239</v>
      </c>
      <c r="B237" s="116" t="s">
        <v>253</v>
      </c>
      <c r="C237" s="278">
        <f t="shared" si="26"/>
        <v>0</v>
      </c>
      <c r="D237" s="134"/>
      <c r="E237" s="285"/>
      <c r="F237" s="286">
        <f t="shared" si="30"/>
        <v>0</v>
      </c>
      <c r="G237" s="134"/>
      <c r="H237" s="135"/>
      <c r="I237" s="136">
        <f t="shared" si="31"/>
        <v>0</v>
      </c>
      <c r="J237" s="134"/>
      <c r="K237" s="135"/>
      <c r="L237" s="136">
        <f t="shared" si="32"/>
        <v>0</v>
      </c>
      <c r="M237" s="284"/>
      <c r="N237" s="285"/>
      <c r="O237" s="136">
        <f t="shared" si="33"/>
        <v>0</v>
      </c>
      <c r="P237" s="85"/>
    </row>
    <row r="238" spans="1:16" ht="24" hidden="1" x14ac:dyDescent="0.25">
      <c r="A238" s="276">
        <v>6240</v>
      </c>
      <c r="B238" s="127" t="s">
        <v>254</v>
      </c>
      <c r="C238" s="278">
        <f t="shared" si="26"/>
        <v>0</v>
      </c>
      <c r="D238" s="277">
        <f>SUM(D239:D240)</f>
        <v>0</v>
      </c>
      <c r="E238" s="282">
        <f>SUM(E239:E240)</f>
        <v>0</v>
      </c>
      <c r="F238" s="28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row>
    <row r="239" spans="1:16" hidden="1" x14ac:dyDescent="0.25">
      <c r="A239" s="76">
        <v>6241</v>
      </c>
      <c r="B239" s="127" t="s">
        <v>255</v>
      </c>
      <c r="C239" s="278">
        <f t="shared" si="26"/>
        <v>0</v>
      </c>
      <c r="D239" s="134"/>
      <c r="E239" s="285"/>
      <c r="F239" s="286">
        <f t="shared" si="30"/>
        <v>0</v>
      </c>
      <c r="G239" s="134"/>
      <c r="H239" s="135"/>
      <c r="I239" s="136">
        <f t="shared" si="31"/>
        <v>0</v>
      </c>
      <c r="J239" s="134"/>
      <c r="K239" s="135"/>
      <c r="L239" s="136">
        <f t="shared" si="32"/>
        <v>0</v>
      </c>
      <c r="M239" s="284"/>
      <c r="N239" s="285"/>
      <c r="O239" s="136">
        <f t="shared" si="33"/>
        <v>0</v>
      </c>
      <c r="P239" s="85"/>
    </row>
    <row r="240" spans="1:16" hidden="1" x14ac:dyDescent="0.25">
      <c r="A240" s="76">
        <v>6242</v>
      </c>
      <c r="B240" s="127" t="s">
        <v>256</v>
      </c>
      <c r="C240" s="278">
        <f t="shared" si="26"/>
        <v>0</v>
      </c>
      <c r="D240" s="134"/>
      <c r="E240" s="285"/>
      <c r="F240" s="286">
        <f t="shared" si="30"/>
        <v>0</v>
      </c>
      <c r="G240" s="134"/>
      <c r="H240" s="135"/>
      <c r="I240" s="136">
        <f t="shared" si="31"/>
        <v>0</v>
      </c>
      <c r="J240" s="134"/>
      <c r="K240" s="135"/>
      <c r="L240" s="136">
        <f t="shared" si="32"/>
        <v>0</v>
      </c>
      <c r="M240" s="284"/>
      <c r="N240" s="285"/>
      <c r="O240" s="136">
        <f t="shared" si="33"/>
        <v>0</v>
      </c>
      <c r="P240" s="85"/>
    </row>
    <row r="241" spans="1:16" ht="24" hidden="1" x14ac:dyDescent="0.25">
      <c r="A241" s="276">
        <v>6250</v>
      </c>
      <c r="B241" s="127" t="s">
        <v>257</v>
      </c>
      <c r="C241" s="278">
        <f t="shared" si="26"/>
        <v>0</v>
      </c>
      <c r="D241" s="277">
        <f>SUM(D242:D246)</f>
        <v>0</v>
      </c>
      <c r="E241" s="282">
        <f>SUM(E242:E246)</f>
        <v>0</v>
      </c>
      <c r="F241" s="28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row>
    <row r="242" spans="1:16" hidden="1" x14ac:dyDescent="0.25">
      <c r="A242" s="76">
        <v>6252</v>
      </c>
      <c r="B242" s="127" t="s">
        <v>258</v>
      </c>
      <c r="C242" s="278">
        <f t="shared" si="26"/>
        <v>0</v>
      </c>
      <c r="D242" s="134"/>
      <c r="E242" s="285"/>
      <c r="F242" s="286">
        <f t="shared" si="30"/>
        <v>0</v>
      </c>
      <c r="G242" s="134"/>
      <c r="H242" s="135"/>
      <c r="I242" s="136">
        <f t="shared" si="31"/>
        <v>0</v>
      </c>
      <c r="J242" s="134"/>
      <c r="K242" s="135"/>
      <c r="L242" s="136">
        <f t="shared" si="32"/>
        <v>0</v>
      </c>
      <c r="M242" s="284"/>
      <c r="N242" s="285"/>
      <c r="O242" s="136">
        <f t="shared" si="33"/>
        <v>0</v>
      </c>
      <c r="P242" s="85"/>
    </row>
    <row r="243" spans="1:16" hidden="1" x14ac:dyDescent="0.25">
      <c r="A243" s="76">
        <v>6253</v>
      </c>
      <c r="B243" s="127" t="s">
        <v>259</v>
      </c>
      <c r="C243" s="278">
        <f t="shared" si="26"/>
        <v>0</v>
      </c>
      <c r="D243" s="134"/>
      <c r="E243" s="285"/>
      <c r="F243" s="286">
        <f t="shared" si="30"/>
        <v>0</v>
      </c>
      <c r="G243" s="134"/>
      <c r="H243" s="135"/>
      <c r="I243" s="136">
        <f t="shared" si="31"/>
        <v>0</v>
      </c>
      <c r="J243" s="134"/>
      <c r="K243" s="135"/>
      <c r="L243" s="136">
        <f t="shared" si="32"/>
        <v>0</v>
      </c>
      <c r="M243" s="284"/>
      <c r="N243" s="285"/>
      <c r="O243" s="136">
        <f t="shared" si="33"/>
        <v>0</v>
      </c>
      <c r="P243" s="85"/>
    </row>
    <row r="244" spans="1:16" ht="24" hidden="1" x14ac:dyDescent="0.25">
      <c r="A244" s="76">
        <v>6254</v>
      </c>
      <c r="B244" s="127" t="s">
        <v>260</v>
      </c>
      <c r="C244" s="278">
        <f t="shared" si="26"/>
        <v>0</v>
      </c>
      <c r="D244" s="134"/>
      <c r="E244" s="285"/>
      <c r="F244" s="286">
        <f t="shared" si="30"/>
        <v>0</v>
      </c>
      <c r="G244" s="134"/>
      <c r="H244" s="135"/>
      <c r="I244" s="136">
        <f t="shared" si="31"/>
        <v>0</v>
      </c>
      <c r="J244" s="134"/>
      <c r="K244" s="135"/>
      <c r="L244" s="136">
        <f t="shared" si="32"/>
        <v>0</v>
      </c>
      <c r="M244" s="284"/>
      <c r="N244" s="285"/>
      <c r="O244" s="136">
        <f t="shared" si="33"/>
        <v>0</v>
      </c>
      <c r="P244" s="85"/>
    </row>
    <row r="245" spans="1:16" ht="24" hidden="1" x14ac:dyDescent="0.25">
      <c r="A245" s="76">
        <v>6255</v>
      </c>
      <c r="B245" s="127" t="s">
        <v>261</v>
      </c>
      <c r="C245" s="278">
        <f t="shared" si="26"/>
        <v>0</v>
      </c>
      <c r="D245" s="134"/>
      <c r="E245" s="285"/>
      <c r="F245" s="286">
        <f t="shared" si="30"/>
        <v>0</v>
      </c>
      <c r="G245" s="134"/>
      <c r="H245" s="135"/>
      <c r="I245" s="136">
        <f t="shared" si="31"/>
        <v>0</v>
      </c>
      <c r="J245" s="134"/>
      <c r="K245" s="135"/>
      <c r="L245" s="136">
        <f t="shared" si="32"/>
        <v>0</v>
      </c>
      <c r="M245" s="284"/>
      <c r="N245" s="285"/>
      <c r="O245" s="136">
        <f t="shared" si="33"/>
        <v>0</v>
      </c>
      <c r="P245" s="85"/>
    </row>
    <row r="246" spans="1:16" hidden="1" x14ac:dyDescent="0.25">
      <c r="A246" s="76">
        <v>6259</v>
      </c>
      <c r="B246" s="127" t="s">
        <v>262</v>
      </c>
      <c r="C246" s="278">
        <f t="shared" si="26"/>
        <v>0</v>
      </c>
      <c r="D246" s="134"/>
      <c r="E246" s="285"/>
      <c r="F246" s="286">
        <f t="shared" si="30"/>
        <v>0</v>
      </c>
      <c r="G246" s="134"/>
      <c r="H246" s="135"/>
      <c r="I246" s="136">
        <f t="shared" si="31"/>
        <v>0</v>
      </c>
      <c r="J246" s="134"/>
      <c r="K246" s="135"/>
      <c r="L246" s="136">
        <f t="shared" si="32"/>
        <v>0</v>
      </c>
      <c r="M246" s="284"/>
      <c r="N246" s="285"/>
      <c r="O246" s="136">
        <f t="shared" si="33"/>
        <v>0</v>
      </c>
      <c r="P246" s="85"/>
    </row>
    <row r="247" spans="1:16" ht="24" hidden="1" x14ac:dyDescent="0.25">
      <c r="A247" s="276">
        <v>6260</v>
      </c>
      <c r="B247" s="127" t="s">
        <v>263</v>
      </c>
      <c r="C247" s="278">
        <f t="shared" si="26"/>
        <v>0</v>
      </c>
      <c r="D247" s="134"/>
      <c r="E247" s="285"/>
      <c r="F247" s="286">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row>
    <row r="248" spans="1:16" hidden="1" x14ac:dyDescent="0.25">
      <c r="A248" s="276">
        <v>6270</v>
      </c>
      <c r="B248" s="127" t="s">
        <v>264</v>
      </c>
      <c r="C248" s="278">
        <f t="shared" si="26"/>
        <v>0</v>
      </c>
      <c r="D248" s="134"/>
      <c r="E248" s="285"/>
      <c r="F248" s="286">
        <f t="shared" si="37"/>
        <v>0</v>
      </c>
      <c r="G248" s="134"/>
      <c r="H248" s="135"/>
      <c r="I248" s="136">
        <f t="shared" si="38"/>
        <v>0</v>
      </c>
      <c r="J248" s="134"/>
      <c r="K248" s="135"/>
      <c r="L248" s="136">
        <f t="shared" si="39"/>
        <v>0</v>
      </c>
      <c r="M248" s="284"/>
      <c r="N248" s="285"/>
      <c r="O248" s="136">
        <f t="shared" si="40"/>
        <v>0</v>
      </c>
      <c r="P248" s="85"/>
    </row>
    <row r="249" spans="1:16" hidden="1" x14ac:dyDescent="0.25">
      <c r="A249" s="656">
        <v>6290</v>
      </c>
      <c r="B249" s="116" t="s">
        <v>265</v>
      </c>
      <c r="C249" s="278">
        <f t="shared" si="26"/>
        <v>0</v>
      </c>
      <c r="D249" s="297">
        <f>SUM(D250:D253)</f>
        <v>0</v>
      </c>
      <c r="E249" s="301">
        <f>SUM(E250:E253)</f>
        <v>0</v>
      </c>
      <c r="F249" s="263">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row>
    <row r="250" spans="1:16" hidden="1" x14ac:dyDescent="0.25">
      <c r="A250" s="76">
        <v>6291</v>
      </c>
      <c r="B250" s="127" t="s">
        <v>266</v>
      </c>
      <c r="C250" s="278">
        <f t="shared" si="26"/>
        <v>0</v>
      </c>
      <c r="D250" s="134"/>
      <c r="E250" s="285"/>
      <c r="F250" s="286">
        <f t="shared" si="37"/>
        <v>0</v>
      </c>
      <c r="G250" s="134"/>
      <c r="H250" s="135"/>
      <c r="I250" s="136">
        <f t="shared" si="38"/>
        <v>0</v>
      </c>
      <c r="J250" s="134"/>
      <c r="K250" s="135"/>
      <c r="L250" s="136">
        <f t="shared" si="39"/>
        <v>0</v>
      </c>
      <c r="M250" s="284"/>
      <c r="N250" s="285"/>
      <c r="O250" s="136">
        <f t="shared" si="40"/>
        <v>0</v>
      </c>
      <c r="P250" s="85"/>
    </row>
    <row r="251" spans="1:16" hidden="1" x14ac:dyDescent="0.25">
      <c r="A251" s="76">
        <v>6292</v>
      </c>
      <c r="B251" s="127" t="s">
        <v>267</v>
      </c>
      <c r="C251" s="278">
        <f t="shared" si="26"/>
        <v>0</v>
      </c>
      <c r="D251" s="134"/>
      <c r="E251" s="285"/>
      <c r="F251" s="286">
        <f t="shared" si="37"/>
        <v>0</v>
      </c>
      <c r="G251" s="134"/>
      <c r="H251" s="135"/>
      <c r="I251" s="136">
        <f t="shared" si="38"/>
        <v>0</v>
      </c>
      <c r="J251" s="134"/>
      <c r="K251" s="135"/>
      <c r="L251" s="136">
        <f t="shared" si="39"/>
        <v>0</v>
      </c>
      <c r="M251" s="284"/>
      <c r="N251" s="285"/>
      <c r="O251" s="136">
        <f t="shared" si="40"/>
        <v>0</v>
      </c>
      <c r="P251" s="85"/>
    </row>
    <row r="252" spans="1:16" ht="72" hidden="1" x14ac:dyDescent="0.25">
      <c r="A252" s="76">
        <v>6296</v>
      </c>
      <c r="B252" s="127" t="s">
        <v>268</v>
      </c>
      <c r="C252" s="278">
        <f t="shared" si="26"/>
        <v>0</v>
      </c>
      <c r="D252" s="134"/>
      <c r="E252" s="285"/>
      <c r="F252" s="286">
        <f t="shared" si="37"/>
        <v>0</v>
      </c>
      <c r="G252" s="134"/>
      <c r="H252" s="135"/>
      <c r="I252" s="136">
        <f t="shared" si="38"/>
        <v>0</v>
      </c>
      <c r="J252" s="134"/>
      <c r="K252" s="135"/>
      <c r="L252" s="136">
        <f t="shared" si="39"/>
        <v>0</v>
      </c>
      <c r="M252" s="284"/>
      <c r="N252" s="285"/>
      <c r="O252" s="136">
        <f t="shared" si="40"/>
        <v>0</v>
      </c>
      <c r="P252" s="85"/>
    </row>
    <row r="253" spans="1:16" ht="36" hidden="1" x14ac:dyDescent="0.25">
      <c r="A253" s="76">
        <v>6299</v>
      </c>
      <c r="B253" s="127" t="s">
        <v>269</v>
      </c>
      <c r="C253" s="278">
        <f t="shared" si="26"/>
        <v>0</v>
      </c>
      <c r="D253" s="134"/>
      <c r="E253" s="285"/>
      <c r="F253" s="286">
        <f t="shared" si="37"/>
        <v>0</v>
      </c>
      <c r="G253" s="134"/>
      <c r="H253" s="135"/>
      <c r="I253" s="136">
        <f t="shared" si="38"/>
        <v>0</v>
      </c>
      <c r="J253" s="134"/>
      <c r="K253" s="135"/>
      <c r="L253" s="136">
        <f t="shared" si="39"/>
        <v>0</v>
      </c>
      <c r="M253" s="284"/>
      <c r="N253" s="285"/>
      <c r="O253" s="136">
        <f t="shared" si="40"/>
        <v>0</v>
      </c>
      <c r="P253" s="85"/>
    </row>
    <row r="254" spans="1:16" hidden="1" x14ac:dyDescent="0.25">
      <c r="A254" s="99">
        <v>6300</v>
      </c>
      <c r="B254" s="247" t="s">
        <v>270</v>
      </c>
      <c r="C254" s="100">
        <f t="shared" si="26"/>
        <v>0</v>
      </c>
      <c r="D254" s="112">
        <f>SUM(D255,D259,D260)</f>
        <v>0</v>
      </c>
      <c r="E254" s="293">
        <f>SUM(E255,E259,E260)</f>
        <v>0</v>
      </c>
      <c r="F254" s="313">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row>
    <row r="255" spans="1:16" ht="24" hidden="1" x14ac:dyDescent="0.25">
      <c r="A255" s="656">
        <v>6320</v>
      </c>
      <c r="B255" s="116" t="s">
        <v>271</v>
      </c>
      <c r="C255" s="322">
        <f t="shared" si="26"/>
        <v>0</v>
      </c>
      <c r="D255" s="297">
        <f>SUM(D256:D258)</f>
        <v>0</v>
      </c>
      <c r="E255" s="301">
        <f>SUM(E256:E258)</f>
        <v>0</v>
      </c>
      <c r="F255" s="263">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row>
    <row r="256" spans="1:16" hidden="1" x14ac:dyDescent="0.25">
      <c r="A256" s="76">
        <v>6322</v>
      </c>
      <c r="B256" s="127" t="s">
        <v>272</v>
      </c>
      <c r="C256" s="281">
        <f t="shared" si="26"/>
        <v>0</v>
      </c>
      <c r="D256" s="134"/>
      <c r="E256" s="285"/>
      <c r="F256" s="286">
        <f t="shared" si="37"/>
        <v>0</v>
      </c>
      <c r="G256" s="134"/>
      <c r="H256" s="135"/>
      <c r="I256" s="136">
        <f t="shared" si="38"/>
        <v>0</v>
      </c>
      <c r="J256" s="134"/>
      <c r="K256" s="135"/>
      <c r="L256" s="136">
        <f t="shared" si="39"/>
        <v>0</v>
      </c>
      <c r="M256" s="284"/>
      <c r="N256" s="285"/>
      <c r="O256" s="136">
        <f t="shared" si="40"/>
        <v>0</v>
      </c>
      <c r="P256" s="85"/>
    </row>
    <row r="257" spans="1:16" ht="24" hidden="1" x14ac:dyDescent="0.25">
      <c r="A257" s="76">
        <v>6323</v>
      </c>
      <c r="B257" s="127" t="s">
        <v>273</v>
      </c>
      <c r="C257" s="281">
        <f t="shared" si="26"/>
        <v>0</v>
      </c>
      <c r="D257" s="134"/>
      <c r="E257" s="285"/>
      <c r="F257" s="286">
        <f t="shared" si="37"/>
        <v>0</v>
      </c>
      <c r="G257" s="134"/>
      <c r="H257" s="135"/>
      <c r="I257" s="136">
        <f t="shared" si="38"/>
        <v>0</v>
      </c>
      <c r="J257" s="134"/>
      <c r="K257" s="135"/>
      <c r="L257" s="136">
        <f t="shared" si="39"/>
        <v>0</v>
      </c>
      <c r="M257" s="284"/>
      <c r="N257" s="285"/>
      <c r="O257" s="136">
        <f t="shared" si="40"/>
        <v>0</v>
      </c>
      <c r="P257" s="85"/>
    </row>
    <row r="258" spans="1:16" ht="24" hidden="1" x14ac:dyDescent="0.25">
      <c r="A258" s="66">
        <v>6324</v>
      </c>
      <c r="B258" s="116" t="s">
        <v>274</v>
      </c>
      <c r="C258" s="281">
        <f t="shared" si="26"/>
        <v>0</v>
      </c>
      <c r="D258" s="123"/>
      <c r="E258" s="262"/>
      <c r="F258" s="263">
        <f t="shared" si="37"/>
        <v>0</v>
      </c>
      <c r="G258" s="123"/>
      <c r="H258" s="124"/>
      <c r="I258" s="125">
        <f t="shared" si="38"/>
        <v>0</v>
      </c>
      <c r="J258" s="123"/>
      <c r="K258" s="124"/>
      <c r="L258" s="125">
        <f t="shared" si="39"/>
        <v>0</v>
      </c>
      <c r="M258" s="264"/>
      <c r="N258" s="262"/>
      <c r="O258" s="125">
        <f t="shared" si="40"/>
        <v>0</v>
      </c>
      <c r="P258" s="74"/>
    </row>
    <row r="259" spans="1:16" ht="24" hidden="1" x14ac:dyDescent="0.25">
      <c r="A259" s="344">
        <v>6330</v>
      </c>
      <c r="B259" s="345" t="s">
        <v>275</v>
      </c>
      <c r="C259" s="281">
        <f t="shared" ref="C259:C286" si="50">F259+I259+L259+O259</f>
        <v>0</v>
      </c>
      <c r="D259" s="328"/>
      <c r="E259" s="329"/>
      <c r="F259" s="330">
        <f t="shared" si="37"/>
        <v>0</v>
      </c>
      <c r="G259" s="328"/>
      <c r="H259" s="331"/>
      <c r="I259" s="324">
        <f t="shared" si="38"/>
        <v>0</v>
      </c>
      <c r="J259" s="328"/>
      <c r="K259" s="331"/>
      <c r="L259" s="324">
        <f t="shared" si="39"/>
        <v>0</v>
      </c>
      <c r="M259" s="332"/>
      <c r="N259" s="329"/>
      <c r="O259" s="324">
        <f t="shared" si="40"/>
        <v>0</v>
      </c>
      <c r="P259" s="325"/>
    </row>
    <row r="260" spans="1:16" hidden="1" x14ac:dyDescent="0.25">
      <c r="A260" s="276">
        <v>6360</v>
      </c>
      <c r="B260" s="127" t="s">
        <v>276</v>
      </c>
      <c r="C260" s="281">
        <f t="shared" si="50"/>
        <v>0</v>
      </c>
      <c r="D260" s="134"/>
      <c r="E260" s="285"/>
      <c r="F260" s="286">
        <f t="shared" si="37"/>
        <v>0</v>
      </c>
      <c r="G260" s="134"/>
      <c r="H260" s="135"/>
      <c r="I260" s="136">
        <f t="shared" si="38"/>
        <v>0</v>
      </c>
      <c r="J260" s="134"/>
      <c r="K260" s="135"/>
      <c r="L260" s="136">
        <f t="shared" si="39"/>
        <v>0</v>
      </c>
      <c r="M260" s="284"/>
      <c r="N260" s="285"/>
      <c r="O260" s="136">
        <f t="shared" si="40"/>
        <v>0</v>
      </c>
      <c r="P260" s="85"/>
    </row>
    <row r="261" spans="1:16" ht="24" hidden="1" x14ac:dyDescent="0.25">
      <c r="A261" s="99">
        <v>6400</v>
      </c>
      <c r="B261" s="247" t="s">
        <v>277</v>
      </c>
      <c r="C261" s="100">
        <f t="shared" si="50"/>
        <v>0</v>
      </c>
      <c r="D261" s="112">
        <f>SUM(D262,D266)</f>
        <v>0</v>
      </c>
      <c r="E261" s="293">
        <f>SUM(E262,E266)</f>
        <v>0</v>
      </c>
      <c r="F261" s="313">
        <f t="shared" si="37"/>
        <v>0</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row>
    <row r="262" spans="1:16" ht="24" hidden="1" x14ac:dyDescent="0.25">
      <c r="A262" s="656">
        <v>6410</v>
      </c>
      <c r="B262" s="116" t="s">
        <v>278</v>
      </c>
      <c r="C262" s="300">
        <f t="shared" si="50"/>
        <v>0</v>
      </c>
      <c r="D262" s="297">
        <f>SUM(D263:D265)</f>
        <v>0</v>
      </c>
      <c r="E262" s="301">
        <f>SUM(E263:E265)</f>
        <v>0</v>
      </c>
      <c r="F262" s="263">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row>
    <row r="263" spans="1:16" hidden="1" x14ac:dyDescent="0.25">
      <c r="A263" s="76">
        <v>6411</v>
      </c>
      <c r="B263" s="346" t="s">
        <v>279</v>
      </c>
      <c r="C263" s="278">
        <f t="shared" si="50"/>
        <v>0</v>
      </c>
      <c r="D263" s="134"/>
      <c r="E263" s="285"/>
      <c r="F263" s="286">
        <f t="shared" si="37"/>
        <v>0</v>
      </c>
      <c r="G263" s="134"/>
      <c r="H263" s="135"/>
      <c r="I263" s="136">
        <f t="shared" si="38"/>
        <v>0</v>
      </c>
      <c r="J263" s="134"/>
      <c r="K263" s="135"/>
      <c r="L263" s="136">
        <f t="shared" si="39"/>
        <v>0</v>
      </c>
      <c r="M263" s="284"/>
      <c r="N263" s="285"/>
      <c r="O263" s="136">
        <f t="shared" si="40"/>
        <v>0</v>
      </c>
      <c r="P263" s="85"/>
    </row>
    <row r="264" spans="1:16" ht="36" hidden="1" x14ac:dyDescent="0.25">
      <c r="A264" s="76">
        <v>6412</v>
      </c>
      <c r="B264" s="127" t="s">
        <v>280</v>
      </c>
      <c r="C264" s="278">
        <f t="shared" si="50"/>
        <v>0</v>
      </c>
      <c r="D264" s="134"/>
      <c r="E264" s="285"/>
      <c r="F264" s="286">
        <f t="shared" si="37"/>
        <v>0</v>
      </c>
      <c r="G264" s="134"/>
      <c r="H264" s="135"/>
      <c r="I264" s="136">
        <f t="shared" si="38"/>
        <v>0</v>
      </c>
      <c r="J264" s="134"/>
      <c r="K264" s="135"/>
      <c r="L264" s="136">
        <f t="shared" si="39"/>
        <v>0</v>
      </c>
      <c r="M264" s="284"/>
      <c r="N264" s="285"/>
      <c r="O264" s="136">
        <f t="shared" si="40"/>
        <v>0</v>
      </c>
      <c r="P264" s="85"/>
    </row>
    <row r="265" spans="1:16" ht="36" hidden="1" x14ac:dyDescent="0.25">
      <c r="A265" s="76">
        <v>6419</v>
      </c>
      <c r="B265" s="127" t="s">
        <v>281</v>
      </c>
      <c r="C265" s="278">
        <f t="shared" si="50"/>
        <v>0</v>
      </c>
      <c r="D265" s="134"/>
      <c r="E265" s="285"/>
      <c r="F265" s="286">
        <f t="shared" si="37"/>
        <v>0</v>
      </c>
      <c r="G265" s="134"/>
      <c r="H265" s="135"/>
      <c r="I265" s="136">
        <f t="shared" si="38"/>
        <v>0</v>
      </c>
      <c r="J265" s="134"/>
      <c r="K265" s="135"/>
      <c r="L265" s="136">
        <f t="shared" si="39"/>
        <v>0</v>
      </c>
      <c r="M265" s="284"/>
      <c r="N265" s="285"/>
      <c r="O265" s="136">
        <f t="shared" si="40"/>
        <v>0</v>
      </c>
      <c r="P265" s="85"/>
    </row>
    <row r="266" spans="1:16" ht="36" hidden="1" x14ac:dyDescent="0.25">
      <c r="A266" s="276">
        <v>6420</v>
      </c>
      <c r="B266" s="127" t="s">
        <v>282</v>
      </c>
      <c r="C266" s="278">
        <f t="shared" si="50"/>
        <v>0</v>
      </c>
      <c r="D266" s="277">
        <f>SUM(D267:D270)</f>
        <v>0</v>
      </c>
      <c r="E266" s="282">
        <f>SUM(E267:E270)</f>
        <v>0</v>
      </c>
      <c r="F266" s="286">
        <f t="shared" si="37"/>
        <v>0</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row>
    <row r="267" spans="1:16" hidden="1" x14ac:dyDescent="0.25">
      <c r="A267" s="76">
        <v>6421</v>
      </c>
      <c r="B267" s="127" t="s">
        <v>283</v>
      </c>
      <c r="C267" s="278">
        <f t="shared" si="50"/>
        <v>0</v>
      </c>
      <c r="D267" s="134"/>
      <c r="E267" s="285"/>
      <c r="F267" s="286">
        <f t="shared" si="37"/>
        <v>0</v>
      </c>
      <c r="G267" s="134"/>
      <c r="H267" s="135"/>
      <c r="I267" s="136">
        <f t="shared" si="38"/>
        <v>0</v>
      </c>
      <c r="J267" s="134"/>
      <c r="K267" s="135"/>
      <c r="L267" s="136">
        <f t="shared" si="39"/>
        <v>0</v>
      </c>
      <c r="M267" s="284"/>
      <c r="N267" s="285"/>
      <c r="O267" s="136">
        <f t="shared" si="40"/>
        <v>0</v>
      </c>
      <c r="P267" s="85"/>
    </row>
    <row r="268" spans="1:16" hidden="1" x14ac:dyDescent="0.25">
      <c r="A268" s="76">
        <v>6422</v>
      </c>
      <c r="B268" s="127" t="s">
        <v>284</v>
      </c>
      <c r="C268" s="278">
        <f t="shared" si="50"/>
        <v>0</v>
      </c>
      <c r="D268" s="134"/>
      <c r="E268" s="285"/>
      <c r="F268" s="286">
        <f t="shared" si="37"/>
        <v>0</v>
      </c>
      <c r="G268" s="134"/>
      <c r="H268" s="135"/>
      <c r="I268" s="136">
        <f t="shared" si="38"/>
        <v>0</v>
      </c>
      <c r="J268" s="134"/>
      <c r="K268" s="135"/>
      <c r="L268" s="136">
        <f t="shared" si="39"/>
        <v>0</v>
      </c>
      <c r="M268" s="284"/>
      <c r="N268" s="285"/>
      <c r="O268" s="136">
        <f t="shared" si="40"/>
        <v>0</v>
      </c>
      <c r="P268" s="85"/>
    </row>
    <row r="269" spans="1:16" hidden="1" x14ac:dyDescent="0.25">
      <c r="A269" s="76">
        <v>6423</v>
      </c>
      <c r="B269" s="127" t="s">
        <v>285</v>
      </c>
      <c r="C269" s="278">
        <f t="shared" si="50"/>
        <v>0</v>
      </c>
      <c r="D269" s="134"/>
      <c r="E269" s="285"/>
      <c r="F269" s="286">
        <f t="shared" si="37"/>
        <v>0</v>
      </c>
      <c r="G269" s="134"/>
      <c r="H269" s="135"/>
      <c r="I269" s="136">
        <f t="shared" si="38"/>
        <v>0</v>
      </c>
      <c r="J269" s="134"/>
      <c r="K269" s="135"/>
      <c r="L269" s="136">
        <f t="shared" si="39"/>
        <v>0</v>
      </c>
      <c r="M269" s="284"/>
      <c r="N269" s="285"/>
      <c r="O269" s="136">
        <f t="shared" si="40"/>
        <v>0</v>
      </c>
      <c r="P269" s="85"/>
    </row>
    <row r="270" spans="1:16" ht="36" hidden="1" x14ac:dyDescent="0.25">
      <c r="A270" s="76">
        <v>6424</v>
      </c>
      <c r="B270" s="127" t="s">
        <v>286</v>
      </c>
      <c r="C270" s="278">
        <f t="shared" si="50"/>
        <v>0</v>
      </c>
      <c r="D270" s="134"/>
      <c r="E270" s="285"/>
      <c r="F270" s="286">
        <f t="shared" si="37"/>
        <v>0</v>
      </c>
      <c r="G270" s="134"/>
      <c r="H270" s="135"/>
      <c r="I270" s="136">
        <f t="shared" si="38"/>
        <v>0</v>
      </c>
      <c r="J270" s="134"/>
      <c r="K270" s="135"/>
      <c r="L270" s="136">
        <f t="shared" si="39"/>
        <v>0</v>
      </c>
      <c r="M270" s="284"/>
      <c r="N270" s="285"/>
      <c r="O270" s="136">
        <f t="shared" si="40"/>
        <v>0</v>
      </c>
      <c r="P270" s="85"/>
    </row>
    <row r="271" spans="1:16" ht="36" x14ac:dyDescent="0.25">
      <c r="A271" s="347">
        <v>7000</v>
      </c>
      <c r="B271" s="347" t="s">
        <v>287</v>
      </c>
      <c r="C271" s="348">
        <f t="shared" si="50"/>
        <v>160</v>
      </c>
      <c r="D271" s="349">
        <f>SUM(D272,D282)</f>
        <v>0</v>
      </c>
      <c r="E271" s="350">
        <f>SUM(E272,E282)</f>
        <v>0</v>
      </c>
      <c r="F271" s="351">
        <f t="shared" si="37"/>
        <v>0</v>
      </c>
      <c r="G271" s="349">
        <f>SUM(G272,G282)</f>
        <v>0</v>
      </c>
      <c r="H271" s="352">
        <f>SUM(H272,H282)</f>
        <v>0</v>
      </c>
      <c r="I271" s="353">
        <f t="shared" si="38"/>
        <v>0</v>
      </c>
      <c r="J271" s="349">
        <f>SUM(J272,J282)</f>
        <v>160</v>
      </c>
      <c r="K271" s="352">
        <f>SUM(K272,K282)</f>
        <v>0</v>
      </c>
      <c r="L271" s="353">
        <f t="shared" si="39"/>
        <v>160</v>
      </c>
      <c r="M271" s="354">
        <f>SUM(M272,M282)</f>
        <v>0</v>
      </c>
      <c r="N271" s="355">
        <f>SUM(N272,N282)</f>
        <v>0</v>
      </c>
      <c r="O271" s="356">
        <f t="shared" si="40"/>
        <v>0</v>
      </c>
      <c r="P271" s="357"/>
    </row>
    <row r="272" spans="1:16" ht="24" x14ac:dyDescent="0.25">
      <c r="A272" s="99">
        <v>7200</v>
      </c>
      <c r="B272" s="247" t="s">
        <v>288</v>
      </c>
      <c r="C272" s="100">
        <f t="shared" si="50"/>
        <v>160</v>
      </c>
      <c r="D272" s="112">
        <f>SUM(D273,D274,D277,D278,D281)</f>
        <v>0</v>
      </c>
      <c r="E272" s="248">
        <f>SUM(E273,E274,E277,E278,E281)</f>
        <v>0</v>
      </c>
      <c r="F272" s="249">
        <f t="shared" si="37"/>
        <v>0</v>
      </c>
      <c r="G272" s="112">
        <f>SUM(G273,G274,G277,G278,G281)</f>
        <v>0</v>
      </c>
      <c r="H272" s="113">
        <f>SUM(H273,H274,H277,H278,H281)</f>
        <v>0</v>
      </c>
      <c r="I272" s="114">
        <f t="shared" si="38"/>
        <v>0</v>
      </c>
      <c r="J272" s="112">
        <f>SUM(J273,J274,J277,J278,J281)</f>
        <v>160</v>
      </c>
      <c r="K272" s="113">
        <f>SUM(K273,K274,K277,K278,K281)</f>
        <v>0</v>
      </c>
      <c r="L272" s="114">
        <f t="shared" si="39"/>
        <v>160</v>
      </c>
      <c r="M272" s="250">
        <f>SUM(M273,M274,M277,M278,M281)</f>
        <v>0</v>
      </c>
      <c r="N272" s="251">
        <f>SUM(N273,N274,N277,N278,N281)</f>
        <v>0</v>
      </c>
      <c r="O272" s="252">
        <f t="shared" si="40"/>
        <v>0</v>
      </c>
      <c r="P272" s="253"/>
    </row>
    <row r="273" spans="1:16" ht="24" hidden="1" x14ac:dyDescent="0.25">
      <c r="A273" s="656">
        <v>7210</v>
      </c>
      <c r="B273" s="116" t="s">
        <v>289</v>
      </c>
      <c r="C273" s="117">
        <f t="shared" si="50"/>
        <v>0</v>
      </c>
      <c r="D273" s="123"/>
      <c r="E273" s="262"/>
      <c r="F273" s="263">
        <f t="shared" si="37"/>
        <v>0</v>
      </c>
      <c r="G273" s="123"/>
      <c r="H273" s="124"/>
      <c r="I273" s="125">
        <f t="shared" si="38"/>
        <v>0</v>
      </c>
      <c r="J273" s="123"/>
      <c r="K273" s="124"/>
      <c r="L273" s="125">
        <f t="shared" si="39"/>
        <v>0</v>
      </c>
      <c r="M273" s="264"/>
      <c r="N273" s="262"/>
      <c r="O273" s="125">
        <f t="shared" si="40"/>
        <v>0</v>
      </c>
      <c r="P273" s="74"/>
    </row>
    <row r="274" spans="1:16" s="358" customFormat="1" ht="36" hidden="1" x14ac:dyDescent="0.25">
      <c r="A274" s="276">
        <v>7220</v>
      </c>
      <c r="B274" s="127" t="s">
        <v>290</v>
      </c>
      <c r="C274" s="128">
        <f t="shared" si="50"/>
        <v>0</v>
      </c>
      <c r="D274" s="277">
        <f>SUM(D275:D276)</f>
        <v>0</v>
      </c>
      <c r="E274" s="282">
        <f>SUM(E275:E276)</f>
        <v>0</v>
      </c>
      <c r="F274" s="28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row>
    <row r="275" spans="1:16" s="358" customFormat="1" ht="36" hidden="1" x14ac:dyDescent="0.25">
      <c r="A275" s="76">
        <v>7221</v>
      </c>
      <c r="B275" s="127" t="s">
        <v>291</v>
      </c>
      <c r="C275" s="128">
        <f t="shared" si="50"/>
        <v>0</v>
      </c>
      <c r="D275" s="134"/>
      <c r="E275" s="285"/>
      <c r="F275" s="286">
        <f t="shared" si="37"/>
        <v>0</v>
      </c>
      <c r="G275" s="134"/>
      <c r="H275" s="135"/>
      <c r="I275" s="136">
        <f t="shared" si="38"/>
        <v>0</v>
      </c>
      <c r="J275" s="134"/>
      <c r="K275" s="135"/>
      <c r="L275" s="136">
        <f t="shared" si="39"/>
        <v>0</v>
      </c>
      <c r="M275" s="284"/>
      <c r="N275" s="285"/>
      <c r="O275" s="136">
        <f t="shared" si="40"/>
        <v>0</v>
      </c>
      <c r="P275" s="85"/>
    </row>
    <row r="276" spans="1:16" s="358" customFormat="1" ht="36" hidden="1" x14ac:dyDescent="0.25">
      <c r="A276" s="76">
        <v>7222</v>
      </c>
      <c r="B276" s="127" t="s">
        <v>292</v>
      </c>
      <c r="C276" s="128">
        <f t="shared" si="50"/>
        <v>0</v>
      </c>
      <c r="D276" s="134"/>
      <c r="E276" s="285"/>
      <c r="F276" s="286">
        <f t="shared" si="37"/>
        <v>0</v>
      </c>
      <c r="G276" s="134"/>
      <c r="H276" s="135"/>
      <c r="I276" s="136">
        <f t="shared" si="38"/>
        <v>0</v>
      </c>
      <c r="J276" s="134"/>
      <c r="K276" s="135"/>
      <c r="L276" s="136">
        <f t="shared" si="39"/>
        <v>0</v>
      </c>
      <c r="M276" s="284"/>
      <c r="N276" s="285"/>
      <c r="O276" s="136">
        <f t="shared" si="40"/>
        <v>0</v>
      </c>
      <c r="P276" s="85"/>
    </row>
    <row r="277" spans="1:16" s="358" customFormat="1" ht="24" x14ac:dyDescent="0.25">
      <c r="A277" s="276">
        <v>7230</v>
      </c>
      <c r="B277" s="127" t="s">
        <v>293</v>
      </c>
      <c r="C277" s="128">
        <f t="shared" si="50"/>
        <v>160</v>
      </c>
      <c r="D277" s="134"/>
      <c r="E277" s="283"/>
      <c r="F277" s="279">
        <f t="shared" si="37"/>
        <v>0</v>
      </c>
      <c r="G277" s="134"/>
      <c r="H277" s="135"/>
      <c r="I277" s="136">
        <f t="shared" si="38"/>
        <v>0</v>
      </c>
      <c r="J277" s="134">
        <v>160</v>
      </c>
      <c r="K277" s="135"/>
      <c r="L277" s="136">
        <f t="shared" si="39"/>
        <v>160</v>
      </c>
      <c r="M277" s="284"/>
      <c r="N277" s="285"/>
      <c r="O277" s="136">
        <f>M277+N277</f>
        <v>0</v>
      </c>
      <c r="P277" s="85"/>
    </row>
    <row r="278" spans="1:16" ht="24" hidden="1" x14ac:dyDescent="0.25">
      <c r="A278" s="276">
        <v>7240</v>
      </c>
      <c r="B278" s="127" t="s">
        <v>294</v>
      </c>
      <c r="C278" s="128">
        <f t="shared" si="50"/>
        <v>0</v>
      </c>
      <c r="D278" s="277">
        <f>SUM(D279:D280)</f>
        <v>0</v>
      </c>
      <c r="E278" s="282">
        <f>SUM(E279:E280)</f>
        <v>0</v>
      </c>
      <c r="F278" s="28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row>
    <row r="279" spans="1:16" ht="48" hidden="1" x14ac:dyDescent="0.25">
      <c r="A279" s="76">
        <v>7245</v>
      </c>
      <c r="B279" s="127" t="s">
        <v>295</v>
      </c>
      <c r="C279" s="128">
        <f t="shared" si="50"/>
        <v>0</v>
      </c>
      <c r="D279" s="134"/>
      <c r="E279" s="285"/>
      <c r="F279" s="286">
        <f t="shared" si="37"/>
        <v>0</v>
      </c>
      <c r="G279" s="134"/>
      <c r="H279" s="135"/>
      <c r="I279" s="136">
        <f t="shared" si="38"/>
        <v>0</v>
      </c>
      <c r="J279" s="134"/>
      <c r="K279" s="135"/>
      <c r="L279" s="136">
        <f t="shared" si="39"/>
        <v>0</v>
      </c>
      <c r="M279" s="284"/>
      <c r="N279" s="285"/>
      <c r="O279" s="136">
        <f t="shared" ref="O279:O282" si="57">M279+N279</f>
        <v>0</v>
      </c>
      <c r="P279" s="85"/>
    </row>
    <row r="280" spans="1:16" ht="84" hidden="1" x14ac:dyDescent="0.25">
      <c r="A280" s="76">
        <v>7246</v>
      </c>
      <c r="B280" s="127" t="s">
        <v>296</v>
      </c>
      <c r="C280" s="128">
        <f t="shared" si="50"/>
        <v>0</v>
      </c>
      <c r="D280" s="134"/>
      <c r="E280" s="285"/>
      <c r="F280" s="286">
        <f t="shared" si="37"/>
        <v>0</v>
      </c>
      <c r="G280" s="134"/>
      <c r="H280" s="135"/>
      <c r="I280" s="136">
        <f t="shared" si="38"/>
        <v>0</v>
      </c>
      <c r="J280" s="134"/>
      <c r="K280" s="135"/>
      <c r="L280" s="136">
        <f t="shared" si="39"/>
        <v>0</v>
      </c>
      <c r="M280" s="284"/>
      <c r="N280" s="285"/>
      <c r="O280" s="136">
        <f t="shared" si="57"/>
        <v>0</v>
      </c>
      <c r="P280" s="85"/>
    </row>
    <row r="281" spans="1:16" ht="24" hidden="1" x14ac:dyDescent="0.25">
      <c r="A281" s="276">
        <v>7260</v>
      </c>
      <c r="B281" s="127" t="s">
        <v>297</v>
      </c>
      <c r="C281" s="128">
        <f t="shared" si="50"/>
        <v>0</v>
      </c>
      <c r="D281" s="123"/>
      <c r="E281" s="262"/>
      <c r="F281" s="263">
        <f t="shared" si="37"/>
        <v>0</v>
      </c>
      <c r="G281" s="123"/>
      <c r="H281" s="124"/>
      <c r="I281" s="125">
        <f t="shared" si="38"/>
        <v>0</v>
      </c>
      <c r="J281" s="123"/>
      <c r="K281" s="124"/>
      <c r="L281" s="125">
        <f t="shared" si="39"/>
        <v>0</v>
      </c>
      <c r="M281" s="264"/>
      <c r="N281" s="262"/>
      <c r="O281" s="125">
        <f t="shared" si="57"/>
        <v>0</v>
      </c>
      <c r="P281" s="74"/>
    </row>
    <row r="282" spans="1:16" hidden="1" x14ac:dyDescent="0.25">
      <c r="A282" s="99">
        <v>7700</v>
      </c>
      <c r="B282" s="247" t="s">
        <v>298</v>
      </c>
      <c r="C282" s="359">
        <f t="shared" si="50"/>
        <v>0</v>
      </c>
      <c r="D282" s="360">
        <f>D283</f>
        <v>0</v>
      </c>
      <c r="E282" s="304">
        <f>SUM(E283)</f>
        <v>0</v>
      </c>
      <c r="F282" s="316">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row>
    <row r="283" spans="1:16" hidden="1" x14ac:dyDescent="0.25">
      <c r="A283" s="141">
        <v>7720</v>
      </c>
      <c r="B283" s="142" t="s">
        <v>299</v>
      </c>
      <c r="C283" s="362">
        <f t="shared" si="50"/>
        <v>0</v>
      </c>
      <c r="D283" s="149"/>
      <c r="E283" s="363"/>
      <c r="F283" s="364">
        <f t="shared" si="37"/>
        <v>0</v>
      </c>
      <c r="G283" s="149"/>
      <c r="H283" s="150"/>
      <c r="I283" s="151">
        <f t="shared" si="38"/>
        <v>0</v>
      </c>
      <c r="J283" s="149"/>
      <c r="K283" s="150"/>
      <c r="L283" s="151">
        <f t="shared" si="39"/>
        <v>0</v>
      </c>
      <c r="M283" s="365"/>
      <c r="N283" s="363"/>
      <c r="O283" s="151">
        <f>M283+N283</f>
        <v>0</v>
      </c>
      <c r="P283" s="153"/>
    </row>
    <row r="284" spans="1:16" hidden="1" x14ac:dyDescent="0.25">
      <c r="A284" s="366"/>
      <c r="B284" s="179" t="s">
        <v>300</v>
      </c>
      <c r="C284" s="117">
        <f t="shared" si="50"/>
        <v>0</v>
      </c>
      <c r="D284" s="255">
        <f>SUM(D285:D286)</f>
        <v>0</v>
      </c>
      <c r="E284" s="261">
        <f>SUM(E285:E286)</f>
        <v>0</v>
      </c>
      <c r="F284" s="310">
        <f t="shared" si="37"/>
        <v>0</v>
      </c>
      <c r="G284" s="255">
        <f>SUM(G285:G286)</f>
        <v>0</v>
      </c>
      <c r="H284" s="258">
        <f>SUM(H285:H286)</f>
        <v>0</v>
      </c>
      <c r="I284" s="259">
        <f t="shared" si="38"/>
        <v>0</v>
      </c>
      <c r="J284" s="255">
        <f>SUM(J285:J286)</f>
        <v>0</v>
      </c>
      <c r="K284" s="258">
        <f>SUM(K285:K286)</f>
        <v>0</v>
      </c>
      <c r="L284" s="259">
        <f t="shared" si="39"/>
        <v>0</v>
      </c>
      <c r="M284" s="260">
        <f>SUM(M285:M286)</f>
        <v>0</v>
      </c>
      <c r="N284" s="261">
        <f>SUM(N285:N286)</f>
        <v>0</v>
      </c>
      <c r="O284" s="259">
        <f t="shared" ref="O284:O299" si="58">M284+N284</f>
        <v>0</v>
      </c>
      <c r="P284" s="189"/>
    </row>
    <row r="285" spans="1:16" hidden="1" x14ac:dyDescent="0.25">
      <c r="A285" s="346" t="s">
        <v>301</v>
      </c>
      <c r="B285" s="76" t="s">
        <v>302</v>
      </c>
      <c r="C285" s="279">
        <f t="shared" si="50"/>
        <v>0</v>
      </c>
      <c r="D285" s="134"/>
      <c r="E285" s="285"/>
      <c r="F285" s="286">
        <f t="shared" si="37"/>
        <v>0</v>
      </c>
      <c r="G285" s="134"/>
      <c r="H285" s="135"/>
      <c r="I285" s="136">
        <f t="shared" si="38"/>
        <v>0</v>
      </c>
      <c r="J285" s="134"/>
      <c r="K285" s="135"/>
      <c r="L285" s="136">
        <f t="shared" si="39"/>
        <v>0</v>
      </c>
      <c r="M285" s="284"/>
      <c r="N285" s="285"/>
      <c r="O285" s="136">
        <f t="shared" si="58"/>
        <v>0</v>
      </c>
      <c r="P285" s="85"/>
    </row>
    <row r="286" spans="1:16" ht="24" hidden="1" x14ac:dyDescent="0.25">
      <c r="A286" s="346" t="s">
        <v>303</v>
      </c>
      <c r="B286" s="367" t="s">
        <v>304</v>
      </c>
      <c r="C286" s="117">
        <f t="shared" si="50"/>
        <v>0</v>
      </c>
      <c r="D286" s="123"/>
      <c r="E286" s="262"/>
      <c r="F286" s="263">
        <f t="shared" si="37"/>
        <v>0</v>
      </c>
      <c r="G286" s="123"/>
      <c r="H286" s="124"/>
      <c r="I286" s="125">
        <f t="shared" si="38"/>
        <v>0</v>
      </c>
      <c r="J286" s="123"/>
      <c r="K286" s="124"/>
      <c r="L286" s="125">
        <f t="shared" si="39"/>
        <v>0</v>
      </c>
      <c r="M286" s="264"/>
      <c r="N286" s="262"/>
      <c r="O286" s="125">
        <f t="shared" si="58"/>
        <v>0</v>
      </c>
      <c r="P286" s="74"/>
    </row>
    <row r="287" spans="1:16" x14ac:dyDescent="0.25">
      <c r="A287" s="368"/>
      <c r="B287" s="369" t="s">
        <v>305</v>
      </c>
      <c r="C287" s="370">
        <f>SUM(C284,C271,C233,C198,C190,C176,C78,C56)</f>
        <v>574029</v>
      </c>
      <c r="D287" s="371">
        <f>SUM(D284,D271,D233,D198,D190,D176,D78,D56)</f>
        <v>522112</v>
      </c>
      <c r="E287" s="372">
        <f>SUM(E284,E271,E233,E198,E190,E176,E78,E56)</f>
        <v>0</v>
      </c>
      <c r="F287" s="373">
        <f t="shared" si="37"/>
        <v>522112</v>
      </c>
      <c r="G287" s="371">
        <f>SUM(G284,G271,G233,G198,G190,G176,G78,G56)</f>
        <v>46140</v>
      </c>
      <c r="H287" s="374">
        <f>SUM(H284,H271,H233,H198,H190,H176,H78,H56)</f>
        <v>0</v>
      </c>
      <c r="I287" s="375">
        <f t="shared" si="38"/>
        <v>46140</v>
      </c>
      <c r="J287" s="371">
        <f>SUM(J284,J271,J233,J198,J190,J176,J78,J56)</f>
        <v>5777</v>
      </c>
      <c r="K287" s="374">
        <f>SUM(K284,K271,K233,K198,K190,K176,K78,K56)</f>
        <v>0</v>
      </c>
      <c r="L287" s="375">
        <f t="shared" si="39"/>
        <v>5777</v>
      </c>
      <c r="M287" s="250">
        <f>SUM(M284,M271,M233,M198,M190,M176,M78,M56)</f>
        <v>0</v>
      </c>
      <c r="N287" s="251">
        <f>SUM(N284,N271,N233,N198,N190,N176,N78,N56)</f>
        <v>0</v>
      </c>
      <c r="O287" s="252">
        <f t="shared" si="58"/>
        <v>0</v>
      </c>
      <c r="P287" s="253"/>
    </row>
    <row r="288" spans="1:16" x14ac:dyDescent="0.25">
      <c r="A288" s="376" t="s">
        <v>306</v>
      </c>
      <c r="B288" s="377"/>
      <c r="C288" s="378">
        <f t="shared" ref="C288" si="59">F288+I288+L288+O288</f>
        <v>-2149</v>
      </c>
      <c r="D288" s="379">
        <f>SUM(D28,D29,D45)-D54</f>
        <v>0</v>
      </c>
      <c r="E288" s="380">
        <f>SUM(E28,E29,E45)-E54</f>
        <v>0</v>
      </c>
      <c r="F288" s="381">
        <f t="shared" si="37"/>
        <v>0</v>
      </c>
      <c r="G288" s="379">
        <f>SUM(G28,G29,G45)-G54</f>
        <v>0</v>
      </c>
      <c r="H288" s="382">
        <f>SUM(H28,H29,H45)-H54</f>
        <v>0</v>
      </c>
      <c r="I288" s="383">
        <f t="shared" si="38"/>
        <v>0</v>
      </c>
      <c r="J288" s="379">
        <f>(J30+J46)-J54</f>
        <v>-2149</v>
      </c>
      <c r="K288" s="382">
        <f>(K30+K46)-K54</f>
        <v>0</v>
      </c>
      <c r="L288" s="383">
        <f t="shared" si="39"/>
        <v>-2149</v>
      </c>
      <c r="M288" s="378">
        <f>M48-M54</f>
        <v>0</v>
      </c>
      <c r="N288" s="384">
        <f>N48-N54</f>
        <v>0</v>
      </c>
      <c r="O288" s="383">
        <f t="shared" si="58"/>
        <v>0</v>
      </c>
      <c r="P288" s="385"/>
    </row>
    <row r="289" spans="1:17" s="41" customFormat="1" x14ac:dyDescent="0.25">
      <c r="A289" s="376" t="s">
        <v>307</v>
      </c>
      <c r="B289" s="377"/>
      <c r="C289" s="380">
        <f>SUM(C290,C291)-C298+C299</f>
        <v>2149</v>
      </c>
      <c r="D289" s="379">
        <f>SUM(D290,D291)-D298+D299</f>
        <v>0</v>
      </c>
      <c r="E289" s="380">
        <f>SUM(E290,E291)-E298+E299</f>
        <v>0</v>
      </c>
      <c r="F289" s="381">
        <f t="shared" si="37"/>
        <v>0</v>
      </c>
      <c r="G289" s="379">
        <f>SUM(G290,G291)-G298+G299</f>
        <v>0</v>
      </c>
      <c r="H289" s="382">
        <f>SUM(H290,H291)-H298+H299</f>
        <v>0</v>
      </c>
      <c r="I289" s="383">
        <f t="shared" si="38"/>
        <v>0</v>
      </c>
      <c r="J289" s="379">
        <f>SUM(J290,J291)-J298+J299</f>
        <v>2149</v>
      </c>
      <c r="K289" s="382">
        <f>SUM(K290,K291)-K298+K299</f>
        <v>0</v>
      </c>
      <c r="L289" s="383">
        <f t="shared" si="39"/>
        <v>2149</v>
      </c>
      <c r="M289" s="378">
        <f>SUM(M290,M291)-M298+M299</f>
        <v>0</v>
      </c>
      <c r="N289" s="384">
        <f>SUM(N290,N291)-N298+N299</f>
        <v>0</v>
      </c>
      <c r="O289" s="383">
        <f t="shared" si="58"/>
        <v>0</v>
      </c>
      <c r="P289" s="385"/>
    </row>
    <row r="290" spans="1:17" s="41" customFormat="1" x14ac:dyDescent="0.25">
      <c r="A290" s="386" t="s">
        <v>308</v>
      </c>
      <c r="B290" s="386" t="s">
        <v>309</v>
      </c>
      <c r="C290" s="380">
        <f>C25-C284</f>
        <v>2149</v>
      </c>
      <c r="D290" s="379">
        <f>D25-D284</f>
        <v>0</v>
      </c>
      <c r="E290" s="380">
        <f>E25-E284</f>
        <v>0</v>
      </c>
      <c r="F290" s="381">
        <f t="shared" si="37"/>
        <v>0</v>
      </c>
      <c r="G290" s="379">
        <f>G25-G284</f>
        <v>0</v>
      </c>
      <c r="H290" s="382">
        <f>H25-H284</f>
        <v>0</v>
      </c>
      <c r="I290" s="383">
        <f t="shared" si="38"/>
        <v>0</v>
      </c>
      <c r="J290" s="379">
        <f>J25-J284</f>
        <v>2149</v>
      </c>
      <c r="K290" s="382">
        <f>K25-K284</f>
        <v>0</v>
      </c>
      <c r="L290" s="383">
        <f t="shared" si="39"/>
        <v>2149</v>
      </c>
      <c r="M290" s="378">
        <f>M25-M284</f>
        <v>0</v>
      </c>
      <c r="N290" s="384">
        <f>N25-N284</f>
        <v>0</v>
      </c>
      <c r="O290" s="383">
        <f t="shared" si="58"/>
        <v>0</v>
      </c>
      <c r="P290" s="385"/>
    </row>
    <row r="291" spans="1:17" s="41" customFormat="1" hidden="1" x14ac:dyDescent="0.25">
      <c r="A291" s="387" t="s">
        <v>310</v>
      </c>
      <c r="B291" s="387" t="s">
        <v>311</v>
      </c>
      <c r="C291" s="380">
        <f>SUM(C292,C294,C296)-SUM(C293,C295,C297)</f>
        <v>0</v>
      </c>
      <c r="D291" s="379">
        <f t="shared" ref="D291:E291" si="60">SUM(D292,D294,D296)-SUM(D293,D295,D297)</f>
        <v>0</v>
      </c>
      <c r="E291" s="384">
        <f t="shared" si="60"/>
        <v>0</v>
      </c>
      <c r="F291" s="388">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row>
    <row r="292" spans="1:17" s="41" customFormat="1" hidden="1" x14ac:dyDescent="0.25">
      <c r="A292" s="366" t="s">
        <v>312</v>
      </c>
      <c r="B292" s="190" t="s">
        <v>313</v>
      </c>
      <c r="C292" s="143">
        <f t="shared" ref="C292:C299" si="64">F292+I292+L292+O292</f>
        <v>0</v>
      </c>
      <c r="D292" s="149"/>
      <c r="E292" s="363"/>
      <c r="F292" s="364">
        <f t="shared" si="37"/>
        <v>0</v>
      </c>
      <c r="G292" s="149"/>
      <c r="H292" s="150"/>
      <c r="I292" s="151">
        <f t="shared" si="38"/>
        <v>0</v>
      </c>
      <c r="J292" s="149"/>
      <c r="K292" s="150"/>
      <c r="L292" s="151">
        <f t="shared" si="39"/>
        <v>0</v>
      </c>
      <c r="M292" s="365"/>
      <c r="N292" s="363"/>
      <c r="O292" s="151">
        <f t="shared" si="58"/>
        <v>0</v>
      </c>
      <c r="P292" s="153"/>
    </row>
    <row r="293" spans="1:17" hidden="1" x14ac:dyDescent="0.25">
      <c r="A293" s="346" t="s">
        <v>314</v>
      </c>
      <c r="B293" s="75" t="s">
        <v>315</v>
      </c>
      <c r="C293" s="128">
        <f t="shared" si="64"/>
        <v>0</v>
      </c>
      <c r="D293" s="134"/>
      <c r="E293" s="285"/>
      <c r="F293" s="286">
        <f t="shared" si="37"/>
        <v>0</v>
      </c>
      <c r="G293" s="134"/>
      <c r="H293" s="135"/>
      <c r="I293" s="136">
        <f t="shared" si="38"/>
        <v>0</v>
      </c>
      <c r="J293" s="134"/>
      <c r="K293" s="135"/>
      <c r="L293" s="136">
        <f t="shared" si="39"/>
        <v>0</v>
      </c>
      <c r="M293" s="284"/>
      <c r="N293" s="285"/>
      <c r="O293" s="136">
        <f t="shared" si="58"/>
        <v>0</v>
      </c>
      <c r="P293" s="85"/>
    </row>
    <row r="294" spans="1:17" hidden="1" x14ac:dyDescent="0.25">
      <c r="A294" s="346" t="s">
        <v>316</v>
      </c>
      <c r="B294" s="75" t="s">
        <v>317</v>
      </c>
      <c r="C294" s="128">
        <f t="shared" si="64"/>
        <v>0</v>
      </c>
      <c r="D294" s="134"/>
      <c r="E294" s="285"/>
      <c r="F294" s="286">
        <f t="shared" si="37"/>
        <v>0</v>
      </c>
      <c r="G294" s="134"/>
      <c r="H294" s="135"/>
      <c r="I294" s="136">
        <f t="shared" si="38"/>
        <v>0</v>
      </c>
      <c r="J294" s="134"/>
      <c r="K294" s="135"/>
      <c r="L294" s="136">
        <f t="shared" si="39"/>
        <v>0</v>
      </c>
      <c r="M294" s="284"/>
      <c r="N294" s="285"/>
      <c r="O294" s="136">
        <f t="shared" si="58"/>
        <v>0</v>
      </c>
      <c r="P294" s="85"/>
    </row>
    <row r="295" spans="1:17" ht="24" hidden="1" x14ac:dyDescent="0.25">
      <c r="A295" s="346" t="s">
        <v>318</v>
      </c>
      <c r="B295" s="75" t="s">
        <v>319</v>
      </c>
      <c r="C295" s="128">
        <f t="shared" si="64"/>
        <v>0</v>
      </c>
      <c r="D295" s="134"/>
      <c r="E295" s="285"/>
      <c r="F295" s="286">
        <f t="shared" si="37"/>
        <v>0</v>
      </c>
      <c r="G295" s="134"/>
      <c r="H295" s="135"/>
      <c r="I295" s="136">
        <f t="shared" si="38"/>
        <v>0</v>
      </c>
      <c r="J295" s="134"/>
      <c r="K295" s="135"/>
      <c r="L295" s="136">
        <f t="shared" si="39"/>
        <v>0</v>
      </c>
      <c r="M295" s="284"/>
      <c r="N295" s="285"/>
      <c r="O295" s="136">
        <f t="shared" si="58"/>
        <v>0</v>
      </c>
      <c r="P295" s="85"/>
    </row>
    <row r="296" spans="1:17" hidden="1" x14ac:dyDescent="0.25">
      <c r="A296" s="346" t="s">
        <v>320</v>
      </c>
      <c r="B296" s="75" t="s">
        <v>321</v>
      </c>
      <c r="C296" s="128">
        <f t="shared" si="64"/>
        <v>0</v>
      </c>
      <c r="D296" s="134"/>
      <c r="E296" s="285"/>
      <c r="F296" s="286">
        <f t="shared" si="37"/>
        <v>0</v>
      </c>
      <c r="G296" s="134"/>
      <c r="H296" s="135"/>
      <c r="I296" s="136">
        <f t="shared" si="38"/>
        <v>0</v>
      </c>
      <c r="J296" s="134"/>
      <c r="K296" s="135"/>
      <c r="L296" s="136">
        <f t="shared" si="39"/>
        <v>0</v>
      </c>
      <c r="M296" s="284"/>
      <c r="N296" s="285"/>
      <c r="O296" s="136">
        <f t="shared" si="58"/>
        <v>0</v>
      </c>
      <c r="P296" s="85"/>
    </row>
    <row r="297" spans="1:17" hidden="1" x14ac:dyDescent="0.25">
      <c r="A297" s="389" t="s">
        <v>322</v>
      </c>
      <c r="B297" s="390" t="s">
        <v>323</v>
      </c>
      <c r="C297" s="327">
        <f t="shared" si="64"/>
        <v>0</v>
      </c>
      <c r="D297" s="328"/>
      <c r="E297" s="329"/>
      <c r="F297" s="330">
        <f t="shared" si="37"/>
        <v>0</v>
      </c>
      <c r="G297" s="328"/>
      <c r="H297" s="331"/>
      <c r="I297" s="324">
        <f t="shared" si="38"/>
        <v>0</v>
      </c>
      <c r="J297" s="328"/>
      <c r="K297" s="331"/>
      <c r="L297" s="324">
        <f t="shared" si="39"/>
        <v>0</v>
      </c>
      <c r="M297" s="332"/>
      <c r="N297" s="329"/>
      <c r="O297" s="324">
        <f t="shared" si="58"/>
        <v>0</v>
      </c>
      <c r="P297" s="325"/>
    </row>
    <row r="298" spans="1:17" hidden="1" x14ac:dyDescent="0.25">
      <c r="A298" s="387" t="s">
        <v>324</v>
      </c>
      <c r="B298" s="387" t="s">
        <v>325</v>
      </c>
      <c r="C298" s="391">
        <f t="shared" si="64"/>
        <v>0</v>
      </c>
      <c r="D298" s="392"/>
      <c r="E298" s="393"/>
      <c r="F298" s="388">
        <f t="shared" si="37"/>
        <v>0</v>
      </c>
      <c r="G298" s="392"/>
      <c r="H298" s="394"/>
      <c r="I298" s="383">
        <f t="shared" si="38"/>
        <v>0</v>
      </c>
      <c r="J298" s="392"/>
      <c r="K298" s="394"/>
      <c r="L298" s="383">
        <f t="shared" si="39"/>
        <v>0</v>
      </c>
      <c r="M298" s="395"/>
      <c r="N298" s="393"/>
      <c r="O298" s="383">
        <f t="shared" si="58"/>
        <v>0</v>
      </c>
      <c r="P298" s="385"/>
    </row>
    <row r="299" spans="1:17" s="41" customFormat="1" ht="36" hidden="1" x14ac:dyDescent="0.25">
      <c r="A299" s="387" t="s">
        <v>326</v>
      </c>
      <c r="B299" s="396" t="s">
        <v>327</v>
      </c>
      <c r="C299" s="397">
        <f t="shared" si="64"/>
        <v>0</v>
      </c>
      <c r="D299" s="398"/>
      <c r="E299" s="399"/>
      <c r="F299" s="400">
        <f t="shared" si="37"/>
        <v>0</v>
      </c>
      <c r="G299" s="392"/>
      <c r="H299" s="394"/>
      <c r="I299" s="383">
        <f t="shared" si="38"/>
        <v>0</v>
      </c>
      <c r="J299" s="392"/>
      <c r="K299" s="394"/>
      <c r="L299" s="383">
        <f t="shared" si="39"/>
        <v>0</v>
      </c>
      <c r="M299" s="395"/>
      <c r="N299" s="393"/>
      <c r="O299" s="383">
        <f t="shared" si="58"/>
        <v>0</v>
      </c>
      <c r="P299" s="385"/>
    </row>
    <row r="300" spans="1:17"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17" ht="12.75" thickBot="1" x14ac:dyDescent="0.3">
      <c r="A301" s="404"/>
      <c r="B301" s="405"/>
      <c r="C301" s="405"/>
      <c r="D301" s="405"/>
      <c r="E301" s="405"/>
      <c r="F301" s="405"/>
      <c r="G301" s="405"/>
      <c r="H301" s="405"/>
      <c r="I301" s="405"/>
      <c r="J301" s="405"/>
      <c r="K301" s="405"/>
      <c r="L301" s="405"/>
      <c r="M301" s="405"/>
      <c r="N301" s="405"/>
      <c r="O301" s="405"/>
      <c r="P301" s="406"/>
      <c r="Q301" s="7"/>
    </row>
    <row r="302" spans="1:17" x14ac:dyDescent="0.25">
      <c r="A302" s="5"/>
      <c r="B302" s="5"/>
      <c r="C302" s="5"/>
      <c r="D302" s="5"/>
      <c r="E302" s="5"/>
      <c r="F302" s="5"/>
      <c r="G302" s="5"/>
      <c r="H302" s="5"/>
      <c r="I302" s="5"/>
      <c r="J302" s="5"/>
      <c r="K302" s="5"/>
      <c r="L302" s="5"/>
      <c r="M302" s="5"/>
      <c r="N302" s="5"/>
      <c r="O302" s="5"/>
    </row>
    <row r="303" spans="1:17" x14ac:dyDescent="0.25">
      <c r="A303" s="5"/>
      <c r="B303" s="5"/>
      <c r="C303" s="5"/>
      <c r="D303" s="5"/>
      <c r="E303" s="5"/>
      <c r="F303" s="5"/>
      <c r="G303" s="5"/>
      <c r="H303" s="5"/>
      <c r="I303" s="5"/>
      <c r="J303" s="5"/>
      <c r="K303" s="5"/>
      <c r="L303" s="5"/>
      <c r="M303" s="5"/>
      <c r="N303" s="5"/>
      <c r="O303" s="5"/>
    </row>
    <row r="304" spans="1:17"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VRE/N2rDTXt2aQ+MOLPom3odbDtyY1xWKj3Y8xgFuPaD/gpHQgyLnPwubarHDvJNpS86DAy2uEZP10cbftBmAQ==" saltValue="70uWi46/M9zRfyxnr9RP2Q==" spinCount="100000" sheet="1" objects="1" scenarios="1" selectLockedCells="1" selectUnlockedCells="1"/>
  <autoFilter ref="A22:P300">
    <filterColumn colId="2">
      <filters blank="1">
        <filter val="1 394"/>
        <filter val="1 439"/>
        <filter val="1 461"/>
        <filter val="1 700"/>
        <filter val="11 099"/>
        <filter val="118 995"/>
        <filter val="130"/>
        <filter val="145"/>
        <filter val="15 054"/>
        <filter val="150"/>
        <filter val="16 043"/>
        <filter val="160"/>
        <filter val="165"/>
        <filter val="166"/>
        <filter val="183"/>
        <filter val="2 003"/>
        <filter val="2 070"/>
        <filter val="2 149"/>
        <filter val="-2 149"/>
        <filter val="2 269"/>
        <filter val="2 417"/>
        <filter val="2 865"/>
        <filter val="2 932"/>
        <filter val="204"/>
        <filter val="23 608"/>
        <filter val="27 126"/>
        <filter val="27 570"/>
        <filter val="29"/>
        <filter val="3 264"/>
        <filter val="3 470"/>
        <filter val="3 623"/>
        <filter val="3 748"/>
        <filter val="316"/>
        <filter val="32 081"/>
        <filter val="337 442"/>
        <filter val="371 223"/>
        <filter val="385"/>
        <filter val="4 125"/>
        <filter val="4 173"/>
        <filter val="4 720"/>
        <filter val="4 864"/>
        <filter val="40"/>
        <filter val="428"/>
        <filter val="45 489"/>
        <filter val="46"/>
        <filter val="474"/>
        <filter val="490 218"/>
        <filter val="5"/>
        <filter val="5 182"/>
        <filter val="5 440"/>
        <filter val="5 505"/>
        <filter val="5 665"/>
        <filter val="505"/>
        <filter val="535"/>
        <filter val="539"/>
        <filter val="555"/>
        <filter val="568 252"/>
        <filter val="568 364"/>
        <filter val="574 029"/>
        <filter val="62 705"/>
        <filter val="65"/>
        <filter val="7 376"/>
        <filter val="7 422"/>
        <filter val="7 958"/>
        <filter val="712"/>
        <filter val="72"/>
        <filter val="78 146"/>
        <filter val="8 944"/>
        <filter val="906"/>
        <filter val="91 425"/>
        <filter val="922"/>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102.pielikums Jūrmalas pilsētas domes
2017.gada 30.janvāra saistošajiem noteikumiem Nr.10
(Protokols Nr.4, 1.punkts)
 </firstHeader>
    <firstFooter>&amp;L&amp;9&amp;D; &amp;T&amp;R&amp;9&amp;P (&amp;N)</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U321"/>
  <sheetViews>
    <sheetView view="pageLayout" zoomScaleNormal="100" workbookViewId="0">
      <selection activeCell="S13" sqref="S13"/>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6.7109375" style="5" customWidth="1" collapsed="1"/>
    <col min="18" max="18" width="8.42578125" style="5" customWidth="1"/>
    <col min="19" max="20" width="7.5703125" style="5" customWidth="1"/>
    <col min="21" max="16384" width="9.140625" style="5"/>
  </cols>
  <sheetData>
    <row r="1" spans="1:17" x14ac:dyDescent="0.25">
      <c r="B1" s="2"/>
      <c r="C1" s="2"/>
      <c r="D1" s="2"/>
      <c r="E1" s="2"/>
      <c r="F1" s="2"/>
      <c r="G1" s="2"/>
      <c r="H1" s="2"/>
      <c r="I1" s="2"/>
      <c r="J1" s="2"/>
      <c r="K1" s="2"/>
      <c r="L1" s="2"/>
      <c r="M1" s="3"/>
      <c r="N1" s="3"/>
      <c r="O1" s="4" t="s">
        <v>1164</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7"/>
    </row>
    <row r="4" spans="1:17" ht="15.75"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1165</v>
      </c>
      <c r="D6" s="1555"/>
      <c r="E6" s="1555"/>
      <c r="F6" s="1555"/>
      <c r="G6" s="1555"/>
      <c r="H6" s="1555"/>
      <c r="I6" s="1555"/>
      <c r="J6" s="1555"/>
      <c r="K6" s="1555"/>
      <c r="L6" s="1555"/>
      <c r="M6" s="1555"/>
      <c r="N6" s="1555"/>
      <c r="O6" s="1555"/>
      <c r="P6" s="1556"/>
      <c r="Q6" s="7"/>
    </row>
    <row r="7" spans="1:17" ht="12.75" x14ac:dyDescent="0.25">
      <c r="A7" s="13" t="s">
        <v>4</v>
      </c>
      <c r="B7" s="14"/>
      <c r="C7" s="1555" t="s">
        <v>1166</v>
      </c>
      <c r="D7" s="1555"/>
      <c r="E7" s="1555"/>
      <c r="F7" s="1555"/>
      <c r="G7" s="1555"/>
      <c r="H7" s="1555"/>
      <c r="I7" s="1555"/>
      <c r="J7" s="1555"/>
      <c r="K7" s="1555"/>
      <c r="L7" s="1555"/>
      <c r="M7" s="1555"/>
      <c r="N7" s="1555"/>
      <c r="O7" s="1555"/>
      <c r="P7" s="1556"/>
      <c r="Q7" s="7"/>
    </row>
    <row r="8" spans="1:17" x14ac:dyDescent="0.25">
      <c r="A8" s="8" t="s">
        <v>6</v>
      </c>
      <c r="B8" s="9"/>
      <c r="C8" s="1553" t="s">
        <v>1167</v>
      </c>
      <c r="D8" s="1553"/>
      <c r="E8" s="1553"/>
      <c r="F8" s="1553"/>
      <c r="G8" s="1553"/>
      <c r="H8" s="1553"/>
      <c r="I8" s="1553"/>
      <c r="J8" s="1553"/>
      <c r="K8" s="1553"/>
      <c r="L8" s="1553"/>
      <c r="M8" s="1553"/>
      <c r="N8" s="1553"/>
      <c r="O8" s="1553"/>
      <c r="P8" s="1554"/>
      <c r="Q8" s="7"/>
    </row>
    <row r="9" spans="1:17" x14ac:dyDescent="0.25">
      <c r="A9" s="8" t="s">
        <v>8</v>
      </c>
      <c r="B9" s="9"/>
      <c r="C9" s="1553" t="s">
        <v>9</v>
      </c>
      <c r="D9" s="1553"/>
      <c r="E9" s="1553"/>
      <c r="F9" s="1553"/>
      <c r="G9" s="1553"/>
      <c r="H9" s="1553"/>
      <c r="I9" s="1553"/>
      <c r="J9" s="1553"/>
      <c r="K9" s="1553"/>
      <c r="L9" s="1553"/>
      <c r="M9" s="1553"/>
      <c r="N9" s="1553"/>
      <c r="O9" s="1553"/>
      <c r="P9" s="1554"/>
      <c r="Q9" s="7"/>
    </row>
    <row r="10" spans="1:17" ht="24" customHeight="1" x14ac:dyDescent="0.25">
      <c r="A10" s="8" t="s">
        <v>10</v>
      </c>
      <c r="B10" s="9"/>
      <c r="C10" s="1555" t="s">
        <v>11</v>
      </c>
      <c r="D10" s="1555"/>
      <c r="E10" s="1555"/>
      <c r="F10" s="1555"/>
      <c r="G10" s="1555"/>
      <c r="H10" s="1555"/>
      <c r="I10" s="1555"/>
      <c r="J10" s="1555"/>
      <c r="K10" s="1555"/>
      <c r="L10" s="1555"/>
      <c r="M10" s="1555"/>
      <c r="N10" s="1555"/>
      <c r="O10" s="1555"/>
      <c r="P10" s="1556"/>
      <c r="Q10" s="7"/>
    </row>
    <row r="11" spans="1:17" x14ac:dyDescent="0.25">
      <c r="A11" s="8" t="s">
        <v>12</v>
      </c>
      <c r="B11" s="9"/>
      <c r="C11" s="1555" t="s">
        <v>13</v>
      </c>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1168</v>
      </c>
      <c r="D13" s="1553"/>
      <c r="E13" s="1553"/>
      <c r="F13" s="1553"/>
      <c r="G13" s="1553"/>
      <c r="H13" s="1553"/>
      <c r="I13" s="1553"/>
      <c r="J13" s="1553"/>
      <c r="K13" s="1553"/>
      <c r="L13" s="1553"/>
      <c r="M13" s="1553"/>
      <c r="N13" s="1553"/>
      <c r="O13" s="1553"/>
      <c r="P13" s="1554"/>
      <c r="Q13" s="7"/>
    </row>
    <row r="14" spans="1:17" x14ac:dyDescent="0.25">
      <c r="A14" s="8"/>
      <c r="B14" s="9" t="s">
        <v>17</v>
      </c>
      <c r="C14" s="1553" t="s">
        <v>1169</v>
      </c>
      <c r="D14" s="1553"/>
      <c r="E14" s="1553"/>
      <c r="F14" s="1553"/>
      <c r="G14" s="1553"/>
      <c r="H14" s="1553"/>
      <c r="I14" s="1553"/>
      <c r="J14" s="1553"/>
      <c r="K14" s="1553"/>
      <c r="L14" s="1553"/>
      <c r="M14" s="1553"/>
      <c r="N14" s="1553"/>
      <c r="O14" s="1553"/>
      <c r="P14" s="1554"/>
      <c r="Q14" s="7"/>
    </row>
    <row r="15" spans="1:17" x14ac:dyDescent="0.25">
      <c r="A15" s="8"/>
      <c r="B15" s="9" t="s">
        <v>19</v>
      </c>
      <c r="C15" s="1553"/>
      <c r="D15" s="1553"/>
      <c r="E15" s="1553"/>
      <c r="F15" s="1553"/>
      <c r="G15" s="1553"/>
      <c r="H15" s="1553"/>
      <c r="I15" s="1553"/>
      <c r="J15" s="1553"/>
      <c r="K15" s="1553"/>
      <c r="L15" s="1553"/>
      <c r="M15" s="1553"/>
      <c r="N15" s="1553"/>
      <c r="O15" s="1553"/>
      <c r="P15" s="1554"/>
      <c r="Q15" s="7"/>
    </row>
    <row r="16" spans="1:17" x14ac:dyDescent="0.25">
      <c r="A16" s="8"/>
      <c r="B16" s="9" t="s">
        <v>20</v>
      </c>
      <c r="C16" s="1553" t="s">
        <v>1170</v>
      </c>
      <c r="D16" s="1553"/>
      <c r="E16" s="1553"/>
      <c r="F16" s="1553"/>
      <c r="G16" s="1553"/>
      <c r="H16" s="1553"/>
      <c r="I16" s="1553"/>
      <c r="J16" s="1553"/>
      <c r="K16" s="1553"/>
      <c r="L16" s="1553"/>
      <c r="M16" s="1553"/>
      <c r="N16" s="1553"/>
      <c r="O16" s="1553"/>
      <c r="P16" s="1554"/>
      <c r="Q16" s="7"/>
    </row>
    <row r="17" spans="1:21" x14ac:dyDescent="0.25">
      <c r="A17" s="8"/>
      <c r="B17" s="9" t="s">
        <v>22</v>
      </c>
      <c r="C17" s="1553" t="s">
        <v>1171</v>
      </c>
      <c r="D17" s="1553"/>
      <c r="E17" s="1553"/>
      <c r="F17" s="1553"/>
      <c r="G17" s="1553"/>
      <c r="H17" s="1553"/>
      <c r="I17" s="1553"/>
      <c r="J17" s="1553"/>
      <c r="K17" s="1553"/>
      <c r="L17" s="1553"/>
      <c r="M17" s="1553"/>
      <c r="N17" s="1553"/>
      <c r="O17" s="1553"/>
      <c r="P17" s="1554"/>
      <c r="Q17" s="7"/>
    </row>
    <row r="18" spans="1:21" x14ac:dyDescent="0.25">
      <c r="A18" s="18"/>
      <c r="B18" s="19"/>
      <c r="C18" s="1569"/>
      <c r="D18" s="1569"/>
      <c r="E18" s="1569"/>
      <c r="F18" s="1569"/>
      <c r="G18" s="1569"/>
      <c r="H18" s="1569"/>
      <c r="I18" s="1569"/>
      <c r="J18" s="1569"/>
      <c r="K18" s="1569"/>
      <c r="L18" s="1569"/>
      <c r="M18" s="1569"/>
      <c r="N18" s="1569"/>
      <c r="O18" s="1569"/>
      <c r="P18" s="1570"/>
      <c r="Q18" s="7"/>
    </row>
    <row r="19" spans="1:21"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1"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21" s="21" customFormat="1" ht="70.5" customHeight="1" thickBot="1" x14ac:dyDescent="0.3">
      <c r="A21" s="1573"/>
      <c r="B21" s="1576"/>
      <c r="C21" s="1581"/>
      <c r="D21" s="1566"/>
      <c r="E21" s="1568"/>
      <c r="F21" s="1564"/>
      <c r="G21" s="1566"/>
      <c r="H21" s="1568"/>
      <c r="I21" s="1564"/>
      <c r="J21" s="1566"/>
      <c r="K21" s="1568"/>
      <c r="L21" s="1564"/>
      <c r="M21" s="1566"/>
      <c r="N21" s="1568"/>
      <c r="O21" s="1564"/>
      <c r="P21" s="1576"/>
    </row>
    <row r="22" spans="1:21"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1" s="41" customFormat="1" x14ac:dyDescent="0.25">
      <c r="A23" s="30"/>
      <c r="B23" s="31" t="s">
        <v>41</v>
      </c>
      <c r="C23" s="32"/>
      <c r="D23" s="33"/>
      <c r="E23" s="34"/>
      <c r="F23" s="35"/>
      <c r="G23" s="33"/>
      <c r="H23" s="36"/>
      <c r="I23" s="37"/>
      <c r="J23" s="33"/>
      <c r="K23" s="38"/>
      <c r="L23" s="37"/>
      <c r="M23" s="38"/>
      <c r="N23" s="39"/>
      <c r="O23" s="37"/>
      <c r="P23" s="40"/>
    </row>
    <row r="24" spans="1:21" s="41" customFormat="1" ht="12.75" thickBot="1" x14ac:dyDescent="0.3">
      <c r="A24" s="42"/>
      <c r="B24" s="43" t="s">
        <v>42</v>
      </c>
      <c r="C24" s="44">
        <f>F24+I24+L24+O24</f>
        <v>353103</v>
      </c>
      <c r="D24" s="45">
        <f>SUM(D25,D28,D29,D45,D46)</f>
        <v>320885</v>
      </c>
      <c r="E24" s="46">
        <f>SUM(E25,E28,E29,E45,E46)</f>
        <v>0</v>
      </c>
      <c r="F24" s="47">
        <f t="shared" ref="F24:F29" si="0">D24+E24</f>
        <v>320885</v>
      </c>
      <c r="G24" s="45">
        <f>SUM(G25,G28,G46)</f>
        <v>30345</v>
      </c>
      <c r="H24" s="48">
        <f>SUM(H25,H28,H46)</f>
        <v>0</v>
      </c>
      <c r="I24" s="49">
        <f>G24+H24</f>
        <v>30345</v>
      </c>
      <c r="J24" s="45">
        <f>SUM(J25,J30,J46)</f>
        <v>1717</v>
      </c>
      <c r="K24" s="48">
        <f>SUM(K25,K30,K46)</f>
        <v>0</v>
      </c>
      <c r="L24" s="49">
        <f>J24+K24</f>
        <v>1717</v>
      </c>
      <c r="M24" s="50">
        <f>SUM(M25,M48)</f>
        <v>156</v>
      </c>
      <c r="N24" s="51">
        <f>SUM(N25,N48)</f>
        <v>0</v>
      </c>
      <c r="O24" s="49">
        <f>M24+N24</f>
        <v>156</v>
      </c>
      <c r="P24" s="52"/>
      <c r="R24" s="53"/>
      <c r="S24" s="53"/>
      <c r="T24" s="53"/>
      <c r="U24" s="53"/>
    </row>
    <row r="25" spans="1:21" ht="12.75" thickTop="1" x14ac:dyDescent="0.25">
      <c r="A25" s="54"/>
      <c r="B25" s="55" t="s">
        <v>43</v>
      </c>
      <c r="C25" s="56">
        <f>F25+I25+L25+O25</f>
        <v>946</v>
      </c>
      <c r="D25" s="57">
        <f>SUM(D26:D27)</f>
        <v>0</v>
      </c>
      <c r="E25" s="58">
        <f>SUM(E26:E27)</f>
        <v>0</v>
      </c>
      <c r="F25" s="59">
        <f t="shared" si="0"/>
        <v>0</v>
      </c>
      <c r="G25" s="57">
        <f>SUM(G26:G27)</f>
        <v>0</v>
      </c>
      <c r="H25" s="60">
        <f>SUM(H26:H27)</f>
        <v>0</v>
      </c>
      <c r="I25" s="61">
        <f>G25+H25</f>
        <v>0</v>
      </c>
      <c r="J25" s="57">
        <f>SUM(J26:J27)</f>
        <v>840</v>
      </c>
      <c r="K25" s="60">
        <f>SUM(K26:K27)</f>
        <v>0</v>
      </c>
      <c r="L25" s="61">
        <f>J25+K25</f>
        <v>840</v>
      </c>
      <c r="M25" s="62">
        <f>SUM(M26:M27)</f>
        <v>106</v>
      </c>
      <c r="N25" s="63">
        <f>SUM(N26:N27)</f>
        <v>0</v>
      </c>
      <c r="O25" s="61">
        <f>M25+N25</f>
        <v>106</v>
      </c>
      <c r="P25" s="64"/>
      <c r="R25" s="53"/>
      <c r="S25" s="53"/>
      <c r="T25" s="53"/>
      <c r="U25" s="53"/>
    </row>
    <row r="26" spans="1:21" hidden="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c r="R26" s="53"/>
      <c r="S26" s="53"/>
      <c r="T26" s="53"/>
      <c r="U26" s="53"/>
    </row>
    <row r="27" spans="1:21" x14ac:dyDescent="0.25">
      <c r="A27" s="75"/>
      <c r="B27" s="76" t="s">
        <v>45</v>
      </c>
      <c r="C27" s="77">
        <f>F27+I27+L27+O27</f>
        <v>946</v>
      </c>
      <c r="D27" s="78"/>
      <c r="E27" s="79"/>
      <c r="F27" s="80">
        <f t="shared" si="0"/>
        <v>0</v>
      </c>
      <c r="G27" s="78"/>
      <c r="H27" s="81"/>
      <c r="I27" s="82">
        <f>G27+H27</f>
        <v>0</v>
      </c>
      <c r="J27" s="78">
        <v>840</v>
      </c>
      <c r="K27" s="81"/>
      <c r="L27" s="82">
        <f>J27+K27</f>
        <v>840</v>
      </c>
      <c r="M27" s="83">
        <v>106</v>
      </c>
      <c r="N27" s="84"/>
      <c r="O27" s="82">
        <f>M27+N27</f>
        <v>106</v>
      </c>
      <c r="P27" s="85"/>
      <c r="R27" s="53"/>
      <c r="S27" s="53"/>
      <c r="T27" s="53"/>
      <c r="U27" s="53"/>
    </row>
    <row r="28" spans="1:21" s="41" customFormat="1" ht="24.75" thickBot="1" x14ac:dyDescent="0.3">
      <c r="A28" s="86">
        <v>19300</v>
      </c>
      <c r="B28" s="86" t="s">
        <v>46</v>
      </c>
      <c r="C28" s="87">
        <f>SUM(F28,I28)</f>
        <v>351230</v>
      </c>
      <c r="D28" s="88">
        <v>320885</v>
      </c>
      <c r="E28" s="89"/>
      <c r="F28" s="90">
        <f t="shared" si="0"/>
        <v>320885</v>
      </c>
      <c r="G28" s="88">
        <v>30345</v>
      </c>
      <c r="H28" s="91"/>
      <c r="I28" s="92">
        <f>G28+H28</f>
        <v>30345</v>
      </c>
      <c r="J28" s="93" t="s">
        <v>47</v>
      </c>
      <c r="K28" s="94" t="s">
        <v>47</v>
      </c>
      <c r="L28" s="95" t="s">
        <v>47</v>
      </c>
      <c r="M28" s="96" t="s">
        <v>47</v>
      </c>
      <c r="N28" s="97" t="s">
        <v>47</v>
      </c>
      <c r="O28" s="95" t="s">
        <v>47</v>
      </c>
      <c r="P28" s="98"/>
      <c r="R28" s="53"/>
      <c r="S28" s="53"/>
      <c r="T28" s="53"/>
      <c r="U28" s="53"/>
    </row>
    <row r="29" spans="1:21" s="41" customFormat="1" ht="24.75" hidden="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c r="R29" s="53"/>
      <c r="S29" s="53"/>
      <c r="T29" s="53"/>
      <c r="U29" s="53"/>
    </row>
    <row r="30" spans="1:21" s="41" customFormat="1" ht="36.75" thickTop="1" x14ac:dyDescent="0.25">
      <c r="A30" s="99">
        <v>21300</v>
      </c>
      <c r="B30" s="99" t="s">
        <v>49</v>
      </c>
      <c r="C30" s="100">
        <f t="shared" ref="C30:C44" si="1">L30</f>
        <v>877</v>
      </c>
      <c r="D30" s="104" t="s">
        <v>47</v>
      </c>
      <c r="E30" s="110" t="s">
        <v>47</v>
      </c>
      <c r="F30" s="111" t="s">
        <v>47</v>
      </c>
      <c r="G30" s="104" t="s">
        <v>47</v>
      </c>
      <c r="H30" s="105" t="s">
        <v>47</v>
      </c>
      <c r="I30" s="106" t="s">
        <v>47</v>
      </c>
      <c r="J30" s="112">
        <f>SUM(J31,J35,J37,J40)</f>
        <v>877</v>
      </c>
      <c r="K30" s="113">
        <f>SUM(K31,K35,K37,K40)</f>
        <v>0</v>
      </c>
      <c r="L30" s="114">
        <f t="shared" ref="L30:L44" si="2">J30+K30</f>
        <v>877</v>
      </c>
      <c r="M30" s="107" t="s">
        <v>47</v>
      </c>
      <c r="N30" s="108" t="s">
        <v>47</v>
      </c>
      <c r="O30" s="106" t="s">
        <v>47</v>
      </c>
      <c r="P30" s="109"/>
      <c r="R30" s="53"/>
      <c r="S30" s="53"/>
      <c r="T30" s="53"/>
      <c r="U30" s="53"/>
    </row>
    <row r="31" spans="1:21" s="41" customFormat="1" ht="24" x14ac:dyDescent="0.25">
      <c r="A31" s="115">
        <v>21350</v>
      </c>
      <c r="B31" s="99" t="s">
        <v>50</v>
      </c>
      <c r="C31" s="100">
        <f t="shared" si="1"/>
        <v>432</v>
      </c>
      <c r="D31" s="104" t="s">
        <v>47</v>
      </c>
      <c r="E31" s="110" t="s">
        <v>47</v>
      </c>
      <c r="F31" s="111" t="s">
        <v>47</v>
      </c>
      <c r="G31" s="104" t="s">
        <v>47</v>
      </c>
      <c r="H31" s="105" t="s">
        <v>47</v>
      </c>
      <c r="I31" s="106" t="s">
        <v>47</v>
      </c>
      <c r="J31" s="112">
        <f>SUM(J32:J34)</f>
        <v>432</v>
      </c>
      <c r="K31" s="113">
        <f>SUM(K32:K34)</f>
        <v>0</v>
      </c>
      <c r="L31" s="114">
        <f t="shared" si="2"/>
        <v>432</v>
      </c>
      <c r="M31" s="107" t="s">
        <v>47</v>
      </c>
      <c r="N31" s="108" t="s">
        <v>47</v>
      </c>
      <c r="O31" s="106" t="s">
        <v>47</v>
      </c>
      <c r="P31" s="109"/>
      <c r="R31" s="53"/>
      <c r="S31" s="53"/>
      <c r="T31" s="53"/>
      <c r="U31" s="53"/>
    </row>
    <row r="32" spans="1:21" hidden="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c r="R32" s="53"/>
      <c r="S32" s="53"/>
      <c r="T32" s="53"/>
      <c r="U32" s="53"/>
    </row>
    <row r="33" spans="1:21" x14ac:dyDescent="0.25">
      <c r="A33" s="75">
        <v>21352</v>
      </c>
      <c r="B33" s="127" t="s">
        <v>52</v>
      </c>
      <c r="C33" s="128">
        <f t="shared" si="1"/>
        <v>432</v>
      </c>
      <c r="D33" s="129" t="s">
        <v>47</v>
      </c>
      <c r="E33" s="130" t="s">
        <v>47</v>
      </c>
      <c r="F33" s="131" t="s">
        <v>47</v>
      </c>
      <c r="G33" s="129" t="s">
        <v>47</v>
      </c>
      <c r="H33" s="132" t="s">
        <v>47</v>
      </c>
      <c r="I33" s="133" t="s">
        <v>47</v>
      </c>
      <c r="J33" s="134">
        <v>432</v>
      </c>
      <c r="K33" s="135"/>
      <c r="L33" s="136">
        <f t="shared" si="2"/>
        <v>432</v>
      </c>
      <c r="M33" s="137" t="s">
        <v>47</v>
      </c>
      <c r="N33" s="138" t="s">
        <v>47</v>
      </c>
      <c r="O33" s="133" t="s">
        <v>47</v>
      </c>
      <c r="P33" s="85"/>
      <c r="R33" s="53"/>
      <c r="S33" s="53"/>
      <c r="T33" s="53"/>
      <c r="U33" s="53"/>
    </row>
    <row r="34" spans="1:21" ht="24" hidden="1" x14ac:dyDescent="0.25">
      <c r="A34" s="75">
        <v>21359</v>
      </c>
      <c r="B34" s="127" t="s">
        <v>53</v>
      </c>
      <c r="C34" s="128">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c r="R34" s="53"/>
      <c r="S34" s="53"/>
      <c r="T34" s="53"/>
      <c r="U34" s="53"/>
    </row>
    <row r="35" spans="1:21" s="41" customFormat="1" ht="36" hidden="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c r="R35" s="53"/>
      <c r="S35" s="53"/>
      <c r="T35" s="53"/>
      <c r="U35" s="53"/>
    </row>
    <row r="36" spans="1:21" ht="36" hidden="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c r="R36" s="53"/>
      <c r="S36" s="53"/>
      <c r="T36" s="53"/>
      <c r="U36" s="53"/>
    </row>
    <row r="37" spans="1:21" s="41" customFormat="1" x14ac:dyDescent="0.25">
      <c r="A37" s="115">
        <v>21380</v>
      </c>
      <c r="B37" s="99" t="s">
        <v>56</v>
      </c>
      <c r="C37" s="100">
        <f t="shared" si="1"/>
        <v>445</v>
      </c>
      <c r="D37" s="104" t="s">
        <v>47</v>
      </c>
      <c r="E37" s="110" t="s">
        <v>47</v>
      </c>
      <c r="F37" s="111" t="s">
        <v>47</v>
      </c>
      <c r="G37" s="104" t="s">
        <v>47</v>
      </c>
      <c r="H37" s="105" t="s">
        <v>47</v>
      </c>
      <c r="I37" s="106" t="s">
        <v>47</v>
      </c>
      <c r="J37" s="112">
        <f>SUM(J38:J39)</f>
        <v>445</v>
      </c>
      <c r="K37" s="113">
        <f>SUM(K38:K39)</f>
        <v>0</v>
      </c>
      <c r="L37" s="114">
        <f t="shared" si="2"/>
        <v>445</v>
      </c>
      <c r="M37" s="107" t="s">
        <v>47</v>
      </c>
      <c r="N37" s="108" t="s">
        <v>47</v>
      </c>
      <c r="O37" s="106" t="s">
        <v>47</v>
      </c>
      <c r="P37" s="109"/>
      <c r="R37" s="53"/>
      <c r="S37" s="53"/>
      <c r="T37" s="53"/>
      <c r="U37" s="53"/>
    </row>
    <row r="38" spans="1:21" x14ac:dyDescent="0.25">
      <c r="A38" s="951">
        <v>21381</v>
      </c>
      <c r="B38" s="952" t="s">
        <v>57</v>
      </c>
      <c r="C38" s="802">
        <f t="shared" si="1"/>
        <v>445</v>
      </c>
      <c r="D38" s="981" t="s">
        <v>47</v>
      </c>
      <c r="E38" s="982" t="s">
        <v>47</v>
      </c>
      <c r="F38" s="983" t="s">
        <v>47</v>
      </c>
      <c r="G38" s="981" t="s">
        <v>47</v>
      </c>
      <c r="H38" s="984" t="s">
        <v>47</v>
      </c>
      <c r="I38" s="985" t="s">
        <v>47</v>
      </c>
      <c r="J38" s="480">
        <v>445</v>
      </c>
      <c r="K38" s="804"/>
      <c r="L38" s="805">
        <f t="shared" si="2"/>
        <v>445</v>
      </c>
      <c r="M38" s="986" t="s">
        <v>47</v>
      </c>
      <c r="N38" s="987" t="s">
        <v>47</v>
      </c>
      <c r="O38" s="985" t="s">
        <v>47</v>
      </c>
      <c r="P38" s="966"/>
      <c r="R38" s="53"/>
      <c r="S38" s="53"/>
      <c r="T38" s="53"/>
      <c r="U38" s="53"/>
    </row>
    <row r="39" spans="1:21" ht="24" hidden="1" x14ac:dyDescent="0.25">
      <c r="A39" s="76">
        <v>21383</v>
      </c>
      <c r="B39" s="127" t="s">
        <v>58</v>
      </c>
      <c r="C39" s="128">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c r="R39" s="53"/>
      <c r="S39" s="53"/>
      <c r="T39" s="53"/>
      <c r="U39" s="53"/>
    </row>
    <row r="40" spans="1:21" s="41" customFormat="1" ht="24" hidden="1" x14ac:dyDescent="0.25">
      <c r="A40" s="115">
        <v>21390</v>
      </c>
      <c r="B40" s="99" t="s">
        <v>59</v>
      </c>
      <c r="C40" s="100">
        <f t="shared" si="1"/>
        <v>0</v>
      </c>
      <c r="D40" s="104" t="s">
        <v>47</v>
      </c>
      <c r="E40" s="108" t="s">
        <v>47</v>
      </c>
      <c r="F40" s="140" t="s">
        <v>47</v>
      </c>
      <c r="G40" s="104" t="s">
        <v>47</v>
      </c>
      <c r="H40" s="105" t="s">
        <v>47</v>
      </c>
      <c r="I40" s="106" t="s">
        <v>47</v>
      </c>
      <c r="J40" s="112">
        <f>SUM(J41:J44)</f>
        <v>0</v>
      </c>
      <c r="K40" s="113">
        <f>SUM(K41:K44)</f>
        <v>0</v>
      </c>
      <c r="L40" s="114">
        <f t="shared" si="2"/>
        <v>0</v>
      </c>
      <c r="M40" s="107" t="s">
        <v>47</v>
      </c>
      <c r="N40" s="108" t="s">
        <v>47</v>
      </c>
      <c r="O40" s="106" t="s">
        <v>47</v>
      </c>
      <c r="P40" s="109"/>
      <c r="R40" s="53"/>
      <c r="S40" s="53"/>
      <c r="T40" s="53"/>
      <c r="U40" s="53"/>
    </row>
    <row r="41" spans="1:21" ht="24" hidden="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c r="R41" s="53"/>
      <c r="S41" s="53"/>
      <c r="T41" s="53"/>
      <c r="U41" s="53"/>
    </row>
    <row r="42" spans="1:21" hidden="1" x14ac:dyDescent="0.25">
      <c r="A42" s="76">
        <v>21393</v>
      </c>
      <c r="B42" s="127" t="s">
        <v>61</v>
      </c>
      <c r="C42" s="128">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c r="R42" s="53"/>
      <c r="S42" s="53"/>
      <c r="T42" s="53"/>
      <c r="U42" s="53"/>
    </row>
    <row r="43" spans="1:21" hidden="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c r="R43" s="53"/>
      <c r="S43" s="53"/>
      <c r="T43" s="53"/>
      <c r="U43" s="53"/>
    </row>
    <row r="44" spans="1:21" ht="24" hidden="1" x14ac:dyDescent="0.25">
      <c r="A44" s="76">
        <v>21399</v>
      </c>
      <c r="B44" s="127" t="s">
        <v>63</v>
      </c>
      <c r="C44" s="128">
        <f t="shared" si="1"/>
        <v>0</v>
      </c>
      <c r="D44" s="129" t="s">
        <v>47</v>
      </c>
      <c r="E44" s="138" t="s">
        <v>47</v>
      </c>
      <c r="F44" s="139" t="s">
        <v>47</v>
      </c>
      <c r="G44" s="129" t="s">
        <v>47</v>
      </c>
      <c r="H44" s="132" t="s">
        <v>47</v>
      </c>
      <c r="I44" s="133" t="s">
        <v>47</v>
      </c>
      <c r="J44" s="134"/>
      <c r="K44" s="135"/>
      <c r="L44" s="136">
        <f t="shared" si="2"/>
        <v>0</v>
      </c>
      <c r="M44" s="137" t="s">
        <v>47</v>
      </c>
      <c r="N44" s="138" t="s">
        <v>47</v>
      </c>
      <c r="O44" s="133" t="s">
        <v>47</v>
      </c>
      <c r="P44" s="85"/>
      <c r="R44" s="53"/>
      <c r="S44" s="53"/>
      <c r="T44" s="53"/>
      <c r="U44" s="53"/>
    </row>
    <row r="45" spans="1:21" s="41" customFormat="1" ht="24" hidden="1" x14ac:dyDescent="0.25">
      <c r="A45" s="115">
        <v>21420</v>
      </c>
      <c r="B45" s="99" t="s">
        <v>64</v>
      </c>
      <c r="C45" s="156">
        <f>F45</f>
        <v>0</v>
      </c>
      <c r="D45" s="157"/>
      <c r="E45" s="158"/>
      <c r="F45" s="103">
        <f>D45+E45</f>
        <v>0</v>
      </c>
      <c r="G45" s="104" t="s">
        <v>47</v>
      </c>
      <c r="H45" s="105" t="s">
        <v>47</v>
      </c>
      <c r="I45" s="106" t="s">
        <v>47</v>
      </c>
      <c r="J45" s="104" t="s">
        <v>47</v>
      </c>
      <c r="K45" s="105" t="s">
        <v>47</v>
      </c>
      <c r="L45" s="106" t="s">
        <v>47</v>
      </c>
      <c r="M45" s="107" t="s">
        <v>47</v>
      </c>
      <c r="N45" s="108" t="s">
        <v>47</v>
      </c>
      <c r="O45" s="106" t="s">
        <v>47</v>
      </c>
      <c r="P45" s="109"/>
      <c r="R45" s="53"/>
      <c r="S45" s="53"/>
      <c r="T45" s="53"/>
      <c r="U45" s="53"/>
    </row>
    <row r="46" spans="1:21" s="41" customFormat="1" ht="24" hidden="1" x14ac:dyDescent="0.25">
      <c r="A46" s="159">
        <v>21490</v>
      </c>
      <c r="B46" s="160" t="s">
        <v>65</v>
      </c>
      <c r="C46" s="156">
        <f>F46+I46+L46</f>
        <v>0</v>
      </c>
      <c r="D46" s="161">
        <f>D47</f>
        <v>0</v>
      </c>
      <c r="E46" s="162">
        <f>E47</f>
        <v>0</v>
      </c>
      <c r="F46" s="163">
        <f>D46+E46</f>
        <v>0</v>
      </c>
      <c r="G46" s="161">
        <f>G47</f>
        <v>0</v>
      </c>
      <c r="H46" s="164">
        <f t="shared" ref="H46:K46" si="3">H47</f>
        <v>0</v>
      </c>
      <c r="I46" s="165">
        <f>G46+H46</f>
        <v>0</v>
      </c>
      <c r="J46" s="161">
        <f>J47</f>
        <v>0</v>
      </c>
      <c r="K46" s="164">
        <f t="shared" si="3"/>
        <v>0</v>
      </c>
      <c r="L46" s="165">
        <f>J46+K46</f>
        <v>0</v>
      </c>
      <c r="M46" s="107" t="s">
        <v>47</v>
      </c>
      <c r="N46" s="108" t="s">
        <v>47</v>
      </c>
      <c r="O46" s="106" t="s">
        <v>47</v>
      </c>
      <c r="P46" s="109"/>
      <c r="R46" s="53"/>
      <c r="S46" s="53"/>
      <c r="T46" s="53"/>
      <c r="U46" s="53"/>
    </row>
    <row r="47" spans="1:21" s="41" customFormat="1" ht="24" hidden="1" x14ac:dyDescent="0.25">
      <c r="A47" s="76">
        <v>21499</v>
      </c>
      <c r="B47" s="127" t="s">
        <v>66</v>
      </c>
      <c r="C47" s="166">
        <f>F47+I47+L47</f>
        <v>0</v>
      </c>
      <c r="D47" s="68"/>
      <c r="E47" s="69"/>
      <c r="F47" s="70">
        <f>D47+E47</f>
        <v>0</v>
      </c>
      <c r="G47" s="167"/>
      <c r="H47" s="71"/>
      <c r="I47" s="72">
        <f>G47+H47</f>
        <v>0</v>
      </c>
      <c r="J47" s="68"/>
      <c r="K47" s="71"/>
      <c r="L47" s="72">
        <f>J47+K47</f>
        <v>0</v>
      </c>
      <c r="M47" s="152" t="s">
        <v>47</v>
      </c>
      <c r="N47" s="145" t="s">
        <v>47</v>
      </c>
      <c r="O47" s="148" t="s">
        <v>47</v>
      </c>
      <c r="P47" s="153"/>
      <c r="R47" s="53"/>
      <c r="S47" s="53"/>
      <c r="T47" s="53"/>
      <c r="U47" s="53"/>
    </row>
    <row r="48" spans="1:21" ht="24" x14ac:dyDescent="0.25">
      <c r="A48" s="168">
        <v>23000</v>
      </c>
      <c r="B48" s="169" t="s">
        <v>67</v>
      </c>
      <c r="C48" s="156">
        <f>O48</f>
        <v>50</v>
      </c>
      <c r="D48" s="170" t="s">
        <v>47</v>
      </c>
      <c r="E48" s="669" t="s">
        <v>47</v>
      </c>
      <c r="F48" s="907" t="s">
        <v>47</v>
      </c>
      <c r="G48" s="170" t="s">
        <v>47</v>
      </c>
      <c r="H48" s="173" t="s">
        <v>47</v>
      </c>
      <c r="I48" s="174" t="s">
        <v>47</v>
      </c>
      <c r="J48" s="170" t="s">
        <v>47</v>
      </c>
      <c r="K48" s="173" t="s">
        <v>47</v>
      </c>
      <c r="L48" s="174" t="s">
        <v>47</v>
      </c>
      <c r="M48" s="175">
        <f>SUM(M49:M50)</f>
        <v>50</v>
      </c>
      <c r="N48" s="176">
        <f>SUM(N49:N50)</f>
        <v>0</v>
      </c>
      <c r="O48" s="177">
        <f>M48+N48</f>
        <v>50</v>
      </c>
      <c r="P48" s="109"/>
      <c r="R48" s="53"/>
      <c r="S48" s="53"/>
      <c r="T48" s="53"/>
      <c r="U48" s="53"/>
    </row>
    <row r="49" spans="1:21" ht="24" hidden="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c r="R49" s="53"/>
      <c r="S49" s="53"/>
      <c r="T49" s="53"/>
      <c r="U49" s="53"/>
    </row>
    <row r="50" spans="1:21" ht="24" x14ac:dyDescent="0.25">
      <c r="A50" s="178">
        <v>23510</v>
      </c>
      <c r="B50" s="179" t="s">
        <v>69</v>
      </c>
      <c r="C50" s="180">
        <f>O50</f>
        <v>50</v>
      </c>
      <c r="D50" s="181" t="s">
        <v>47</v>
      </c>
      <c r="E50" s="674" t="s">
        <v>47</v>
      </c>
      <c r="F50" s="908" t="s">
        <v>47</v>
      </c>
      <c r="G50" s="181" t="s">
        <v>47</v>
      </c>
      <c r="H50" s="184" t="s">
        <v>47</v>
      </c>
      <c r="I50" s="185" t="s">
        <v>47</v>
      </c>
      <c r="J50" s="181" t="s">
        <v>47</v>
      </c>
      <c r="K50" s="184" t="s">
        <v>47</v>
      </c>
      <c r="L50" s="185" t="s">
        <v>47</v>
      </c>
      <c r="M50" s="186">
        <v>50</v>
      </c>
      <c r="N50" s="187"/>
      <c r="O50" s="188">
        <f>M50+N50</f>
        <v>50</v>
      </c>
      <c r="P50" s="189"/>
      <c r="R50" s="53"/>
      <c r="S50" s="53"/>
      <c r="T50" s="53"/>
      <c r="U50" s="53"/>
    </row>
    <row r="51" spans="1:21" x14ac:dyDescent="0.25">
      <c r="A51" s="190"/>
      <c r="B51" s="179"/>
      <c r="C51" s="191"/>
      <c r="D51" s="192"/>
      <c r="E51" s="193"/>
      <c r="F51" s="194"/>
      <c r="G51" s="192"/>
      <c r="H51" s="195"/>
      <c r="I51" s="185"/>
      <c r="J51" s="196"/>
      <c r="K51" s="197"/>
      <c r="L51" s="188"/>
      <c r="M51" s="186"/>
      <c r="N51" s="187"/>
      <c r="O51" s="188"/>
      <c r="P51" s="189"/>
      <c r="R51" s="53"/>
      <c r="S51" s="53"/>
      <c r="T51" s="53"/>
      <c r="U51" s="53"/>
    </row>
    <row r="52" spans="1:21" s="41" customFormat="1" x14ac:dyDescent="0.25">
      <c r="A52" s="198"/>
      <c r="B52" s="199" t="s">
        <v>70</v>
      </c>
      <c r="C52" s="200"/>
      <c r="D52" s="201"/>
      <c r="E52" s="202"/>
      <c r="F52" s="203"/>
      <c r="G52" s="201"/>
      <c r="H52" s="204"/>
      <c r="I52" s="205"/>
      <c r="J52" s="201"/>
      <c r="K52" s="204"/>
      <c r="L52" s="205"/>
      <c r="M52" s="206"/>
      <c r="N52" s="207"/>
      <c r="O52" s="205"/>
      <c r="P52" s="208"/>
      <c r="R52" s="53"/>
      <c r="S52" s="53"/>
      <c r="T52" s="53"/>
      <c r="U52" s="53"/>
    </row>
    <row r="53" spans="1:21" s="41" customFormat="1" ht="12.75" thickBot="1" x14ac:dyDescent="0.3">
      <c r="A53" s="209"/>
      <c r="B53" s="42" t="s">
        <v>71</v>
      </c>
      <c r="C53" s="210">
        <f t="shared" ref="C53:C116" si="4">F53+I53+L53+O53</f>
        <v>353103</v>
      </c>
      <c r="D53" s="211">
        <f>SUM(D54,D284)</f>
        <v>320885</v>
      </c>
      <c r="E53" s="212">
        <f>SUM(E54,E284)</f>
        <v>0</v>
      </c>
      <c r="F53" s="213">
        <f t="shared" ref="F53:F117" si="5">D53+E53</f>
        <v>320885</v>
      </c>
      <c r="G53" s="211">
        <f>SUM(G54,G284)</f>
        <v>30345</v>
      </c>
      <c r="H53" s="214">
        <f>SUM(H54,H284)</f>
        <v>0</v>
      </c>
      <c r="I53" s="215">
        <f t="shared" ref="I53:I117" si="6">G53+H53</f>
        <v>30345</v>
      </c>
      <c r="J53" s="211">
        <f>SUM(J54,J284)</f>
        <v>1717</v>
      </c>
      <c r="K53" s="214">
        <f>SUM(K54,K284)</f>
        <v>0</v>
      </c>
      <c r="L53" s="215">
        <f t="shared" ref="L53:L117" si="7">J53+K53</f>
        <v>1717</v>
      </c>
      <c r="M53" s="216">
        <f>SUM(M54,M284)</f>
        <v>156</v>
      </c>
      <c r="N53" s="217">
        <f>SUM(N54,N284)</f>
        <v>0</v>
      </c>
      <c r="O53" s="215">
        <f t="shared" ref="O53:O117" si="8">M53+N53</f>
        <v>156</v>
      </c>
      <c r="P53" s="52"/>
      <c r="R53" s="53"/>
      <c r="S53" s="53"/>
      <c r="T53" s="53"/>
      <c r="U53" s="53"/>
    </row>
    <row r="54" spans="1:21" s="41" customFormat="1" ht="36.75" thickTop="1" x14ac:dyDescent="0.25">
      <c r="A54" s="218"/>
      <c r="B54" s="219" t="s">
        <v>72</v>
      </c>
      <c r="C54" s="220">
        <f t="shared" si="4"/>
        <v>352671</v>
      </c>
      <c r="D54" s="221">
        <f>SUM(D55,D197)</f>
        <v>320885</v>
      </c>
      <c r="E54" s="222">
        <f>SUM(E55,E197)</f>
        <v>0</v>
      </c>
      <c r="F54" s="223">
        <f t="shared" si="5"/>
        <v>320885</v>
      </c>
      <c r="G54" s="221">
        <f>SUM(G55,G197)</f>
        <v>30345</v>
      </c>
      <c r="H54" s="224">
        <f>SUM(H55,H197)</f>
        <v>0</v>
      </c>
      <c r="I54" s="225">
        <f t="shared" si="6"/>
        <v>30345</v>
      </c>
      <c r="J54" s="221">
        <f>SUM(J55,J197)</f>
        <v>1285</v>
      </c>
      <c r="K54" s="224">
        <f>SUM(K55,K197)</f>
        <v>0</v>
      </c>
      <c r="L54" s="225">
        <f t="shared" si="7"/>
        <v>1285</v>
      </c>
      <c r="M54" s="226">
        <f>SUM(M55,M197)</f>
        <v>156</v>
      </c>
      <c r="N54" s="227">
        <f>SUM(N55,N197)</f>
        <v>0</v>
      </c>
      <c r="O54" s="225">
        <f t="shared" si="8"/>
        <v>156</v>
      </c>
      <c r="P54" s="228"/>
      <c r="R54" s="53"/>
      <c r="S54" s="53"/>
      <c r="T54" s="53"/>
      <c r="U54" s="53"/>
    </row>
    <row r="55" spans="1:21" s="41" customFormat="1" ht="24" x14ac:dyDescent="0.25">
      <c r="A55" s="35"/>
      <c r="B55" s="30" t="s">
        <v>73</v>
      </c>
      <c r="C55" s="229">
        <f t="shared" si="4"/>
        <v>349448</v>
      </c>
      <c r="D55" s="230">
        <f>SUM(D56,D78,D176,D190)</f>
        <v>318280</v>
      </c>
      <c r="E55" s="231">
        <f>SUM(E56,E78,E176,E190)</f>
        <v>0</v>
      </c>
      <c r="F55" s="232">
        <f t="shared" si="5"/>
        <v>318280</v>
      </c>
      <c r="G55" s="230">
        <f>SUM(G56,G78,G176,G190)</f>
        <v>29925</v>
      </c>
      <c r="H55" s="233">
        <f>SUM(H56,H78,H176,H190)</f>
        <v>0</v>
      </c>
      <c r="I55" s="234">
        <f t="shared" si="6"/>
        <v>29925</v>
      </c>
      <c r="J55" s="230">
        <f>SUM(J56,J78,J176,J190)</f>
        <v>1193</v>
      </c>
      <c r="K55" s="233">
        <f>SUM(K56,K78,K176,K190)</f>
        <v>0</v>
      </c>
      <c r="L55" s="234">
        <f t="shared" si="7"/>
        <v>1193</v>
      </c>
      <c r="M55" s="53">
        <f>SUM(M56,M78,M176,M190)</f>
        <v>50</v>
      </c>
      <c r="N55" s="235">
        <f>SUM(N56,N78,N176,N190)</f>
        <v>0</v>
      </c>
      <c r="O55" s="234">
        <f t="shared" si="8"/>
        <v>50</v>
      </c>
      <c r="P55" s="236"/>
      <c r="R55" s="53"/>
      <c r="S55" s="53"/>
      <c r="T55" s="53"/>
      <c r="U55" s="53"/>
    </row>
    <row r="56" spans="1:21" s="41" customFormat="1" x14ac:dyDescent="0.25">
      <c r="A56" s="237">
        <v>1000</v>
      </c>
      <c r="B56" s="237" t="s">
        <v>74</v>
      </c>
      <c r="C56" s="238">
        <f t="shared" si="4"/>
        <v>316742</v>
      </c>
      <c r="D56" s="239">
        <f>SUM(D57,D70)</f>
        <v>287381</v>
      </c>
      <c r="E56" s="240">
        <f>SUM(E57,E70)</f>
        <v>0</v>
      </c>
      <c r="F56" s="241">
        <f t="shared" si="5"/>
        <v>287381</v>
      </c>
      <c r="G56" s="239">
        <f>SUM(G57,G70)</f>
        <v>29361</v>
      </c>
      <c r="H56" s="242">
        <f>SUM(H57,H70)</f>
        <v>0</v>
      </c>
      <c r="I56" s="243">
        <f t="shared" si="6"/>
        <v>29361</v>
      </c>
      <c r="J56" s="239">
        <f>SUM(J57,J70)</f>
        <v>0</v>
      </c>
      <c r="K56" s="242">
        <f>SUM(K57,K70)</f>
        <v>0</v>
      </c>
      <c r="L56" s="243">
        <f t="shared" si="7"/>
        <v>0</v>
      </c>
      <c r="M56" s="244">
        <f>SUM(M57,M70)</f>
        <v>0</v>
      </c>
      <c r="N56" s="245">
        <f>SUM(N57,N70)</f>
        <v>0</v>
      </c>
      <c r="O56" s="243">
        <f t="shared" si="8"/>
        <v>0</v>
      </c>
      <c r="P56" s="246"/>
      <c r="R56" s="53"/>
      <c r="S56" s="53"/>
      <c r="T56" s="53"/>
      <c r="U56" s="53"/>
    </row>
    <row r="57" spans="1:21" x14ac:dyDescent="0.25">
      <c r="A57" s="99">
        <v>1100</v>
      </c>
      <c r="B57" s="247" t="s">
        <v>75</v>
      </c>
      <c r="C57" s="100">
        <f t="shared" si="4"/>
        <v>240415</v>
      </c>
      <c r="D57" s="112">
        <f>SUM(D58,D61,D69)</f>
        <v>217747</v>
      </c>
      <c r="E57" s="248">
        <f>SUM(E58,E61,E69)</f>
        <v>0</v>
      </c>
      <c r="F57" s="249">
        <f t="shared" si="5"/>
        <v>217747</v>
      </c>
      <c r="G57" s="112">
        <f>SUM(G58,G61,G69)</f>
        <v>23288</v>
      </c>
      <c r="H57" s="113">
        <f>SUM(H58,H61,H69)</f>
        <v>-620</v>
      </c>
      <c r="I57" s="114">
        <f t="shared" si="6"/>
        <v>22668</v>
      </c>
      <c r="J57" s="112">
        <f>SUM(J58,J61,J69)</f>
        <v>0</v>
      </c>
      <c r="K57" s="113">
        <f>SUM(K58,K61,K69)</f>
        <v>0</v>
      </c>
      <c r="L57" s="114">
        <f t="shared" si="7"/>
        <v>0</v>
      </c>
      <c r="M57" s="250">
        <f>SUM(M58,M61,M69)</f>
        <v>0</v>
      </c>
      <c r="N57" s="251">
        <f>SUM(N58,N61,N69)</f>
        <v>0</v>
      </c>
      <c r="O57" s="252">
        <f t="shared" si="8"/>
        <v>0</v>
      </c>
      <c r="P57" s="253"/>
      <c r="R57" s="53"/>
      <c r="S57" s="53"/>
      <c r="T57" s="53"/>
      <c r="U57" s="53"/>
    </row>
    <row r="58" spans="1:21" x14ac:dyDescent="0.25">
      <c r="A58" s="254">
        <v>1110</v>
      </c>
      <c r="B58" s="179" t="s">
        <v>76</v>
      </c>
      <c r="C58" s="191">
        <f t="shared" si="4"/>
        <v>213019</v>
      </c>
      <c r="D58" s="255">
        <f>SUM(D59:D60)</f>
        <v>190852</v>
      </c>
      <c r="E58" s="256">
        <f>SUM(E59:E60)</f>
        <v>0</v>
      </c>
      <c r="F58" s="257">
        <f t="shared" si="5"/>
        <v>190852</v>
      </c>
      <c r="G58" s="255">
        <f>SUM(G59:G60)</f>
        <v>21620</v>
      </c>
      <c r="H58" s="258">
        <f>SUM(H59:H60)</f>
        <v>547</v>
      </c>
      <c r="I58" s="259">
        <f t="shared" si="6"/>
        <v>22167</v>
      </c>
      <c r="J58" s="255">
        <f>SUM(J59:J60)</f>
        <v>0</v>
      </c>
      <c r="K58" s="258">
        <f>SUM(K59:K60)</f>
        <v>0</v>
      </c>
      <c r="L58" s="259">
        <f t="shared" si="7"/>
        <v>0</v>
      </c>
      <c r="M58" s="260">
        <f>SUM(M59:M60)</f>
        <v>0</v>
      </c>
      <c r="N58" s="261">
        <f>SUM(N59:N60)</f>
        <v>0</v>
      </c>
      <c r="O58" s="259">
        <f t="shared" si="8"/>
        <v>0</v>
      </c>
      <c r="P58" s="189"/>
      <c r="R58" s="53"/>
      <c r="S58" s="53"/>
      <c r="T58" s="53"/>
      <c r="U58" s="53"/>
    </row>
    <row r="59" spans="1:21" hidden="1" x14ac:dyDescent="0.25">
      <c r="A59" s="66">
        <v>1111</v>
      </c>
      <c r="B59" s="116" t="s">
        <v>77</v>
      </c>
      <c r="C59" s="117">
        <f t="shared" si="4"/>
        <v>0</v>
      </c>
      <c r="D59" s="123"/>
      <c r="E59" s="262"/>
      <c r="F59" s="263">
        <f t="shared" si="5"/>
        <v>0</v>
      </c>
      <c r="G59" s="123"/>
      <c r="H59" s="124"/>
      <c r="I59" s="125">
        <f t="shared" si="6"/>
        <v>0</v>
      </c>
      <c r="J59" s="123"/>
      <c r="K59" s="124"/>
      <c r="L59" s="125">
        <f t="shared" si="7"/>
        <v>0</v>
      </c>
      <c r="M59" s="264"/>
      <c r="N59" s="262"/>
      <c r="O59" s="125">
        <f t="shared" si="8"/>
        <v>0</v>
      </c>
      <c r="P59" s="74"/>
      <c r="R59" s="53"/>
      <c r="S59" s="53"/>
      <c r="T59" s="53"/>
      <c r="U59" s="53"/>
    </row>
    <row r="60" spans="1:21" ht="24" x14ac:dyDescent="0.25">
      <c r="A60" s="76">
        <v>1119</v>
      </c>
      <c r="B60" s="127" t="s">
        <v>78</v>
      </c>
      <c r="C60" s="128">
        <f t="shared" si="4"/>
        <v>213019</v>
      </c>
      <c r="D60" s="134">
        <v>190852</v>
      </c>
      <c r="E60" s="283"/>
      <c r="F60" s="279">
        <f t="shared" si="5"/>
        <v>190852</v>
      </c>
      <c r="G60" s="134">
        <v>21620</v>
      </c>
      <c r="H60" s="135">
        <v>547</v>
      </c>
      <c r="I60" s="136">
        <f t="shared" si="6"/>
        <v>22167</v>
      </c>
      <c r="J60" s="134"/>
      <c r="K60" s="135"/>
      <c r="L60" s="136">
        <f t="shared" si="7"/>
        <v>0</v>
      </c>
      <c r="M60" s="284"/>
      <c r="N60" s="285"/>
      <c r="O60" s="136">
        <f t="shared" si="8"/>
        <v>0</v>
      </c>
      <c r="P60" s="85" t="s">
        <v>1124</v>
      </c>
      <c r="R60" s="53"/>
      <c r="S60" s="53"/>
      <c r="T60" s="53"/>
      <c r="U60" s="53"/>
    </row>
    <row r="61" spans="1:21" ht="24" x14ac:dyDescent="0.25">
      <c r="A61" s="276">
        <v>1140</v>
      </c>
      <c r="B61" s="127" t="s">
        <v>79</v>
      </c>
      <c r="C61" s="128">
        <f t="shared" si="4"/>
        <v>24501</v>
      </c>
      <c r="D61" s="277">
        <f>SUM(D62:D68)</f>
        <v>24000</v>
      </c>
      <c r="E61" s="278">
        <f>SUM(E62:E68)</f>
        <v>0</v>
      </c>
      <c r="F61" s="279">
        <f>D61+E61</f>
        <v>24000</v>
      </c>
      <c r="G61" s="277">
        <f>SUM(G62:G68)</f>
        <v>1668</v>
      </c>
      <c r="H61" s="280">
        <f>SUM(H62:H68)</f>
        <v>-1167</v>
      </c>
      <c r="I61" s="136">
        <f t="shared" si="6"/>
        <v>501</v>
      </c>
      <c r="J61" s="277">
        <f>SUM(J62:J68)</f>
        <v>0</v>
      </c>
      <c r="K61" s="280">
        <f>SUM(K62:K68)</f>
        <v>0</v>
      </c>
      <c r="L61" s="136">
        <f t="shared" si="7"/>
        <v>0</v>
      </c>
      <c r="M61" s="281">
        <f>SUM(M62:M68)</f>
        <v>0</v>
      </c>
      <c r="N61" s="282">
        <f>SUM(N62:N68)</f>
        <v>0</v>
      </c>
      <c r="O61" s="136">
        <f t="shared" si="8"/>
        <v>0</v>
      </c>
      <c r="P61" s="85"/>
      <c r="R61" s="53"/>
      <c r="S61" s="53"/>
      <c r="T61" s="53"/>
      <c r="U61" s="53"/>
    </row>
    <row r="62" spans="1:21" x14ac:dyDescent="0.25">
      <c r="A62" s="76">
        <v>1141</v>
      </c>
      <c r="B62" s="127" t="s">
        <v>80</v>
      </c>
      <c r="C62" s="128">
        <f t="shared" si="4"/>
        <v>3748</v>
      </c>
      <c r="D62" s="134">
        <v>3748</v>
      </c>
      <c r="E62" s="283"/>
      <c r="F62" s="279">
        <f t="shared" si="5"/>
        <v>3748</v>
      </c>
      <c r="G62" s="134"/>
      <c r="H62" s="135"/>
      <c r="I62" s="136">
        <f t="shared" si="6"/>
        <v>0</v>
      </c>
      <c r="J62" s="134"/>
      <c r="K62" s="135"/>
      <c r="L62" s="136">
        <f t="shared" si="7"/>
        <v>0</v>
      </c>
      <c r="M62" s="284"/>
      <c r="N62" s="285"/>
      <c r="O62" s="136">
        <f t="shared" si="8"/>
        <v>0</v>
      </c>
      <c r="P62" s="85"/>
      <c r="R62" s="53"/>
      <c r="S62" s="53"/>
      <c r="T62" s="53"/>
      <c r="U62" s="53"/>
    </row>
    <row r="63" spans="1:21" ht="24" x14ac:dyDescent="0.25">
      <c r="A63" s="76">
        <v>1142</v>
      </c>
      <c r="B63" s="127" t="s">
        <v>81</v>
      </c>
      <c r="C63" s="128">
        <f t="shared" si="4"/>
        <v>922</v>
      </c>
      <c r="D63" s="134">
        <v>922</v>
      </c>
      <c r="E63" s="283"/>
      <c r="F63" s="279">
        <f t="shared" si="5"/>
        <v>922</v>
      </c>
      <c r="G63" s="134"/>
      <c r="H63" s="135"/>
      <c r="I63" s="136">
        <f t="shared" si="6"/>
        <v>0</v>
      </c>
      <c r="J63" s="134"/>
      <c r="K63" s="135"/>
      <c r="L63" s="136">
        <f t="shared" si="7"/>
        <v>0</v>
      </c>
      <c r="M63" s="284"/>
      <c r="N63" s="285"/>
      <c r="O63" s="136">
        <f t="shared" si="8"/>
        <v>0</v>
      </c>
      <c r="P63" s="85"/>
      <c r="R63" s="53"/>
      <c r="S63" s="53"/>
      <c r="T63" s="53"/>
      <c r="U63" s="53"/>
    </row>
    <row r="64" spans="1:21" ht="24" hidden="1" x14ac:dyDescent="0.25">
      <c r="A64" s="76">
        <v>1145</v>
      </c>
      <c r="B64" s="127" t="s">
        <v>82</v>
      </c>
      <c r="C64" s="128">
        <f t="shared" si="4"/>
        <v>0</v>
      </c>
      <c r="D64" s="134"/>
      <c r="E64" s="285"/>
      <c r="F64" s="286">
        <f t="shared" si="5"/>
        <v>0</v>
      </c>
      <c r="G64" s="134"/>
      <c r="H64" s="135"/>
      <c r="I64" s="136">
        <f t="shared" si="6"/>
        <v>0</v>
      </c>
      <c r="J64" s="134"/>
      <c r="K64" s="135"/>
      <c r="L64" s="136">
        <f t="shared" si="7"/>
        <v>0</v>
      </c>
      <c r="M64" s="284"/>
      <c r="N64" s="285"/>
      <c r="O64" s="136">
        <f t="shared" si="8"/>
        <v>0</v>
      </c>
      <c r="P64" s="85"/>
      <c r="R64" s="53"/>
      <c r="S64" s="53"/>
      <c r="T64" s="53"/>
      <c r="U64" s="53"/>
    </row>
    <row r="65" spans="1:21" ht="24" hidden="1" x14ac:dyDescent="0.25">
      <c r="A65" s="76">
        <v>1146</v>
      </c>
      <c r="B65" s="127" t="s">
        <v>83</v>
      </c>
      <c r="C65" s="128">
        <f t="shared" si="4"/>
        <v>0</v>
      </c>
      <c r="D65" s="134"/>
      <c r="E65" s="285"/>
      <c r="F65" s="286">
        <f t="shared" si="5"/>
        <v>0</v>
      </c>
      <c r="G65" s="134"/>
      <c r="H65" s="135"/>
      <c r="I65" s="136">
        <f t="shared" si="6"/>
        <v>0</v>
      </c>
      <c r="J65" s="134"/>
      <c r="K65" s="135"/>
      <c r="L65" s="136">
        <f t="shared" si="7"/>
        <v>0</v>
      </c>
      <c r="M65" s="284"/>
      <c r="N65" s="285"/>
      <c r="O65" s="136">
        <f t="shared" si="8"/>
        <v>0</v>
      </c>
      <c r="P65" s="85"/>
      <c r="R65" s="53"/>
      <c r="S65" s="53"/>
      <c r="T65" s="53"/>
      <c r="U65" s="53"/>
    </row>
    <row r="66" spans="1:21" x14ac:dyDescent="0.25">
      <c r="A66" s="76">
        <v>1147</v>
      </c>
      <c r="B66" s="127" t="s">
        <v>84</v>
      </c>
      <c r="C66" s="128">
        <f t="shared" si="4"/>
        <v>1930</v>
      </c>
      <c r="D66" s="134">
        <v>1930</v>
      </c>
      <c r="E66" s="283"/>
      <c r="F66" s="279">
        <f t="shared" si="5"/>
        <v>1930</v>
      </c>
      <c r="G66" s="134"/>
      <c r="H66" s="135"/>
      <c r="I66" s="136">
        <f t="shared" si="6"/>
        <v>0</v>
      </c>
      <c r="J66" s="134"/>
      <c r="K66" s="135"/>
      <c r="L66" s="136">
        <f t="shared" si="7"/>
        <v>0</v>
      </c>
      <c r="M66" s="284"/>
      <c r="N66" s="285"/>
      <c r="O66" s="136">
        <f t="shared" si="8"/>
        <v>0</v>
      </c>
      <c r="P66" s="85"/>
      <c r="R66" s="53"/>
      <c r="S66" s="53"/>
      <c r="T66" s="53"/>
      <c r="U66" s="53"/>
    </row>
    <row r="67" spans="1:21" x14ac:dyDescent="0.25">
      <c r="A67" s="76">
        <v>1148</v>
      </c>
      <c r="B67" s="127" t="s">
        <v>85</v>
      </c>
      <c r="C67" s="128">
        <f t="shared" si="4"/>
        <v>15839</v>
      </c>
      <c r="D67" s="134">
        <v>15839</v>
      </c>
      <c r="E67" s="283"/>
      <c r="F67" s="279">
        <f t="shared" si="5"/>
        <v>15839</v>
      </c>
      <c r="G67" s="134"/>
      <c r="H67" s="135"/>
      <c r="I67" s="136">
        <f t="shared" si="6"/>
        <v>0</v>
      </c>
      <c r="J67" s="134"/>
      <c r="K67" s="135"/>
      <c r="L67" s="136">
        <f t="shared" si="7"/>
        <v>0</v>
      </c>
      <c r="M67" s="284"/>
      <c r="N67" s="285"/>
      <c r="O67" s="136">
        <f t="shared" si="8"/>
        <v>0</v>
      </c>
      <c r="P67" s="85"/>
      <c r="R67" s="53"/>
      <c r="S67" s="53"/>
      <c r="T67" s="53"/>
      <c r="U67" s="53"/>
    </row>
    <row r="68" spans="1:21" ht="36" x14ac:dyDescent="0.25">
      <c r="A68" s="76">
        <v>1149</v>
      </c>
      <c r="B68" s="127" t="s">
        <v>86</v>
      </c>
      <c r="C68" s="128">
        <f t="shared" si="4"/>
        <v>2062</v>
      </c>
      <c r="D68" s="134">
        <v>1561</v>
      </c>
      <c r="E68" s="283"/>
      <c r="F68" s="279">
        <f t="shared" si="5"/>
        <v>1561</v>
      </c>
      <c r="G68" s="134">
        <v>1668</v>
      </c>
      <c r="H68" s="135">
        <v>-1167</v>
      </c>
      <c r="I68" s="136">
        <f t="shared" si="6"/>
        <v>501</v>
      </c>
      <c r="J68" s="134"/>
      <c r="K68" s="135"/>
      <c r="L68" s="136">
        <f t="shared" si="7"/>
        <v>0</v>
      </c>
      <c r="M68" s="284"/>
      <c r="N68" s="285"/>
      <c r="O68" s="136">
        <f t="shared" si="8"/>
        <v>0</v>
      </c>
      <c r="P68" s="85" t="s">
        <v>550</v>
      </c>
      <c r="R68" s="53"/>
      <c r="S68" s="53"/>
      <c r="T68" s="53"/>
      <c r="U68" s="53"/>
    </row>
    <row r="69" spans="1:21" ht="36" x14ac:dyDescent="0.25">
      <c r="A69" s="254">
        <v>1150</v>
      </c>
      <c r="B69" s="179" t="s">
        <v>87</v>
      </c>
      <c r="C69" s="128">
        <f t="shared" si="4"/>
        <v>2895</v>
      </c>
      <c r="D69" s="287">
        <v>2895</v>
      </c>
      <c r="E69" s="288"/>
      <c r="F69" s="257">
        <f t="shared" si="5"/>
        <v>2895</v>
      </c>
      <c r="G69" s="287"/>
      <c r="H69" s="289"/>
      <c r="I69" s="259">
        <f t="shared" si="6"/>
        <v>0</v>
      </c>
      <c r="J69" s="287"/>
      <c r="K69" s="289"/>
      <c r="L69" s="259">
        <f t="shared" si="7"/>
        <v>0</v>
      </c>
      <c r="M69" s="290"/>
      <c r="N69" s="291"/>
      <c r="O69" s="259">
        <f t="shared" si="8"/>
        <v>0</v>
      </c>
      <c r="P69" s="189"/>
      <c r="R69" s="53"/>
      <c r="S69" s="53"/>
      <c r="T69" s="53"/>
      <c r="U69" s="53"/>
    </row>
    <row r="70" spans="1:21" ht="36" x14ac:dyDescent="0.25">
      <c r="A70" s="99">
        <v>1200</v>
      </c>
      <c r="B70" s="247" t="s">
        <v>88</v>
      </c>
      <c r="C70" s="100">
        <f t="shared" si="4"/>
        <v>76327</v>
      </c>
      <c r="D70" s="112">
        <f>SUM(D71:D72)</f>
        <v>69634</v>
      </c>
      <c r="E70" s="248">
        <f>SUM(E71:E72)</f>
        <v>0</v>
      </c>
      <c r="F70" s="249">
        <f>D70+E70</f>
        <v>69634</v>
      </c>
      <c r="G70" s="112">
        <f>SUM(G71:G72)</f>
        <v>6073</v>
      </c>
      <c r="H70" s="113">
        <f>SUM(H71:H72)</f>
        <v>620</v>
      </c>
      <c r="I70" s="114">
        <f t="shared" si="6"/>
        <v>6693</v>
      </c>
      <c r="J70" s="112">
        <f>SUM(J71:J72)</f>
        <v>0</v>
      </c>
      <c r="K70" s="113">
        <f>SUM(K71:K72)</f>
        <v>0</v>
      </c>
      <c r="L70" s="114">
        <f t="shared" si="7"/>
        <v>0</v>
      </c>
      <c r="M70" s="292">
        <f>SUM(M71:M72)</f>
        <v>0</v>
      </c>
      <c r="N70" s="293">
        <f>SUM(N71:N72)</f>
        <v>0</v>
      </c>
      <c r="O70" s="114">
        <f t="shared" si="8"/>
        <v>0</v>
      </c>
      <c r="P70" s="109"/>
      <c r="R70" s="53"/>
      <c r="S70" s="53"/>
      <c r="T70" s="53"/>
      <c r="U70" s="53"/>
    </row>
    <row r="71" spans="1:21" ht="24" x14ac:dyDescent="0.25">
      <c r="A71" s="656">
        <v>1210</v>
      </c>
      <c r="B71" s="116" t="s">
        <v>89</v>
      </c>
      <c r="C71" s="117">
        <f t="shared" si="4"/>
        <v>59865</v>
      </c>
      <c r="D71" s="123">
        <v>53540</v>
      </c>
      <c r="E71" s="295"/>
      <c r="F71" s="296">
        <f t="shared" si="5"/>
        <v>53540</v>
      </c>
      <c r="G71" s="123">
        <v>5605</v>
      </c>
      <c r="H71" s="124">
        <v>720</v>
      </c>
      <c r="I71" s="125">
        <f t="shared" si="6"/>
        <v>6325</v>
      </c>
      <c r="J71" s="123"/>
      <c r="K71" s="124"/>
      <c r="L71" s="125">
        <f t="shared" si="7"/>
        <v>0</v>
      </c>
      <c r="M71" s="264"/>
      <c r="N71" s="262"/>
      <c r="O71" s="125">
        <f t="shared" si="8"/>
        <v>0</v>
      </c>
      <c r="P71" s="85" t="s">
        <v>1116</v>
      </c>
      <c r="R71" s="53"/>
      <c r="S71" s="53"/>
      <c r="T71" s="53"/>
      <c r="U71" s="53"/>
    </row>
    <row r="72" spans="1:21" ht="24" x14ac:dyDescent="0.25">
      <c r="A72" s="276">
        <v>1220</v>
      </c>
      <c r="B72" s="127" t="s">
        <v>90</v>
      </c>
      <c r="C72" s="128">
        <f t="shared" si="4"/>
        <v>16462</v>
      </c>
      <c r="D72" s="277">
        <f>SUM(D73:D77)</f>
        <v>16094</v>
      </c>
      <c r="E72" s="278">
        <f>SUM(E73:E77)</f>
        <v>0</v>
      </c>
      <c r="F72" s="279">
        <f t="shared" si="5"/>
        <v>16094</v>
      </c>
      <c r="G72" s="277">
        <f>SUM(G73:G77)</f>
        <v>468</v>
      </c>
      <c r="H72" s="280">
        <f>SUM(H73:H77)</f>
        <v>-100</v>
      </c>
      <c r="I72" s="136">
        <f t="shared" si="6"/>
        <v>368</v>
      </c>
      <c r="J72" s="277">
        <f>SUM(J73:J77)</f>
        <v>0</v>
      </c>
      <c r="K72" s="280">
        <f>SUM(K73:K77)</f>
        <v>0</v>
      </c>
      <c r="L72" s="136">
        <f t="shared" si="7"/>
        <v>0</v>
      </c>
      <c r="M72" s="281">
        <f>SUM(M73:M77)</f>
        <v>0</v>
      </c>
      <c r="N72" s="282">
        <f>SUM(N73:N77)</f>
        <v>0</v>
      </c>
      <c r="O72" s="136">
        <f t="shared" si="8"/>
        <v>0</v>
      </c>
      <c r="P72" s="85"/>
      <c r="R72" s="53"/>
      <c r="S72" s="53"/>
      <c r="T72" s="53"/>
      <c r="U72" s="53"/>
    </row>
    <row r="73" spans="1:21" ht="60" x14ac:dyDescent="0.25">
      <c r="A73" s="76">
        <v>1221</v>
      </c>
      <c r="B73" s="127" t="s">
        <v>91</v>
      </c>
      <c r="C73" s="128">
        <f t="shared" si="4"/>
        <v>9348</v>
      </c>
      <c r="D73" s="134">
        <v>8980</v>
      </c>
      <c r="E73" s="283"/>
      <c r="F73" s="279">
        <f t="shared" si="5"/>
        <v>8980</v>
      </c>
      <c r="G73" s="134">
        <v>468</v>
      </c>
      <c r="H73" s="135">
        <v>-100</v>
      </c>
      <c r="I73" s="136">
        <f t="shared" si="6"/>
        <v>368</v>
      </c>
      <c r="J73" s="134"/>
      <c r="K73" s="135"/>
      <c r="L73" s="136">
        <f t="shared" si="7"/>
        <v>0</v>
      </c>
      <c r="M73" s="284"/>
      <c r="N73" s="285"/>
      <c r="O73" s="136">
        <f t="shared" si="8"/>
        <v>0</v>
      </c>
      <c r="P73" s="85" t="s">
        <v>550</v>
      </c>
      <c r="R73" s="53"/>
      <c r="S73" s="53"/>
      <c r="T73" s="53"/>
      <c r="U73" s="53"/>
    </row>
    <row r="74" spans="1:21" hidden="1" x14ac:dyDescent="0.25">
      <c r="A74" s="76">
        <v>1223</v>
      </c>
      <c r="B74" s="127" t="s">
        <v>92</v>
      </c>
      <c r="C74" s="128">
        <f t="shared" si="4"/>
        <v>0</v>
      </c>
      <c r="D74" s="134"/>
      <c r="E74" s="285"/>
      <c r="F74" s="286">
        <f t="shared" si="5"/>
        <v>0</v>
      </c>
      <c r="G74" s="134"/>
      <c r="H74" s="135"/>
      <c r="I74" s="136">
        <f t="shared" si="6"/>
        <v>0</v>
      </c>
      <c r="J74" s="134"/>
      <c r="K74" s="135"/>
      <c r="L74" s="136">
        <f t="shared" si="7"/>
        <v>0</v>
      </c>
      <c r="M74" s="284"/>
      <c r="N74" s="285"/>
      <c r="O74" s="136">
        <f t="shared" si="8"/>
        <v>0</v>
      </c>
      <c r="P74" s="85"/>
      <c r="R74" s="53"/>
      <c r="S74" s="53"/>
      <c r="T74" s="53"/>
      <c r="U74" s="53"/>
    </row>
    <row r="75" spans="1:21" hidden="1" x14ac:dyDescent="0.25">
      <c r="A75" s="76">
        <v>1225</v>
      </c>
      <c r="B75" s="127" t="s">
        <v>93</v>
      </c>
      <c r="C75" s="128">
        <f t="shared" si="4"/>
        <v>0</v>
      </c>
      <c r="D75" s="134"/>
      <c r="E75" s="285"/>
      <c r="F75" s="286">
        <f t="shared" si="5"/>
        <v>0</v>
      </c>
      <c r="G75" s="134"/>
      <c r="H75" s="135"/>
      <c r="I75" s="136">
        <f t="shared" si="6"/>
        <v>0</v>
      </c>
      <c r="J75" s="134"/>
      <c r="K75" s="135"/>
      <c r="L75" s="136">
        <f t="shared" si="7"/>
        <v>0</v>
      </c>
      <c r="M75" s="284"/>
      <c r="N75" s="285"/>
      <c r="O75" s="136">
        <f t="shared" si="8"/>
        <v>0</v>
      </c>
      <c r="P75" s="85"/>
      <c r="R75" s="53"/>
      <c r="S75" s="53"/>
      <c r="T75" s="53"/>
      <c r="U75" s="53"/>
    </row>
    <row r="76" spans="1:21" ht="36" x14ac:dyDescent="0.25">
      <c r="A76" s="265">
        <v>1227</v>
      </c>
      <c r="B76" s="266" t="s">
        <v>94</v>
      </c>
      <c r="C76" s="267">
        <f t="shared" si="4"/>
        <v>6686</v>
      </c>
      <c r="D76" s="268">
        <f>6617+69</f>
        <v>6686</v>
      </c>
      <c r="E76" s="269"/>
      <c r="F76" s="270">
        <f t="shared" si="5"/>
        <v>6686</v>
      </c>
      <c r="G76" s="268"/>
      <c r="H76" s="271"/>
      <c r="I76" s="272">
        <f t="shared" si="6"/>
        <v>0</v>
      </c>
      <c r="J76" s="268"/>
      <c r="K76" s="271"/>
      <c r="L76" s="272">
        <f t="shared" si="7"/>
        <v>0</v>
      </c>
      <c r="M76" s="273"/>
      <c r="N76" s="274"/>
      <c r="O76" s="272">
        <f t="shared" si="8"/>
        <v>0</v>
      </c>
      <c r="P76" s="275"/>
      <c r="R76" s="53"/>
      <c r="S76" s="53"/>
      <c r="T76" s="53"/>
      <c r="U76" s="53"/>
    </row>
    <row r="77" spans="1:21" ht="60" x14ac:dyDescent="0.25">
      <c r="A77" s="76">
        <v>1228</v>
      </c>
      <c r="B77" s="127" t="s">
        <v>95</v>
      </c>
      <c r="C77" s="128">
        <f t="shared" si="4"/>
        <v>428</v>
      </c>
      <c r="D77" s="134">
        <v>428</v>
      </c>
      <c r="E77" s="283"/>
      <c r="F77" s="279">
        <f t="shared" si="5"/>
        <v>428</v>
      </c>
      <c r="G77" s="134"/>
      <c r="H77" s="135"/>
      <c r="I77" s="136">
        <f t="shared" si="6"/>
        <v>0</v>
      </c>
      <c r="J77" s="134"/>
      <c r="K77" s="135"/>
      <c r="L77" s="136">
        <f t="shared" si="7"/>
        <v>0</v>
      </c>
      <c r="M77" s="284"/>
      <c r="N77" s="285"/>
      <c r="O77" s="136">
        <f t="shared" si="8"/>
        <v>0</v>
      </c>
      <c r="P77" s="85"/>
      <c r="R77" s="53"/>
      <c r="S77" s="53"/>
      <c r="T77" s="53"/>
      <c r="U77" s="53"/>
    </row>
    <row r="78" spans="1:21" x14ac:dyDescent="0.25">
      <c r="A78" s="237">
        <v>2000</v>
      </c>
      <c r="B78" s="237" t="s">
        <v>96</v>
      </c>
      <c r="C78" s="238">
        <f t="shared" si="4"/>
        <v>32706</v>
      </c>
      <c r="D78" s="239">
        <f>SUM(D79,D86,D133,D167,D168,D175)</f>
        <v>30899</v>
      </c>
      <c r="E78" s="240">
        <f>SUM(E79,E86,E133,E167,E168,E175)</f>
        <v>0</v>
      </c>
      <c r="F78" s="241">
        <f t="shared" si="5"/>
        <v>30899</v>
      </c>
      <c r="G78" s="239">
        <f>SUM(G79,G86,G133,G167,G168,G175)</f>
        <v>564</v>
      </c>
      <c r="H78" s="242">
        <f>SUM(H79,H86,H133,H167,H168,H175)</f>
        <v>0</v>
      </c>
      <c r="I78" s="243">
        <f t="shared" si="6"/>
        <v>564</v>
      </c>
      <c r="J78" s="239">
        <f>SUM(J79,J86,J133,J167,J168,J175)</f>
        <v>1193</v>
      </c>
      <c r="K78" s="242">
        <f>SUM(K79,K86,K133,K167,K168,K175)</f>
        <v>0</v>
      </c>
      <c r="L78" s="243">
        <f t="shared" si="7"/>
        <v>1193</v>
      </c>
      <c r="M78" s="244">
        <f>SUM(M79,M86,M133,M167,M168,M175)</f>
        <v>50</v>
      </c>
      <c r="N78" s="245">
        <f>SUM(N79,N86,N133,N167,N168,N175)</f>
        <v>0</v>
      </c>
      <c r="O78" s="243">
        <f t="shared" si="8"/>
        <v>50</v>
      </c>
      <c r="P78" s="246"/>
      <c r="R78" s="53"/>
      <c r="S78" s="53"/>
      <c r="T78" s="53"/>
      <c r="U78" s="53"/>
    </row>
    <row r="79" spans="1:21" ht="24" hidden="1" x14ac:dyDescent="0.25">
      <c r="A79" s="99">
        <v>2100</v>
      </c>
      <c r="B79" s="247" t="s">
        <v>97</v>
      </c>
      <c r="C79" s="100">
        <f t="shared" si="4"/>
        <v>0</v>
      </c>
      <c r="D79" s="112">
        <f>SUM(D80,D83)</f>
        <v>0</v>
      </c>
      <c r="E79" s="293">
        <f>SUM(E80,E83)</f>
        <v>0</v>
      </c>
      <c r="F79" s="313">
        <f t="shared" si="5"/>
        <v>0</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c r="R79" s="53"/>
      <c r="S79" s="53"/>
      <c r="T79" s="53"/>
      <c r="U79" s="53"/>
    </row>
    <row r="80" spans="1:21" ht="24" hidden="1" x14ac:dyDescent="0.25">
      <c r="A80" s="656">
        <v>2110</v>
      </c>
      <c r="B80" s="116" t="s">
        <v>98</v>
      </c>
      <c r="C80" s="117">
        <f t="shared" si="4"/>
        <v>0</v>
      </c>
      <c r="D80" s="297">
        <f>SUM(D81:D82)</f>
        <v>0</v>
      </c>
      <c r="E80" s="301">
        <f>SUM(E81:E82)</f>
        <v>0</v>
      </c>
      <c r="F80" s="263">
        <f t="shared" si="5"/>
        <v>0</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c r="R80" s="53"/>
      <c r="S80" s="53"/>
      <c r="T80" s="53"/>
      <c r="U80" s="53"/>
    </row>
    <row r="81" spans="1:21" hidden="1" x14ac:dyDescent="0.25">
      <c r="A81" s="76">
        <v>2111</v>
      </c>
      <c r="B81" s="127" t="s">
        <v>99</v>
      </c>
      <c r="C81" s="128">
        <f t="shared" si="4"/>
        <v>0</v>
      </c>
      <c r="D81" s="134"/>
      <c r="E81" s="285"/>
      <c r="F81" s="286">
        <f t="shared" si="5"/>
        <v>0</v>
      </c>
      <c r="G81" s="134"/>
      <c r="H81" s="135"/>
      <c r="I81" s="136">
        <f t="shared" si="6"/>
        <v>0</v>
      </c>
      <c r="J81" s="134"/>
      <c r="K81" s="135"/>
      <c r="L81" s="136">
        <f t="shared" si="7"/>
        <v>0</v>
      </c>
      <c r="M81" s="284"/>
      <c r="N81" s="285"/>
      <c r="O81" s="136">
        <f t="shared" si="8"/>
        <v>0</v>
      </c>
      <c r="P81" s="85"/>
      <c r="R81" s="53"/>
      <c r="S81" s="53"/>
      <c r="T81" s="53"/>
      <c r="U81" s="53"/>
    </row>
    <row r="82" spans="1:21" ht="24" hidden="1" x14ac:dyDescent="0.25">
      <c r="A82" s="265">
        <v>2112</v>
      </c>
      <c r="B82" s="266" t="s">
        <v>100</v>
      </c>
      <c r="C82" s="267">
        <f t="shared" si="4"/>
        <v>0</v>
      </c>
      <c r="D82" s="268">
        <v>0</v>
      </c>
      <c r="E82" s="274"/>
      <c r="F82" s="940">
        <f t="shared" si="5"/>
        <v>0</v>
      </c>
      <c r="G82" s="268"/>
      <c r="H82" s="271"/>
      <c r="I82" s="272">
        <f t="shared" si="6"/>
        <v>0</v>
      </c>
      <c r="J82" s="268"/>
      <c r="K82" s="271"/>
      <c r="L82" s="272">
        <f t="shared" si="7"/>
        <v>0</v>
      </c>
      <c r="M82" s="273"/>
      <c r="N82" s="274"/>
      <c r="O82" s="272">
        <f t="shared" si="8"/>
        <v>0</v>
      </c>
      <c r="P82" s="275"/>
      <c r="R82" s="53"/>
      <c r="S82" s="53"/>
      <c r="T82" s="53"/>
      <c r="U82" s="53"/>
    </row>
    <row r="83" spans="1:21" ht="24" hidden="1" x14ac:dyDescent="0.25">
      <c r="A83" s="276">
        <v>2120</v>
      </c>
      <c r="B83" s="127" t="s">
        <v>101</v>
      </c>
      <c r="C83" s="128">
        <f t="shared" si="4"/>
        <v>0</v>
      </c>
      <c r="D83" s="277">
        <f>SUM(D84:D85)</f>
        <v>0</v>
      </c>
      <c r="E83" s="282">
        <f>SUM(E84:E85)</f>
        <v>0</v>
      </c>
      <c r="F83" s="28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c r="R83" s="53"/>
      <c r="S83" s="53"/>
      <c r="T83" s="53"/>
      <c r="U83" s="53"/>
    </row>
    <row r="84" spans="1:21" hidden="1" x14ac:dyDescent="0.25">
      <c r="A84" s="76">
        <v>2121</v>
      </c>
      <c r="B84" s="127" t="s">
        <v>99</v>
      </c>
      <c r="C84" s="128">
        <f t="shared" si="4"/>
        <v>0</v>
      </c>
      <c r="D84" s="134"/>
      <c r="E84" s="285"/>
      <c r="F84" s="286">
        <f t="shared" si="5"/>
        <v>0</v>
      </c>
      <c r="G84" s="134"/>
      <c r="H84" s="135"/>
      <c r="I84" s="136">
        <f t="shared" si="6"/>
        <v>0</v>
      </c>
      <c r="J84" s="134"/>
      <c r="K84" s="135"/>
      <c r="L84" s="136">
        <f t="shared" si="7"/>
        <v>0</v>
      </c>
      <c r="M84" s="284"/>
      <c r="N84" s="285"/>
      <c r="O84" s="136">
        <f t="shared" si="8"/>
        <v>0</v>
      </c>
      <c r="P84" s="85"/>
      <c r="R84" s="53"/>
      <c r="S84" s="53"/>
      <c r="T84" s="53"/>
      <c r="U84" s="53"/>
    </row>
    <row r="85" spans="1:21" ht="24" hidden="1" x14ac:dyDescent="0.25">
      <c r="A85" s="76">
        <v>2122</v>
      </c>
      <c r="B85" s="127" t="s">
        <v>100</v>
      </c>
      <c r="C85" s="128">
        <f t="shared" si="4"/>
        <v>0</v>
      </c>
      <c r="D85" s="134"/>
      <c r="E85" s="285"/>
      <c r="F85" s="286">
        <f t="shared" si="5"/>
        <v>0</v>
      </c>
      <c r="G85" s="134"/>
      <c r="H85" s="135"/>
      <c r="I85" s="136">
        <f t="shared" si="6"/>
        <v>0</v>
      </c>
      <c r="J85" s="134"/>
      <c r="K85" s="135"/>
      <c r="L85" s="136">
        <f t="shared" si="7"/>
        <v>0</v>
      </c>
      <c r="M85" s="284"/>
      <c r="N85" s="285"/>
      <c r="O85" s="136">
        <f t="shared" si="8"/>
        <v>0</v>
      </c>
      <c r="P85" s="85"/>
      <c r="R85" s="53"/>
      <c r="S85" s="53"/>
      <c r="T85" s="53"/>
      <c r="U85" s="53"/>
    </row>
    <row r="86" spans="1:21" x14ac:dyDescent="0.25">
      <c r="A86" s="99">
        <v>2200</v>
      </c>
      <c r="B86" s="247" t="s">
        <v>102</v>
      </c>
      <c r="C86" s="302">
        <f t="shared" si="4"/>
        <v>26744</v>
      </c>
      <c r="D86" s="112">
        <f>SUM(D87,D92,D98,D106,D115,D119,D125,D131)</f>
        <v>25551</v>
      </c>
      <c r="E86" s="248">
        <f>SUM(E87,E92,E98,E106,E115,E119,E125,E131)</f>
        <v>0</v>
      </c>
      <c r="F86" s="249">
        <f t="shared" si="5"/>
        <v>25551</v>
      </c>
      <c r="G86" s="112">
        <f>SUM(G87,G92,G98,G106,G115,G119,G125,G131)</f>
        <v>0</v>
      </c>
      <c r="H86" s="113">
        <f>SUM(H87,H92,H98,H106,H115,H119,H125,H131)</f>
        <v>0</v>
      </c>
      <c r="I86" s="114">
        <f t="shared" si="6"/>
        <v>0</v>
      </c>
      <c r="J86" s="112">
        <f>SUM(J87,J92,J98,J106,J115,J119,J125,J131)</f>
        <v>1193</v>
      </c>
      <c r="K86" s="113">
        <f>SUM(K87,K92,K98,K106,K115,K119,K125,K131)</f>
        <v>0</v>
      </c>
      <c r="L86" s="114">
        <f t="shared" si="7"/>
        <v>1193</v>
      </c>
      <c r="M86" s="303">
        <f>SUM(M87,M92,M98,M106,M115,M119,M125,M131)</f>
        <v>0</v>
      </c>
      <c r="N86" s="304">
        <f>SUM(N87,N92,N98,N106,N115,N119,N125,N131)</f>
        <v>0</v>
      </c>
      <c r="O86" s="305">
        <f t="shared" si="8"/>
        <v>0</v>
      </c>
      <c r="P86" s="306"/>
      <c r="R86" s="53"/>
      <c r="S86" s="53"/>
      <c r="T86" s="53"/>
      <c r="U86" s="53"/>
    </row>
    <row r="87" spans="1:21" ht="24" x14ac:dyDescent="0.25">
      <c r="A87" s="254">
        <v>2210</v>
      </c>
      <c r="B87" s="179" t="s">
        <v>103</v>
      </c>
      <c r="C87" s="191">
        <f t="shared" si="4"/>
        <v>630</v>
      </c>
      <c r="D87" s="255">
        <f>SUM(D88:D91)</f>
        <v>630</v>
      </c>
      <c r="E87" s="256">
        <f>SUM(E88:E91)</f>
        <v>0</v>
      </c>
      <c r="F87" s="257">
        <f t="shared" si="5"/>
        <v>630</v>
      </c>
      <c r="G87" s="255">
        <f>SUM(G88:G91)</f>
        <v>0</v>
      </c>
      <c r="H87" s="258">
        <f>SUM(H88:H91)</f>
        <v>0</v>
      </c>
      <c r="I87" s="259">
        <f t="shared" si="6"/>
        <v>0</v>
      </c>
      <c r="J87" s="255">
        <f>SUM(J88:J91)</f>
        <v>0</v>
      </c>
      <c r="K87" s="258">
        <f>SUM(K88:K91)</f>
        <v>0</v>
      </c>
      <c r="L87" s="259">
        <f t="shared" si="7"/>
        <v>0</v>
      </c>
      <c r="M87" s="260">
        <f>SUM(M88:M91)</f>
        <v>0</v>
      </c>
      <c r="N87" s="261">
        <f>SUM(N88:N91)</f>
        <v>0</v>
      </c>
      <c r="O87" s="259">
        <f t="shared" si="8"/>
        <v>0</v>
      </c>
      <c r="P87" s="189"/>
      <c r="R87" s="53"/>
      <c r="S87" s="53"/>
      <c r="T87" s="53"/>
      <c r="U87" s="53"/>
    </row>
    <row r="88" spans="1:21" ht="24" hidden="1" x14ac:dyDescent="0.25">
      <c r="A88" s="66">
        <v>2211</v>
      </c>
      <c r="B88" s="116" t="s">
        <v>104</v>
      </c>
      <c r="C88" s="128">
        <f t="shared" si="4"/>
        <v>0</v>
      </c>
      <c r="D88" s="123"/>
      <c r="E88" s="262"/>
      <c r="F88" s="263">
        <f t="shared" si="5"/>
        <v>0</v>
      </c>
      <c r="G88" s="123"/>
      <c r="H88" s="124"/>
      <c r="I88" s="125">
        <f t="shared" si="6"/>
        <v>0</v>
      </c>
      <c r="J88" s="123"/>
      <c r="K88" s="124"/>
      <c r="L88" s="125">
        <f t="shared" si="7"/>
        <v>0</v>
      </c>
      <c r="M88" s="264"/>
      <c r="N88" s="262"/>
      <c r="O88" s="125">
        <f t="shared" si="8"/>
        <v>0</v>
      </c>
      <c r="P88" s="74"/>
      <c r="R88" s="53"/>
      <c r="S88" s="53"/>
      <c r="T88" s="53"/>
      <c r="U88" s="53"/>
    </row>
    <row r="89" spans="1:21" ht="36" x14ac:dyDescent="0.25">
      <c r="A89" s="76">
        <v>2212</v>
      </c>
      <c r="B89" s="127" t="s">
        <v>105</v>
      </c>
      <c r="C89" s="128">
        <f t="shared" si="4"/>
        <v>459</v>
      </c>
      <c r="D89" s="134">
        <v>460</v>
      </c>
      <c r="E89" s="283">
        <v>-1</v>
      </c>
      <c r="F89" s="279">
        <f t="shared" si="5"/>
        <v>459</v>
      </c>
      <c r="G89" s="134"/>
      <c r="H89" s="135"/>
      <c r="I89" s="136">
        <f t="shared" si="6"/>
        <v>0</v>
      </c>
      <c r="J89" s="134"/>
      <c r="K89" s="135"/>
      <c r="L89" s="136">
        <f t="shared" si="7"/>
        <v>0</v>
      </c>
      <c r="M89" s="284"/>
      <c r="N89" s="285"/>
      <c r="O89" s="136">
        <f t="shared" si="8"/>
        <v>0</v>
      </c>
      <c r="P89" s="85"/>
      <c r="R89" s="53"/>
      <c r="S89" s="53"/>
      <c r="T89" s="53"/>
      <c r="U89" s="53"/>
    </row>
    <row r="90" spans="1:21" ht="24" x14ac:dyDescent="0.25">
      <c r="A90" s="76">
        <v>2214</v>
      </c>
      <c r="B90" s="127" t="s">
        <v>106</v>
      </c>
      <c r="C90" s="128">
        <f t="shared" si="4"/>
        <v>121</v>
      </c>
      <c r="D90" s="134">
        <v>120</v>
      </c>
      <c r="E90" s="283">
        <v>1</v>
      </c>
      <c r="F90" s="279">
        <f t="shared" si="5"/>
        <v>121</v>
      </c>
      <c r="G90" s="134"/>
      <c r="H90" s="135"/>
      <c r="I90" s="136">
        <f t="shared" si="6"/>
        <v>0</v>
      </c>
      <c r="J90" s="134"/>
      <c r="K90" s="135"/>
      <c r="L90" s="136">
        <f t="shared" si="7"/>
        <v>0</v>
      </c>
      <c r="M90" s="284"/>
      <c r="N90" s="285"/>
      <c r="O90" s="136">
        <f t="shared" si="8"/>
        <v>0</v>
      </c>
      <c r="P90" s="85"/>
      <c r="R90" s="53"/>
      <c r="S90" s="53"/>
      <c r="T90" s="53"/>
      <c r="U90" s="53"/>
    </row>
    <row r="91" spans="1:21" x14ac:dyDescent="0.25">
      <c r="A91" s="76">
        <v>2219</v>
      </c>
      <c r="B91" s="127" t="s">
        <v>107</v>
      </c>
      <c r="C91" s="128">
        <f t="shared" si="4"/>
        <v>50</v>
      </c>
      <c r="D91" s="134">
        <v>50</v>
      </c>
      <c r="E91" s="283"/>
      <c r="F91" s="279">
        <f t="shared" si="5"/>
        <v>50</v>
      </c>
      <c r="G91" s="134"/>
      <c r="H91" s="135"/>
      <c r="I91" s="136">
        <f t="shared" si="6"/>
        <v>0</v>
      </c>
      <c r="J91" s="134"/>
      <c r="K91" s="135"/>
      <c r="L91" s="136">
        <f t="shared" si="7"/>
        <v>0</v>
      </c>
      <c r="M91" s="284"/>
      <c r="N91" s="285"/>
      <c r="O91" s="136">
        <f t="shared" si="8"/>
        <v>0</v>
      </c>
      <c r="P91" s="85"/>
      <c r="R91" s="53"/>
      <c r="S91" s="53"/>
      <c r="T91" s="53"/>
      <c r="U91" s="53"/>
    </row>
    <row r="92" spans="1:21" ht="24" x14ac:dyDescent="0.25">
      <c r="A92" s="276">
        <v>2220</v>
      </c>
      <c r="B92" s="127" t="s">
        <v>108</v>
      </c>
      <c r="C92" s="128">
        <f t="shared" si="4"/>
        <v>19300</v>
      </c>
      <c r="D92" s="277">
        <f>SUM(D93:D97)</f>
        <v>18855</v>
      </c>
      <c r="E92" s="278">
        <f>SUM(E93:E97)</f>
        <v>0</v>
      </c>
      <c r="F92" s="279">
        <f t="shared" si="5"/>
        <v>18855</v>
      </c>
      <c r="G92" s="277">
        <f>SUM(G93:G97)</f>
        <v>0</v>
      </c>
      <c r="H92" s="280">
        <f>SUM(H93:H97)</f>
        <v>0</v>
      </c>
      <c r="I92" s="136">
        <f t="shared" si="6"/>
        <v>0</v>
      </c>
      <c r="J92" s="277">
        <f>SUM(J93:J97)</f>
        <v>445</v>
      </c>
      <c r="K92" s="280">
        <f>SUM(K93:K97)</f>
        <v>0</v>
      </c>
      <c r="L92" s="136">
        <f t="shared" si="7"/>
        <v>445</v>
      </c>
      <c r="M92" s="281">
        <f>SUM(M93:M97)</f>
        <v>0</v>
      </c>
      <c r="N92" s="282">
        <f>SUM(N93:N97)</f>
        <v>0</v>
      </c>
      <c r="O92" s="136">
        <f t="shared" si="8"/>
        <v>0</v>
      </c>
      <c r="P92" s="85"/>
      <c r="R92" s="53"/>
      <c r="S92" s="53"/>
      <c r="T92" s="53"/>
      <c r="U92" s="53"/>
    </row>
    <row r="93" spans="1:21" x14ac:dyDescent="0.25">
      <c r="A93" s="988">
        <v>2221</v>
      </c>
      <c r="B93" s="989" t="s">
        <v>109</v>
      </c>
      <c r="C93" s="990">
        <f t="shared" si="4"/>
        <v>10606</v>
      </c>
      <c r="D93" s="941">
        <v>10606</v>
      </c>
      <c r="E93" s="991"/>
      <c r="F93" s="992">
        <f t="shared" si="5"/>
        <v>10606</v>
      </c>
      <c r="G93" s="941"/>
      <c r="H93" s="993"/>
      <c r="I93" s="994">
        <f t="shared" si="6"/>
        <v>0</v>
      </c>
      <c r="J93" s="941"/>
      <c r="K93" s="993"/>
      <c r="L93" s="994">
        <f t="shared" si="7"/>
        <v>0</v>
      </c>
      <c r="M93" s="995"/>
      <c r="N93" s="996"/>
      <c r="O93" s="994">
        <f t="shared" si="8"/>
        <v>0</v>
      </c>
      <c r="P93" s="966"/>
      <c r="R93" s="53"/>
      <c r="S93" s="53"/>
      <c r="T93" s="53"/>
      <c r="U93" s="53"/>
    </row>
    <row r="94" spans="1:21" x14ac:dyDescent="0.25">
      <c r="A94" s="76">
        <v>2222</v>
      </c>
      <c r="B94" s="127" t="s">
        <v>110</v>
      </c>
      <c r="C94" s="128">
        <f t="shared" si="4"/>
        <v>3234</v>
      </c>
      <c r="D94" s="134">
        <v>3234</v>
      </c>
      <c r="E94" s="283"/>
      <c r="F94" s="279">
        <f t="shared" si="5"/>
        <v>3234</v>
      </c>
      <c r="G94" s="134"/>
      <c r="H94" s="135"/>
      <c r="I94" s="136">
        <f t="shared" si="6"/>
        <v>0</v>
      </c>
      <c r="J94" s="134"/>
      <c r="K94" s="135"/>
      <c r="L94" s="136">
        <f t="shared" si="7"/>
        <v>0</v>
      </c>
      <c r="M94" s="284"/>
      <c r="N94" s="285"/>
      <c r="O94" s="136">
        <f t="shared" si="8"/>
        <v>0</v>
      </c>
      <c r="P94" s="85"/>
      <c r="R94" s="53"/>
      <c r="S94" s="53"/>
      <c r="T94" s="53"/>
      <c r="U94" s="53"/>
    </row>
    <row r="95" spans="1:21" ht="35.25" customHeight="1" x14ac:dyDescent="0.25">
      <c r="A95" s="76">
        <v>2223</v>
      </c>
      <c r="B95" s="127" t="s">
        <v>111</v>
      </c>
      <c r="C95" s="128">
        <f t="shared" si="4"/>
        <v>5019</v>
      </c>
      <c r="D95" s="134">
        <v>4574</v>
      </c>
      <c r="E95" s="283"/>
      <c r="F95" s="279">
        <f t="shared" si="5"/>
        <v>4574</v>
      </c>
      <c r="G95" s="134"/>
      <c r="H95" s="135"/>
      <c r="I95" s="136">
        <f t="shared" si="6"/>
        <v>0</v>
      </c>
      <c r="J95" s="134">
        <v>445</v>
      </c>
      <c r="K95" s="135"/>
      <c r="L95" s="136">
        <f t="shared" si="7"/>
        <v>445</v>
      </c>
      <c r="M95" s="284"/>
      <c r="N95" s="285"/>
      <c r="O95" s="136">
        <f t="shared" si="8"/>
        <v>0</v>
      </c>
      <c r="P95" s="85"/>
      <c r="R95" s="53"/>
      <c r="S95" s="53"/>
      <c r="T95" s="53"/>
      <c r="U95" s="53"/>
    </row>
    <row r="96" spans="1:21" ht="48" x14ac:dyDescent="0.25">
      <c r="A96" s="76">
        <v>2224</v>
      </c>
      <c r="B96" s="127" t="s">
        <v>112</v>
      </c>
      <c r="C96" s="128">
        <f t="shared" si="4"/>
        <v>441</v>
      </c>
      <c r="D96" s="134">
        <v>441</v>
      </c>
      <c r="E96" s="283"/>
      <c r="F96" s="279">
        <f t="shared" si="5"/>
        <v>441</v>
      </c>
      <c r="G96" s="134"/>
      <c r="H96" s="135"/>
      <c r="I96" s="136">
        <f t="shared" si="6"/>
        <v>0</v>
      </c>
      <c r="J96" s="134"/>
      <c r="K96" s="135"/>
      <c r="L96" s="136">
        <f t="shared" si="7"/>
        <v>0</v>
      </c>
      <c r="M96" s="284"/>
      <c r="N96" s="285"/>
      <c r="O96" s="136">
        <f t="shared" si="8"/>
        <v>0</v>
      </c>
      <c r="P96" s="85"/>
      <c r="R96" s="53"/>
      <c r="S96" s="53"/>
      <c r="T96" s="53"/>
      <c r="U96" s="53"/>
    </row>
    <row r="97" spans="1:21" ht="24" hidden="1" x14ac:dyDescent="0.25">
      <c r="A97" s="76">
        <v>2229</v>
      </c>
      <c r="B97" s="127" t="s">
        <v>113</v>
      </c>
      <c r="C97" s="128">
        <f t="shared" si="4"/>
        <v>0</v>
      </c>
      <c r="D97" s="134"/>
      <c r="E97" s="285"/>
      <c r="F97" s="286">
        <f t="shared" si="5"/>
        <v>0</v>
      </c>
      <c r="G97" s="134"/>
      <c r="H97" s="135"/>
      <c r="I97" s="136">
        <f t="shared" si="6"/>
        <v>0</v>
      </c>
      <c r="J97" s="134"/>
      <c r="K97" s="135"/>
      <c r="L97" s="136">
        <f t="shared" si="7"/>
        <v>0</v>
      </c>
      <c r="M97" s="284"/>
      <c r="N97" s="285"/>
      <c r="O97" s="136">
        <f t="shared" si="8"/>
        <v>0</v>
      </c>
      <c r="P97" s="85"/>
      <c r="R97" s="53"/>
      <c r="S97" s="53"/>
      <c r="T97" s="53"/>
      <c r="U97" s="53"/>
    </row>
    <row r="98" spans="1:21" ht="36" x14ac:dyDescent="0.25">
      <c r="A98" s="276">
        <v>2230</v>
      </c>
      <c r="B98" s="127" t="s">
        <v>114</v>
      </c>
      <c r="C98" s="128">
        <f t="shared" si="4"/>
        <v>1186</v>
      </c>
      <c r="D98" s="277">
        <f>SUM(D99:D105)</f>
        <v>1186</v>
      </c>
      <c r="E98" s="278">
        <f>SUM(E99:E105)</f>
        <v>0</v>
      </c>
      <c r="F98" s="279">
        <f t="shared" si="5"/>
        <v>1186</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c r="R98" s="53"/>
      <c r="S98" s="53"/>
      <c r="T98" s="53"/>
      <c r="U98" s="53"/>
    </row>
    <row r="99" spans="1:21" ht="24" hidden="1" x14ac:dyDescent="0.25">
      <c r="A99" s="76">
        <v>2231</v>
      </c>
      <c r="B99" s="127" t="s">
        <v>115</v>
      </c>
      <c r="C99" s="128">
        <f t="shared" si="4"/>
        <v>0</v>
      </c>
      <c r="D99" s="134"/>
      <c r="E99" s="285"/>
      <c r="F99" s="286">
        <f t="shared" si="5"/>
        <v>0</v>
      </c>
      <c r="G99" s="134"/>
      <c r="H99" s="135"/>
      <c r="I99" s="136">
        <f t="shared" si="6"/>
        <v>0</v>
      </c>
      <c r="J99" s="134"/>
      <c r="K99" s="135"/>
      <c r="L99" s="136">
        <f t="shared" si="7"/>
        <v>0</v>
      </c>
      <c r="M99" s="284"/>
      <c r="N99" s="285"/>
      <c r="O99" s="136">
        <f t="shared" si="8"/>
        <v>0</v>
      </c>
      <c r="P99" s="85"/>
      <c r="R99" s="53"/>
      <c r="S99" s="53"/>
      <c r="T99" s="53"/>
      <c r="U99" s="53"/>
    </row>
    <row r="100" spans="1:21" ht="36" hidden="1" x14ac:dyDescent="0.25">
      <c r="A100" s="76">
        <v>2232</v>
      </c>
      <c r="B100" s="127" t="s">
        <v>116</v>
      </c>
      <c r="C100" s="128">
        <f t="shared" si="4"/>
        <v>0</v>
      </c>
      <c r="D100" s="134"/>
      <c r="E100" s="285"/>
      <c r="F100" s="286">
        <f t="shared" si="5"/>
        <v>0</v>
      </c>
      <c r="G100" s="134"/>
      <c r="H100" s="135"/>
      <c r="I100" s="136">
        <f t="shared" si="6"/>
        <v>0</v>
      </c>
      <c r="J100" s="134"/>
      <c r="K100" s="135"/>
      <c r="L100" s="136">
        <f t="shared" si="7"/>
        <v>0</v>
      </c>
      <c r="M100" s="284"/>
      <c r="N100" s="285"/>
      <c r="O100" s="136">
        <f t="shared" si="8"/>
        <v>0</v>
      </c>
      <c r="P100" s="85"/>
      <c r="R100" s="53"/>
      <c r="S100" s="53"/>
      <c r="T100" s="53"/>
      <c r="U100" s="53"/>
    </row>
    <row r="101" spans="1:21" ht="24" hidden="1" x14ac:dyDescent="0.25">
      <c r="A101" s="66">
        <v>2233</v>
      </c>
      <c r="B101" s="116" t="s">
        <v>117</v>
      </c>
      <c r="C101" s="128">
        <f t="shared" si="4"/>
        <v>0</v>
      </c>
      <c r="D101" s="123"/>
      <c r="E101" s="262"/>
      <c r="F101" s="263">
        <f t="shared" si="5"/>
        <v>0</v>
      </c>
      <c r="G101" s="123"/>
      <c r="H101" s="124"/>
      <c r="I101" s="125">
        <f t="shared" si="6"/>
        <v>0</v>
      </c>
      <c r="J101" s="123"/>
      <c r="K101" s="124"/>
      <c r="L101" s="125">
        <f t="shared" si="7"/>
        <v>0</v>
      </c>
      <c r="M101" s="264"/>
      <c r="N101" s="262"/>
      <c r="O101" s="125">
        <f t="shared" si="8"/>
        <v>0</v>
      </c>
      <c r="P101" s="74"/>
      <c r="R101" s="53"/>
      <c r="S101" s="53"/>
      <c r="T101" s="53"/>
      <c r="U101" s="53"/>
    </row>
    <row r="102" spans="1:21" ht="36" hidden="1" x14ac:dyDescent="0.25">
      <c r="A102" s="76">
        <v>2234</v>
      </c>
      <c r="B102" s="127" t="s">
        <v>118</v>
      </c>
      <c r="C102" s="128">
        <f t="shared" si="4"/>
        <v>0</v>
      </c>
      <c r="D102" s="134"/>
      <c r="E102" s="285"/>
      <c r="F102" s="286">
        <f t="shared" si="5"/>
        <v>0</v>
      </c>
      <c r="G102" s="134"/>
      <c r="H102" s="135"/>
      <c r="I102" s="136">
        <f t="shared" si="6"/>
        <v>0</v>
      </c>
      <c r="J102" s="134"/>
      <c r="K102" s="135"/>
      <c r="L102" s="136">
        <f t="shared" si="7"/>
        <v>0</v>
      </c>
      <c r="M102" s="284"/>
      <c r="N102" s="285"/>
      <c r="O102" s="136">
        <f t="shared" si="8"/>
        <v>0</v>
      </c>
      <c r="P102" s="85"/>
      <c r="R102" s="53"/>
      <c r="S102" s="53"/>
      <c r="T102" s="53"/>
      <c r="U102" s="53"/>
    </row>
    <row r="103" spans="1:21" ht="24" hidden="1" x14ac:dyDescent="0.25">
      <c r="A103" s="76">
        <v>2235</v>
      </c>
      <c r="B103" s="127" t="s">
        <v>119</v>
      </c>
      <c r="C103" s="128">
        <f t="shared" si="4"/>
        <v>0</v>
      </c>
      <c r="D103" s="134"/>
      <c r="E103" s="285"/>
      <c r="F103" s="286">
        <f t="shared" si="5"/>
        <v>0</v>
      </c>
      <c r="G103" s="134"/>
      <c r="H103" s="135"/>
      <c r="I103" s="136">
        <f t="shared" si="6"/>
        <v>0</v>
      </c>
      <c r="J103" s="134"/>
      <c r="K103" s="135"/>
      <c r="L103" s="136">
        <f t="shared" si="7"/>
        <v>0</v>
      </c>
      <c r="M103" s="284"/>
      <c r="N103" s="285"/>
      <c r="O103" s="136">
        <f t="shared" si="8"/>
        <v>0</v>
      </c>
      <c r="P103" s="85"/>
      <c r="R103" s="53"/>
      <c r="S103" s="53"/>
      <c r="T103" s="53"/>
      <c r="U103" s="53"/>
    </row>
    <row r="104" spans="1:21" hidden="1" x14ac:dyDescent="0.25">
      <c r="A104" s="76">
        <v>2236</v>
      </c>
      <c r="B104" s="127" t="s">
        <v>120</v>
      </c>
      <c r="C104" s="128">
        <f t="shared" si="4"/>
        <v>0</v>
      </c>
      <c r="D104" s="134"/>
      <c r="E104" s="285"/>
      <c r="F104" s="286">
        <f t="shared" si="5"/>
        <v>0</v>
      </c>
      <c r="G104" s="134"/>
      <c r="H104" s="135"/>
      <c r="I104" s="136">
        <f t="shared" si="6"/>
        <v>0</v>
      </c>
      <c r="J104" s="134"/>
      <c r="K104" s="135"/>
      <c r="L104" s="136">
        <f t="shared" si="7"/>
        <v>0</v>
      </c>
      <c r="M104" s="284"/>
      <c r="N104" s="285"/>
      <c r="O104" s="136">
        <f t="shared" si="8"/>
        <v>0</v>
      </c>
      <c r="P104" s="85"/>
      <c r="R104" s="53"/>
      <c r="S104" s="53"/>
      <c r="T104" s="53"/>
      <c r="U104" s="53"/>
    </row>
    <row r="105" spans="1:21" ht="24" x14ac:dyDescent="0.25">
      <c r="A105" s="76">
        <v>2239</v>
      </c>
      <c r="B105" s="127" t="s">
        <v>121</v>
      </c>
      <c r="C105" s="128">
        <f t="shared" si="4"/>
        <v>1186</v>
      </c>
      <c r="D105" s="134">
        <v>1186</v>
      </c>
      <c r="E105" s="283"/>
      <c r="F105" s="279">
        <f t="shared" si="5"/>
        <v>1186</v>
      </c>
      <c r="G105" s="134"/>
      <c r="H105" s="135"/>
      <c r="I105" s="136">
        <f t="shared" si="6"/>
        <v>0</v>
      </c>
      <c r="J105" s="134"/>
      <c r="K105" s="135"/>
      <c r="L105" s="136">
        <f t="shared" si="7"/>
        <v>0</v>
      </c>
      <c r="M105" s="284"/>
      <c r="N105" s="285"/>
      <c r="O105" s="136">
        <f t="shared" si="8"/>
        <v>0</v>
      </c>
      <c r="P105" s="85"/>
      <c r="R105" s="53"/>
      <c r="S105" s="53"/>
      <c r="T105" s="53"/>
      <c r="U105" s="53"/>
    </row>
    <row r="106" spans="1:21" ht="36" x14ac:dyDescent="0.25">
      <c r="A106" s="276">
        <v>2240</v>
      </c>
      <c r="B106" s="127" t="s">
        <v>122</v>
      </c>
      <c r="C106" s="128">
        <f t="shared" si="4"/>
        <v>4497</v>
      </c>
      <c r="D106" s="277">
        <f>SUM(D107:D114)</f>
        <v>4497</v>
      </c>
      <c r="E106" s="278">
        <f>SUM(E107:E114)</f>
        <v>0</v>
      </c>
      <c r="F106" s="279">
        <f t="shared" si="5"/>
        <v>4497</v>
      </c>
      <c r="G106" s="277">
        <f>SUM(G107:G114)</f>
        <v>0</v>
      </c>
      <c r="H106" s="280">
        <f>SUM(H107:H114)</f>
        <v>0</v>
      </c>
      <c r="I106" s="136">
        <f t="shared" si="6"/>
        <v>0</v>
      </c>
      <c r="J106" s="277">
        <f>SUM(J107:J114)</f>
        <v>0</v>
      </c>
      <c r="K106" s="280">
        <f>SUM(K107:K114)</f>
        <v>0</v>
      </c>
      <c r="L106" s="136">
        <f t="shared" si="7"/>
        <v>0</v>
      </c>
      <c r="M106" s="281">
        <f>SUM(M107:M114)</f>
        <v>0</v>
      </c>
      <c r="N106" s="282">
        <f>SUM(N107:N114)</f>
        <v>0</v>
      </c>
      <c r="O106" s="136">
        <f t="shared" si="8"/>
        <v>0</v>
      </c>
      <c r="P106" s="85"/>
      <c r="R106" s="53"/>
      <c r="S106" s="53"/>
      <c r="T106" s="53"/>
      <c r="U106" s="53"/>
    </row>
    <row r="107" spans="1:21" hidden="1" x14ac:dyDescent="0.25">
      <c r="A107" s="76">
        <v>2241</v>
      </c>
      <c r="B107" s="127" t="s">
        <v>123</v>
      </c>
      <c r="C107" s="128">
        <f t="shared" si="4"/>
        <v>0</v>
      </c>
      <c r="D107" s="134"/>
      <c r="E107" s="285"/>
      <c r="F107" s="286">
        <f t="shared" si="5"/>
        <v>0</v>
      </c>
      <c r="G107" s="134"/>
      <c r="H107" s="135"/>
      <c r="I107" s="136">
        <f t="shared" si="6"/>
        <v>0</v>
      </c>
      <c r="J107" s="134"/>
      <c r="K107" s="135"/>
      <c r="L107" s="136">
        <f t="shared" si="7"/>
        <v>0</v>
      </c>
      <c r="M107" s="284"/>
      <c r="N107" s="285"/>
      <c r="O107" s="136">
        <f t="shared" si="8"/>
        <v>0</v>
      </c>
      <c r="P107" s="85"/>
      <c r="R107" s="53"/>
      <c r="S107" s="53"/>
      <c r="T107" s="53"/>
      <c r="U107" s="53"/>
    </row>
    <row r="108" spans="1:21" ht="24" hidden="1" x14ac:dyDescent="0.25">
      <c r="A108" s="76">
        <v>2242</v>
      </c>
      <c r="B108" s="127" t="s">
        <v>124</v>
      </c>
      <c r="C108" s="128">
        <f t="shared" si="4"/>
        <v>0</v>
      </c>
      <c r="D108" s="134"/>
      <c r="E108" s="285"/>
      <c r="F108" s="286">
        <f t="shared" si="5"/>
        <v>0</v>
      </c>
      <c r="G108" s="134"/>
      <c r="H108" s="135"/>
      <c r="I108" s="136">
        <f t="shared" si="6"/>
        <v>0</v>
      </c>
      <c r="J108" s="134"/>
      <c r="K108" s="135"/>
      <c r="L108" s="136">
        <f t="shared" si="7"/>
        <v>0</v>
      </c>
      <c r="M108" s="284"/>
      <c r="N108" s="285"/>
      <c r="O108" s="136">
        <f t="shared" si="8"/>
        <v>0</v>
      </c>
      <c r="P108" s="85"/>
      <c r="R108" s="53"/>
      <c r="S108" s="53"/>
      <c r="T108" s="53"/>
      <c r="U108" s="53"/>
    </row>
    <row r="109" spans="1:21" ht="24" x14ac:dyDescent="0.25">
      <c r="A109" s="76">
        <v>2243</v>
      </c>
      <c r="B109" s="127" t="s">
        <v>125</v>
      </c>
      <c r="C109" s="128">
        <f t="shared" si="4"/>
        <v>619</v>
      </c>
      <c r="D109" s="134">
        <v>619</v>
      </c>
      <c r="E109" s="283"/>
      <c r="F109" s="279">
        <f t="shared" si="5"/>
        <v>619</v>
      </c>
      <c r="G109" s="134"/>
      <c r="H109" s="135"/>
      <c r="I109" s="136">
        <f t="shared" si="6"/>
        <v>0</v>
      </c>
      <c r="J109" s="134"/>
      <c r="K109" s="135"/>
      <c r="L109" s="136">
        <f t="shared" si="7"/>
        <v>0</v>
      </c>
      <c r="M109" s="284"/>
      <c r="N109" s="285"/>
      <c r="O109" s="136">
        <f t="shared" si="8"/>
        <v>0</v>
      </c>
      <c r="P109" s="85"/>
      <c r="R109" s="53"/>
      <c r="S109" s="53"/>
      <c r="T109" s="53"/>
      <c r="U109" s="53"/>
    </row>
    <row r="110" spans="1:21" x14ac:dyDescent="0.25">
      <c r="A110" s="76">
        <v>2244</v>
      </c>
      <c r="B110" s="127" t="s">
        <v>126</v>
      </c>
      <c r="C110" s="128">
        <f t="shared" si="4"/>
        <v>2298</v>
      </c>
      <c r="D110" s="134">
        <v>2298</v>
      </c>
      <c r="E110" s="283"/>
      <c r="F110" s="279">
        <f t="shared" si="5"/>
        <v>2298</v>
      </c>
      <c r="G110" s="134"/>
      <c r="H110" s="135"/>
      <c r="I110" s="136">
        <f t="shared" si="6"/>
        <v>0</v>
      </c>
      <c r="J110" s="134"/>
      <c r="K110" s="135"/>
      <c r="L110" s="136">
        <f t="shared" si="7"/>
        <v>0</v>
      </c>
      <c r="M110" s="284"/>
      <c r="N110" s="285"/>
      <c r="O110" s="136">
        <f t="shared" si="8"/>
        <v>0</v>
      </c>
      <c r="P110" s="85"/>
      <c r="R110" s="53"/>
      <c r="S110" s="53"/>
      <c r="T110" s="53"/>
      <c r="U110" s="53"/>
    </row>
    <row r="111" spans="1:21" ht="24" hidden="1" x14ac:dyDescent="0.25">
      <c r="A111" s="76">
        <v>2246</v>
      </c>
      <c r="B111" s="127" t="s">
        <v>127</v>
      </c>
      <c r="C111" s="128">
        <f t="shared" si="4"/>
        <v>0</v>
      </c>
      <c r="D111" s="134"/>
      <c r="E111" s="285"/>
      <c r="F111" s="286">
        <f t="shared" si="5"/>
        <v>0</v>
      </c>
      <c r="G111" s="134"/>
      <c r="H111" s="135"/>
      <c r="I111" s="136">
        <f t="shared" si="6"/>
        <v>0</v>
      </c>
      <c r="J111" s="134"/>
      <c r="K111" s="135"/>
      <c r="L111" s="136">
        <f t="shared" si="7"/>
        <v>0</v>
      </c>
      <c r="M111" s="284"/>
      <c r="N111" s="285"/>
      <c r="O111" s="136">
        <f t="shared" si="8"/>
        <v>0</v>
      </c>
      <c r="P111" s="85"/>
      <c r="R111" s="53"/>
      <c r="S111" s="53"/>
      <c r="T111" s="53"/>
      <c r="U111" s="53"/>
    </row>
    <row r="112" spans="1:21" hidden="1" x14ac:dyDescent="0.25">
      <c r="A112" s="76">
        <v>2247</v>
      </c>
      <c r="B112" s="127" t="s">
        <v>128</v>
      </c>
      <c r="C112" s="128">
        <f t="shared" si="4"/>
        <v>0</v>
      </c>
      <c r="D112" s="134"/>
      <c r="E112" s="285"/>
      <c r="F112" s="286">
        <f t="shared" si="5"/>
        <v>0</v>
      </c>
      <c r="G112" s="134"/>
      <c r="H112" s="135"/>
      <c r="I112" s="136">
        <f t="shared" si="6"/>
        <v>0</v>
      </c>
      <c r="J112" s="134"/>
      <c r="K112" s="135"/>
      <c r="L112" s="136">
        <f t="shared" si="7"/>
        <v>0</v>
      </c>
      <c r="M112" s="284"/>
      <c r="N112" s="285"/>
      <c r="O112" s="136">
        <f t="shared" si="8"/>
        <v>0</v>
      </c>
      <c r="P112" s="85"/>
      <c r="R112" s="53"/>
      <c r="S112" s="53"/>
      <c r="T112" s="53"/>
      <c r="U112" s="53"/>
    </row>
    <row r="113" spans="1:21" ht="24" hidden="1" x14ac:dyDescent="0.25">
      <c r="A113" s="76">
        <v>2248</v>
      </c>
      <c r="B113" s="127" t="s">
        <v>129</v>
      </c>
      <c r="C113" s="128">
        <f t="shared" si="4"/>
        <v>0</v>
      </c>
      <c r="D113" s="134"/>
      <c r="E113" s="285"/>
      <c r="F113" s="286">
        <f t="shared" si="5"/>
        <v>0</v>
      </c>
      <c r="G113" s="134"/>
      <c r="H113" s="135"/>
      <c r="I113" s="136">
        <f t="shared" si="6"/>
        <v>0</v>
      </c>
      <c r="J113" s="134"/>
      <c r="K113" s="135"/>
      <c r="L113" s="136">
        <f t="shared" si="7"/>
        <v>0</v>
      </c>
      <c r="M113" s="284"/>
      <c r="N113" s="285"/>
      <c r="O113" s="136">
        <f t="shared" si="8"/>
        <v>0</v>
      </c>
      <c r="P113" s="85"/>
      <c r="R113" s="53"/>
      <c r="S113" s="53"/>
      <c r="T113" s="53"/>
      <c r="U113" s="53"/>
    </row>
    <row r="114" spans="1:21" ht="24" x14ac:dyDescent="0.25">
      <c r="A114" s="76">
        <v>2249</v>
      </c>
      <c r="B114" s="127" t="s">
        <v>130</v>
      </c>
      <c r="C114" s="128">
        <f t="shared" si="4"/>
        <v>1580</v>
      </c>
      <c r="D114" s="134">
        <v>1580</v>
      </c>
      <c r="E114" s="283"/>
      <c r="F114" s="279">
        <f t="shared" si="5"/>
        <v>1580</v>
      </c>
      <c r="G114" s="134"/>
      <c r="H114" s="135"/>
      <c r="I114" s="136">
        <f t="shared" si="6"/>
        <v>0</v>
      </c>
      <c r="J114" s="134"/>
      <c r="K114" s="135"/>
      <c r="L114" s="136">
        <f t="shared" si="7"/>
        <v>0</v>
      </c>
      <c r="M114" s="284"/>
      <c r="N114" s="285"/>
      <c r="O114" s="136">
        <f t="shared" si="8"/>
        <v>0</v>
      </c>
      <c r="P114" s="85"/>
      <c r="R114" s="53"/>
      <c r="S114" s="53"/>
      <c r="T114" s="53"/>
      <c r="U114" s="53"/>
    </row>
    <row r="115" spans="1:21" x14ac:dyDescent="0.25">
      <c r="A115" s="276">
        <v>2250</v>
      </c>
      <c r="B115" s="127" t="s">
        <v>131</v>
      </c>
      <c r="C115" s="128">
        <f t="shared" si="4"/>
        <v>166</v>
      </c>
      <c r="D115" s="277">
        <f>SUM(D116:D118)</f>
        <v>166</v>
      </c>
      <c r="E115" s="278">
        <f>SUM(E116:E118)</f>
        <v>0</v>
      </c>
      <c r="F115" s="279">
        <f t="shared" si="5"/>
        <v>166</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c r="R115" s="53"/>
      <c r="S115" s="53"/>
      <c r="T115" s="53"/>
      <c r="U115" s="53"/>
    </row>
    <row r="116" spans="1:21" x14ac:dyDescent="0.25">
      <c r="A116" s="76">
        <v>2251</v>
      </c>
      <c r="B116" s="127" t="s">
        <v>132</v>
      </c>
      <c r="C116" s="128">
        <f t="shared" si="4"/>
        <v>166</v>
      </c>
      <c r="D116" s="134">
        <v>166</v>
      </c>
      <c r="E116" s="283"/>
      <c r="F116" s="279">
        <f t="shared" si="5"/>
        <v>166</v>
      </c>
      <c r="G116" s="134"/>
      <c r="H116" s="135"/>
      <c r="I116" s="136">
        <f t="shared" si="6"/>
        <v>0</v>
      </c>
      <c r="J116" s="134"/>
      <c r="K116" s="135"/>
      <c r="L116" s="136">
        <f t="shared" si="7"/>
        <v>0</v>
      </c>
      <c r="M116" s="284"/>
      <c r="N116" s="285"/>
      <c r="O116" s="136">
        <f t="shared" si="8"/>
        <v>0</v>
      </c>
      <c r="P116" s="85"/>
      <c r="R116" s="53"/>
      <c r="S116" s="53"/>
      <c r="T116" s="53"/>
      <c r="U116" s="53"/>
    </row>
    <row r="117" spans="1:21" ht="24" hidden="1" x14ac:dyDescent="0.25">
      <c r="A117" s="76">
        <v>2252</v>
      </c>
      <c r="B117" s="127" t="s">
        <v>133</v>
      </c>
      <c r="C117" s="128">
        <f t="shared" ref="C117:C181" si="9">F117+I117+L117+O117</f>
        <v>0</v>
      </c>
      <c r="D117" s="134"/>
      <c r="E117" s="285"/>
      <c r="F117" s="286">
        <f t="shared" si="5"/>
        <v>0</v>
      </c>
      <c r="G117" s="134"/>
      <c r="H117" s="135"/>
      <c r="I117" s="136">
        <f t="shared" si="6"/>
        <v>0</v>
      </c>
      <c r="J117" s="134"/>
      <c r="K117" s="135"/>
      <c r="L117" s="136">
        <f t="shared" si="7"/>
        <v>0</v>
      </c>
      <c r="M117" s="284"/>
      <c r="N117" s="285"/>
      <c r="O117" s="136">
        <f t="shared" si="8"/>
        <v>0</v>
      </c>
      <c r="P117" s="85"/>
      <c r="R117" s="53"/>
      <c r="S117" s="53"/>
      <c r="T117" s="53"/>
      <c r="U117" s="53"/>
    </row>
    <row r="118" spans="1:21" ht="24" hidden="1" x14ac:dyDescent="0.25">
      <c r="A118" s="76">
        <v>2259</v>
      </c>
      <c r="B118" s="127" t="s">
        <v>134</v>
      </c>
      <c r="C118" s="128">
        <f t="shared" si="9"/>
        <v>0</v>
      </c>
      <c r="D118" s="134"/>
      <c r="E118" s="285"/>
      <c r="F118" s="286">
        <f t="shared" ref="F118:F182" si="10">D118+E118</f>
        <v>0</v>
      </c>
      <c r="G118" s="134"/>
      <c r="H118" s="135"/>
      <c r="I118" s="136">
        <f t="shared" ref="I118:I182" si="11">G118+H118</f>
        <v>0</v>
      </c>
      <c r="J118" s="134"/>
      <c r="K118" s="135"/>
      <c r="L118" s="136">
        <f t="shared" ref="L118:L182" si="12">J118+K118</f>
        <v>0</v>
      </c>
      <c r="M118" s="284"/>
      <c r="N118" s="285"/>
      <c r="O118" s="136">
        <f t="shared" ref="O118:O182" si="13">M118+N118</f>
        <v>0</v>
      </c>
      <c r="P118" s="85"/>
      <c r="R118" s="53"/>
      <c r="S118" s="53"/>
      <c r="T118" s="53"/>
      <c r="U118" s="53"/>
    </row>
    <row r="119" spans="1:21" x14ac:dyDescent="0.25">
      <c r="A119" s="276">
        <v>2260</v>
      </c>
      <c r="B119" s="127" t="s">
        <v>135</v>
      </c>
      <c r="C119" s="128">
        <f t="shared" si="9"/>
        <v>24</v>
      </c>
      <c r="D119" s="277">
        <f>SUM(D120:D124)</f>
        <v>24</v>
      </c>
      <c r="E119" s="278">
        <f>SUM(E120:E124)</f>
        <v>0</v>
      </c>
      <c r="F119" s="279">
        <f t="shared" si="10"/>
        <v>24</v>
      </c>
      <c r="G119" s="277">
        <f>SUM(G120:G124)</f>
        <v>0</v>
      </c>
      <c r="H119" s="280">
        <f>SUM(H120:H124)</f>
        <v>0</v>
      </c>
      <c r="I119" s="136">
        <f t="shared" si="11"/>
        <v>0</v>
      </c>
      <c r="J119" s="277">
        <f>SUM(J120:J124)</f>
        <v>0</v>
      </c>
      <c r="K119" s="280">
        <f>SUM(K120:K124)</f>
        <v>0</v>
      </c>
      <c r="L119" s="136">
        <f t="shared" si="12"/>
        <v>0</v>
      </c>
      <c r="M119" s="281">
        <f>SUM(M120:M124)</f>
        <v>0</v>
      </c>
      <c r="N119" s="282">
        <f>SUM(N120:N124)</f>
        <v>0</v>
      </c>
      <c r="O119" s="136">
        <f t="shared" si="13"/>
        <v>0</v>
      </c>
      <c r="P119" s="85"/>
      <c r="R119" s="53"/>
      <c r="S119" s="53"/>
      <c r="T119" s="53"/>
      <c r="U119" s="53"/>
    </row>
    <row r="120" spans="1:21" hidden="1" x14ac:dyDescent="0.25">
      <c r="A120" s="76">
        <v>2261</v>
      </c>
      <c r="B120" s="127" t="s">
        <v>136</v>
      </c>
      <c r="C120" s="128">
        <f t="shared" si="9"/>
        <v>0</v>
      </c>
      <c r="D120" s="134"/>
      <c r="E120" s="285"/>
      <c r="F120" s="286">
        <f t="shared" si="10"/>
        <v>0</v>
      </c>
      <c r="G120" s="134"/>
      <c r="H120" s="135"/>
      <c r="I120" s="136">
        <f t="shared" si="11"/>
        <v>0</v>
      </c>
      <c r="J120" s="134"/>
      <c r="K120" s="135"/>
      <c r="L120" s="136">
        <f t="shared" si="12"/>
        <v>0</v>
      </c>
      <c r="M120" s="284"/>
      <c r="N120" s="285"/>
      <c r="O120" s="136">
        <f t="shared" si="13"/>
        <v>0</v>
      </c>
      <c r="P120" s="85"/>
      <c r="R120" s="53"/>
      <c r="S120" s="53"/>
      <c r="T120" s="53"/>
      <c r="U120" s="53"/>
    </row>
    <row r="121" spans="1:21" hidden="1" x14ac:dyDescent="0.25">
      <c r="A121" s="76">
        <v>2262</v>
      </c>
      <c r="B121" s="127" t="s">
        <v>137</v>
      </c>
      <c r="C121" s="128">
        <f t="shared" si="9"/>
        <v>0</v>
      </c>
      <c r="D121" s="134"/>
      <c r="E121" s="285"/>
      <c r="F121" s="286">
        <f t="shared" si="10"/>
        <v>0</v>
      </c>
      <c r="G121" s="134"/>
      <c r="H121" s="135"/>
      <c r="I121" s="136">
        <f t="shared" si="11"/>
        <v>0</v>
      </c>
      <c r="J121" s="134"/>
      <c r="K121" s="135"/>
      <c r="L121" s="136">
        <f t="shared" si="12"/>
        <v>0</v>
      </c>
      <c r="M121" s="284"/>
      <c r="N121" s="285"/>
      <c r="O121" s="136">
        <f t="shared" si="13"/>
        <v>0</v>
      </c>
      <c r="P121" s="85"/>
      <c r="R121" s="53"/>
      <c r="S121" s="53"/>
      <c r="T121" s="53"/>
      <c r="U121" s="53"/>
    </row>
    <row r="122" spans="1:21" hidden="1" x14ac:dyDescent="0.25">
      <c r="A122" s="76">
        <v>2263</v>
      </c>
      <c r="B122" s="127" t="s">
        <v>138</v>
      </c>
      <c r="C122" s="128">
        <f t="shared" si="9"/>
        <v>0</v>
      </c>
      <c r="D122" s="134"/>
      <c r="E122" s="285"/>
      <c r="F122" s="286">
        <f t="shared" si="10"/>
        <v>0</v>
      </c>
      <c r="G122" s="134"/>
      <c r="H122" s="135"/>
      <c r="I122" s="136">
        <f t="shared" si="11"/>
        <v>0</v>
      </c>
      <c r="J122" s="134"/>
      <c r="K122" s="135"/>
      <c r="L122" s="136">
        <f t="shared" si="12"/>
        <v>0</v>
      </c>
      <c r="M122" s="284"/>
      <c r="N122" s="285"/>
      <c r="O122" s="136">
        <f t="shared" si="13"/>
        <v>0</v>
      </c>
      <c r="P122" s="85"/>
      <c r="R122" s="53"/>
      <c r="S122" s="53"/>
      <c r="T122" s="53"/>
      <c r="U122" s="53"/>
    </row>
    <row r="123" spans="1:21" ht="24" hidden="1" x14ac:dyDescent="0.25">
      <c r="A123" s="76">
        <v>2264</v>
      </c>
      <c r="B123" s="127" t="s">
        <v>139</v>
      </c>
      <c r="C123" s="128">
        <f t="shared" si="9"/>
        <v>0</v>
      </c>
      <c r="D123" s="134"/>
      <c r="E123" s="285"/>
      <c r="F123" s="286">
        <f t="shared" si="10"/>
        <v>0</v>
      </c>
      <c r="G123" s="134"/>
      <c r="H123" s="135"/>
      <c r="I123" s="136">
        <f t="shared" si="11"/>
        <v>0</v>
      </c>
      <c r="J123" s="134"/>
      <c r="K123" s="135"/>
      <c r="L123" s="136">
        <f t="shared" si="12"/>
        <v>0</v>
      </c>
      <c r="M123" s="284"/>
      <c r="N123" s="285"/>
      <c r="O123" s="136">
        <f t="shared" si="13"/>
        <v>0</v>
      </c>
      <c r="P123" s="85"/>
      <c r="R123" s="53"/>
      <c r="S123" s="53"/>
      <c r="T123" s="53"/>
      <c r="U123" s="53"/>
    </row>
    <row r="124" spans="1:21" x14ac:dyDescent="0.25">
      <c r="A124" s="76">
        <v>2269</v>
      </c>
      <c r="B124" s="127" t="s">
        <v>140</v>
      </c>
      <c r="C124" s="128">
        <f t="shared" si="9"/>
        <v>24</v>
      </c>
      <c r="D124" s="134">
        <v>24</v>
      </c>
      <c r="E124" s="283"/>
      <c r="F124" s="279">
        <f t="shared" si="10"/>
        <v>24</v>
      </c>
      <c r="G124" s="134"/>
      <c r="H124" s="135"/>
      <c r="I124" s="136">
        <f t="shared" si="11"/>
        <v>0</v>
      </c>
      <c r="J124" s="134"/>
      <c r="K124" s="135"/>
      <c r="L124" s="136">
        <f t="shared" si="12"/>
        <v>0</v>
      </c>
      <c r="M124" s="284"/>
      <c r="N124" s="285"/>
      <c r="O124" s="136">
        <f t="shared" si="13"/>
        <v>0</v>
      </c>
      <c r="P124" s="85"/>
      <c r="R124" s="53"/>
      <c r="S124" s="53"/>
      <c r="T124" s="53"/>
      <c r="U124" s="53"/>
    </row>
    <row r="125" spans="1:21" x14ac:dyDescent="0.25">
      <c r="A125" s="276">
        <v>2270</v>
      </c>
      <c r="B125" s="127" t="s">
        <v>141</v>
      </c>
      <c r="C125" s="128">
        <f t="shared" si="9"/>
        <v>941</v>
      </c>
      <c r="D125" s="277">
        <f>SUM(D126:D130)</f>
        <v>193</v>
      </c>
      <c r="E125" s="278">
        <f>SUM(E126:E130)</f>
        <v>0</v>
      </c>
      <c r="F125" s="279">
        <f t="shared" si="10"/>
        <v>193</v>
      </c>
      <c r="G125" s="277">
        <f>SUM(G126:G130)</f>
        <v>0</v>
      </c>
      <c r="H125" s="280">
        <f>SUM(H126:H130)</f>
        <v>0</v>
      </c>
      <c r="I125" s="136">
        <f t="shared" si="11"/>
        <v>0</v>
      </c>
      <c r="J125" s="277">
        <f>SUM(J126:J130)</f>
        <v>748</v>
      </c>
      <c r="K125" s="280">
        <f>SUM(K126:K130)</f>
        <v>0</v>
      </c>
      <c r="L125" s="136">
        <f t="shared" si="12"/>
        <v>748</v>
      </c>
      <c r="M125" s="281">
        <f>SUM(M126:M130)</f>
        <v>0</v>
      </c>
      <c r="N125" s="282">
        <f>SUM(N126:N130)</f>
        <v>0</v>
      </c>
      <c r="O125" s="136">
        <f t="shared" si="13"/>
        <v>0</v>
      </c>
      <c r="P125" s="85"/>
      <c r="R125" s="53"/>
      <c r="S125" s="53"/>
      <c r="T125" s="53"/>
      <c r="U125" s="53"/>
    </row>
    <row r="126" spans="1:21" hidden="1" x14ac:dyDescent="0.25">
      <c r="A126" s="76">
        <v>2272</v>
      </c>
      <c r="B126" s="5" t="s">
        <v>142</v>
      </c>
      <c r="C126" s="128">
        <f t="shared" si="9"/>
        <v>0</v>
      </c>
      <c r="D126" s="134"/>
      <c r="E126" s="285"/>
      <c r="F126" s="286">
        <f t="shared" si="10"/>
        <v>0</v>
      </c>
      <c r="G126" s="134"/>
      <c r="H126" s="135"/>
      <c r="I126" s="136">
        <f t="shared" si="11"/>
        <v>0</v>
      </c>
      <c r="J126" s="134"/>
      <c r="K126" s="135"/>
      <c r="L126" s="136">
        <f t="shared" si="12"/>
        <v>0</v>
      </c>
      <c r="M126" s="284"/>
      <c r="N126" s="285"/>
      <c r="O126" s="136">
        <f t="shared" si="13"/>
        <v>0</v>
      </c>
      <c r="P126" s="85"/>
      <c r="R126" s="53"/>
      <c r="S126" s="53"/>
      <c r="T126" s="53"/>
      <c r="U126" s="53"/>
    </row>
    <row r="127" spans="1:21" ht="24" hidden="1" x14ac:dyDescent="0.25">
      <c r="A127" s="76">
        <v>2275</v>
      </c>
      <c r="B127" s="127" t="s">
        <v>143</v>
      </c>
      <c r="C127" s="128">
        <f t="shared" si="9"/>
        <v>0</v>
      </c>
      <c r="D127" s="134"/>
      <c r="E127" s="285"/>
      <c r="F127" s="286">
        <f t="shared" si="10"/>
        <v>0</v>
      </c>
      <c r="G127" s="134"/>
      <c r="H127" s="135"/>
      <c r="I127" s="136">
        <f t="shared" si="11"/>
        <v>0</v>
      </c>
      <c r="J127" s="134"/>
      <c r="K127" s="135"/>
      <c r="L127" s="136">
        <f t="shared" si="12"/>
        <v>0</v>
      </c>
      <c r="M127" s="284"/>
      <c r="N127" s="285"/>
      <c r="O127" s="136">
        <f t="shared" si="13"/>
        <v>0</v>
      </c>
      <c r="P127" s="85"/>
      <c r="R127" s="53"/>
      <c r="S127" s="53"/>
      <c r="T127" s="53"/>
      <c r="U127" s="53"/>
    </row>
    <row r="128" spans="1:21" ht="36" hidden="1" x14ac:dyDescent="0.25">
      <c r="A128" s="76">
        <v>2276</v>
      </c>
      <c r="B128" s="127" t="s">
        <v>144</v>
      </c>
      <c r="C128" s="128">
        <f t="shared" si="9"/>
        <v>0</v>
      </c>
      <c r="D128" s="134"/>
      <c r="E128" s="285"/>
      <c r="F128" s="286">
        <f t="shared" si="10"/>
        <v>0</v>
      </c>
      <c r="G128" s="134"/>
      <c r="H128" s="135"/>
      <c r="I128" s="136">
        <f t="shared" si="11"/>
        <v>0</v>
      </c>
      <c r="J128" s="134"/>
      <c r="K128" s="135"/>
      <c r="L128" s="136">
        <f t="shared" si="12"/>
        <v>0</v>
      </c>
      <c r="M128" s="284"/>
      <c r="N128" s="285"/>
      <c r="O128" s="136">
        <f t="shared" si="13"/>
        <v>0</v>
      </c>
      <c r="P128" s="85"/>
      <c r="R128" s="53"/>
      <c r="S128" s="53"/>
      <c r="T128" s="53"/>
      <c r="U128" s="53"/>
    </row>
    <row r="129" spans="1:21" ht="24" hidden="1" x14ac:dyDescent="0.25">
      <c r="A129" s="76">
        <v>2278</v>
      </c>
      <c r="B129" s="127" t="s">
        <v>145</v>
      </c>
      <c r="C129" s="128">
        <f t="shared" si="9"/>
        <v>0</v>
      </c>
      <c r="D129" s="134"/>
      <c r="E129" s="285"/>
      <c r="F129" s="286">
        <f t="shared" si="10"/>
        <v>0</v>
      </c>
      <c r="G129" s="134"/>
      <c r="H129" s="135"/>
      <c r="I129" s="136">
        <f t="shared" si="11"/>
        <v>0</v>
      </c>
      <c r="J129" s="134"/>
      <c r="K129" s="135"/>
      <c r="L129" s="136">
        <f t="shared" si="12"/>
        <v>0</v>
      </c>
      <c r="M129" s="284"/>
      <c r="N129" s="285"/>
      <c r="O129" s="136">
        <f t="shared" si="13"/>
        <v>0</v>
      </c>
      <c r="P129" s="85"/>
      <c r="R129" s="53"/>
      <c r="S129" s="53"/>
      <c r="T129" s="53"/>
      <c r="U129" s="53"/>
    </row>
    <row r="130" spans="1:21" ht="24" x14ac:dyDescent="0.25">
      <c r="A130" s="76">
        <v>2279</v>
      </c>
      <c r="B130" s="127" t="s">
        <v>146</v>
      </c>
      <c r="C130" s="128">
        <f t="shared" si="9"/>
        <v>941</v>
      </c>
      <c r="D130" s="134">
        <v>193</v>
      </c>
      <c r="E130" s="283"/>
      <c r="F130" s="279">
        <f t="shared" si="10"/>
        <v>193</v>
      </c>
      <c r="G130" s="134"/>
      <c r="H130" s="135"/>
      <c r="I130" s="136">
        <f t="shared" si="11"/>
        <v>0</v>
      </c>
      <c r="J130" s="134">
        <v>748</v>
      </c>
      <c r="K130" s="135"/>
      <c r="L130" s="136">
        <f t="shared" si="12"/>
        <v>748</v>
      </c>
      <c r="M130" s="284"/>
      <c r="N130" s="285"/>
      <c r="O130" s="136">
        <f t="shared" si="13"/>
        <v>0</v>
      </c>
      <c r="P130" s="85"/>
      <c r="R130" s="53"/>
      <c r="S130" s="53"/>
      <c r="T130" s="53"/>
      <c r="U130" s="53"/>
    </row>
    <row r="131" spans="1:21" ht="24" hidden="1" x14ac:dyDescent="0.25">
      <c r="A131" s="656">
        <v>2280</v>
      </c>
      <c r="B131" s="116" t="s">
        <v>147</v>
      </c>
      <c r="C131" s="128">
        <f t="shared" si="9"/>
        <v>0</v>
      </c>
      <c r="D131" s="297">
        <f t="shared" ref="D131:N131" si="14">SUM(D132)</f>
        <v>0</v>
      </c>
      <c r="E131" s="301">
        <f t="shared" si="14"/>
        <v>0</v>
      </c>
      <c r="F131" s="263">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c r="R131" s="53"/>
      <c r="S131" s="53"/>
      <c r="T131" s="53"/>
      <c r="U131" s="53"/>
    </row>
    <row r="132" spans="1:21" ht="24" hidden="1" x14ac:dyDescent="0.25">
      <c r="A132" s="76">
        <v>2283</v>
      </c>
      <c r="B132" s="127" t="s">
        <v>148</v>
      </c>
      <c r="C132" s="128">
        <f t="shared" si="9"/>
        <v>0</v>
      </c>
      <c r="D132" s="134"/>
      <c r="E132" s="285"/>
      <c r="F132" s="286">
        <f t="shared" si="10"/>
        <v>0</v>
      </c>
      <c r="G132" s="134"/>
      <c r="H132" s="135"/>
      <c r="I132" s="136">
        <f t="shared" si="11"/>
        <v>0</v>
      </c>
      <c r="J132" s="134"/>
      <c r="K132" s="135"/>
      <c r="L132" s="136">
        <f t="shared" si="12"/>
        <v>0</v>
      </c>
      <c r="M132" s="284"/>
      <c r="N132" s="285"/>
      <c r="O132" s="136">
        <f t="shared" si="13"/>
        <v>0</v>
      </c>
      <c r="P132" s="85"/>
      <c r="R132" s="53"/>
      <c r="S132" s="53"/>
      <c r="T132" s="53"/>
      <c r="U132" s="53"/>
    </row>
    <row r="133" spans="1:21" ht="36" x14ac:dyDescent="0.25">
      <c r="A133" s="99">
        <v>2300</v>
      </c>
      <c r="B133" s="247" t="s">
        <v>149</v>
      </c>
      <c r="C133" s="100">
        <f t="shared" si="9"/>
        <v>5962</v>
      </c>
      <c r="D133" s="112">
        <f>SUM(D134,D139,D143,D144,D147,D154,D162,D163,D166)</f>
        <v>5348</v>
      </c>
      <c r="E133" s="248">
        <f>SUM(E134,E139,E143,E144,E147,E154,E162,E163,E166)</f>
        <v>0</v>
      </c>
      <c r="F133" s="249">
        <f t="shared" si="10"/>
        <v>5348</v>
      </c>
      <c r="G133" s="112">
        <f>SUM(G134,G139,G143,G144,G147,G154,G162,G163,G166)</f>
        <v>564</v>
      </c>
      <c r="H133" s="113">
        <f>SUM(H134,H139,H143,H144,H147,H154,H162,H163,H166)</f>
        <v>0</v>
      </c>
      <c r="I133" s="114">
        <f t="shared" si="11"/>
        <v>564</v>
      </c>
      <c r="J133" s="112">
        <f>SUM(J134,J139,J143,J144,J147,J154,J162,J163,J166)</f>
        <v>0</v>
      </c>
      <c r="K133" s="113">
        <f>SUM(K134,K139,K143,K144,K147,K154,K162,K163,K166)</f>
        <v>0</v>
      </c>
      <c r="L133" s="114">
        <f t="shared" si="12"/>
        <v>0</v>
      </c>
      <c r="M133" s="292">
        <f>SUM(M134,M139,M143,M144,M147,M154,M162,M163,M166)</f>
        <v>50</v>
      </c>
      <c r="N133" s="293">
        <f>SUM(N134,N139,N143,N144,N147,N154,N162,N163,N166)</f>
        <v>0</v>
      </c>
      <c r="O133" s="114">
        <f t="shared" si="13"/>
        <v>50</v>
      </c>
      <c r="P133" s="109"/>
      <c r="R133" s="53"/>
      <c r="S133" s="53"/>
      <c r="T133" s="53"/>
      <c r="U133" s="53"/>
    </row>
    <row r="134" spans="1:21" ht="24" x14ac:dyDescent="0.25">
      <c r="A134" s="656">
        <v>2310</v>
      </c>
      <c r="B134" s="116" t="s">
        <v>150</v>
      </c>
      <c r="C134" s="117">
        <f t="shared" si="9"/>
        <v>2560</v>
      </c>
      <c r="D134" s="308">
        <f>SUM(D135:D138)</f>
        <v>2560</v>
      </c>
      <c r="E134" s="300">
        <f>SUM(E135:E138)</f>
        <v>0</v>
      </c>
      <c r="F134" s="296">
        <f t="shared" si="10"/>
        <v>2560</v>
      </c>
      <c r="G134" s="297">
        <f>SUM(G135:G138)</f>
        <v>0</v>
      </c>
      <c r="H134" s="299">
        <f>SUM(H135:H138)</f>
        <v>0</v>
      </c>
      <c r="I134" s="125">
        <f t="shared" si="11"/>
        <v>0</v>
      </c>
      <c r="J134" s="297">
        <f>SUM(J135:J138)</f>
        <v>0</v>
      </c>
      <c r="K134" s="299">
        <f>SUM(K135:K138)</f>
        <v>0</v>
      </c>
      <c r="L134" s="125">
        <f t="shared" si="12"/>
        <v>0</v>
      </c>
      <c r="M134" s="300">
        <f>SUM(M135:M138)</f>
        <v>0</v>
      </c>
      <c r="N134" s="301">
        <f>SUM(N135:N138)</f>
        <v>0</v>
      </c>
      <c r="O134" s="125">
        <f t="shared" si="13"/>
        <v>0</v>
      </c>
      <c r="P134" s="74"/>
      <c r="R134" s="53"/>
      <c r="S134" s="53"/>
      <c r="T134" s="53"/>
      <c r="U134" s="53"/>
    </row>
    <row r="135" spans="1:21" x14ac:dyDescent="0.25">
      <c r="A135" s="76">
        <v>2311</v>
      </c>
      <c r="B135" s="127" t="s">
        <v>151</v>
      </c>
      <c r="C135" s="128">
        <f t="shared" si="9"/>
        <v>596</v>
      </c>
      <c r="D135" s="134">
        <v>596</v>
      </c>
      <c r="E135" s="283"/>
      <c r="F135" s="279">
        <f t="shared" si="10"/>
        <v>596</v>
      </c>
      <c r="G135" s="134"/>
      <c r="H135" s="135"/>
      <c r="I135" s="136">
        <f t="shared" si="11"/>
        <v>0</v>
      </c>
      <c r="J135" s="134"/>
      <c r="K135" s="135"/>
      <c r="L135" s="136">
        <f t="shared" si="12"/>
        <v>0</v>
      </c>
      <c r="M135" s="284"/>
      <c r="N135" s="285"/>
      <c r="O135" s="136">
        <f t="shared" si="13"/>
        <v>0</v>
      </c>
      <c r="P135" s="85"/>
      <c r="R135" s="53"/>
      <c r="S135" s="53"/>
      <c r="T135" s="53"/>
      <c r="U135" s="53"/>
    </row>
    <row r="136" spans="1:21" x14ac:dyDescent="0.25">
      <c r="A136" s="76">
        <v>2312</v>
      </c>
      <c r="B136" s="127" t="s">
        <v>152</v>
      </c>
      <c r="C136" s="128">
        <f t="shared" si="9"/>
        <v>1964</v>
      </c>
      <c r="D136" s="134">
        <v>1964</v>
      </c>
      <c r="E136" s="283"/>
      <c r="F136" s="279">
        <f t="shared" si="10"/>
        <v>1964</v>
      </c>
      <c r="G136" s="134"/>
      <c r="H136" s="135"/>
      <c r="I136" s="136">
        <f t="shared" si="11"/>
        <v>0</v>
      </c>
      <c r="J136" s="134"/>
      <c r="K136" s="135"/>
      <c r="L136" s="136">
        <f t="shared" si="12"/>
        <v>0</v>
      </c>
      <c r="M136" s="284"/>
      <c r="N136" s="285"/>
      <c r="O136" s="136">
        <f t="shared" si="13"/>
        <v>0</v>
      </c>
      <c r="P136" s="85"/>
      <c r="R136" s="53"/>
      <c r="S136" s="53"/>
      <c r="T136" s="53"/>
      <c r="U136" s="53"/>
    </row>
    <row r="137" spans="1:21" hidden="1" x14ac:dyDescent="0.25">
      <c r="A137" s="76">
        <v>2313</v>
      </c>
      <c r="B137" s="127" t="s">
        <v>153</v>
      </c>
      <c r="C137" s="128">
        <f t="shared" si="9"/>
        <v>0</v>
      </c>
      <c r="D137" s="134"/>
      <c r="E137" s="285"/>
      <c r="F137" s="286">
        <f t="shared" si="10"/>
        <v>0</v>
      </c>
      <c r="G137" s="134"/>
      <c r="H137" s="135"/>
      <c r="I137" s="136">
        <f t="shared" si="11"/>
        <v>0</v>
      </c>
      <c r="J137" s="134"/>
      <c r="K137" s="135"/>
      <c r="L137" s="136">
        <f t="shared" si="12"/>
        <v>0</v>
      </c>
      <c r="M137" s="284"/>
      <c r="N137" s="285"/>
      <c r="O137" s="136">
        <f t="shared" si="13"/>
        <v>0</v>
      </c>
      <c r="P137" s="85"/>
      <c r="R137" s="53"/>
      <c r="S137" s="53"/>
      <c r="T137" s="53"/>
      <c r="U137" s="53"/>
    </row>
    <row r="138" spans="1:21" ht="36" hidden="1" x14ac:dyDescent="0.25">
      <c r="A138" s="76">
        <v>2314</v>
      </c>
      <c r="B138" s="127" t="s">
        <v>154</v>
      </c>
      <c r="C138" s="128">
        <f t="shared" si="9"/>
        <v>0</v>
      </c>
      <c r="D138" s="134"/>
      <c r="E138" s="285"/>
      <c r="F138" s="286">
        <f t="shared" si="10"/>
        <v>0</v>
      </c>
      <c r="G138" s="134"/>
      <c r="H138" s="135"/>
      <c r="I138" s="136">
        <f t="shared" si="11"/>
        <v>0</v>
      </c>
      <c r="J138" s="134"/>
      <c r="K138" s="135"/>
      <c r="L138" s="136">
        <f t="shared" si="12"/>
        <v>0</v>
      </c>
      <c r="M138" s="284"/>
      <c r="N138" s="285"/>
      <c r="O138" s="136">
        <f t="shared" si="13"/>
        <v>0</v>
      </c>
      <c r="P138" s="85"/>
      <c r="R138" s="53"/>
      <c r="S138" s="53"/>
      <c r="T138" s="53"/>
      <c r="U138" s="53"/>
    </row>
    <row r="139" spans="1:21" x14ac:dyDescent="0.25">
      <c r="A139" s="276">
        <v>2320</v>
      </c>
      <c r="B139" s="127" t="s">
        <v>155</v>
      </c>
      <c r="C139" s="128">
        <f t="shared" si="9"/>
        <v>20</v>
      </c>
      <c r="D139" s="277">
        <f>SUM(D140:D142)</f>
        <v>20</v>
      </c>
      <c r="E139" s="278">
        <f>SUM(E140:E142)</f>
        <v>0</v>
      </c>
      <c r="F139" s="279">
        <f t="shared" si="10"/>
        <v>20</v>
      </c>
      <c r="G139" s="277">
        <f>SUM(G140:G142)</f>
        <v>0</v>
      </c>
      <c r="H139" s="280">
        <f>SUM(H140:H142)</f>
        <v>0</v>
      </c>
      <c r="I139" s="136">
        <f t="shared" si="11"/>
        <v>0</v>
      </c>
      <c r="J139" s="277">
        <f>SUM(J140:J142)</f>
        <v>0</v>
      </c>
      <c r="K139" s="280">
        <f>SUM(K140:K142)</f>
        <v>0</v>
      </c>
      <c r="L139" s="136">
        <f t="shared" si="12"/>
        <v>0</v>
      </c>
      <c r="M139" s="281">
        <f>SUM(M140:M142)</f>
        <v>0</v>
      </c>
      <c r="N139" s="282">
        <f>SUM(N140:N142)</f>
        <v>0</v>
      </c>
      <c r="O139" s="136">
        <f t="shared" si="13"/>
        <v>0</v>
      </c>
      <c r="P139" s="85"/>
      <c r="R139" s="53"/>
      <c r="S139" s="53"/>
      <c r="T139" s="53"/>
      <c r="U139" s="53"/>
    </row>
    <row r="140" spans="1:21" hidden="1" x14ac:dyDescent="0.25">
      <c r="A140" s="76">
        <v>2321</v>
      </c>
      <c r="B140" s="127" t="s">
        <v>156</v>
      </c>
      <c r="C140" s="128">
        <f t="shared" si="9"/>
        <v>0</v>
      </c>
      <c r="D140" s="134"/>
      <c r="E140" s="285"/>
      <c r="F140" s="286">
        <f t="shared" si="10"/>
        <v>0</v>
      </c>
      <c r="G140" s="134"/>
      <c r="H140" s="135"/>
      <c r="I140" s="136">
        <f t="shared" si="11"/>
        <v>0</v>
      </c>
      <c r="J140" s="134"/>
      <c r="K140" s="135"/>
      <c r="L140" s="136">
        <f t="shared" si="12"/>
        <v>0</v>
      </c>
      <c r="M140" s="284"/>
      <c r="N140" s="285"/>
      <c r="O140" s="136">
        <f t="shared" si="13"/>
        <v>0</v>
      </c>
      <c r="P140" s="85"/>
      <c r="R140" s="53"/>
      <c r="S140" s="53"/>
      <c r="T140" s="53"/>
      <c r="U140" s="53"/>
    </row>
    <row r="141" spans="1:21" x14ac:dyDescent="0.25">
      <c r="A141" s="265">
        <v>2322</v>
      </c>
      <c r="B141" s="266" t="s">
        <v>157</v>
      </c>
      <c r="C141" s="267">
        <f t="shared" si="9"/>
        <v>20</v>
      </c>
      <c r="D141" s="268">
        <v>20</v>
      </c>
      <c r="E141" s="269"/>
      <c r="F141" s="270">
        <f t="shared" si="10"/>
        <v>20</v>
      </c>
      <c r="G141" s="268"/>
      <c r="H141" s="271"/>
      <c r="I141" s="272">
        <f t="shared" si="11"/>
        <v>0</v>
      </c>
      <c r="J141" s="268"/>
      <c r="K141" s="271"/>
      <c r="L141" s="272">
        <f t="shared" si="12"/>
        <v>0</v>
      </c>
      <c r="M141" s="273"/>
      <c r="N141" s="274"/>
      <c r="O141" s="272">
        <f t="shared" si="13"/>
        <v>0</v>
      </c>
      <c r="P141" s="275"/>
      <c r="R141" s="53"/>
      <c r="S141" s="53"/>
      <c r="T141" s="53"/>
      <c r="U141" s="53"/>
    </row>
    <row r="142" spans="1:21" hidden="1" x14ac:dyDescent="0.25">
      <c r="A142" s="76">
        <v>2329</v>
      </c>
      <c r="B142" s="127" t="s">
        <v>158</v>
      </c>
      <c r="C142" s="128">
        <f t="shared" si="9"/>
        <v>0</v>
      </c>
      <c r="D142" s="134"/>
      <c r="E142" s="285"/>
      <c r="F142" s="286">
        <f t="shared" si="10"/>
        <v>0</v>
      </c>
      <c r="G142" s="134"/>
      <c r="H142" s="135"/>
      <c r="I142" s="136">
        <f t="shared" si="11"/>
        <v>0</v>
      </c>
      <c r="J142" s="134"/>
      <c r="K142" s="135"/>
      <c r="L142" s="136">
        <f t="shared" si="12"/>
        <v>0</v>
      </c>
      <c r="M142" s="284"/>
      <c r="N142" s="285"/>
      <c r="O142" s="136">
        <f t="shared" si="13"/>
        <v>0</v>
      </c>
      <c r="P142" s="85"/>
      <c r="R142" s="53"/>
      <c r="S142" s="53"/>
      <c r="T142" s="53"/>
      <c r="U142" s="53"/>
    </row>
    <row r="143" spans="1:21" hidden="1" x14ac:dyDescent="0.25">
      <c r="A143" s="276">
        <v>2330</v>
      </c>
      <c r="B143" s="127" t="s">
        <v>159</v>
      </c>
      <c r="C143" s="128">
        <f t="shared" si="9"/>
        <v>0</v>
      </c>
      <c r="D143" s="134"/>
      <c r="E143" s="285"/>
      <c r="F143" s="286">
        <f t="shared" si="10"/>
        <v>0</v>
      </c>
      <c r="G143" s="134"/>
      <c r="H143" s="135"/>
      <c r="I143" s="136">
        <f t="shared" si="11"/>
        <v>0</v>
      </c>
      <c r="J143" s="134"/>
      <c r="K143" s="135"/>
      <c r="L143" s="136">
        <f t="shared" si="12"/>
        <v>0</v>
      </c>
      <c r="M143" s="284"/>
      <c r="N143" s="285"/>
      <c r="O143" s="136">
        <f t="shared" si="13"/>
        <v>0</v>
      </c>
      <c r="P143" s="85"/>
      <c r="R143" s="53"/>
      <c r="S143" s="53"/>
      <c r="T143" s="53"/>
      <c r="U143" s="53"/>
    </row>
    <row r="144" spans="1:21" ht="48" x14ac:dyDescent="0.25">
      <c r="A144" s="276">
        <v>2340</v>
      </c>
      <c r="B144" s="127" t="s">
        <v>160</v>
      </c>
      <c r="C144" s="128">
        <f t="shared" si="9"/>
        <v>130</v>
      </c>
      <c r="D144" s="277">
        <f>SUM(D145:D146)</f>
        <v>130</v>
      </c>
      <c r="E144" s="278">
        <f>SUM(E145:E146)</f>
        <v>0</v>
      </c>
      <c r="F144" s="279">
        <f t="shared" si="10"/>
        <v>130</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c r="R144" s="53"/>
      <c r="S144" s="53"/>
      <c r="T144" s="53"/>
      <c r="U144" s="53"/>
    </row>
    <row r="145" spans="1:21" x14ac:dyDescent="0.25">
      <c r="A145" s="76">
        <v>2341</v>
      </c>
      <c r="B145" s="127" t="s">
        <v>161</v>
      </c>
      <c r="C145" s="128">
        <f t="shared" si="9"/>
        <v>130</v>
      </c>
      <c r="D145" s="134">
        <v>130</v>
      </c>
      <c r="E145" s="283"/>
      <c r="F145" s="279">
        <f t="shared" si="10"/>
        <v>130</v>
      </c>
      <c r="G145" s="134"/>
      <c r="H145" s="135"/>
      <c r="I145" s="136">
        <f t="shared" si="11"/>
        <v>0</v>
      </c>
      <c r="J145" s="134"/>
      <c r="K145" s="135"/>
      <c r="L145" s="136">
        <f t="shared" si="12"/>
        <v>0</v>
      </c>
      <c r="M145" s="284"/>
      <c r="N145" s="285"/>
      <c r="O145" s="136">
        <f t="shared" si="13"/>
        <v>0</v>
      </c>
      <c r="P145" s="85"/>
      <c r="R145" s="53"/>
      <c r="S145" s="53"/>
      <c r="T145" s="53"/>
      <c r="U145" s="53"/>
    </row>
    <row r="146" spans="1:21" ht="24" hidden="1" x14ac:dyDescent="0.25">
      <c r="A146" s="76">
        <v>2344</v>
      </c>
      <c r="B146" s="127" t="s">
        <v>162</v>
      </c>
      <c r="C146" s="128">
        <f t="shared" si="9"/>
        <v>0</v>
      </c>
      <c r="D146" s="134"/>
      <c r="E146" s="285"/>
      <c r="F146" s="286">
        <f t="shared" si="10"/>
        <v>0</v>
      </c>
      <c r="G146" s="134"/>
      <c r="H146" s="135"/>
      <c r="I146" s="136">
        <f t="shared" si="11"/>
        <v>0</v>
      </c>
      <c r="J146" s="134"/>
      <c r="K146" s="135"/>
      <c r="L146" s="136">
        <f t="shared" si="12"/>
        <v>0</v>
      </c>
      <c r="M146" s="284"/>
      <c r="N146" s="285"/>
      <c r="O146" s="136">
        <f t="shared" si="13"/>
        <v>0</v>
      </c>
      <c r="P146" s="85"/>
      <c r="R146" s="53"/>
      <c r="S146" s="53"/>
      <c r="T146" s="53"/>
      <c r="U146" s="53"/>
    </row>
    <row r="147" spans="1:21" ht="24" x14ac:dyDescent="0.25">
      <c r="A147" s="254">
        <v>2350</v>
      </c>
      <c r="B147" s="179" t="s">
        <v>163</v>
      </c>
      <c r="C147" s="128">
        <f t="shared" si="9"/>
        <v>2088</v>
      </c>
      <c r="D147" s="255">
        <f>SUM(D148:D153)</f>
        <v>2088</v>
      </c>
      <c r="E147" s="256">
        <f>SUM(E148:E153)</f>
        <v>0</v>
      </c>
      <c r="F147" s="257">
        <f t="shared" si="10"/>
        <v>2088</v>
      </c>
      <c r="G147" s="255">
        <f>SUM(G148:G153)</f>
        <v>0</v>
      </c>
      <c r="H147" s="258">
        <f>SUM(H148:H153)</f>
        <v>0</v>
      </c>
      <c r="I147" s="259">
        <f t="shared" si="11"/>
        <v>0</v>
      </c>
      <c r="J147" s="255">
        <f>SUM(J148:J153)</f>
        <v>0</v>
      </c>
      <c r="K147" s="258">
        <f>SUM(K148:K153)</f>
        <v>0</v>
      </c>
      <c r="L147" s="259">
        <f t="shared" si="12"/>
        <v>0</v>
      </c>
      <c r="M147" s="260">
        <f>SUM(M148:M153)</f>
        <v>0</v>
      </c>
      <c r="N147" s="261">
        <f>SUM(N148:N153)</f>
        <v>0</v>
      </c>
      <c r="O147" s="259">
        <f t="shared" si="13"/>
        <v>0</v>
      </c>
      <c r="P147" s="189"/>
      <c r="R147" s="53"/>
      <c r="S147" s="53"/>
      <c r="T147" s="53"/>
      <c r="U147" s="53"/>
    </row>
    <row r="148" spans="1:21" x14ac:dyDescent="0.25">
      <c r="A148" s="66">
        <v>2351</v>
      </c>
      <c r="B148" s="116" t="s">
        <v>164</v>
      </c>
      <c r="C148" s="128">
        <f t="shared" si="9"/>
        <v>490</v>
      </c>
      <c r="D148" s="123">
        <v>490</v>
      </c>
      <c r="E148" s="295"/>
      <c r="F148" s="296">
        <f t="shared" si="10"/>
        <v>490</v>
      </c>
      <c r="G148" s="123"/>
      <c r="H148" s="124"/>
      <c r="I148" s="125">
        <f t="shared" si="11"/>
        <v>0</v>
      </c>
      <c r="J148" s="123"/>
      <c r="K148" s="124"/>
      <c r="L148" s="125">
        <f t="shared" si="12"/>
        <v>0</v>
      </c>
      <c r="M148" s="264"/>
      <c r="N148" s="262"/>
      <c r="O148" s="125">
        <f t="shared" si="13"/>
        <v>0</v>
      </c>
      <c r="P148" s="74"/>
      <c r="R148" s="53"/>
      <c r="S148" s="53"/>
      <c r="T148" s="53"/>
      <c r="U148" s="53"/>
    </row>
    <row r="149" spans="1:21" x14ac:dyDescent="0.25">
      <c r="A149" s="76">
        <v>2352</v>
      </c>
      <c r="B149" s="127" t="s">
        <v>165</v>
      </c>
      <c r="C149" s="128">
        <f t="shared" si="9"/>
        <v>1598</v>
      </c>
      <c r="D149" s="134">
        <v>1598</v>
      </c>
      <c r="E149" s="283"/>
      <c r="F149" s="279">
        <f t="shared" si="10"/>
        <v>1598</v>
      </c>
      <c r="G149" s="134"/>
      <c r="H149" s="135"/>
      <c r="I149" s="136">
        <f t="shared" si="11"/>
        <v>0</v>
      </c>
      <c r="J149" s="134"/>
      <c r="K149" s="135"/>
      <c r="L149" s="136">
        <f t="shared" si="12"/>
        <v>0</v>
      </c>
      <c r="M149" s="284"/>
      <c r="N149" s="285"/>
      <c r="O149" s="136">
        <f t="shared" si="13"/>
        <v>0</v>
      </c>
      <c r="P149" s="85"/>
      <c r="R149" s="53"/>
      <c r="S149" s="53"/>
      <c r="T149" s="53"/>
      <c r="U149" s="53"/>
    </row>
    <row r="150" spans="1:21" ht="24" hidden="1" x14ac:dyDescent="0.25">
      <c r="A150" s="76">
        <v>2353</v>
      </c>
      <c r="B150" s="127" t="s">
        <v>166</v>
      </c>
      <c r="C150" s="128">
        <f t="shared" si="9"/>
        <v>0</v>
      </c>
      <c r="D150" s="134"/>
      <c r="E150" s="285"/>
      <c r="F150" s="286">
        <f t="shared" si="10"/>
        <v>0</v>
      </c>
      <c r="G150" s="134"/>
      <c r="H150" s="135"/>
      <c r="I150" s="136">
        <f t="shared" si="11"/>
        <v>0</v>
      </c>
      <c r="J150" s="134"/>
      <c r="K150" s="135"/>
      <c r="L150" s="136">
        <f t="shared" si="12"/>
        <v>0</v>
      </c>
      <c r="M150" s="284"/>
      <c r="N150" s="285"/>
      <c r="O150" s="136">
        <f t="shared" si="13"/>
        <v>0</v>
      </c>
      <c r="P150" s="85"/>
      <c r="R150" s="53"/>
      <c r="S150" s="53"/>
      <c r="T150" s="53"/>
      <c r="U150" s="53"/>
    </row>
    <row r="151" spans="1:21" ht="24" hidden="1" x14ac:dyDescent="0.25">
      <c r="A151" s="76">
        <v>2354</v>
      </c>
      <c r="B151" s="127" t="s">
        <v>167</v>
      </c>
      <c r="C151" s="128">
        <f t="shared" si="9"/>
        <v>0</v>
      </c>
      <c r="D151" s="134"/>
      <c r="E151" s="285"/>
      <c r="F151" s="286">
        <f t="shared" si="10"/>
        <v>0</v>
      </c>
      <c r="G151" s="134"/>
      <c r="H151" s="135"/>
      <c r="I151" s="136">
        <f t="shared" si="11"/>
        <v>0</v>
      </c>
      <c r="J151" s="134"/>
      <c r="K151" s="135"/>
      <c r="L151" s="136">
        <f t="shared" si="12"/>
        <v>0</v>
      </c>
      <c r="M151" s="284"/>
      <c r="N151" s="285"/>
      <c r="O151" s="136">
        <f t="shared" si="13"/>
        <v>0</v>
      </c>
      <c r="P151" s="85"/>
      <c r="R151" s="53"/>
      <c r="S151" s="53"/>
      <c r="T151" s="53"/>
      <c r="U151" s="53"/>
    </row>
    <row r="152" spans="1:21" ht="24" hidden="1" x14ac:dyDescent="0.25">
      <c r="A152" s="76">
        <v>2355</v>
      </c>
      <c r="B152" s="127" t="s">
        <v>168</v>
      </c>
      <c r="C152" s="128">
        <f t="shared" si="9"/>
        <v>0</v>
      </c>
      <c r="D152" s="134"/>
      <c r="E152" s="285"/>
      <c r="F152" s="286">
        <f t="shared" si="10"/>
        <v>0</v>
      </c>
      <c r="G152" s="134"/>
      <c r="H152" s="135"/>
      <c r="I152" s="136">
        <f t="shared" si="11"/>
        <v>0</v>
      </c>
      <c r="J152" s="134"/>
      <c r="K152" s="135"/>
      <c r="L152" s="136">
        <f t="shared" si="12"/>
        <v>0</v>
      </c>
      <c r="M152" s="284"/>
      <c r="N152" s="285"/>
      <c r="O152" s="136">
        <f t="shared" si="13"/>
        <v>0</v>
      </c>
      <c r="P152" s="85"/>
      <c r="R152" s="53"/>
      <c r="S152" s="53"/>
      <c r="T152" s="53"/>
      <c r="U152" s="53"/>
    </row>
    <row r="153" spans="1:21" ht="24" hidden="1" x14ac:dyDescent="0.25">
      <c r="A153" s="76">
        <v>2359</v>
      </c>
      <c r="B153" s="127" t="s">
        <v>169</v>
      </c>
      <c r="C153" s="128">
        <f t="shared" si="9"/>
        <v>0</v>
      </c>
      <c r="D153" s="134"/>
      <c r="E153" s="285"/>
      <c r="F153" s="286">
        <f t="shared" si="10"/>
        <v>0</v>
      </c>
      <c r="G153" s="134"/>
      <c r="H153" s="135"/>
      <c r="I153" s="136">
        <f t="shared" si="11"/>
        <v>0</v>
      </c>
      <c r="J153" s="134"/>
      <c r="K153" s="135"/>
      <c r="L153" s="136">
        <f t="shared" si="12"/>
        <v>0</v>
      </c>
      <c r="M153" s="284"/>
      <c r="N153" s="285"/>
      <c r="O153" s="136">
        <f t="shared" si="13"/>
        <v>0</v>
      </c>
      <c r="P153" s="85"/>
      <c r="R153" s="53"/>
      <c r="S153" s="53"/>
      <c r="T153" s="53"/>
      <c r="U153" s="53"/>
    </row>
    <row r="154" spans="1:21" ht="24" x14ac:dyDescent="0.25">
      <c r="A154" s="276">
        <v>2360</v>
      </c>
      <c r="B154" s="127" t="s">
        <v>170</v>
      </c>
      <c r="C154" s="128">
        <f t="shared" si="9"/>
        <v>100</v>
      </c>
      <c r="D154" s="277">
        <f>SUM(D155:D161)</f>
        <v>100</v>
      </c>
      <c r="E154" s="278">
        <f>SUM(E155:E161)</f>
        <v>0</v>
      </c>
      <c r="F154" s="279">
        <f t="shared" si="10"/>
        <v>100</v>
      </c>
      <c r="G154" s="277">
        <f>SUM(G155:G161)</f>
        <v>0</v>
      </c>
      <c r="H154" s="280">
        <f>SUM(H155:H161)</f>
        <v>0</v>
      </c>
      <c r="I154" s="136">
        <f t="shared" si="11"/>
        <v>0</v>
      </c>
      <c r="J154" s="277">
        <f>SUM(J155:J161)</f>
        <v>0</v>
      </c>
      <c r="K154" s="280">
        <f>SUM(K155:K161)</f>
        <v>0</v>
      </c>
      <c r="L154" s="136">
        <f t="shared" si="12"/>
        <v>0</v>
      </c>
      <c r="M154" s="281">
        <f>SUM(M155:M161)</f>
        <v>0</v>
      </c>
      <c r="N154" s="282">
        <f>SUM(N155:N161)</f>
        <v>0</v>
      </c>
      <c r="O154" s="136">
        <f t="shared" si="13"/>
        <v>0</v>
      </c>
      <c r="P154" s="85"/>
      <c r="R154" s="53"/>
      <c r="S154" s="53"/>
      <c r="T154" s="53"/>
      <c r="U154" s="53"/>
    </row>
    <row r="155" spans="1:21" hidden="1" x14ac:dyDescent="0.25">
      <c r="A155" s="75">
        <v>2361</v>
      </c>
      <c r="B155" s="127" t="s">
        <v>171</v>
      </c>
      <c r="C155" s="128">
        <f t="shared" si="9"/>
        <v>0</v>
      </c>
      <c r="D155" s="134"/>
      <c r="E155" s="285"/>
      <c r="F155" s="286">
        <f t="shared" si="10"/>
        <v>0</v>
      </c>
      <c r="G155" s="134"/>
      <c r="H155" s="135"/>
      <c r="I155" s="136">
        <f t="shared" si="11"/>
        <v>0</v>
      </c>
      <c r="J155" s="134"/>
      <c r="K155" s="135"/>
      <c r="L155" s="136">
        <f t="shared" si="12"/>
        <v>0</v>
      </c>
      <c r="M155" s="284"/>
      <c r="N155" s="285"/>
      <c r="O155" s="136">
        <f t="shared" si="13"/>
        <v>0</v>
      </c>
      <c r="P155" s="85"/>
      <c r="R155" s="53"/>
      <c r="S155" s="53"/>
      <c r="T155" s="53"/>
      <c r="U155" s="53"/>
    </row>
    <row r="156" spans="1:21" ht="24" x14ac:dyDescent="0.25">
      <c r="A156" s="75">
        <v>2362</v>
      </c>
      <c r="B156" s="127" t="s">
        <v>172</v>
      </c>
      <c r="C156" s="128">
        <f t="shared" si="9"/>
        <v>100</v>
      </c>
      <c r="D156" s="134">
        <v>100</v>
      </c>
      <c r="E156" s="283"/>
      <c r="F156" s="279">
        <f t="shared" si="10"/>
        <v>100</v>
      </c>
      <c r="G156" s="134"/>
      <c r="H156" s="135"/>
      <c r="I156" s="136">
        <f t="shared" si="11"/>
        <v>0</v>
      </c>
      <c r="J156" s="134"/>
      <c r="K156" s="135"/>
      <c r="L156" s="136">
        <f t="shared" si="12"/>
        <v>0</v>
      </c>
      <c r="M156" s="284"/>
      <c r="N156" s="285"/>
      <c r="O156" s="136">
        <f t="shared" si="13"/>
        <v>0</v>
      </c>
      <c r="P156" s="85"/>
      <c r="R156" s="53"/>
      <c r="S156" s="53"/>
      <c r="T156" s="53"/>
      <c r="U156" s="53"/>
    </row>
    <row r="157" spans="1:21" hidden="1" x14ac:dyDescent="0.25">
      <c r="A157" s="75">
        <v>2363</v>
      </c>
      <c r="B157" s="127" t="s">
        <v>173</v>
      </c>
      <c r="C157" s="128">
        <f t="shared" si="9"/>
        <v>0</v>
      </c>
      <c r="D157" s="134"/>
      <c r="E157" s="285"/>
      <c r="F157" s="286">
        <f t="shared" si="10"/>
        <v>0</v>
      </c>
      <c r="G157" s="134"/>
      <c r="H157" s="135"/>
      <c r="I157" s="136">
        <f t="shared" si="11"/>
        <v>0</v>
      </c>
      <c r="J157" s="997"/>
      <c r="K157" s="135"/>
      <c r="L157" s="136">
        <f t="shared" si="12"/>
        <v>0</v>
      </c>
      <c r="M157" s="284"/>
      <c r="N157" s="285"/>
      <c r="O157" s="136">
        <f t="shared" si="13"/>
        <v>0</v>
      </c>
      <c r="P157" s="275"/>
      <c r="R157" s="53"/>
      <c r="S157" s="53"/>
      <c r="T157" s="53"/>
      <c r="U157" s="53"/>
    </row>
    <row r="158" spans="1:21" hidden="1" x14ac:dyDescent="0.25">
      <c r="A158" s="75">
        <v>2364</v>
      </c>
      <c r="B158" s="127" t="s">
        <v>174</v>
      </c>
      <c r="C158" s="128">
        <f t="shared" si="9"/>
        <v>0</v>
      </c>
      <c r="D158" s="134"/>
      <c r="E158" s="285"/>
      <c r="F158" s="286">
        <f t="shared" si="10"/>
        <v>0</v>
      </c>
      <c r="G158" s="134"/>
      <c r="H158" s="135"/>
      <c r="I158" s="136">
        <f t="shared" si="11"/>
        <v>0</v>
      </c>
      <c r="J158" s="134"/>
      <c r="K158" s="135"/>
      <c r="L158" s="136">
        <f t="shared" si="12"/>
        <v>0</v>
      </c>
      <c r="M158" s="284"/>
      <c r="N158" s="285"/>
      <c r="O158" s="136">
        <f t="shared" si="13"/>
        <v>0</v>
      </c>
      <c r="P158" s="85"/>
      <c r="R158" s="53"/>
      <c r="S158" s="53"/>
      <c r="T158" s="53"/>
      <c r="U158" s="53"/>
    </row>
    <row r="159" spans="1:21" hidden="1" x14ac:dyDescent="0.25">
      <c r="A159" s="75">
        <v>2365</v>
      </c>
      <c r="B159" s="127" t="s">
        <v>175</v>
      </c>
      <c r="C159" s="128">
        <f t="shared" si="9"/>
        <v>0</v>
      </c>
      <c r="D159" s="134"/>
      <c r="E159" s="285"/>
      <c r="F159" s="286">
        <f t="shared" si="10"/>
        <v>0</v>
      </c>
      <c r="G159" s="134"/>
      <c r="H159" s="135"/>
      <c r="I159" s="136">
        <f t="shared" si="11"/>
        <v>0</v>
      </c>
      <c r="J159" s="134"/>
      <c r="K159" s="135"/>
      <c r="L159" s="136">
        <f t="shared" si="12"/>
        <v>0</v>
      </c>
      <c r="M159" s="284"/>
      <c r="N159" s="285"/>
      <c r="O159" s="136">
        <f t="shared" si="13"/>
        <v>0</v>
      </c>
      <c r="P159" s="85"/>
      <c r="R159" s="53"/>
      <c r="S159" s="53"/>
      <c r="T159" s="53"/>
      <c r="U159" s="53"/>
    </row>
    <row r="160" spans="1:21" ht="36" hidden="1" x14ac:dyDescent="0.25">
      <c r="A160" s="75">
        <v>2366</v>
      </c>
      <c r="B160" s="127" t="s">
        <v>176</v>
      </c>
      <c r="C160" s="128">
        <f t="shared" si="9"/>
        <v>0</v>
      </c>
      <c r="D160" s="134"/>
      <c r="E160" s="285"/>
      <c r="F160" s="286">
        <f t="shared" si="10"/>
        <v>0</v>
      </c>
      <c r="G160" s="134"/>
      <c r="H160" s="135"/>
      <c r="I160" s="136">
        <f t="shared" si="11"/>
        <v>0</v>
      </c>
      <c r="J160" s="134"/>
      <c r="K160" s="135"/>
      <c r="L160" s="136">
        <f t="shared" si="12"/>
        <v>0</v>
      </c>
      <c r="M160" s="284"/>
      <c r="N160" s="285"/>
      <c r="O160" s="136">
        <f t="shared" si="13"/>
        <v>0</v>
      </c>
      <c r="P160" s="85"/>
      <c r="R160" s="53"/>
      <c r="S160" s="53"/>
      <c r="T160" s="53"/>
      <c r="U160" s="53"/>
    </row>
    <row r="161" spans="1:21" ht="48" hidden="1" x14ac:dyDescent="0.25">
      <c r="A161" s="75">
        <v>2369</v>
      </c>
      <c r="B161" s="127" t="s">
        <v>177</v>
      </c>
      <c r="C161" s="128">
        <f t="shared" si="9"/>
        <v>0</v>
      </c>
      <c r="D161" s="134"/>
      <c r="E161" s="285"/>
      <c r="F161" s="286">
        <f t="shared" si="10"/>
        <v>0</v>
      </c>
      <c r="G161" s="134"/>
      <c r="H161" s="135"/>
      <c r="I161" s="136">
        <f t="shared" si="11"/>
        <v>0</v>
      </c>
      <c r="J161" s="134"/>
      <c r="K161" s="135"/>
      <c r="L161" s="136">
        <f t="shared" si="12"/>
        <v>0</v>
      </c>
      <c r="M161" s="284"/>
      <c r="N161" s="285"/>
      <c r="O161" s="136">
        <f t="shared" si="13"/>
        <v>0</v>
      </c>
      <c r="P161" s="85"/>
      <c r="R161" s="53"/>
      <c r="S161" s="53"/>
      <c r="T161" s="53"/>
      <c r="U161" s="53"/>
    </row>
    <row r="162" spans="1:21" x14ac:dyDescent="0.25">
      <c r="A162" s="789">
        <v>2370</v>
      </c>
      <c r="B162" s="790" t="s">
        <v>178</v>
      </c>
      <c r="C162" s="267">
        <f t="shared" si="9"/>
        <v>1064</v>
      </c>
      <c r="D162" s="791">
        <v>450</v>
      </c>
      <c r="E162" s="792"/>
      <c r="F162" s="793">
        <f t="shared" si="10"/>
        <v>450</v>
      </c>
      <c r="G162" s="791">
        <v>564</v>
      </c>
      <c r="H162" s="794"/>
      <c r="I162" s="795">
        <f t="shared" si="11"/>
        <v>564</v>
      </c>
      <c r="J162" s="791"/>
      <c r="K162" s="794"/>
      <c r="L162" s="795">
        <f t="shared" si="12"/>
        <v>0</v>
      </c>
      <c r="M162" s="796">
        <v>50</v>
      </c>
      <c r="N162" s="797"/>
      <c r="O162" s="795">
        <f t="shared" si="13"/>
        <v>50</v>
      </c>
      <c r="P162" s="798"/>
      <c r="R162" s="53"/>
      <c r="S162" s="53"/>
      <c r="T162" s="53"/>
      <c r="U162" s="53"/>
    </row>
    <row r="163" spans="1:21" hidden="1" x14ac:dyDescent="0.25">
      <c r="A163" s="254">
        <v>2380</v>
      </c>
      <c r="B163" s="179" t="s">
        <v>179</v>
      </c>
      <c r="C163" s="128">
        <f t="shared" si="9"/>
        <v>0</v>
      </c>
      <c r="D163" s="255">
        <f>SUM(D164:D165)</f>
        <v>0</v>
      </c>
      <c r="E163" s="261">
        <f>SUM(E164:E165)</f>
        <v>0</v>
      </c>
      <c r="F163" s="310">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c r="S163" s="53"/>
      <c r="T163" s="53"/>
      <c r="U163" s="53"/>
    </row>
    <row r="164" spans="1:21" hidden="1" x14ac:dyDescent="0.25">
      <c r="A164" s="65">
        <v>2381</v>
      </c>
      <c r="B164" s="116" t="s">
        <v>180</v>
      </c>
      <c r="C164" s="128">
        <f t="shared" si="9"/>
        <v>0</v>
      </c>
      <c r="D164" s="123"/>
      <c r="E164" s="262"/>
      <c r="F164" s="263">
        <f t="shared" si="10"/>
        <v>0</v>
      </c>
      <c r="G164" s="123"/>
      <c r="H164" s="124"/>
      <c r="I164" s="125">
        <f t="shared" si="11"/>
        <v>0</v>
      </c>
      <c r="J164" s="123"/>
      <c r="K164" s="124"/>
      <c r="L164" s="125">
        <f t="shared" si="12"/>
        <v>0</v>
      </c>
      <c r="M164" s="264"/>
      <c r="N164" s="262"/>
      <c r="O164" s="125">
        <f t="shared" si="13"/>
        <v>0</v>
      </c>
      <c r="P164" s="74"/>
      <c r="R164" s="53"/>
      <c r="S164" s="53"/>
      <c r="T164" s="53"/>
      <c r="U164" s="53"/>
    </row>
    <row r="165" spans="1:21" ht="24" hidden="1" x14ac:dyDescent="0.25">
      <c r="A165" s="75">
        <v>2389</v>
      </c>
      <c r="B165" s="127" t="s">
        <v>181</v>
      </c>
      <c r="C165" s="128">
        <f t="shared" si="9"/>
        <v>0</v>
      </c>
      <c r="D165" s="134"/>
      <c r="E165" s="285"/>
      <c r="F165" s="286">
        <f t="shared" si="10"/>
        <v>0</v>
      </c>
      <c r="G165" s="134"/>
      <c r="H165" s="135"/>
      <c r="I165" s="136">
        <f t="shared" si="11"/>
        <v>0</v>
      </c>
      <c r="J165" s="134"/>
      <c r="K165" s="135"/>
      <c r="L165" s="136">
        <f t="shared" si="12"/>
        <v>0</v>
      </c>
      <c r="M165" s="284"/>
      <c r="N165" s="285"/>
      <c r="O165" s="136">
        <f t="shared" si="13"/>
        <v>0</v>
      </c>
      <c r="P165" s="85"/>
      <c r="R165" s="53"/>
      <c r="S165" s="53"/>
      <c r="T165" s="53"/>
      <c r="U165" s="53"/>
    </row>
    <row r="166" spans="1:21" hidden="1" x14ac:dyDescent="0.25">
      <c r="A166" s="254">
        <v>2390</v>
      </c>
      <c r="B166" s="179" t="s">
        <v>182</v>
      </c>
      <c r="C166" s="128">
        <f t="shared" si="9"/>
        <v>0</v>
      </c>
      <c r="D166" s="287"/>
      <c r="E166" s="291"/>
      <c r="F166" s="310">
        <f t="shared" si="10"/>
        <v>0</v>
      </c>
      <c r="G166" s="287"/>
      <c r="H166" s="289"/>
      <c r="I166" s="259">
        <f t="shared" si="11"/>
        <v>0</v>
      </c>
      <c r="J166" s="287"/>
      <c r="K166" s="289"/>
      <c r="L166" s="259">
        <f t="shared" si="12"/>
        <v>0</v>
      </c>
      <c r="M166" s="290"/>
      <c r="N166" s="291"/>
      <c r="O166" s="259">
        <f t="shared" si="13"/>
        <v>0</v>
      </c>
      <c r="P166" s="189"/>
      <c r="R166" s="53"/>
      <c r="S166" s="53"/>
      <c r="T166" s="53"/>
      <c r="U166" s="53"/>
    </row>
    <row r="167" spans="1:21" hidden="1" x14ac:dyDescent="0.25">
      <c r="A167" s="99">
        <v>2400</v>
      </c>
      <c r="B167" s="247" t="s">
        <v>183</v>
      </c>
      <c r="C167" s="100">
        <f t="shared" si="9"/>
        <v>0</v>
      </c>
      <c r="D167" s="311"/>
      <c r="E167" s="312"/>
      <c r="F167" s="313">
        <f t="shared" si="10"/>
        <v>0</v>
      </c>
      <c r="G167" s="311"/>
      <c r="H167" s="314"/>
      <c r="I167" s="114">
        <f t="shared" si="11"/>
        <v>0</v>
      </c>
      <c r="J167" s="311"/>
      <c r="K167" s="314"/>
      <c r="L167" s="114">
        <f t="shared" si="12"/>
        <v>0</v>
      </c>
      <c r="M167" s="315"/>
      <c r="N167" s="312"/>
      <c r="O167" s="114">
        <f t="shared" si="13"/>
        <v>0</v>
      </c>
      <c r="P167" s="109"/>
      <c r="R167" s="53"/>
      <c r="S167" s="53"/>
      <c r="T167" s="53"/>
      <c r="U167" s="53"/>
    </row>
    <row r="168" spans="1:21" ht="24" hidden="1" x14ac:dyDescent="0.25">
      <c r="A168" s="99">
        <v>2500</v>
      </c>
      <c r="B168" s="247" t="s">
        <v>184</v>
      </c>
      <c r="C168" s="100">
        <f t="shared" si="9"/>
        <v>0</v>
      </c>
      <c r="D168" s="112">
        <f>SUM(D169,D174)</f>
        <v>0</v>
      </c>
      <c r="E168" s="293">
        <f>SUM(E169,E174)</f>
        <v>0</v>
      </c>
      <c r="F168" s="313">
        <f t="shared" si="10"/>
        <v>0</v>
      </c>
      <c r="G168" s="112">
        <f>SUM(G169,G174)</f>
        <v>0</v>
      </c>
      <c r="H168" s="113">
        <f t="shared" ref="H168" si="17">SUM(H169,H174)</f>
        <v>0</v>
      </c>
      <c r="I168" s="114">
        <f t="shared" si="11"/>
        <v>0</v>
      </c>
      <c r="J168" s="112">
        <f>SUM(J169,J174)</f>
        <v>0</v>
      </c>
      <c r="K168" s="113">
        <f t="shared" ref="K168" si="18">SUM(K169,K174)</f>
        <v>0</v>
      </c>
      <c r="L168" s="114">
        <f t="shared" si="12"/>
        <v>0</v>
      </c>
      <c r="M168" s="250">
        <f t="shared" ref="M168:N168" si="19">SUM(M169,M174)</f>
        <v>0</v>
      </c>
      <c r="N168" s="251">
        <f t="shared" si="19"/>
        <v>0</v>
      </c>
      <c r="O168" s="252">
        <f t="shared" si="13"/>
        <v>0</v>
      </c>
      <c r="P168" s="253"/>
      <c r="R168" s="53"/>
      <c r="S168" s="53"/>
      <c r="T168" s="53"/>
      <c r="U168" s="53"/>
    </row>
    <row r="169" spans="1:21" hidden="1" x14ac:dyDescent="0.25">
      <c r="A169" s="656">
        <v>2510</v>
      </c>
      <c r="B169" s="116" t="s">
        <v>185</v>
      </c>
      <c r="C169" s="117">
        <f t="shared" si="9"/>
        <v>0</v>
      </c>
      <c r="D169" s="297">
        <f>SUM(D170:D173)</f>
        <v>0</v>
      </c>
      <c r="E169" s="301">
        <f>SUM(E170:E173)</f>
        <v>0</v>
      </c>
      <c r="F169" s="263">
        <f t="shared" si="10"/>
        <v>0</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c r="R169" s="53"/>
      <c r="S169" s="53"/>
      <c r="T169" s="53"/>
      <c r="U169" s="53"/>
    </row>
    <row r="170" spans="1:21" ht="24" hidden="1" x14ac:dyDescent="0.25">
      <c r="A170" s="76">
        <v>2512</v>
      </c>
      <c r="B170" s="127" t="s">
        <v>186</v>
      </c>
      <c r="C170" s="128">
        <f t="shared" si="9"/>
        <v>0</v>
      </c>
      <c r="D170" s="134"/>
      <c r="E170" s="285"/>
      <c r="F170" s="286">
        <f t="shared" si="10"/>
        <v>0</v>
      </c>
      <c r="G170" s="134"/>
      <c r="H170" s="135"/>
      <c r="I170" s="136">
        <f t="shared" si="11"/>
        <v>0</v>
      </c>
      <c r="J170" s="134"/>
      <c r="K170" s="135"/>
      <c r="L170" s="136">
        <f t="shared" si="12"/>
        <v>0</v>
      </c>
      <c r="M170" s="284"/>
      <c r="N170" s="285"/>
      <c r="O170" s="136">
        <f t="shared" si="13"/>
        <v>0</v>
      </c>
      <c r="P170" s="85"/>
      <c r="R170" s="53"/>
      <c r="S170" s="53"/>
      <c r="T170" s="53"/>
      <c r="U170" s="53"/>
    </row>
    <row r="171" spans="1:21" ht="36" hidden="1" x14ac:dyDescent="0.25">
      <c r="A171" s="76">
        <v>2513</v>
      </c>
      <c r="B171" s="127" t="s">
        <v>187</v>
      </c>
      <c r="C171" s="128">
        <f t="shared" si="9"/>
        <v>0</v>
      </c>
      <c r="D171" s="134"/>
      <c r="E171" s="285"/>
      <c r="F171" s="286">
        <f t="shared" si="10"/>
        <v>0</v>
      </c>
      <c r="G171" s="134"/>
      <c r="H171" s="135"/>
      <c r="I171" s="136">
        <f t="shared" si="11"/>
        <v>0</v>
      </c>
      <c r="J171" s="134"/>
      <c r="K171" s="135"/>
      <c r="L171" s="136">
        <f t="shared" si="12"/>
        <v>0</v>
      </c>
      <c r="M171" s="284"/>
      <c r="N171" s="285"/>
      <c r="O171" s="136">
        <f t="shared" si="13"/>
        <v>0</v>
      </c>
      <c r="P171" s="85"/>
      <c r="R171" s="53"/>
      <c r="S171" s="53"/>
      <c r="T171" s="53"/>
      <c r="U171" s="53"/>
    </row>
    <row r="172" spans="1:21" ht="24" hidden="1" x14ac:dyDescent="0.25">
      <c r="A172" s="76">
        <v>2515</v>
      </c>
      <c r="B172" s="127" t="s">
        <v>188</v>
      </c>
      <c r="C172" s="128">
        <f t="shared" si="9"/>
        <v>0</v>
      </c>
      <c r="D172" s="134"/>
      <c r="E172" s="285"/>
      <c r="F172" s="286">
        <f t="shared" si="10"/>
        <v>0</v>
      </c>
      <c r="G172" s="134"/>
      <c r="H172" s="135"/>
      <c r="I172" s="136">
        <f t="shared" si="11"/>
        <v>0</v>
      </c>
      <c r="J172" s="134"/>
      <c r="K172" s="135"/>
      <c r="L172" s="136">
        <f t="shared" si="12"/>
        <v>0</v>
      </c>
      <c r="M172" s="284"/>
      <c r="N172" s="285"/>
      <c r="O172" s="136">
        <f t="shared" si="13"/>
        <v>0</v>
      </c>
      <c r="P172" s="85"/>
      <c r="R172" s="53"/>
      <c r="S172" s="53"/>
      <c r="T172" s="53"/>
      <c r="U172" s="53"/>
    </row>
    <row r="173" spans="1:21" ht="24" hidden="1" x14ac:dyDescent="0.25">
      <c r="A173" s="76">
        <v>2519</v>
      </c>
      <c r="B173" s="127" t="s">
        <v>189</v>
      </c>
      <c r="C173" s="128">
        <f t="shared" si="9"/>
        <v>0</v>
      </c>
      <c r="D173" s="134"/>
      <c r="E173" s="285"/>
      <c r="F173" s="286">
        <f t="shared" si="10"/>
        <v>0</v>
      </c>
      <c r="G173" s="134"/>
      <c r="H173" s="135"/>
      <c r="I173" s="136">
        <f t="shared" si="11"/>
        <v>0</v>
      </c>
      <c r="J173" s="134"/>
      <c r="K173" s="135"/>
      <c r="L173" s="136">
        <f t="shared" si="12"/>
        <v>0</v>
      </c>
      <c r="M173" s="284"/>
      <c r="N173" s="285"/>
      <c r="O173" s="136">
        <f t="shared" si="13"/>
        <v>0</v>
      </c>
      <c r="P173" s="85"/>
      <c r="R173" s="53"/>
      <c r="S173" s="53"/>
      <c r="T173" s="53"/>
      <c r="U173" s="53"/>
    </row>
    <row r="174" spans="1:21" ht="24" hidden="1" x14ac:dyDescent="0.25">
      <c r="A174" s="276">
        <v>2520</v>
      </c>
      <c r="B174" s="127" t="s">
        <v>190</v>
      </c>
      <c r="C174" s="128">
        <f t="shared" si="9"/>
        <v>0</v>
      </c>
      <c r="D174" s="134"/>
      <c r="E174" s="285"/>
      <c r="F174" s="286">
        <f t="shared" si="10"/>
        <v>0</v>
      </c>
      <c r="G174" s="134"/>
      <c r="H174" s="135"/>
      <c r="I174" s="136">
        <f t="shared" si="11"/>
        <v>0</v>
      </c>
      <c r="J174" s="134"/>
      <c r="K174" s="135"/>
      <c r="L174" s="136">
        <f t="shared" si="12"/>
        <v>0</v>
      </c>
      <c r="M174" s="284"/>
      <c r="N174" s="285"/>
      <c r="O174" s="136">
        <f t="shared" si="13"/>
        <v>0</v>
      </c>
      <c r="P174" s="85"/>
      <c r="R174" s="53"/>
      <c r="S174" s="53"/>
      <c r="T174" s="53"/>
      <c r="U174" s="53"/>
    </row>
    <row r="175" spans="1:21" s="319" customFormat="1" ht="48" hidden="1" x14ac:dyDescent="0.25">
      <c r="A175" s="31">
        <v>2800</v>
      </c>
      <c r="B175" s="116" t="s">
        <v>191</v>
      </c>
      <c r="C175" s="117">
        <f t="shared" si="9"/>
        <v>0</v>
      </c>
      <c r="D175" s="68"/>
      <c r="E175" s="69"/>
      <c r="F175" s="70">
        <f t="shared" si="10"/>
        <v>0</v>
      </c>
      <c r="G175" s="68"/>
      <c r="H175" s="71"/>
      <c r="I175" s="72">
        <f t="shared" si="11"/>
        <v>0</v>
      </c>
      <c r="J175" s="68"/>
      <c r="K175" s="71"/>
      <c r="L175" s="72">
        <f t="shared" si="12"/>
        <v>0</v>
      </c>
      <c r="M175" s="73"/>
      <c r="N175" s="69"/>
      <c r="O175" s="72">
        <f t="shared" si="13"/>
        <v>0</v>
      </c>
      <c r="P175" s="74"/>
      <c r="R175" s="53"/>
      <c r="S175" s="53"/>
      <c r="T175" s="53"/>
      <c r="U175" s="53"/>
    </row>
    <row r="176" spans="1:21" hidden="1" x14ac:dyDescent="0.25">
      <c r="A176" s="237">
        <v>3000</v>
      </c>
      <c r="B176" s="237" t="s">
        <v>192</v>
      </c>
      <c r="C176" s="238">
        <f t="shared" si="9"/>
        <v>0</v>
      </c>
      <c r="D176" s="239">
        <f>SUM(D177,D187)</f>
        <v>0</v>
      </c>
      <c r="E176" s="245">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c r="S176" s="53"/>
      <c r="T176" s="53"/>
      <c r="U176" s="53"/>
    </row>
    <row r="177" spans="1:21" ht="24" hidden="1" x14ac:dyDescent="0.25">
      <c r="A177" s="99">
        <v>3200</v>
      </c>
      <c r="B177" s="321" t="s">
        <v>193</v>
      </c>
      <c r="C177" s="100">
        <f t="shared" si="9"/>
        <v>0</v>
      </c>
      <c r="D177" s="112">
        <f>SUM(D178,D182)</f>
        <v>0</v>
      </c>
      <c r="E177" s="293">
        <f>SUM(E178,E182)</f>
        <v>0</v>
      </c>
      <c r="F177" s="313">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c r="R177" s="53"/>
      <c r="S177" s="53"/>
      <c r="T177" s="53"/>
      <c r="U177" s="53"/>
    </row>
    <row r="178" spans="1:21" ht="36" hidden="1" x14ac:dyDescent="0.25">
      <c r="A178" s="656">
        <v>3260</v>
      </c>
      <c r="B178" s="116" t="s">
        <v>194</v>
      </c>
      <c r="C178" s="117">
        <f t="shared" si="9"/>
        <v>0</v>
      </c>
      <c r="D178" s="297">
        <f>SUM(D179:D181)</f>
        <v>0</v>
      </c>
      <c r="E178" s="301">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c r="S178" s="53"/>
      <c r="T178" s="53"/>
      <c r="U178" s="53"/>
    </row>
    <row r="179" spans="1:21" ht="24" hidden="1" x14ac:dyDescent="0.25">
      <c r="A179" s="76">
        <v>3261</v>
      </c>
      <c r="B179" s="127" t="s">
        <v>195</v>
      </c>
      <c r="C179" s="128">
        <f t="shared" si="9"/>
        <v>0</v>
      </c>
      <c r="D179" s="134"/>
      <c r="E179" s="285"/>
      <c r="F179" s="286">
        <f t="shared" si="10"/>
        <v>0</v>
      </c>
      <c r="G179" s="134"/>
      <c r="H179" s="135"/>
      <c r="I179" s="136">
        <f t="shared" si="11"/>
        <v>0</v>
      </c>
      <c r="J179" s="134"/>
      <c r="K179" s="135"/>
      <c r="L179" s="136">
        <f t="shared" si="12"/>
        <v>0</v>
      </c>
      <c r="M179" s="284"/>
      <c r="N179" s="285"/>
      <c r="O179" s="136">
        <f t="shared" si="13"/>
        <v>0</v>
      </c>
      <c r="P179" s="85"/>
      <c r="R179" s="53"/>
      <c r="S179" s="53"/>
      <c r="T179" s="53"/>
      <c r="U179" s="53"/>
    </row>
    <row r="180" spans="1:21" ht="36" hidden="1" x14ac:dyDescent="0.25">
      <c r="A180" s="76">
        <v>3262</v>
      </c>
      <c r="B180" s="127" t="s">
        <v>196</v>
      </c>
      <c r="C180" s="128">
        <f t="shared" si="9"/>
        <v>0</v>
      </c>
      <c r="D180" s="134"/>
      <c r="E180" s="285"/>
      <c r="F180" s="286">
        <f t="shared" si="10"/>
        <v>0</v>
      </c>
      <c r="G180" s="134"/>
      <c r="H180" s="135"/>
      <c r="I180" s="136">
        <f t="shared" si="11"/>
        <v>0</v>
      </c>
      <c r="J180" s="134"/>
      <c r="K180" s="135"/>
      <c r="L180" s="136">
        <f t="shared" si="12"/>
        <v>0</v>
      </c>
      <c r="M180" s="284"/>
      <c r="N180" s="285"/>
      <c r="O180" s="136">
        <f t="shared" si="13"/>
        <v>0</v>
      </c>
      <c r="P180" s="85"/>
      <c r="R180" s="53"/>
      <c r="S180" s="53"/>
      <c r="T180" s="53"/>
      <c r="U180" s="53"/>
    </row>
    <row r="181" spans="1:21" ht="24" hidden="1" x14ac:dyDescent="0.25">
      <c r="A181" s="76">
        <v>3263</v>
      </c>
      <c r="B181" s="127" t="s">
        <v>197</v>
      </c>
      <c r="C181" s="128">
        <f t="shared" si="9"/>
        <v>0</v>
      </c>
      <c r="D181" s="134"/>
      <c r="E181" s="285"/>
      <c r="F181" s="286">
        <f t="shared" si="10"/>
        <v>0</v>
      </c>
      <c r="G181" s="134"/>
      <c r="H181" s="135"/>
      <c r="I181" s="136">
        <f t="shared" si="11"/>
        <v>0</v>
      </c>
      <c r="J181" s="134"/>
      <c r="K181" s="135"/>
      <c r="L181" s="136">
        <f t="shared" si="12"/>
        <v>0</v>
      </c>
      <c r="M181" s="284"/>
      <c r="N181" s="285"/>
      <c r="O181" s="136">
        <f t="shared" si="13"/>
        <v>0</v>
      </c>
      <c r="P181" s="85"/>
      <c r="R181" s="53"/>
      <c r="S181" s="53"/>
      <c r="T181" s="53"/>
      <c r="U181" s="53"/>
    </row>
    <row r="182" spans="1:21" ht="84" hidden="1" x14ac:dyDescent="0.25">
      <c r="A182" s="656">
        <v>3290</v>
      </c>
      <c r="B182" s="116" t="s">
        <v>198</v>
      </c>
      <c r="C182" s="128">
        <f t="shared" ref="C182:C258" si="26">F182+I182+L182+O182</f>
        <v>0</v>
      </c>
      <c r="D182" s="297">
        <f>SUM(D183:D186)</f>
        <v>0</v>
      </c>
      <c r="E182" s="301">
        <f>SUM(E183:E186)</f>
        <v>0</v>
      </c>
      <c r="F182" s="263">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c r="R182" s="53"/>
      <c r="S182" s="53"/>
      <c r="T182" s="53"/>
      <c r="U182" s="53"/>
    </row>
    <row r="183" spans="1:21" ht="72" hidden="1" x14ac:dyDescent="0.25">
      <c r="A183" s="76">
        <v>3291</v>
      </c>
      <c r="B183" s="127" t="s">
        <v>199</v>
      </c>
      <c r="C183" s="128">
        <f t="shared" si="26"/>
        <v>0</v>
      </c>
      <c r="D183" s="134"/>
      <c r="E183" s="285"/>
      <c r="F183" s="286">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c r="R183" s="53"/>
      <c r="S183" s="53"/>
      <c r="T183" s="53"/>
      <c r="U183" s="53"/>
    </row>
    <row r="184" spans="1:21" ht="72" hidden="1" x14ac:dyDescent="0.25">
      <c r="A184" s="76">
        <v>3292</v>
      </c>
      <c r="B184" s="127" t="s">
        <v>200</v>
      </c>
      <c r="C184" s="128">
        <f t="shared" si="26"/>
        <v>0</v>
      </c>
      <c r="D184" s="134"/>
      <c r="E184" s="285"/>
      <c r="F184" s="286">
        <f t="shared" si="30"/>
        <v>0</v>
      </c>
      <c r="G184" s="134"/>
      <c r="H184" s="135"/>
      <c r="I184" s="136">
        <f t="shared" si="31"/>
        <v>0</v>
      </c>
      <c r="J184" s="134"/>
      <c r="K184" s="135"/>
      <c r="L184" s="136">
        <f t="shared" si="32"/>
        <v>0</v>
      </c>
      <c r="M184" s="284"/>
      <c r="N184" s="285"/>
      <c r="O184" s="136">
        <f t="shared" si="33"/>
        <v>0</v>
      </c>
      <c r="P184" s="85"/>
      <c r="R184" s="53"/>
      <c r="S184" s="53"/>
      <c r="T184" s="53"/>
      <c r="U184" s="53"/>
    </row>
    <row r="185" spans="1:21" ht="72" hidden="1" x14ac:dyDescent="0.25">
      <c r="A185" s="76">
        <v>3293</v>
      </c>
      <c r="B185" s="127" t="s">
        <v>201</v>
      </c>
      <c r="C185" s="128">
        <f t="shared" si="26"/>
        <v>0</v>
      </c>
      <c r="D185" s="134"/>
      <c r="E185" s="285"/>
      <c r="F185" s="286">
        <f t="shared" si="30"/>
        <v>0</v>
      </c>
      <c r="G185" s="134"/>
      <c r="H185" s="135"/>
      <c r="I185" s="136">
        <f t="shared" si="31"/>
        <v>0</v>
      </c>
      <c r="J185" s="134"/>
      <c r="K185" s="135"/>
      <c r="L185" s="136">
        <f t="shared" si="32"/>
        <v>0</v>
      </c>
      <c r="M185" s="284"/>
      <c r="N185" s="285"/>
      <c r="O185" s="136">
        <f t="shared" si="33"/>
        <v>0</v>
      </c>
      <c r="P185" s="85"/>
      <c r="R185" s="53"/>
      <c r="S185" s="53"/>
      <c r="T185" s="53"/>
      <c r="U185" s="53"/>
    </row>
    <row r="186" spans="1:21" ht="60" hidden="1" x14ac:dyDescent="0.25">
      <c r="A186" s="326">
        <v>3294</v>
      </c>
      <c r="B186" s="127" t="s">
        <v>202</v>
      </c>
      <c r="C186" s="327">
        <f t="shared" si="26"/>
        <v>0</v>
      </c>
      <c r="D186" s="328"/>
      <c r="E186" s="329"/>
      <c r="F186" s="330">
        <f t="shared" si="30"/>
        <v>0</v>
      </c>
      <c r="G186" s="328"/>
      <c r="H186" s="331"/>
      <c r="I186" s="324">
        <f t="shared" si="31"/>
        <v>0</v>
      </c>
      <c r="J186" s="328"/>
      <c r="K186" s="331"/>
      <c r="L186" s="324">
        <f t="shared" si="32"/>
        <v>0</v>
      </c>
      <c r="M186" s="332"/>
      <c r="N186" s="329"/>
      <c r="O186" s="324">
        <f t="shared" si="33"/>
        <v>0</v>
      </c>
      <c r="P186" s="325"/>
      <c r="R186" s="53"/>
      <c r="S186" s="53"/>
      <c r="T186" s="53"/>
      <c r="U186" s="53"/>
    </row>
    <row r="187" spans="1:21" ht="48" hidden="1" x14ac:dyDescent="0.25">
      <c r="A187" s="160">
        <v>3300</v>
      </c>
      <c r="B187" s="321" t="s">
        <v>203</v>
      </c>
      <c r="C187" s="333">
        <f t="shared" si="26"/>
        <v>0</v>
      </c>
      <c r="D187" s="334">
        <f>SUM(D188:D189)</f>
        <v>0</v>
      </c>
      <c r="E187" s="251">
        <f>SUM(E188:E189)</f>
        <v>0</v>
      </c>
      <c r="F187" s="335">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c r="R187" s="53"/>
      <c r="S187" s="53"/>
      <c r="T187" s="53"/>
      <c r="U187" s="53"/>
    </row>
    <row r="188" spans="1:21" ht="48" hidden="1" x14ac:dyDescent="0.25">
      <c r="A188" s="178">
        <v>3310</v>
      </c>
      <c r="B188" s="179" t="s">
        <v>204</v>
      </c>
      <c r="C188" s="191">
        <f t="shared" si="26"/>
        <v>0</v>
      </c>
      <c r="D188" s="287"/>
      <c r="E188" s="291"/>
      <c r="F188" s="310">
        <f t="shared" si="30"/>
        <v>0</v>
      </c>
      <c r="G188" s="287"/>
      <c r="H188" s="289"/>
      <c r="I188" s="259">
        <f t="shared" si="31"/>
        <v>0</v>
      </c>
      <c r="J188" s="287"/>
      <c r="K188" s="289"/>
      <c r="L188" s="259">
        <f t="shared" si="32"/>
        <v>0</v>
      </c>
      <c r="M188" s="290"/>
      <c r="N188" s="291"/>
      <c r="O188" s="259">
        <f t="shared" si="33"/>
        <v>0</v>
      </c>
      <c r="P188" s="189"/>
      <c r="R188" s="53"/>
      <c r="S188" s="53"/>
      <c r="T188" s="53"/>
      <c r="U188" s="53"/>
    </row>
    <row r="189" spans="1:21" ht="60" hidden="1" x14ac:dyDescent="0.25">
      <c r="A189" s="66">
        <v>3320</v>
      </c>
      <c r="B189" s="116" t="s">
        <v>205</v>
      </c>
      <c r="C189" s="117">
        <f t="shared" si="26"/>
        <v>0</v>
      </c>
      <c r="D189" s="123"/>
      <c r="E189" s="262"/>
      <c r="F189" s="263">
        <f t="shared" si="30"/>
        <v>0</v>
      </c>
      <c r="G189" s="123"/>
      <c r="H189" s="124"/>
      <c r="I189" s="125">
        <f t="shared" si="31"/>
        <v>0</v>
      </c>
      <c r="J189" s="123"/>
      <c r="K189" s="124"/>
      <c r="L189" s="125">
        <f t="shared" si="32"/>
        <v>0</v>
      </c>
      <c r="M189" s="264"/>
      <c r="N189" s="262"/>
      <c r="O189" s="125">
        <f t="shared" si="33"/>
        <v>0</v>
      </c>
      <c r="P189" s="74"/>
      <c r="R189" s="53"/>
      <c r="S189" s="53"/>
      <c r="T189" s="53"/>
      <c r="U189" s="53"/>
    </row>
    <row r="190" spans="1:21" hidden="1" x14ac:dyDescent="0.25">
      <c r="A190" s="337">
        <v>4000</v>
      </c>
      <c r="B190" s="237" t="s">
        <v>206</v>
      </c>
      <c r="C190" s="238">
        <f t="shared" si="26"/>
        <v>0</v>
      </c>
      <c r="D190" s="239">
        <f>SUM(D191,D194)</f>
        <v>0</v>
      </c>
      <c r="E190" s="245">
        <f>SUM(E191,E194)</f>
        <v>0</v>
      </c>
      <c r="F190" s="320">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c r="R190" s="53"/>
      <c r="S190" s="53"/>
      <c r="T190" s="53"/>
      <c r="U190" s="53"/>
    </row>
    <row r="191" spans="1:21" ht="24" hidden="1" x14ac:dyDescent="0.25">
      <c r="A191" s="338">
        <v>4200</v>
      </c>
      <c r="B191" s="247" t="s">
        <v>207</v>
      </c>
      <c r="C191" s="100">
        <f t="shared" si="26"/>
        <v>0</v>
      </c>
      <c r="D191" s="112">
        <f>SUM(D192,D193)</f>
        <v>0</v>
      </c>
      <c r="E191" s="293">
        <f>SUM(E192,E193)</f>
        <v>0</v>
      </c>
      <c r="F191" s="313">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c r="R191" s="53"/>
      <c r="S191" s="53"/>
      <c r="T191" s="53"/>
      <c r="U191" s="53"/>
    </row>
    <row r="192" spans="1:21" ht="36" hidden="1" x14ac:dyDescent="0.25">
      <c r="A192" s="656">
        <v>4240</v>
      </c>
      <c r="B192" s="116" t="s">
        <v>208</v>
      </c>
      <c r="C192" s="117">
        <f t="shared" si="26"/>
        <v>0</v>
      </c>
      <c r="D192" s="123"/>
      <c r="E192" s="262"/>
      <c r="F192" s="263">
        <f t="shared" si="30"/>
        <v>0</v>
      </c>
      <c r="G192" s="123"/>
      <c r="H192" s="124"/>
      <c r="I192" s="125">
        <f t="shared" si="31"/>
        <v>0</v>
      </c>
      <c r="J192" s="123"/>
      <c r="K192" s="124"/>
      <c r="L192" s="125">
        <f t="shared" si="32"/>
        <v>0</v>
      </c>
      <c r="M192" s="264"/>
      <c r="N192" s="262"/>
      <c r="O192" s="125">
        <f t="shared" si="33"/>
        <v>0</v>
      </c>
      <c r="P192" s="74"/>
      <c r="R192" s="53"/>
      <c r="S192" s="53"/>
      <c r="T192" s="53"/>
      <c r="U192" s="53"/>
    </row>
    <row r="193" spans="1:21" ht="24" hidden="1" x14ac:dyDescent="0.25">
      <c r="A193" s="276">
        <v>4250</v>
      </c>
      <c r="B193" s="127" t="s">
        <v>209</v>
      </c>
      <c r="C193" s="128">
        <f t="shared" si="26"/>
        <v>0</v>
      </c>
      <c r="D193" s="134"/>
      <c r="E193" s="285"/>
      <c r="F193" s="286">
        <f t="shared" si="30"/>
        <v>0</v>
      </c>
      <c r="G193" s="134"/>
      <c r="H193" s="135"/>
      <c r="I193" s="136">
        <f t="shared" si="31"/>
        <v>0</v>
      </c>
      <c r="J193" s="134"/>
      <c r="K193" s="135"/>
      <c r="L193" s="136">
        <f t="shared" si="32"/>
        <v>0</v>
      </c>
      <c r="M193" s="284"/>
      <c r="N193" s="285"/>
      <c r="O193" s="136">
        <f t="shared" si="33"/>
        <v>0</v>
      </c>
      <c r="P193" s="85"/>
      <c r="R193" s="53"/>
      <c r="S193" s="53"/>
      <c r="T193" s="53"/>
      <c r="U193" s="53"/>
    </row>
    <row r="194" spans="1:21" hidden="1" x14ac:dyDescent="0.25">
      <c r="A194" s="99">
        <v>4300</v>
      </c>
      <c r="B194" s="247" t="s">
        <v>210</v>
      </c>
      <c r="C194" s="100">
        <f t="shared" si="26"/>
        <v>0</v>
      </c>
      <c r="D194" s="112">
        <f>SUM(D195)</f>
        <v>0</v>
      </c>
      <c r="E194" s="293">
        <f>SUM(E195)</f>
        <v>0</v>
      </c>
      <c r="F194" s="313">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c r="R194" s="53"/>
      <c r="S194" s="53"/>
      <c r="T194" s="53"/>
      <c r="U194" s="53"/>
    </row>
    <row r="195" spans="1:21" ht="24" hidden="1" x14ac:dyDescent="0.25">
      <c r="A195" s="656">
        <v>4310</v>
      </c>
      <c r="B195" s="116" t="s">
        <v>211</v>
      </c>
      <c r="C195" s="117">
        <f t="shared" si="26"/>
        <v>0</v>
      </c>
      <c r="D195" s="297">
        <f>SUM(D196:D196)</f>
        <v>0</v>
      </c>
      <c r="E195" s="301">
        <f>SUM(E196:E196)</f>
        <v>0</v>
      </c>
      <c r="F195" s="263">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c r="R195" s="53"/>
      <c r="S195" s="53"/>
      <c r="T195" s="53"/>
      <c r="U195" s="53"/>
    </row>
    <row r="196" spans="1:21" ht="36" hidden="1" x14ac:dyDescent="0.25">
      <c r="A196" s="76">
        <v>4311</v>
      </c>
      <c r="B196" s="127" t="s">
        <v>212</v>
      </c>
      <c r="C196" s="128">
        <f t="shared" si="26"/>
        <v>0</v>
      </c>
      <c r="D196" s="134"/>
      <c r="E196" s="285"/>
      <c r="F196" s="286">
        <f t="shared" si="30"/>
        <v>0</v>
      </c>
      <c r="G196" s="134"/>
      <c r="H196" s="135"/>
      <c r="I196" s="136">
        <f t="shared" si="31"/>
        <v>0</v>
      </c>
      <c r="J196" s="134"/>
      <c r="K196" s="135"/>
      <c r="L196" s="136">
        <f t="shared" si="32"/>
        <v>0</v>
      </c>
      <c r="M196" s="284"/>
      <c r="N196" s="285"/>
      <c r="O196" s="136">
        <f t="shared" si="33"/>
        <v>0</v>
      </c>
      <c r="P196" s="85"/>
      <c r="R196" s="53"/>
      <c r="S196" s="53"/>
      <c r="T196" s="53"/>
      <c r="U196" s="53"/>
    </row>
    <row r="197" spans="1:21" s="41" customFormat="1" ht="24" x14ac:dyDescent="0.25">
      <c r="A197" s="339"/>
      <c r="B197" s="31" t="s">
        <v>213</v>
      </c>
      <c r="C197" s="229">
        <f t="shared" si="26"/>
        <v>3223</v>
      </c>
      <c r="D197" s="230">
        <f>SUM(D198,D233,D271)</f>
        <v>2605</v>
      </c>
      <c r="E197" s="231">
        <f>SUM(E198,E233,E271)</f>
        <v>0</v>
      </c>
      <c r="F197" s="232">
        <f t="shared" si="30"/>
        <v>2605</v>
      </c>
      <c r="G197" s="230">
        <f>SUM(G198,G233,G271)</f>
        <v>420</v>
      </c>
      <c r="H197" s="233">
        <f>SUM(H198,H233,H271)</f>
        <v>0</v>
      </c>
      <c r="I197" s="234">
        <f t="shared" si="31"/>
        <v>420</v>
      </c>
      <c r="J197" s="230">
        <f>SUM(J198,J233,J271)</f>
        <v>92</v>
      </c>
      <c r="K197" s="233">
        <f>SUM(K198,K233,K271)</f>
        <v>0</v>
      </c>
      <c r="L197" s="234">
        <f t="shared" si="32"/>
        <v>92</v>
      </c>
      <c r="M197" s="340">
        <f>SUM(M198,M233,M271)</f>
        <v>106</v>
      </c>
      <c r="N197" s="341">
        <f>SUM(N198,N233,N271)</f>
        <v>0</v>
      </c>
      <c r="O197" s="342">
        <f t="shared" si="33"/>
        <v>106</v>
      </c>
      <c r="P197" s="343"/>
      <c r="R197" s="53"/>
      <c r="S197" s="53"/>
      <c r="T197" s="53"/>
      <c r="U197" s="53"/>
    </row>
    <row r="198" spans="1:21" x14ac:dyDescent="0.25">
      <c r="A198" s="237">
        <v>5000</v>
      </c>
      <c r="B198" s="237" t="s">
        <v>214</v>
      </c>
      <c r="C198" s="238">
        <f>F198+I198+L198+O198</f>
        <v>3131</v>
      </c>
      <c r="D198" s="239">
        <f>D199+D207</f>
        <v>2605</v>
      </c>
      <c r="E198" s="240">
        <f>E199+E207</f>
        <v>0</v>
      </c>
      <c r="F198" s="241">
        <f t="shared" si="30"/>
        <v>2605</v>
      </c>
      <c r="G198" s="239">
        <f>G199+G207</f>
        <v>420</v>
      </c>
      <c r="H198" s="242">
        <f>H199+H207</f>
        <v>0</v>
      </c>
      <c r="I198" s="243">
        <f t="shared" si="31"/>
        <v>420</v>
      </c>
      <c r="J198" s="239">
        <f>J199+J207</f>
        <v>0</v>
      </c>
      <c r="K198" s="242">
        <f>K199+K207</f>
        <v>0</v>
      </c>
      <c r="L198" s="243">
        <f t="shared" si="32"/>
        <v>0</v>
      </c>
      <c r="M198" s="244">
        <f>M199+M207</f>
        <v>106</v>
      </c>
      <c r="N198" s="245">
        <f>N199+N207</f>
        <v>0</v>
      </c>
      <c r="O198" s="243">
        <f t="shared" si="33"/>
        <v>106</v>
      </c>
      <c r="P198" s="246"/>
      <c r="R198" s="53"/>
      <c r="S198" s="53"/>
      <c r="T198" s="53"/>
      <c r="U198" s="53"/>
    </row>
    <row r="199" spans="1:21" x14ac:dyDescent="0.25">
      <c r="A199" s="99">
        <v>5100</v>
      </c>
      <c r="B199" s="247" t="s">
        <v>215</v>
      </c>
      <c r="C199" s="100">
        <f t="shared" si="26"/>
        <v>85</v>
      </c>
      <c r="D199" s="112">
        <f>D200+D201+D204+D205+D206</f>
        <v>85</v>
      </c>
      <c r="E199" s="248">
        <f>E200+E201+E204+E205+E206</f>
        <v>0</v>
      </c>
      <c r="F199" s="249">
        <f t="shared" si="30"/>
        <v>85</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c r="R199" s="53"/>
      <c r="S199" s="53"/>
      <c r="T199" s="53"/>
      <c r="U199" s="53"/>
    </row>
    <row r="200" spans="1:21" hidden="1" x14ac:dyDescent="0.25">
      <c r="A200" s="656">
        <v>5110</v>
      </c>
      <c r="B200" s="116" t="s">
        <v>216</v>
      </c>
      <c r="C200" s="117">
        <f t="shared" si="26"/>
        <v>0</v>
      </c>
      <c r="D200" s="123"/>
      <c r="E200" s="262"/>
      <c r="F200" s="263">
        <f t="shared" si="30"/>
        <v>0</v>
      </c>
      <c r="G200" s="123"/>
      <c r="H200" s="124"/>
      <c r="I200" s="125">
        <f t="shared" si="31"/>
        <v>0</v>
      </c>
      <c r="J200" s="123"/>
      <c r="K200" s="124"/>
      <c r="L200" s="125">
        <f t="shared" si="32"/>
        <v>0</v>
      </c>
      <c r="M200" s="264"/>
      <c r="N200" s="262"/>
      <c r="O200" s="125">
        <f t="shared" si="33"/>
        <v>0</v>
      </c>
      <c r="P200" s="74"/>
      <c r="R200" s="53"/>
      <c r="S200" s="53"/>
      <c r="T200" s="53"/>
      <c r="U200" s="53"/>
    </row>
    <row r="201" spans="1:21" ht="24" x14ac:dyDescent="0.25">
      <c r="A201" s="276">
        <v>5120</v>
      </c>
      <c r="B201" s="127" t="s">
        <v>217</v>
      </c>
      <c r="C201" s="128">
        <f t="shared" si="26"/>
        <v>85</v>
      </c>
      <c r="D201" s="277">
        <f>D202+D203</f>
        <v>85</v>
      </c>
      <c r="E201" s="278">
        <f>E202+E203</f>
        <v>0</v>
      </c>
      <c r="F201" s="279">
        <f t="shared" si="30"/>
        <v>85</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c r="R201" s="53"/>
      <c r="S201" s="53"/>
      <c r="T201" s="53"/>
      <c r="U201" s="53"/>
    </row>
    <row r="202" spans="1:21" x14ac:dyDescent="0.25">
      <c r="A202" s="76">
        <v>5121</v>
      </c>
      <c r="B202" s="127" t="s">
        <v>218</v>
      </c>
      <c r="C202" s="128">
        <f t="shared" si="26"/>
        <v>85</v>
      </c>
      <c r="D202" s="134">
        <v>85</v>
      </c>
      <c r="E202" s="283"/>
      <c r="F202" s="279">
        <f t="shared" si="30"/>
        <v>85</v>
      </c>
      <c r="G202" s="134"/>
      <c r="H202" s="135"/>
      <c r="I202" s="136">
        <f t="shared" si="31"/>
        <v>0</v>
      </c>
      <c r="J202" s="134"/>
      <c r="K202" s="135"/>
      <c r="L202" s="136">
        <f t="shared" si="32"/>
        <v>0</v>
      </c>
      <c r="M202" s="284"/>
      <c r="N202" s="285"/>
      <c r="O202" s="136">
        <f t="shared" si="33"/>
        <v>0</v>
      </c>
      <c r="P202" s="85"/>
      <c r="R202" s="53"/>
      <c r="S202" s="53"/>
      <c r="T202" s="53"/>
      <c r="U202" s="53"/>
    </row>
    <row r="203" spans="1:21" ht="24" hidden="1" x14ac:dyDescent="0.25">
      <c r="A203" s="76">
        <v>5129</v>
      </c>
      <c r="B203" s="127" t="s">
        <v>219</v>
      </c>
      <c r="C203" s="128">
        <f t="shared" si="26"/>
        <v>0</v>
      </c>
      <c r="D203" s="134"/>
      <c r="E203" s="285"/>
      <c r="F203" s="286">
        <f t="shared" si="30"/>
        <v>0</v>
      </c>
      <c r="G203" s="134"/>
      <c r="H203" s="135"/>
      <c r="I203" s="136">
        <f t="shared" si="31"/>
        <v>0</v>
      </c>
      <c r="J203" s="134"/>
      <c r="K203" s="135"/>
      <c r="L203" s="136">
        <f t="shared" si="32"/>
        <v>0</v>
      </c>
      <c r="M203" s="284"/>
      <c r="N203" s="285"/>
      <c r="O203" s="136">
        <f t="shared" si="33"/>
        <v>0</v>
      </c>
      <c r="P203" s="85"/>
      <c r="R203" s="53"/>
      <c r="S203" s="53"/>
      <c r="T203" s="53"/>
      <c r="U203" s="53"/>
    </row>
    <row r="204" spans="1:21" hidden="1" x14ac:dyDescent="0.25">
      <c r="A204" s="276">
        <v>5130</v>
      </c>
      <c r="B204" s="127" t="s">
        <v>220</v>
      </c>
      <c r="C204" s="128">
        <f t="shared" si="26"/>
        <v>0</v>
      </c>
      <c r="D204" s="134"/>
      <c r="E204" s="285"/>
      <c r="F204" s="286">
        <f t="shared" si="30"/>
        <v>0</v>
      </c>
      <c r="G204" s="134"/>
      <c r="H204" s="135"/>
      <c r="I204" s="136">
        <f t="shared" si="31"/>
        <v>0</v>
      </c>
      <c r="J204" s="134"/>
      <c r="K204" s="135"/>
      <c r="L204" s="136">
        <f t="shared" si="32"/>
        <v>0</v>
      </c>
      <c r="M204" s="284"/>
      <c r="N204" s="285"/>
      <c r="O204" s="136">
        <f t="shared" si="33"/>
        <v>0</v>
      </c>
      <c r="P204" s="85"/>
      <c r="R204" s="53"/>
      <c r="S204" s="53"/>
      <c r="T204" s="53"/>
      <c r="U204" s="53"/>
    </row>
    <row r="205" spans="1:21" hidden="1" x14ac:dyDescent="0.25">
      <c r="A205" s="276">
        <v>5140</v>
      </c>
      <c r="B205" s="127" t="s">
        <v>221</v>
      </c>
      <c r="C205" s="128">
        <f t="shared" si="26"/>
        <v>0</v>
      </c>
      <c r="D205" s="134"/>
      <c r="E205" s="285"/>
      <c r="F205" s="286">
        <f t="shared" si="30"/>
        <v>0</v>
      </c>
      <c r="G205" s="134"/>
      <c r="H205" s="135"/>
      <c r="I205" s="136">
        <f t="shared" si="31"/>
        <v>0</v>
      </c>
      <c r="J205" s="134"/>
      <c r="K205" s="135"/>
      <c r="L205" s="136">
        <f t="shared" si="32"/>
        <v>0</v>
      </c>
      <c r="M205" s="284"/>
      <c r="N205" s="285"/>
      <c r="O205" s="136">
        <f t="shared" si="33"/>
        <v>0</v>
      </c>
      <c r="P205" s="85"/>
      <c r="R205" s="53"/>
      <c r="S205" s="53"/>
      <c r="T205" s="53"/>
      <c r="U205" s="53"/>
    </row>
    <row r="206" spans="1:21" ht="24" hidden="1" x14ac:dyDescent="0.25">
      <c r="A206" s="276">
        <v>5170</v>
      </c>
      <c r="B206" s="127" t="s">
        <v>222</v>
      </c>
      <c r="C206" s="128">
        <f t="shared" si="26"/>
        <v>0</v>
      </c>
      <c r="D206" s="134"/>
      <c r="E206" s="285"/>
      <c r="F206" s="286">
        <f t="shared" si="30"/>
        <v>0</v>
      </c>
      <c r="G206" s="134"/>
      <c r="H206" s="135"/>
      <c r="I206" s="136">
        <f t="shared" si="31"/>
        <v>0</v>
      </c>
      <c r="J206" s="134"/>
      <c r="K206" s="135"/>
      <c r="L206" s="136">
        <f t="shared" si="32"/>
        <v>0</v>
      </c>
      <c r="M206" s="284"/>
      <c r="N206" s="285"/>
      <c r="O206" s="136">
        <f t="shared" si="33"/>
        <v>0</v>
      </c>
      <c r="P206" s="85"/>
      <c r="R206" s="53"/>
      <c r="S206" s="53"/>
      <c r="T206" s="53"/>
      <c r="U206" s="53"/>
    </row>
    <row r="207" spans="1:21" x14ac:dyDescent="0.25">
      <c r="A207" s="99">
        <v>5200</v>
      </c>
      <c r="B207" s="247" t="s">
        <v>223</v>
      </c>
      <c r="C207" s="100">
        <f t="shared" si="26"/>
        <v>3046</v>
      </c>
      <c r="D207" s="112">
        <f>D208+D218+D219+D228+D229+D230+D232</f>
        <v>2520</v>
      </c>
      <c r="E207" s="248">
        <f>E208+E218+E219+E228+E229+E230+E232</f>
        <v>0</v>
      </c>
      <c r="F207" s="249">
        <f t="shared" si="30"/>
        <v>2520</v>
      </c>
      <c r="G207" s="112">
        <f>G208+G218+G219+G228+G229+G230+G232</f>
        <v>420</v>
      </c>
      <c r="H207" s="113">
        <f>H208+H218+H219+H228+H229+H230+H232</f>
        <v>0</v>
      </c>
      <c r="I207" s="114">
        <f t="shared" si="31"/>
        <v>420</v>
      </c>
      <c r="J207" s="112">
        <f>J208+J218+J219+J228+J229+J230+J232</f>
        <v>0</v>
      </c>
      <c r="K207" s="113">
        <f>K208+K218+K219+K228+K229+K230+K232</f>
        <v>0</v>
      </c>
      <c r="L207" s="114">
        <f t="shared" si="32"/>
        <v>0</v>
      </c>
      <c r="M207" s="292">
        <f>M208+M218+M219+M228+M229+M230+M232</f>
        <v>106</v>
      </c>
      <c r="N207" s="293">
        <f>N208+N218+N219+N228+N229+N230+N232</f>
        <v>0</v>
      </c>
      <c r="O207" s="114">
        <f t="shared" si="33"/>
        <v>106</v>
      </c>
      <c r="P207" s="109"/>
      <c r="R207" s="53"/>
      <c r="S207" s="53"/>
      <c r="T207" s="53"/>
      <c r="U207" s="53"/>
    </row>
    <row r="208" spans="1:21" hidden="1" x14ac:dyDescent="0.25">
      <c r="A208" s="254">
        <v>5210</v>
      </c>
      <c r="B208" s="179" t="s">
        <v>224</v>
      </c>
      <c r="C208" s="191">
        <f t="shared" si="26"/>
        <v>0</v>
      </c>
      <c r="D208" s="255">
        <f>SUM(D209:D217)</f>
        <v>0</v>
      </c>
      <c r="E208" s="261">
        <f>SUM(E209:E217)</f>
        <v>0</v>
      </c>
      <c r="F208" s="310">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c r="R208" s="53"/>
      <c r="S208" s="53"/>
      <c r="T208" s="53"/>
      <c r="U208" s="53"/>
    </row>
    <row r="209" spans="1:21" hidden="1" x14ac:dyDescent="0.25">
      <c r="A209" s="66">
        <v>5211</v>
      </c>
      <c r="B209" s="116" t="s">
        <v>225</v>
      </c>
      <c r="C209" s="279">
        <f t="shared" si="26"/>
        <v>0</v>
      </c>
      <c r="D209" s="123"/>
      <c r="E209" s="262"/>
      <c r="F209" s="263">
        <f t="shared" si="30"/>
        <v>0</v>
      </c>
      <c r="G209" s="123"/>
      <c r="H209" s="124"/>
      <c r="I209" s="125">
        <f t="shared" si="31"/>
        <v>0</v>
      </c>
      <c r="J209" s="123"/>
      <c r="K209" s="124"/>
      <c r="L209" s="125">
        <f t="shared" si="32"/>
        <v>0</v>
      </c>
      <c r="M209" s="264"/>
      <c r="N209" s="262"/>
      <c r="O209" s="125">
        <f t="shared" si="33"/>
        <v>0</v>
      </c>
      <c r="P209" s="74"/>
      <c r="R209" s="53"/>
      <c r="S209" s="53"/>
      <c r="T209" s="53"/>
      <c r="U209" s="53"/>
    </row>
    <row r="210" spans="1:21" hidden="1" x14ac:dyDescent="0.25">
      <c r="A210" s="76">
        <v>5212</v>
      </c>
      <c r="B210" s="127" t="s">
        <v>226</v>
      </c>
      <c r="C210" s="279">
        <f t="shared" si="26"/>
        <v>0</v>
      </c>
      <c r="D210" s="134"/>
      <c r="E210" s="285"/>
      <c r="F210" s="286">
        <f t="shared" si="30"/>
        <v>0</v>
      </c>
      <c r="G210" s="134"/>
      <c r="H210" s="135"/>
      <c r="I210" s="136">
        <f t="shared" si="31"/>
        <v>0</v>
      </c>
      <c r="J210" s="134"/>
      <c r="K210" s="135"/>
      <c r="L210" s="136">
        <f t="shared" si="32"/>
        <v>0</v>
      </c>
      <c r="M210" s="284"/>
      <c r="N210" s="285"/>
      <c r="O210" s="136">
        <f t="shared" si="33"/>
        <v>0</v>
      </c>
      <c r="P210" s="85"/>
      <c r="R210" s="53"/>
      <c r="S210" s="53"/>
      <c r="T210" s="53"/>
      <c r="U210" s="53"/>
    </row>
    <row r="211" spans="1:21" hidden="1" x14ac:dyDescent="0.25">
      <c r="A211" s="76">
        <v>5213</v>
      </c>
      <c r="B211" s="127" t="s">
        <v>227</v>
      </c>
      <c r="C211" s="279">
        <f t="shared" si="26"/>
        <v>0</v>
      </c>
      <c r="D211" s="134"/>
      <c r="E211" s="285"/>
      <c r="F211" s="286">
        <f t="shared" si="30"/>
        <v>0</v>
      </c>
      <c r="G211" s="134"/>
      <c r="H211" s="135"/>
      <c r="I211" s="136">
        <f t="shared" si="31"/>
        <v>0</v>
      </c>
      <c r="J211" s="134"/>
      <c r="K211" s="135"/>
      <c r="L211" s="136">
        <f t="shared" si="32"/>
        <v>0</v>
      </c>
      <c r="M211" s="284"/>
      <c r="N211" s="285"/>
      <c r="O211" s="136">
        <f t="shared" si="33"/>
        <v>0</v>
      </c>
      <c r="P211" s="85"/>
      <c r="R211" s="53"/>
      <c r="S211" s="53"/>
      <c r="T211" s="53"/>
      <c r="U211" s="53"/>
    </row>
    <row r="212" spans="1:21" hidden="1" x14ac:dyDescent="0.25">
      <c r="A212" s="76">
        <v>5214</v>
      </c>
      <c r="B212" s="127" t="s">
        <v>228</v>
      </c>
      <c r="C212" s="279">
        <f t="shared" si="26"/>
        <v>0</v>
      </c>
      <c r="D212" s="134"/>
      <c r="E212" s="285"/>
      <c r="F212" s="286">
        <f t="shared" si="30"/>
        <v>0</v>
      </c>
      <c r="G212" s="134"/>
      <c r="H212" s="135"/>
      <c r="I212" s="136">
        <f t="shared" si="31"/>
        <v>0</v>
      </c>
      <c r="J212" s="134"/>
      <c r="K212" s="135"/>
      <c r="L212" s="136">
        <f t="shared" si="32"/>
        <v>0</v>
      </c>
      <c r="M212" s="284"/>
      <c r="N212" s="285"/>
      <c r="O212" s="136">
        <f t="shared" si="33"/>
        <v>0</v>
      </c>
      <c r="P212" s="85"/>
      <c r="R212" s="53"/>
      <c r="S212" s="53"/>
      <c r="T212" s="53"/>
      <c r="U212" s="53"/>
    </row>
    <row r="213" spans="1:21" hidden="1" x14ac:dyDescent="0.25">
      <c r="A213" s="76">
        <v>5215</v>
      </c>
      <c r="B213" s="127" t="s">
        <v>229</v>
      </c>
      <c r="C213" s="279">
        <f t="shared" si="26"/>
        <v>0</v>
      </c>
      <c r="D213" s="134"/>
      <c r="E213" s="285"/>
      <c r="F213" s="286">
        <f t="shared" si="30"/>
        <v>0</v>
      </c>
      <c r="G213" s="134"/>
      <c r="H213" s="135"/>
      <c r="I213" s="136">
        <f t="shared" si="31"/>
        <v>0</v>
      </c>
      <c r="J213" s="134"/>
      <c r="K213" s="135"/>
      <c r="L213" s="136">
        <f t="shared" si="32"/>
        <v>0</v>
      </c>
      <c r="M213" s="284"/>
      <c r="N213" s="285"/>
      <c r="O213" s="136">
        <f t="shared" si="33"/>
        <v>0</v>
      </c>
      <c r="P213" s="85"/>
      <c r="R213" s="53"/>
      <c r="S213" s="53"/>
      <c r="T213" s="53"/>
      <c r="U213" s="53"/>
    </row>
    <row r="214" spans="1:21" ht="24" hidden="1" x14ac:dyDescent="0.25">
      <c r="A214" s="76">
        <v>5216</v>
      </c>
      <c r="B214" s="127" t="s">
        <v>230</v>
      </c>
      <c r="C214" s="279">
        <f t="shared" si="26"/>
        <v>0</v>
      </c>
      <c r="D214" s="134"/>
      <c r="E214" s="285"/>
      <c r="F214" s="286">
        <f t="shared" si="30"/>
        <v>0</v>
      </c>
      <c r="G214" s="134"/>
      <c r="H214" s="135"/>
      <c r="I214" s="136">
        <f t="shared" si="31"/>
        <v>0</v>
      </c>
      <c r="J214" s="134"/>
      <c r="K214" s="135"/>
      <c r="L214" s="136">
        <f t="shared" si="32"/>
        <v>0</v>
      </c>
      <c r="M214" s="284"/>
      <c r="N214" s="285"/>
      <c r="O214" s="136">
        <f t="shared" si="33"/>
        <v>0</v>
      </c>
      <c r="P214" s="85"/>
      <c r="R214" s="53"/>
      <c r="S214" s="53"/>
      <c r="T214" s="53"/>
      <c r="U214" s="53"/>
    </row>
    <row r="215" spans="1:21" hidden="1" x14ac:dyDescent="0.25">
      <c r="A215" s="76">
        <v>5217</v>
      </c>
      <c r="B215" s="127" t="s">
        <v>231</v>
      </c>
      <c r="C215" s="279">
        <f t="shared" si="26"/>
        <v>0</v>
      </c>
      <c r="D215" s="134"/>
      <c r="E215" s="285"/>
      <c r="F215" s="286">
        <f t="shared" si="30"/>
        <v>0</v>
      </c>
      <c r="G215" s="134"/>
      <c r="H215" s="135"/>
      <c r="I215" s="136">
        <f t="shared" si="31"/>
        <v>0</v>
      </c>
      <c r="J215" s="134"/>
      <c r="K215" s="135"/>
      <c r="L215" s="136">
        <f t="shared" si="32"/>
        <v>0</v>
      </c>
      <c r="M215" s="284"/>
      <c r="N215" s="285"/>
      <c r="O215" s="136">
        <f t="shared" si="33"/>
        <v>0</v>
      </c>
      <c r="P215" s="85"/>
      <c r="R215" s="53"/>
      <c r="S215" s="53"/>
      <c r="T215" s="53"/>
      <c r="U215" s="53"/>
    </row>
    <row r="216" spans="1:21" hidden="1" x14ac:dyDescent="0.25">
      <c r="A216" s="76">
        <v>5218</v>
      </c>
      <c r="B216" s="127" t="s">
        <v>232</v>
      </c>
      <c r="C216" s="279">
        <f t="shared" si="26"/>
        <v>0</v>
      </c>
      <c r="D216" s="134"/>
      <c r="E216" s="285"/>
      <c r="F216" s="286">
        <f t="shared" si="30"/>
        <v>0</v>
      </c>
      <c r="G216" s="134"/>
      <c r="H216" s="135"/>
      <c r="I216" s="136">
        <f t="shared" si="31"/>
        <v>0</v>
      </c>
      <c r="J216" s="134"/>
      <c r="K216" s="135"/>
      <c r="L216" s="136">
        <f t="shared" si="32"/>
        <v>0</v>
      </c>
      <c r="M216" s="284"/>
      <c r="N216" s="285"/>
      <c r="O216" s="136">
        <f t="shared" si="33"/>
        <v>0</v>
      </c>
      <c r="P216" s="85"/>
      <c r="R216" s="53"/>
      <c r="S216" s="53"/>
      <c r="T216" s="53"/>
      <c r="U216" s="53"/>
    </row>
    <row r="217" spans="1:21" hidden="1" x14ac:dyDescent="0.25">
      <c r="A217" s="76">
        <v>5219</v>
      </c>
      <c r="B217" s="127" t="s">
        <v>233</v>
      </c>
      <c r="C217" s="279">
        <f t="shared" si="26"/>
        <v>0</v>
      </c>
      <c r="D217" s="134"/>
      <c r="E217" s="285"/>
      <c r="F217" s="286">
        <f t="shared" si="30"/>
        <v>0</v>
      </c>
      <c r="G217" s="134"/>
      <c r="H217" s="135"/>
      <c r="I217" s="136">
        <f t="shared" si="31"/>
        <v>0</v>
      </c>
      <c r="J217" s="134"/>
      <c r="K217" s="135"/>
      <c r="L217" s="136">
        <f t="shared" si="32"/>
        <v>0</v>
      </c>
      <c r="M217" s="284"/>
      <c r="N217" s="285"/>
      <c r="O217" s="136">
        <f t="shared" si="33"/>
        <v>0</v>
      </c>
      <c r="P217" s="85"/>
      <c r="R217" s="53"/>
      <c r="S217" s="53"/>
      <c r="T217" s="53"/>
      <c r="U217" s="53"/>
    </row>
    <row r="218" spans="1:21" hidden="1" x14ac:dyDescent="0.25">
      <c r="A218" s="276">
        <v>5220</v>
      </c>
      <c r="B218" s="127" t="s">
        <v>234</v>
      </c>
      <c r="C218" s="279">
        <f t="shared" si="26"/>
        <v>0</v>
      </c>
      <c r="D218" s="134"/>
      <c r="E218" s="285"/>
      <c r="F218" s="286">
        <f t="shared" si="30"/>
        <v>0</v>
      </c>
      <c r="G218" s="134"/>
      <c r="H218" s="135"/>
      <c r="I218" s="136">
        <f t="shared" si="31"/>
        <v>0</v>
      </c>
      <c r="J218" s="134"/>
      <c r="K218" s="135"/>
      <c r="L218" s="136">
        <f t="shared" si="32"/>
        <v>0</v>
      </c>
      <c r="M218" s="284"/>
      <c r="N218" s="285"/>
      <c r="O218" s="136">
        <f t="shared" si="33"/>
        <v>0</v>
      </c>
      <c r="P218" s="85"/>
      <c r="R218" s="53"/>
      <c r="S218" s="53"/>
      <c r="T218" s="53"/>
      <c r="U218" s="53"/>
    </row>
    <row r="219" spans="1:21" x14ac:dyDescent="0.25">
      <c r="A219" s="276">
        <v>5230</v>
      </c>
      <c r="B219" s="127" t="s">
        <v>235</v>
      </c>
      <c r="C219" s="279">
        <f t="shared" si="26"/>
        <v>3046</v>
      </c>
      <c r="D219" s="277">
        <f>SUM(D220:D227)</f>
        <v>2520</v>
      </c>
      <c r="E219" s="278">
        <f>SUM(E220:E227)</f>
        <v>0</v>
      </c>
      <c r="F219" s="279">
        <f t="shared" si="30"/>
        <v>2520</v>
      </c>
      <c r="G219" s="277">
        <f>SUM(G220:G227)</f>
        <v>420</v>
      </c>
      <c r="H219" s="280">
        <f>SUM(H220:H227)</f>
        <v>0</v>
      </c>
      <c r="I219" s="136">
        <f t="shared" si="31"/>
        <v>420</v>
      </c>
      <c r="J219" s="277">
        <f>SUM(J220:J227)</f>
        <v>0</v>
      </c>
      <c r="K219" s="280">
        <f>SUM(K220:K227)</f>
        <v>0</v>
      </c>
      <c r="L219" s="136">
        <f t="shared" si="32"/>
        <v>0</v>
      </c>
      <c r="M219" s="281">
        <f>SUM(M220:M227)</f>
        <v>106</v>
      </c>
      <c r="N219" s="282">
        <f>SUM(N220:N227)</f>
        <v>0</v>
      </c>
      <c r="O219" s="136">
        <f t="shared" si="33"/>
        <v>106</v>
      </c>
      <c r="P219" s="85"/>
      <c r="R219" s="53"/>
      <c r="S219" s="53"/>
      <c r="T219" s="53"/>
      <c r="U219" s="53"/>
    </row>
    <row r="220" spans="1:21" hidden="1" x14ac:dyDescent="0.25">
      <c r="A220" s="76">
        <v>5231</v>
      </c>
      <c r="B220" s="127" t="s">
        <v>236</v>
      </c>
      <c r="C220" s="279">
        <f t="shared" si="26"/>
        <v>0</v>
      </c>
      <c r="D220" s="134"/>
      <c r="E220" s="285"/>
      <c r="F220" s="286">
        <f t="shared" si="30"/>
        <v>0</v>
      </c>
      <c r="G220" s="134"/>
      <c r="H220" s="135"/>
      <c r="I220" s="136">
        <f t="shared" si="31"/>
        <v>0</v>
      </c>
      <c r="J220" s="134"/>
      <c r="K220" s="135"/>
      <c r="L220" s="136">
        <f t="shared" si="32"/>
        <v>0</v>
      </c>
      <c r="M220" s="284"/>
      <c r="N220" s="285"/>
      <c r="O220" s="136">
        <f t="shared" si="33"/>
        <v>0</v>
      </c>
      <c r="P220" s="85"/>
      <c r="R220" s="53"/>
      <c r="S220" s="53"/>
      <c r="T220" s="53"/>
      <c r="U220" s="53"/>
    </row>
    <row r="221" spans="1:21" x14ac:dyDescent="0.25">
      <c r="A221" s="76">
        <v>5232</v>
      </c>
      <c r="B221" s="127" t="s">
        <v>237</v>
      </c>
      <c r="C221" s="279">
        <f t="shared" si="26"/>
        <v>1050</v>
      </c>
      <c r="D221" s="134">
        <v>1050</v>
      </c>
      <c r="E221" s="283"/>
      <c r="F221" s="279">
        <f t="shared" si="30"/>
        <v>1050</v>
      </c>
      <c r="G221" s="134"/>
      <c r="H221" s="135"/>
      <c r="I221" s="136">
        <f t="shared" si="31"/>
        <v>0</v>
      </c>
      <c r="J221" s="134"/>
      <c r="K221" s="135"/>
      <c r="L221" s="136">
        <f t="shared" si="32"/>
        <v>0</v>
      </c>
      <c r="M221" s="284"/>
      <c r="N221" s="285"/>
      <c r="O221" s="136">
        <f t="shared" si="33"/>
        <v>0</v>
      </c>
      <c r="P221" s="85"/>
      <c r="R221" s="53"/>
      <c r="S221" s="53"/>
      <c r="T221" s="53"/>
      <c r="U221" s="53"/>
    </row>
    <row r="222" spans="1:21" x14ac:dyDescent="0.25">
      <c r="A222" s="76">
        <v>5233</v>
      </c>
      <c r="B222" s="127" t="s">
        <v>238</v>
      </c>
      <c r="C222" s="279">
        <f t="shared" si="26"/>
        <v>520</v>
      </c>
      <c r="D222" s="134">
        <v>100</v>
      </c>
      <c r="E222" s="283"/>
      <c r="F222" s="279">
        <f t="shared" si="30"/>
        <v>100</v>
      </c>
      <c r="G222" s="134">
        <v>420</v>
      </c>
      <c r="H222" s="135"/>
      <c r="I222" s="136">
        <f t="shared" si="31"/>
        <v>420</v>
      </c>
      <c r="J222" s="134"/>
      <c r="K222" s="135"/>
      <c r="L222" s="136">
        <f t="shared" si="32"/>
        <v>0</v>
      </c>
      <c r="M222" s="284"/>
      <c r="N222" s="285"/>
      <c r="O222" s="136">
        <f t="shared" si="33"/>
        <v>0</v>
      </c>
      <c r="P222" s="85"/>
      <c r="R222" s="53"/>
      <c r="S222" s="53"/>
      <c r="T222" s="53"/>
      <c r="U222" s="53"/>
    </row>
    <row r="223" spans="1:21" ht="24" hidden="1" x14ac:dyDescent="0.25">
      <c r="A223" s="76">
        <v>5234</v>
      </c>
      <c r="B223" s="127" t="s">
        <v>239</v>
      </c>
      <c r="C223" s="279">
        <f t="shared" si="26"/>
        <v>0</v>
      </c>
      <c r="D223" s="134"/>
      <c r="E223" s="285"/>
      <c r="F223" s="286">
        <f t="shared" si="30"/>
        <v>0</v>
      </c>
      <c r="G223" s="134"/>
      <c r="H223" s="135"/>
      <c r="I223" s="136">
        <f t="shared" si="31"/>
        <v>0</v>
      </c>
      <c r="J223" s="134"/>
      <c r="K223" s="135"/>
      <c r="L223" s="136">
        <f t="shared" si="32"/>
        <v>0</v>
      </c>
      <c r="M223" s="284"/>
      <c r="N223" s="285"/>
      <c r="O223" s="136">
        <f t="shared" si="33"/>
        <v>0</v>
      </c>
      <c r="P223" s="85"/>
      <c r="R223" s="53"/>
      <c r="S223" s="53"/>
      <c r="T223" s="53"/>
      <c r="U223" s="53"/>
    </row>
    <row r="224" spans="1:21" hidden="1" x14ac:dyDescent="0.25">
      <c r="A224" s="76">
        <v>5236</v>
      </c>
      <c r="B224" s="127" t="s">
        <v>240</v>
      </c>
      <c r="C224" s="279">
        <f t="shared" si="26"/>
        <v>0</v>
      </c>
      <c r="D224" s="134"/>
      <c r="E224" s="285"/>
      <c r="F224" s="286">
        <f t="shared" si="30"/>
        <v>0</v>
      </c>
      <c r="G224" s="134"/>
      <c r="H224" s="135"/>
      <c r="I224" s="136">
        <f t="shared" si="31"/>
        <v>0</v>
      </c>
      <c r="J224" s="134"/>
      <c r="K224" s="135"/>
      <c r="L224" s="136">
        <f t="shared" si="32"/>
        <v>0</v>
      </c>
      <c r="M224" s="284"/>
      <c r="N224" s="285"/>
      <c r="O224" s="136">
        <f t="shared" si="33"/>
        <v>0</v>
      </c>
      <c r="P224" s="85"/>
      <c r="R224" s="53"/>
      <c r="S224" s="53"/>
      <c r="T224" s="53"/>
      <c r="U224" s="53"/>
    </row>
    <row r="225" spans="1:21" hidden="1" x14ac:dyDescent="0.25">
      <c r="A225" s="76">
        <v>5237</v>
      </c>
      <c r="B225" s="127" t="s">
        <v>241</v>
      </c>
      <c r="C225" s="279">
        <f t="shared" si="26"/>
        <v>0</v>
      </c>
      <c r="D225" s="134"/>
      <c r="E225" s="285"/>
      <c r="F225" s="286">
        <f t="shared" si="30"/>
        <v>0</v>
      </c>
      <c r="G225" s="134"/>
      <c r="H225" s="135"/>
      <c r="I225" s="136">
        <f t="shared" si="31"/>
        <v>0</v>
      </c>
      <c r="J225" s="134"/>
      <c r="K225" s="135"/>
      <c r="L225" s="136">
        <f t="shared" si="32"/>
        <v>0</v>
      </c>
      <c r="M225" s="284"/>
      <c r="N225" s="285"/>
      <c r="O225" s="136">
        <f t="shared" si="33"/>
        <v>0</v>
      </c>
      <c r="P225" s="85"/>
      <c r="R225" s="53"/>
      <c r="S225" s="53"/>
      <c r="T225" s="53"/>
      <c r="U225" s="53"/>
    </row>
    <row r="226" spans="1:21" ht="24" x14ac:dyDescent="0.25">
      <c r="A226" s="76">
        <v>5238</v>
      </c>
      <c r="B226" s="127" t="s">
        <v>242</v>
      </c>
      <c r="C226" s="279">
        <f t="shared" si="26"/>
        <v>800</v>
      </c>
      <c r="D226" s="134">
        <v>800</v>
      </c>
      <c r="E226" s="283"/>
      <c r="F226" s="279">
        <f t="shared" si="30"/>
        <v>800</v>
      </c>
      <c r="G226" s="134"/>
      <c r="H226" s="135"/>
      <c r="I226" s="136">
        <f t="shared" si="31"/>
        <v>0</v>
      </c>
      <c r="J226" s="134"/>
      <c r="K226" s="135"/>
      <c r="L226" s="136">
        <f t="shared" si="32"/>
        <v>0</v>
      </c>
      <c r="M226" s="284"/>
      <c r="N226" s="285"/>
      <c r="O226" s="136">
        <f t="shared" si="33"/>
        <v>0</v>
      </c>
      <c r="P226" s="85"/>
      <c r="R226" s="53"/>
      <c r="S226" s="53"/>
      <c r="T226" s="53"/>
      <c r="U226" s="53"/>
    </row>
    <row r="227" spans="1:21" ht="24" x14ac:dyDescent="0.25">
      <c r="A227" s="76">
        <v>5239</v>
      </c>
      <c r="B227" s="127" t="s">
        <v>243</v>
      </c>
      <c r="C227" s="279">
        <f t="shared" si="26"/>
        <v>676</v>
      </c>
      <c r="D227" s="134">
        <v>570</v>
      </c>
      <c r="E227" s="283"/>
      <c r="F227" s="279">
        <f t="shared" si="30"/>
        <v>570</v>
      </c>
      <c r="G227" s="134"/>
      <c r="H227" s="135"/>
      <c r="I227" s="136">
        <f t="shared" si="31"/>
        <v>0</v>
      </c>
      <c r="J227" s="134"/>
      <c r="K227" s="135"/>
      <c r="L227" s="136">
        <f t="shared" si="32"/>
        <v>0</v>
      </c>
      <c r="M227" s="284">
        <v>106</v>
      </c>
      <c r="N227" s="285"/>
      <c r="O227" s="136">
        <f t="shared" si="33"/>
        <v>106</v>
      </c>
      <c r="P227" s="85"/>
      <c r="R227" s="53"/>
      <c r="S227" s="53"/>
      <c r="T227" s="53"/>
      <c r="U227" s="53"/>
    </row>
    <row r="228" spans="1:21" ht="24" hidden="1" x14ac:dyDescent="0.25">
      <c r="A228" s="276">
        <v>5240</v>
      </c>
      <c r="B228" s="127" t="s">
        <v>244</v>
      </c>
      <c r="C228" s="279">
        <f t="shared" si="26"/>
        <v>0</v>
      </c>
      <c r="D228" s="134"/>
      <c r="E228" s="285"/>
      <c r="F228" s="286">
        <f t="shared" si="30"/>
        <v>0</v>
      </c>
      <c r="G228" s="134"/>
      <c r="H228" s="135"/>
      <c r="I228" s="136">
        <f t="shared" si="31"/>
        <v>0</v>
      </c>
      <c r="J228" s="134"/>
      <c r="K228" s="135"/>
      <c r="L228" s="136">
        <f t="shared" si="32"/>
        <v>0</v>
      </c>
      <c r="M228" s="284"/>
      <c r="N228" s="285"/>
      <c r="O228" s="136">
        <f t="shared" si="33"/>
        <v>0</v>
      </c>
      <c r="P228" s="85"/>
      <c r="R228" s="53"/>
      <c r="S228" s="53"/>
      <c r="T228" s="53"/>
      <c r="U228" s="53"/>
    </row>
    <row r="229" spans="1:21" hidden="1" x14ac:dyDescent="0.25">
      <c r="A229" s="276">
        <v>5250</v>
      </c>
      <c r="B229" s="127" t="s">
        <v>245</v>
      </c>
      <c r="C229" s="279">
        <f t="shared" si="26"/>
        <v>0</v>
      </c>
      <c r="D229" s="134"/>
      <c r="E229" s="285"/>
      <c r="F229" s="286">
        <f t="shared" si="30"/>
        <v>0</v>
      </c>
      <c r="G229" s="134"/>
      <c r="H229" s="135"/>
      <c r="I229" s="136">
        <f t="shared" si="31"/>
        <v>0</v>
      </c>
      <c r="J229" s="134"/>
      <c r="K229" s="135"/>
      <c r="L229" s="136">
        <f t="shared" si="32"/>
        <v>0</v>
      </c>
      <c r="M229" s="284"/>
      <c r="N229" s="285"/>
      <c r="O229" s="136">
        <f t="shared" si="33"/>
        <v>0</v>
      </c>
      <c r="P229" s="85"/>
      <c r="R229" s="53"/>
      <c r="S229" s="53"/>
      <c r="T229" s="53"/>
      <c r="U229" s="53"/>
    </row>
    <row r="230" spans="1:21" hidden="1" x14ac:dyDescent="0.25">
      <c r="A230" s="276">
        <v>5260</v>
      </c>
      <c r="B230" s="127" t="s">
        <v>246</v>
      </c>
      <c r="C230" s="279">
        <f t="shared" si="26"/>
        <v>0</v>
      </c>
      <c r="D230" s="277">
        <f>SUM(D231)</f>
        <v>0</v>
      </c>
      <c r="E230" s="282">
        <f>SUM(E231)</f>
        <v>0</v>
      </c>
      <c r="F230" s="286">
        <f t="shared" si="30"/>
        <v>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c r="R230" s="53"/>
      <c r="S230" s="53"/>
      <c r="T230" s="53"/>
      <c r="U230" s="53"/>
    </row>
    <row r="231" spans="1:21" ht="24" hidden="1" x14ac:dyDescent="0.25">
      <c r="A231" s="76">
        <v>5269</v>
      </c>
      <c r="B231" s="127" t="s">
        <v>247</v>
      </c>
      <c r="C231" s="279">
        <f t="shared" si="26"/>
        <v>0</v>
      </c>
      <c r="D231" s="134"/>
      <c r="E231" s="285"/>
      <c r="F231" s="286">
        <f t="shared" si="30"/>
        <v>0</v>
      </c>
      <c r="G231" s="134"/>
      <c r="H231" s="135"/>
      <c r="I231" s="136">
        <f t="shared" si="31"/>
        <v>0</v>
      </c>
      <c r="J231" s="134"/>
      <c r="K231" s="135"/>
      <c r="L231" s="136">
        <f t="shared" si="32"/>
        <v>0</v>
      </c>
      <c r="M231" s="284"/>
      <c r="N231" s="285"/>
      <c r="O231" s="136">
        <f t="shared" si="33"/>
        <v>0</v>
      </c>
      <c r="P231" s="85"/>
      <c r="R231" s="53"/>
      <c r="S231" s="53"/>
      <c r="T231" s="53"/>
      <c r="U231" s="53"/>
    </row>
    <row r="232" spans="1:21" ht="24" hidden="1" x14ac:dyDescent="0.25">
      <c r="A232" s="254">
        <v>5270</v>
      </c>
      <c r="B232" s="179" t="s">
        <v>248</v>
      </c>
      <c r="C232" s="302">
        <f t="shared" si="26"/>
        <v>0</v>
      </c>
      <c r="D232" s="287"/>
      <c r="E232" s="291"/>
      <c r="F232" s="310">
        <f t="shared" si="30"/>
        <v>0</v>
      </c>
      <c r="G232" s="287"/>
      <c r="H232" s="289"/>
      <c r="I232" s="259">
        <f t="shared" si="31"/>
        <v>0</v>
      </c>
      <c r="J232" s="287"/>
      <c r="K232" s="289"/>
      <c r="L232" s="259">
        <f t="shared" si="32"/>
        <v>0</v>
      </c>
      <c r="M232" s="290"/>
      <c r="N232" s="291"/>
      <c r="O232" s="259">
        <f t="shared" si="33"/>
        <v>0</v>
      </c>
      <c r="P232" s="189"/>
      <c r="R232" s="53"/>
      <c r="S232" s="53"/>
      <c r="T232" s="53"/>
      <c r="U232" s="53"/>
    </row>
    <row r="233" spans="1:21" hidden="1" x14ac:dyDescent="0.25">
      <c r="A233" s="237">
        <v>6000</v>
      </c>
      <c r="B233" s="237" t="s">
        <v>249</v>
      </c>
      <c r="C233" s="238">
        <f t="shared" si="26"/>
        <v>0</v>
      </c>
      <c r="D233" s="239">
        <f>D234+D254+D261</f>
        <v>0</v>
      </c>
      <c r="E233" s="245">
        <f>E234+E254+E261</f>
        <v>0</v>
      </c>
      <c r="F233" s="320">
        <f t="shared" si="30"/>
        <v>0</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c r="R233" s="53"/>
      <c r="S233" s="53"/>
      <c r="T233" s="53"/>
      <c r="U233" s="53"/>
    </row>
    <row r="234" spans="1:21"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c r="R234" s="53"/>
      <c r="S234" s="53"/>
      <c r="T234" s="53"/>
      <c r="U234" s="53"/>
    </row>
    <row r="235" spans="1:21" ht="24" hidden="1" x14ac:dyDescent="0.25">
      <c r="A235" s="656">
        <v>6220</v>
      </c>
      <c r="B235" s="116" t="s">
        <v>251</v>
      </c>
      <c r="C235" s="298">
        <f t="shared" si="26"/>
        <v>0</v>
      </c>
      <c r="D235" s="123"/>
      <c r="E235" s="262"/>
      <c r="F235" s="263">
        <f t="shared" si="30"/>
        <v>0</v>
      </c>
      <c r="G235" s="123"/>
      <c r="H235" s="124"/>
      <c r="I235" s="125">
        <f t="shared" si="31"/>
        <v>0</v>
      </c>
      <c r="J235" s="123"/>
      <c r="K235" s="124"/>
      <c r="L235" s="125">
        <f t="shared" si="32"/>
        <v>0</v>
      </c>
      <c r="M235" s="264"/>
      <c r="N235" s="262"/>
      <c r="O235" s="125">
        <f t="shared" si="33"/>
        <v>0</v>
      </c>
      <c r="P235" s="74"/>
      <c r="R235" s="53"/>
      <c r="S235" s="53"/>
      <c r="T235" s="53"/>
      <c r="U235" s="53"/>
    </row>
    <row r="236" spans="1:21" hidden="1" x14ac:dyDescent="0.25">
      <c r="A236" s="276">
        <v>6230</v>
      </c>
      <c r="B236" s="127" t="s">
        <v>252</v>
      </c>
      <c r="C236" s="278">
        <f t="shared" si="26"/>
        <v>0</v>
      </c>
      <c r="D236" s="277">
        <f>SUM(D237)</f>
        <v>0</v>
      </c>
      <c r="E236" s="280">
        <f>SUM(E237)</f>
        <v>0</v>
      </c>
      <c r="F236" s="28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c r="R236" s="53"/>
      <c r="S236" s="53"/>
      <c r="T236" s="53"/>
      <c r="U236" s="53"/>
    </row>
    <row r="237" spans="1:21" ht="24" hidden="1" x14ac:dyDescent="0.25">
      <c r="A237" s="76">
        <v>6239</v>
      </c>
      <c r="B237" s="116" t="s">
        <v>253</v>
      </c>
      <c r="C237" s="278">
        <f t="shared" si="26"/>
        <v>0</v>
      </c>
      <c r="D237" s="134"/>
      <c r="E237" s="285"/>
      <c r="F237" s="286">
        <f t="shared" si="30"/>
        <v>0</v>
      </c>
      <c r="G237" s="134"/>
      <c r="H237" s="135"/>
      <c r="I237" s="136">
        <f t="shared" si="31"/>
        <v>0</v>
      </c>
      <c r="J237" s="134"/>
      <c r="K237" s="135"/>
      <c r="L237" s="136">
        <f t="shared" si="32"/>
        <v>0</v>
      </c>
      <c r="M237" s="284"/>
      <c r="N237" s="285"/>
      <c r="O237" s="136">
        <f t="shared" si="33"/>
        <v>0</v>
      </c>
      <c r="P237" s="85"/>
      <c r="R237" s="53"/>
      <c r="S237" s="53"/>
      <c r="T237" s="53"/>
      <c r="U237" s="53"/>
    </row>
    <row r="238" spans="1:21" ht="24" hidden="1" x14ac:dyDescent="0.25">
      <c r="A238" s="276">
        <v>6240</v>
      </c>
      <c r="B238" s="127" t="s">
        <v>254</v>
      </c>
      <c r="C238" s="278">
        <f t="shared" si="26"/>
        <v>0</v>
      </c>
      <c r="D238" s="277">
        <f>SUM(D239:D240)</f>
        <v>0</v>
      </c>
      <c r="E238" s="282">
        <f>SUM(E239:E240)</f>
        <v>0</v>
      </c>
      <c r="F238" s="28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c r="R238" s="53"/>
      <c r="S238" s="53"/>
      <c r="T238" s="53"/>
      <c r="U238" s="53"/>
    </row>
    <row r="239" spans="1:21" hidden="1" x14ac:dyDescent="0.25">
      <c r="A239" s="76">
        <v>6241</v>
      </c>
      <c r="B239" s="127" t="s">
        <v>255</v>
      </c>
      <c r="C239" s="278">
        <f t="shared" si="26"/>
        <v>0</v>
      </c>
      <c r="D239" s="134"/>
      <c r="E239" s="285"/>
      <c r="F239" s="286">
        <f t="shared" si="30"/>
        <v>0</v>
      </c>
      <c r="G239" s="134"/>
      <c r="H239" s="135"/>
      <c r="I239" s="136">
        <f t="shared" si="31"/>
        <v>0</v>
      </c>
      <c r="J239" s="134"/>
      <c r="K239" s="135"/>
      <c r="L239" s="136">
        <f t="shared" si="32"/>
        <v>0</v>
      </c>
      <c r="M239" s="284"/>
      <c r="N239" s="285"/>
      <c r="O239" s="136">
        <f t="shared" si="33"/>
        <v>0</v>
      </c>
      <c r="P239" s="85"/>
      <c r="R239" s="53"/>
      <c r="S239" s="53"/>
      <c r="T239" s="53"/>
      <c r="U239" s="53"/>
    </row>
    <row r="240" spans="1:21" hidden="1" x14ac:dyDescent="0.25">
      <c r="A240" s="76">
        <v>6242</v>
      </c>
      <c r="B240" s="127" t="s">
        <v>256</v>
      </c>
      <c r="C240" s="278">
        <f t="shared" si="26"/>
        <v>0</v>
      </c>
      <c r="D240" s="134"/>
      <c r="E240" s="285"/>
      <c r="F240" s="286">
        <f t="shared" si="30"/>
        <v>0</v>
      </c>
      <c r="G240" s="134"/>
      <c r="H240" s="135"/>
      <c r="I240" s="136">
        <f t="shared" si="31"/>
        <v>0</v>
      </c>
      <c r="J240" s="134"/>
      <c r="K240" s="135"/>
      <c r="L240" s="136">
        <f t="shared" si="32"/>
        <v>0</v>
      </c>
      <c r="M240" s="284"/>
      <c r="N240" s="285"/>
      <c r="O240" s="136">
        <f t="shared" si="33"/>
        <v>0</v>
      </c>
      <c r="P240" s="85"/>
      <c r="R240" s="53"/>
      <c r="S240" s="53"/>
      <c r="T240" s="53"/>
      <c r="U240" s="53"/>
    </row>
    <row r="241" spans="1:21" ht="24" hidden="1" x14ac:dyDescent="0.25">
      <c r="A241" s="276">
        <v>6250</v>
      </c>
      <c r="B241" s="127" t="s">
        <v>257</v>
      </c>
      <c r="C241" s="278">
        <f t="shared" si="26"/>
        <v>0</v>
      </c>
      <c r="D241" s="277">
        <f>SUM(D242:D246)</f>
        <v>0</v>
      </c>
      <c r="E241" s="282">
        <f>SUM(E242:E246)</f>
        <v>0</v>
      </c>
      <c r="F241" s="28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c r="R241" s="53"/>
      <c r="S241" s="53"/>
      <c r="T241" s="53"/>
      <c r="U241" s="53"/>
    </row>
    <row r="242" spans="1:21" hidden="1" x14ac:dyDescent="0.25">
      <c r="A242" s="76">
        <v>6252</v>
      </c>
      <c r="B242" s="127" t="s">
        <v>258</v>
      </c>
      <c r="C242" s="278">
        <f t="shared" si="26"/>
        <v>0</v>
      </c>
      <c r="D242" s="134"/>
      <c r="E242" s="285"/>
      <c r="F242" s="286">
        <f t="shared" si="30"/>
        <v>0</v>
      </c>
      <c r="G242" s="134"/>
      <c r="H242" s="135"/>
      <c r="I242" s="136">
        <f t="shared" si="31"/>
        <v>0</v>
      </c>
      <c r="J242" s="134"/>
      <c r="K242" s="135"/>
      <c r="L242" s="136">
        <f t="shared" si="32"/>
        <v>0</v>
      </c>
      <c r="M242" s="284"/>
      <c r="N242" s="285"/>
      <c r="O242" s="136">
        <f t="shared" si="33"/>
        <v>0</v>
      </c>
      <c r="P242" s="85"/>
      <c r="R242" s="53"/>
      <c r="S242" s="53"/>
      <c r="T242" s="53"/>
      <c r="U242" s="53"/>
    </row>
    <row r="243" spans="1:21" hidden="1" x14ac:dyDescent="0.25">
      <c r="A243" s="76">
        <v>6253</v>
      </c>
      <c r="B243" s="127" t="s">
        <v>259</v>
      </c>
      <c r="C243" s="278">
        <f t="shared" si="26"/>
        <v>0</v>
      </c>
      <c r="D243" s="134"/>
      <c r="E243" s="285"/>
      <c r="F243" s="286">
        <f t="shared" si="30"/>
        <v>0</v>
      </c>
      <c r="G243" s="134"/>
      <c r="H243" s="135"/>
      <c r="I243" s="136">
        <f t="shared" si="31"/>
        <v>0</v>
      </c>
      <c r="J243" s="134"/>
      <c r="K243" s="135"/>
      <c r="L243" s="136">
        <f t="shared" si="32"/>
        <v>0</v>
      </c>
      <c r="M243" s="284"/>
      <c r="N243" s="285"/>
      <c r="O243" s="136">
        <f t="shared" si="33"/>
        <v>0</v>
      </c>
      <c r="P243" s="85"/>
      <c r="R243" s="53"/>
      <c r="S243" s="53"/>
      <c r="T243" s="53"/>
      <c r="U243" s="53"/>
    </row>
    <row r="244" spans="1:21" ht="24" hidden="1" x14ac:dyDescent="0.25">
      <c r="A244" s="76">
        <v>6254</v>
      </c>
      <c r="B244" s="127" t="s">
        <v>260</v>
      </c>
      <c r="C244" s="278">
        <f t="shared" si="26"/>
        <v>0</v>
      </c>
      <c r="D244" s="134"/>
      <c r="E244" s="285"/>
      <c r="F244" s="286">
        <f t="shared" si="30"/>
        <v>0</v>
      </c>
      <c r="G244" s="134"/>
      <c r="H244" s="135"/>
      <c r="I244" s="136">
        <f t="shared" si="31"/>
        <v>0</v>
      </c>
      <c r="J244" s="134"/>
      <c r="K244" s="135"/>
      <c r="L244" s="136">
        <f t="shared" si="32"/>
        <v>0</v>
      </c>
      <c r="M244" s="284"/>
      <c r="N244" s="285"/>
      <c r="O244" s="136">
        <f t="shared" si="33"/>
        <v>0</v>
      </c>
      <c r="P244" s="85"/>
      <c r="R244" s="53"/>
      <c r="S244" s="53"/>
      <c r="T244" s="53"/>
      <c r="U244" s="53"/>
    </row>
    <row r="245" spans="1:21" ht="24" hidden="1" x14ac:dyDescent="0.25">
      <c r="A245" s="76">
        <v>6255</v>
      </c>
      <c r="B245" s="127" t="s">
        <v>261</v>
      </c>
      <c r="C245" s="278">
        <f t="shared" si="26"/>
        <v>0</v>
      </c>
      <c r="D245" s="134"/>
      <c r="E245" s="285"/>
      <c r="F245" s="286">
        <f t="shared" si="30"/>
        <v>0</v>
      </c>
      <c r="G245" s="134"/>
      <c r="H245" s="135"/>
      <c r="I245" s="136">
        <f t="shared" si="31"/>
        <v>0</v>
      </c>
      <c r="J245" s="134"/>
      <c r="K245" s="135"/>
      <c r="L245" s="136">
        <f t="shared" si="32"/>
        <v>0</v>
      </c>
      <c r="M245" s="284"/>
      <c r="N245" s="285"/>
      <c r="O245" s="136">
        <f t="shared" si="33"/>
        <v>0</v>
      </c>
      <c r="P245" s="85"/>
      <c r="R245" s="53"/>
      <c r="S245" s="53"/>
      <c r="T245" s="53"/>
      <c r="U245" s="53"/>
    </row>
    <row r="246" spans="1:21" hidden="1" x14ac:dyDescent="0.25">
      <c r="A246" s="76">
        <v>6259</v>
      </c>
      <c r="B246" s="127" t="s">
        <v>262</v>
      </c>
      <c r="C246" s="278">
        <f t="shared" si="26"/>
        <v>0</v>
      </c>
      <c r="D246" s="134"/>
      <c r="E246" s="285"/>
      <c r="F246" s="286">
        <f t="shared" si="30"/>
        <v>0</v>
      </c>
      <c r="G246" s="134"/>
      <c r="H246" s="135"/>
      <c r="I246" s="136">
        <f t="shared" si="31"/>
        <v>0</v>
      </c>
      <c r="J246" s="134"/>
      <c r="K246" s="135"/>
      <c r="L246" s="136">
        <f t="shared" si="32"/>
        <v>0</v>
      </c>
      <c r="M246" s="284"/>
      <c r="N246" s="285"/>
      <c r="O246" s="136">
        <f t="shared" si="33"/>
        <v>0</v>
      </c>
      <c r="P246" s="85"/>
      <c r="R246" s="53"/>
      <c r="S246" s="53"/>
      <c r="T246" s="53"/>
      <c r="U246" s="53"/>
    </row>
    <row r="247" spans="1:21" ht="24" hidden="1" x14ac:dyDescent="0.25">
      <c r="A247" s="276">
        <v>6260</v>
      </c>
      <c r="B247" s="127" t="s">
        <v>263</v>
      </c>
      <c r="C247" s="278">
        <f t="shared" si="26"/>
        <v>0</v>
      </c>
      <c r="D247" s="134"/>
      <c r="E247" s="285"/>
      <c r="F247" s="286">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c r="R247" s="53"/>
      <c r="S247" s="53"/>
      <c r="T247" s="53"/>
      <c r="U247" s="53"/>
    </row>
    <row r="248" spans="1:21" hidden="1" x14ac:dyDescent="0.25">
      <c r="A248" s="276">
        <v>6270</v>
      </c>
      <c r="B248" s="127" t="s">
        <v>264</v>
      </c>
      <c r="C248" s="278">
        <f t="shared" si="26"/>
        <v>0</v>
      </c>
      <c r="D248" s="134"/>
      <c r="E248" s="285"/>
      <c r="F248" s="286">
        <f t="shared" si="37"/>
        <v>0</v>
      </c>
      <c r="G248" s="134"/>
      <c r="H248" s="135"/>
      <c r="I248" s="136">
        <f t="shared" si="38"/>
        <v>0</v>
      </c>
      <c r="J248" s="134"/>
      <c r="K248" s="135"/>
      <c r="L248" s="136">
        <f t="shared" si="39"/>
        <v>0</v>
      </c>
      <c r="M248" s="284"/>
      <c r="N248" s="285"/>
      <c r="O248" s="136">
        <f t="shared" si="40"/>
        <v>0</v>
      </c>
      <c r="P248" s="85"/>
      <c r="R248" s="53"/>
      <c r="S248" s="53"/>
      <c r="T248" s="53"/>
      <c r="U248" s="53"/>
    </row>
    <row r="249" spans="1:21" ht="24" hidden="1" x14ac:dyDescent="0.25">
      <c r="A249" s="656">
        <v>6290</v>
      </c>
      <c r="B249" s="116" t="s">
        <v>265</v>
      </c>
      <c r="C249" s="278">
        <f t="shared" si="26"/>
        <v>0</v>
      </c>
      <c r="D249" s="297">
        <f>SUM(D250:D253)</f>
        <v>0</v>
      </c>
      <c r="E249" s="301">
        <f>SUM(E250:E253)</f>
        <v>0</v>
      </c>
      <c r="F249" s="263">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c r="R249" s="53"/>
      <c r="S249" s="53"/>
      <c r="T249" s="53"/>
      <c r="U249" s="53"/>
    </row>
    <row r="250" spans="1:21" hidden="1" x14ac:dyDescent="0.25">
      <c r="A250" s="76">
        <v>6291</v>
      </c>
      <c r="B250" s="127" t="s">
        <v>266</v>
      </c>
      <c r="C250" s="278">
        <f t="shared" si="26"/>
        <v>0</v>
      </c>
      <c r="D250" s="134"/>
      <c r="E250" s="285"/>
      <c r="F250" s="286">
        <f t="shared" si="37"/>
        <v>0</v>
      </c>
      <c r="G250" s="134"/>
      <c r="H250" s="135"/>
      <c r="I250" s="136">
        <f t="shared" si="38"/>
        <v>0</v>
      </c>
      <c r="J250" s="134"/>
      <c r="K250" s="135"/>
      <c r="L250" s="136">
        <f t="shared" si="39"/>
        <v>0</v>
      </c>
      <c r="M250" s="284"/>
      <c r="N250" s="285"/>
      <c r="O250" s="136">
        <f t="shared" si="40"/>
        <v>0</v>
      </c>
      <c r="P250" s="85"/>
      <c r="R250" s="53"/>
      <c r="S250" s="53"/>
      <c r="T250" s="53"/>
      <c r="U250" s="53"/>
    </row>
    <row r="251" spans="1:21" hidden="1" x14ac:dyDescent="0.25">
      <c r="A251" s="76">
        <v>6292</v>
      </c>
      <c r="B251" s="127" t="s">
        <v>267</v>
      </c>
      <c r="C251" s="278">
        <f t="shared" si="26"/>
        <v>0</v>
      </c>
      <c r="D251" s="134"/>
      <c r="E251" s="285"/>
      <c r="F251" s="286">
        <f t="shared" si="37"/>
        <v>0</v>
      </c>
      <c r="G251" s="134"/>
      <c r="H251" s="135"/>
      <c r="I251" s="136">
        <f t="shared" si="38"/>
        <v>0</v>
      </c>
      <c r="J251" s="134"/>
      <c r="K251" s="135"/>
      <c r="L251" s="136">
        <f t="shared" si="39"/>
        <v>0</v>
      </c>
      <c r="M251" s="284"/>
      <c r="N251" s="285"/>
      <c r="O251" s="136">
        <f t="shared" si="40"/>
        <v>0</v>
      </c>
      <c r="P251" s="85"/>
      <c r="R251" s="53"/>
      <c r="S251" s="53"/>
      <c r="T251" s="53"/>
      <c r="U251" s="53"/>
    </row>
    <row r="252" spans="1:21" ht="72" hidden="1" x14ac:dyDescent="0.25">
      <c r="A252" s="76">
        <v>6296</v>
      </c>
      <c r="B252" s="127" t="s">
        <v>268</v>
      </c>
      <c r="C252" s="278">
        <f t="shared" si="26"/>
        <v>0</v>
      </c>
      <c r="D252" s="134"/>
      <c r="E252" s="285"/>
      <c r="F252" s="286">
        <f t="shared" si="37"/>
        <v>0</v>
      </c>
      <c r="G252" s="134"/>
      <c r="H252" s="135"/>
      <c r="I252" s="136">
        <f t="shared" si="38"/>
        <v>0</v>
      </c>
      <c r="J252" s="134"/>
      <c r="K252" s="135"/>
      <c r="L252" s="136">
        <f t="shared" si="39"/>
        <v>0</v>
      </c>
      <c r="M252" s="284"/>
      <c r="N252" s="285"/>
      <c r="O252" s="136">
        <f t="shared" si="40"/>
        <v>0</v>
      </c>
      <c r="P252" s="85"/>
      <c r="R252" s="53"/>
      <c r="S252" s="53"/>
      <c r="T252" s="53"/>
      <c r="U252" s="53"/>
    </row>
    <row r="253" spans="1:21" ht="36" hidden="1" x14ac:dyDescent="0.25">
      <c r="A253" s="76">
        <v>6299</v>
      </c>
      <c r="B253" s="127" t="s">
        <v>269</v>
      </c>
      <c r="C253" s="278">
        <f t="shared" si="26"/>
        <v>0</v>
      </c>
      <c r="D253" s="134"/>
      <c r="E253" s="285"/>
      <c r="F253" s="286">
        <f t="shared" si="37"/>
        <v>0</v>
      </c>
      <c r="G253" s="134"/>
      <c r="H253" s="135"/>
      <c r="I253" s="136">
        <f t="shared" si="38"/>
        <v>0</v>
      </c>
      <c r="J253" s="134"/>
      <c r="K253" s="135"/>
      <c r="L253" s="136">
        <f t="shared" si="39"/>
        <v>0</v>
      </c>
      <c r="M253" s="284"/>
      <c r="N253" s="285"/>
      <c r="O253" s="136">
        <f t="shared" si="40"/>
        <v>0</v>
      </c>
      <c r="P253" s="85"/>
      <c r="R253" s="53"/>
      <c r="S253" s="53"/>
      <c r="T253" s="53"/>
      <c r="U253" s="53"/>
    </row>
    <row r="254" spans="1:21" hidden="1" x14ac:dyDescent="0.25">
      <c r="A254" s="99">
        <v>6300</v>
      </c>
      <c r="B254" s="247" t="s">
        <v>270</v>
      </c>
      <c r="C254" s="100">
        <f t="shared" si="26"/>
        <v>0</v>
      </c>
      <c r="D254" s="112">
        <f>SUM(D255,D259,D260)</f>
        <v>0</v>
      </c>
      <c r="E254" s="293">
        <f>SUM(E255,E259,E260)</f>
        <v>0</v>
      </c>
      <c r="F254" s="313">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c r="R254" s="53"/>
      <c r="S254" s="53"/>
      <c r="T254" s="53"/>
      <c r="U254" s="53"/>
    </row>
    <row r="255" spans="1:21" ht="24" hidden="1" x14ac:dyDescent="0.25">
      <c r="A255" s="656">
        <v>6320</v>
      </c>
      <c r="B255" s="116" t="s">
        <v>271</v>
      </c>
      <c r="C255" s="322">
        <f t="shared" si="26"/>
        <v>0</v>
      </c>
      <c r="D255" s="297">
        <f>SUM(D256:D258)</f>
        <v>0</v>
      </c>
      <c r="E255" s="301">
        <f>SUM(E256:E258)</f>
        <v>0</v>
      </c>
      <c r="F255" s="263">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c r="R255" s="53"/>
      <c r="S255" s="53"/>
      <c r="T255" s="53"/>
      <c r="U255" s="53"/>
    </row>
    <row r="256" spans="1:21" hidden="1" x14ac:dyDescent="0.25">
      <c r="A256" s="76">
        <v>6322</v>
      </c>
      <c r="B256" s="127" t="s">
        <v>272</v>
      </c>
      <c r="C256" s="281">
        <f t="shared" si="26"/>
        <v>0</v>
      </c>
      <c r="D256" s="134"/>
      <c r="E256" s="285"/>
      <c r="F256" s="286">
        <f t="shared" si="37"/>
        <v>0</v>
      </c>
      <c r="G256" s="134"/>
      <c r="H256" s="135"/>
      <c r="I256" s="136">
        <f t="shared" si="38"/>
        <v>0</v>
      </c>
      <c r="J256" s="134"/>
      <c r="K256" s="135"/>
      <c r="L256" s="136">
        <f t="shared" si="39"/>
        <v>0</v>
      </c>
      <c r="M256" s="284"/>
      <c r="N256" s="285"/>
      <c r="O256" s="136">
        <f t="shared" si="40"/>
        <v>0</v>
      </c>
      <c r="P256" s="85"/>
      <c r="R256" s="53"/>
      <c r="S256" s="53"/>
      <c r="T256" s="53"/>
      <c r="U256" s="53"/>
    </row>
    <row r="257" spans="1:21" ht="24" hidden="1" x14ac:dyDescent="0.25">
      <c r="A257" s="76">
        <v>6323</v>
      </c>
      <c r="B257" s="127" t="s">
        <v>273</v>
      </c>
      <c r="C257" s="281">
        <f t="shared" si="26"/>
        <v>0</v>
      </c>
      <c r="D257" s="134"/>
      <c r="E257" s="285"/>
      <c r="F257" s="286">
        <f t="shared" si="37"/>
        <v>0</v>
      </c>
      <c r="G257" s="134"/>
      <c r="H257" s="135"/>
      <c r="I257" s="136">
        <f t="shared" si="38"/>
        <v>0</v>
      </c>
      <c r="J257" s="134"/>
      <c r="K257" s="135"/>
      <c r="L257" s="136">
        <f t="shared" si="39"/>
        <v>0</v>
      </c>
      <c r="M257" s="284"/>
      <c r="N257" s="285"/>
      <c r="O257" s="136">
        <f t="shared" si="40"/>
        <v>0</v>
      </c>
      <c r="P257" s="85"/>
      <c r="R257" s="53"/>
      <c r="S257" s="53"/>
      <c r="T257" s="53"/>
      <c r="U257" s="53"/>
    </row>
    <row r="258" spans="1:21" ht="24" hidden="1" x14ac:dyDescent="0.25">
      <c r="A258" s="66">
        <v>6324</v>
      </c>
      <c r="B258" s="116" t="s">
        <v>274</v>
      </c>
      <c r="C258" s="281">
        <f t="shared" si="26"/>
        <v>0</v>
      </c>
      <c r="D258" s="123"/>
      <c r="E258" s="262"/>
      <c r="F258" s="263">
        <f t="shared" si="37"/>
        <v>0</v>
      </c>
      <c r="G258" s="123"/>
      <c r="H258" s="124"/>
      <c r="I258" s="125">
        <f t="shared" si="38"/>
        <v>0</v>
      </c>
      <c r="J258" s="123"/>
      <c r="K258" s="124"/>
      <c r="L258" s="125">
        <f t="shared" si="39"/>
        <v>0</v>
      </c>
      <c r="M258" s="264"/>
      <c r="N258" s="262"/>
      <c r="O258" s="125">
        <f t="shared" si="40"/>
        <v>0</v>
      </c>
      <c r="P258" s="74"/>
      <c r="R258" s="53"/>
      <c r="S258" s="53"/>
      <c r="T258" s="53"/>
      <c r="U258" s="53"/>
    </row>
    <row r="259" spans="1:21" ht="24" hidden="1" x14ac:dyDescent="0.25">
      <c r="A259" s="344">
        <v>6330</v>
      </c>
      <c r="B259" s="345" t="s">
        <v>275</v>
      </c>
      <c r="C259" s="281">
        <f t="shared" ref="C259:C286" si="50">F259+I259+L259+O259</f>
        <v>0</v>
      </c>
      <c r="D259" s="328"/>
      <c r="E259" s="329"/>
      <c r="F259" s="330">
        <f t="shared" si="37"/>
        <v>0</v>
      </c>
      <c r="G259" s="328"/>
      <c r="H259" s="331"/>
      <c r="I259" s="324">
        <f t="shared" si="38"/>
        <v>0</v>
      </c>
      <c r="J259" s="328"/>
      <c r="K259" s="331"/>
      <c r="L259" s="324">
        <f t="shared" si="39"/>
        <v>0</v>
      </c>
      <c r="M259" s="332"/>
      <c r="N259" s="329"/>
      <c r="O259" s="324">
        <f t="shared" si="40"/>
        <v>0</v>
      </c>
      <c r="P259" s="325"/>
      <c r="R259" s="53"/>
      <c r="S259" s="53"/>
      <c r="T259" s="53"/>
      <c r="U259" s="53"/>
    </row>
    <row r="260" spans="1:21" hidden="1" x14ac:dyDescent="0.25">
      <c r="A260" s="276">
        <v>6360</v>
      </c>
      <c r="B260" s="127" t="s">
        <v>276</v>
      </c>
      <c r="C260" s="281">
        <f t="shared" si="50"/>
        <v>0</v>
      </c>
      <c r="D260" s="134"/>
      <c r="E260" s="285"/>
      <c r="F260" s="286">
        <f t="shared" si="37"/>
        <v>0</v>
      </c>
      <c r="G260" s="134"/>
      <c r="H260" s="135"/>
      <c r="I260" s="136">
        <f t="shared" si="38"/>
        <v>0</v>
      </c>
      <c r="J260" s="134"/>
      <c r="K260" s="135"/>
      <c r="L260" s="136">
        <f t="shared" si="39"/>
        <v>0</v>
      </c>
      <c r="M260" s="284"/>
      <c r="N260" s="285"/>
      <c r="O260" s="136">
        <f t="shared" si="40"/>
        <v>0</v>
      </c>
      <c r="P260" s="85"/>
      <c r="R260" s="53"/>
      <c r="S260" s="53"/>
      <c r="T260" s="53"/>
      <c r="U260" s="53"/>
    </row>
    <row r="261" spans="1:21" ht="36" hidden="1" x14ac:dyDescent="0.25">
      <c r="A261" s="99">
        <v>6400</v>
      </c>
      <c r="B261" s="247" t="s">
        <v>277</v>
      </c>
      <c r="C261" s="100">
        <f t="shared" si="50"/>
        <v>0</v>
      </c>
      <c r="D261" s="112">
        <f>SUM(D262,D266)</f>
        <v>0</v>
      </c>
      <c r="E261" s="293">
        <f>SUM(E262,E266)</f>
        <v>0</v>
      </c>
      <c r="F261" s="313">
        <f t="shared" si="37"/>
        <v>0</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c r="R261" s="53"/>
      <c r="S261" s="53"/>
      <c r="T261" s="53"/>
      <c r="U261" s="53"/>
    </row>
    <row r="262" spans="1:21" ht="24" hidden="1" x14ac:dyDescent="0.25">
      <c r="A262" s="656">
        <v>6410</v>
      </c>
      <c r="B262" s="116" t="s">
        <v>278</v>
      </c>
      <c r="C262" s="300">
        <f t="shared" si="50"/>
        <v>0</v>
      </c>
      <c r="D262" s="297">
        <f>SUM(D263:D265)</f>
        <v>0</v>
      </c>
      <c r="E262" s="301">
        <f>SUM(E263:E265)</f>
        <v>0</v>
      </c>
      <c r="F262" s="263">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c r="R262" s="53"/>
      <c r="S262" s="53"/>
      <c r="T262" s="53"/>
      <c r="U262" s="53"/>
    </row>
    <row r="263" spans="1:21" hidden="1" x14ac:dyDescent="0.25">
      <c r="A263" s="76">
        <v>6411</v>
      </c>
      <c r="B263" s="346" t="s">
        <v>279</v>
      </c>
      <c r="C263" s="278">
        <f t="shared" si="50"/>
        <v>0</v>
      </c>
      <c r="D263" s="134"/>
      <c r="E263" s="285"/>
      <c r="F263" s="286">
        <f t="shared" si="37"/>
        <v>0</v>
      </c>
      <c r="G263" s="134"/>
      <c r="H263" s="135"/>
      <c r="I263" s="136">
        <f t="shared" si="38"/>
        <v>0</v>
      </c>
      <c r="J263" s="134"/>
      <c r="K263" s="135"/>
      <c r="L263" s="136">
        <f t="shared" si="39"/>
        <v>0</v>
      </c>
      <c r="M263" s="284"/>
      <c r="N263" s="285"/>
      <c r="O263" s="136">
        <f t="shared" si="40"/>
        <v>0</v>
      </c>
      <c r="P263" s="85"/>
      <c r="R263" s="53"/>
      <c r="S263" s="53"/>
      <c r="T263" s="53"/>
      <c r="U263" s="53"/>
    </row>
    <row r="264" spans="1:21" ht="36" hidden="1" x14ac:dyDescent="0.25">
      <c r="A264" s="76">
        <v>6412</v>
      </c>
      <c r="B264" s="127" t="s">
        <v>280</v>
      </c>
      <c r="C264" s="278">
        <f t="shared" si="50"/>
        <v>0</v>
      </c>
      <c r="D264" s="134"/>
      <c r="E264" s="285"/>
      <c r="F264" s="286">
        <f t="shared" si="37"/>
        <v>0</v>
      </c>
      <c r="G264" s="134"/>
      <c r="H264" s="135"/>
      <c r="I264" s="136">
        <f t="shared" si="38"/>
        <v>0</v>
      </c>
      <c r="J264" s="134"/>
      <c r="K264" s="135"/>
      <c r="L264" s="136">
        <f t="shared" si="39"/>
        <v>0</v>
      </c>
      <c r="M264" s="284"/>
      <c r="N264" s="285"/>
      <c r="O264" s="136">
        <f t="shared" si="40"/>
        <v>0</v>
      </c>
      <c r="P264" s="85"/>
      <c r="R264" s="53"/>
      <c r="S264" s="53"/>
      <c r="T264" s="53"/>
      <c r="U264" s="53"/>
    </row>
    <row r="265" spans="1:21" ht="36" hidden="1" x14ac:dyDescent="0.25">
      <c r="A265" s="76">
        <v>6419</v>
      </c>
      <c r="B265" s="127" t="s">
        <v>281</v>
      </c>
      <c r="C265" s="278">
        <f t="shared" si="50"/>
        <v>0</v>
      </c>
      <c r="D265" s="134"/>
      <c r="E265" s="285"/>
      <c r="F265" s="286">
        <f t="shared" si="37"/>
        <v>0</v>
      </c>
      <c r="G265" s="134"/>
      <c r="H265" s="135"/>
      <c r="I265" s="136">
        <f t="shared" si="38"/>
        <v>0</v>
      </c>
      <c r="J265" s="134"/>
      <c r="K265" s="135"/>
      <c r="L265" s="136">
        <f t="shared" si="39"/>
        <v>0</v>
      </c>
      <c r="M265" s="284"/>
      <c r="N265" s="285"/>
      <c r="O265" s="136">
        <f t="shared" si="40"/>
        <v>0</v>
      </c>
      <c r="P265" s="85"/>
      <c r="R265" s="53"/>
      <c r="S265" s="53"/>
      <c r="T265" s="53"/>
      <c r="U265" s="53"/>
    </row>
    <row r="266" spans="1:21" ht="36" hidden="1" x14ac:dyDescent="0.25">
      <c r="A266" s="276">
        <v>6420</v>
      </c>
      <c r="B266" s="127" t="s">
        <v>282</v>
      </c>
      <c r="C266" s="278">
        <f t="shared" si="50"/>
        <v>0</v>
      </c>
      <c r="D266" s="277">
        <f>SUM(D267:D270)</f>
        <v>0</v>
      </c>
      <c r="E266" s="282">
        <f>SUM(E267:E270)</f>
        <v>0</v>
      </c>
      <c r="F266" s="286">
        <f t="shared" si="37"/>
        <v>0</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c r="R266" s="53"/>
      <c r="S266" s="53"/>
      <c r="T266" s="53"/>
      <c r="U266" s="53"/>
    </row>
    <row r="267" spans="1:21" hidden="1" x14ac:dyDescent="0.25">
      <c r="A267" s="76">
        <v>6421</v>
      </c>
      <c r="B267" s="127" t="s">
        <v>283</v>
      </c>
      <c r="C267" s="278">
        <f t="shared" si="50"/>
        <v>0</v>
      </c>
      <c r="D267" s="134"/>
      <c r="E267" s="285"/>
      <c r="F267" s="286">
        <f t="shared" si="37"/>
        <v>0</v>
      </c>
      <c r="G267" s="134"/>
      <c r="H267" s="135"/>
      <c r="I267" s="136">
        <f t="shared" si="38"/>
        <v>0</v>
      </c>
      <c r="J267" s="134"/>
      <c r="K267" s="135"/>
      <c r="L267" s="136">
        <f t="shared" si="39"/>
        <v>0</v>
      </c>
      <c r="M267" s="284"/>
      <c r="N267" s="285"/>
      <c r="O267" s="136">
        <f t="shared" si="40"/>
        <v>0</v>
      </c>
      <c r="P267" s="85"/>
      <c r="R267" s="53"/>
      <c r="S267" s="53"/>
      <c r="T267" s="53"/>
      <c r="U267" s="53"/>
    </row>
    <row r="268" spans="1:21" hidden="1" x14ac:dyDescent="0.25">
      <c r="A268" s="76">
        <v>6422</v>
      </c>
      <c r="B268" s="127" t="s">
        <v>284</v>
      </c>
      <c r="C268" s="278">
        <f t="shared" si="50"/>
        <v>0</v>
      </c>
      <c r="D268" s="134"/>
      <c r="E268" s="285"/>
      <c r="F268" s="286">
        <f t="shared" si="37"/>
        <v>0</v>
      </c>
      <c r="G268" s="134"/>
      <c r="H268" s="135"/>
      <c r="I268" s="136">
        <f t="shared" si="38"/>
        <v>0</v>
      </c>
      <c r="J268" s="134"/>
      <c r="K268" s="135"/>
      <c r="L268" s="136">
        <f t="shared" si="39"/>
        <v>0</v>
      </c>
      <c r="M268" s="284"/>
      <c r="N268" s="285"/>
      <c r="O268" s="136">
        <f t="shared" si="40"/>
        <v>0</v>
      </c>
      <c r="P268" s="85"/>
      <c r="R268" s="53"/>
      <c r="S268" s="53"/>
      <c r="T268" s="53"/>
      <c r="U268" s="53"/>
    </row>
    <row r="269" spans="1:21" ht="24" hidden="1" x14ac:dyDescent="0.25">
      <c r="A269" s="76">
        <v>6423</v>
      </c>
      <c r="B269" s="127" t="s">
        <v>285</v>
      </c>
      <c r="C269" s="278">
        <f t="shared" si="50"/>
        <v>0</v>
      </c>
      <c r="D269" s="134"/>
      <c r="E269" s="285"/>
      <c r="F269" s="286">
        <f t="shared" si="37"/>
        <v>0</v>
      </c>
      <c r="G269" s="134"/>
      <c r="H269" s="135"/>
      <c r="I269" s="136">
        <f t="shared" si="38"/>
        <v>0</v>
      </c>
      <c r="J269" s="134"/>
      <c r="K269" s="135"/>
      <c r="L269" s="136">
        <f t="shared" si="39"/>
        <v>0</v>
      </c>
      <c r="M269" s="284"/>
      <c r="N269" s="285"/>
      <c r="O269" s="136">
        <f t="shared" si="40"/>
        <v>0</v>
      </c>
      <c r="P269" s="85"/>
      <c r="R269" s="53"/>
      <c r="S269" s="53"/>
      <c r="T269" s="53"/>
      <c r="U269" s="53"/>
    </row>
    <row r="270" spans="1:21" ht="36" hidden="1" x14ac:dyDescent="0.25">
      <c r="A270" s="76">
        <v>6424</v>
      </c>
      <c r="B270" s="127" t="s">
        <v>286</v>
      </c>
      <c r="C270" s="278">
        <f t="shared" si="50"/>
        <v>0</v>
      </c>
      <c r="D270" s="134"/>
      <c r="E270" s="285"/>
      <c r="F270" s="286">
        <f t="shared" si="37"/>
        <v>0</v>
      </c>
      <c r="G270" s="134"/>
      <c r="H270" s="135"/>
      <c r="I270" s="136">
        <f t="shared" si="38"/>
        <v>0</v>
      </c>
      <c r="J270" s="134"/>
      <c r="K270" s="135"/>
      <c r="L270" s="136">
        <f t="shared" si="39"/>
        <v>0</v>
      </c>
      <c r="M270" s="284"/>
      <c r="N270" s="285"/>
      <c r="O270" s="136">
        <f t="shared" si="40"/>
        <v>0</v>
      </c>
      <c r="P270" s="85"/>
      <c r="R270" s="53"/>
      <c r="S270" s="53"/>
      <c r="T270" s="53"/>
      <c r="U270" s="53"/>
    </row>
    <row r="271" spans="1:21" ht="36" x14ac:dyDescent="0.25">
      <c r="A271" s="347">
        <v>7000</v>
      </c>
      <c r="B271" s="347" t="s">
        <v>287</v>
      </c>
      <c r="C271" s="348">
        <f t="shared" si="50"/>
        <v>92</v>
      </c>
      <c r="D271" s="349">
        <f>SUM(D272,D282)</f>
        <v>0</v>
      </c>
      <c r="E271" s="350">
        <f>SUM(E272,E282)</f>
        <v>0</v>
      </c>
      <c r="F271" s="351">
        <f t="shared" si="37"/>
        <v>0</v>
      </c>
      <c r="G271" s="349">
        <f>SUM(G272,G282)</f>
        <v>0</v>
      </c>
      <c r="H271" s="352">
        <f>SUM(H272,H282)</f>
        <v>0</v>
      </c>
      <c r="I271" s="353">
        <f t="shared" si="38"/>
        <v>0</v>
      </c>
      <c r="J271" s="349">
        <f>SUM(J272,J282)</f>
        <v>92</v>
      </c>
      <c r="K271" s="352">
        <f>SUM(K272,K282)</f>
        <v>0</v>
      </c>
      <c r="L271" s="353">
        <f t="shared" si="39"/>
        <v>92</v>
      </c>
      <c r="M271" s="354">
        <f>SUM(M272,M282)</f>
        <v>0</v>
      </c>
      <c r="N271" s="355">
        <f>SUM(N272,N282)</f>
        <v>0</v>
      </c>
      <c r="O271" s="356">
        <f t="shared" si="40"/>
        <v>0</v>
      </c>
      <c r="P271" s="357"/>
      <c r="R271" s="53"/>
      <c r="S271" s="53"/>
      <c r="T271" s="53"/>
      <c r="U271" s="53"/>
    </row>
    <row r="272" spans="1:21" ht="24" x14ac:dyDescent="0.25">
      <c r="A272" s="99">
        <v>7200</v>
      </c>
      <c r="B272" s="247" t="s">
        <v>288</v>
      </c>
      <c r="C272" s="100">
        <f t="shared" si="50"/>
        <v>92</v>
      </c>
      <c r="D272" s="112">
        <f>SUM(D273,D274,D277,D278,D281)</f>
        <v>0</v>
      </c>
      <c r="E272" s="248">
        <f>SUM(E273,E274,E277,E278,E281)</f>
        <v>0</v>
      </c>
      <c r="F272" s="249">
        <f t="shared" si="37"/>
        <v>0</v>
      </c>
      <c r="G272" s="112">
        <f>SUM(G273,G274,G277,G278,G281)</f>
        <v>0</v>
      </c>
      <c r="H272" s="113">
        <f>SUM(H273,H274,H277,H278,H281)</f>
        <v>0</v>
      </c>
      <c r="I272" s="114">
        <f t="shared" si="38"/>
        <v>0</v>
      </c>
      <c r="J272" s="112">
        <f>SUM(J273,J274,J277,J278,J281)</f>
        <v>92</v>
      </c>
      <c r="K272" s="113">
        <f>SUM(K273,K274,K277,K278,K281)</f>
        <v>0</v>
      </c>
      <c r="L272" s="114">
        <f t="shared" si="39"/>
        <v>92</v>
      </c>
      <c r="M272" s="250">
        <f>SUM(M273,M274,M277,M278,M281)</f>
        <v>0</v>
      </c>
      <c r="N272" s="251">
        <f>SUM(N273,N274,N277,N278,N281)</f>
        <v>0</v>
      </c>
      <c r="O272" s="252">
        <f t="shared" si="40"/>
        <v>0</v>
      </c>
      <c r="P272" s="253"/>
      <c r="R272" s="53"/>
      <c r="S272" s="53"/>
      <c r="T272" s="53"/>
      <c r="U272" s="53"/>
    </row>
    <row r="273" spans="1:21" ht="24" hidden="1" x14ac:dyDescent="0.25">
      <c r="A273" s="656">
        <v>7210</v>
      </c>
      <c r="B273" s="116" t="s">
        <v>289</v>
      </c>
      <c r="C273" s="117">
        <f t="shared" si="50"/>
        <v>0</v>
      </c>
      <c r="D273" s="123"/>
      <c r="E273" s="262"/>
      <c r="F273" s="263">
        <f t="shared" si="37"/>
        <v>0</v>
      </c>
      <c r="G273" s="123"/>
      <c r="H273" s="124"/>
      <c r="I273" s="125">
        <f t="shared" si="38"/>
        <v>0</v>
      </c>
      <c r="J273" s="123"/>
      <c r="K273" s="124"/>
      <c r="L273" s="125">
        <f t="shared" si="39"/>
        <v>0</v>
      </c>
      <c r="M273" s="264"/>
      <c r="N273" s="262"/>
      <c r="O273" s="125">
        <f t="shared" si="40"/>
        <v>0</v>
      </c>
      <c r="P273" s="74"/>
      <c r="R273" s="53"/>
      <c r="S273" s="53"/>
      <c r="T273" s="53"/>
      <c r="U273" s="53"/>
    </row>
    <row r="274" spans="1:21" s="358" customFormat="1" ht="36" hidden="1" x14ac:dyDescent="0.25">
      <c r="A274" s="276">
        <v>7220</v>
      </c>
      <c r="B274" s="127" t="s">
        <v>290</v>
      </c>
      <c r="C274" s="128">
        <f t="shared" si="50"/>
        <v>0</v>
      </c>
      <c r="D274" s="277">
        <f>SUM(D275:D276)</f>
        <v>0</v>
      </c>
      <c r="E274" s="282">
        <f>SUM(E275:E276)</f>
        <v>0</v>
      </c>
      <c r="F274" s="28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c r="R274" s="53"/>
      <c r="S274" s="53"/>
      <c r="T274" s="53"/>
      <c r="U274" s="53"/>
    </row>
    <row r="275" spans="1:21" s="358" customFormat="1" ht="36" hidden="1" x14ac:dyDescent="0.25">
      <c r="A275" s="76">
        <v>7221</v>
      </c>
      <c r="B275" s="127" t="s">
        <v>291</v>
      </c>
      <c r="C275" s="128">
        <f t="shared" si="50"/>
        <v>0</v>
      </c>
      <c r="D275" s="134"/>
      <c r="E275" s="285"/>
      <c r="F275" s="286">
        <f t="shared" si="37"/>
        <v>0</v>
      </c>
      <c r="G275" s="134"/>
      <c r="H275" s="135"/>
      <c r="I275" s="136">
        <f t="shared" si="38"/>
        <v>0</v>
      </c>
      <c r="J275" s="134"/>
      <c r="K275" s="135"/>
      <c r="L275" s="136">
        <f t="shared" si="39"/>
        <v>0</v>
      </c>
      <c r="M275" s="284"/>
      <c r="N275" s="285"/>
      <c r="O275" s="136">
        <f t="shared" si="40"/>
        <v>0</v>
      </c>
      <c r="P275" s="85"/>
      <c r="R275" s="53"/>
      <c r="S275" s="53"/>
      <c r="T275" s="53"/>
      <c r="U275" s="53"/>
    </row>
    <row r="276" spans="1:21" s="358" customFormat="1" ht="36" hidden="1" x14ac:dyDescent="0.25">
      <c r="A276" s="76">
        <v>7222</v>
      </c>
      <c r="B276" s="127" t="s">
        <v>292</v>
      </c>
      <c r="C276" s="128">
        <f t="shared" si="50"/>
        <v>0</v>
      </c>
      <c r="D276" s="134"/>
      <c r="E276" s="285"/>
      <c r="F276" s="286">
        <f t="shared" si="37"/>
        <v>0</v>
      </c>
      <c r="G276" s="134"/>
      <c r="H276" s="135"/>
      <c r="I276" s="136">
        <f t="shared" si="38"/>
        <v>0</v>
      </c>
      <c r="J276" s="134"/>
      <c r="K276" s="135"/>
      <c r="L276" s="136">
        <f t="shared" si="39"/>
        <v>0</v>
      </c>
      <c r="M276" s="284"/>
      <c r="N276" s="285"/>
      <c r="O276" s="136">
        <f t="shared" si="40"/>
        <v>0</v>
      </c>
      <c r="P276" s="85"/>
      <c r="R276" s="53"/>
      <c r="S276" s="53"/>
      <c r="T276" s="53"/>
      <c r="U276" s="53"/>
    </row>
    <row r="277" spans="1:21" s="358" customFormat="1" ht="24" x14ac:dyDescent="0.25">
      <c r="A277" s="276">
        <v>7230</v>
      </c>
      <c r="B277" s="127" t="s">
        <v>293</v>
      </c>
      <c r="C277" s="128">
        <f t="shared" si="50"/>
        <v>92</v>
      </c>
      <c r="D277" s="134"/>
      <c r="E277" s="283"/>
      <c r="F277" s="279">
        <f t="shared" si="37"/>
        <v>0</v>
      </c>
      <c r="G277" s="134"/>
      <c r="H277" s="135"/>
      <c r="I277" s="136">
        <f t="shared" si="38"/>
        <v>0</v>
      </c>
      <c r="J277" s="134">
        <v>92</v>
      </c>
      <c r="K277" s="135"/>
      <c r="L277" s="136">
        <f t="shared" si="39"/>
        <v>92</v>
      </c>
      <c r="M277" s="284"/>
      <c r="N277" s="285"/>
      <c r="O277" s="136">
        <f>M277+N277</f>
        <v>0</v>
      </c>
      <c r="P277" s="85"/>
      <c r="R277" s="53"/>
      <c r="S277" s="53"/>
      <c r="T277" s="53"/>
      <c r="U277" s="53"/>
    </row>
    <row r="278" spans="1:21" ht="24" hidden="1" x14ac:dyDescent="0.25">
      <c r="A278" s="276">
        <v>7240</v>
      </c>
      <c r="B278" s="127" t="s">
        <v>294</v>
      </c>
      <c r="C278" s="128">
        <f t="shared" si="50"/>
        <v>0</v>
      </c>
      <c r="D278" s="277">
        <f>SUM(D279:D280)</f>
        <v>0</v>
      </c>
      <c r="E278" s="282">
        <f>SUM(E279:E280)</f>
        <v>0</v>
      </c>
      <c r="F278" s="28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c r="R278" s="53"/>
      <c r="S278" s="53"/>
      <c r="T278" s="53"/>
      <c r="U278" s="53"/>
    </row>
    <row r="279" spans="1:21" ht="48" hidden="1" x14ac:dyDescent="0.25">
      <c r="A279" s="76">
        <v>7245</v>
      </c>
      <c r="B279" s="127" t="s">
        <v>295</v>
      </c>
      <c r="C279" s="128">
        <f t="shared" si="50"/>
        <v>0</v>
      </c>
      <c r="D279" s="134"/>
      <c r="E279" s="285"/>
      <c r="F279" s="286">
        <f t="shared" si="37"/>
        <v>0</v>
      </c>
      <c r="G279" s="134"/>
      <c r="H279" s="135"/>
      <c r="I279" s="136">
        <f t="shared" si="38"/>
        <v>0</v>
      </c>
      <c r="J279" s="134"/>
      <c r="K279" s="135"/>
      <c r="L279" s="136">
        <f t="shared" si="39"/>
        <v>0</v>
      </c>
      <c r="M279" s="284"/>
      <c r="N279" s="285"/>
      <c r="O279" s="136">
        <f t="shared" ref="O279:O282" si="57">M279+N279</f>
        <v>0</v>
      </c>
      <c r="P279" s="85"/>
      <c r="R279" s="53"/>
      <c r="S279" s="53"/>
      <c r="T279" s="53"/>
      <c r="U279" s="53"/>
    </row>
    <row r="280" spans="1:21" ht="96" hidden="1" x14ac:dyDescent="0.25">
      <c r="A280" s="76">
        <v>7246</v>
      </c>
      <c r="B280" s="127" t="s">
        <v>296</v>
      </c>
      <c r="C280" s="128">
        <f t="shared" si="50"/>
        <v>0</v>
      </c>
      <c r="D280" s="134"/>
      <c r="E280" s="285"/>
      <c r="F280" s="286">
        <f t="shared" si="37"/>
        <v>0</v>
      </c>
      <c r="G280" s="134"/>
      <c r="H280" s="135"/>
      <c r="I280" s="136">
        <f t="shared" si="38"/>
        <v>0</v>
      </c>
      <c r="J280" s="134"/>
      <c r="K280" s="135"/>
      <c r="L280" s="136">
        <f t="shared" si="39"/>
        <v>0</v>
      </c>
      <c r="M280" s="284"/>
      <c r="N280" s="285"/>
      <c r="O280" s="136">
        <f t="shared" si="57"/>
        <v>0</v>
      </c>
      <c r="P280" s="85"/>
      <c r="R280" s="53"/>
      <c r="S280" s="53"/>
      <c r="T280" s="53"/>
      <c r="U280" s="53"/>
    </row>
    <row r="281" spans="1:21" ht="24" hidden="1" x14ac:dyDescent="0.25">
      <c r="A281" s="276">
        <v>7260</v>
      </c>
      <c r="B281" s="127" t="s">
        <v>297</v>
      </c>
      <c r="C281" s="128">
        <f t="shared" si="50"/>
        <v>0</v>
      </c>
      <c r="D281" s="123"/>
      <c r="E281" s="262"/>
      <c r="F281" s="263">
        <f t="shared" si="37"/>
        <v>0</v>
      </c>
      <c r="G281" s="123"/>
      <c r="H281" s="124"/>
      <c r="I281" s="125">
        <f t="shared" si="38"/>
        <v>0</v>
      </c>
      <c r="J281" s="123"/>
      <c r="K281" s="124"/>
      <c r="L281" s="125">
        <f t="shared" si="39"/>
        <v>0</v>
      </c>
      <c r="M281" s="264"/>
      <c r="N281" s="262"/>
      <c r="O281" s="125">
        <f t="shared" si="57"/>
        <v>0</v>
      </c>
      <c r="P281" s="74"/>
      <c r="R281" s="53"/>
      <c r="S281" s="53"/>
      <c r="T281" s="53"/>
      <c r="U281" s="53"/>
    </row>
    <row r="282" spans="1:21" hidden="1" x14ac:dyDescent="0.25">
      <c r="A282" s="99">
        <v>7700</v>
      </c>
      <c r="B282" s="247" t="s">
        <v>298</v>
      </c>
      <c r="C282" s="359">
        <f t="shared" si="50"/>
        <v>0</v>
      </c>
      <c r="D282" s="360">
        <f>D283</f>
        <v>0</v>
      </c>
      <c r="E282" s="304">
        <f>SUM(E283)</f>
        <v>0</v>
      </c>
      <c r="F282" s="316">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c r="R282" s="53"/>
      <c r="S282" s="53"/>
      <c r="T282" s="53"/>
      <c r="U282" s="53"/>
    </row>
    <row r="283" spans="1:21" hidden="1" x14ac:dyDescent="0.25">
      <c r="A283" s="141">
        <v>7720</v>
      </c>
      <c r="B283" s="142" t="s">
        <v>299</v>
      </c>
      <c r="C283" s="362">
        <f t="shared" si="50"/>
        <v>0</v>
      </c>
      <c r="D283" s="149"/>
      <c r="E283" s="363"/>
      <c r="F283" s="364">
        <f t="shared" si="37"/>
        <v>0</v>
      </c>
      <c r="G283" s="149"/>
      <c r="H283" s="150"/>
      <c r="I283" s="151">
        <f t="shared" si="38"/>
        <v>0</v>
      </c>
      <c r="J283" s="149"/>
      <c r="K283" s="150"/>
      <c r="L283" s="151">
        <f t="shared" si="39"/>
        <v>0</v>
      </c>
      <c r="M283" s="365"/>
      <c r="N283" s="363"/>
      <c r="O283" s="151">
        <f>M283+N283</f>
        <v>0</v>
      </c>
      <c r="P283" s="153"/>
      <c r="R283" s="53"/>
      <c r="S283" s="53"/>
      <c r="T283" s="53"/>
      <c r="U283" s="53"/>
    </row>
    <row r="284" spans="1:21" x14ac:dyDescent="0.25">
      <c r="A284" s="366"/>
      <c r="B284" s="179" t="s">
        <v>300</v>
      </c>
      <c r="C284" s="117">
        <f t="shared" si="50"/>
        <v>432</v>
      </c>
      <c r="D284" s="255">
        <f>SUM(D285:D286)</f>
        <v>0</v>
      </c>
      <c r="E284" s="256">
        <f>SUM(E285:E286)</f>
        <v>0</v>
      </c>
      <c r="F284" s="257">
        <f t="shared" si="37"/>
        <v>0</v>
      </c>
      <c r="G284" s="255">
        <f>SUM(G285:G286)</f>
        <v>0</v>
      </c>
      <c r="H284" s="258">
        <f>SUM(H285:H286)</f>
        <v>0</v>
      </c>
      <c r="I284" s="259">
        <f t="shared" si="38"/>
        <v>0</v>
      </c>
      <c r="J284" s="255">
        <f>SUM(J285:J286)</f>
        <v>432</v>
      </c>
      <c r="K284" s="258">
        <f>SUM(K285:K286)</f>
        <v>0</v>
      </c>
      <c r="L284" s="259">
        <f t="shared" si="39"/>
        <v>432</v>
      </c>
      <c r="M284" s="260">
        <f>SUM(M285:M286)</f>
        <v>0</v>
      </c>
      <c r="N284" s="261">
        <f>SUM(N285:N286)</f>
        <v>0</v>
      </c>
      <c r="O284" s="259">
        <f t="shared" ref="O284:O299" si="58">M284+N284</f>
        <v>0</v>
      </c>
      <c r="P284" s="189"/>
      <c r="R284" s="53"/>
      <c r="S284" s="53"/>
      <c r="T284" s="53"/>
      <c r="U284" s="53"/>
    </row>
    <row r="285" spans="1:21" hidden="1" x14ac:dyDescent="0.25">
      <c r="A285" s="346" t="s">
        <v>301</v>
      </c>
      <c r="B285" s="76" t="s">
        <v>302</v>
      </c>
      <c r="C285" s="279">
        <f t="shared" si="50"/>
        <v>0</v>
      </c>
      <c r="D285" s="134"/>
      <c r="E285" s="285"/>
      <c r="F285" s="286">
        <f t="shared" si="37"/>
        <v>0</v>
      </c>
      <c r="G285" s="134"/>
      <c r="H285" s="135"/>
      <c r="I285" s="136">
        <f t="shared" si="38"/>
        <v>0</v>
      </c>
      <c r="J285" s="134"/>
      <c r="K285" s="135"/>
      <c r="L285" s="136">
        <f t="shared" si="39"/>
        <v>0</v>
      </c>
      <c r="M285" s="284"/>
      <c r="N285" s="285"/>
      <c r="O285" s="136">
        <f t="shared" si="58"/>
        <v>0</v>
      </c>
      <c r="P285" s="85"/>
      <c r="R285" s="53"/>
      <c r="S285" s="53"/>
      <c r="T285" s="53"/>
      <c r="U285" s="53"/>
    </row>
    <row r="286" spans="1:21" ht="24" x14ac:dyDescent="0.25">
      <c r="A286" s="346" t="s">
        <v>303</v>
      </c>
      <c r="B286" s="367" t="s">
        <v>304</v>
      </c>
      <c r="C286" s="117">
        <f t="shared" si="50"/>
        <v>432</v>
      </c>
      <c r="D286" s="123"/>
      <c r="E286" s="295"/>
      <c r="F286" s="296">
        <f t="shared" si="37"/>
        <v>0</v>
      </c>
      <c r="G286" s="123"/>
      <c r="H286" s="124"/>
      <c r="I286" s="125">
        <f t="shared" si="38"/>
        <v>0</v>
      </c>
      <c r="J286" s="123">
        <v>432</v>
      </c>
      <c r="K286" s="124"/>
      <c r="L286" s="125">
        <f t="shared" si="39"/>
        <v>432</v>
      </c>
      <c r="M286" s="264"/>
      <c r="N286" s="262"/>
      <c r="O286" s="125">
        <f t="shared" si="58"/>
        <v>0</v>
      </c>
      <c r="P286" s="74"/>
      <c r="R286" s="53"/>
      <c r="S286" s="53"/>
      <c r="T286" s="53"/>
      <c r="U286" s="53"/>
    </row>
    <row r="287" spans="1:21" x14ac:dyDescent="0.25">
      <c r="A287" s="368"/>
      <c r="B287" s="369" t="s">
        <v>305</v>
      </c>
      <c r="C287" s="370">
        <f>SUM(C284,C271,C233,C198,C190,C176,C78,C56)</f>
        <v>353103</v>
      </c>
      <c r="D287" s="371">
        <f>SUM(D284,D271,D233,D198,D190,D176,D78,D56)</f>
        <v>320885</v>
      </c>
      <c r="E287" s="372">
        <f>SUM(E284,E271,E233,E198,E190,E176,E78,E56)</f>
        <v>0</v>
      </c>
      <c r="F287" s="373">
        <f t="shared" si="37"/>
        <v>320885</v>
      </c>
      <c r="G287" s="371">
        <f>SUM(G284,G271,G233,G198,G190,G176,G78,G56)</f>
        <v>30345</v>
      </c>
      <c r="H287" s="374">
        <f>SUM(H284,H271,H233,H198,H190,H176,H78,H56)</f>
        <v>0</v>
      </c>
      <c r="I287" s="375">
        <f t="shared" si="38"/>
        <v>30345</v>
      </c>
      <c r="J287" s="371">
        <f>SUM(J284,J271,J233,J198,J190,J176,J78,J56)</f>
        <v>1717</v>
      </c>
      <c r="K287" s="374">
        <f>SUM(K284,K271,K233,K198,K190,K176,K78,K56)</f>
        <v>0</v>
      </c>
      <c r="L287" s="375">
        <f t="shared" si="39"/>
        <v>1717</v>
      </c>
      <c r="M287" s="250">
        <f>SUM(M284,M271,M233,M198,M190,M176,M78,M56)</f>
        <v>156</v>
      </c>
      <c r="N287" s="251">
        <f>SUM(N284,N271,N233,N198,N190,N176,N78,N56)</f>
        <v>0</v>
      </c>
      <c r="O287" s="252">
        <f t="shared" si="58"/>
        <v>156</v>
      </c>
      <c r="P287" s="253"/>
      <c r="R287" s="53"/>
      <c r="S287" s="53"/>
      <c r="T287" s="53"/>
      <c r="U287" s="53"/>
    </row>
    <row r="288" spans="1:21" x14ac:dyDescent="0.25">
      <c r="A288" s="376" t="s">
        <v>306</v>
      </c>
      <c r="B288" s="377"/>
      <c r="C288" s="378">
        <f t="shared" ref="C288" si="59">F288+I288+L288+O288</f>
        <v>-514</v>
      </c>
      <c r="D288" s="379">
        <f>SUM(D28,D29,D45)-D54</f>
        <v>0</v>
      </c>
      <c r="E288" s="380">
        <f>SUM(E28,E29,E45)-E54</f>
        <v>0</v>
      </c>
      <c r="F288" s="381">
        <f t="shared" si="37"/>
        <v>0</v>
      </c>
      <c r="G288" s="379">
        <f>SUM(G28,G29,G45)-G54</f>
        <v>0</v>
      </c>
      <c r="H288" s="382">
        <f>SUM(H28,H29,H45)-H54</f>
        <v>0</v>
      </c>
      <c r="I288" s="383">
        <f t="shared" si="38"/>
        <v>0</v>
      </c>
      <c r="J288" s="379">
        <f>(J30+J46)-J54</f>
        <v>-408</v>
      </c>
      <c r="K288" s="382">
        <f>(K30+K46)-K54</f>
        <v>0</v>
      </c>
      <c r="L288" s="383">
        <f t="shared" si="39"/>
        <v>-408</v>
      </c>
      <c r="M288" s="378">
        <f>M48-M54</f>
        <v>-106</v>
      </c>
      <c r="N288" s="384">
        <f>N48-N54</f>
        <v>0</v>
      </c>
      <c r="O288" s="383">
        <f t="shared" si="58"/>
        <v>-106</v>
      </c>
      <c r="P288" s="385"/>
      <c r="R288" s="53"/>
      <c r="S288" s="53"/>
      <c r="T288" s="53"/>
      <c r="U288" s="53"/>
    </row>
    <row r="289" spans="1:21" s="41" customFormat="1" x14ac:dyDescent="0.25">
      <c r="A289" s="376" t="s">
        <v>307</v>
      </c>
      <c r="B289" s="377"/>
      <c r="C289" s="380">
        <f>SUM(C290,C291)-C298+C299</f>
        <v>514</v>
      </c>
      <c r="D289" s="379">
        <f>SUM(D290,D291)-D298+D299</f>
        <v>0</v>
      </c>
      <c r="E289" s="380">
        <f>SUM(E290,E291)-E298+E299</f>
        <v>0</v>
      </c>
      <c r="F289" s="381">
        <f t="shared" si="37"/>
        <v>0</v>
      </c>
      <c r="G289" s="379">
        <f>SUM(G290,G291)-G298+G299</f>
        <v>0</v>
      </c>
      <c r="H289" s="382">
        <f>SUM(H290,H291)-H298+H299</f>
        <v>0</v>
      </c>
      <c r="I289" s="383">
        <f t="shared" si="38"/>
        <v>0</v>
      </c>
      <c r="J289" s="379">
        <f>SUM(J290,J291)-J298+J299</f>
        <v>408</v>
      </c>
      <c r="K289" s="382">
        <f>SUM(K290,K291)-K298+K299</f>
        <v>0</v>
      </c>
      <c r="L289" s="383">
        <f t="shared" si="39"/>
        <v>408</v>
      </c>
      <c r="M289" s="378">
        <f>SUM(M290,M291)-M298+M299</f>
        <v>106</v>
      </c>
      <c r="N289" s="384">
        <f>SUM(N290,N291)-N298+N299</f>
        <v>0</v>
      </c>
      <c r="O289" s="383">
        <f t="shared" si="58"/>
        <v>106</v>
      </c>
      <c r="P289" s="385"/>
      <c r="R289" s="53"/>
      <c r="S289" s="53"/>
      <c r="T289" s="53"/>
      <c r="U289" s="53"/>
    </row>
    <row r="290" spans="1:21" s="41" customFormat="1" x14ac:dyDescent="0.25">
      <c r="A290" s="386" t="s">
        <v>308</v>
      </c>
      <c r="B290" s="386" t="s">
        <v>309</v>
      </c>
      <c r="C290" s="380">
        <f>C25-C284</f>
        <v>514</v>
      </c>
      <c r="D290" s="379">
        <f>D25-D284</f>
        <v>0</v>
      </c>
      <c r="E290" s="380">
        <f>E25-E284</f>
        <v>0</v>
      </c>
      <c r="F290" s="381">
        <f t="shared" si="37"/>
        <v>0</v>
      </c>
      <c r="G290" s="379">
        <f>G25-G284</f>
        <v>0</v>
      </c>
      <c r="H290" s="382">
        <f>H25-H284</f>
        <v>0</v>
      </c>
      <c r="I290" s="383">
        <f t="shared" si="38"/>
        <v>0</v>
      </c>
      <c r="J290" s="379">
        <f>J25-J284</f>
        <v>408</v>
      </c>
      <c r="K290" s="382">
        <f>K25-K284</f>
        <v>0</v>
      </c>
      <c r="L290" s="383">
        <f t="shared" si="39"/>
        <v>408</v>
      </c>
      <c r="M290" s="378">
        <f>M25-M284</f>
        <v>106</v>
      </c>
      <c r="N290" s="384">
        <f>N25-N284</f>
        <v>0</v>
      </c>
      <c r="O290" s="383">
        <f t="shared" si="58"/>
        <v>106</v>
      </c>
      <c r="P290" s="385"/>
      <c r="R290" s="53"/>
      <c r="S290" s="53"/>
      <c r="T290" s="53"/>
      <c r="U290" s="53"/>
    </row>
    <row r="291" spans="1:21" s="41" customFormat="1" hidden="1" x14ac:dyDescent="0.25">
      <c r="A291" s="387" t="s">
        <v>310</v>
      </c>
      <c r="B291" s="387" t="s">
        <v>311</v>
      </c>
      <c r="C291" s="380">
        <f>SUM(C292,C294,C296)-SUM(C293,C295,C297)</f>
        <v>0</v>
      </c>
      <c r="D291" s="379">
        <f t="shared" ref="D291:E291" si="60">SUM(D292,D294,D296)-SUM(D293,D295,D297)</f>
        <v>0</v>
      </c>
      <c r="E291" s="384">
        <f t="shared" si="60"/>
        <v>0</v>
      </c>
      <c r="F291" s="388">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c r="R291" s="53"/>
      <c r="S291" s="53"/>
      <c r="T291" s="53"/>
      <c r="U291" s="53"/>
    </row>
    <row r="292" spans="1:21" s="41" customFormat="1" hidden="1" x14ac:dyDescent="0.25">
      <c r="A292" s="366" t="s">
        <v>312</v>
      </c>
      <c r="B292" s="190" t="s">
        <v>313</v>
      </c>
      <c r="C292" s="143">
        <f t="shared" ref="C292:C299" si="64">F292+I292+L292+O292</f>
        <v>0</v>
      </c>
      <c r="D292" s="149"/>
      <c r="E292" s="363"/>
      <c r="F292" s="364">
        <f t="shared" si="37"/>
        <v>0</v>
      </c>
      <c r="G292" s="149"/>
      <c r="H292" s="150"/>
      <c r="I292" s="151">
        <f t="shared" si="38"/>
        <v>0</v>
      </c>
      <c r="J292" s="149"/>
      <c r="K292" s="150"/>
      <c r="L292" s="151">
        <f t="shared" si="39"/>
        <v>0</v>
      </c>
      <c r="M292" s="365"/>
      <c r="N292" s="363"/>
      <c r="O292" s="151">
        <f t="shared" si="58"/>
        <v>0</v>
      </c>
      <c r="P292" s="153"/>
      <c r="R292" s="53"/>
      <c r="S292" s="53"/>
      <c r="T292" s="53"/>
      <c r="U292" s="53"/>
    </row>
    <row r="293" spans="1:21" ht="24" hidden="1" x14ac:dyDescent="0.25">
      <c r="A293" s="346" t="s">
        <v>314</v>
      </c>
      <c r="B293" s="75" t="s">
        <v>315</v>
      </c>
      <c r="C293" s="128">
        <f t="shared" si="64"/>
        <v>0</v>
      </c>
      <c r="D293" s="134"/>
      <c r="E293" s="285"/>
      <c r="F293" s="286">
        <f t="shared" si="37"/>
        <v>0</v>
      </c>
      <c r="G293" s="134"/>
      <c r="H293" s="135"/>
      <c r="I293" s="136">
        <f t="shared" si="38"/>
        <v>0</v>
      </c>
      <c r="J293" s="134"/>
      <c r="K293" s="135"/>
      <c r="L293" s="136">
        <f t="shared" si="39"/>
        <v>0</v>
      </c>
      <c r="M293" s="284"/>
      <c r="N293" s="285"/>
      <c r="O293" s="136">
        <f t="shared" si="58"/>
        <v>0</v>
      </c>
      <c r="P293" s="85"/>
      <c r="R293" s="53"/>
      <c r="S293" s="53"/>
      <c r="T293" s="53"/>
      <c r="U293" s="53"/>
    </row>
    <row r="294" spans="1:21" hidden="1" x14ac:dyDescent="0.25">
      <c r="A294" s="346" t="s">
        <v>316</v>
      </c>
      <c r="B294" s="75" t="s">
        <v>317</v>
      </c>
      <c r="C294" s="128">
        <f t="shared" si="64"/>
        <v>0</v>
      </c>
      <c r="D294" s="134"/>
      <c r="E294" s="285"/>
      <c r="F294" s="286">
        <f t="shared" si="37"/>
        <v>0</v>
      </c>
      <c r="G294" s="134"/>
      <c r="H294" s="135"/>
      <c r="I294" s="136">
        <f t="shared" si="38"/>
        <v>0</v>
      </c>
      <c r="J294" s="134"/>
      <c r="K294" s="135"/>
      <c r="L294" s="136">
        <f t="shared" si="39"/>
        <v>0</v>
      </c>
      <c r="M294" s="284"/>
      <c r="N294" s="285"/>
      <c r="O294" s="136">
        <f t="shared" si="58"/>
        <v>0</v>
      </c>
      <c r="P294" s="85"/>
      <c r="R294" s="53"/>
      <c r="S294" s="53"/>
      <c r="T294" s="53"/>
      <c r="U294" s="53"/>
    </row>
    <row r="295" spans="1:21" ht="24" hidden="1" x14ac:dyDescent="0.25">
      <c r="A295" s="346" t="s">
        <v>318</v>
      </c>
      <c r="B295" s="75" t="s">
        <v>319</v>
      </c>
      <c r="C295" s="128">
        <f t="shared" si="64"/>
        <v>0</v>
      </c>
      <c r="D295" s="134"/>
      <c r="E295" s="285"/>
      <c r="F295" s="286">
        <f t="shared" si="37"/>
        <v>0</v>
      </c>
      <c r="G295" s="134"/>
      <c r="H295" s="135"/>
      <c r="I295" s="136">
        <f t="shared" si="38"/>
        <v>0</v>
      </c>
      <c r="J295" s="134"/>
      <c r="K295" s="135"/>
      <c r="L295" s="136">
        <f t="shared" si="39"/>
        <v>0</v>
      </c>
      <c r="M295" s="284"/>
      <c r="N295" s="285"/>
      <c r="O295" s="136">
        <f t="shared" si="58"/>
        <v>0</v>
      </c>
      <c r="P295" s="85"/>
      <c r="R295" s="53"/>
      <c r="S295" s="53"/>
      <c r="T295" s="53"/>
      <c r="U295" s="53"/>
    </row>
    <row r="296" spans="1:21" hidden="1" x14ac:dyDescent="0.25">
      <c r="A296" s="346" t="s">
        <v>320</v>
      </c>
      <c r="B296" s="75" t="s">
        <v>321</v>
      </c>
      <c r="C296" s="128">
        <f t="shared" si="64"/>
        <v>0</v>
      </c>
      <c r="D296" s="134"/>
      <c r="E296" s="285"/>
      <c r="F296" s="286">
        <f t="shared" si="37"/>
        <v>0</v>
      </c>
      <c r="G296" s="134"/>
      <c r="H296" s="135"/>
      <c r="I296" s="136">
        <f t="shared" si="38"/>
        <v>0</v>
      </c>
      <c r="J296" s="134"/>
      <c r="K296" s="135"/>
      <c r="L296" s="136">
        <f t="shared" si="39"/>
        <v>0</v>
      </c>
      <c r="M296" s="284"/>
      <c r="N296" s="285"/>
      <c r="O296" s="136">
        <f t="shared" si="58"/>
        <v>0</v>
      </c>
      <c r="P296" s="85"/>
      <c r="R296" s="53"/>
      <c r="S296" s="53"/>
      <c r="T296" s="53"/>
      <c r="U296" s="53"/>
    </row>
    <row r="297" spans="1:21" ht="24" hidden="1" x14ac:dyDescent="0.25">
      <c r="A297" s="389" t="s">
        <v>322</v>
      </c>
      <c r="B297" s="390" t="s">
        <v>323</v>
      </c>
      <c r="C297" s="327">
        <f t="shared" si="64"/>
        <v>0</v>
      </c>
      <c r="D297" s="328"/>
      <c r="E297" s="329"/>
      <c r="F297" s="330">
        <f t="shared" si="37"/>
        <v>0</v>
      </c>
      <c r="G297" s="328"/>
      <c r="H297" s="331"/>
      <c r="I297" s="324">
        <f t="shared" si="38"/>
        <v>0</v>
      </c>
      <c r="J297" s="328"/>
      <c r="K297" s="331"/>
      <c r="L297" s="324">
        <f t="shared" si="39"/>
        <v>0</v>
      </c>
      <c r="M297" s="332"/>
      <c r="N297" s="329"/>
      <c r="O297" s="324">
        <f t="shared" si="58"/>
        <v>0</v>
      </c>
      <c r="P297" s="325"/>
      <c r="R297" s="53"/>
      <c r="S297" s="53"/>
      <c r="T297" s="53"/>
      <c r="U297" s="53"/>
    </row>
    <row r="298" spans="1:21" hidden="1" x14ac:dyDescent="0.25">
      <c r="A298" s="387" t="s">
        <v>324</v>
      </c>
      <c r="B298" s="387" t="s">
        <v>325</v>
      </c>
      <c r="C298" s="391">
        <f t="shared" si="64"/>
        <v>0</v>
      </c>
      <c r="D298" s="392"/>
      <c r="E298" s="393"/>
      <c r="F298" s="388">
        <f t="shared" si="37"/>
        <v>0</v>
      </c>
      <c r="G298" s="392"/>
      <c r="H298" s="394"/>
      <c r="I298" s="383">
        <f t="shared" si="38"/>
        <v>0</v>
      </c>
      <c r="J298" s="392"/>
      <c r="K298" s="394"/>
      <c r="L298" s="383">
        <f t="shared" si="39"/>
        <v>0</v>
      </c>
      <c r="M298" s="395"/>
      <c r="N298" s="393"/>
      <c r="O298" s="383">
        <f t="shared" si="58"/>
        <v>0</v>
      </c>
      <c r="P298" s="385"/>
      <c r="R298" s="53"/>
      <c r="S298" s="53"/>
      <c r="T298" s="53"/>
      <c r="U298" s="53"/>
    </row>
    <row r="299" spans="1:21" s="41" customFormat="1" ht="48" hidden="1" x14ac:dyDescent="0.25">
      <c r="A299" s="387" t="s">
        <v>326</v>
      </c>
      <c r="B299" s="396" t="s">
        <v>327</v>
      </c>
      <c r="C299" s="397">
        <f t="shared" si="64"/>
        <v>0</v>
      </c>
      <c r="D299" s="398"/>
      <c r="E299" s="399"/>
      <c r="F299" s="400">
        <f t="shared" si="37"/>
        <v>0</v>
      </c>
      <c r="G299" s="392"/>
      <c r="H299" s="394"/>
      <c r="I299" s="383">
        <f t="shared" si="38"/>
        <v>0</v>
      </c>
      <c r="J299" s="392"/>
      <c r="K299" s="394"/>
      <c r="L299" s="383">
        <f t="shared" si="39"/>
        <v>0</v>
      </c>
      <c r="M299" s="395"/>
      <c r="N299" s="393"/>
      <c r="O299" s="383">
        <f t="shared" si="58"/>
        <v>0</v>
      </c>
      <c r="P299" s="385"/>
      <c r="R299" s="53"/>
      <c r="S299" s="53"/>
      <c r="T299" s="53"/>
      <c r="U299" s="53"/>
    </row>
    <row r="300" spans="1:21"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21" ht="12.75" thickBot="1" x14ac:dyDescent="0.3">
      <c r="A301" s="404"/>
      <c r="B301" s="405"/>
      <c r="C301" s="405"/>
      <c r="D301" s="405"/>
      <c r="E301" s="405"/>
      <c r="F301" s="405"/>
      <c r="G301" s="405"/>
      <c r="H301" s="405"/>
      <c r="I301" s="405"/>
      <c r="J301" s="405"/>
      <c r="K301" s="405"/>
      <c r="L301" s="405"/>
      <c r="M301" s="405"/>
      <c r="N301" s="405"/>
      <c r="O301" s="405"/>
      <c r="P301" s="406"/>
      <c r="Q301" s="7"/>
    </row>
    <row r="302" spans="1:21" x14ac:dyDescent="0.25">
      <c r="A302" s="5"/>
      <c r="B302" s="5"/>
      <c r="C302" s="5"/>
      <c r="D302" s="5"/>
      <c r="E302" s="5"/>
      <c r="F302" s="5"/>
      <c r="G302" s="5"/>
      <c r="H302" s="5"/>
      <c r="I302" s="5"/>
      <c r="J302" s="5"/>
      <c r="K302" s="5"/>
      <c r="L302" s="5"/>
      <c r="M302" s="5"/>
      <c r="N302" s="5"/>
      <c r="O302" s="5"/>
    </row>
    <row r="303" spans="1:21" x14ac:dyDescent="0.25">
      <c r="A303" s="5"/>
      <c r="B303" s="5"/>
      <c r="C303" s="5"/>
      <c r="D303" s="5"/>
      <c r="E303" s="5"/>
      <c r="F303" s="5"/>
      <c r="G303" s="5"/>
      <c r="H303" s="5"/>
      <c r="I303" s="5"/>
      <c r="J303" s="5"/>
      <c r="K303" s="5"/>
      <c r="L303" s="5"/>
      <c r="M303" s="5"/>
      <c r="N303" s="5"/>
      <c r="O303" s="5"/>
    </row>
    <row r="304" spans="1:21"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BzNZB0fUphjYGKwV0v6mMh1W5NyDSzpsGoWC5+j14kqD0y+/5fPKC9Ft7ucWCfoxrXtn304BvhU4e2vtDemeA==" saltValue="fp0GoK91f+V+S4ET6KxJHQ==" spinCount="100000" sheet="1" objects="1" scenarios="1" selectLockedCells="1" selectUnlockedCells="1"/>
  <autoFilter ref="A22:P300">
    <filterColumn colId="2">
      <filters blank="1">
        <filter val="1 050"/>
        <filter val="1 064"/>
        <filter val="1 186"/>
        <filter val="1 580"/>
        <filter val="1 598"/>
        <filter val="1 930"/>
        <filter val="1 964"/>
        <filter val="10 606"/>
        <filter val="100"/>
        <filter val="121"/>
        <filter val="130"/>
        <filter val="15 839"/>
        <filter val="16 462"/>
        <filter val="166"/>
        <filter val="19 300"/>
        <filter val="2 062"/>
        <filter val="2 088"/>
        <filter val="2 298"/>
        <filter val="2 560"/>
        <filter val="2 895"/>
        <filter val="20"/>
        <filter val="213 019"/>
        <filter val="24"/>
        <filter val="24 501"/>
        <filter val="240 415"/>
        <filter val="26 744"/>
        <filter val="3 046"/>
        <filter val="3 131"/>
        <filter val="3 223"/>
        <filter val="3 234"/>
        <filter val="3 748"/>
        <filter val="316 742"/>
        <filter val="32 706"/>
        <filter val="349 448"/>
        <filter val="351 230"/>
        <filter val="352 671"/>
        <filter val="353 103"/>
        <filter val="4 497"/>
        <filter val="428"/>
        <filter val="432"/>
        <filter val="441"/>
        <filter val="445"/>
        <filter val="459"/>
        <filter val="490"/>
        <filter val="5 019"/>
        <filter val="5 962"/>
        <filter val="50"/>
        <filter val="514"/>
        <filter val="-514"/>
        <filter val="520"/>
        <filter val="59 865"/>
        <filter val="596"/>
        <filter val="6 686"/>
        <filter val="619"/>
        <filter val="630"/>
        <filter val="676"/>
        <filter val="76 327"/>
        <filter val="800"/>
        <filter val="85"/>
        <filter val="877"/>
        <filter val="9 348"/>
        <filter val="92"/>
        <filter val="922"/>
        <filter val="941"/>
        <filter val="946"/>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103.pielikums Jūrmalas pilsētas domes
2017.gada 30.janvāra saistošajiem noteikumiem Nr.10
(Protokols Nr.4, 1.punkts)
 </firstHeader>
    <firstFooter>&amp;L&amp;9&amp;D; &amp;T&amp;R&amp;9&amp;P (&amp;N)</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U321"/>
  <sheetViews>
    <sheetView view="pageLayout" zoomScaleNormal="100" workbookViewId="0">
      <selection activeCell="S10" sqref="S10"/>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6.7109375" style="5" customWidth="1" collapsed="1"/>
    <col min="18" max="18" width="8.42578125" style="5" customWidth="1"/>
    <col min="19" max="20" width="7.5703125" style="5" customWidth="1"/>
    <col min="21" max="16384" width="9.140625" style="5"/>
  </cols>
  <sheetData>
    <row r="1" spans="1:17" x14ac:dyDescent="0.25">
      <c r="B1" s="2"/>
      <c r="C1" s="2"/>
      <c r="D1" s="2"/>
      <c r="E1" s="2"/>
      <c r="F1" s="2"/>
      <c r="G1" s="2"/>
      <c r="H1" s="2"/>
      <c r="I1" s="2"/>
      <c r="J1" s="2"/>
      <c r="K1" s="2"/>
      <c r="L1" s="2"/>
      <c r="M1" s="3"/>
      <c r="N1" s="3"/>
      <c r="O1" s="4" t="s">
        <v>1164</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7"/>
    </row>
    <row r="4" spans="1:17" ht="15.75"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1165</v>
      </c>
      <c r="D6" s="1555"/>
      <c r="E6" s="1555"/>
      <c r="F6" s="1555"/>
      <c r="G6" s="1555"/>
      <c r="H6" s="1555"/>
      <c r="I6" s="1555"/>
      <c r="J6" s="1555"/>
      <c r="K6" s="1555"/>
      <c r="L6" s="1555"/>
      <c r="M6" s="1555"/>
      <c r="N6" s="1555"/>
      <c r="O6" s="1555"/>
      <c r="P6" s="1556"/>
      <c r="Q6" s="7"/>
    </row>
    <row r="7" spans="1:17" ht="12.75" x14ac:dyDescent="0.25">
      <c r="A7" s="13" t="s">
        <v>4</v>
      </c>
      <c r="B7" s="14"/>
      <c r="C7" s="1555" t="s">
        <v>1166</v>
      </c>
      <c r="D7" s="1555"/>
      <c r="E7" s="1555"/>
      <c r="F7" s="1555"/>
      <c r="G7" s="1555"/>
      <c r="H7" s="1555"/>
      <c r="I7" s="1555"/>
      <c r="J7" s="1555"/>
      <c r="K7" s="1555"/>
      <c r="L7" s="1555"/>
      <c r="M7" s="1555"/>
      <c r="N7" s="1555"/>
      <c r="O7" s="1555"/>
      <c r="P7" s="1556"/>
      <c r="Q7" s="7"/>
    </row>
    <row r="8" spans="1:17" x14ac:dyDescent="0.25">
      <c r="A8" s="8" t="s">
        <v>6</v>
      </c>
      <c r="B8" s="9"/>
      <c r="C8" s="1553" t="s">
        <v>1167</v>
      </c>
      <c r="D8" s="1553"/>
      <c r="E8" s="1553"/>
      <c r="F8" s="1553"/>
      <c r="G8" s="1553"/>
      <c r="H8" s="1553"/>
      <c r="I8" s="1553"/>
      <c r="J8" s="1553"/>
      <c r="K8" s="1553"/>
      <c r="L8" s="1553"/>
      <c r="M8" s="1553"/>
      <c r="N8" s="1553"/>
      <c r="O8" s="1553"/>
      <c r="P8" s="1554"/>
      <c r="Q8" s="7"/>
    </row>
    <row r="9" spans="1:17" x14ac:dyDescent="0.25">
      <c r="A9" s="8" t="s">
        <v>8</v>
      </c>
      <c r="B9" s="9"/>
      <c r="C9" s="1553" t="s">
        <v>9</v>
      </c>
      <c r="D9" s="1553"/>
      <c r="E9" s="1553"/>
      <c r="F9" s="1553"/>
      <c r="G9" s="1553"/>
      <c r="H9" s="1553"/>
      <c r="I9" s="1553"/>
      <c r="J9" s="1553"/>
      <c r="K9" s="1553"/>
      <c r="L9" s="1553"/>
      <c r="M9" s="1553"/>
      <c r="N9" s="1553"/>
      <c r="O9" s="1553"/>
      <c r="P9" s="1554"/>
      <c r="Q9" s="7"/>
    </row>
    <row r="10" spans="1:17" ht="24" customHeight="1" x14ac:dyDescent="0.25">
      <c r="A10" s="8" t="s">
        <v>10</v>
      </c>
      <c r="B10" s="9"/>
      <c r="C10" s="1555" t="s">
        <v>11</v>
      </c>
      <c r="D10" s="1555"/>
      <c r="E10" s="1555"/>
      <c r="F10" s="1555"/>
      <c r="G10" s="1555"/>
      <c r="H10" s="1555"/>
      <c r="I10" s="1555"/>
      <c r="J10" s="1555"/>
      <c r="K10" s="1555"/>
      <c r="L10" s="1555"/>
      <c r="M10" s="1555"/>
      <c r="N10" s="1555"/>
      <c r="O10" s="1555"/>
      <c r="P10" s="1556"/>
      <c r="Q10" s="7"/>
    </row>
    <row r="11" spans="1:17" x14ac:dyDescent="0.25">
      <c r="A11" s="8" t="s">
        <v>12</v>
      </c>
      <c r="B11" s="9"/>
      <c r="C11" s="1555" t="s">
        <v>13</v>
      </c>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1168</v>
      </c>
      <c r="D13" s="1553"/>
      <c r="E13" s="1553"/>
      <c r="F13" s="1553"/>
      <c r="G13" s="1553"/>
      <c r="H13" s="1553"/>
      <c r="I13" s="1553"/>
      <c r="J13" s="1553"/>
      <c r="K13" s="1553"/>
      <c r="L13" s="1553"/>
      <c r="M13" s="1553"/>
      <c r="N13" s="1553"/>
      <c r="O13" s="1553"/>
      <c r="P13" s="1554"/>
      <c r="Q13" s="7"/>
    </row>
    <row r="14" spans="1:17" x14ac:dyDescent="0.25">
      <c r="A14" s="8"/>
      <c r="B14" s="9" t="s">
        <v>17</v>
      </c>
      <c r="C14" s="1553" t="s">
        <v>1169</v>
      </c>
      <c r="D14" s="1553"/>
      <c r="E14" s="1553"/>
      <c r="F14" s="1553"/>
      <c r="G14" s="1553"/>
      <c r="H14" s="1553"/>
      <c r="I14" s="1553"/>
      <c r="J14" s="1553"/>
      <c r="K14" s="1553"/>
      <c r="L14" s="1553"/>
      <c r="M14" s="1553"/>
      <c r="N14" s="1553"/>
      <c r="O14" s="1553"/>
      <c r="P14" s="1554"/>
      <c r="Q14" s="7"/>
    </row>
    <row r="15" spans="1:17" x14ac:dyDescent="0.25">
      <c r="A15" s="8"/>
      <c r="B15" s="9" t="s">
        <v>19</v>
      </c>
      <c r="C15" s="1553"/>
      <c r="D15" s="1553"/>
      <c r="E15" s="1553"/>
      <c r="F15" s="1553"/>
      <c r="G15" s="1553"/>
      <c r="H15" s="1553"/>
      <c r="I15" s="1553"/>
      <c r="J15" s="1553"/>
      <c r="K15" s="1553"/>
      <c r="L15" s="1553"/>
      <c r="M15" s="1553"/>
      <c r="N15" s="1553"/>
      <c r="O15" s="1553"/>
      <c r="P15" s="1554"/>
      <c r="Q15" s="7"/>
    </row>
    <row r="16" spans="1:17" x14ac:dyDescent="0.25">
      <c r="A16" s="8"/>
      <c r="B16" s="9" t="s">
        <v>20</v>
      </c>
      <c r="C16" s="1553" t="s">
        <v>1170</v>
      </c>
      <c r="D16" s="1553"/>
      <c r="E16" s="1553"/>
      <c r="F16" s="1553"/>
      <c r="G16" s="1553"/>
      <c r="H16" s="1553"/>
      <c r="I16" s="1553"/>
      <c r="J16" s="1553"/>
      <c r="K16" s="1553"/>
      <c r="L16" s="1553"/>
      <c r="M16" s="1553"/>
      <c r="N16" s="1553"/>
      <c r="O16" s="1553"/>
      <c r="P16" s="1554"/>
      <c r="Q16" s="7"/>
    </row>
    <row r="17" spans="1:21" x14ac:dyDescent="0.25">
      <c r="A17" s="8"/>
      <c r="B17" s="9" t="s">
        <v>22</v>
      </c>
      <c r="C17" s="1553" t="s">
        <v>1171</v>
      </c>
      <c r="D17" s="1553"/>
      <c r="E17" s="1553"/>
      <c r="F17" s="1553"/>
      <c r="G17" s="1553"/>
      <c r="H17" s="1553"/>
      <c r="I17" s="1553"/>
      <c r="J17" s="1553"/>
      <c r="K17" s="1553"/>
      <c r="L17" s="1553"/>
      <c r="M17" s="1553"/>
      <c r="N17" s="1553"/>
      <c r="O17" s="1553"/>
      <c r="P17" s="1554"/>
      <c r="Q17" s="7"/>
    </row>
    <row r="18" spans="1:21" x14ac:dyDescent="0.25">
      <c r="A18" s="18"/>
      <c r="B18" s="19"/>
      <c r="C18" s="1569"/>
      <c r="D18" s="1569"/>
      <c r="E18" s="1569"/>
      <c r="F18" s="1569"/>
      <c r="G18" s="1569"/>
      <c r="H18" s="1569"/>
      <c r="I18" s="1569"/>
      <c r="J18" s="1569"/>
      <c r="K18" s="1569"/>
      <c r="L18" s="1569"/>
      <c r="M18" s="1569"/>
      <c r="N18" s="1569"/>
      <c r="O18" s="1569"/>
      <c r="P18" s="1570"/>
      <c r="Q18" s="7"/>
    </row>
    <row r="19" spans="1:21"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1"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21" s="21" customFormat="1" ht="70.5" customHeight="1" thickBot="1" x14ac:dyDescent="0.3">
      <c r="A21" s="1573"/>
      <c r="B21" s="1576"/>
      <c r="C21" s="1581"/>
      <c r="D21" s="1566"/>
      <c r="E21" s="1568"/>
      <c r="F21" s="1564"/>
      <c r="G21" s="1566"/>
      <c r="H21" s="1568"/>
      <c r="I21" s="1564"/>
      <c r="J21" s="1566"/>
      <c r="K21" s="1568"/>
      <c r="L21" s="1564"/>
      <c r="M21" s="1566"/>
      <c r="N21" s="1568"/>
      <c r="O21" s="1564"/>
      <c r="P21" s="1576"/>
    </row>
    <row r="22" spans="1:21"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1" s="41" customFormat="1" x14ac:dyDescent="0.25">
      <c r="A23" s="30"/>
      <c r="B23" s="31" t="s">
        <v>41</v>
      </c>
      <c r="C23" s="32"/>
      <c r="D23" s="33"/>
      <c r="E23" s="34"/>
      <c r="F23" s="35"/>
      <c r="G23" s="33"/>
      <c r="H23" s="36"/>
      <c r="I23" s="37"/>
      <c r="J23" s="33"/>
      <c r="K23" s="38"/>
      <c r="L23" s="37"/>
      <c r="M23" s="38"/>
      <c r="N23" s="39"/>
      <c r="O23" s="37"/>
      <c r="P23" s="40"/>
    </row>
    <row r="24" spans="1:21" s="41" customFormat="1" ht="12.75" thickBot="1" x14ac:dyDescent="0.3">
      <c r="A24" s="42"/>
      <c r="B24" s="43" t="s">
        <v>42</v>
      </c>
      <c r="C24" s="44">
        <f>F24+I24+L24+O24</f>
        <v>353103</v>
      </c>
      <c r="D24" s="45">
        <f>SUM(D25,D28,D29,D45,D46)</f>
        <v>320885</v>
      </c>
      <c r="E24" s="46">
        <f>SUM(E25,E28,E29,E45,E46)</f>
        <v>0</v>
      </c>
      <c r="F24" s="47">
        <f t="shared" ref="F24:F29" si="0">D24+E24</f>
        <v>320885</v>
      </c>
      <c r="G24" s="45">
        <f>SUM(G25,G28,G46)</f>
        <v>30345</v>
      </c>
      <c r="H24" s="48">
        <f>SUM(H25,H28,H46)</f>
        <v>0</v>
      </c>
      <c r="I24" s="49">
        <f>G24+H24</f>
        <v>30345</v>
      </c>
      <c r="J24" s="45">
        <f>SUM(J25,J30,J46)</f>
        <v>1717</v>
      </c>
      <c r="K24" s="48">
        <f>SUM(K25,K30,K46)</f>
        <v>0</v>
      </c>
      <c r="L24" s="49">
        <f>J24+K24</f>
        <v>1717</v>
      </c>
      <c r="M24" s="50">
        <f>SUM(M25,M48)</f>
        <v>156</v>
      </c>
      <c r="N24" s="51">
        <f>SUM(N25,N48)</f>
        <v>0</v>
      </c>
      <c r="O24" s="49">
        <f>M24+N24</f>
        <v>156</v>
      </c>
      <c r="P24" s="52"/>
      <c r="R24" s="53"/>
      <c r="S24" s="53"/>
      <c r="T24" s="53"/>
      <c r="U24" s="53"/>
    </row>
    <row r="25" spans="1:21" ht="12.75" thickTop="1" x14ac:dyDescent="0.25">
      <c r="A25" s="54"/>
      <c r="B25" s="55" t="s">
        <v>43</v>
      </c>
      <c r="C25" s="56">
        <f>F25+I25+L25+O25</f>
        <v>946</v>
      </c>
      <c r="D25" s="57">
        <f>SUM(D26:D27)</f>
        <v>0</v>
      </c>
      <c r="E25" s="58">
        <f>SUM(E26:E27)</f>
        <v>0</v>
      </c>
      <c r="F25" s="59">
        <f t="shared" si="0"/>
        <v>0</v>
      </c>
      <c r="G25" s="57">
        <f>SUM(G26:G27)</f>
        <v>0</v>
      </c>
      <c r="H25" s="60">
        <f>SUM(H26:H27)</f>
        <v>0</v>
      </c>
      <c r="I25" s="61">
        <f>G25+H25</f>
        <v>0</v>
      </c>
      <c r="J25" s="57">
        <f>SUM(J26:J27)</f>
        <v>840</v>
      </c>
      <c r="K25" s="60">
        <f>SUM(K26:K27)</f>
        <v>0</v>
      </c>
      <c r="L25" s="61">
        <f>J25+K25</f>
        <v>840</v>
      </c>
      <c r="M25" s="62">
        <f>SUM(M26:M27)</f>
        <v>106</v>
      </c>
      <c r="N25" s="63">
        <f>SUM(N26:N27)</f>
        <v>0</v>
      </c>
      <c r="O25" s="61">
        <f>M25+N25</f>
        <v>106</v>
      </c>
      <c r="P25" s="64"/>
      <c r="R25" s="53"/>
      <c r="S25" s="53"/>
      <c r="T25" s="53"/>
      <c r="U25" s="53"/>
    </row>
    <row r="26" spans="1:21" hidden="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c r="R26" s="53"/>
      <c r="S26" s="53"/>
      <c r="T26" s="53"/>
      <c r="U26" s="53"/>
    </row>
    <row r="27" spans="1:21" x14ac:dyDescent="0.25">
      <c r="A27" s="75"/>
      <c r="B27" s="76" t="s">
        <v>45</v>
      </c>
      <c r="C27" s="77">
        <f>F27+I27+L27+O27</f>
        <v>946</v>
      </c>
      <c r="D27" s="78"/>
      <c r="E27" s="79"/>
      <c r="F27" s="80">
        <f t="shared" si="0"/>
        <v>0</v>
      </c>
      <c r="G27" s="78"/>
      <c r="H27" s="81"/>
      <c r="I27" s="82">
        <f>G27+H27</f>
        <v>0</v>
      </c>
      <c r="J27" s="78">
        <v>840</v>
      </c>
      <c r="K27" s="81"/>
      <c r="L27" s="82">
        <f>J27+K27</f>
        <v>840</v>
      </c>
      <c r="M27" s="83">
        <v>106</v>
      </c>
      <c r="N27" s="84"/>
      <c r="O27" s="82">
        <f>M27+N27</f>
        <v>106</v>
      </c>
      <c r="P27" s="85"/>
      <c r="R27" s="53"/>
      <c r="S27" s="53"/>
      <c r="T27" s="53"/>
      <c r="U27" s="53"/>
    </row>
    <row r="28" spans="1:21" s="41" customFormat="1" ht="24.75" thickBot="1" x14ac:dyDescent="0.3">
      <c r="A28" s="86">
        <v>19300</v>
      </c>
      <c r="B28" s="86" t="s">
        <v>46</v>
      </c>
      <c r="C28" s="87">
        <f>SUM(F28,I28)</f>
        <v>351230</v>
      </c>
      <c r="D28" s="88">
        <v>320885</v>
      </c>
      <c r="E28" s="89"/>
      <c r="F28" s="90">
        <f t="shared" si="0"/>
        <v>320885</v>
      </c>
      <c r="G28" s="88">
        <v>30345</v>
      </c>
      <c r="H28" s="91"/>
      <c r="I28" s="92">
        <f>G28+H28</f>
        <v>30345</v>
      </c>
      <c r="J28" s="93" t="s">
        <v>47</v>
      </c>
      <c r="K28" s="94" t="s">
        <v>47</v>
      </c>
      <c r="L28" s="95" t="s">
        <v>47</v>
      </c>
      <c r="M28" s="96" t="s">
        <v>47</v>
      </c>
      <c r="N28" s="97" t="s">
        <v>47</v>
      </c>
      <c r="O28" s="95" t="s">
        <v>47</v>
      </c>
      <c r="P28" s="98"/>
      <c r="R28" s="53"/>
      <c r="S28" s="53"/>
      <c r="T28" s="53"/>
      <c r="U28" s="53"/>
    </row>
    <row r="29" spans="1:21" s="41" customFormat="1" ht="24.75" hidden="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c r="R29" s="53"/>
      <c r="S29" s="53"/>
      <c r="T29" s="53"/>
      <c r="U29" s="53"/>
    </row>
    <row r="30" spans="1:21" s="41" customFormat="1" ht="36.75" thickTop="1" x14ac:dyDescent="0.25">
      <c r="A30" s="99">
        <v>21300</v>
      </c>
      <c r="B30" s="99" t="s">
        <v>49</v>
      </c>
      <c r="C30" s="100">
        <f t="shared" ref="C30:C44" si="1">L30</f>
        <v>877</v>
      </c>
      <c r="D30" s="104" t="s">
        <v>47</v>
      </c>
      <c r="E30" s="110" t="s">
        <v>47</v>
      </c>
      <c r="F30" s="111" t="s">
        <v>47</v>
      </c>
      <c r="G30" s="104" t="s">
        <v>47</v>
      </c>
      <c r="H30" s="105" t="s">
        <v>47</v>
      </c>
      <c r="I30" s="106" t="s">
        <v>47</v>
      </c>
      <c r="J30" s="112">
        <f>SUM(J31,J35,J37,J40)</f>
        <v>877</v>
      </c>
      <c r="K30" s="113">
        <f>SUM(K31,K35,K37,K40)</f>
        <v>0</v>
      </c>
      <c r="L30" s="114">
        <f t="shared" ref="L30:L44" si="2">J30+K30</f>
        <v>877</v>
      </c>
      <c r="M30" s="107" t="s">
        <v>47</v>
      </c>
      <c r="N30" s="108" t="s">
        <v>47</v>
      </c>
      <c r="O30" s="106" t="s">
        <v>47</v>
      </c>
      <c r="P30" s="109"/>
      <c r="R30" s="53"/>
      <c r="S30" s="53"/>
      <c r="T30" s="53"/>
      <c r="U30" s="53"/>
    </row>
    <row r="31" spans="1:21" s="41" customFormat="1" ht="24" x14ac:dyDescent="0.25">
      <c r="A31" s="115">
        <v>21350</v>
      </c>
      <c r="B31" s="99" t="s">
        <v>50</v>
      </c>
      <c r="C31" s="100">
        <f t="shared" si="1"/>
        <v>432</v>
      </c>
      <c r="D31" s="104" t="s">
        <v>47</v>
      </c>
      <c r="E31" s="110" t="s">
        <v>47</v>
      </c>
      <c r="F31" s="111" t="s">
        <v>47</v>
      </c>
      <c r="G31" s="104" t="s">
        <v>47</v>
      </c>
      <c r="H31" s="105" t="s">
        <v>47</v>
      </c>
      <c r="I31" s="106" t="s">
        <v>47</v>
      </c>
      <c r="J31" s="112">
        <f>SUM(J32:J34)</f>
        <v>432</v>
      </c>
      <c r="K31" s="113">
        <f>SUM(K32:K34)</f>
        <v>0</v>
      </c>
      <c r="L31" s="114">
        <f t="shared" si="2"/>
        <v>432</v>
      </c>
      <c r="M31" s="107" t="s">
        <v>47</v>
      </c>
      <c r="N31" s="108" t="s">
        <v>47</v>
      </c>
      <c r="O31" s="106" t="s">
        <v>47</v>
      </c>
      <c r="P31" s="109"/>
      <c r="R31" s="53"/>
      <c r="S31" s="53"/>
      <c r="T31" s="53"/>
      <c r="U31" s="53"/>
    </row>
    <row r="32" spans="1:21" hidden="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c r="R32" s="53"/>
      <c r="S32" s="53"/>
      <c r="T32" s="53"/>
      <c r="U32" s="53"/>
    </row>
    <row r="33" spans="1:21" x14ac:dyDescent="0.25">
      <c r="A33" s="75">
        <v>21352</v>
      </c>
      <c r="B33" s="127" t="s">
        <v>52</v>
      </c>
      <c r="C33" s="128">
        <f t="shared" si="1"/>
        <v>432</v>
      </c>
      <c r="D33" s="129" t="s">
        <v>47</v>
      </c>
      <c r="E33" s="130" t="s">
        <v>47</v>
      </c>
      <c r="F33" s="131" t="s">
        <v>47</v>
      </c>
      <c r="G33" s="129" t="s">
        <v>47</v>
      </c>
      <c r="H33" s="132" t="s">
        <v>47</v>
      </c>
      <c r="I33" s="133" t="s">
        <v>47</v>
      </c>
      <c r="J33" s="134">
        <v>432</v>
      </c>
      <c r="K33" s="135"/>
      <c r="L33" s="136">
        <f t="shared" si="2"/>
        <v>432</v>
      </c>
      <c r="M33" s="137" t="s">
        <v>47</v>
      </c>
      <c r="N33" s="138" t="s">
        <v>47</v>
      </c>
      <c r="O33" s="133" t="s">
        <v>47</v>
      </c>
      <c r="P33" s="85"/>
      <c r="R33" s="53"/>
      <c r="S33" s="53"/>
      <c r="T33" s="53"/>
      <c r="U33" s="53"/>
    </row>
    <row r="34" spans="1:21" ht="24" hidden="1" x14ac:dyDescent="0.25">
      <c r="A34" s="75">
        <v>21359</v>
      </c>
      <c r="B34" s="127" t="s">
        <v>53</v>
      </c>
      <c r="C34" s="128">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c r="R34" s="53"/>
      <c r="S34" s="53"/>
      <c r="T34" s="53"/>
      <c r="U34" s="53"/>
    </row>
    <row r="35" spans="1:21" s="41" customFormat="1" ht="36" hidden="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c r="R35" s="53"/>
      <c r="S35" s="53"/>
      <c r="T35" s="53"/>
      <c r="U35" s="53"/>
    </row>
    <row r="36" spans="1:21" ht="36" hidden="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c r="R36" s="53"/>
      <c r="S36" s="53"/>
      <c r="T36" s="53"/>
      <c r="U36" s="53"/>
    </row>
    <row r="37" spans="1:21" s="41" customFormat="1" x14ac:dyDescent="0.25">
      <c r="A37" s="115">
        <v>21380</v>
      </c>
      <c r="B37" s="99" t="s">
        <v>56</v>
      </c>
      <c r="C37" s="100">
        <f t="shared" si="1"/>
        <v>445</v>
      </c>
      <c r="D37" s="104" t="s">
        <v>47</v>
      </c>
      <c r="E37" s="110" t="s">
        <v>47</v>
      </c>
      <c r="F37" s="111" t="s">
        <v>47</v>
      </c>
      <c r="G37" s="104" t="s">
        <v>47</v>
      </c>
      <c r="H37" s="105" t="s">
        <v>47</v>
      </c>
      <c r="I37" s="106" t="s">
        <v>47</v>
      </c>
      <c r="J37" s="112">
        <f>SUM(J38:J39)</f>
        <v>445</v>
      </c>
      <c r="K37" s="113">
        <f>SUM(K38:K39)</f>
        <v>0</v>
      </c>
      <c r="L37" s="114">
        <f t="shared" si="2"/>
        <v>445</v>
      </c>
      <c r="M37" s="107" t="s">
        <v>47</v>
      </c>
      <c r="N37" s="108" t="s">
        <v>47</v>
      </c>
      <c r="O37" s="106" t="s">
        <v>47</v>
      </c>
      <c r="P37" s="109"/>
      <c r="R37" s="53"/>
      <c r="S37" s="53"/>
      <c r="T37" s="53"/>
      <c r="U37" s="53"/>
    </row>
    <row r="38" spans="1:21" x14ac:dyDescent="0.25">
      <c r="A38" s="951">
        <v>21381</v>
      </c>
      <c r="B38" s="952" t="s">
        <v>57</v>
      </c>
      <c r="C38" s="802">
        <f t="shared" si="1"/>
        <v>445</v>
      </c>
      <c r="D38" s="981" t="s">
        <v>47</v>
      </c>
      <c r="E38" s="982" t="s">
        <v>47</v>
      </c>
      <c r="F38" s="983" t="s">
        <v>47</v>
      </c>
      <c r="G38" s="981" t="s">
        <v>47</v>
      </c>
      <c r="H38" s="984" t="s">
        <v>47</v>
      </c>
      <c r="I38" s="985" t="s">
        <v>47</v>
      </c>
      <c r="J38" s="480">
        <v>445</v>
      </c>
      <c r="K38" s="804"/>
      <c r="L38" s="805">
        <f t="shared" si="2"/>
        <v>445</v>
      </c>
      <c r="M38" s="986" t="s">
        <v>47</v>
      </c>
      <c r="N38" s="987" t="s">
        <v>47</v>
      </c>
      <c r="O38" s="985" t="s">
        <v>47</v>
      </c>
      <c r="P38" s="966"/>
      <c r="R38" s="53"/>
      <c r="S38" s="53"/>
      <c r="T38" s="53"/>
      <c r="U38" s="53"/>
    </row>
    <row r="39" spans="1:21" ht="24" hidden="1" x14ac:dyDescent="0.25">
      <c r="A39" s="76">
        <v>21383</v>
      </c>
      <c r="B39" s="127" t="s">
        <v>58</v>
      </c>
      <c r="C39" s="128">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c r="R39" s="53"/>
      <c r="S39" s="53"/>
      <c r="T39" s="53"/>
      <c r="U39" s="53"/>
    </row>
    <row r="40" spans="1:21" s="41" customFormat="1" ht="24" hidden="1" x14ac:dyDescent="0.25">
      <c r="A40" s="115">
        <v>21390</v>
      </c>
      <c r="B40" s="99" t="s">
        <v>59</v>
      </c>
      <c r="C40" s="100">
        <f t="shared" si="1"/>
        <v>0</v>
      </c>
      <c r="D40" s="104" t="s">
        <v>47</v>
      </c>
      <c r="E40" s="108" t="s">
        <v>47</v>
      </c>
      <c r="F40" s="140" t="s">
        <v>47</v>
      </c>
      <c r="G40" s="104" t="s">
        <v>47</v>
      </c>
      <c r="H40" s="105" t="s">
        <v>47</v>
      </c>
      <c r="I40" s="106" t="s">
        <v>47</v>
      </c>
      <c r="J40" s="112">
        <f>SUM(J41:J44)</f>
        <v>0</v>
      </c>
      <c r="K40" s="113">
        <f>SUM(K41:K44)</f>
        <v>0</v>
      </c>
      <c r="L40" s="114">
        <f t="shared" si="2"/>
        <v>0</v>
      </c>
      <c r="M40" s="107" t="s">
        <v>47</v>
      </c>
      <c r="N40" s="108" t="s">
        <v>47</v>
      </c>
      <c r="O40" s="106" t="s">
        <v>47</v>
      </c>
      <c r="P40" s="109"/>
      <c r="R40" s="53"/>
      <c r="S40" s="53"/>
      <c r="T40" s="53"/>
      <c r="U40" s="53"/>
    </row>
    <row r="41" spans="1:21" ht="24" hidden="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c r="R41" s="53"/>
      <c r="S41" s="53"/>
      <c r="T41" s="53"/>
      <c r="U41" s="53"/>
    </row>
    <row r="42" spans="1:21" hidden="1" x14ac:dyDescent="0.25">
      <c r="A42" s="76">
        <v>21393</v>
      </c>
      <c r="B42" s="127" t="s">
        <v>61</v>
      </c>
      <c r="C42" s="128">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c r="R42" s="53"/>
      <c r="S42" s="53"/>
      <c r="T42" s="53"/>
      <c r="U42" s="53"/>
    </row>
    <row r="43" spans="1:21" hidden="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c r="R43" s="53"/>
      <c r="S43" s="53"/>
      <c r="T43" s="53"/>
      <c r="U43" s="53"/>
    </row>
    <row r="44" spans="1:21" ht="24" hidden="1" x14ac:dyDescent="0.25">
      <c r="A44" s="76">
        <v>21399</v>
      </c>
      <c r="B44" s="127" t="s">
        <v>63</v>
      </c>
      <c r="C44" s="128">
        <f t="shared" si="1"/>
        <v>0</v>
      </c>
      <c r="D44" s="129" t="s">
        <v>47</v>
      </c>
      <c r="E44" s="138" t="s">
        <v>47</v>
      </c>
      <c r="F44" s="139" t="s">
        <v>47</v>
      </c>
      <c r="G44" s="129" t="s">
        <v>47</v>
      </c>
      <c r="H44" s="132" t="s">
        <v>47</v>
      </c>
      <c r="I44" s="133" t="s">
        <v>47</v>
      </c>
      <c r="J44" s="134"/>
      <c r="K44" s="135"/>
      <c r="L44" s="136">
        <f t="shared" si="2"/>
        <v>0</v>
      </c>
      <c r="M44" s="137" t="s">
        <v>47</v>
      </c>
      <c r="N44" s="138" t="s">
        <v>47</v>
      </c>
      <c r="O44" s="133" t="s">
        <v>47</v>
      </c>
      <c r="P44" s="85"/>
      <c r="R44" s="53"/>
      <c r="S44" s="53"/>
      <c r="T44" s="53"/>
      <c r="U44" s="53"/>
    </row>
    <row r="45" spans="1:21" s="41" customFormat="1" ht="24" hidden="1" x14ac:dyDescent="0.25">
      <c r="A45" s="115">
        <v>21420</v>
      </c>
      <c r="B45" s="99" t="s">
        <v>64</v>
      </c>
      <c r="C45" s="156">
        <f>F45</f>
        <v>0</v>
      </c>
      <c r="D45" s="157"/>
      <c r="E45" s="158"/>
      <c r="F45" s="103">
        <f>D45+E45</f>
        <v>0</v>
      </c>
      <c r="G45" s="104" t="s">
        <v>47</v>
      </c>
      <c r="H45" s="105" t="s">
        <v>47</v>
      </c>
      <c r="I45" s="106" t="s">
        <v>47</v>
      </c>
      <c r="J45" s="104" t="s">
        <v>47</v>
      </c>
      <c r="K45" s="105" t="s">
        <v>47</v>
      </c>
      <c r="L45" s="106" t="s">
        <v>47</v>
      </c>
      <c r="M45" s="107" t="s">
        <v>47</v>
      </c>
      <c r="N45" s="108" t="s">
        <v>47</v>
      </c>
      <c r="O45" s="106" t="s">
        <v>47</v>
      </c>
      <c r="P45" s="109"/>
      <c r="R45" s="53"/>
      <c r="S45" s="53"/>
      <c r="T45" s="53"/>
      <c r="U45" s="53"/>
    </row>
    <row r="46" spans="1:21" s="41" customFormat="1" ht="24" hidden="1" x14ac:dyDescent="0.25">
      <c r="A46" s="159">
        <v>21490</v>
      </c>
      <c r="B46" s="160" t="s">
        <v>65</v>
      </c>
      <c r="C46" s="156">
        <f>F46+I46+L46</f>
        <v>0</v>
      </c>
      <c r="D46" s="161">
        <f>D47</f>
        <v>0</v>
      </c>
      <c r="E46" s="162">
        <f>E47</f>
        <v>0</v>
      </c>
      <c r="F46" s="163">
        <f>D46+E46</f>
        <v>0</v>
      </c>
      <c r="G46" s="161">
        <f>G47</f>
        <v>0</v>
      </c>
      <c r="H46" s="164">
        <f t="shared" ref="H46:K46" si="3">H47</f>
        <v>0</v>
      </c>
      <c r="I46" s="165">
        <f>G46+H46</f>
        <v>0</v>
      </c>
      <c r="J46" s="161">
        <f>J47</f>
        <v>0</v>
      </c>
      <c r="K46" s="164">
        <f t="shared" si="3"/>
        <v>0</v>
      </c>
      <c r="L46" s="165">
        <f>J46+K46</f>
        <v>0</v>
      </c>
      <c r="M46" s="107" t="s">
        <v>47</v>
      </c>
      <c r="N46" s="108" t="s">
        <v>47</v>
      </c>
      <c r="O46" s="106" t="s">
        <v>47</v>
      </c>
      <c r="P46" s="109"/>
      <c r="R46" s="53"/>
      <c r="S46" s="53"/>
      <c r="T46" s="53"/>
      <c r="U46" s="53"/>
    </row>
    <row r="47" spans="1:21" s="41" customFormat="1" ht="24" hidden="1" x14ac:dyDescent="0.25">
      <c r="A47" s="76">
        <v>21499</v>
      </c>
      <c r="B47" s="127" t="s">
        <v>66</v>
      </c>
      <c r="C47" s="166">
        <f>F47+I47+L47</f>
        <v>0</v>
      </c>
      <c r="D47" s="68"/>
      <c r="E47" s="69"/>
      <c r="F47" s="70">
        <f>D47+E47</f>
        <v>0</v>
      </c>
      <c r="G47" s="167"/>
      <c r="H47" s="71"/>
      <c r="I47" s="72">
        <f>G47+H47</f>
        <v>0</v>
      </c>
      <c r="J47" s="68"/>
      <c r="K47" s="71"/>
      <c r="L47" s="72">
        <f>J47+K47</f>
        <v>0</v>
      </c>
      <c r="M47" s="152" t="s">
        <v>47</v>
      </c>
      <c r="N47" s="145" t="s">
        <v>47</v>
      </c>
      <c r="O47" s="148" t="s">
        <v>47</v>
      </c>
      <c r="P47" s="153"/>
      <c r="R47" s="53"/>
      <c r="S47" s="53"/>
      <c r="T47" s="53"/>
      <c r="U47" s="53"/>
    </row>
    <row r="48" spans="1:21" ht="24" x14ac:dyDescent="0.25">
      <c r="A48" s="168">
        <v>23000</v>
      </c>
      <c r="B48" s="169" t="s">
        <v>67</v>
      </c>
      <c r="C48" s="156">
        <f>O48</f>
        <v>50</v>
      </c>
      <c r="D48" s="170" t="s">
        <v>47</v>
      </c>
      <c r="E48" s="669" t="s">
        <v>47</v>
      </c>
      <c r="F48" s="907" t="s">
        <v>47</v>
      </c>
      <c r="G48" s="170" t="s">
        <v>47</v>
      </c>
      <c r="H48" s="173" t="s">
        <v>47</v>
      </c>
      <c r="I48" s="174" t="s">
        <v>47</v>
      </c>
      <c r="J48" s="170" t="s">
        <v>47</v>
      </c>
      <c r="K48" s="173" t="s">
        <v>47</v>
      </c>
      <c r="L48" s="174" t="s">
        <v>47</v>
      </c>
      <c r="M48" s="175">
        <f>SUM(M49:M50)</f>
        <v>50</v>
      </c>
      <c r="N48" s="176">
        <f>SUM(N49:N50)</f>
        <v>0</v>
      </c>
      <c r="O48" s="177">
        <f>M48+N48</f>
        <v>50</v>
      </c>
      <c r="P48" s="109"/>
      <c r="R48" s="53"/>
      <c r="S48" s="53"/>
      <c r="T48" s="53"/>
      <c r="U48" s="53"/>
    </row>
    <row r="49" spans="1:21" ht="24" hidden="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c r="R49" s="53"/>
      <c r="S49" s="53"/>
      <c r="T49" s="53"/>
      <c r="U49" s="53"/>
    </row>
    <row r="50" spans="1:21" ht="24" x14ac:dyDescent="0.25">
      <c r="A50" s="178">
        <v>23510</v>
      </c>
      <c r="B50" s="179" t="s">
        <v>69</v>
      </c>
      <c r="C50" s="180">
        <f>O50</f>
        <v>50</v>
      </c>
      <c r="D50" s="181" t="s">
        <v>47</v>
      </c>
      <c r="E50" s="674" t="s">
        <v>47</v>
      </c>
      <c r="F50" s="908" t="s">
        <v>47</v>
      </c>
      <c r="G50" s="181" t="s">
        <v>47</v>
      </c>
      <c r="H50" s="184" t="s">
        <v>47</v>
      </c>
      <c r="I50" s="185" t="s">
        <v>47</v>
      </c>
      <c r="J50" s="181" t="s">
        <v>47</v>
      </c>
      <c r="K50" s="184" t="s">
        <v>47</v>
      </c>
      <c r="L50" s="185" t="s">
        <v>47</v>
      </c>
      <c r="M50" s="186">
        <v>50</v>
      </c>
      <c r="N50" s="187"/>
      <c r="O50" s="188">
        <f>M50+N50</f>
        <v>50</v>
      </c>
      <c r="P50" s="189"/>
      <c r="R50" s="53"/>
      <c r="S50" s="53"/>
      <c r="T50" s="53"/>
      <c r="U50" s="53"/>
    </row>
    <row r="51" spans="1:21" x14ac:dyDescent="0.25">
      <c r="A51" s="190"/>
      <c r="B51" s="179"/>
      <c r="C51" s="191"/>
      <c r="D51" s="192"/>
      <c r="E51" s="193"/>
      <c r="F51" s="194"/>
      <c r="G51" s="192"/>
      <c r="H51" s="195"/>
      <c r="I51" s="185"/>
      <c r="J51" s="196"/>
      <c r="K51" s="197"/>
      <c r="L51" s="188"/>
      <c r="M51" s="186"/>
      <c r="N51" s="187"/>
      <c r="O51" s="188"/>
      <c r="P51" s="189"/>
      <c r="R51" s="53"/>
      <c r="S51" s="53"/>
      <c r="T51" s="53"/>
      <c r="U51" s="53"/>
    </row>
    <row r="52" spans="1:21" s="41" customFormat="1" x14ac:dyDescent="0.25">
      <c r="A52" s="198"/>
      <c r="B52" s="199" t="s">
        <v>70</v>
      </c>
      <c r="C52" s="200"/>
      <c r="D52" s="201"/>
      <c r="E52" s="202"/>
      <c r="F52" s="203"/>
      <c r="G52" s="201"/>
      <c r="H52" s="204"/>
      <c r="I52" s="205"/>
      <c r="J52" s="201"/>
      <c r="K52" s="204"/>
      <c r="L52" s="205"/>
      <c r="M52" s="206"/>
      <c r="N52" s="207"/>
      <c r="O52" s="205"/>
      <c r="P52" s="208"/>
      <c r="R52" s="53"/>
      <c r="S52" s="53"/>
      <c r="T52" s="53"/>
      <c r="U52" s="53"/>
    </row>
    <row r="53" spans="1:21" s="41" customFormat="1" ht="12.75" thickBot="1" x14ac:dyDescent="0.3">
      <c r="A53" s="209"/>
      <c r="B53" s="42" t="s">
        <v>71</v>
      </c>
      <c r="C53" s="210">
        <f t="shared" ref="C53:C116" si="4">F53+I53+L53+O53</f>
        <v>353103</v>
      </c>
      <c r="D53" s="211">
        <f>SUM(D54,D284)</f>
        <v>320885</v>
      </c>
      <c r="E53" s="212">
        <f>SUM(E54,E284)</f>
        <v>0</v>
      </c>
      <c r="F53" s="213">
        <f t="shared" ref="F53:F117" si="5">D53+E53</f>
        <v>320885</v>
      </c>
      <c r="G53" s="211">
        <f>SUM(G54,G284)</f>
        <v>30345</v>
      </c>
      <c r="H53" s="214">
        <f>SUM(H54,H284)</f>
        <v>0</v>
      </c>
      <c r="I53" s="215">
        <f t="shared" ref="I53:I117" si="6">G53+H53</f>
        <v>30345</v>
      </c>
      <c r="J53" s="211">
        <f>SUM(J54,J284)</f>
        <v>1717</v>
      </c>
      <c r="K53" s="214">
        <f>SUM(K54,K284)</f>
        <v>0</v>
      </c>
      <c r="L53" s="215">
        <f t="shared" ref="L53:L117" si="7">J53+K53</f>
        <v>1717</v>
      </c>
      <c r="M53" s="216">
        <f>SUM(M54,M284)</f>
        <v>156</v>
      </c>
      <c r="N53" s="217">
        <f>SUM(N54,N284)</f>
        <v>0</v>
      </c>
      <c r="O53" s="215">
        <f t="shared" ref="O53:O117" si="8">M53+N53</f>
        <v>156</v>
      </c>
      <c r="P53" s="52"/>
      <c r="R53" s="53"/>
      <c r="S53" s="53"/>
      <c r="T53" s="53"/>
      <c r="U53" s="53"/>
    </row>
    <row r="54" spans="1:21" s="41" customFormat="1" ht="36.75" thickTop="1" x14ac:dyDescent="0.25">
      <c r="A54" s="218"/>
      <c r="B54" s="219" t="s">
        <v>72</v>
      </c>
      <c r="C54" s="220">
        <f t="shared" si="4"/>
        <v>352671</v>
      </c>
      <c r="D54" s="221">
        <f>SUM(D55,D197)</f>
        <v>320885</v>
      </c>
      <c r="E54" s="222">
        <f>SUM(E55,E197)</f>
        <v>0</v>
      </c>
      <c r="F54" s="223">
        <f t="shared" si="5"/>
        <v>320885</v>
      </c>
      <c r="G54" s="221">
        <f>SUM(G55,G197)</f>
        <v>30345</v>
      </c>
      <c r="H54" s="224">
        <f>SUM(H55,H197)</f>
        <v>0</v>
      </c>
      <c r="I54" s="225">
        <f t="shared" si="6"/>
        <v>30345</v>
      </c>
      <c r="J54" s="221">
        <f>SUM(J55,J197)</f>
        <v>1285</v>
      </c>
      <c r="K54" s="224">
        <f>SUM(K55,K197)</f>
        <v>0</v>
      </c>
      <c r="L54" s="225">
        <f t="shared" si="7"/>
        <v>1285</v>
      </c>
      <c r="M54" s="226">
        <f>SUM(M55,M197)</f>
        <v>156</v>
      </c>
      <c r="N54" s="227">
        <f>SUM(N55,N197)</f>
        <v>0</v>
      </c>
      <c r="O54" s="225">
        <f t="shared" si="8"/>
        <v>156</v>
      </c>
      <c r="P54" s="228"/>
      <c r="R54" s="53"/>
      <c r="S54" s="53"/>
      <c r="T54" s="53"/>
      <c r="U54" s="53"/>
    </row>
    <row r="55" spans="1:21" s="41" customFormat="1" ht="24" x14ac:dyDescent="0.25">
      <c r="A55" s="35"/>
      <c r="B55" s="30" t="s">
        <v>73</v>
      </c>
      <c r="C55" s="229">
        <f t="shared" si="4"/>
        <v>349448</v>
      </c>
      <c r="D55" s="230">
        <f>SUM(D56,D78,D176,D190)</f>
        <v>318280</v>
      </c>
      <c r="E55" s="231">
        <f>SUM(E56,E78,E176,E190)</f>
        <v>0</v>
      </c>
      <c r="F55" s="232">
        <f t="shared" si="5"/>
        <v>318280</v>
      </c>
      <c r="G55" s="230">
        <f>SUM(G56,G78,G176,G190)</f>
        <v>29925</v>
      </c>
      <c r="H55" s="233">
        <f>SUM(H56,H78,H176,H190)</f>
        <v>0</v>
      </c>
      <c r="I55" s="234">
        <f t="shared" si="6"/>
        <v>29925</v>
      </c>
      <c r="J55" s="230">
        <f>SUM(J56,J78,J176,J190)</f>
        <v>1193</v>
      </c>
      <c r="K55" s="233">
        <f>SUM(K56,K78,K176,K190)</f>
        <v>0</v>
      </c>
      <c r="L55" s="234">
        <f t="shared" si="7"/>
        <v>1193</v>
      </c>
      <c r="M55" s="53">
        <f>SUM(M56,M78,M176,M190)</f>
        <v>50</v>
      </c>
      <c r="N55" s="235">
        <f>SUM(N56,N78,N176,N190)</f>
        <v>0</v>
      </c>
      <c r="O55" s="234">
        <f t="shared" si="8"/>
        <v>50</v>
      </c>
      <c r="P55" s="236"/>
      <c r="R55" s="53"/>
      <c r="S55" s="53"/>
      <c r="T55" s="53"/>
      <c r="U55" s="53"/>
    </row>
    <row r="56" spans="1:21" s="41" customFormat="1" x14ac:dyDescent="0.25">
      <c r="A56" s="237">
        <v>1000</v>
      </c>
      <c r="B56" s="237" t="s">
        <v>74</v>
      </c>
      <c r="C56" s="238">
        <f t="shared" si="4"/>
        <v>316742</v>
      </c>
      <c r="D56" s="239">
        <f>SUM(D57,D70)</f>
        <v>287381</v>
      </c>
      <c r="E56" s="240">
        <f>SUM(E57,E70)</f>
        <v>0</v>
      </c>
      <c r="F56" s="241">
        <f t="shared" si="5"/>
        <v>287381</v>
      </c>
      <c r="G56" s="239">
        <f>SUM(G57,G70)</f>
        <v>29361</v>
      </c>
      <c r="H56" s="242">
        <f>SUM(H57,H70)</f>
        <v>0</v>
      </c>
      <c r="I56" s="243">
        <f t="shared" si="6"/>
        <v>29361</v>
      </c>
      <c r="J56" s="239">
        <f>SUM(J57,J70)</f>
        <v>0</v>
      </c>
      <c r="K56" s="242">
        <f>SUM(K57,K70)</f>
        <v>0</v>
      </c>
      <c r="L56" s="243">
        <f t="shared" si="7"/>
        <v>0</v>
      </c>
      <c r="M56" s="244">
        <f>SUM(M57,M70)</f>
        <v>0</v>
      </c>
      <c r="N56" s="245">
        <f>SUM(N57,N70)</f>
        <v>0</v>
      </c>
      <c r="O56" s="243">
        <f t="shared" si="8"/>
        <v>0</v>
      </c>
      <c r="P56" s="246"/>
      <c r="R56" s="53"/>
      <c r="S56" s="53"/>
      <c r="T56" s="53"/>
      <c r="U56" s="53"/>
    </row>
    <row r="57" spans="1:21" x14ac:dyDescent="0.25">
      <c r="A57" s="99">
        <v>1100</v>
      </c>
      <c r="B57" s="247" t="s">
        <v>75</v>
      </c>
      <c r="C57" s="100">
        <f t="shared" si="4"/>
        <v>240202</v>
      </c>
      <c r="D57" s="112">
        <f>SUM(D58,D61,D69)</f>
        <v>217747</v>
      </c>
      <c r="E57" s="248">
        <f>SUM(E58,E61,E69)</f>
        <v>-213</v>
      </c>
      <c r="F57" s="249">
        <f t="shared" si="5"/>
        <v>217534</v>
      </c>
      <c r="G57" s="112">
        <f>SUM(G58,G61,G69)</f>
        <v>22668</v>
      </c>
      <c r="H57" s="113">
        <f>SUM(H58,H61,H69)</f>
        <v>0</v>
      </c>
      <c r="I57" s="114">
        <f t="shared" si="6"/>
        <v>22668</v>
      </c>
      <c r="J57" s="112">
        <f>SUM(J58,J61,J69)</f>
        <v>0</v>
      </c>
      <c r="K57" s="113">
        <f>SUM(K58,K61,K69)</f>
        <v>0</v>
      </c>
      <c r="L57" s="114">
        <f t="shared" si="7"/>
        <v>0</v>
      </c>
      <c r="M57" s="250">
        <f>SUM(M58,M61,M69)</f>
        <v>0</v>
      </c>
      <c r="N57" s="251">
        <f>SUM(N58,N61,N69)</f>
        <v>0</v>
      </c>
      <c r="O57" s="252">
        <f t="shared" si="8"/>
        <v>0</v>
      </c>
      <c r="P57" s="253"/>
      <c r="R57" s="53"/>
      <c r="S57" s="53"/>
      <c r="T57" s="53"/>
      <c r="U57" s="53"/>
    </row>
    <row r="58" spans="1:21" x14ac:dyDescent="0.25">
      <c r="A58" s="254">
        <v>1110</v>
      </c>
      <c r="B58" s="179" t="s">
        <v>76</v>
      </c>
      <c r="C58" s="191">
        <f t="shared" si="4"/>
        <v>213019</v>
      </c>
      <c r="D58" s="255">
        <f>SUM(D59:D60)</f>
        <v>190852</v>
      </c>
      <c r="E58" s="256">
        <f>SUM(E59:E60)</f>
        <v>0</v>
      </c>
      <c r="F58" s="257">
        <f t="shared" si="5"/>
        <v>190852</v>
      </c>
      <c r="G58" s="255">
        <f>SUM(G59:G60)</f>
        <v>22167</v>
      </c>
      <c r="H58" s="258">
        <f>SUM(H59:H60)</f>
        <v>0</v>
      </c>
      <c r="I58" s="259">
        <f t="shared" si="6"/>
        <v>22167</v>
      </c>
      <c r="J58" s="255">
        <f>SUM(J59:J60)</f>
        <v>0</v>
      </c>
      <c r="K58" s="258">
        <f>SUM(K59:K60)</f>
        <v>0</v>
      </c>
      <c r="L58" s="259">
        <f t="shared" si="7"/>
        <v>0</v>
      </c>
      <c r="M58" s="260">
        <f>SUM(M59:M60)</f>
        <v>0</v>
      </c>
      <c r="N58" s="261">
        <f>SUM(N59:N60)</f>
        <v>0</v>
      </c>
      <c r="O58" s="259">
        <f t="shared" si="8"/>
        <v>0</v>
      </c>
      <c r="P58" s="189"/>
      <c r="R58" s="53"/>
      <c r="S58" s="53"/>
      <c r="T58" s="53"/>
      <c r="U58" s="53"/>
    </row>
    <row r="59" spans="1:21" hidden="1" x14ac:dyDescent="0.25">
      <c r="A59" s="66">
        <v>1111</v>
      </c>
      <c r="B59" s="116" t="s">
        <v>77</v>
      </c>
      <c r="C59" s="117">
        <f t="shared" si="4"/>
        <v>0</v>
      </c>
      <c r="D59" s="123"/>
      <c r="E59" s="262"/>
      <c r="F59" s="263">
        <f t="shared" si="5"/>
        <v>0</v>
      </c>
      <c r="G59" s="123"/>
      <c r="H59" s="124"/>
      <c r="I59" s="125">
        <f t="shared" si="6"/>
        <v>0</v>
      </c>
      <c r="J59" s="123"/>
      <c r="K59" s="124"/>
      <c r="L59" s="125">
        <f t="shared" si="7"/>
        <v>0</v>
      </c>
      <c r="M59" s="264"/>
      <c r="N59" s="262"/>
      <c r="O59" s="125">
        <f t="shared" si="8"/>
        <v>0</v>
      </c>
      <c r="P59" s="74"/>
      <c r="R59" s="53"/>
      <c r="S59" s="53"/>
      <c r="T59" s="53"/>
      <c r="U59" s="53"/>
    </row>
    <row r="60" spans="1:21" ht="24" x14ac:dyDescent="0.25">
      <c r="A60" s="76">
        <v>1119</v>
      </c>
      <c r="B60" s="127" t="s">
        <v>78</v>
      </c>
      <c r="C60" s="128">
        <f t="shared" si="4"/>
        <v>213019</v>
      </c>
      <c r="D60" s="134">
        <v>190852</v>
      </c>
      <c r="E60" s="283"/>
      <c r="F60" s="279">
        <f t="shared" si="5"/>
        <v>190852</v>
      </c>
      <c r="G60" s="134">
        <f>21620+547</f>
        <v>22167</v>
      </c>
      <c r="H60" s="135"/>
      <c r="I60" s="136">
        <f t="shared" si="6"/>
        <v>22167</v>
      </c>
      <c r="J60" s="134"/>
      <c r="K60" s="135"/>
      <c r="L60" s="136">
        <f t="shared" si="7"/>
        <v>0</v>
      </c>
      <c r="M60" s="284"/>
      <c r="N60" s="285"/>
      <c r="O60" s="136">
        <f t="shared" si="8"/>
        <v>0</v>
      </c>
      <c r="P60" s="85"/>
      <c r="R60" s="53"/>
      <c r="S60" s="53"/>
      <c r="T60" s="53"/>
      <c r="U60" s="53"/>
    </row>
    <row r="61" spans="1:21" ht="24" x14ac:dyDescent="0.25">
      <c r="A61" s="276">
        <v>1140</v>
      </c>
      <c r="B61" s="127" t="s">
        <v>79</v>
      </c>
      <c r="C61" s="128">
        <f t="shared" si="4"/>
        <v>24288</v>
      </c>
      <c r="D61" s="277">
        <f>SUM(D62:D68)</f>
        <v>24000</v>
      </c>
      <c r="E61" s="278">
        <f>SUM(E62:E68)</f>
        <v>-213</v>
      </c>
      <c r="F61" s="279">
        <f>D61+E61</f>
        <v>23787</v>
      </c>
      <c r="G61" s="277">
        <f>SUM(G62:G68)</f>
        <v>501</v>
      </c>
      <c r="H61" s="280">
        <f>SUM(H62:H68)</f>
        <v>0</v>
      </c>
      <c r="I61" s="136">
        <f t="shared" si="6"/>
        <v>501</v>
      </c>
      <c r="J61" s="277">
        <f>SUM(J62:J68)</f>
        <v>0</v>
      </c>
      <c r="K61" s="280">
        <f>SUM(K62:K68)</f>
        <v>0</v>
      </c>
      <c r="L61" s="136">
        <f t="shared" si="7"/>
        <v>0</v>
      </c>
      <c r="M61" s="281">
        <f>SUM(M62:M68)</f>
        <v>0</v>
      </c>
      <c r="N61" s="282">
        <f>SUM(N62:N68)</f>
        <v>0</v>
      </c>
      <c r="O61" s="136">
        <f t="shared" si="8"/>
        <v>0</v>
      </c>
      <c r="P61" s="85"/>
      <c r="R61" s="53"/>
      <c r="S61" s="53"/>
      <c r="T61" s="53"/>
      <c r="U61" s="53"/>
    </row>
    <row r="62" spans="1:21" x14ac:dyDescent="0.25">
      <c r="A62" s="76">
        <v>1141</v>
      </c>
      <c r="B62" s="127" t="s">
        <v>80</v>
      </c>
      <c r="C62" s="128">
        <f t="shared" si="4"/>
        <v>3748</v>
      </c>
      <c r="D62" s="134">
        <v>3748</v>
      </c>
      <c r="E62" s="283"/>
      <c r="F62" s="279">
        <f t="shared" si="5"/>
        <v>3748</v>
      </c>
      <c r="G62" s="134"/>
      <c r="H62" s="135"/>
      <c r="I62" s="136">
        <f t="shared" si="6"/>
        <v>0</v>
      </c>
      <c r="J62" s="134"/>
      <c r="K62" s="135"/>
      <c r="L62" s="136">
        <f t="shared" si="7"/>
        <v>0</v>
      </c>
      <c r="M62" s="284"/>
      <c r="N62" s="285"/>
      <c r="O62" s="136">
        <f t="shared" si="8"/>
        <v>0</v>
      </c>
      <c r="P62" s="85"/>
      <c r="R62" s="53"/>
      <c r="S62" s="53"/>
      <c r="T62" s="53"/>
      <c r="U62" s="53"/>
    </row>
    <row r="63" spans="1:21" ht="24" x14ac:dyDescent="0.25">
      <c r="A63" s="76">
        <v>1142</v>
      </c>
      <c r="B63" s="127" t="s">
        <v>81</v>
      </c>
      <c r="C63" s="128">
        <f t="shared" si="4"/>
        <v>922</v>
      </c>
      <c r="D63" s="134">
        <v>922</v>
      </c>
      <c r="E63" s="283"/>
      <c r="F63" s="279">
        <f t="shared" si="5"/>
        <v>922</v>
      </c>
      <c r="G63" s="134"/>
      <c r="H63" s="135"/>
      <c r="I63" s="136">
        <f t="shared" si="6"/>
        <v>0</v>
      </c>
      <c r="J63" s="134"/>
      <c r="K63" s="135"/>
      <c r="L63" s="136">
        <f t="shared" si="7"/>
        <v>0</v>
      </c>
      <c r="M63" s="284"/>
      <c r="N63" s="285"/>
      <c r="O63" s="136">
        <f t="shared" si="8"/>
        <v>0</v>
      </c>
      <c r="P63" s="85"/>
      <c r="R63" s="53"/>
      <c r="S63" s="53"/>
      <c r="T63" s="53"/>
      <c r="U63" s="53"/>
    </row>
    <row r="64" spans="1:21" ht="24" hidden="1" x14ac:dyDescent="0.25">
      <c r="A64" s="76">
        <v>1145</v>
      </c>
      <c r="B64" s="127" t="s">
        <v>82</v>
      </c>
      <c r="C64" s="128">
        <f t="shared" si="4"/>
        <v>0</v>
      </c>
      <c r="D64" s="134"/>
      <c r="E64" s="285"/>
      <c r="F64" s="286">
        <f t="shared" si="5"/>
        <v>0</v>
      </c>
      <c r="G64" s="134"/>
      <c r="H64" s="135"/>
      <c r="I64" s="136">
        <f t="shared" si="6"/>
        <v>0</v>
      </c>
      <c r="J64" s="134"/>
      <c r="K64" s="135"/>
      <c r="L64" s="136">
        <f t="shared" si="7"/>
        <v>0</v>
      </c>
      <c r="M64" s="284"/>
      <c r="N64" s="285"/>
      <c r="O64" s="136">
        <f t="shared" si="8"/>
        <v>0</v>
      </c>
      <c r="P64" s="85"/>
      <c r="R64" s="53"/>
      <c r="S64" s="53"/>
      <c r="T64" s="53"/>
      <c r="U64" s="53"/>
    </row>
    <row r="65" spans="1:21" ht="24" hidden="1" x14ac:dyDescent="0.25">
      <c r="A65" s="76">
        <v>1146</v>
      </c>
      <c r="B65" s="127" t="s">
        <v>83</v>
      </c>
      <c r="C65" s="128">
        <f t="shared" si="4"/>
        <v>0</v>
      </c>
      <c r="D65" s="134"/>
      <c r="E65" s="285"/>
      <c r="F65" s="286">
        <f t="shared" si="5"/>
        <v>0</v>
      </c>
      <c r="G65" s="134"/>
      <c r="H65" s="135"/>
      <c r="I65" s="136">
        <f t="shared" si="6"/>
        <v>0</v>
      </c>
      <c r="J65" s="134"/>
      <c r="K65" s="135"/>
      <c r="L65" s="136">
        <f t="shared" si="7"/>
        <v>0</v>
      </c>
      <c r="M65" s="284"/>
      <c r="N65" s="285"/>
      <c r="O65" s="136">
        <f t="shared" si="8"/>
        <v>0</v>
      </c>
      <c r="P65" s="85"/>
      <c r="R65" s="53"/>
      <c r="S65" s="53"/>
      <c r="T65" s="53"/>
      <c r="U65" s="53"/>
    </row>
    <row r="66" spans="1:21" x14ac:dyDescent="0.25">
      <c r="A66" s="76">
        <v>1147</v>
      </c>
      <c r="B66" s="127" t="s">
        <v>84</v>
      </c>
      <c r="C66" s="128">
        <f t="shared" si="4"/>
        <v>1717</v>
      </c>
      <c r="D66" s="134">
        <v>1930</v>
      </c>
      <c r="E66" s="283">
        <v>-213</v>
      </c>
      <c r="F66" s="279">
        <f t="shared" si="5"/>
        <v>1717</v>
      </c>
      <c r="G66" s="134"/>
      <c r="H66" s="135"/>
      <c r="I66" s="136">
        <f t="shared" si="6"/>
        <v>0</v>
      </c>
      <c r="J66" s="134"/>
      <c r="K66" s="135"/>
      <c r="L66" s="136">
        <f t="shared" si="7"/>
        <v>0</v>
      </c>
      <c r="M66" s="284"/>
      <c r="N66" s="285"/>
      <c r="O66" s="136">
        <f t="shared" si="8"/>
        <v>0</v>
      </c>
      <c r="P66" s="85"/>
      <c r="R66" s="53"/>
      <c r="S66" s="53"/>
      <c r="T66" s="53"/>
      <c r="U66" s="53"/>
    </row>
    <row r="67" spans="1:21" x14ac:dyDescent="0.25">
      <c r="A67" s="76">
        <v>1148</v>
      </c>
      <c r="B67" s="127" t="s">
        <v>85</v>
      </c>
      <c r="C67" s="128">
        <f t="shared" si="4"/>
        <v>15839</v>
      </c>
      <c r="D67" s="134">
        <v>15839</v>
      </c>
      <c r="E67" s="283"/>
      <c r="F67" s="279">
        <f t="shared" si="5"/>
        <v>15839</v>
      </c>
      <c r="G67" s="134"/>
      <c r="H67" s="135"/>
      <c r="I67" s="136">
        <f t="shared" si="6"/>
        <v>0</v>
      </c>
      <c r="J67" s="134"/>
      <c r="K67" s="135"/>
      <c r="L67" s="136">
        <f t="shared" si="7"/>
        <v>0</v>
      </c>
      <c r="M67" s="284"/>
      <c r="N67" s="285"/>
      <c r="O67" s="136">
        <f t="shared" si="8"/>
        <v>0</v>
      </c>
      <c r="P67" s="85"/>
      <c r="R67" s="53"/>
      <c r="S67" s="53"/>
      <c r="T67" s="53"/>
      <c r="U67" s="53"/>
    </row>
    <row r="68" spans="1:21" ht="36" x14ac:dyDescent="0.25">
      <c r="A68" s="76">
        <v>1149</v>
      </c>
      <c r="B68" s="127" t="s">
        <v>86</v>
      </c>
      <c r="C68" s="128">
        <f t="shared" si="4"/>
        <v>2062</v>
      </c>
      <c r="D68" s="134">
        <v>1561</v>
      </c>
      <c r="E68" s="283"/>
      <c r="F68" s="279">
        <f t="shared" si="5"/>
        <v>1561</v>
      </c>
      <c r="G68" s="134">
        <f>1668-1167</f>
        <v>501</v>
      </c>
      <c r="H68" s="135"/>
      <c r="I68" s="136">
        <f t="shared" si="6"/>
        <v>501</v>
      </c>
      <c r="J68" s="134"/>
      <c r="K68" s="135"/>
      <c r="L68" s="136">
        <f t="shared" si="7"/>
        <v>0</v>
      </c>
      <c r="M68" s="284"/>
      <c r="N68" s="285"/>
      <c r="O68" s="136">
        <f t="shared" si="8"/>
        <v>0</v>
      </c>
      <c r="P68" s="85"/>
      <c r="R68" s="53"/>
      <c r="S68" s="53"/>
      <c r="T68" s="53"/>
      <c r="U68" s="53"/>
    </row>
    <row r="69" spans="1:21" ht="36" x14ac:dyDescent="0.25">
      <c r="A69" s="254">
        <v>1150</v>
      </c>
      <c r="B69" s="179" t="s">
        <v>87</v>
      </c>
      <c r="C69" s="128">
        <f t="shared" si="4"/>
        <v>2895</v>
      </c>
      <c r="D69" s="287">
        <v>2895</v>
      </c>
      <c r="E69" s="288"/>
      <c r="F69" s="257">
        <f t="shared" si="5"/>
        <v>2895</v>
      </c>
      <c r="G69" s="287"/>
      <c r="H69" s="289"/>
      <c r="I69" s="259">
        <f t="shared" si="6"/>
        <v>0</v>
      </c>
      <c r="J69" s="287"/>
      <c r="K69" s="289"/>
      <c r="L69" s="259">
        <f t="shared" si="7"/>
        <v>0</v>
      </c>
      <c r="M69" s="290"/>
      <c r="N69" s="291"/>
      <c r="O69" s="259">
        <f t="shared" si="8"/>
        <v>0</v>
      </c>
      <c r="P69" s="189"/>
      <c r="R69" s="53"/>
      <c r="S69" s="53"/>
      <c r="T69" s="53"/>
      <c r="U69" s="53"/>
    </row>
    <row r="70" spans="1:21" ht="36" x14ac:dyDescent="0.25">
      <c r="A70" s="99">
        <v>1200</v>
      </c>
      <c r="B70" s="247" t="s">
        <v>88</v>
      </c>
      <c r="C70" s="100">
        <f t="shared" si="4"/>
        <v>76540</v>
      </c>
      <c r="D70" s="112">
        <f>SUM(D71:D72)</f>
        <v>69634</v>
      </c>
      <c r="E70" s="248">
        <f>SUM(E71:E72)</f>
        <v>213</v>
      </c>
      <c r="F70" s="249">
        <f>D70+E70</f>
        <v>69847</v>
      </c>
      <c r="G70" s="112">
        <f>SUM(G71:G72)</f>
        <v>6693</v>
      </c>
      <c r="H70" s="113">
        <f>SUM(H71:H72)</f>
        <v>0</v>
      </c>
      <c r="I70" s="114">
        <f t="shared" si="6"/>
        <v>6693</v>
      </c>
      <c r="J70" s="112">
        <f>SUM(J71:J72)</f>
        <v>0</v>
      </c>
      <c r="K70" s="113">
        <f>SUM(K71:K72)</f>
        <v>0</v>
      </c>
      <c r="L70" s="114">
        <f t="shared" si="7"/>
        <v>0</v>
      </c>
      <c r="M70" s="292">
        <f>SUM(M71:M72)</f>
        <v>0</v>
      </c>
      <c r="N70" s="293">
        <f>SUM(N71:N72)</f>
        <v>0</v>
      </c>
      <c r="O70" s="114">
        <f t="shared" si="8"/>
        <v>0</v>
      </c>
      <c r="P70" s="109"/>
      <c r="R70" s="53"/>
      <c r="S70" s="53"/>
      <c r="T70" s="53"/>
      <c r="U70" s="53"/>
    </row>
    <row r="71" spans="1:21" ht="24" x14ac:dyDescent="0.25">
      <c r="A71" s="656">
        <v>1210</v>
      </c>
      <c r="B71" s="116" t="s">
        <v>89</v>
      </c>
      <c r="C71" s="117">
        <f t="shared" si="4"/>
        <v>59865</v>
      </c>
      <c r="D71" s="123">
        <v>53540</v>
      </c>
      <c r="E71" s="295"/>
      <c r="F71" s="296">
        <f t="shared" si="5"/>
        <v>53540</v>
      </c>
      <c r="G71" s="123">
        <f>5605+720</f>
        <v>6325</v>
      </c>
      <c r="H71" s="124"/>
      <c r="I71" s="125">
        <f t="shared" si="6"/>
        <v>6325</v>
      </c>
      <c r="J71" s="123"/>
      <c r="K71" s="124"/>
      <c r="L71" s="125">
        <f t="shared" si="7"/>
        <v>0</v>
      </c>
      <c r="M71" s="264"/>
      <c r="N71" s="262"/>
      <c r="O71" s="125">
        <f t="shared" si="8"/>
        <v>0</v>
      </c>
      <c r="P71" s="85"/>
      <c r="R71" s="53"/>
      <c r="S71" s="53"/>
      <c r="T71" s="53"/>
      <c r="U71" s="53"/>
    </row>
    <row r="72" spans="1:21" ht="24" x14ac:dyDescent="0.25">
      <c r="A72" s="276">
        <v>1220</v>
      </c>
      <c r="B72" s="127" t="s">
        <v>90</v>
      </c>
      <c r="C72" s="128">
        <f t="shared" si="4"/>
        <v>16675</v>
      </c>
      <c r="D72" s="277">
        <f>SUM(D73:D77)</f>
        <v>16094</v>
      </c>
      <c r="E72" s="278">
        <f>SUM(E73:E77)</f>
        <v>213</v>
      </c>
      <c r="F72" s="279">
        <f t="shared" si="5"/>
        <v>16307</v>
      </c>
      <c r="G72" s="277">
        <f>SUM(G73:G77)</f>
        <v>368</v>
      </c>
      <c r="H72" s="280">
        <f>SUM(H73:H77)</f>
        <v>0</v>
      </c>
      <c r="I72" s="136">
        <f t="shared" si="6"/>
        <v>368</v>
      </c>
      <c r="J72" s="277">
        <f>SUM(J73:J77)</f>
        <v>0</v>
      </c>
      <c r="K72" s="280">
        <f>SUM(K73:K77)</f>
        <v>0</v>
      </c>
      <c r="L72" s="136">
        <f t="shared" si="7"/>
        <v>0</v>
      </c>
      <c r="M72" s="281">
        <f>SUM(M73:M77)</f>
        <v>0</v>
      </c>
      <c r="N72" s="282">
        <f>SUM(N73:N77)</f>
        <v>0</v>
      </c>
      <c r="O72" s="136">
        <f t="shared" si="8"/>
        <v>0</v>
      </c>
      <c r="P72" s="85"/>
      <c r="R72" s="53"/>
      <c r="S72" s="53"/>
      <c r="T72" s="53"/>
      <c r="U72" s="53"/>
    </row>
    <row r="73" spans="1:21" ht="60" x14ac:dyDescent="0.25">
      <c r="A73" s="76">
        <v>1221</v>
      </c>
      <c r="B73" s="127" t="s">
        <v>91</v>
      </c>
      <c r="C73" s="128">
        <f t="shared" si="4"/>
        <v>9348</v>
      </c>
      <c r="D73" s="134">
        <v>8980</v>
      </c>
      <c r="E73" s="283"/>
      <c r="F73" s="279">
        <f t="shared" si="5"/>
        <v>8980</v>
      </c>
      <c r="G73" s="134">
        <f>468-100</f>
        <v>368</v>
      </c>
      <c r="H73" s="135"/>
      <c r="I73" s="136">
        <f t="shared" si="6"/>
        <v>368</v>
      </c>
      <c r="J73" s="134"/>
      <c r="K73" s="135"/>
      <c r="L73" s="136">
        <f t="shared" si="7"/>
        <v>0</v>
      </c>
      <c r="M73" s="284"/>
      <c r="N73" s="285"/>
      <c r="O73" s="136">
        <f t="shared" si="8"/>
        <v>0</v>
      </c>
      <c r="P73" s="85"/>
      <c r="R73" s="53"/>
      <c r="S73" s="53"/>
      <c r="T73" s="53"/>
      <c r="U73" s="53"/>
    </row>
    <row r="74" spans="1:21" hidden="1" x14ac:dyDescent="0.25">
      <c r="A74" s="76">
        <v>1223</v>
      </c>
      <c r="B74" s="127" t="s">
        <v>92</v>
      </c>
      <c r="C74" s="128">
        <f t="shared" si="4"/>
        <v>0</v>
      </c>
      <c r="D74" s="134"/>
      <c r="E74" s="285"/>
      <c r="F74" s="286">
        <f t="shared" si="5"/>
        <v>0</v>
      </c>
      <c r="G74" s="134"/>
      <c r="H74" s="135"/>
      <c r="I74" s="136">
        <f t="shared" si="6"/>
        <v>0</v>
      </c>
      <c r="J74" s="134"/>
      <c r="K74" s="135"/>
      <c r="L74" s="136">
        <f t="shared" si="7"/>
        <v>0</v>
      </c>
      <c r="M74" s="284"/>
      <c r="N74" s="285"/>
      <c r="O74" s="136">
        <f t="shared" si="8"/>
        <v>0</v>
      </c>
      <c r="P74" s="85"/>
      <c r="R74" s="53"/>
      <c r="S74" s="53"/>
      <c r="T74" s="53"/>
      <c r="U74" s="53"/>
    </row>
    <row r="75" spans="1:21" hidden="1" x14ac:dyDescent="0.25">
      <c r="A75" s="76">
        <v>1225</v>
      </c>
      <c r="B75" s="127" t="s">
        <v>93</v>
      </c>
      <c r="C75" s="128">
        <f t="shared" si="4"/>
        <v>0</v>
      </c>
      <c r="D75" s="134"/>
      <c r="E75" s="285"/>
      <c r="F75" s="286">
        <f t="shared" si="5"/>
        <v>0</v>
      </c>
      <c r="G75" s="134"/>
      <c r="H75" s="135"/>
      <c r="I75" s="136">
        <f t="shared" si="6"/>
        <v>0</v>
      </c>
      <c r="J75" s="134"/>
      <c r="K75" s="135"/>
      <c r="L75" s="136">
        <f t="shared" si="7"/>
        <v>0</v>
      </c>
      <c r="M75" s="284"/>
      <c r="N75" s="285"/>
      <c r="O75" s="136">
        <f t="shared" si="8"/>
        <v>0</v>
      </c>
      <c r="P75" s="85"/>
      <c r="R75" s="53"/>
      <c r="S75" s="53"/>
      <c r="T75" s="53"/>
      <c r="U75" s="53"/>
    </row>
    <row r="76" spans="1:21" ht="36" x14ac:dyDescent="0.25">
      <c r="A76" s="265">
        <v>1227</v>
      </c>
      <c r="B76" s="266" t="s">
        <v>94</v>
      </c>
      <c r="C76" s="267">
        <f t="shared" si="4"/>
        <v>6686</v>
      </c>
      <c r="D76" s="268">
        <f>6617+69</f>
        <v>6686</v>
      </c>
      <c r="E76" s="269"/>
      <c r="F76" s="270">
        <f t="shared" si="5"/>
        <v>6686</v>
      </c>
      <c r="G76" s="268"/>
      <c r="H76" s="271"/>
      <c r="I76" s="272">
        <f t="shared" si="6"/>
        <v>0</v>
      </c>
      <c r="J76" s="268"/>
      <c r="K76" s="271"/>
      <c r="L76" s="272">
        <f t="shared" si="7"/>
        <v>0</v>
      </c>
      <c r="M76" s="273"/>
      <c r="N76" s="274"/>
      <c r="O76" s="272">
        <f t="shared" si="8"/>
        <v>0</v>
      </c>
      <c r="P76" s="275"/>
      <c r="R76" s="53"/>
      <c r="S76" s="53"/>
      <c r="T76" s="53"/>
      <c r="U76" s="53"/>
    </row>
    <row r="77" spans="1:21" ht="60" x14ac:dyDescent="0.25">
      <c r="A77" s="76">
        <v>1228</v>
      </c>
      <c r="B77" s="127" t="s">
        <v>95</v>
      </c>
      <c r="C77" s="128">
        <f t="shared" si="4"/>
        <v>641</v>
      </c>
      <c r="D77" s="134">
        <v>428</v>
      </c>
      <c r="E77" s="283">
        <v>213</v>
      </c>
      <c r="F77" s="279">
        <f t="shared" si="5"/>
        <v>641</v>
      </c>
      <c r="G77" s="134"/>
      <c r="H77" s="135"/>
      <c r="I77" s="136">
        <f t="shared" si="6"/>
        <v>0</v>
      </c>
      <c r="J77" s="134"/>
      <c r="K77" s="135"/>
      <c r="L77" s="136">
        <f t="shared" si="7"/>
        <v>0</v>
      </c>
      <c r="M77" s="284"/>
      <c r="N77" s="285"/>
      <c r="O77" s="136">
        <f t="shared" si="8"/>
        <v>0</v>
      </c>
      <c r="P77" s="85"/>
      <c r="R77" s="53"/>
      <c r="S77" s="53"/>
      <c r="T77" s="53"/>
      <c r="U77" s="53"/>
    </row>
    <row r="78" spans="1:21" x14ac:dyDescent="0.25">
      <c r="A78" s="237">
        <v>2000</v>
      </c>
      <c r="B78" s="237" t="s">
        <v>96</v>
      </c>
      <c r="C78" s="238">
        <f t="shared" si="4"/>
        <v>32706</v>
      </c>
      <c r="D78" s="239">
        <f>SUM(D79,D86,D133,D167,D168,D175)</f>
        <v>30899</v>
      </c>
      <c r="E78" s="240">
        <f>SUM(E79,E86,E133,E167,E168,E175)</f>
        <v>0</v>
      </c>
      <c r="F78" s="241">
        <f t="shared" si="5"/>
        <v>30899</v>
      </c>
      <c r="G78" s="239">
        <f>SUM(G79,G86,G133,G167,G168,G175)</f>
        <v>564</v>
      </c>
      <c r="H78" s="242">
        <f>SUM(H79,H86,H133,H167,H168,H175)</f>
        <v>0</v>
      </c>
      <c r="I78" s="243">
        <f t="shared" si="6"/>
        <v>564</v>
      </c>
      <c r="J78" s="239">
        <f>SUM(J79,J86,J133,J167,J168,J175)</f>
        <v>1193</v>
      </c>
      <c r="K78" s="242">
        <f>SUM(K79,K86,K133,K167,K168,K175)</f>
        <v>0</v>
      </c>
      <c r="L78" s="243">
        <f t="shared" si="7"/>
        <v>1193</v>
      </c>
      <c r="M78" s="244">
        <f>SUM(M79,M86,M133,M167,M168,M175)</f>
        <v>50</v>
      </c>
      <c r="N78" s="245">
        <f>SUM(N79,N86,N133,N167,N168,N175)</f>
        <v>0</v>
      </c>
      <c r="O78" s="243">
        <f t="shared" si="8"/>
        <v>50</v>
      </c>
      <c r="P78" s="246"/>
      <c r="R78" s="53"/>
      <c r="S78" s="53"/>
      <c r="T78" s="53"/>
      <c r="U78" s="53"/>
    </row>
    <row r="79" spans="1:21" ht="24" hidden="1" x14ac:dyDescent="0.25">
      <c r="A79" s="99">
        <v>2100</v>
      </c>
      <c r="B79" s="247" t="s">
        <v>97</v>
      </c>
      <c r="C79" s="100">
        <f t="shared" si="4"/>
        <v>0</v>
      </c>
      <c r="D79" s="112">
        <f>SUM(D80,D83)</f>
        <v>0</v>
      </c>
      <c r="E79" s="293">
        <f>SUM(E80,E83)</f>
        <v>0</v>
      </c>
      <c r="F79" s="313">
        <f t="shared" si="5"/>
        <v>0</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c r="R79" s="53"/>
      <c r="S79" s="53"/>
      <c r="T79" s="53"/>
      <c r="U79" s="53"/>
    </row>
    <row r="80" spans="1:21" ht="24" hidden="1" x14ac:dyDescent="0.25">
      <c r="A80" s="656">
        <v>2110</v>
      </c>
      <c r="B80" s="116" t="s">
        <v>98</v>
      </c>
      <c r="C80" s="117">
        <f t="shared" si="4"/>
        <v>0</v>
      </c>
      <c r="D80" s="297">
        <f>SUM(D81:D82)</f>
        <v>0</v>
      </c>
      <c r="E80" s="301">
        <f>SUM(E81:E82)</f>
        <v>0</v>
      </c>
      <c r="F80" s="263">
        <f t="shared" si="5"/>
        <v>0</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c r="R80" s="53"/>
      <c r="S80" s="53"/>
      <c r="T80" s="53"/>
      <c r="U80" s="53"/>
    </row>
    <row r="81" spans="1:21" hidden="1" x14ac:dyDescent="0.25">
      <c r="A81" s="76">
        <v>2111</v>
      </c>
      <c r="B81" s="127" t="s">
        <v>99</v>
      </c>
      <c r="C81" s="128">
        <f t="shared" si="4"/>
        <v>0</v>
      </c>
      <c r="D81" s="134"/>
      <c r="E81" s="285"/>
      <c r="F81" s="286">
        <f t="shared" si="5"/>
        <v>0</v>
      </c>
      <c r="G81" s="134"/>
      <c r="H81" s="135"/>
      <c r="I81" s="136">
        <f t="shared" si="6"/>
        <v>0</v>
      </c>
      <c r="J81" s="134"/>
      <c r="K81" s="135"/>
      <c r="L81" s="136">
        <f t="shared" si="7"/>
        <v>0</v>
      </c>
      <c r="M81" s="284"/>
      <c r="N81" s="285"/>
      <c r="O81" s="136">
        <f t="shared" si="8"/>
        <v>0</v>
      </c>
      <c r="P81" s="85"/>
      <c r="R81" s="53"/>
      <c r="S81" s="53"/>
      <c r="T81" s="53"/>
      <c r="U81" s="53"/>
    </row>
    <row r="82" spans="1:21" ht="24" hidden="1" x14ac:dyDescent="0.25">
      <c r="A82" s="265">
        <v>2112</v>
      </c>
      <c r="B82" s="266" t="s">
        <v>100</v>
      </c>
      <c r="C82" s="267">
        <f t="shared" si="4"/>
        <v>0</v>
      </c>
      <c r="D82" s="268">
        <v>0</v>
      </c>
      <c r="E82" s="274"/>
      <c r="F82" s="940">
        <f t="shared" si="5"/>
        <v>0</v>
      </c>
      <c r="G82" s="268"/>
      <c r="H82" s="271"/>
      <c r="I82" s="272">
        <f t="shared" si="6"/>
        <v>0</v>
      </c>
      <c r="J82" s="268"/>
      <c r="K82" s="271"/>
      <c r="L82" s="272">
        <f t="shared" si="7"/>
        <v>0</v>
      </c>
      <c r="M82" s="273"/>
      <c r="N82" s="274"/>
      <c r="O82" s="272">
        <f t="shared" si="8"/>
        <v>0</v>
      </c>
      <c r="P82" s="275"/>
      <c r="R82" s="53"/>
      <c r="S82" s="53"/>
      <c r="T82" s="53"/>
      <c r="U82" s="53"/>
    </row>
    <row r="83" spans="1:21" ht="24" hidden="1" x14ac:dyDescent="0.25">
      <c r="A83" s="276">
        <v>2120</v>
      </c>
      <c r="B83" s="127" t="s">
        <v>101</v>
      </c>
      <c r="C83" s="128">
        <f t="shared" si="4"/>
        <v>0</v>
      </c>
      <c r="D83" s="277">
        <f>SUM(D84:D85)</f>
        <v>0</v>
      </c>
      <c r="E83" s="282">
        <f>SUM(E84:E85)</f>
        <v>0</v>
      </c>
      <c r="F83" s="28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c r="R83" s="53"/>
      <c r="S83" s="53"/>
      <c r="T83" s="53"/>
      <c r="U83" s="53"/>
    </row>
    <row r="84" spans="1:21" hidden="1" x14ac:dyDescent="0.25">
      <c r="A84" s="76">
        <v>2121</v>
      </c>
      <c r="B84" s="127" t="s">
        <v>99</v>
      </c>
      <c r="C84" s="128">
        <f t="shared" si="4"/>
        <v>0</v>
      </c>
      <c r="D84" s="134"/>
      <c r="E84" s="285"/>
      <c r="F84" s="286">
        <f t="shared" si="5"/>
        <v>0</v>
      </c>
      <c r="G84" s="134"/>
      <c r="H84" s="135"/>
      <c r="I84" s="136">
        <f t="shared" si="6"/>
        <v>0</v>
      </c>
      <c r="J84" s="134"/>
      <c r="K84" s="135"/>
      <c r="L84" s="136">
        <f t="shared" si="7"/>
        <v>0</v>
      </c>
      <c r="M84" s="284"/>
      <c r="N84" s="285"/>
      <c r="O84" s="136">
        <f t="shared" si="8"/>
        <v>0</v>
      </c>
      <c r="P84" s="85"/>
      <c r="R84" s="53"/>
      <c r="S84" s="53"/>
      <c r="T84" s="53"/>
      <c r="U84" s="53"/>
    </row>
    <row r="85" spans="1:21" ht="24" hidden="1" x14ac:dyDescent="0.25">
      <c r="A85" s="76">
        <v>2122</v>
      </c>
      <c r="B85" s="127" t="s">
        <v>100</v>
      </c>
      <c r="C85" s="128">
        <f t="shared" si="4"/>
        <v>0</v>
      </c>
      <c r="D85" s="134"/>
      <c r="E85" s="285"/>
      <c r="F85" s="286">
        <f t="shared" si="5"/>
        <v>0</v>
      </c>
      <c r="G85" s="134"/>
      <c r="H85" s="135"/>
      <c r="I85" s="136">
        <f t="shared" si="6"/>
        <v>0</v>
      </c>
      <c r="J85" s="134"/>
      <c r="K85" s="135"/>
      <c r="L85" s="136">
        <f t="shared" si="7"/>
        <v>0</v>
      </c>
      <c r="M85" s="284"/>
      <c r="N85" s="285"/>
      <c r="O85" s="136">
        <f t="shared" si="8"/>
        <v>0</v>
      </c>
      <c r="P85" s="85"/>
      <c r="R85" s="53"/>
      <c r="S85" s="53"/>
      <c r="T85" s="53"/>
      <c r="U85" s="53"/>
    </row>
    <row r="86" spans="1:21" x14ac:dyDescent="0.25">
      <c r="A86" s="99">
        <v>2200</v>
      </c>
      <c r="B86" s="247" t="s">
        <v>102</v>
      </c>
      <c r="C86" s="302">
        <f t="shared" si="4"/>
        <v>26744</v>
      </c>
      <c r="D86" s="112">
        <f>SUM(D87,D92,D98,D106,D115,D119,D125,D131)</f>
        <v>25551</v>
      </c>
      <c r="E86" s="248">
        <f>SUM(E87,E92,E98,E106,E115,E119,E125,E131)</f>
        <v>0</v>
      </c>
      <c r="F86" s="249">
        <f t="shared" si="5"/>
        <v>25551</v>
      </c>
      <c r="G86" s="112">
        <f>SUM(G87,G92,G98,G106,G115,G119,G125,G131)</f>
        <v>0</v>
      </c>
      <c r="H86" s="113">
        <f>SUM(H87,H92,H98,H106,H115,H119,H125,H131)</f>
        <v>0</v>
      </c>
      <c r="I86" s="114">
        <f t="shared" si="6"/>
        <v>0</v>
      </c>
      <c r="J86" s="112">
        <f>SUM(J87,J92,J98,J106,J115,J119,J125,J131)</f>
        <v>1193</v>
      </c>
      <c r="K86" s="113">
        <f>SUM(K87,K92,K98,K106,K115,K119,K125,K131)</f>
        <v>0</v>
      </c>
      <c r="L86" s="114">
        <f t="shared" si="7"/>
        <v>1193</v>
      </c>
      <c r="M86" s="303">
        <f>SUM(M87,M92,M98,M106,M115,M119,M125,M131)</f>
        <v>0</v>
      </c>
      <c r="N86" s="304">
        <f>SUM(N87,N92,N98,N106,N115,N119,N125,N131)</f>
        <v>0</v>
      </c>
      <c r="O86" s="305">
        <f t="shared" si="8"/>
        <v>0</v>
      </c>
      <c r="P86" s="306"/>
      <c r="R86" s="53"/>
      <c r="S86" s="53"/>
      <c r="T86" s="53"/>
      <c r="U86" s="53"/>
    </row>
    <row r="87" spans="1:21" ht="24" x14ac:dyDescent="0.25">
      <c r="A87" s="254">
        <v>2210</v>
      </c>
      <c r="B87" s="179" t="s">
        <v>103</v>
      </c>
      <c r="C87" s="191">
        <f t="shared" si="4"/>
        <v>630</v>
      </c>
      <c r="D87" s="255">
        <f>SUM(D88:D91)</f>
        <v>630</v>
      </c>
      <c r="E87" s="256">
        <f>SUM(E88:E91)</f>
        <v>0</v>
      </c>
      <c r="F87" s="257">
        <f t="shared" si="5"/>
        <v>630</v>
      </c>
      <c r="G87" s="255">
        <f>SUM(G88:G91)</f>
        <v>0</v>
      </c>
      <c r="H87" s="258">
        <f>SUM(H88:H91)</f>
        <v>0</v>
      </c>
      <c r="I87" s="259">
        <f t="shared" si="6"/>
        <v>0</v>
      </c>
      <c r="J87" s="255">
        <f>SUM(J88:J91)</f>
        <v>0</v>
      </c>
      <c r="K87" s="258">
        <f>SUM(K88:K91)</f>
        <v>0</v>
      </c>
      <c r="L87" s="259">
        <f t="shared" si="7"/>
        <v>0</v>
      </c>
      <c r="M87" s="260">
        <f>SUM(M88:M91)</f>
        <v>0</v>
      </c>
      <c r="N87" s="261">
        <f>SUM(N88:N91)</f>
        <v>0</v>
      </c>
      <c r="O87" s="259">
        <f t="shared" si="8"/>
        <v>0</v>
      </c>
      <c r="P87" s="189"/>
      <c r="R87" s="53"/>
      <c r="S87" s="53"/>
      <c r="T87" s="53"/>
      <c r="U87" s="53"/>
    </row>
    <row r="88" spans="1:21" ht="24" hidden="1" x14ac:dyDescent="0.25">
      <c r="A88" s="66">
        <v>2211</v>
      </c>
      <c r="B88" s="116" t="s">
        <v>104</v>
      </c>
      <c r="C88" s="128">
        <f t="shared" si="4"/>
        <v>0</v>
      </c>
      <c r="D88" s="123"/>
      <c r="E88" s="262"/>
      <c r="F88" s="263">
        <f t="shared" si="5"/>
        <v>0</v>
      </c>
      <c r="G88" s="123"/>
      <c r="H88" s="124"/>
      <c r="I88" s="125">
        <f t="shared" si="6"/>
        <v>0</v>
      </c>
      <c r="J88" s="123"/>
      <c r="K88" s="124"/>
      <c r="L88" s="125">
        <f t="shared" si="7"/>
        <v>0</v>
      </c>
      <c r="M88" s="264"/>
      <c r="N88" s="262"/>
      <c r="O88" s="125">
        <f t="shared" si="8"/>
        <v>0</v>
      </c>
      <c r="P88" s="74"/>
      <c r="R88" s="53"/>
      <c r="S88" s="53"/>
      <c r="T88" s="53"/>
      <c r="U88" s="53"/>
    </row>
    <row r="89" spans="1:21" ht="36" x14ac:dyDescent="0.25">
      <c r="A89" s="76">
        <v>2212</v>
      </c>
      <c r="B89" s="127" t="s">
        <v>105</v>
      </c>
      <c r="C89" s="128">
        <f t="shared" si="4"/>
        <v>459</v>
      </c>
      <c r="D89" s="134">
        <f>460-1</f>
        <v>459</v>
      </c>
      <c r="E89" s="283"/>
      <c r="F89" s="279">
        <f t="shared" si="5"/>
        <v>459</v>
      </c>
      <c r="G89" s="134"/>
      <c r="H89" s="135"/>
      <c r="I89" s="136">
        <f t="shared" si="6"/>
        <v>0</v>
      </c>
      <c r="J89" s="134"/>
      <c r="K89" s="135"/>
      <c r="L89" s="136">
        <f t="shared" si="7"/>
        <v>0</v>
      </c>
      <c r="M89" s="284"/>
      <c r="N89" s="285"/>
      <c r="O89" s="136">
        <f t="shared" si="8"/>
        <v>0</v>
      </c>
      <c r="P89" s="85"/>
      <c r="R89" s="53"/>
      <c r="S89" s="53"/>
      <c r="T89" s="53"/>
      <c r="U89" s="53"/>
    </row>
    <row r="90" spans="1:21" ht="24" x14ac:dyDescent="0.25">
      <c r="A90" s="76">
        <v>2214</v>
      </c>
      <c r="B90" s="127" t="s">
        <v>106</v>
      </c>
      <c r="C90" s="128">
        <f t="shared" si="4"/>
        <v>121</v>
      </c>
      <c r="D90" s="134">
        <f>120+1</f>
        <v>121</v>
      </c>
      <c r="E90" s="283"/>
      <c r="F90" s="279">
        <f t="shared" si="5"/>
        <v>121</v>
      </c>
      <c r="G90" s="134"/>
      <c r="H90" s="135"/>
      <c r="I90" s="136">
        <f t="shared" si="6"/>
        <v>0</v>
      </c>
      <c r="J90" s="134"/>
      <c r="K90" s="135"/>
      <c r="L90" s="136">
        <f t="shared" si="7"/>
        <v>0</v>
      </c>
      <c r="M90" s="284"/>
      <c r="N90" s="285"/>
      <c r="O90" s="136">
        <f t="shared" si="8"/>
        <v>0</v>
      </c>
      <c r="P90" s="85"/>
      <c r="R90" s="53"/>
      <c r="S90" s="53"/>
      <c r="T90" s="53"/>
      <c r="U90" s="53"/>
    </row>
    <row r="91" spans="1:21" x14ac:dyDescent="0.25">
      <c r="A91" s="76">
        <v>2219</v>
      </c>
      <c r="B91" s="127" t="s">
        <v>107</v>
      </c>
      <c r="C91" s="128">
        <f t="shared" si="4"/>
        <v>50</v>
      </c>
      <c r="D91" s="134">
        <v>50</v>
      </c>
      <c r="E91" s="283"/>
      <c r="F91" s="279">
        <f t="shared" si="5"/>
        <v>50</v>
      </c>
      <c r="G91" s="134"/>
      <c r="H91" s="135"/>
      <c r="I91" s="136">
        <f t="shared" si="6"/>
        <v>0</v>
      </c>
      <c r="J91" s="134"/>
      <c r="K91" s="135"/>
      <c r="L91" s="136">
        <f t="shared" si="7"/>
        <v>0</v>
      </c>
      <c r="M91" s="284"/>
      <c r="N91" s="285"/>
      <c r="O91" s="136">
        <f t="shared" si="8"/>
        <v>0</v>
      </c>
      <c r="P91" s="85"/>
      <c r="R91" s="53"/>
      <c r="S91" s="53"/>
      <c r="T91" s="53"/>
      <c r="U91" s="53"/>
    </row>
    <row r="92" spans="1:21" ht="24" x14ac:dyDescent="0.25">
      <c r="A92" s="276">
        <v>2220</v>
      </c>
      <c r="B92" s="127" t="s">
        <v>108</v>
      </c>
      <c r="C92" s="128">
        <f t="shared" si="4"/>
        <v>19300</v>
      </c>
      <c r="D92" s="277">
        <f>SUM(D93:D97)</f>
        <v>18855</v>
      </c>
      <c r="E92" s="278">
        <f>SUM(E93:E97)</f>
        <v>0</v>
      </c>
      <c r="F92" s="279">
        <f t="shared" si="5"/>
        <v>18855</v>
      </c>
      <c r="G92" s="277">
        <f>SUM(G93:G97)</f>
        <v>0</v>
      </c>
      <c r="H92" s="280">
        <f>SUM(H93:H97)</f>
        <v>0</v>
      </c>
      <c r="I92" s="136">
        <f t="shared" si="6"/>
        <v>0</v>
      </c>
      <c r="J92" s="277">
        <f>SUM(J93:J97)</f>
        <v>445</v>
      </c>
      <c r="K92" s="280">
        <f>SUM(K93:K97)</f>
        <v>0</v>
      </c>
      <c r="L92" s="136">
        <f t="shared" si="7"/>
        <v>445</v>
      </c>
      <c r="M92" s="281">
        <f>SUM(M93:M97)</f>
        <v>0</v>
      </c>
      <c r="N92" s="282">
        <f>SUM(N93:N97)</f>
        <v>0</v>
      </c>
      <c r="O92" s="136">
        <f t="shared" si="8"/>
        <v>0</v>
      </c>
      <c r="P92" s="85"/>
      <c r="R92" s="53"/>
      <c r="S92" s="53"/>
      <c r="T92" s="53"/>
      <c r="U92" s="53"/>
    </row>
    <row r="93" spans="1:21" x14ac:dyDescent="0.25">
      <c r="A93" s="988">
        <v>2221</v>
      </c>
      <c r="B93" s="989" t="s">
        <v>109</v>
      </c>
      <c r="C93" s="990">
        <f t="shared" si="4"/>
        <v>10606</v>
      </c>
      <c r="D93" s="941">
        <v>10606</v>
      </c>
      <c r="E93" s="991"/>
      <c r="F93" s="992">
        <f t="shared" si="5"/>
        <v>10606</v>
      </c>
      <c r="G93" s="941"/>
      <c r="H93" s="993"/>
      <c r="I93" s="994">
        <f t="shared" si="6"/>
        <v>0</v>
      </c>
      <c r="J93" s="941"/>
      <c r="K93" s="993"/>
      <c r="L93" s="994">
        <f t="shared" si="7"/>
        <v>0</v>
      </c>
      <c r="M93" s="995"/>
      <c r="N93" s="996"/>
      <c r="O93" s="994">
        <f t="shared" si="8"/>
        <v>0</v>
      </c>
      <c r="P93" s="966"/>
      <c r="R93" s="53"/>
      <c r="S93" s="53"/>
      <c r="T93" s="53"/>
      <c r="U93" s="53"/>
    </row>
    <row r="94" spans="1:21" x14ac:dyDescent="0.25">
      <c r="A94" s="76">
        <v>2222</v>
      </c>
      <c r="B94" s="127" t="s">
        <v>110</v>
      </c>
      <c r="C94" s="128">
        <f t="shared" si="4"/>
        <v>3234</v>
      </c>
      <c r="D94" s="134">
        <v>3234</v>
      </c>
      <c r="E94" s="283"/>
      <c r="F94" s="279">
        <f t="shared" si="5"/>
        <v>3234</v>
      </c>
      <c r="G94" s="134"/>
      <c r="H94" s="135"/>
      <c r="I94" s="136">
        <f t="shared" si="6"/>
        <v>0</v>
      </c>
      <c r="J94" s="134"/>
      <c r="K94" s="135"/>
      <c r="L94" s="136">
        <f t="shared" si="7"/>
        <v>0</v>
      </c>
      <c r="M94" s="284"/>
      <c r="N94" s="285"/>
      <c r="O94" s="136">
        <f t="shared" si="8"/>
        <v>0</v>
      </c>
      <c r="P94" s="85"/>
      <c r="R94" s="53"/>
      <c r="S94" s="53"/>
      <c r="T94" s="53"/>
      <c r="U94" s="53"/>
    </row>
    <row r="95" spans="1:21" ht="35.25" customHeight="1" x14ac:dyDescent="0.25">
      <c r="A95" s="76">
        <v>2223</v>
      </c>
      <c r="B95" s="127" t="s">
        <v>111</v>
      </c>
      <c r="C95" s="128">
        <f t="shared" si="4"/>
        <v>5019</v>
      </c>
      <c r="D95" s="134">
        <v>4574</v>
      </c>
      <c r="E95" s="283"/>
      <c r="F95" s="279">
        <f t="shared" si="5"/>
        <v>4574</v>
      </c>
      <c r="G95" s="134"/>
      <c r="H95" s="135"/>
      <c r="I95" s="136">
        <f t="shared" si="6"/>
        <v>0</v>
      </c>
      <c r="J95" s="134">
        <v>445</v>
      </c>
      <c r="K95" s="135"/>
      <c r="L95" s="136">
        <f t="shared" si="7"/>
        <v>445</v>
      </c>
      <c r="M95" s="284"/>
      <c r="N95" s="285"/>
      <c r="O95" s="136">
        <f t="shared" si="8"/>
        <v>0</v>
      </c>
      <c r="P95" s="85"/>
      <c r="R95" s="53"/>
      <c r="S95" s="53"/>
      <c r="T95" s="53"/>
      <c r="U95" s="53"/>
    </row>
    <row r="96" spans="1:21" ht="48" x14ac:dyDescent="0.25">
      <c r="A96" s="76">
        <v>2224</v>
      </c>
      <c r="B96" s="127" t="s">
        <v>112</v>
      </c>
      <c r="C96" s="128">
        <f t="shared" si="4"/>
        <v>441</v>
      </c>
      <c r="D96" s="134">
        <v>441</v>
      </c>
      <c r="E96" s="283"/>
      <c r="F96" s="279">
        <f t="shared" si="5"/>
        <v>441</v>
      </c>
      <c r="G96" s="134"/>
      <c r="H96" s="135"/>
      <c r="I96" s="136">
        <f t="shared" si="6"/>
        <v>0</v>
      </c>
      <c r="J96" s="134"/>
      <c r="K96" s="135"/>
      <c r="L96" s="136">
        <f t="shared" si="7"/>
        <v>0</v>
      </c>
      <c r="M96" s="284"/>
      <c r="N96" s="285"/>
      <c r="O96" s="136">
        <f t="shared" si="8"/>
        <v>0</v>
      </c>
      <c r="P96" s="85"/>
      <c r="R96" s="53"/>
      <c r="S96" s="53"/>
      <c r="T96" s="53"/>
      <c r="U96" s="53"/>
    </row>
    <row r="97" spans="1:21" ht="24" hidden="1" x14ac:dyDescent="0.25">
      <c r="A97" s="76">
        <v>2229</v>
      </c>
      <c r="B97" s="127" t="s">
        <v>113</v>
      </c>
      <c r="C97" s="128">
        <f t="shared" si="4"/>
        <v>0</v>
      </c>
      <c r="D97" s="134"/>
      <c r="E97" s="285"/>
      <c r="F97" s="286">
        <f t="shared" si="5"/>
        <v>0</v>
      </c>
      <c r="G97" s="134"/>
      <c r="H97" s="135"/>
      <c r="I97" s="136">
        <f t="shared" si="6"/>
        <v>0</v>
      </c>
      <c r="J97" s="134"/>
      <c r="K97" s="135"/>
      <c r="L97" s="136">
        <f t="shared" si="7"/>
        <v>0</v>
      </c>
      <c r="M97" s="284"/>
      <c r="N97" s="285"/>
      <c r="O97" s="136">
        <f t="shared" si="8"/>
        <v>0</v>
      </c>
      <c r="P97" s="85"/>
      <c r="R97" s="53"/>
      <c r="S97" s="53"/>
      <c r="T97" s="53"/>
      <c r="U97" s="53"/>
    </row>
    <row r="98" spans="1:21" ht="36" x14ac:dyDescent="0.25">
      <c r="A98" s="276">
        <v>2230</v>
      </c>
      <c r="B98" s="127" t="s">
        <v>114</v>
      </c>
      <c r="C98" s="128">
        <f t="shared" si="4"/>
        <v>1186</v>
      </c>
      <c r="D98" s="277">
        <f>SUM(D99:D105)</f>
        <v>1186</v>
      </c>
      <c r="E98" s="278">
        <f>SUM(E99:E105)</f>
        <v>0</v>
      </c>
      <c r="F98" s="279">
        <f t="shared" si="5"/>
        <v>1186</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c r="R98" s="53"/>
      <c r="S98" s="53"/>
      <c r="T98" s="53"/>
      <c r="U98" s="53"/>
    </row>
    <row r="99" spans="1:21" ht="24" hidden="1" x14ac:dyDescent="0.25">
      <c r="A99" s="76">
        <v>2231</v>
      </c>
      <c r="B99" s="127" t="s">
        <v>115</v>
      </c>
      <c r="C99" s="128">
        <f t="shared" si="4"/>
        <v>0</v>
      </c>
      <c r="D99" s="134"/>
      <c r="E99" s="285"/>
      <c r="F99" s="286">
        <f t="shared" si="5"/>
        <v>0</v>
      </c>
      <c r="G99" s="134"/>
      <c r="H99" s="135"/>
      <c r="I99" s="136">
        <f t="shared" si="6"/>
        <v>0</v>
      </c>
      <c r="J99" s="134"/>
      <c r="K99" s="135"/>
      <c r="L99" s="136">
        <f t="shared" si="7"/>
        <v>0</v>
      </c>
      <c r="M99" s="284"/>
      <c r="N99" s="285"/>
      <c r="O99" s="136">
        <f t="shared" si="8"/>
        <v>0</v>
      </c>
      <c r="P99" s="85"/>
      <c r="R99" s="53"/>
      <c r="S99" s="53"/>
      <c r="T99" s="53"/>
      <c r="U99" s="53"/>
    </row>
    <row r="100" spans="1:21" ht="36" hidden="1" x14ac:dyDescent="0.25">
      <c r="A100" s="76">
        <v>2232</v>
      </c>
      <c r="B100" s="127" t="s">
        <v>116</v>
      </c>
      <c r="C100" s="128">
        <f t="shared" si="4"/>
        <v>0</v>
      </c>
      <c r="D100" s="134"/>
      <c r="E100" s="285"/>
      <c r="F100" s="286">
        <f t="shared" si="5"/>
        <v>0</v>
      </c>
      <c r="G100" s="134"/>
      <c r="H100" s="135"/>
      <c r="I100" s="136">
        <f t="shared" si="6"/>
        <v>0</v>
      </c>
      <c r="J100" s="134"/>
      <c r="K100" s="135"/>
      <c r="L100" s="136">
        <f t="shared" si="7"/>
        <v>0</v>
      </c>
      <c r="M100" s="284"/>
      <c r="N100" s="285"/>
      <c r="O100" s="136">
        <f t="shared" si="8"/>
        <v>0</v>
      </c>
      <c r="P100" s="85"/>
      <c r="R100" s="53"/>
      <c r="S100" s="53"/>
      <c r="T100" s="53"/>
      <c r="U100" s="53"/>
    </row>
    <row r="101" spans="1:21" ht="24" hidden="1" x14ac:dyDescent="0.25">
      <c r="A101" s="66">
        <v>2233</v>
      </c>
      <c r="B101" s="116" t="s">
        <v>117</v>
      </c>
      <c r="C101" s="128">
        <f t="shared" si="4"/>
        <v>0</v>
      </c>
      <c r="D101" s="123"/>
      <c r="E101" s="262"/>
      <c r="F101" s="263">
        <f t="shared" si="5"/>
        <v>0</v>
      </c>
      <c r="G101" s="123"/>
      <c r="H101" s="124"/>
      <c r="I101" s="125">
        <f t="shared" si="6"/>
        <v>0</v>
      </c>
      <c r="J101" s="123"/>
      <c r="K101" s="124"/>
      <c r="L101" s="125">
        <f t="shared" si="7"/>
        <v>0</v>
      </c>
      <c r="M101" s="264"/>
      <c r="N101" s="262"/>
      <c r="O101" s="125">
        <f t="shared" si="8"/>
        <v>0</v>
      </c>
      <c r="P101" s="74"/>
      <c r="R101" s="53"/>
      <c r="S101" s="53"/>
      <c r="T101" s="53"/>
      <c r="U101" s="53"/>
    </row>
    <row r="102" spans="1:21" ht="36" hidden="1" x14ac:dyDescent="0.25">
      <c r="A102" s="76">
        <v>2234</v>
      </c>
      <c r="B102" s="127" t="s">
        <v>118</v>
      </c>
      <c r="C102" s="128">
        <f t="shared" si="4"/>
        <v>0</v>
      </c>
      <c r="D102" s="134"/>
      <c r="E102" s="285"/>
      <c r="F102" s="286">
        <f t="shared" si="5"/>
        <v>0</v>
      </c>
      <c r="G102" s="134"/>
      <c r="H102" s="135"/>
      <c r="I102" s="136">
        <f t="shared" si="6"/>
        <v>0</v>
      </c>
      <c r="J102" s="134"/>
      <c r="K102" s="135"/>
      <c r="L102" s="136">
        <f t="shared" si="7"/>
        <v>0</v>
      </c>
      <c r="M102" s="284"/>
      <c r="N102" s="285"/>
      <c r="O102" s="136">
        <f t="shared" si="8"/>
        <v>0</v>
      </c>
      <c r="P102" s="85"/>
      <c r="R102" s="53"/>
      <c r="S102" s="53"/>
      <c r="T102" s="53"/>
      <c r="U102" s="53"/>
    </row>
    <row r="103" spans="1:21" ht="24" hidden="1" x14ac:dyDescent="0.25">
      <c r="A103" s="76">
        <v>2235</v>
      </c>
      <c r="B103" s="127" t="s">
        <v>119</v>
      </c>
      <c r="C103" s="128">
        <f t="shared" si="4"/>
        <v>0</v>
      </c>
      <c r="D103" s="134"/>
      <c r="E103" s="285"/>
      <c r="F103" s="286">
        <f t="shared" si="5"/>
        <v>0</v>
      </c>
      <c r="G103" s="134"/>
      <c r="H103" s="135"/>
      <c r="I103" s="136">
        <f t="shared" si="6"/>
        <v>0</v>
      </c>
      <c r="J103" s="134"/>
      <c r="K103" s="135"/>
      <c r="L103" s="136">
        <f t="shared" si="7"/>
        <v>0</v>
      </c>
      <c r="M103" s="284"/>
      <c r="N103" s="285"/>
      <c r="O103" s="136">
        <f t="shared" si="8"/>
        <v>0</v>
      </c>
      <c r="P103" s="85"/>
      <c r="R103" s="53"/>
      <c r="S103" s="53"/>
      <c r="T103" s="53"/>
      <c r="U103" s="53"/>
    </row>
    <row r="104" spans="1:21" hidden="1" x14ac:dyDescent="0.25">
      <c r="A104" s="76">
        <v>2236</v>
      </c>
      <c r="B104" s="127" t="s">
        <v>120</v>
      </c>
      <c r="C104" s="128">
        <f t="shared" si="4"/>
        <v>0</v>
      </c>
      <c r="D104" s="134"/>
      <c r="E104" s="285"/>
      <c r="F104" s="286">
        <f t="shared" si="5"/>
        <v>0</v>
      </c>
      <c r="G104" s="134"/>
      <c r="H104" s="135"/>
      <c r="I104" s="136">
        <f t="shared" si="6"/>
        <v>0</v>
      </c>
      <c r="J104" s="134"/>
      <c r="K104" s="135"/>
      <c r="L104" s="136">
        <f t="shared" si="7"/>
        <v>0</v>
      </c>
      <c r="M104" s="284"/>
      <c r="N104" s="285"/>
      <c r="O104" s="136">
        <f t="shared" si="8"/>
        <v>0</v>
      </c>
      <c r="P104" s="85"/>
      <c r="R104" s="53"/>
      <c r="S104" s="53"/>
      <c r="T104" s="53"/>
      <c r="U104" s="53"/>
    </row>
    <row r="105" spans="1:21" ht="24" x14ac:dyDescent="0.25">
      <c r="A105" s="76">
        <v>2239</v>
      </c>
      <c r="B105" s="127" t="s">
        <v>121</v>
      </c>
      <c r="C105" s="128">
        <f t="shared" si="4"/>
        <v>1186</v>
      </c>
      <c r="D105" s="134">
        <v>1186</v>
      </c>
      <c r="E105" s="283"/>
      <c r="F105" s="279">
        <f t="shared" si="5"/>
        <v>1186</v>
      </c>
      <c r="G105" s="134"/>
      <c r="H105" s="135"/>
      <c r="I105" s="136">
        <f t="shared" si="6"/>
        <v>0</v>
      </c>
      <c r="J105" s="134"/>
      <c r="K105" s="135"/>
      <c r="L105" s="136">
        <f t="shared" si="7"/>
        <v>0</v>
      </c>
      <c r="M105" s="284"/>
      <c r="N105" s="285"/>
      <c r="O105" s="136">
        <f t="shared" si="8"/>
        <v>0</v>
      </c>
      <c r="P105" s="85"/>
      <c r="R105" s="53"/>
      <c r="S105" s="53"/>
      <c r="T105" s="53"/>
      <c r="U105" s="53"/>
    </row>
    <row r="106" spans="1:21" ht="36" x14ac:dyDescent="0.25">
      <c r="A106" s="276">
        <v>2240</v>
      </c>
      <c r="B106" s="127" t="s">
        <v>122</v>
      </c>
      <c r="C106" s="128">
        <f t="shared" si="4"/>
        <v>4497</v>
      </c>
      <c r="D106" s="277">
        <f>SUM(D107:D114)</f>
        <v>4497</v>
      </c>
      <c r="E106" s="278">
        <f>SUM(E107:E114)</f>
        <v>0</v>
      </c>
      <c r="F106" s="279">
        <f t="shared" si="5"/>
        <v>4497</v>
      </c>
      <c r="G106" s="277">
        <f>SUM(G107:G114)</f>
        <v>0</v>
      </c>
      <c r="H106" s="280">
        <f>SUM(H107:H114)</f>
        <v>0</v>
      </c>
      <c r="I106" s="136">
        <f t="shared" si="6"/>
        <v>0</v>
      </c>
      <c r="J106" s="277">
        <f>SUM(J107:J114)</f>
        <v>0</v>
      </c>
      <c r="K106" s="280">
        <f>SUM(K107:K114)</f>
        <v>0</v>
      </c>
      <c r="L106" s="136">
        <f t="shared" si="7"/>
        <v>0</v>
      </c>
      <c r="M106" s="281">
        <f>SUM(M107:M114)</f>
        <v>0</v>
      </c>
      <c r="N106" s="282">
        <f>SUM(N107:N114)</f>
        <v>0</v>
      </c>
      <c r="O106" s="136">
        <f t="shared" si="8"/>
        <v>0</v>
      </c>
      <c r="P106" s="85"/>
      <c r="R106" s="53"/>
      <c r="S106" s="53"/>
      <c r="T106" s="53"/>
      <c r="U106" s="53"/>
    </row>
    <row r="107" spans="1:21" hidden="1" x14ac:dyDescent="0.25">
      <c r="A107" s="76">
        <v>2241</v>
      </c>
      <c r="B107" s="127" t="s">
        <v>123</v>
      </c>
      <c r="C107" s="128">
        <f t="shared" si="4"/>
        <v>0</v>
      </c>
      <c r="D107" s="134"/>
      <c r="E107" s="285"/>
      <c r="F107" s="286">
        <f t="shared" si="5"/>
        <v>0</v>
      </c>
      <c r="G107" s="134"/>
      <c r="H107" s="135"/>
      <c r="I107" s="136">
        <f t="shared" si="6"/>
        <v>0</v>
      </c>
      <c r="J107" s="134"/>
      <c r="K107" s="135"/>
      <c r="L107" s="136">
        <f t="shared" si="7"/>
        <v>0</v>
      </c>
      <c r="M107" s="284"/>
      <c r="N107" s="285"/>
      <c r="O107" s="136">
        <f t="shared" si="8"/>
        <v>0</v>
      </c>
      <c r="P107" s="85"/>
      <c r="R107" s="53"/>
      <c r="S107" s="53"/>
      <c r="T107" s="53"/>
      <c r="U107" s="53"/>
    </row>
    <row r="108" spans="1:21" ht="24" hidden="1" x14ac:dyDescent="0.25">
      <c r="A108" s="76">
        <v>2242</v>
      </c>
      <c r="B108" s="127" t="s">
        <v>124</v>
      </c>
      <c r="C108" s="128">
        <f t="shared" si="4"/>
        <v>0</v>
      </c>
      <c r="D108" s="134"/>
      <c r="E108" s="285"/>
      <c r="F108" s="286">
        <f t="shared" si="5"/>
        <v>0</v>
      </c>
      <c r="G108" s="134"/>
      <c r="H108" s="135"/>
      <c r="I108" s="136">
        <f t="shared" si="6"/>
        <v>0</v>
      </c>
      <c r="J108" s="134"/>
      <c r="K108" s="135"/>
      <c r="L108" s="136">
        <f t="shared" si="7"/>
        <v>0</v>
      </c>
      <c r="M108" s="284"/>
      <c r="N108" s="285"/>
      <c r="O108" s="136">
        <f t="shared" si="8"/>
        <v>0</v>
      </c>
      <c r="P108" s="85"/>
      <c r="R108" s="53"/>
      <c r="S108" s="53"/>
      <c r="T108" s="53"/>
      <c r="U108" s="53"/>
    </row>
    <row r="109" spans="1:21" ht="24" x14ac:dyDescent="0.25">
      <c r="A109" s="76">
        <v>2243</v>
      </c>
      <c r="B109" s="127" t="s">
        <v>125</v>
      </c>
      <c r="C109" s="128">
        <f t="shared" si="4"/>
        <v>619</v>
      </c>
      <c r="D109" s="134">
        <v>619</v>
      </c>
      <c r="E109" s="283"/>
      <c r="F109" s="279">
        <f t="shared" si="5"/>
        <v>619</v>
      </c>
      <c r="G109" s="134"/>
      <c r="H109" s="135"/>
      <c r="I109" s="136">
        <f t="shared" si="6"/>
        <v>0</v>
      </c>
      <c r="J109" s="134"/>
      <c r="K109" s="135"/>
      <c r="L109" s="136">
        <f t="shared" si="7"/>
        <v>0</v>
      </c>
      <c r="M109" s="284"/>
      <c r="N109" s="285"/>
      <c r="O109" s="136">
        <f t="shared" si="8"/>
        <v>0</v>
      </c>
      <c r="P109" s="85"/>
      <c r="R109" s="53"/>
      <c r="S109" s="53"/>
      <c r="T109" s="53"/>
      <c r="U109" s="53"/>
    </row>
    <row r="110" spans="1:21" x14ac:dyDescent="0.25">
      <c r="A110" s="76">
        <v>2244</v>
      </c>
      <c r="B110" s="127" t="s">
        <v>126</v>
      </c>
      <c r="C110" s="128">
        <f t="shared" si="4"/>
        <v>2298</v>
      </c>
      <c r="D110" s="134">
        <v>2298</v>
      </c>
      <c r="E110" s="283"/>
      <c r="F110" s="279">
        <f t="shared" si="5"/>
        <v>2298</v>
      </c>
      <c r="G110" s="134"/>
      <c r="H110" s="135"/>
      <c r="I110" s="136">
        <f t="shared" si="6"/>
        <v>0</v>
      </c>
      <c r="J110" s="134"/>
      <c r="K110" s="135"/>
      <c r="L110" s="136">
        <f t="shared" si="7"/>
        <v>0</v>
      </c>
      <c r="M110" s="284"/>
      <c r="N110" s="285"/>
      <c r="O110" s="136">
        <f t="shared" si="8"/>
        <v>0</v>
      </c>
      <c r="P110" s="85"/>
      <c r="R110" s="53"/>
      <c r="S110" s="53"/>
      <c r="T110" s="53"/>
      <c r="U110" s="53"/>
    </row>
    <row r="111" spans="1:21" ht="24" hidden="1" x14ac:dyDescent="0.25">
      <c r="A111" s="76">
        <v>2246</v>
      </c>
      <c r="B111" s="127" t="s">
        <v>127</v>
      </c>
      <c r="C111" s="128">
        <f t="shared" si="4"/>
        <v>0</v>
      </c>
      <c r="D111" s="134"/>
      <c r="E111" s="285"/>
      <c r="F111" s="286">
        <f t="shared" si="5"/>
        <v>0</v>
      </c>
      <c r="G111" s="134"/>
      <c r="H111" s="135"/>
      <c r="I111" s="136">
        <f t="shared" si="6"/>
        <v>0</v>
      </c>
      <c r="J111" s="134"/>
      <c r="K111" s="135"/>
      <c r="L111" s="136">
        <f t="shared" si="7"/>
        <v>0</v>
      </c>
      <c r="M111" s="284"/>
      <c r="N111" s="285"/>
      <c r="O111" s="136">
        <f t="shared" si="8"/>
        <v>0</v>
      </c>
      <c r="P111" s="85"/>
      <c r="R111" s="53"/>
      <c r="S111" s="53"/>
      <c r="T111" s="53"/>
      <c r="U111" s="53"/>
    </row>
    <row r="112" spans="1:21" hidden="1" x14ac:dyDescent="0.25">
      <c r="A112" s="76">
        <v>2247</v>
      </c>
      <c r="B112" s="127" t="s">
        <v>128</v>
      </c>
      <c r="C112" s="128">
        <f t="shared" si="4"/>
        <v>0</v>
      </c>
      <c r="D112" s="134"/>
      <c r="E112" s="285"/>
      <c r="F112" s="286">
        <f t="shared" si="5"/>
        <v>0</v>
      </c>
      <c r="G112" s="134"/>
      <c r="H112" s="135"/>
      <c r="I112" s="136">
        <f t="shared" si="6"/>
        <v>0</v>
      </c>
      <c r="J112" s="134"/>
      <c r="K112" s="135"/>
      <c r="L112" s="136">
        <f t="shared" si="7"/>
        <v>0</v>
      </c>
      <c r="M112" s="284"/>
      <c r="N112" s="285"/>
      <c r="O112" s="136">
        <f t="shared" si="8"/>
        <v>0</v>
      </c>
      <c r="P112" s="85"/>
      <c r="R112" s="53"/>
      <c r="S112" s="53"/>
      <c r="T112" s="53"/>
      <c r="U112" s="53"/>
    </row>
    <row r="113" spans="1:21" ht="24" hidden="1" x14ac:dyDescent="0.25">
      <c r="A113" s="76">
        <v>2248</v>
      </c>
      <c r="B113" s="127" t="s">
        <v>129</v>
      </c>
      <c r="C113" s="128">
        <f t="shared" si="4"/>
        <v>0</v>
      </c>
      <c r="D113" s="134"/>
      <c r="E113" s="285"/>
      <c r="F113" s="286">
        <f t="shared" si="5"/>
        <v>0</v>
      </c>
      <c r="G113" s="134"/>
      <c r="H113" s="135"/>
      <c r="I113" s="136">
        <f t="shared" si="6"/>
        <v>0</v>
      </c>
      <c r="J113" s="134"/>
      <c r="K113" s="135"/>
      <c r="L113" s="136">
        <f t="shared" si="7"/>
        <v>0</v>
      </c>
      <c r="M113" s="284"/>
      <c r="N113" s="285"/>
      <c r="O113" s="136">
        <f t="shared" si="8"/>
        <v>0</v>
      </c>
      <c r="P113" s="85"/>
      <c r="R113" s="53"/>
      <c r="S113" s="53"/>
      <c r="T113" s="53"/>
      <c r="U113" s="53"/>
    </row>
    <row r="114" spans="1:21" ht="24" x14ac:dyDescent="0.25">
      <c r="A114" s="76">
        <v>2249</v>
      </c>
      <c r="B114" s="127" t="s">
        <v>130</v>
      </c>
      <c r="C114" s="128">
        <f t="shared" si="4"/>
        <v>1580</v>
      </c>
      <c r="D114" s="134">
        <v>1580</v>
      </c>
      <c r="E114" s="283"/>
      <c r="F114" s="279">
        <f t="shared" si="5"/>
        <v>1580</v>
      </c>
      <c r="G114" s="134"/>
      <c r="H114" s="135"/>
      <c r="I114" s="136">
        <f t="shared" si="6"/>
        <v>0</v>
      </c>
      <c r="J114" s="134"/>
      <c r="K114" s="135"/>
      <c r="L114" s="136">
        <f t="shared" si="7"/>
        <v>0</v>
      </c>
      <c r="M114" s="284"/>
      <c r="N114" s="285"/>
      <c r="O114" s="136">
        <f t="shared" si="8"/>
        <v>0</v>
      </c>
      <c r="P114" s="85"/>
      <c r="R114" s="53"/>
      <c r="S114" s="53"/>
      <c r="T114" s="53"/>
      <c r="U114" s="53"/>
    </row>
    <row r="115" spans="1:21" x14ac:dyDescent="0.25">
      <c r="A115" s="276">
        <v>2250</v>
      </c>
      <c r="B115" s="127" t="s">
        <v>131</v>
      </c>
      <c r="C115" s="128">
        <f t="shared" si="4"/>
        <v>166</v>
      </c>
      <c r="D115" s="277">
        <f>SUM(D116:D118)</f>
        <v>166</v>
      </c>
      <c r="E115" s="278">
        <f>SUM(E116:E118)</f>
        <v>0</v>
      </c>
      <c r="F115" s="279">
        <f t="shared" si="5"/>
        <v>166</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c r="R115" s="53"/>
      <c r="S115" s="53"/>
      <c r="T115" s="53"/>
      <c r="U115" s="53"/>
    </row>
    <row r="116" spans="1:21" x14ac:dyDescent="0.25">
      <c r="A116" s="76">
        <v>2251</v>
      </c>
      <c r="B116" s="127" t="s">
        <v>132</v>
      </c>
      <c r="C116" s="128">
        <f t="shared" si="4"/>
        <v>166</v>
      </c>
      <c r="D116" s="134">
        <v>166</v>
      </c>
      <c r="E116" s="283"/>
      <c r="F116" s="279">
        <f t="shared" si="5"/>
        <v>166</v>
      </c>
      <c r="G116" s="134"/>
      <c r="H116" s="135"/>
      <c r="I116" s="136">
        <f t="shared" si="6"/>
        <v>0</v>
      </c>
      <c r="J116" s="134"/>
      <c r="K116" s="135"/>
      <c r="L116" s="136">
        <f t="shared" si="7"/>
        <v>0</v>
      </c>
      <c r="M116" s="284"/>
      <c r="N116" s="285"/>
      <c r="O116" s="136">
        <f t="shared" si="8"/>
        <v>0</v>
      </c>
      <c r="P116" s="85"/>
      <c r="R116" s="53"/>
      <c r="S116" s="53"/>
      <c r="T116" s="53"/>
      <c r="U116" s="53"/>
    </row>
    <row r="117" spans="1:21" ht="24" hidden="1" x14ac:dyDescent="0.25">
      <c r="A117" s="76">
        <v>2252</v>
      </c>
      <c r="B117" s="127" t="s">
        <v>133</v>
      </c>
      <c r="C117" s="128">
        <f t="shared" ref="C117:C181" si="9">F117+I117+L117+O117</f>
        <v>0</v>
      </c>
      <c r="D117" s="134"/>
      <c r="E117" s="285"/>
      <c r="F117" s="286">
        <f t="shared" si="5"/>
        <v>0</v>
      </c>
      <c r="G117" s="134"/>
      <c r="H117" s="135"/>
      <c r="I117" s="136">
        <f t="shared" si="6"/>
        <v>0</v>
      </c>
      <c r="J117" s="134"/>
      <c r="K117" s="135"/>
      <c r="L117" s="136">
        <f t="shared" si="7"/>
        <v>0</v>
      </c>
      <c r="M117" s="284"/>
      <c r="N117" s="285"/>
      <c r="O117" s="136">
        <f t="shared" si="8"/>
        <v>0</v>
      </c>
      <c r="P117" s="85"/>
      <c r="R117" s="53"/>
      <c r="S117" s="53"/>
      <c r="T117" s="53"/>
      <c r="U117" s="53"/>
    </row>
    <row r="118" spans="1:21" ht="24" hidden="1" x14ac:dyDescent="0.25">
      <c r="A118" s="76">
        <v>2259</v>
      </c>
      <c r="B118" s="127" t="s">
        <v>134</v>
      </c>
      <c r="C118" s="128">
        <f t="shared" si="9"/>
        <v>0</v>
      </c>
      <c r="D118" s="134"/>
      <c r="E118" s="285"/>
      <c r="F118" s="286">
        <f t="shared" ref="F118:F182" si="10">D118+E118</f>
        <v>0</v>
      </c>
      <c r="G118" s="134"/>
      <c r="H118" s="135"/>
      <c r="I118" s="136">
        <f t="shared" ref="I118:I182" si="11">G118+H118</f>
        <v>0</v>
      </c>
      <c r="J118" s="134"/>
      <c r="K118" s="135"/>
      <c r="L118" s="136">
        <f t="shared" ref="L118:L182" si="12">J118+K118</f>
        <v>0</v>
      </c>
      <c r="M118" s="284"/>
      <c r="N118" s="285"/>
      <c r="O118" s="136">
        <f t="shared" ref="O118:O182" si="13">M118+N118</f>
        <v>0</v>
      </c>
      <c r="P118" s="85"/>
      <c r="R118" s="53"/>
      <c r="S118" s="53"/>
      <c r="T118" s="53"/>
      <c r="U118" s="53"/>
    </row>
    <row r="119" spans="1:21" x14ac:dyDescent="0.25">
      <c r="A119" s="276">
        <v>2260</v>
      </c>
      <c r="B119" s="127" t="s">
        <v>135</v>
      </c>
      <c r="C119" s="128">
        <f t="shared" si="9"/>
        <v>24</v>
      </c>
      <c r="D119" s="277">
        <f>SUM(D120:D124)</f>
        <v>24</v>
      </c>
      <c r="E119" s="278">
        <f>SUM(E120:E124)</f>
        <v>0</v>
      </c>
      <c r="F119" s="279">
        <f t="shared" si="10"/>
        <v>24</v>
      </c>
      <c r="G119" s="277">
        <f>SUM(G120:G124)</f>
        <v>0</v>
      </c>
      <c r="H119" s="280">
        <f>SUM(H120:H124)</f>
        <v>0</v>
      </c>
      <c r="I119" s="136">
        <f t="shared" si="11"/>
        <v>0</v>
      </c>
      <c r="J119" s="277">
        <f>SUM(J120:J124)</f>
        <v>0</v>
      </c>
      <c r="K119" s="280">
        <f>SUM(K120:K124)</f>
        <v>0</v>
      </c>
      <c r="L119" s="136">
        <f t="shared" si="12"/>
        <v>0</v>
      </c>
      <c r="M119" s="281">
        <f>SUM(M120:M124)</f>
        <v>0</v>
      </c>
      <c r="N119" s="282">
        <f>SUM(N120:N124)</f>
        <v>0</v>
      </c>
      <c r="O119" s="136">
        <f t="shared" si="13"/>
        <v>0</v>
      </c>
      <c r="P119" s="85"/>
      <c r="R119" s="53"/>
      <c r="S119" s="53"/>
      <c r="T119" s="53"/>
      <c r="U119" s="53"/>
    </row>
    <row r="120" spans="1:21" hidden="1" x14ac:dyDescent="0.25">
      <c r="A120" s="76">
        <v>2261</v>
      </c>
      <c r="B120" s="127" t="s">
        <v>136</v>
      </c>
      <c r="C120" s="128">
        <f t="shared" si="9"/>
        <v>0</v>
      </c>
      <c r="D120" s="134"/>
      <c r="E120" s="285"/>
      <c r="F120" s="286">
        <f t="shared" si="10"/>
        <v>0</v>
      </c>
      <c r="G120" s="134"/>
      <c r="H120" s="135"/>
      <c r="I120" s="136">
        <f t="shared" si="11"/>
        <v>0</v>
      </c>
      <c r="J120" s="134"/>
      <c r="K120" s="135"/>
      <c r="L120" s="136">
        <f t="shared" si="12"/>
        <v>0</v>
      </c>
      <c r="M120" s="284"/>
      <c r="N120" s="285"/>
      <c r="O120" s="136">
        <f t="shared" si="13"/>
        <v>0</v>
      </c>
      <c r="P120" s="85"/>
      <c r="R120" s="53"/>
      <c r="S120" s="53"/>
      <c r="T120" s="53"/>
      <c r="U120" s="53"/>
    </row>
    <row r="121" spans="1:21" hidden="1" x14ac:dyDescent="0.25">
      <c r="A121" s="76">
        <v>2262</v>
      </c>
      <c r="B121" s="127" t="s">
        <v>137</v>
      </c>
      <c r="C121" s="128">
        <f t="shared" si="9"/>
        <v>0</v>
      </c>
      <c r="D121" s="134"/>
      <c r="E121" s="285"/>
      <c r="F121" s="286">
        <f t="shared" si="10"/>
        <v>0</v>
      </c>
      <c r="G121" s="134"/>
      <c r="H121" s="135"/>
      <c r="I121" s="136">
        <f t="shared" si="11"/>
        <v>0</v>
      </c>
      <c r="J121" s="134"/>
      <c r="K121" s="135"/>
      <c r="L121" s="136">
        <f t="shared" si="12"/>
        <v>0</v>
      </c>
      <c r="M121" s="284"/>
      <c r="N121" s="285"/>
      <c r="O121" s="136">
        <f t="shared" si="13"/>
        <v>0</v>
      </c>
      <c r="P121" s="85"/>
      <c r="R121" s="53"/>
      <c r="S121" s="53"/>
      <c r="T121" s="53"/>
      <c r="U121" s="53"/>
    </row>
    <row r="122" spans="1:21" hidden="1" x14ac:dyDescent="0.25">
      <c r="A122" s="76">
        <v>2263</v>
      </c>
      <c r="B122" s="127" t="s">
        <v>138</v>
      </c>
      <c r="C122" s="128">
        <f t="shared" si="9"/>
        <v>0</v>
      </c>
      <c r="D122" s="134"/>
      <c r="E122" s="285"/>
      <c r="F122" s="286">
        <f t="shared" si="10"/>
        <v>0</v>
      </c>
      <c r="G122" s="134"/>
      <c r="H122" s="135"/>
      <c r="I122" s="136">
        <f t="shared" si="11"/>
        <v>0</v>
      </c>
      <c r="J122" s="134"/>
      <c r="K122" s="135"/>
      <c r="L122" s="136">
        <f t="shared" si="12"/>
        <v>0</v>
      </c>
      <c r="M122" s="284"/>
      <c r="N122" s="285"/>
      <c r="O122" s="136">
        <f t="shared" si="13"/>
        <v>0</v>
      </c>
      <c r="P122" s="85"/>
      <c r="R122" s="53"/>
      <c r="S122" s="53"/>
      <c r="T122" s="53"/>
      <c r="U122" s="53"/>
    </row>
    <row r="123" spans="1:21" ht="24" hidden="1" x14ac:dyDescent="0.25">
      <c r="A123" s="76">
        <v>2264</v>
      </c>
      <c r="B123" s="127" t="s">
        <v>139</v>
      </c>
      <c r="C123" s="128">
        <f t="shared" si="9"/>
        <v>0</v>
      </c>
      <c r="D123" s="134"/>
      <c r="E123" s="285"/>
      <c r="F123" s="286">
        <f t="shared" si="10"/>
        <v>0</v>
      </c>
      <c r="G123" s="134"/>
      <c r="H123" s="135"/>
      <c r="I123" s="136">
        <f t="shared" si="11"/>
        <v>0</v>
      </c>
      <c r="J123" s="134"/>
      <c r="K123" s="135"/>
      <c r="L123" s="136">
        <f t="shared" si="12"/>
        <v>0</v>
      </c>
      <c r="M123" s="284"/>
      <c r="N123" s="285"/>
      <c r="O123" s="136">
        <f t="shared" si="13"/>
        <v>0</v>
      </c>
      <c r="P123" s="85"/>
      <c r="R123" s="53"/>
      <c r="S123" s="53"/>
      <c r="T123" s="53"/>
      <c r="U123" s="53"/>
    </row>
    <row r="124" spans="1:21" x14ac:dyDescent="0.25">
      <c r="A124" s="76">
        <v>2269</v>
      </c>
      <c r="B124" s="127" t="s">
        <v>140</v>
      </c>
      <c r="C124" s="128">
        <f t="shared" si="9"/>
        <v>24</v>
      </c>
      <c r="D124" s="134">
        <v>24</v>
      </c>
      <c r="E124" s="283"/>
      <c r="F124" s="279">
        <f t="shared" si="10"/>
        <v>24</v>
      </c>
      <c r="G124" s="134"/>
      <c r="H124" s="135"/>
      <c r="I124" s="136">
        <f t="shared" si="11"/>
        <v>0</v>
      </c>
      <c r="J124" s="134"/>
      <c r="K124" s="135"/>
      <c r="L124" s="136">
        <f t="shared" si="12"/>
        <v>0</v>
      </c>
      <c r="M124" s="284"/>
      <c r="N124" s="285"/>
      <c r="O124" s="136">
        <f t="shared" si="13"/>
        <v>0</v>
      </c>
      <c r="P124" s="85"/>
      <c r="R124" s="53"/>
      <c r="S124" s="53"/>
      <c r="T124" s="53"/>
      <c r="U124" s="53"/>
    </row>
    <row r="125" spans="1:21" x14ac:dyDescent="0.25">
      <c r="A125" s="276">
        <v>2270</v>
      </c>
      <c r="B125" s="127" t="s">
        <v>141</v>
      </c>
      <c r="C125" s="128">
        <f t="shared" si="9"/>
        <v>941</v>
      </c>
      <c r="D125" s="277">
        <f>SUM(D126:D130)</f>
        <v>193</v>
      </c>
      <c r="E125" s="278">
        <f>SUM(E126:E130)</f>
        <v>0</v>
      </c>
      <c r="F125" s="279">
        <f t="shared" si="10"/>
        <v>193</v>
      </c>
      <c r="G125" s="277">
        <f>SUM(G126:G130)</f>
        <v>0</v>
      </c>
      <c r="H125" s="280">
        <f>SUM(H126:H130)</f>
        <v>0</v>
      </c>
      <c r="I125" s="136">
        <f t="shared" si="11"/>
        <v>0</v>
      </c>
      <c r="J125" s="277">
        <f>SUM(J126:J130)</f>
        <v>748</v>
      </c>
      <c r="K125" s="280">
        <f>SUM(K126:K130)</f>
        <v>0</v>
      </c>
      <c r="L125" s="136">
        <f t="shared" si="12"/>
        <v>748</v>
      </c>
      <c r="M125" s="281">
        <f>SUM(M126:M130)</f>
        <v>0</v>
      </c>
      <c r="N125" s="282">
        <f>SUM(N126:N130)</f>
        <v>0</v>
      </c>
      <c r="O125" s="136">
        <f t="shared" si="13"/>
        <v>0</v>
      </c>
      <c r="P125" s="85"/>
      <c r="R125" s="53"/>
      <c r="S125" s="53"/>
      <c r="T125" s="53"/>
      <c r="U125" s="53"/>
    </row>
    <row r="126" spans="1:21" hidden="1" x14ac:dyDescent="0.25">
      <c r="A126" s="76">
        <v>2272</v>
      </c>
      <c r="B126" s="5" t="s">
        <v>142</v>
      </c>
      <c r="C126" s="128">
        <f t="shared" si="9"/>
        <v>0</v>
      </c>
      <c r="D126" s="134"/>
      <c r="E126" s="285"/>
      <c r="F126" s="286">
        <f t="shared" si="10"/>
        <v>0</v>
      </c>
      <c r="G126" s="134"/>
      <c r="H126" s="135"/>
      <c r="I126" s="136">
        <f t="shared" si="11"/>
        <v>0</v>
      </c>
      <c r="J126" s="134"/>
      <c r="K126" s="135"/>
      <c r="L126" s="136">
        <f t="shared" si="12"/>
        <v>0</v>
      </c>
      <c r="M126" s="284"/>
      <c r="N126" s="285"/>
      <c r="O126" s="136">
        <f t="shared" si="13"/>
        <v>0</v>
      </c>
      <c r="P126" s="85"/>
      <c r="R126" s="53"/>
      <c r="S126" s="53"/>
      <c r="T126" s="53"/>
      <c r="U126" s="53"/>
    </row>
    <row r="127" spans="1:21" ht="24" hidden="1" x14ac:dyDescent="0.25">
      <c r="A127" s="76">
        <v>2275</v>
      </c>
      <c r="B127" s="127" t="s">
        <v>143</v>
      </c>
      <c r="C127" s="128">
        <f t="shared" si="9"/>
        <v>0</v>
      </c>
      <c r="D127" s="134"/>
      <c r="E127" s="285"/>
      <c r="F127" s="286">
        <f t="shared" si="10"/>
        <v>0</v>
      </c>
      <c r="G127" s="134"/>
      <c r="H127" s="135"/>
      <c r="I127" s="136">
        <f t="shared" si="11"/>
        <v>0</v>
      </c>
      <c r="J127" s="134"/>
      <c r="K127" s="135"/>
      <c r="L127" s="136">
        <f t="shared" si="12"/>
        <v>0</v>
      </c>
      <c r="M127" s="284"/>
      <c r="N127" s="285"/>
      <c r="O127" s="136">
        <f t="shared" si="13"/>
        <v>0</v>
      </c>
      <c r="P127" s="85"/>
      <c r="R127" s="53"/>
      <c r="S127" s="53"/>
      <c r="T127" s="53"/>
      <c r="U127" s="53"/>
    </row>
    <row r="128" spans="1:21" ht="36" hidden="1" x14ac:dyDescent="0.25">
      <c r="A128" s="76">
        <v>2276</v>
      </c>
      <c r="B128" s="127" t="s">
        <v>144</v>
      </c>
      <c r="C128" s="128">
        <f t="shared" si="9"/>
        <v>0</v>
      </c>
      <c r="D128" s="134"/>
      <c r="E128" s="285"/>
      <c r="F128" s="286">
        <f t="shared" si="10"/>
        <v>0</v>
      </c>
      <c r="G128" s="134"/>
      <c r="H128" s="135"/>
      <c r="I128" s="136">
        <f t="shared" si="11"/>
        <v>0</v>
      </c>
      <c r="J128" s="134"/>
      <c r="K128" s="135"/>
      <c r="L128" s="136">
        <f t="shared" si="12"/>
        <v>0</v>
      </c>
      <c r="M128" s="284"/>
      <c r="N128" s="285"/>
      <c r="O128" s="136">
        <f t="shared" si="13"/>
        <v>0</v>
      </c>
      <c r="P128" s="85"/>
      <c r="R128" s="53"/>
      <c r="S128" s="53"/>
      <c r="T128" s="53"/>
      <c r="U128" s="53"/>
    </row>
    <row r="129" spans="1:21" ht="24" hidden="1" x14ac:dyDescent="0.25">
      <c r="A129" s="76">
        <v>2278</v>
      </c>
      <c r="B129" s="127" t="s">
        <v>145</v>
      </c>
      <c r="C129" s="128">
        <f t="shared" si="9"/>
        <v>0</v>
      </c>
      <c r="D129" s="134"/>
      <c r="E129" s="285"/>
      <c r="F129" s="286">
        <f t="shared" si="10"/>
        <v>0</v>
      </c>
      <c r="G129" s="134"/>
      <c r="H129" s="135"/>
      <c r="I129" s="136">
        <f t="shared" si="11"/>
        <v>0</v>
      </c>
      <c r="J129" s="134"/>
      <c r="K129" s="135"/>
      <c r="L129" s="136">
        <f t="shared" si="12"/>
        <v>0</v>
      </c>
      <c r="M129" s="284"/>
      <c r="N129" s="285"/>
      <c r="O129" s="136">
        <f t="shared" si="13"/>
        <v>0</v>
      </c>
      <c r="P129" s="85"/>
      <c r="R129" s="53"/>
      <c r="S129" s="53"/>
      <c r="T129" s="53"/>
      <c r="U129" s="53"/>
    </row>
    <row r="130" spans="1:21" ht="24" x14ac:dyDescent="0.25">
      <c r="A130" s="76">
        <v>2279</v>
      </c>
      <c r="B130" s="127" t="s">
        <v>146</v>
      </c>
      <c r="C130" s="128">
        <f t="shared" si="9"/>
        <v>941</v>
      </c>
      <c r="D130" s="134">
        <v>193</v>
      </c>
      <c r="E130" s="283"/>
      <c r="F130" s="279">
        <f t="shared" si="10"/>
        <v>193</v>
      </c>
      <c r="G130" s="134"/>
      <c r="H130" s="135"/>
      <c r="I130" s="136">
        <f t="shared" si="11"/>
        <v>0</v>
      </c>
      <c r="J130" s="134">
        <v>748</v>
      </c>
      <c r="K130" s="135"/>
      <c r="L130" s="136">
        <f t="shared" si="12"/>
        <v>748</v>
      </c>
      <c r="M130" s="284"/>
      <c r="N130" s="285"/>
      <c r="O130" s="136">
        <f t="shared" si="13"/>
        <v>0</v>
      </c>
      <c r="P130" s="85"/>
      <c r="R130" s="53"/>
      <c r="S130" s="53"/>
      <c r="T130" s="53"/>
      <c r="U130" s="53"/>
    </row>
    <row r="131" spans="1:21" ht="24" hidden="1" x14ac:dyDescent="0.25">
      <c r="A131" s="656">
        <v>2280</v>
      </c>
      <c r="B131" s="116" t="s">
        <v>147</v>
      </c>
      <c r="C131" s="128">
        <f t="shared" si="9"/>
        <v>0</v>
      </c>
      <c r="D131" s="297">
        <f t="shared" ref="D131:N131" si="14">SUM(D132)</f>
        <v>0</v>
      </c>
      <c r="E131" s="301">
        <f t="shared" si="14"/>
        <v>0</v>
      </c>
      <c r="F131" s="263">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c r="R131" s="53"/>
      <c r="S131" s="53"/>
      <c r="T131" s="53"/>
      <c r="U131" s="53"/>
    </row>
    <row r="132" spans="1:21" ht="24" hidden="1" x14ac:dyDescent="0.25">
      <c r="A132" s="76">
        <v>2283</v>
      </c>
      <c r="B132" s="127" t="s">
        <v>148</v>
      </c>
      <c r="C132" s="128">
        <f t="shared" si="9"/>
        <v>0</v>
      </c>
      <c r="D132" s="134"/>
      <c r="E132" s="285"/>
      <c r="F132" s="286">
        <f t="shared" si="10"/>
        <v>0</v>
      </c>
      <c r="G132" s="134"/>
      <c r="H132" s="135"/>
      <c r="I132" s="136">
        <f t="shared" si="11"/>
        <v>0</v>
      </c>
      <c r="J132" s="134"/>
      <c r="K132" s="135"/>
      <c r="L132" s="136">
        <f t="shared" si="12"/>
        <v>0</v>
      </c>
      <c r="M132" s="284"/>
      <c r="N132" s="285"/>
      <c r="O132" s="136">
        <f t="shared" si="13"/>
        <v>0</v>
      </c>
      <c r="P132" s="85"/>
      <c r="R132" s="53"/>
      <c r="S132" s="53"/>
      <c r="T132" s="53"/>
      <c r="U132" s="53"/>
    </row>
    <row r="133" spans="1:21" ht="36" x14ac:dyDescent="0.25">
      <c r="A133" s="99">
        <v>2300</v>
      </c>
      <c r="B133" s="247" t="s">
        <v>149</v>
      </c>
      <c r="C133" s="100">
        <f t="shared" si="9"/>
        <v>5962</v>
      </c>
      <c r="D133" s="112">
        <f>SUM(D134,D139,D143,D144,D147,D154,D162,D163,D166)</f>
        <v>5348</v>
      </c>
      <c r="E133" s="248">
        <f>SUM(E134,E139,E143,E144,E147,E154,E162,E163,E166)</f>
        <v>0</v>
      </c>
      <c r="F133" s="249">
        <f t="shared" si="10"/>
        <v>5348</v>
      </c>
      <c r="G133" s="112">
        <f>SUM(G134,G139,G143,G144,G147,G154,G162,G163,G166)</f>
        <v>564</v>
      </c>
      <c r="H133" s="113">
        <f>SUM(H134,H139,H143,H144,H147,H154,H162,H163,H166)</f>
        <v>0</v>
      </c>
      <c r="I133" s="114">
        <f t="shared" si="11"/>
        <v>564</v>
      </c>
      <c r="J133" s="112">
        <f>SUM(J134,J139,J143,J144,J147,J154,J162,J163,J166)</f>
        <v>0</v>
      </c>
      <c r="K133" s="113">
        <f>SUM(K134,K139,K143,K144,K147,K154,K162,K163,K166)</f>
        <v>0</v>
      </c>
      <c r="L133" s="114">
        <f t="shared" si="12"/>
        <v>0</v>
      </c>
      <c r="M133" s="292">
        <f>SUM(M134,M139,M143,M144,M147,M154,M162,M163,M166)</f>
        <v>50</v>
      </c>
      <c r="N133" s="293">
        <f>SUM(N134,N139,N143,N144,N147,N154,N162,N163,N166)</f>
        <v>0</v>
      </c>
      <c r="O133" s="114">
        <f t="shared" si="13"/>
        <v>50</v>
      </c>
      <c r="P133" s="109"/>
      <c r="R133" s="53"/>
      <c r="S133" s="53"/>
      <c r="T133" s="53"/>
      <c r="U133" s="53"/>
    </row>
    <row r="134" spans="1:21" ht="24" x14ac:dyDescent="0.25">
      <c r="A134" s="656">
        <v>2310</v>
      </c>
      <c r="B134" s="116" t="s">
        <v>150</v>
      </c>
      <c r="C134" s="117">
        <f t="shared" si="9"/>
        <v>2560</v>
      </c>
      <c r="D134" s="308">
        <f>SUM(D135:D138)</f>
        <v>2560</v>
      </c>
      <c r="E134" s="300">
        <f>SUM(E135:E138)</f>
        <v>0</v>
      </c>
      <c r="F134" s="296">
        <f t="shared" si="10"/>
        <v>2560</v>
      </c>
      <c r="G134" s="297">
        <f>SUM(G135:G138)</f>
        <v>0</v>
      </c>
      <c r="H134" s="299">
        <f>SUM(H135:H138)</f>
        <v>0</v>
      </c>
      <c r="I134" s="125">
        <f t="shared" si="11"/>
        <v>0</v>
      </c>
      <c r="J134" s="297">
        <f>SUM(J135:J138)</f>
        <v>0</v>
      </c>
      <c r="K134" s="299">
        <f>SUM(K135:K138)</f>
        <v>0</v>
      </c>
      <c r="L134" s="125">
        <f t="shared" si="12"/>
        <v>0</v>
      </c>
      <c r="M134" s="300">
        <f>SUM(M135:M138)</f>
        <v>0</v>
      </c>
      <c r="N134" s="301">
        <f>SUM(N135:N138)</f>
        <v>0</v>
      </c>
      <c r="O134" s="125">
        <f t="shared" si="13"/>
        <v>0</v>
      </c>
      <c r="P134" s="74"/>
      <c r="R134" s="53"/>
      <c r="S134" s="53"/>
      <c r="T134" s="53"/>
      <c r="U134" s="53"/>
    </row>
    <row r="135" spans="1:21" x14ac:dyDescent="0.25">
      <c r="A135" s="76">
        <v>2311</v>
      </c>
      <c r="B135" s="127" t="s">
        <v>151</v>
      </c>
      <c r="C135" s="128">
        <f t="shared" si="9"/>
        <v>596</v>
      </c>
      <c r="D135" s="134">
        <v>596</v>
      </c>
      <c r="E135" s="283"/>
      <c r="F135" s="279">
        <f t="shared" si="10"/>
        <v>596</v>
      </c>
      <c r="G135" s="134"/>
      <c r="H135" s="135"/>
      <c r="I135" s="136">
        <f t="shared" si="11"/>
        <v>0</v>
      </c>
      <c r="J135" s="134"/>
      <c r="K135" s="135"/>
      <c r="L135" s="136">
        <f t="shared" si="12"/>
        <v>0</v>
      </c>
      <c r="M135" s="284"/>
      <c r="N135" s="285"/>
      <c r="O135" s="136">
        <f t="shared" si="13"/>
        <v>0</v>
      </c>
      <c r="P135" s="85"/>
      <c r="R135" s="53"/>
      <c r="S135" s="53"/>
      <c r="T135" s="53"/>
      <c r="U135" s="53"/>
    </row>
    <row r="136" spans="1:21" x14ac:dyDescent="0.25">
      <c r="A136" s="76">
        <v>2312</v>
      </c>
      <c r="B136" s="127" t="s">
        <v>152</v>
      </c>
      <c r="C136" s="128">
        <f t="shared" si="9"/>
        <v>1964</v>
      </c>
      <c r="D136" s="134">
        <v>1964</v>
      </c>
      <c r="E136" s="283"/>
      <c r="F136" s="279">
        <f t="shared" si="10"/>
        <v>1964</v>
      </c>
      <c r="G136" s="134"/>
      <c r="H136" s="135"/>
      <c r="I136" s="136">
        <f t="shared" si="11"/>
        <v>0</v>
      </c>
      <c r="J136" s="134"/>
      <c r="K136" s="135"/>
      <c r="L136" s="136">
        <f t="shared" si="12"/>
        <v>0</v>
      </c>
      <c r="M136" s="284"/>
      <c r="N136" s="285"/>
      <c r="O136" s="136">
        <f t="shared" si="13"/>
        <v>0</v>
      </c>
      <c r="P136" s="85"/>
      <c r="R136" s="53"/>
      <c r="S136" s="53"/>
      <c r="T136" s="53"/>
      <c r="U136" s="53"/>
    </row>
    <row r="137" spans="1:21" hidden="1" x14ac:dyDescent="0.25">
      <c r="A137" s="76">
        <v>2313</v>
      </c>
      <c r="B137" s="127" t="s">
        <v>153</v>
      </c>
      <c r="C137" s="128">
        <f t="shared" si="9"/>
        <v>0</v>
      </c>
      <c r="D137" s="134"/>
      <c r="E137" s="285"/>
      <c r="F137" s="286">
        <f t="shared" si="10"/>
        <v>0</v>
      </c>
      <c r="G137" s="134"/>
      <c r="H137" s="135"/>
      <c r="I137" s="136">
        <f t="shared" si="11"/>
        <v>0</v>
      </c>
      <c r="J137" s="134"/>
      <c r="K137" s="135"/>
      <c r="L137" s="136">
        <f t="shared" si="12"/>
        <v>0</v>
      </c>
      <c r="M137" s="284"/>
      <c r="N137" s="285"/>
      <c r="O137" s="136">
        <f t="shared" si="13"/>
        <v>0</v>
      </c>
      <c r="P137" s="85"/>
      <c r="R137" s="53"/>
      <c r="S137" s="53"/>
      <c r="T137" s="53"/>
      <c r="U137" s="53"/>
    </row>
    <row r="138" spans="1:21" ht="36" hidden="1" x14ac:dyDescent="0.25">
      <c r="A138" s="76">
        <v>2314</v>
      </c>
      <c r="B138" s="127" t="s">
        <v>154</v>
      </c>
      <c r="C138" s="128">
        <f t="shared" si="9"/>
        <v>0</v>
      </c>
      <c r="D138" s="134"/>
      <c r="E138" s="285"/>
      <c r="F138" s="286">
        <f t="shared" si="10"/>
        <v>0</v>
      </c>
      <c r="G138" s="134"/>
      <c r="H138" s="135"/>
      <c r="I138" s="136">
        <f t="shared" si="11"/>
        <v>0</v>
      </c>
      <c r="J138" s="134"/>
      <c r="K138" s="135"/>
      <c r="L138" s="136">
        <f t="shared" si="12"/>
        <v>0</v>
      </c>
      <c r="M138" s="284"/>
      <c r="N138" s="285"/>
      <c r="O138" s="136">
        <f t="shared" si="13"/>
        <v>0</v>
      </c>
      <c r="P138" s="85"/>
      <c r="R138" s="53"/>
      <c r="S138" s="53"/>
      <c r="T138" s="53"/>
      <c r="U138" s="53"/>
    </row>
    <row r="139" spans="1:21" x14ac:dyDescent="0.25">
      <c r="A139" s="276">
        <v>2320</v>
      </c>
      <c r="B139" s="127" t="s">
        <v>155</v>
      </c>
      <c r="C139" s="128">
        <f t="shared" si="9"/>
        <v>20</v>
      </c>
      <c r="D139" s="277">
        <f>SUM(D140:D142)</f>
        <v>20</v>
      </c>
      <c r="E139" s="278">
        <f>SUM(E140:E142)</f>
        <v>0</v>
      </c>
      <c r="F139" s="279">
        <f t="shared" si="10"/>
        <v>20</v>
      </c>
      <c r="G139" s="277">
        <f>SUM(G140:G142)</f>
        <v>0</v>
      </c>
      <c r="H139" s="280">
        <f>SUM(H140:H142)</f>
        <v>0</v>
      </c>
      <c r="I139" s="136">
        <f t="shared" si="11"/>
        <v>0</v>
      </c>
      <c r="J139" s="277">
        <f>SUM(J140:J142)</f>
        <v>0</v>
      </c>
      <c r="K139" s="280">
        <f>SUM(K140:K142)</f>
        <v>0</v>
      </c>
      <c r="L139" s="136">
        <f t="shared" si="12"/>
        <v>0</v>
      </c>
      <c r="M139" s="281">
        <f>SUM(M140:M142)</f>
        <v>0</v>
      </c>
      <c r="N139" s="282">
        <f>SUM(N140:N142)</f>
        <v>0</v>
      </c>
      <c r="O139" s="136">
        <f t="shared" si="13"/>
        <v>0</v>
      </c>
      <c r="P139" s="85"/>
      <c r="R139" s="53"/>
      <c r="S139" s="53"/>
      <c r="T139" s="53"/>
      <c r="U139" s="53"/>
    </row>
    <row r="140" spans="1:21" hidden="1" x14ac:dyDescent="0.25">
      <c r="A140" s="76">
        <v>2321</v>
      </c>
      <c r="B140" s="127" t="s">
        <v>156</v>
      </c>
      <c r="C140" s="128">
        <f t="shared" si="9"/>
        <v>0</v>
      </c>
      <c r="D140" s="134"/>
      <c r="E140" s="285"/>
      <c r="F140" s="286">
        <f t="shared" si="10"/>
        <v>0</v>
      </c>
      <c r="G140" s="134"/>
      <c r="H140" s="135"/>
      <c r="I140" s="136">
        <f t="shared" si="11"/>
        <v>0</v>
      </c>
      <c r="J140" s="134"/>
      <c r="K140" s="135"/>
      <c r="L140" s="136">
        <f t="shared" si="12"/>
        <v>0</v>
      </c>
      <c r="M140" s="284"/>
      <c r="N140" s="285"/>
      <c r="O140" s="136">
        <f t="shared" si="13"/>
        <v>0</v>
      </c>
      <c r="P140" s="85"/>
      <c r="R140" s="53"/>
      <c r="S140" s="53"/>
      <c r="T140" s="53"/>
      <c r="U140" s="53"/>
    </row>
    <row r="141" spans="1:21" x14ac:dyDescent="0.25">
      <c r="A141" s="265">
        <v>2322</v>
      </c>
      <c r="B141" s="266" t="s">
        <v>157</v>
      </c>
      <c r="C141" s="267">
        <f t="shared" si="9"/>
        <v>20</v>
      </c>
      <c r="D141" s="268">
        <v>20</v>
      </c>
      <c r="E141" s="269"/>
      <c r="F141" s="270">
        <f t="shared" si="10"/>
        <v>20</v>
      </c>
      <c r="G141" s="268"/>
      <c r="H141" s="271"/>
      <c r="I141" s="272">
        <f t="shared" si="11"/>
        <v>0</v>
      </c>
      <c r="J141" s="268"/>
      <c r="K141" s="271"/>
      <c r="L141" s="272">
        <f t="shared" si="12"/>
        <v>0</v>
      </c>
      <c r="M141" s="273"/>
      <c r="N141" s="274"/>
      <c r="O141" s="272">
        <f t="shared" si="13"/>
        <v>0</v>
      </c>
      <c r="P141" s="275"/>
      <c r="R141" s="53"/>
      <c r="S141" s="53"/>
      <c r="T141" s="53"/>
      <c r="U141" s="53"/>
    </row>
    <row r="142" spans="1:21" hidden="1" x14ac:dyDescent="0.25">
      <c r="A142" s="76">
        <v>2329</v>
      </c>
      <c r="B142" s="127" t="s">
        <v>158</v>
      </c>
      <c r="C142" s="128">
        <f t="shared" si="9"/>
        <v>0</v>
      </c>
      <c r="D142" s="134"/>
      <c r="E142" s="285"/>
      <c r="F142" s="286">
        <f t="shared" si="10"/>
        <v>0</v>
      </c>
      <c r="G142" s="134"/>
      <c r="H142" s="135"/>
      <c r="I142" s="136">
        <f t="shared" si="11"/>
        <v>0</v>
      </c>
      <c r="J142" s="134"/>
      <c r="K142" s="135"/>
      <c r="L142" s="136">
        <f t="shared" si="12"/>
        <v>0</v>
      </c>
      <c r="M142" s="284"/>
      <c r="N142" s="285"/>
      <c r="O142" s="136">
        <f t="shared" si="13"/>
        <v>0</v>
      </c>
      <c r="P142" s="85"/>
      <c r="R142" s="53"/>
      <c r="S142" s="53"/>
      <c r="T142" s="53"/>
      <c r="U142" s="53"/>
    </row>
    <row r="143" spans="1:21" hidden="1" x14ac:dyDescent="0.25">
      <c r="A143" s="276">
        <v>2330</v>
      </c>
      <c r="B143" s="127" t="s">
        <v>159</v>
      </c>
      <c r="C143" s="128">
        <f t="shared" si="9"/>
        <v>0</v>
      </c>
      <c r="D143" s="134"/>
      <c r="E143" s="285"/>
      <c r="F143" s="286">
        <f t="shared" si="10"/>
        <v>0</v>
      </c>
      <c r="G143" s="134"/>
      <c r="H143" s="135"/>
      <c r="I143" s="136">
        <f t="shared" si="11"/>
        <v>0</v>
      </c>
      <c r="J143" s="134"/>
      <c r="K143" s="135"/>
      <c r="L143" s="136">
        <f t="shared" si="12"/>
        <v>0</v>
      </c>
      <c r="M143" s="284"/>
      <c r="N143" s="285"/>
      <c r="O143" s="136">
        <f t="shared" si="13"/>
        <v>0</v>
      </c>
      <c r="P143" s="85"/>
      <c r="R143" s="53"/>
      <c r="S143" s="53"/>
      <c r="T143" s="53"/>
      <c r="U143" s="53"/>
    </row>
    <row r="144" spans="1:21" ht="48" x14ac:dyDescent="0.25">
      <c r="A144" s="276">
        <v>2340</v>
      </c>
      <c r="B144" s="127" t="s">
        <v>160</v>
      </c>
      <c r="C144" s="128">
        <f t="shared" si="9"/>
        <v>130</v>
      </c>
      <c r="D144" s="277">
        <f>SUM(D145:D146)</f>
        <v>130</v>
      </c>
      <c r="E144" s="278">
        <f>SUM(E145:E146)</f>
        <v>0</v>
      </c>
      <c r="F144" s="279">
        <f t="shared" si="10"/>
        <v>130</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c r="R144" s="53"/>
      <c r="S144" s="53"/>
      <c r="T144" s="53"/>
      <c r="U144" s="53"/>
    </row>
    <row r="145" spans="1:21" x14ac:dyDescent="0.25">
      <c r="A145" s="76">
        <v>2341</v>
      </c>
      <c r="B145" s="127" t="s">
        <v>161</v>
      </c>
      <c r="C145" s="128">
        <f t="shared" si="9"/>
        <v>130</v>
      </c>
      <c r="D145" s="134">
        <v>130</v>
      </c>
      <c r="E145" s="283"/>
      <c r="F145" s="279">
        <f t="shared" si="10"/>
        <v>130</v>
      </c>
      <c r="G145" s="134"/>
      <c r="H145" s="135"/>
      <c r="I145" s="136">
        <f t="shared" si="11"/>
        <v>0</v>
      </c>
      <c r="J145" s="134"/>
      <c r="K145" s="135"/>
      <c r="L145" s="136">
        <f t="shared" si="12"/>
        <v>0</v>
      </c>
      <c r="M145" s="284"/>
      <c r="N145" s="285"/>
      <c r="O145" s="136">
        <f t="shared" si="13"/>
        <v>0</v>
      </c>
      <c r="P145" s="85"/>
      <c r="R145" s="53"/>
      <c r="S145" s="53"/>
      <c r="T145" s="53"/>
      <c r="U145" s="53"/>
    </row>
    <row r="146" spans="1:21" ht="24" hidden="1" x14ac:dyDescent="0.25">
      <c r="A146" s="76">
        <v>2344</v>
      </c>
      <c r="B146" s="127" t="s">
        <v>162</v>
      </c>
      <c r="C146" s="128">
        <f t="shared" si="9"/>
        <v>0</v>
      </c>
      <c r="D146" s="134"/>
      <c r="E146" s="285"/>
      <c r="F146" s="286">
        <f t="shared" si="10"/>
        <v>0</v>
      </c>
      <c r="G146" s="134"/>
      <c r="H146" s="135"/>
      <c r="I146" s="136">
        <f t="shared" si="11"/>
        <v>0</v>
      </c>
      <c r="J146" s="134"/>
      <c r="K146" s="135"/>
      <c r="L146" s="136">
        <f t="shared" si="12"/>
        <v>0</v>
      </c>
      <c r="M146" s="284"/>
      <c r="N146" s="285"/>
      <c r="O146" s="136">
        <f t="shared" si="13"/>
        <v>0</v>
      </c>
      <c r="P146" s="85"/>
      <c r="R146" s="53"/>
      <c r="S146" s="53"/>
      <c r="T146" s="53"/>
      <c r="U146" s="53"/>
    </row>
    <row r="147" spans="1:21" ht="24" x14ac:dyDescent="0.25">
      <c r="A147" s="254">
        <v>2350</v>
      </c>
      <c r="B147" s="179" t="s">
        <v>163</v>
      </c>
      <c r="C147" s="128">
        <f t="shared" si="9"/>
        <v>2088</v>
      </c>
      <c r="D147" s="255">
        <f>SUM(D148:D153)</f>
        <v>2088</v>
      </c>
      <c r="E147" s="256">
        <f>SUM(E148:E153)</f>
        <v>0</v>
      </c>
      <c r="F147" s="257">
        <f t="shared" si="10"/>
        <v>2088</v>
      </c>
      <c r="G147" s="255">
        <f>SUM(G148:G153)</f>
        <v>0</v>
      </c>
      <c r="H147" s="258">
        <f>SUM(H148:H153)</f>
        <v>0</v>
      </c>
      <c r="I147" s="259">
        <f t="shared" si="11"/>
        <v>0</v>
      </c>
      <c r="J147" s="255">
        <f>SUM(J148:J153)</f>
        <v>0</v>
      </c>
      <c r="K147" s="258">
        <f>SUM(K148:K153)</f>
        <v>0</v>
      </c>
      <c r="L147" s="259">
        <f t="shared" si="12"/>
        <v>0</v>
      </c>
      <c r="M147" s="260">
        <f>SUM(M148:M153)</f>
        <v>0</v>
      </c>
      <c r="N147" s="261">
        <f>SUM(N148:N153)</f>
        <v>0</v>
      </c>
      <c r="O147" s="259">
        <f t="shared" si="13"/>
        <v>0</v>
      </c>
      <c r="P147" s="189"/>
      <c r="R147" s="53"/>
      <c r="S147" s="53"/>
      <c r="T147" s="53"/>
      <c r="U147" s="53"/>
    </row>
    <row r="148" spans="1:21" x14ac:dyDescent="0.25">
      <c r="A148" s="66">
        <v>2351</v>
      </c>
      <c r="B148" s="116" t="s">
        <v>164</v>
      </c>
      <c r="C148" s="128">
        <f t="shared" si="9"/>
        <v>490</v>
      </c>
      <c r="D148" s="123">
        <v>490</v>
      </c>
      <c r="E148" s="295"/>
      <c r="F148" s="296">
        <f t="shared" si="10"/>
        <v>490</v>
      </c>
      <c r="G148" s="123"/>
      <c r="H148" s="124"/>
      <c r="I148" s="125">
        <f t="shared" si="11"/>
        <v>0</v>
      </c>
      <c r="J148" s="123"/>
      <c r="K148" s="124"/>
      <c r="L148" s="125">
        <f t="shared" si="12"/>
        <v>0</v>
      </c>
      <c r="M148" s="264"/>
      <c r="N148" s="262"/>
      <c r="O148" s="125">
        <f t="shared" si="13"/>
        <v>0</v>
      </c>
      <c r="P148" s="74"/>
      <c r="R148" s="53"/>
      <c r="S148" s="53"/>
      <c r="T148" s="53"/>
      <c r="U148" s="53"/>
    </row>
    <row r="149" spans="1:21" x14ac:dyDescent="0.25">
      <c r="A149" s="76">
        <v>2352</v>
      </c>
      <c r="B149" s="127" t="s">
        <v>165</v>
      </c>
      <c r="C149" s="128">
        <f t="shared" si="9"/>
        <v>1598</v>
      </c>
      <c r="D149" s="134">
        <v>1598</v>
      </c>
      <c r="E149" s="283"/>
      <c r="F149" s="279">
        <f t="shared" si="10"/>
        <v>1598</v>
      </c>
      <c r="G149" s="134"/>
      <c r="H149" s="135"/>
      <c r="I149" s="136">
        <f t="shared" si="11"/>
        <v>0</v>
      </c>
      <c r="J149" s="134"/>
      <c r="K149" s="135"/>
      <c r="L149" s="136">
        <f t="shared" si="12"/>
        <v>0</v>
      </c>
      <c r="M149" s="284"/>
      <c r="N149" s="285"/>
      <c r="O149" s="136">
        <f t="shared" si="13"/>
        <v>0</v>
      </c>
      <c r="P149" s="85"/>
      <c r="R149" s="53"/>
      <c r="S149" s="53"/>
      <c r="T149" s="53"/>
      <c r="U149" s="53"/>
    </row>
    <row r="150" spans="1:21" ht="24" hidden="1" x14ac:dyDescent="0.25">
      <c r="A150" s="76">
        <v>2353</v>
      </c>
      <c r="B150" s="127" t="s">
        <v>166</v>
      </c>
      <c r="C150" s="128">
        <f t="shared" si="9"/>
        <v>0</v>
      </c>
      <c r="D150" s="134"/>
      <c r="E150" s="285"/>
      <c r="F150" s="286">
        <f t="shared" si="10"/>
        <v>0</v>
      </c>
      <c r="G150" s="134"/>
      <c r="H150" s="135"/>
      <c r="I150" s="136">
        <f t="shared" si="11"/>
        <v>0</v>
      </c>
      <c r="J150" s="134"/>
      <c r="K150" s="135"/>
      <c r="L150" s="136">
        <f t="shared" si="12"/>
        <v>0</v>
      </c>
      <c r="M150" s="284"/>
      <c r="N150" s="285"/>
      <c r="O150" s="136">
        <f t="shared" si="13"/>
        <v>0</v>
      </c>
      <c r="P150" s="85"/>
      <c r="R150" s="53"/>
      <c r="S150" s="53"/>
      <c r="T150" s="53"/>
      <c r="U150" s="53"/>
    </row>
    <row r="151" spans="1:21" ht="24" hidden="1" x14ac:dyDescent="0.25">
      <c r="A151" s="76">
        <v>2354</v>
      </c>
      <c r="B151" s="127" t="s">
        <v>167</v>
      </c>
      <c r="C151" s="128">
        <f t="shared" si="9"/>
        <v>0</v>
      </c>
      <c r="D151" s="134"/>
      <c r="E151" s="285"/>
      <c r="F151" s="286">
        <f t="shared" si="10"/>
        <v>0</v>
      </c>
      <c r="G151" s="134"/>
      <c r="H151" s="135"/>
      <c r="I151" s="136">
        <f t="shared" si="11"/>
        <v>0</v>
      </c>
      <c r="J151" s="134"/>
      <c r="K151" s="135"/>
      <c r="L151" s="136">
        <f t="shared" si="12"/>
        <v>0</v>
      </c>
      <c r="M151" s="284"/>
      <c r="N151" s="285"/>
      <c r="O151" s="136">
        <f t="shared" si="13"/>
        <v>0</v>
      </c>
      <c r="P151" s="85"/>
      <c r="R151" s="53"/>
      <c r="S151" s="53"/>
      <c r="T151" s="53"/>
      <c r="U151" s="53"/>
    </row>
    <row r="152" spans="1:21" ht="24" hidden="1" x14ac:dyDescent="0.25">
      <c r="A152" s="76">
        <v>2355</v>
      </c>
      <c r="B152" s="127" t="s">
        <v>168</v>
      </c>
      <c r="C152" s="128">
        <f t="shared" si="9"/>
        <v>0</v>
      </c>
      <c r="D152" s="134"/>
      <c r="E152" s="285"/>
      <c r="F152" s="286">
        <f t="shared" si="10"/>
        <v>0</v>
      </c>
      <c r="G152" s="134"/>
      <c r="H152" s="135"/>
      <c r="I152" s="136">
        <f t="shared" si="11"/>
        <v>0</v>
      </c>
      <c r="J152" s="134"/>
      <c r="K152" s="135"/>
      <c r="L152" s="136">
        <f t="shared" si="12"/>
        <v>0</v>
      </c>
      <c r="M152" s="284"/>
      <c r="N152" s="285"/>
      <c r="O152" s="136">
        <f t="shared" si="13"/>
        <v>0</v>
      </c>
      <c r="P152" s="85"/>
      <c r="R152" s="53"/>
      <c r="S152" s="53"/>
      <c r="T152" s="53"/>
      <c r="U152" s="53"/>
    </row>
    <row r="153" spans="1:21" ht="24" hidden="1" x14ac:dyDescent="0.25">
      <c r="A153" s="76">
        <v>2359</v>
      </c>
      <c r="B153" s="127" t="s">
        <v>169</v>
      </c>
      <c r="C153" s="128">
        <f t="shared" si="9"/>
        <v>0</v>
      </c>
      <c r="D153" s="134"/>
      <c r="E153" s="285"/>
      <c r="F153" s="286">
        <f t="shared" si="10"/>
        <v>0</v>
      </c>
      <c r="G153" s="134"/>
      <c r="H153" s="135"/>
      <c r="I153" s="136">
        <f t="shared" si="11"/>
        <v>0</v>
      </c>
      <c r="J153" s="134"/>
      <c r="K153" s="135"/>
      <c r="L153" s="136">
        <f t="shared" si="12"/>
        <v>0</v>
      </c>
      <c r="M153" s="284"/>
      <c r="N153" s="285"/>
      <c r="O153" s="136">
        <f t="shared" si="13"/>
        <v>0</v>
      </c>
      <c r="P153" s="85"/>
      <c r="R153" s="53"/>
      <c r="S153" s="53"/>
      <c r="T153" s="53"/>
      <c r="U153" s="53"/>
    </row>
    <row r="154" spans="1:21" ht="24" x14ac:dyDescent="0.25">
      <c r="A154" s="276">
        <v>2360</v>
      </c>
      <c r="B154" s="127" t="s">
        <v>170</v>
      </c>
      <c r="C154" s="128">
        <f t="shared" si="9"/>
        <v>100</v>
      </c>
      <c r="D154" s="277">
        <f>SUM(D155:D161)</f>
        <v>100</v>
      </c>
      <c r="E154" s="278">
        <f>SUM(E155:E161)</f>
        <v>0</v>
      </c>
      <c r="F154" s="279">
        <f t="shared" si="10"/>
        <v>100</v>
      </c>
      <c r="G154" s="277">
        <f>SUM(G155:G161)</f>
        <v>0</v>
      </c>
      <c r="H154" s="280">
        <f>SUM(H155:H161)</f>
        <v>0</v>
      </c>
      <c r="I154" s="136">
        <f t="shared" si="11"/>
        <v>0</v>
      </c>
      <c r="J154" s="277">
        <f>SUM(J155:J161)</f>
        <v>0</v>
      </c>
      <c r="K154" s="280">
        <f>SUM(K155:K161)</f>
        <v>0</v>
      </c>
      <c r="L154" s="136">
        <f t="shared" si="12"/>
        <v>0</v>
      </c>
      <c r="M154" s="281">
        <f>SUM(M155:M161)</f>
        <v>0</v>
      </c>
      <c r="N154" s="282">
        <f>SUM(N155:N161)</f>
        <v>0</v>
      </c>
      <c r="O154" s="136">
        <f t="shared" si="13"/>
        <v>0</v>
      </c>
      <c r="P154" s="85"/>
      <c r="R154" s="53"/>
      <c r="S154" s="53"/>
      <c r="T154" s="53"/>
      <c r="U154" s="53"/>
    </row>
    <row r="155" spans="1:21" hidden="1" x14ac:dyDescent="0.25">
      <c r="A155" s="75">
        <v>2361</v>
      </c>
      <c r="B155" s="127" t="s">
        <v>171</v>
      </c>
      <c r="C155" s="128">
        <f t="shared" si="9"/>
        <v>0</v>
      </c>
      <c r="D155" s="134"/>
      <c r="E155" s="285"/>
      <c r="F155" s="286">
        <f t="shared" si="10"/>
        <v>0</v>
      </c>
      <c r="G155" s="134"/>
      <c r="H155" s="135"/>
      <c r="I155" s="136">
        <f t="shared" si="11"/>
        <v>0</v>
      </c>
      <c r="J155" s="134"/>
      <c r="K155" s="135"/>
      <c r="L155" s="136">
        <f t="shared" si="12"/>
        <v>0</v>
      </c>
      <c r="M155" s="284"/>
      <c r="N155" s="285"/>
      <c r="O155" s="136">
        <f t="shared" si="13"/>
        <v>0</v>
      </c>
      <c r="P155" s="85"/>
      <c r="R155" s="53"/>
      <c r="S155" s="53"/>
      <c r="T155" s="53"/>
      <c r="U155" s="53"/>
    </row>
    <row r="156" spans="1:21" ht="24" x14ac:dyDescent="0.25">
      <c r="A156" s="75">
        <v>2362</v>
      </c>
      <c r="B156" s="127" t="s">
        <v>172</v>
      </c>
      <c r="C156" s="128">
        <f t="shared" si="9"/>
        <v>100</v>
      </c>
      <c r="D156" s="134">
        <v>100</v>
      </c>
      <c r="E156" s="283"/>
      <c r="F156" s="279">
        <f t="shared" si="10"/>
        <v>100</v>
      </c>
      <c r="G156" s="134"/>
      <c r="H156" s="135"/>
      <c r="I156" s="136">
        <f t="shared" si="11"/>
        <v>0</v>
      </c>
      <c r="J156" s="134"/>
      <c r="K156" s="135"/>
      <c r="L156" s="136">
        <f t="shared" si="12"/>
        <v>0</v>
      </c>
      <c r="M156" s="284"/>
      <c r="N156" s="285"/>
      <c r="O156" s="136">
        <f t="shared" si="13"/>
        <v>0</v>
      </c>
      <c r="P156" s="85"/>
      <c r="R156" s="53"/>
      <c r="S156" s="53"/>
      <c r="T156" s="53"/>
      <c r="U156" s="53"/>
    </row>
    <row r="157" spans="1:21" hidden="1" x14ac:dyDescent="0.25">
      <c r="A157" s="75">
        <v>2363</v>
      </c>
      <c r="B157" s="127" t="s">
        <v>173</v>
      </c>
      <c r="C157" s="128">
        <f t="shared" si="9"/>
        <v>0</v>
      </c>
      <c r="D157" s="134"/>
      <c r="E157" s="285"/>
      <c r="F157" s="286">
        <f t="shared" si="10"/>
        <v>0</v>
      </c>
      <c r="G157" s="134"/>
      <c r="H157" s="135"/>
      <c r="I157" s="136">
        <f t="shared" si="11"/>
        <v>0</v>
      </c>
      <c r="J157" s="997"/>
      <c r="K157" s="135"/>
      <c r="L157" s="136">
        <f t="shared" si="12"/>
        <v>0</v>
      </c>
      <c r="M157" s="284"/>
      <c r="N157" s="285"/>
      <c r="O157" s="136">
        <f t="shared" si="13"/>
        <v>0</v>
      </c>
      <c r="P157" s="275"/>
      <c r="R157" s="53"/>
      <c r="S157" s="53"/>
      <c r="T157" s="53"/>
      <c r="U157" s="53"/>
    </row>
    <row r="158" spans="1:21" hidden="1" x14ac:dyDescent="0.25">
      <c r="A158" s="75">
        <v>2364</v>
      </c>
      <c r="B158" s="127" t="s">
        <v>174</v>
      </c>
      <c r="C158" s="128">
        <f t="shared" si="9"/>
        <v>0</v>
      </c>
      <c r="D158" s="134"/>
      <c r="E158" s="285"/>
      <c r="F158" s="286">
        <f t="shared" si="10"/>
        <v>0</v>
      </c>
      <c r="G158" s="134"/>
      <c r="H158" s="135"/>
      <c r="I158" s="136">
        <f t="shared" si="11"/>
        <v>0</v>
      </c>
      <c r="J158" s="134"/>
      <c r="K158" s="135"/>
      <c r="L158" s="136">
        <f t="shared" si="12"/>
        <v>0</v>
      </c>
      <c r="M158" s="284"/>
      <c r="N158" s="285"/>
      <c r="O158" s="136">
        <f t="shared" si="13"/>
        <v>0</v>
      </c>
      <c r="P158" s="85"/>
      <c r="R158" s="53"/>
      <c r="S158" s="53"/>
      <c r="T158" s="53"/>
      <c r="U158" s="53"/>
    </row>
    <row r="159" spans="1:21" hidden="1" x14ac:dyDescent="0.25">
      <c r="A159" s="75">
        <v>2365</v>
      </c>
      <c r="B159" s="127" t="s">
        <v>175</v>
      </c>
      <c r="C159" s="128">
        <f t="shared" si="9"/>
        <v>0</v>
      </c>
      <c r="D159" s="134"/>
      <c r="E159" s="285"/>
      <c r="F159" s="286">
        <f t="shared" si="10"/>
        <v>0</v>
      </c>
      <c r="G159" s="134"/>
      <c r="H159" s="135"/>
      <c r="I159" s="136">
        <f t="shared" si="11"/>
        <v>0</v>
      </c>
      <c r="J159" s="134"/>
      <c r="K159" s="135"/>
      <c r="L159" s="136">
        <f t="shared" si="12"/>
        <v>0</v>
      </c>
      <c r="M159" s="284"/>
      <c r="N159" s="285"/>
      <c r="O159" s="136">
        <f t="shared" si="13"/>
        <v>0</v>
      </c>
      <c r="P159" s="85"/>
      <c r="R159" s="53"/>
      <c r="S159" s="53"/>
      <c r="T159" s="53"/>
      <c r="U159" s="53"/>
    </row>
    <row r="160" spans="1:21" ht="36" hidden="1" x14ac:dyDescent="0.25">
      <c r="A160" s="75">
        <v>2366</v>
      </c>
      <c r="B160" s="127" t="s">
        <v>176</v>
      </c>
      <c r="C160" s="128">
        <f t="shared" si="9"/>
        <v>0</v>
      </c>
      <c r="D160" s="134"/>
      <c r="E160" s="285"/>
      <c r="F160" s="286">
        <f t="shared" si="10"/>
        <v>0</v>
      </c>
      <c r="G160" s="134"/>
      <c r="H160" s="135"/>
      <c r="I160" s="136">
        <f t="shared" si="11"/>
        <v>0</v>
      </c>
      <c r="J160" s="134"/>
      <c r="K160" s="135"/>
      <c r="L160" s="136">
        <f t="shared" si="12"/>
        <v>0</v>
      </c>
      <c r="M160" s="284"/>
      <c r="N160" s="285"/>
      <c r="O160" s="136">
        <f t="shared" si="13"/>
        <v>0</v>
      </c>
      <c r="P160" s="85"/>
      <c r="R160" s="53"/>
      <c r="S160" s="53"/>
      <c r="T160" s="53"/>
      <c r="U160" s="53"/>
    </row>
    <row r="161" spans="1:21" ht="48" hidden="1" x14ac:dyDescent="0.25">
      <c r="A161" s="75">
        <v>2369</v>
      </c>
      <c r="B161" s="127" t="s">
        <v>177</v>
      </c>
      <c r="C161" s="128">
        <f t="shared" si="9"/>
        <v>0</v>
      </c>
      <c r="D161" s="134"/>
      <c r="E161" s="285"/>
      <c r="F161" s="286">
        <f t="shared" si="10"/>
        <v>0</v>
      </c>
      <c r="G161" s="134"/>
      <c r="H161" s="135"/>
      <c r="I161" s="136">
        <f t="shared" si="11"/>
        <v>0</v>
      </c>
      <c r="J161" s="134"/>
      <c r="K161" s="135"/>
      <c r="L161" s="136">
        <f t="shared" si="12"/>
        <v>0</v>
      </c>
      <c r="M161" s="284"/>
      <c r="N161" s="285"/>
      <c r="O161" s="136">
        <f t="shared" si="13"/>
        <v>0</v>
      </c>
      <c r="P161" s="85"/>
      <c r="R161" s="53"/>
      <c r="S161" s="53"/>
      <c r="T161" s="53"/>
      <c r="U161" s="53"/>
    </row>
    <row r="162" spans="1:21" x14ac:dyDescent="0.25">
      <c r="A162" s="789">
        <v>2370</v>
      </c>
      <c r="B162" s="790" t="s">
        <v>178</v>
      </c>
      <c r="C162" s="267">
        <f t="shared" si="9"/>
        <v>1064</v>
      </c>
      <c r="D162" s="791">
        <v>450</v>
      </c>
      <c r="E162" s="792"/>
      <c r="F162" s="793">
        <f t="shared" si="10"/>
        <v>450</v>
      </c>
      <c r="G162" s="791">
        <v>564</v>
      </c>
      <c r="H162" s="794"/>
      <c r="I162" s="795">
        <f t="shared" si="11"/>
        <v>564</v>
      </c>
      <c r="J162" s="791"/>
      <c r="K162" s="794"/>
      <c r="L162" s="795">
        <f t="shared" si="12"/>
        <v>0</v>
      </c>
      <c r="M162" s="796">
        <v>50</v>
      </c>
      <c r="N162" s="797"/>
      <c r="O162" s="795">
        <f t="shared" si="13"/>
        <v>50</v>
      </c>
      <c r="P162" s="798"/>
      <c r="R162" s="53"/>
      <c r="S162" s="53"/>
      <c r="T162" s="53"/>
      <c r="U162" s="53"/>
    </row>
    <row r="163" spans="1:21" hidden="1" x14ac:dyDescent="0.25">
      <c r="A163" s="254">
        <v>2380</v>
      </c>
      <c r="B163" s="179" t="s">
        <v>179</v>
      </c>
      <c r="C163" s="128">
        <f t="shared" si="9"/>
        <v>0</v>
      </c>
      <c r="D163" s="255">
        <f>SUM(D164:D165)</f>
        <v>0</v>
      </c>
      <c r="E163" s="261">
        <f>SUM(E164:E165)</f>
        <v>0</v>
      </c>
      <c r="F163" s="310">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c r="S163" s="53"/>
      <c r="T163" s="53"/>
      <c r="U163" s="53"/>
    </row>
    <row r="164" spans="1:21" hidden="1" x14ac:dyDescent="0.25">
      <c r="A164" s="65">
        <v>2381</v>
      </c>
      <c r="B164" s="116" t="s">
        <v>180</v>
      </c>
      <c r="C164" s="128">
        <f t="shared" si="9"/>
        <v>0</v>
      </c>
      <c r="D164" s="123"/>
      <c r="E164" s="262"/>
      <c r="F164" s="263">
        <f t="shared" si="10"/>
        <v>0</v>
      </c>
      <c r="G164" s="123"/>
      <c r="H164" s="124"/>
      <c r="I164" s="125">
        <f t="shared" si="11"/>
        <v>0</v>
      </c>
      <c r="J164" s="123"/>
      <c r="K164" s="124"/>
      <c r="L164" s="125">
        <f t="shared" si="12"/>
        <v>0</v>
      </c>
      <c r="M164" s="264"/>
      <c r="N164" s="262"/>
      <c r="O164" s="125">
        <f t="shared" si="13"/>
        <v>0</v>
      </c>
      <c r="P164" s="74"/>
      <c r="R164" s="53"/>
      <c r="S164" s="53"/>
      <c r="T164" s="53"/>
      <c r="U164" s="53"/>
    </row>
    <row r="165" spans="1:21" ht="24" hidden="1" x14ac:dyDescent="0.25">
      <c r="A165" s="75">
        <v>2389</v>
      </c>
      <c r="B165" s="127" t="s">
        <v>181</v>
      </c>
      <c r="C165" s="128">
        <f t="shared" si="9"/>
        <v>0</v>
      </c>
      <c r="D165" s="134"/>
      <c r="E165" s="285"/>
      <c r="F165" s="286">
        <f t="shared" si="10"/>
        <v>0</v>
      </c>
      <c r="G165" s="134"/>
      <c r="H165" s="135"/>
      <c r="I165" s="136">
        <f t="shared" si="11"/>
        <v>0</v>
      </c>
      <c r="J165" s="134"/>
      <c r="K165" s="135"/>
      <c r="L165" s="136">
        <f t="shared" si="12"/>
        <v>0</v>
      </c>
      <c r="M165" s="284"/>
      <c r="N165" s="285"/>
      <c r="O165" s="136">
        <f t="shared" si="13"/>
        <v>0</v>
      </c>
      <c r="P165" s="85"/>
      <c r="R165" s="53"/>
      <c r="S165" s="53"/>
      <c r="T165" s="53"/>
      <c r="U165" s="53"/>
    </row>
    <row r="166" spans="1:21" hidden="1" x14ac:dyDescent="0.25">
      <c r="A166" s="254">
        <v>2390</v>
      </c>
      <c r="B166" s="179" t="s">
        <v>182</v>
      </c>
      <c r="C166" s="128">
        <f t="shared" si="9"/>
        <v>0</v>
      </c>
      <c r="D166" s="287"/>
      <c r="E166" s="291"/>
      <c r="F166" s="310">
        <f t="shared" si="10"/>
        <v>0</v>
      </c>
      <c r="G166" s="287"/>
      <c r="H166" s="289"/>
      <c r="I166" s="259">
        <f t="shared" si="11"/>
        <v>0</v>
      </c>
      <c r="J166" s="287"/>
      <c r="K166" s="289"/>
      <c r="L166" s="259">
        <f t="shared" si="12"/>
        <v>0</v>
      </c>
      <c r="M166" s="290"/>
      <c r="N166" s="291"/>
      <c r="O166" s="259">
        <f t="shared" si="13"/>
        <v>0</v>
      </c>
      <c r="P166" s="189"/>
      <c r="R166" s="53"/>
      <c r="S166" s="53"/>
      <c r="T166" s="53"/>
      <c r="U166" s="53"/>
    </row>
    <row r="167" spans="1:21" hidden="1" x14ac:dyDescent="0.25">
      <c r="A167" s="99">
        <v>2400</v>
      </c>
      <c r="B167" s="247" t="s">
        <v>183</v>
      </c>
      <c r="C167" s="100">
        <f t="shared" si="9"/>
        <v>0</v>
      </c>
      <c r="D167" s="311"/>
      <c r="E167" s="312"/>
      <c r="F167" s="313">
        <f t="shared" si="10"/>
        <v>0</v>
      </c>
      <c r="G167" s="311"/>
      <c r="H167" s="314"/>
      <c r="I167" s="114">
        <f t="shared" si="11"/>
        <v>0</v>
      </c>
      <c r="J167" s="311"/>
      <c r="K167" s="314"/>
      <c r="L167" s="114">
        <f t="shared" si="12"/>
        <v>0</v>
      </c>
      <c r="M167" s="315"/>
      <c r="N167" s="312"/>
      <c r="O167" s="114">
        <f t="shared" si="13"/>
        <v>0</v>
      </c>
      <c r="P167" s="109"/>
      <c r="R167" s="53"/>
      <c r="S167" s="53"/>
      <c r="T167" s="53"/>
      <c r="U167" s="53"/>
    </row>
    <row r="168" spans="1:21" ht="24" hidden="1" x14ac:dyDescent="0.25">
      <c r="A168" s="99">
        <v>2500</v>
      </c>
      <c r="B168" s="247" t="s">
        <v>184</v>
      </c>
      <c r="C168" s="100">
        <f t="shared" si="9"/>
        <v>0</v>
      </c>
      <c r="D168" s="112">
        <f>SUM(D169,D174)</f>
        <v>0</v>
      </c>
      <c r="E168" s="293">
        <f>SUM(E169,E174)</f>
        <v>0</v>
      </c>
      <c r="F168" s="313">
        <f t="shared" si="10"/>
        <v>0</v>
      </c>
      <c r="G168" s="112">
        <f>SUM(G169,G174)</f>
        <v>0</v>
      </c>
      <c r="H168" s="113">
        <f t="shared" ref="H168" si="17">SUM(H169,H174)</f>
        <v>0</v>
      </c>
      <c r="I168" s="114">
        <f t="shared" si="11"/>
        <v>0</v>
      </c>
      <c r="J168" s="112">
        <f>SUM(J169,J174)</f>
        <v>0</v>
      </c>
      <c r="K168" s="113">
        <f t="shared" ref="K168" si="18">SUM(K169,K174)</f>
        <v>0</v>
      </c>
      <c r="L168" s="114">
        <f t="shared" si="12"/>
        <v>0</v>
      </c>
      <c r="M168" s="250">
        <f t="shared" ref="M168:N168" si="19">SUM(M169,M174)</f>
        <v>0</v>
      </c>
      <c r="N168" s="251">
        <f t="shared" si="19"/>
        <v>0</v>
      </c>
      <c r="O168" s="252">
        <f t="shared" si="13"/>
        <v>0</v>
      </c>
      <c r="P168" s="253"/>
      <c r="R168" s="53"/>
      <c r="S168" s="53"/>
      <c r="T168" s="53"/>
      <c r="U168" s="53"/>
    </row>
    <row r="169" spans="1:21" hidden="1" x14ac:dyDescent="0.25">
      <c r="A169" s="656">
        <v>2510</v>
      </c>
      <c r="B169" s="116" t="s">
        <v>185</v>
      </c>
      <c r="C169" s="117">
        <f t="shared" si="9"/>
        <v>0</v>
      </c>
      <c r="D169" s="297">
        <f>SUM(D170:D173)</f>
        <v>0</v>
      </c>
      <c r="E169" s="301">
        <f>SUM(E170:E173)</f>
        <v>0</v>
      </c>
      <c r="F169" s="263">
        <f t="shared" si="10"/>
        <v>0</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c r="R169" s="53"/>
      <c r="S169" s="53"/>
      <c r="T169" s="53"/>
      <c r="U169" s="53"/>
    </row>
    <row r="170" spans="1:21" ht="24" hidden="1" x14ac:dyDescent="0.25">
      <c r="A170" s="76">
        <v>2512</v>
      </c>
      <c r="B170" s="127" t="s">
        <v>186</v>
      </c>
      <c r="C170" s="128">
        <f t="shared" si="9"/>
        <v>0</v>
      </c>
      <c r="D170" s="134"/>
      <c r="E170" s="285"/>
      <c r="F170" s="286">
        <f t="shared" si="10"/>
        <v>0</v>
      </c>
      <c r="G170" s="134"/>
      <c r="H170" s="135"/>
      <c r="I170" s="136">
        <f t="shared" si="11"/>
        <v>0</v>
      </c>
      <c r="J170" s="134"/>
      <c r="K170" s="135"/>
      <c r="L170" s="136">
        <f t="shared" si="12"/>
        <v>0</v>
      </c>
      <c r="M170" s="284"/>
      <c r="N170" s="285"/>
      <c r="O170" s="136">
        <f t="shared" si="13"/>
        <v>0</v>
      </c>
      <c r="P170" s="85"/>
      <c r="R170" s="53"/>
      <c r="S170" s="53"/>
      <c r="T170" s="53"/>
      <c r="U170" s="53"/>
    </row>
    <row r="171" spans="1:21" ht="36" hidden="1" x14ac:dyDescent="0.25">
      <c r="A171" s="76">
        <v>2513</v>
      </c>
      <c r="B171" s="127" t="s">
        <v>187</v>
      </c>
      <c r="C171" s="128">
        <f t="shared" si="9"/>
        <v>0</v>
      </c>
      <c r="D171" s="134"/>
      <c r="E171" s="285"/>
      <c r="F171" s="286">
        <f t="shared" si="10"/>
        <v>0</v>
      </c>
      <c r="G171" s="134"/>
      <c r="H171" s="135"/>
      <c r="I171" s="136">
        <f t="shared" si="11"/>
        <v>0</v>
      </c>
      <c r="J171" s="134"/>
      <c r="K171" s="135"/>
      <c r="L171" s="136">
        <f t="shared" si="12"/>
        <v>0</v>
      </c>
      <c r="M171" s="284"/>
      <c r="N171" s="285"/>
      <c r="O171" s="136">
        <f t="shared" si="13"/>
        <v>0</v>
      </c>
      <c r="P171" s="85"/>
      <c r="R171" s="53"/>
      <c r="S171" s="53"/>
      <c r="T171" s="53"/>
      <c r="U171" s="53"/>
    </row>
    <row r="172" spans="1:21" ht="24" hidden="1" x14ac:dyDescent="0.25">
      <c r="A172" s="76">
        <v>2515</v>
      </c>
      <c r="B172" s="127" t="s">
        <v>188</v>
      </c>
      <c r="C172" s="128">
        <f t="shared" si="9"/>
        <v>0</v>
      </c>
      <c r="D172" s="134"/>
      <c r="E172" s="285"/>
      <c r="F172" s="286">
        <f t="shared" si="10"/>
        <v>0</v>
      </c>
      <c r="G172" s="134"/>
      <c r="H172" s="135"/>
      <c r="I172" s="136">
        <f t="shared" si="11"/>
        <v>0</v>
      </c>
      <c r="J172" s="134"/>
      <c r="K172" s="135"/>
      <c r="L172" s="136">
        <f t="shared" si="12"/>
        <v>0</v>
      </c>
      <c r="M172" s="284"/>
      <c r="N172" s="285"/>
      <c r="O172" s="136">
        <f t="shared" si="13"/>
        <v>0</v>
      </c>
      <c r="P172" s="85"/>
      <c r="R172" s="53"/>
      <c r="S172" s="53"/>
      <c r="T172" s="53"/>
      <c r="U172" s="53"/>
    </row>
    <row r="173" spans="1:21" ht="24" hidden="1" x14ac:dyDescent="0.25">
      <c r="A173" s="76">
        <v>2519</v>
      </c>
      <c r="B173" s="127" t="s">
        <v>189</v>
      </c>
      <c r="C173" s="128">
        <f t="shared" si="9"/>
        <v>0</v>
      </c>
      <c r="D173" s="134"/>
      <c r="E173" s="285"/>
      <c r="F173" s="286">
        <f t="shared" si="10"/>
        <v>0</v>
      </c>
      <c r="G173" s="134"/>
      <c r="H173" s="135"/>
      <c r="I173" s="136">
        <f t="shared" si="11"/>
        <v>0</v>
      </c>
      <c r="J173" s="134"/>
      <c r="K173" s="135"/>
      <c r="L173" s="136">
        <f t="shared" si="12"/>
        <v>0</v>
      </c>
      <c r="M173" s="284"/>
      <c r="N173" s="285"/>
      <c r="O173" s="136">
        <f t="shared" si="13"/>
        <v>0</v>
      </c>
      <c r="P173" s="85"/>
      <c r="R173" s="53"/>
      <c r="S173" s="53"/>
      <c r="T173" s="53"/>
      <c r="U173" s="53"/>
    </row>
    <row r="174" spans="1:21" ht="24" hidden="1" x14ac:dyDescent="0.25">
      <c r="A174" s="276">
        <v>2520</v>
      </c>
      <c r="B174" s="127" t="s">
        <v>190</v>
      </c>
      <c r="C174" s="128">
        <f t="shared" si="9"/>
        <v>0</v>
      </c>
      <c r="D174" s="134"/>
      <c r="E174" s="285"/>
      <c r="F174" s="286">
        <f t="shared" si="10"/>
        <v>0</v>
      </c>
      <c r="G174" s="134"/>
      <c r="H174" s="135"/>
      <c r="I174" s="136">
        <f t="shared" si="11"/>
        <v>0</v>
      </c>
      <c r="J174" s="134"/>
      <c r="K174" s="135"/>
      <c r="L174" s="136">
        <f t="shared" si="12"/>
        <v>0</v>
      </c>
      <c r="M174" s="284"/>
      <c r="N174" s="285"/>
      <c r="O174" s="136">
        <f t="shared" si="13"/>
        <v>0</v>
      </c>
      <c r="P174" s="85"/>
      <c r="R174" s="53"/>
      <c r="S174" s="53"/>
      <c r="T174" s="53"/>
      <c r="U174" s="53"/>
    </row>
    <row r="175" spans="1:21" s="319" customFormat="1" ht="48" hidden="1" x14ac:dyDescent="0.25">
      <c r="A175" s="31">
        <v>2800</v>
      </c>
      <c r="B175" s="116" t="s">
        <v>191</v>
      </c>
      <c r="C175" s="117">
        <f t="shared" si="9"/>
        <v>0</v>
      </c>
      <c r="D175" s="68"/>
      <c r="E175" s="69"/>
      <c r="F175" s="70">
        <f t="shared" si="10"/>
        <v>0</v>
      </c>
      <c r="G175" s="68"/>
      <c r="H175" s="71"/>
      <c r="I175" s="72">
        <f t="shared" si="11"/>
        <v>0</v>
      </c>
      <c r="J175" s="68"/>
      <c r="K175" s="71"/>
      <c r="L175" s="72">
        <f t="shared" si="12"/>
        <v>0</v>
      </c>
      <c r="M175" s="73"/>
      <c r="N175" s="69"/>
      <c r="O175" s="72">
        <f t="shared" si="13"/>
        <v>0</v>
      </c>
      <c r="P175" s="74"/>
      <c r="R175" s="53"/>
      <c r="S175" s="53"/>
      <c r="T175" s="53"/>
      <c r="U175" s="53"/>
    </row>
    <row r="176" spans="1:21" hidden="1" x14ac:dyDescent="0.25">
      <c r="A176" s="237">
        <v>3000</v>
      </c>
      <c r="B176" s="237" t="s">
        <v>192</v>
      </c>
      <c r="C176" s="238">
        <f t="shared" si="9"/>
        <v>0</v>
      </c>
      <c r="D176" s="239">
        <f>SUM(D177,D187)</f>
        <v>0</v>
      </c>
      <c r="E176" s="245">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c r="S176" s="53"/>
      <c r="T176" s="53"/>
      <c r="U176" s="53"/>
    </row>
    <row r="177" spans="1:21" ht="24" hidden="1" x14ac:dyDescent="0.25">
      <c r="A177" s="99">
        <v>3200</v>
      </c>
      <c r="B177" s="321" t="s">
        <v>193</v>
      </c>
      <c r="C177" s="100">
        <f t="shared" si="9"/>
        <v>0</v>
      </c>
      <c r="D177" s="112">
        <f>SUM(D178,D182)</f>
        <v>0</v>
      </c>
      <c r="E177" s="293">
        <f>SUM(E178,E182)</f>
        <v>0</v>
      </c>
      <c r="F177" s="313">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c r="R177" s="53"/>
      <c r="S177" s="53"/>
      <c r="T177" s="53"/>
      <c r="U177" s="53"/>
    </row>
    <row r="178" spans="1:21" ht="36" hidden="1" x14ac:dyDescent="0.25">
      <c r="A178" s="656">
        <v>3260</v>
      </c>
      <c r="B178" s="116" t="s">
        <v>194</v>
      </c>
      <c r="C178" s="117">
        <f t="shared" si="9"/>
        <v>0</v>
      </c>
      <c r="D178" s="297">
        <f>SUM(D179:D181)</f>
        <v>0</v>
      </c>
      <c r="E178" s="301">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c r="S178" s="53"/>
      <c r="T178" s="53"/>
      <c r="U178" s="53"/>
    </row>
    <row r="179" spans="1:21" ht="24" hidden="1" x14ac:dyDescent="0.25">
      <c r="A179" s="76">
        <v>3261</v>
      </c>
      <c r="B179" s="127" t="s">
        <v>195</v>
      </c>
      <c r="C179" s="128">
        <f t="shared" si="9"/>
        <v>0</v>
      </c>
      <c r="D179" s="134"/>
      <c r="E179" s="285"/>
      <c r="F179" s="286">
        <f t="shared" si="10"/>
        <v>0</v>
      </c>
      <c r="G179" s="134"/>
      <c r="H179" s="135"/>
      <c r="I179" s="136">
        <f t="shared" si="11"/>
        <v>0</v>
      </c>
      <c r="J179" s="134"/>
      <c r="K179" s="135"/>
      <c r="L179" s="136">
        <f t="shared" si="12"/>
        <v>0</v>
      </c>
      <c r="M179" s="284"/>
      <c r="N179" s="285"/>
      <c r="O179" s="136">
        <f t="shared" si="13"/>
        <v>0</v>
      </c>
      <c r="P179" s="85"/>
      <c r="R179" s="53"/>
      <c r="S179" s="53"/>
      <c r="T179" s="53"/>
      <c r="U179" s="53"/>
    </row>
    <row r="180" spans="1:21" ht="36" hidden="1" x14ac:dyDescent="0.25">
      <c r="A180" s="76">
        <v>3262</v>
      </c>
      <c r="B180" s="127" t="s">
        <v>196</v>
      </c>
      <c r="C180" s="128">
        <f t="shared" si="9"/>
        <v>0</v>
      </c>
      <c r="D180" s="134"/>
      <c r="E180" s="285"/>
      <c r="F180" s="286">
        <f t="shared" si="10"/>
        <v>0</v>
      </c>
      <c r="G180" s="134"/>
      <c r="H180" s="135"/>
      <c r="I180" s="136">
        <f t="shared" si="11"/>
        <v>0</v>
      </c>
      <c r="J180" s="134"/>
      <c r="K180" s="135"/>
      <c r="L180" s="136">
        <f t="shared" si="12"/>
        <v>0</v>
      </c>
      <c r="M180" s="284"/>
      <c r="N180" s="285"/>
      <c r="O180" s="136">
        <f t="shared" si="13"/>
        <v>0</v>
      </c>
      <c r="P180" s="85"/>
      <c r="R180" s="53"/>
      <c r="S180" s="53"/>
      <c r="T180" s="53"/>
      <c r="U180" s="53"/>
    </row>
    <row r="181" spans="1:21" ht="24" hidden="1" x14ac:dyDescent="0.25">
      <c r="A181" s="76">
        <v>3263</v>
      </c>
      <c r="B181" s="127" t="s">
        <v>197</v>
      </c>
      <c r="C181" s="128">
        <f t="shared" si="9"/>
        <v>0</v>
      </c>
      <c r="D181" s="134"/>
      <c r="E181" s="285"/>
      <c r="F181" s="286">
        <f t="shared" si="10"/>
        <v>0</v>
      </c>
      <c r="G181" s="134"/>
      <c r="H181" s="135"/>
      <c r="I181" s="136">
        <f t="shared" si="11"/>
        <v>0</v>
      </c>
      <c r="J181" s="134"/>
      <c r="K181" s="135"/>
      <c r="L181" s="136">
        <f t="shared" si="12"/>
        <v>0</v>
      </c>
      <c r="M181" s="284"/>
      <c r="N181" s="285"/>
      <c r="O181" s="136">
        <f t="shared" si="13"/>
        <v>0</v>
      </c>
      <c r="P181" s="85"/>
      <c r="R181" s="53"/>
      <c r="S181" s="53"/>
      <c r="T181" s="53"/>
      <c r="U181" s="53"/>
    </row>
    <row r="182" spans="1:21" ht="84" hidden="1" x14ac:dyDescent="0.25">
      <c r="A182" s="656">
        <v>3290</v>
      </c>
      <c r="B182" s="116" t="s">
        <v>198</v>
      </c>
      <c r="C182" s="128">
        <f t="shared" ref="C182:C258" si="26">F182+I182+L182+O182</f>
        <v>0</v>
      </c>
      <c r="D182" s="297">
        <f>SUM(D183:D186)</f>
        <v>0</v>
      </c>
      <c r="E182" s="301">
        <f>SUM(E183:E186)</f>
        <v>0</v>
      </c>
      <c r="F182" s="263">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c r="R182" s="53"/>
      <c r="S182" s="53"/>
      <c r="T182" s="53"/>
      <c r="U182" s="53"/>
    </row>
    <row r="183" spans="1:21" ht="72" hidden="1" x14ac:dyDescent="0.25">
      <c r="A183" s="76">
        <v>3291</v>
      </c>
      <c r="B183" s="127" t="s">
        <v>199</v>
      </c>
      <c r="C183" s="128">
        <f t="shared" si="26"/>
        <v>0</v>
      </c>
      <c r="D183" s="134"/>
      <c r="E183" s="285"/>
      <c r="F183" s="286">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c r="R183" s="53"/>
      <c r="S183" s="53"/>
      <c r="T183" s="53"/>
      <c r="U183" s="53"/>
    </row>
    <row r="184" spans="1:21" ht="72" hidden="1" x14ac:dyDescent="0.25">
      <c r="A184" s="76">
        <v>3292</v>
      </c>
      <c r="B184" s="127" t="s">
        <v>200</v>
      </c>
      <c r="C184" s="128">
        <f t="shared" si="26"/>
        <v>0</v>
      </c>
      <c r="D184" s="134"/>
      <c r="E184" s="285"/>
      <c r="F184" s="286">
        <f t="shared" si="30"/>
        <v>0</v>
      </c>
      <c r="G184" s="134"/>
      <c r="H184" s="135"/>
      <c r="I184" s="136">
        <f t="shared" si="31"/>
        <v>0</v>
      </c>
      <c r="J184" s="134"/>
      <c r="K184" s="135"/>
      <c r="L184" s="136">
        <f t="shared" si="32"/>
        <v>0</v>
      </c>
      <c r="M184" s="284"/>
      <c r="N184" s="285"/>
      <c r="O184" s="136">
        <f t="shared" si="33"/>
        <v>0</v>
      </c>
      <c r="P184" s="85"/>
      <c r="R184" s="53"/>
      <c r="S184" s="53"/>
      <c r="T184" s="53"/>
      <c r="U184" s="53"/>
    </row>
    <row r="185" spans="1:21" ht="72" hidden="1" x14ac:dyDescent="0.25">
      <c r="A185" s="76">
        <v>3293</v>
      </c>
      <c r="B185" s="127" t="s">
        <v>201</v>
      </c>
      <c r="C185" s="128">
        <f t="shared" si="26"/>
        <v>0</v>
      </c>
      <c r="D185" s="134"/>
      <c r="E185" s="285"/>
      <c r="F185" s="286">
        <f t="shared" si="30"/>
        <v>0</v>
      </c>
      <c r="G185" s="134"/>
      <c r="H185" s="135"/>
      <c r="I185" s="136">
        <f t="shared" si="31"/>
        <v>0</v>
      </c>
      <c r="J185" s="134"/>
      <c r="K185" s="135"/>
      <c r="L185" s="136">
        <f t="shared" si="32"/>
        <v>0</v>
      </c>
      <c r="M185" s="284"/>
      <c r="N185" s="285"/>
      <c r="O185" s="136">
        <f t="shared" si="33"/>
        <v>0</v>
      </c>
      <c r="P185" s="85"/>
      <c r="R185" s="53"/>
      <c r="S185" s="53"/>
      <c r="T185" s="53"/>
      <c r="U185" s="53"/>
    </row>
    <row r="186" spans="1:21" ht="60" hidden="1" x14ac:dyDescent="0.25">
      <c r="A186" s="326">
        <v>3294</v>
      </c>
      <c r="B186" s="127" t="s">
        <v>202</v>
      </c>
      <c r="C186" s="327">
        <f t="shared" si="26"/>
        <v>0</v>
      </c>
      <c r="D186" s="328"/>
      <c r="E186" s="329"/>
      <c r="F186" s="330">
        <f t="shared" si="30"/>
        <v>0</v>
      </c>
      <c r="G186" s="328"/>
      <c r="H186" s="331"/>
      <c r="I186" s="324">
        <f t="shared" si="31"/>
        <v>0</v>
      </c>
      <c r="J186" s="328"/>
      <c r="K186" s="331"/>
      <c r="L186" s="324">
        <f t="shared" si="32"/>
        <v>0</v>
      </c>
      <c r="M186" s="332"/>
      <c r="N186" s="329"/>
      <c r="O186" s="324">
        <f t="shared" si="33"/>
        <v>0</v>
      </c>
      <c r="P186" s="325"/>
      <c r="R186" s="53"/>
      <c r="S186" s="53"/>
      <c r="T186" s="53"/>
      <c r="U186" s="53"/>
    </row>
    <row r="187" spans="1:21" ht="48" hidden="1" x14ac:dyDescent="0.25">
      <c r="A187" s="160">
        <v>3300</v>
      </c>
      <c r="B187" s="321" t="s">
        <v>203</v>
      </c>
      <c r="C187" s="333">
        <f t="shared" si="26"/>
        <v>0</v>
      </c>
      <c r="D187" s="334">
        <f>SUM(D188:D189)</f>
        <v>0</v>
      </c>
      <c r="E187" s="251">
        <f>SUM(E188:E189)</f>
        <v>0</v>
      </c>
      <c r="F187" s="335">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c r="R187" s="53"/>
      <c r="S187" s="53"/>
      <c r="T187" s="53"/>
      <c r="U187" s="53"/>
    </row>
    <row r="188" spans="1:21" ht="48" hidden="1" x14ac:dyDescent="0.25">
      <c r="A188" s="178">
        <v>3310</v>
      </c>
      <c r="B188" s="179" t="s">
        <v>204</v>
      </c>
      <c r="C188" s="191">
        <f t="shared" si="26"/>
        <v>0</v>
      </c>
      <c r="D188" s="287"/>
      <c r="E188" s="291"/>
      <c r="F188" s="310">
        <f t="shared" si="30"/>
        <v>0</v>
      </c>
      <c r="G188" s="287"/>
      <c r="H188" s="289"/>
      <c r="I188" s="259">
        <f t="shared" si="31"/>
        <v>0</v>
      </c>
      <c r="J188" s="287"/>
      <c r="K188" s="289"/>
      <c r="L188" s="259">
        <f t="shared" si="32"/>
        <v>0</v>
      </c>
      <c r="M188" s="290"/>
      <c r="N188" s="291"/>
      <c r="O188" s="259">
        <f t="shared" si="33"/>
        <v>0</v>
      </c>
      <c r="P188" s="189"/>
      <c r="R188" s="53"/>
      <c r="S188" s="53"/>
      <c r="T188" s="53"/>
      <c r="U188" s="53"/>
    </row>
    <row r="189" spans="1:21" ht="60" hidden="1" x14ac:dyDescent="0.25">
      <c r="A189" s="66">
        <v>3320</v>
      </c>
      <c r="B189" s="116" t="s">
        <v>205</v>
      </c>
      <c r="C189" s="117">
        <f t="shared" si="26"/>
        <v>0</v>
      </c>
      <c r="D189" s="123"/>
      <c r="E189" s="262"/>
      <c r="F189" s="263">
        <f t="shared" si="30"/>
        <v>0</v>
      </c>
      <c r="G189" s="123"/>
      <c r="H189" s="124"/>
      <c r="I189" s="125">
        <f t="shared" si="31"/>
        <v>0</v>
      </c>
      <c r="J189" s="123"/>
      <c r="K189" s="124"/>
      <c r="L189" s="125">
        <f t="shared" si="32"/>
        <v>0</v>
      </c>
      <c r="M189" s="264"/>
      <c r="N189" s="262"/>
      <c r="O189" s="125">
        <f t="shared" si="33"/>
        <v>0</v>
      </c>
      <c r="P189" s="74"/>
      <c r="R189" s="53"/>
      <c r="S189" s="53"/>
      <c r="T189" s="53"/>
      <c r="U189" s="53"/>
    </row>
    <row r="190" spans="1:21" hidden="1" x14ac:dyDescent="0.25">
      <c r="A190" s="337">
        <v>4000</v>
      </c>
      <c r="B190" s="237" t="s">
        <v>206</v>
      </c>
      <c r="C190" s="238">
        <f t="shared" si="26"/>
        <v>0</v>
      </c>
      <c r="D190" s="239">
        <f>SUM(D191,D194)</f>
        <v>0</v>
      </c>
      <c r="E190" s="245">
        <f>SUM(E191,E194)</f>
        <v>0</v>
      </c>
      <c r="F190" s="320">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c r="R190" s="53"/>
      <c r="S190" s="53"/>
      <c r="T190" s="53"/>
      <c r="U190" s="53"/>
    </row>
    <row r="191" spans="1:21" ht="24" hidden="1" x14ac:dyDescent="0.25">
      <c r="A191" s="338">
        <v>4200</v>
      </c>
      <c r="B191" s="247" t="s">
        <v>207</v>
      </c>
      <c r="C191" s="100">
        <f t="shared" si="26"/>
        <v>0</v>
      </c>
      <c r="D191" s="112">
        <f>SUM(D192,D193)</f>
        <v>0</v>
      </c>
      <c r="E191" s="293">
        <f>SUM(E192,E193)</f>
        <v>0</v>
      </c>
      <c r="F191" s="313">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c r="R191" s="53"/>
      <c r="S191" s="53"/>
      <c r="T191" s="53"/>
      <c r="U191" s="53"/>
    </row>
    <row r="192" spans="1:21" ht="36" hidden="1" x14ac:dyDescent="0.25">
      <c r="A192" s="656">
        <v>4240</v>
      </c>
      <c r="B192" s="116" t="s">
        <v>208</v>
      </c>
      <c r="C192" s="117">
        <f t="shared" si="26"/>
        <v>0</v>
      </c>
      <c r="D192" s="123"/>
      <c r="E192" s="262"/>
      <c r="F192" s="263">
        <f t="shared" si="30"/>
        <v>0</v>
      </c>
      <c r="G192" s="123"/>
      <c r="H192" s="124"/>
      <c r="I192" s="125">
        <f t="shared" si="31"/>
        <v>0</v>
      </c>
      <c r="J192" s="123"/>
      <c r="K192" s="124"/>
      <c r="L192" s="125">
        <f t="shared" si="32"/>
        <v>0</v>
      </c>
      <c r="M192" s="264"/>
      <c r="N192" s="262"/>
      <c r="O192" s="125">
        <f t="shared" si="33"/>
        <v>0</v>
      </c>
      <c r="P192" s="74"/>
      <c r="R192" s="53"/>
      <c r="S192" s="53"/>
      <c r="T192" s="53"/>
      <c r="U192" s="53"/>
    </row>
    <row r="193" spans="1:21" ht="24" hidden="1" x14ac:dyDescent="0.25">
      <c r="A193" s="276">
        <v>4250</v>
      </c>
      <c r="B193" s="127" t="s">
        <v>209</v>
      </c>
      <c r="C193" s="128">
        <f t="shared" si="26"/>
        <v>0</v>
      </c>
      <c r="D193" s="134"/>
      <c r="E193" s="285"/>
      <c r="F193" s="286">
        <f t="shared" si="30"/>
        <v>0</v>
      </c>
      <c r="G193" s="134"/>
      <c r="H193" s="135"/>
      <c r="I193" s="136">
        <f t="shared" si="31"/>
        <v>0</v>
      </c>
      <c r="J193" s="134"/>
      <c r="K193" s="135"/>
      <c r="L193" s="136">
        <f t="shared" si="32"/>
        <v>0</v>
      </c>
      <c r="M193" s="284"/>
      <c r="N193" s="285"/>
      <c r="O193" s="136">
        <f t="shared" si="33"/>
        <v>0</v>
      </c>
      <c r="P193" s="85"/>
      <c r="R193" s="53"/>
      <c r="S193" s="53"/>
      <c r="T193" s="53"/>
      <c r="U193" s="53"/>
    </row>
    <row r="194" spans="1:21" hidden="1" x14ac:dyDescent="0.25">
      <c r="A194" s="99">
        <v>4300</v>
      </c>
      <c r="B194" s="247" t="s">
        <v>210</v>
      </c>
      <c r="C194" s="100">
        <f t="shared" si="26"/>
        <v>0</v>
      </c>
      <c r="D194" s="112">
        <f>SUM(D195)</f>
        <v>0</v>
      </c>
      <c r="E194" s="293">
        <f>SUM(E195)</f>
        <v>0</v>
      </c>
      <c r="F194" s="313">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c r="R194" s="53"/>
      <c r="S194" s="53"/>
      <c r="T194" s="53"/>
      <c r="U194" s="53"/>
    </row>
    <row r="195" spans="1:21" ht="24" hidden="1" x14ac:dyDescent="0.25">
      <c r="A195" s="656">
        <v>4310</v>
      </c>
      <c r="B195" s="116" t="s">
        <v>211</v>
      </c>
      <c r="C195" s="117">
        <f t="shared" si="26"/>
        <v>0</v>
      </c>
      <c r="D195" s="297">
        <f>SUM(D196:D196)</f>
        <v>0</v>
      </c>
      <c r="E195" s="301">
        <f>SUM(E196:E196)</f>
        <v>0</v>
      </c>
      <c r="F195" s="263">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c r="R195" s="53"/>
      <c r="S195" s="53"/>
      <c r="T195" s="53"/>
      <c r="U195" s="53"/>
    </row>
    <row r="196" spans="1:21" ht="36" hidden="1" x14ac:dyDescent="0.25">
      <c r="A196" s="76">
        <v>4311</v>
      </c>
      <c r="B196" s="127" t="s">
        <v>212</v>
      </c>
      <c r="C196" s="128">
        <f t="shared" si="26"/>
        <v>0</v>
      </c>
      <c r="D196" s="134"/>
      <c r="E196" s="285"/>
      <c r="F196" s="286">
        <f t="shared" si="30"/>
        <v>0</v>
      </c>
      <c r="G196" s="134"/>
      <c r="H196" s="135"/>
      <c r="I196" s="136">
        <f t="shared" si="31"/>
        <v>0</v>
      </c>
      <c r="J196" s="134"/>
      <c r="K196" s="135"/>
      <c r="L196" s="136">
        <f t="shared" si="32"/>
        <v>0</v>
      </c>
      <c r="M196" s="284"/>
      <c r="N196" s="285"/>
      <c r="O196" s="136">
        <f t="shared" si="33"/>
        <v>0</v>
      </c>
      <c r="P196" s="85"/>
      <c r="R196" s="53"/>
      <c r="S196" s="53"/>
      <c r="T196" s="53"/>
      <c r="U196" s="53"/>
    </row>
    <row r="197" spans="1:21" s="41" customFormat="1" ht="24" x14ac:dyDescent="0.25">
      <c r="A197" s="339"/>
      <c r="B197" s="31" t="s">
        <v>213</v>
      </c>
      <c r="C197" s="229">
        <f t="shared" si="26"/>
        <v>3223</v>
      </c>
      <c r="D197" s="230">
        <f>SUM(D198,D233,D271)</f>
        <v>2605</v>
      </c>
      <c r="E197" s="231">
        <f>SUM(E198,E233,E271)</f>
        <v>0</v>
      </c>
      <c r="F197" s="232">
        <f t="shared" si="30"/>
        <v>2605</v>
      </c>
      <c r="G197" s="230">
        <f>SUM(G198,G233,G271)</f>
        <v>420</v>
      </c>
      <c r="H197" s="233">
        <f>SUM(H198,H233,H271)</f>
        <v>0</v>
      </c>
      <c r="I197" s="234">
        <f t="shared" si="31"/>
        <v>420</v>
      </c>
      <c r="J197" s="230">
        <f>SUM(J198,J233,J271)</f>
        <v>92</v>
      </c>
      <c r="K197" s="233">
        <f>SUM(K198,K233,K271)</f>
        <v>0</v>
      </c>
      <c r="L197" s="234">
        <f t="shared" si="32"/>
        <v>92</v>
      </c>
      <c r="M197" s="340">
        <f>SUM(M198,M233,M271)</f>
        <v>106</v>
      </c>
      <c r="N197" s="341">
        <f>SUM(N198,N233,N271)</f>
        <v>0</v>
      </c>
      <c r="O197" s="342">
        <f t="shared" si="33"/>
        <v>106</v>
      </c>
      <c r="P197" s="343"/>
      <c r="R197" s="53"/>
      <c r="S197" s="53"/>
      <c r="T197" s="53"/>
      <c r="U197" s="53"/>
    </row>
    <row r="198" spans="1:21" x14ac:dyDescent="0.25">
      <c r="A198" s="237">
        <v>5000</v>
      </c>
      <c r="B198" s="237" t="s">
        <v>214</v>
      </c>
      <c r="C198" s="238">
        <f>F198+I198+L198+O198</f>
        <v>3131</v>
      </c>
      <c r="D198" s="239">
        <f>D199+D207</f>
        <v>2605</v>
      </c>
      <c r="E198" s="240">
        <f>E199+E207</f>
        <v>0</v>
      </c>
      <c r="F198" s="241">
        <f t="shared" si="30"/>
        <v>2605</v>
      </c>
      <c r="G198" s="239">
        <f>G199+G207</f>
        <v>420</v>
      </c>
      <c r="H198" s="242">
        <f>H199+H207</f>
        <v>0</v>
      </c>
      <c r="I198" s="243">
        <f t="shared" si="31"/>
        <v>420</v>
      </c>
      <c r="J198" s="239">
        <f>J199+J207</f>
        <v>0</v>
      </c>
      <c r="K198" s="242">
        <f>K199+K207</f>
        <v>0</v>
      </c>
      <c r="L198" s="243">
        <f t="shared" si="32"/>
        <v>0</v>
      </c>
      <c r="M198" s="244">
        <f>M199+M207</f>
        <v>106</v>
      </c>
      <c r="N198" s="245">
        <f>N199+N207</f>
        <v>0</v>
      </c>
      <c r="O198" s="243">
        <f t="shared" si="33"/>
        <v>106</v>
      </c>
      <c r="P198" s="246"/>
      <c r="R198" s="53"/>
      <c r="S198" s="53"/>
      <c r="T198" s="53"/>
      <c r="U198" s="53"/>
    </row>
    <row r="199" spans="1:21" x14ac:dyDescent="0.25">
      <c r="A199" s="99">
        <v>5100</v>
      </c>
      <c r="B199" s="247" t="s">
        <v>215</v>
      </c>
      <c r="C199" s="100">
        <f t="shared" si="26"/>
        <v>85</v>
      </c>
      <c r="D199" s="112">
        <f>D200+D201+D204+D205+D206</f>
        <v>85</v>
      </c>
      <c r="E199" s="248">
        <f>E200+E201+E204+E205+E206</f>
        <v>0</v>
      </c>
      <c r="F199" s="249">
        <f t="shared" si="30"/>
        <v>85</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c r="R199" s="53"/>
      <c r="S199" s="53"/>
      <c r="T199" s="53"/>
      <c r="U199" s="53"/>
    </row>
    <row r="200" spans="1:21" hidden="1" x14ac:dyDescent="0.25">
      <c r="A200" s="656">
        <v>5110</v>
      </c>
      <c r="B200" s="116" t="s">
        <v>216</v>
      </c>
      <c r="C200" s="117">
        <f t="shared" si="26"/>
        <v>0</v>
      </c>
      <c r="D200" s="123"/>
      <c r="E200" s="262"/>
      <c r="F200" s="263">
        <f t="shared" si="30"/>
        <v>0</v>
      </c>
      <c r="G200" s="123"/>
      <c r="H200" s="124"/>
      <c r="I200" s="125">
        <f t="shared" si="31"/>
        <v>0</v>
      </c>
      <c r="J200" s="123"/>
      <c r="K200" s="124"/>
      <c r="L200" s="125">
        <f t="shared" si="32"/>
        <v>0</v>
      </c>
      <c r="M200" s="264"/>
      <c r="N200" s="262"/>
      <c r="O200" s="125">
        <f t="shared" si="33"/>
        <v>0</v>
      </c>
      <c r="P200" s="74"/>
      <c r="R200" s="53"/>
      <c r="S200" s="53"/>
      <c r="T200" s="53"/>
      <c r="U200" s="53"/>
    </row>
    <row r="201" spans="1:21" ht="24" x14ac:dyDescent="0.25">
      <c r="A201" s="276">
        <v>5120</v>
      </c>
      <c r="B201" s="127" t="s">
        <v>217</v>
      </c>
      <c r="C201" s="128">
        <f t="shared" si="26"/>
        <v>85</v>
      </c>
      <c r="D201" s="277">
        <f>D202+D203</f>
        <v>85</v>
      </c>
      <c r="E201" s="278">
        <f>E202+E203</f>
        <v>0</v>
      </c>
      <c r="F201" s="279">
        <f t="shared" si="30"/>
        <v>85</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c r="R201" s="53"/>
      <c r="S201" s="53"/>
      <c r="T201" s="53"/>
      <c r="U201" s="53"/>
    </row>
    <row r="202" spans="1:21" x14ac:dyDescent="0.25">
      <c r="A202" s="76">
        <v>5121</v>
      </c>
      <c r="B202" s="127" t="s">
        <v>218</v>
      </c>
      <c r="C202" s="128">
        <f t="shared" si="26"/>
        <v>85</v>
      </c>
      <c r="D202" s="134">
        <v>85</v>
      </c>
      <c r="E202" s="283"/>
      <c r="F202" s="279">
        <f t="shared" si="30"/>
        <v>85</v>
      </c>
      <c r="G202" s="134"/>
      <c r="H202" s="135"/>
      <c r="I202" s="136">
        <f t="shared" si="31"/>
        <v>0</v>
      </c>
      <c r="J202" s="134"/>
      <c r="K202" s="135"/>
      <c r="L202" s="136">
        <f t="shared" si="32"/>
        <v>0</v>
      </c>
      <c r="M202" s="284"/>
      <c r="N202" s="285"/>
      <c r="O202" s="136">
        <f t="shared" si="33"/>
        <v>0</v>
      </c>
      <c r="P202" s="85"/>
      <c r="R202" s="53"/>
      <c r="S202" s="53"/>
      <c r="T202" s="53"/>
      <c r="U202" s="53"/>
    </row>
    <row r="203" spans="1:21" ht="24" hidden="1" x14ac:dyDescent="0.25">
      <c r="A203" s="76">
        <v>5129</v>
      </c>
      <c r="B203" s="127" t="s">
        <v>219</v>
      </c>
      <c r="C203" s="128">
        <f t="shared" si="26"/>
        <v>0</v>
      </c>
      <c r="D203" s="134"/>
      <c r="E203" s="285"/>
      <c r="F203" s="286">
        <f t="shared" si="30"/>
        <v>0</v>
      </c>
      <c r="G203" s="134"/>
      <c r="H203" s="135"/>
      <c r="I203" s="136">
        <f t="shared" si="31"/>
        <v>0</v>
      </c>
      <c r="J203" s="134"/>
      <c r="K203" s="135"/>
      <c r="L203" s="136">
        <f t="shared" si="32"/>
        <v>0</v>
      </c>
      <c r="M203" s="284"/>
      <c r="N203" s="285"/>
      <c r="O203" s="136">
        <f t="shared" si="33"/>
        <v>0</v>
      </c>
      <c r="P203" s="85"/>
      <c r="R203" s="53"/>
      <c r="S203" s="53"/>
      <c r="T203" s="53"/>
      <c r="U203" s="53"/>
    </row>
    <row r="204" spans="1:21" hidden="1" x14ac:dyDescent="0.25">
      <c r="A204" s="276">
        <v>5130</v>
      </c>
      <c r="B204" s="127" t="s">
        <v>220</v>
      </c>
      <c r="C204" s="128">
        <f t="shared" si="26"/>
        <v>0</v>
      </c>
      <c r="D204" s="134"/>
      <c r="E204" s="285"/>
      <c r="F204" s="286">
        <f t="shared" si="30"/>
        <v>0</v>
      </c>
      <c r="G204" s="134"/>
      <c r="H204" s="135"/>
      <c r="I204" s="136">
        <f t="shared" si="31"/>
        <v>0</v>
      </c>
      <c r="J204" s="134"/>
      <c r="K204" s="135"/>
      <c r="L204" s="136">
        <f t="shared" si="32"/>
        <v>0</v>
      </c>
      <c r="M204" s="284"/>
      <c r="N204" s="285"/>
      <c r="O204" s="136">
        <f t="shared" si="33"/>
        <v>0</v>
      </c>
      <c r="P204" s="85"/>
      <c r="R204" s="53"/>
      <c r="S204" s="53"/>
      <c r="T204" s="53"/>
      <c r="U204" s="53"/>
    </row>
    <row r="205" spans="1:21" hidden="1" x14ac:dyDescent="0.25">
      <c r="A205" s="276">
        <v>5140</v>
      </c>
      <c r="B205" s="127" t="s">
        <v>221</v>
      </c>
      <c r="C205" s="128">
        <f t="shared" si="26"/>
        <v>0</v>
      </c>
      <c r="D205" s="134"/>
      <c r="E205" s="285"/>
      <c r="F205" s="286">
        <f t="shared" si="30"/>
        <v>0</v>
      </c>
      <c r="G205" s="134"/>
      <c r="H205" s="135"/>
      <c r="I205" s="136">
        <f t="shared" si="31"/>
        <v>0</v>
      </c>
      <c r="J205" s="134"/>
      <c r="K205" s="135"/>
      <c r="L205" s="136">
        <f t="shared" si="32"/>
        <v>0</v>
      </c>
      <c r="M205" s="284"/>
      <c r="N205" s="285"/>
      <c r="O205" s="136">
        <f t="shared" si="33"/>
        <v>0</v>
      </c>
      <c r="P205" s="85"/>
      <c r="R205" s="53"/>
      <c r="S205" s="53"/>
      <c r="T205" s="53"/>
      <c r="U205" s="53"/>
    </row>
    <row r="206" spans="1:21" ht="24" hidden="1" x14ac:dyDescent="0.25">
      <c r="A206" s="276">
        <v>5170</v>
      </c>
      <c r="B206" s="127" t="s">
        <v>222</v>
      </c>
      <c r="C206" s="128">
        <f t="shared" si="26"/>
        <v>0</v>
      </c>
      <c r="D206" s="134"/>
      <c r="E206" s="285"/>
      <c r="F206" s="286">
        <f t="shared" si="30"/>
        <v>0</v>
      </c>
      <c r="G206" s="134"/>
      <c r="H206" s="135"/>
      <c r="I206" s="136">
        <f t="shared" si="31"/>
        <v>0</v>
      </c>
      <c r="J206" s="134"/>
      <c r="K206" s="135"/>
      <c r="L206" s="136">
        <f t="shared" si="32"/>
        <v>0</v>
      </c>
      <c r="M206" s="284"/>
      <c r="N206" s="285"/>
      <c r="O206" s="136">
        <f t="shared" si="33"/>
        <v>0</v>
      </c>
      <c r="P206" s="85"/>
      <c r="R206" s="53"/>
      <c r="S206" s="53"/>
      <c r="T206" s="53"/>
      <c r="U206" s="53"/>
    </row>
    <row r="207" spans="1:21" x14ac:dyDescent="0.25">
      <c r="A207" s="99">
        <v>5200</v>
      </c>
      <c r="B207" s="247" t="s">
        <v>223</v>
      </c>
      <c r="C207" s="100">
        <f t="shared" si="26"/>
        <v>3046</v>
      </c>
      <c r="D207" s="112">
        <f>D208+D218+D219+D228+D229+D230+D232</f>
        <v>2520</v>
      </c>
      <c r="E207" s="248">
        <f>E208+E218+E219+E228+E229+E230+E232</f>
        <v>0</v>
      </c>
      <c r="F207" s="249">
        <f t="shared" si="30"/>
        <v>2520</v>
      </c>
      <c r="G207" s="112">
        <f>G208+G218+G219+G228+G229+G230+G232</f>
        <v>420</v>
      </c>
      <c r="H207" s="113">
        <f>H208+H218+H219+H228+H229+H230+H232</f>
        <v>0</v>
      </c>
      <c r="I207" s="114">
        <f t="shared" si="31"/>
        <v>420</v>
      </c>
      <c r="J207" s="112">
        <f>J208+J218+J219+J228+J229+J230+J232</f>
        <v>0</v>
      </c>
      <c r="K207" s="113">
        <f>K208+K218+K219+K228+K229+K230+K232</f>
        <v>0</v>
      </c>
      <c r="L207" s="114">
        <f t="shared" si="32"/>
        <v>0</v>
      </c>
      <c r="M207" s="292">
        <f>M208+M218+M219+M228+M229+M230+M232</f>
        <v>106</v>
      </c>
      <c r="N207" s="293">
        <f>N208+N218+N219+N228+N229+N230+N232</f>
        <v>0</v>
      </c>
      <c r="O207" s="114">
        <f t="shared" si="33"/>
        <v>106</v>
      </c>
      <c r="P207" s="109"/>
      <c r="R207" s="53"/>
      <c r="S207" s="53"/>
      <c r="T207" s="53"/>
      <c r="U207" s="53"/>
    </row>
    <row r="208" spans="1:21" hidden="1" x14ac:dyDescent="0.25">
      <c r="A208" s="254">
        <v>5210</v>
      </c>
      <c r="B208" s="179" t="s">
        <v>224</v>
      </c>
      <c r="C208" s="191">
        <f t="shared" si="26"/>
        <v>0</v>
      </c>
      <c r="D208" s="255">
        <f>SUM(D209:D217)</f>
        <v>0</v>
      </c>
      <c r="E208" s="261">
        <f>SUM(E209:E217)</f>
        <v>0</v>
      </c>
      <c r="F208" s="310">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c r="R208" s="53"/>
      <c r="S208" s="53"/>
      <c r="T208" s="53"/>
      <c r="U208" s="53"/>
    </row>
    <row r="209" spans="1:21" hidden="1" x14ac:dyDescent="0.25">
      <c r="A209" s="66">
        <v>5211</v>
      </c>
      <c r="B209" s="116" t="s">
        <v>225</v>
      </c>
      <c r="C209" s="279">
        <f t="shared" si="26"/>
        <v>0</v>
      </c>
      <c r="D209" s="123"/>
      <c r="E209" s="262"/>
      <c r="F209" s="263">
        <f t="shared" si="30"/>
        <v>0</v>
      </c>
      <c r="G209" s="123"/>
      <c r="H209" s="124"/>
      <c r="I209" s="125">
        <f t="shared" si="31"/>
        <v>0</v>
      </c>
      <c r="J209" s="123"/>
      <c r="K209" s="124"/>
      <c r="L209" s="125">
        <f t="shared" si="32"/>
        <v>0</v>
      </c>
      <c r="M209" s="264"/>
      <c r="N209" s="262"/>
      <c r="O209" s="125">
        <f t="shared" si="33"/>
        <v>0</v>
      </c>
      <c r="P209" s="74"/>
      <c r="R209" s="53"/>
      <c r="S209" s="53"/>
      <c r="T209" s="53"/>
      <c r="U209" s="53"/>
    </row>
    <row r="210" spans="1:21" hidden="1" x14ac:dyDescent="0.25">
      <c r="A210" s="76">
        <v>5212</v>
      </c>
      <c r="B210" s="127" t="s">
        <v>226</v>
      </c>
      <c r="C210" s="279">
        <f t="shared" si="26"/>
        <v>0</v>
      </c>
      <c r="D210" s="134"/>
      <c r="E210" s="285"/>
      <c r="F210" s="286">
        <f t="shared" si="30"/>
        <v>0</v>
      </c>
      <c r="G210" s="134"/>
      <c r="H210" s="135"/>
      <c r="I210" s="136">
        <f t="shared" si="31"/>
        <v>0</v>
      </c>
      <c r="J210" s="134"/>
      <c r="K210" s="135"/>
      <c r="L210" s="136">
        <f t="shared" si="32"/>
        <v>0</v>
      </c>
      <c r="M210" s="284"/>
      <c r="N210" s="285"/>
      <c r="O210" s="136">
        <f t="shared" si="33"/>
        <v>0</v>
      </c>
      <c r="P210" s="85"/>
      <c r="R210" s="53"/>
      <c r="S210" s="53"/>
      <c r="T210" s="53"/>
      <c r="U210" s="53"/>
    </row>
    <row r="211" spans="1:21" hidden="1" x14ac:dyDescent="0.25">
      <c r="A211" s="76">
        <v>5213</v>
      </c>
      <c r="B211" s="127" t="s">
        <v>227</v>
      </c>
      <c r="C211" s="279">
        <f t="shared" si="26"/>
        <v>0</v>
      </c>
      <c r="D211" s="134"/>
      <c r="E211" s="285"/>
      <c r="F211" s="286">
        <f t="shared" si="30"/>
        <v>0</v>
      </c>
      <c r="G211" s="134"/>
      <c r="H211" s="135"/>
      <c r="I211" s="136">
        <f t="shared" si="31"/>
        <v>0</v>
      </c>
      <c r="J211" s="134"/>
      <c r="K211" s="135"/>
      <c r="L211" s="136">
        <f t="shared" si="32"/>
        <v>0</v>
      </c>
      <c r="M211" s="284"/>
      <c r="N211" s="285"/>
      <c r="O211" s="136">
        <f t="shared" si="33"/>
        <v>0</v>
      </c>
      <c r="P211" s="85"/>
      <c r="R211" s="53"/>
      <c r="S211" s="53"/>
      <c r="T211" s="53"/>
      <c r="U211" s="53"/>
    </row>
    <row r="212" spans="1:21" hidden="1" x14ac:dyDescent="0.25">
      <c r="A212" s="76">
        <v>5214</v>
      </c>
      <c r="B212" s="127" t="s">
        <v>228</v>
      </c>
      <c r="C212" s="279">
        <f t="shared" si="26"/>
        <v>0</v>
      </c>
      <c r="D212" s="134"/>
      <c r="E212" s="285"/>
      <c r="F212" s="286">
        <f t="shared" si="30"/>
        <v>0</v>
      </c>
      <c r="G212" s="134"/>
      <c r="H212" s="135"/>
      <c r="I212" s="136">
        <f t="shared" si="31"/>
        <v>0</v>
      </c>
      <c r="J212" s="134"/>
      <c r="K212" s="135"/>
      <c r="L212" s="136">
        <f t="shared" si="32"/>
        <v>0</v>
      </c>
      <c r="M212" s="284"/>
      <c r="N212" s="285"/>
      <c r="O212" s="136">
        <f t="shared" si="33"/>
        <v>0</v>
      </c>
      <c r="P212" s="85"/>
      <c r="R212" s="53"/>
      <c r="S212" s="53"/>
      <c r="T212" s="53"/>
      <c r="U212" s="53"/>
    </row>
    <row r="213" spans="1:21" hidden="1" x14ac:dyDescent="0.25">
      <c r="A213" s="76">
        <v>5215</v>
      </c>
      <c r="B213" s="127" t="s">
        <v>229</v>
      </c>
      <c r="C213" s="279">
        <f t="shared" si="26"/>
        <v>0</v>
      </c>
      <c r="D213" s="134"/>
      <c r="E213" s="285"/>
      <c r="F213" s="286">
        <f t="shared" si="30"/>
        <v>0</v>
      </c>
      <c r="G213" s="134"/>
      <c r="H213" s="135"/>
      <c r="I213" s="136">
        <f t="shared" si="31"/>
        <v>0</v>
      </c>
      <c r="J213" s="134"/>
      <c r="K213" s="135"/>
      <c r="L213" s="136">
        <f t="shared" si="32"/>
        <v>0</v>
      </c>
      <c r="M213" s="284"/>
      <c r="N213" s="285"/>
      <c r="O213" s="136">
        <f t="shared" si="33"/>
        <v>0</v>
      </c>
      <c r="P213" s="85"/>
      <c r="R213" s="53"/>
      <c r="S213" s="53"/>
      <c r="T213" s="53"/>
      <c r="U213" s="53"/>
    </row>
    <row r="214" spans="1:21" ht="24" hidden="1" x14ac:dyDescent="0.25">
      <c r="A214" s="76">
        <v>5216</v>
      </c>
      <c r="B214" s="127" t="s">
        <v>230</v>
      </c>
      <c r="C214" s="279">
        <f t="shared" si="26"/>
        <v>0</v>
      </c>
      <c r="D214" s="134"/>
      <c r="E214" s="285"/>
      <c r="F214" s="286">
        <f t="shared" si="30"/>
        <v>0</v>
      </c>
      <c r="G214" s="134"/>
      <c r="H214" s="135"/>
      <c r="I214" s="136">
        <f t="shared" si="31"/>
        <v>0</v>
      </c>
      <c r="J214" s="134"/>
      <c r="K214" s="135"/>
      <c r="L214" s="136">
        <f t="shared" si="32"/>
        <v>0</v>
      </c>
      <c r="M214" s="284"/>
      <c r="N214" s="285"/>
      <c r="O214" s="136">
        <f t="shared" si="33"/>
        <v>0</v>
      </c>
      <c r="P214" s="85"/>
      <c r="R214" s="53"/>
      <c r="S214" s="53"/>
      <c r="T214" s="53"/>
      <c r="U214" s="53"/>
    </row>
    <row r="215" spans="1:21" hidden="1" x14ac:dyDescent="0.25">
      <c r="A215" s="76">
        <v>5217</v>
      </c>
      <c r="B215" s="127" t="s">
        <v>231</v>
      </c>
      <c r="C215" s="279">
        <f t="shared" si="26"/>
        <v>0</v>
      </c>
      <c r="D215" s="134"/>
      <c r="E215" s="285"/>
      <c r="F215" s="286">
        <f t="shared" si="30"/>
        <v>0</v>
      </c>
      <c r="G215" s="134"/>
      <c r="H215" s="135"/>
      <c r="I215" s="136">
        <f t="shared" si="31"/>
        <v>0</v>
      </c>
      <c r="J215" s="134"/>
      <c r="K215" s="135"/>
      <c r="L215" s="136">
        <f t="shared" si="32"/>
        <v>0</v>
      </c>
      <c r="M215" s="284"/>
      <c r="N215" s="285"/>
      <c r="O215" s="136">
        <f t="shared" si="33"/>
        <v>0</v>
      </c>
      <c r="P215" s="85"/>
      <c r="R215" s="53"/>
      <c r="S215" s="53"/>
      <c r="T215" s="53"/>
      <c r="U215" s="53"/>
    </row>
    <row r="216" spans="1:21" hidden="1" x14ac:dyDescent="0.25">
      <c r="A216" s="76">
        <v>5218</v>
      </c>
      <c r="B216" s="127" t="s">
        <v>232</v>
      </c>
      <c r="C216" s="279">
        <f t="shared" si="26"/>
        <v>0</v>
      </c>
      <c r="D216" s="134"/>
      <c r="E216" s="285"/>
      <c r="F216" s="286">
        <f t="shared" si="30"/>
        <v>0</v>
      </c>
      <c r="G216" s="134"/>
      <c r="H216" s="135"/>
      <c r="I216" s="136">
        <f t="shared" si="31"/>
        <v>0</v>
      </c>
      <c r="J216" s="134"/>
      <c r="K216" s="135"/>
      <c r="L216" s="136">
        <f t="shared" si="32"/>
        <v>0</v>
      </c>
      <c r="M216" s="284"/>
      <c r="N216" s="285"/>
      <c r="O216" s="136">
        <f t="shared" si="33"/>
        <v>0</v>
      </c>
      <c r="P216" s="85"/>
      <c r="R216" s="53"/>
      <c r="S216" s="53"/>
      <c r="T216" s="53"/>
      <c r="U216" s="53"/>
    </row>
    <row r="217" spans="1:21" hidden="1" x14ac:dyDescent="0.25">
      <c r="A217" s="76">
        <v>5219</v>
      </c>
      <c r="B217" s="127" t="s">
        <v>233</v>
      </c>
      <c r="C217" s="279">
        <f t="shared" si="26"/>
        <v>0</v>
      </c>
      <c r="D217" s="134"/>
      <c r="E217" s="285"/>
      <c r="F217" s="286">
        <f t="shared" si="30"/>
        <v>0</v>
      </c>
      <c r="G217" s="134"/>
      <c r="H217" s="135"/>
      <c r="I217" s="136">
        <f t="shared" si="31"/>
        <v>0</v>
      </c>
      <c r="J217" s="134"/>
      <c r="K217" s="135"/>
      <c r="L217" s="136">
        <f t="shared" si="32"/>
        <v>0</v>
      </c>
      <c r="M217" s="284"/>
      <c r="N217" s="285"/>
      <c r="O217" s="136">
        <f t="shared" si="33"/>
        <v>0</v>
      </c>
      <c r="P217" s="85"/>
      <c r="R217" s="53"/>
      <c r="S217" s="53"/>
      <c r="T217" s="53"/>
      <c r="U217" s="53"/>
    </row>
    <row r="218" spans="1:21" hidden="1" x14ac:dyDescent="0.25">
      <c r="A218" s="276">
        <v>5220</v>
      </c>
      <c r="B218" s="127" t="s">
        <v>234</v>
      </c>
      <c r="C218" s="279">
        <f t="shared" si="26"/>
        <v>0</v>
      </c>
      <c r="D218" s="134"/>
      <c r="E218" s="285"/>
      <c r="F218" s="286">
        <f t="shared" si="30"/>
        <v>0</v>
      </c>
      <c r="G218" s="134"/>
      <c r="H218" s="135"/>
      <c r="I218" s="136">
        <f t="shared" si="31"/>
        <v>0</v>
      </c>
      <c r="J218" s="134"/>
      <c r="K218" s="135"/>
      <c r="L218" s="136">
        <f t="shared" si="32"/>
        <v>0</v>
      </c>
      <c r="M218" s="284"/>
      <c r="N218" s="285"/>
      <c r="O218" s="136">
        <f t="shared" si="33"/>
        <v>0</v>
      </c>
      <c r="P218" s="85"/>
      <c r="R218" s="53"/>
      <c r="S218" s="53"/>
      <c r="T218" s="53"/>
      <c r="U218" s="53"/>
    </row>
    <row r="219" spans="1:21" x14ac:dyDescent="0.25">
      <c r="A219" s="276">
        <v>5230</v>
      </c>
      <c r="B219" s="127" t="s">
        <v>235</v>
      </c>
      <c r="C219" s="279">
        <f t="shared" si="26"/>
        <v>3046</v>
      </c>
      <c r="D219" s="277">
        <f>SUM(D220:D227)</f>
        <v>2520</v>
      </c>
      <c r="E219" s="278">
        <f>SUM(E220:E227)</f>
        <v>0</v>
      </c>
      <c r="F219" s="279">
        <f t="shared" si="30"/>
        <v>2520</v>
      </c>
      <c r="G219" s="277">
        <f>SUM(G220:G227)</f>
        <v>420</v>
      </c>
      <c r="H219" s="280">
        <f>SUM(H220:H227)</f>
        <v>0</v>
      </c>
      <c r="I219" s="136">
        <f t="shared" si="31"/>
        <v>420</v>
      </c>
      <c r="J219" s="277">
        <f>SUM(J220:J227)</f>
        <v>0</v>
      </c>
      <c r="K219" s="280">
        <f>SUM(K220:K227)</f>
        <v>0</v>
      </c>
      <c r="L219" s="136">
        <f t="shared" si="32"/>
        <v>0</v>
      </c>
      <c r="M219" s="281">
        <f>SUM(M220:M227)</f>
        <v>106</v>
      </c>
      <c r="N219" s="282">
        <f>SUM(N220:N227)</f>
        <v>0</v>
      </c>
      <c r="O219" s="136">
        <f t="shared" si="33"/>
        <v>106</v>
      </c>
      <c r="P219" s="85"/>
      <c r="R219" s="53"/>
      <c r="S219" s="53"/>
      <c r="T219" s="53"/>
      <c r="U219" s="53"/>
    </row>
    <row r="220" spans="1:21" hidden="1" x14ac:dyDescent="0.25">
      <c r="A220" s="76">
        <v>5231</v>
      </c>
      <c r="B220" s="127" t="s">
        <v>236</v>
      </c>
      <c r="C220" s="279">
        <f t="shared" si="26"/>
        <v>0</v>
      </c>
      <c r="D220" s="134"/>
      <c r="E220" s="285"/>
      <c r="F220" s="286">
        <f t="shared" si="30"/>
        <v>0</v>
      </c>
      <c r="G220" s="134"/>
      <c r="H220" s="135"/>
      <c r="I220" s="136">
        <f t="shared" si="31"/>
        <v>0</v>
      </c>
      <c r="J220" s="134"/>
      <c r="K220" s="135"/>
      <c r="L220" s="136">
        <f t="shared" si="32"/>
        <v>0</v>
      </c>
      <c r="M220" s="284"/>
      <c r="N220" s="285"/>
      <c r="O220" s="136">
        <f t="shared" si="33"/>
        <v>0</v>
      </c>
      <c r="P220" s="85"/>
      <c r="R220" s="53"/>
      <c r="S220" s="53"/>
      <c r="T220" s="53"/>
      <c r="U220" s="53"/>
    </row>
    <row r="221" spans="1:21" x14ac:dyDescent="0.25">
      <c r="A221" s="76">
        <v>5232</v>
      </c>
      <c r="B221" s="127" t="s">
        <v>237</v>
      </c>
      <c r="C221" s="279">
        <f t="shared" si="26"/>
        <v>1050</v>
      </c>
      <c r="D221" s="134">
        <v>1050</v>
      </c>
      <c r="E221" s="283"/>
      <c r="F221" s="279">
        <f t="shared" si="30"/>
        <v>1050</v>
      </c>
      <c r="G221" s="134"/>
      <c r="H221" s="135"/>
      <c r="I221" s="136">
        <f t="shared" si="31"/>
        <v>0</v>
      </c>
      <c r="J221" s="134"/>
      <c r="K221" s="135"/>
      <c r="L221" s="136">
        <f t="shared" si="32"/>
        <v>0</v>
      </c>
      <c r="M221" s="284"/>
      <c r="N221" s="285"/>
      <c r="O221" s="136">
        <f t="shared" si="33"/>
        <v>0</v>
      </c>
      <c r="P221" s="85"/>
      <c r="R221" s="53"/>
      <c r="S221" s="53"/>
      <c r="T221" s="53"/>
      <c r="U221" s="53"/>
    </row>
    <row r="222" spans="1:21" x14ac:dyDescent="0.25">
      <c r="A222" s="76">
        <v>5233</v>
      </c>
      <c r="B222" s="127" t="s">
        <v>238</v>
      </c>
      <c r="C222" s="279">
        <f t="shared" si="26"/>
        <v>520</v>
      </c>
      <c r="D222" s="134">
        <v>100</v>
      </c>
      <c r="E222" s="283"/>
      <c r="F222" s="279">
        <f t="shared" si="30"/>
        <v>100</v>
      </c>
      <c r="G222" s="134">
        <v>420</v>
      </c>
      <c r="H222" s="135"/>
      <c r="I222" s="136">
        <f t="shared" si="31"/>
        <v>420</v>
      </c>
      <c r="J222" s="134"/>
      <c r="K222" s="135"/>
      <c r="L222" s="136">
        <f t="shared" si="32"/>
        <v>0</v>
      </c>
      <c r="M222" s="284"/>
      <c r="N222" s="285"/>
      <c r="O222" s="136">
        <f t="shared" si="33"/>
        <v>0</v>
      </c>
      <c r="P222" s="85"/>
      <c r="R222" s="53"/>
      <c r="S222" s="53"/>
      <c r="T222" s="53"/>
      <c r="U222" s="53"/>
    </row>
    <row r="223" spans="1:21" ht="24" hidden="1" x14ac:dyDescent="0.25">
      <c r="A223" s="76">
        <v>5234</v>
      </c>
      <c r="B223" s="127" t="s">
        <v>239</v>
      </c>
      <c r="C223" s="279">
        <f t="shared" si="26"/>
        <v>0</v>
      </c>
      <c r="D223" s="134"/>
      <c r="E223" s="285"/>
      <c r="F223" s="286">
        <f t="shared" si="30"/>
        <v>0</v>
      </c>
      <c r="G223" s="134"/>
      <c r="H223" s="135"/>
      <c r="I223" s="136">
        <f t="shared" si="31"/>
        <v>0</v>
      </c>
      <c r="J223" s="134"/>
      <c r="K223" s="135"/>
      <c r="L223" s="136">
        <f t="shared" si="32"/>
        <v>0</v>
      </c>
      <c r="M223" s="284"/>
      <c r="N223" s="285"/>
      <c r="O223" s="136">
        <f t="shared" si="33"/>
        <v>0</v>
      </c>
      <c r="P223" s="85"/>
      <c r="R223" s="53"/>
      <c r="S223" s="53"/>
      <c r="T223" s="53"/>
      <c r="U223" s="53"/>
    </row>
    <row r="224" spans="1:21" hidden="1" x14ac:dyDescent="0.25">
      <c r="A224" s="76">
        <v>5236</v>
      </c>
      <c r="B224" s="127" t="s">
        <v>240</v>
      </c>
      <c r="C224" s="279">
        <f t="shared" si="26"/>
        <v>0</v>
      </c>
      <c r="D224" s="134"/>
      <c r="E224" s="285"/>
      <c r="F224" s="286">
        <f t="shared" si="30"/>
        <v>0</v>
      </c>
      <c r="G224" s="134"/>
      <c r="H224" s="135"/>
      <c r="I224" s="136">
        <f t="shared" si="31"/>
        <v>0</v>
      </c>
      <c r="J224" s="134"/>
      <c r="K224" s="135"/>
      <c r="L224" s="136">
        <f t="shared" si="32"/>
        <v>0</v>
      </c>
      <c r="M224" s="284"/>
      <c r="N224" s="285"/>
      <c r="O224" s="136">
        <f t="shared" si="33"/>
        <v>0</v>
      </c>
      <c r="P224" s="85"/>
      <c r="R224" s="53"/>
      <c r="S224" s="53"/>
      <c r="T224" s="53"/>
      <c r="U224" s="53"/>
    </row>
    <row r="225" spans="1:21" hidden="1" x14ac:dyDescent="0.25">
      <c r="A225" s="76">
        <v>5237</v>
      </c>
      <c r="B225" s="127" t="s">
        <v>241</v>
      </c>
      <c r="C225" s="279">
        <f t="shared" si="26"/>
        <v>0</v>
      </c>
      <c r="D225" s="134"/>
      <c r="E225" s="285"/>
      <c r="F225" s="286">
        <f t="shared" si="30"/>
        <v>0</v>
      </c>
      <c r="G225" s="134"/>
      <c r="H225" s="135"/>
      <c r="I225" s="136">
        <f t="shared" si="31"/>
        <v>0</v>
      </c>
      <c r="J225" s="134"/>
      <c r="K225" s="135"/>
      <c r="L225" s="136">
        <f t="shared" si="32"/>
        <v>0</v>
      </c>
      <c r="M225" s="284"/>
      <c r="N225" s="285"/>
      <c r="O225" s="136">
        <f t="shared" si="33"/>
        <v>0</v>
      </c>
      <c r="P225" s="85"/>
      <c r="R225" s="53"/>
      <c r="S225" s="53"/>
      <c r="T225" s="53"/>
      <c r="U225" s="53"/>
    </row>
    <row r="226" spans="1:21" ht="24" x14ac:dyDescent="0.25">
      <c r="A226" s="76">
        <v>5238</v>
      </c>
      <c r="B226" s="127" t="s">
        <v>242</v>
      </c>
      <c r="C226" s="279">
        <f t="shared" si="26"/>
        <v>800</v>
      </c>
      <c r="D226" s="134">
        <v>800</v>
      </c>
      <c r="E226" s="283"/>
      <c r="F226" s="279">
        <f t="shared" si="30"/>
        <v>800</v>
      </c>
      <c r="G226" s="134"/>
      <c r="H226" s="135"/>
      <c r="I226" s="136">
        <f t="shared" si="31"/>
        <v>0</v>
      </c>
      <c r="J226" s="134"/>
      <c r="K226" s="135"/>
      <c r="L226" s="136">
        <f t="shared" si="32"/>
        <v>0</v>
      </c>
      <c r="M226" s="284"/>
      <c r="N226" s="285"/>
      <c r="O226" s="136">
        <f t="shared" si="33"/>
        <v>0</v>
      </c>
      <c r="P226" s="85"/>
      <c r="R226" s="53"/>
      <c r="S226" s="53"/>
      <c r="T226" s="53"/>
      <c r="U226" s="53"/>
    </row>
    <row r="227" spans="1:21" ht="24" x14ac:dyDescent="0.25">
      <c r="A227" s="76">
        <v>5239</v>
      </c>
      <c r="B227" s="127" t="s">
        <v>243</v>
      </c>
      <c r="C227" s="279">
        <f t="shared" si="26"/>
        <v>676</v>
      </c>
      <c r="D227" s="134">
        <v>570</v>
      </c>
      <c r="E227" s="283"/>
      <c r="F227" s="279">
        <f t="shared" si="30"/>
        <v>570</v>
      </c>
      <c r="G227" s="134"/>
      <c r="H227" s="135"/>
      <c r="I227" s="136">
        <f t="shared" si="31"/>
        <v>0</v>
      </c>
      <c r="J227" s="134"/>
      <c r="K227" s="135"/>
      <c r="L227" s="136">
        <f t="shared" si="32"/>
        <v>0</v>
      </c>
      <c r="M227" s="284">
        <v>106</v>
      </c>
      <c r="N227" s="285"/>
      <c r="O227" s="136">
        <f t="shared" si="33"/>
        <v>106</v>
      </c>
      <c r="P227" s="85"/>
      <c r="R227" s="53"/>
      <c r="S227" s="53"/>
      <c r="T227" s="53"/>
      <c r="U227" s="53"/>
    </row>
    <row r="228" spans="1:21" ht="24" hidden="1" x14ac:dyDescent="0.25">
      <c r="A228" s="276">
        <v>5240</v>
      </c>
      <c r="B228" s="127" t="s">
        <v>244</v>
      </c>
      <c r="C228" s="279">
        <f t="shared" si="26"/>
        <v>0</v>
      </c>
      <c r="D228" s="134"/>
      <c r="E228" s="285"/>
      <c r="F228" s="286">
        <f t="shared" si="30"/>
        <v>0</v>
      </c>
      <c r="G228" s="134"/>
      <c r="H228" s="135"/>
      <c r="I228" s="136">
        <f t="shared" si="31"/>
        <v>0</v>
      </c>
      <c r="J228" s="134"/>
      <c r="K228" s="135"/>
      <c r="L228" s="136">
        <f t="shared" si="32"/>
        <v>0</v>
      </c>
      <c r="M228" s="284"/>
      <c r="N228" s="285"/>
      <c r="O228" s="136">
        <f t="shared" si="33"/>
        <v>0</v>
      </c>
      <c r="P228" s="85"/>
      <c r="R228" s="53"/>
      <c r="S228" s="53"/>
      <c r="T228" s="53"/>
      <c r="U228" s="53"/>
    </row>
    <row r="229" spans="1:21" hidden="1" x14ac:dyDescent="0.25">
      <c r="A229" s="276">
        <v>5250</v>
      </c>
      <c r="B229" s="127" t="s">
        <v>245</v>
      </c>
      <c r="C229" s="279">
        <f t="shared" si="26"/>
        <v>0</v>
      </c>
      <c r="D229" s="134"/>
      <c r="E229" s="285"/>
      <c r="F229" s="286">
        <f t="shared" si="30"/>
        <v>0</v>
      </c>
      <c r="G229" s="134"/>
      <c r="H229" s="135"/>
      <c r="I229" s="136">
        <f t="shared" si="31"/>
        <v>0</v>
      </c>
      <c r="J229" s="134"/>
      <c r="K229" s="135"/>
      <c r="L229" s="136">
        <f t="shared" si="32"/>
        <v>0</v>
      </c>
      <c r="M229" s="284"/>
      <c r="N229" s="285"/>
      <c r="O229" s="136">
        <f t="shared" si="33"/>
        <v>0</v>
      </c>
      <c r="P229" s="85"/>
      <c r="R229" s="53"/>
      <c r="S229" s="53"/>
      <c r="T229" s="53"/>
      <c r="U229" s="53"/>
    </row>
    <row r="230" spans="1:21" hidden="1" x14ac:dyDescent="0.25">
      <c r="A230" s="276">
        <v>5260</v>
      </c>
      <c r="B230" s="127" t="s">
        <v>246</v>
      </c>
      <c r="C230" s="279">
        <f t="shared" si="26"/>
        <v>0</v>
      </c>
      <c r="D230" s="277">
        <f>SUM(D231)</f>
        <v>0</v>
      </c>
      <c r="E230" s="282">
        <f>SUM(E231)</f>
        <v>0</v>
      </c>
      <c r="F230" s="286">
        <f t="shared" si="30"/>
        <v>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c r="R230" s="53"/>
      <c r="S230" s="53"/>
      <c r="T230" s="53"/>
      <c r="U230" s="53"/>
    </row>
    <row r="231" spans="1:21" ht="24" hidden="1" x14ac:dyDescent="0.25">
      <c r="A231" s="76">
        <v>5269</v>
      </c>
      <c r="B231" s="127" t="s">
        <v>247</v>
      </c>
      <c r="C231" s="279">
        <f t="shared" si="26"/>
        <v>0</v>
      </c>
      <c r="D231" s="134"/>
      <c r="E231" s="285"/>
      <c r="F231" s="286">
        <f t="shared" si="30"/>
        <v>0</v>
      </c>
      <c r="G231" s="134"/>
      <c r="H231" s="135"/>
      <c r="I231" s="136">
        <f t="shared" si="31"/>
        <v>0</v>
      </c>
      <c r="J231" s="134"/>
      <c r="K231" s="135"/>
      <c r="L231" s="136">
        <f t="shared" si="32"/>
        <v>0</v>
      </c>
      <c r="M231" s="284"/>
      <c r="N231" s="285"/>
      <c r="O231" s="136">
        <f t="shared" si="33"/>
        <v>0</v>
      </c>
      <c r="P231" s="85"/>
      <c r="R231" s="53"/>
      <c r="S231" s="53"/>
      <c r="T231" s="53"/>
      <c r="U231" s="53"/>
    </row>
    <row r="232" spans="1:21" ht="24" hidden="1" x14ac:dyDescent="0.25">
      <c r="A232" s="254">
        <v>5270</v>
      </c>
      <c r="B232" s="179" t="s">
        <v>248</v>
      </c>
      <c r="C232" s="302">
        <f t="shared" si="26"/>
        <v>0</v>
      </c>
      <c r="D232" s="287"/>
      <c r="E232" s="291"/>
      <c r="F232" s="310">
        <f t="shared" si="30"/>
        <v>0</v>
      </c>
      <c r="G232" s="287"/>
      <c r="H232" s="289"/>
      <c r="I232" s="259">
        <f t="shared" si="31"/>
        <v>0</v>
      </c>
      <c r="J232" s="287"/>
      <c r="K232" s="289"/>
      <c r="L232" s="259">
        <f t="shared" si="32"/>
        <v>0</v>
      </c>
      <c r="M232" s="290"/>
      <c r="N232" s="291"/>
      <c r="O232" s="259">
        <f t="shared" si="33"/>
        <v>0</v>
      </c>
      <c r="P232" s="189"/>
      <c r="R232" s="53"/>
      <c r="S232" s="53"/>
      <c r="T232" s="53"/>
      <c r="U232" s="53"/>
    </row>
    <row r="233" spans="1:21" hidden="1" x14ac:dyDescent="0.25">
      <c r="A233" s="237">
        <v>6000</v>
      </c>
      <c r="B233" s="237" t="s">
        <v>249</v>
      </c>
      <c r="C233" s="238">
        <f t="shared" si="26"/>
        <v>0</v>
      </c>
      <c r="D233" s="239">
        <f>D234+D254+D261</f>
        <v>0</v>
      </c>
      <c r="E233" s="245">
        <f>E234+E254+E261</f>
        <v>0</v>
      </c>
      <c r="F233" s="320">
        <f t="shared" si="30"/>
        <v>0</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c r="R233" s="53"/>
      <c r="S233" s="53"/>
      <c r="T233" s="53"/>
      <c r="U233" s="53"/>
    </row>
    <row r="234" spans="1:21"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c r="R234" s="53"/>
      <c r="S234" s="53"/>
      <c r="T234" s="53"/>
      <c r="U234" s="53"/>
    </row>
    <row r="235" spans="1:21" ht="24" hidden="1" x14ac:dyDescent="0.25">
      <c r="A235" s="656">
        <v>6220</v>
      </c>
      <c r="B235" s="116" t="s">
        <v>251</v>
      </c>
      <c r="C235" s="298">
        <f t="shared" si="26"/>
        <v>0</v>
      </c>
      <c r="D235" s="123"/>
      <c r="E235" s="262"/>
      <c r="F235" s="263">
        <f t="shared" si="30"/>
        <v>0</v>
      </c>
      <c r="G235" s="123"/>
      <c r="H235" s="124"/>
      <c r="I235" s="125">
        <f t="shared" si="31"/>
        <v>0</v>
      </c>
      <c r="J235" s="123"/>
      <c r="K235" s="124"/>
      <c r="L235" s="125">
        <f t="shared" si="32"/>
        <v>0</v>
      </c>
      <c r="M235" s="264"/>
      <c r="N235" s="262"/>
      <c r="O235" s="125">
        <f t="shared" si="33"/>
        <v>0</v>
      </c>
      <c r="P235" s="74"/>
      <c r="R235" s="53"/>
      <c r="S235" s="53"/>
      <c r="T235" s="53"/>
      <c r="U235" s="53"/>
    </row>
    <row r="236" spans="1:21" hidden="1" x14ac:dyDescent="0.25">
      <c r="A236" s="276">
        <v>6230</v>
      </c>
      <c r="B236" s="127" t="s">
        <v>252</v>
      </c>
      <c r="C236" s="278">
        <f t="shared" si="26"/>
        <v>0</v>
      </c>
      <c r="D236" s="277">
        <f>SUM(D237)</f>
        <v>0</v>
      </c>
      <c r="E236" s="280">
        <f>SUM(E237)</f>
        <v>0</v>
      </c>
      <c r="F236" s="28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c r="R236" s="53"/>
      <c r="S236" s="53"/>
      <c r="T236" s="53"/>
      <c r="U236" s="53"/>
    </row>
    <row r="237" spans="1:21" ht="24" hidden="1" x14ac:dyDescent="0.25">
      <c r="A237" s="76">
        <v>6239</v>
      </c>
      <c r="B237" s="116" t="s">
        <v>253</v>
      </c>
      <c r="C237" s="278">
        <f t="shared" si="26"/>
        <v>0</v>
      </c>
      <c r="D237" s="134"/>
      <c r="E237" s="285"/>
      <c r="F237" s="286">
        <f t="shared" si="30"/>
        <v>0</v>
      </c>
      <c r="G237" s="134"/>
      <c r="H237" s="135"/>
      <c r="I237" s="136">
        <f t="shared" si="31"/>
        <v>0</v>
      </c>
      <c r="J237" s="134"/>
      <c r="K237" s="135"/>
      <c r="L237" s="136">
        <f t="shared" si="32"/>
        <v>0</v>
      </c>
      <c r="M237" s="284"/>
      <c r="N237" s="285"/>
      <c r="O237" s="136">
        <f t="shared" si="33"/>
        <v>0</v>
      </c>
      <c r="P237" s="85"/>
      <c r="R237" s="53"/>
      <c r="S237" s="53"/>
      <c r="T237" s="53"/>
      <c r="U237" s="53"/>
    </row>
    <row r="238" spans="1:21" ht="24" hidden="1" x14ac:dyDescent="0.25">
      <c r="A238" s="276">
        <v>6240</v>
      </c>
      <c r="B238" s="127" t="s">
        <v>254</v>
      </c>
      <c r="C238" s="278">
        <f t="shared" si="26"/>
        <v>0</v>
      </c>
      <c r="D238" s="277">
        <f>SUM(D239:D240)</f>
        <v>0</v>
      </c>
      <c r="E238" s="282">
        <f>SUM(E239:E240)</f>
        <v>0</v>
      </c>
      <c r="F238" s="28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c r="R238" s="53"/>
      <c r="S238" s="53"/>
      <c r="T238" s="53"/>
      <c r="U238" s="53"/>
    </row>
    <row r="239" spans="1:21" hidden="1" x14ac:dyDescent="0.25">
      <c r="A239" s="76">
        <v>6241</v>
      </c>
      <c r="B239" s="127" t="s">
        <v>255</v>
      </c>
      <c r="C239" s="278">
        <f t="shared" si="26"/>
        <v>0</v>
      </c>
      <c r="D239" s="134"/>
      <c r="E239" s="285"/>
      <c r="F239" s="286">
        <f t="shared" si="30"/>
        <v>0</v>
      </c>
      <c r="G239" s="134"/>
      <c r="H239" s="135"/>
      <c r="I239" s="136">
        <f t="shared" si="31"/>
        <v>0</v>
      </c>
      <c r="J239" s="134"/>
      <c r="K239" s="135"/>
      <c r="L239" s="136">
        <f t="shared" si="32"/>
        <v>0</v>
      </c>
      <c r="M239" s="284"/>
      <c r="N239" s="285"/>
      <c r="O239" s="136">
        <f t="shared" si="33"/>
        <v>0</v>
      </c>
      <c r="P239" s="85"/>
      <c r="R239" s="53"/>
      <c r="S239" s="53"/>
      <c r="T239" s="53"/>
      <c r="U239" s="53"/>
    </row>
    <row r="240" spans="1:21" hidden="1" x14ac:dyDescent="0.25">
      <c r="A240" s="76">
        <v>6242</v>
      </c>
      <c r="B240" s="127" t="s">
        <v>256</v>
      </c>
      <c r="C240" s="278">
        <f t="shared" si="26"/>
        <v>0</v>
      </c>
      <c r="D240" s="134"/>
      <c r="E240" s="285"/>
      <c r="F240" s="286">
        <f t="shared" si="30"/>
        <v>0</v>
      </c>
      <c r="G240" s="134"/>
      <c r="H240" s="135"/>
      <c r="I240" s="136">
        <f t="shared" si="31"/>
        <v>0</v>
      </c>
      <c r="J240" s="134"/>
      <c r="K240" s="135"/>
      <c r="L240" s="136">
        <f t="shared" si="32"/>
        <v>0</v>
      </c>
      <c r="M240" s="284"/>
      <c r="N240" s="285"/>
      <c r="O240" s="136">
        <f t="shared" si="33"/>
        <v>0</v>
      </c>
      <c r="P240" s="85"/>
      <c r="R240" s="53"/>
      <c r="S240" s="53"/>
      <c r="T240" s="53"/>
      <c r="U240" s="53"/>
    </row>
    <row r="241" spans="1:21" ht="24" hidden="1" x14ac:dyDescent="0.25">
      <c r="A241" s="276">
        <v>6250</v>
      </c>
      <c r="B241" s="127" t="s">
        <v>257</v>
      </c>
      <c r="C241" s="278">
        <f t="shared" si="26"/>
        <v>0</v>
      </c>
      <c r="D241" s="277">
        <f>SUM(D242:D246)</f>
        <v>0</v>
      </c>
      <c r="E241" s="282">
        <f>SUM(E242:E246)</f>
        <v>0</v>
      </c>
      <c r="F241" s="28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c r="R241" s="53"/>
      <c r="S241" s="53"/>
      <c r="T241" s="53"/>
      <c r="U241" s="53"/>
    </row>
    <row r="242" spans="1:21" hidden="1" x14ac:dyDescent="0.25">
      <c r="A242" s="76">
        <v>6252</v>
      </c>
      <c r="B242" s="127" t="s">
        <v>258</v>
      </c>
      <c r="C242" s="278">
        <f t="shared" si="26"/>
        <v>0</v>
      </c>
      <c r="D242" s="134"/>
      <c r="E242" s="285"/>
      <c r="F242" s="286">
        <f t="shared" si="30"/>
        <v>0</v>
      </c>
      <c r="G242" s="134"/>
      <c r="H242" s="135"/>
      <c r="I242" s="136">
        <f t="shared" si="31"/>
        <v>0</v>
      </c>
      <c r="J242" s="134"/>
      <c r="K242" s="135"/>
      <c r="L242" s="136">
        <f t="shared" si="32"/>
        <v>0</v>
      </c>
      <c r="M242" s="284"/>
      <c r="N242" s="285"/>
      <c r="O242" s="136">
        <f t="shared" si="33"/>
        <v>0</v>
      </c>
      <c r="P242" s="85"/>
      <c r="R242" s="53"/>
      <c r="S242" s="53"/>
      <c r="T242" s="53"/>
      <c r="U242" s="53"/>
    </row>
    <row r="243" spans="1:21" hidden="1" x14ac:dyDescent="0.25">
      <c r="A243" s="76">
        <v>6253</v>
      </c>
      <c r="B243" s="127" t="s">
        <v>259</v>
      </c>
      <c r="C243" s="278">
        <f t="shared" si="26"/>
        <v>0</v>
      </c>
      <c r="D243" s="134"/>
      <c r="E243" s="285"/>
      <c r="F243" s="286">
        <f t="shared" si="30"/>
        <v>0</v>
      </c>
      <c r="G243" s="134"/>
      <c r="H243" s="135"/>
      <c r="I243" s="136">
        <f t="shared" si="31"/>
        <v>0</v>
      </c>
      <c r="J243" s="134"/>
      <c r="K243" s="135"/>
      <c r="L243" s="136">
        <f t="shared" si="32"/>
        <v>0</v>
      </c>
      <c r="M243" s="284"/>
      <c r="N243" s="285"/>
      <c r="O243" s="136">
        <f t="shared" si="33"/>
        <v>0</v>
      </c>
      <c r="P243" s="85"/>
      <c r="R243" s="53"/>
      <c r="S243" s="53"/>
      <c r="T243" s="53"/>
      <c r="U243" s="53"/>
    </row>
    <row r="244" spans="1:21" ht="24" hidden="1" x14ac:dyDescent="0.25">
      <c r="A244" s="76">
        <v>6254</v>
      </c>
      <c r="B244" s="127" t="s">
        <v>260</v>
      </c>
      <c r="C244" s="278">
        <f t="shared" si="26"/>
        <v>0</v>
      </c>
      <c r="D244" s="134"/>
      <c r="E244" s="285"/>
      <c r="F244" s="286">
        <f t="shared" si="30"/>
        <v>0</v>
      </c>
      <c r="G244" s="134"/>
      <c r="H244" s="135"/>
      <c r="I244" s="136">
        <f t="shared" si="31"/>
        <v>0</v>
      </c>
      <c r="J244" s="134"/>
      <c r="K244" s="135"/>
      <c r="L244" s="136">
        <f t="shared" si="32"/>
        <v>0</v>
      </c>
      <c r="M244" s="284"/>
      <c r="N244" s="285"/>
      <c r="O244" s="136">
        <f t="shared" si="33"/>
        <v>0</v>
      </c>
      <c r="P244" s="85"/>
      <c r="R244" s="53"/>
      <c r="S244" s="53"/>
      <c r="T244" s="53"/>
      <c r="U244" s="53"/>
    </row>
    <row r="245" spans="1:21" ht="24" hidden="1" x14ac:dyDescent="0.25">
      <c r="A245" s="76">
        <v>6255</v>
      </c>
      <c r="B245" s="127" t="s">
        <v>261</v>
      </c>
      <c r="C245" s="278">
        <f t="shared" si="26"/>
        <v>0</v>
      </c>
      <c r="D245" s="134"/>
      <c r="E245" s="285"/>
      <c r="F245" s="286">
        <f t="shared" si="30"/>
        <v>0</v>
      </c>
      <c r="G245" s="134"/>
      <c r="H245" s="135"/>
      <c r="I245" s="136">
        <f t="shared" si="31"/>
        <v>0</v>
      </c>
      <c r="J245" s="134"/>
      <c r="K245" s="135"/>
      <c r="L245" s="136">
        <f t="shared" si="32"/>
        <v>0</v>
      </c>
      <c r="M245" s="284"/>
      <c r="N245" s="285"/>
      <c r="O245" s="136">
        <f t="shared" si="33"/>
        <v>0</v>
      </c>
      <c r="P245" s="85"/>
      <c r="R245" s="53"/>
      <c r="S245" s="53"/>
      <c r="T245" s="53"/>
      <c r="U245" s="53"/>
    </row>
    <row r="246" spans="1:21" hidden="1" x14ac:dyDescent="0.25">
      <c r="A246" s="76">
        <v>6259</v>
      </c>
      <c r="B246" s="127" t="s">
        <v>262</v>
      </c>
      <c r="C246" s="278">
        <f t="shared" si="26"/>
        <v>0</v>
      </c>
      <c r="D246" s="134"/>
      <c r="E246" s="285"/>
      <c r="F246" s="286">
        <f t="shared" si="30"/>
        <v>0</v>
      </c>
      <c r="G246" s="134"/>
      <c r="H246" s="135"/>
      <c r="I246" s="136">
        <f t="shared" si="31"/>
        <v>0</v>
      </c>
      <c r="J246" s="134"/>
      <c r="K246" s="135"/>
      <c r="L246" s="136">
        <f t="shared" si="32"/>
        <v>0</v>
      </c>
      <c r="M246" s="284"/>
      <c r="N246" s="285"/>
      <c r="O246" s="136">
        <f t="shared" si="33"/>
        <v>0</v>
      </c>
      <c r="P246" s="85"/>
      <c r="R246" s="53"/>
      <c r="S246" s="53"/>
      <c r="T246" s="53"/>
      <c r="U246" s="53"/>
    </row>
    <row r="247" spans="1:21" ht="24" hidden="1" x14ac:dyDescent="0.25">
      <c r="A247" s="276">
        <v>6260</v>
      </c>
      <c r="B247" s="127" t="s">
        <v>263</v>
      </c>
      <c r="C247" s="278">
        <f t="shared" si="26"/>
        <v>0</v>
      </c>
      <c r="D247" s="134"/>
      <c r="E247" s="285"/>
      <c r="F247" s="286">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c r="R247" s="53"/>
      <c r="S247" s="53"/>
      <c r="T247" s="53"/>
      <c r="U247" s="53"/>
    </row>
    <row r="248" spans="1:21" hidden="1" x14ac:dyDescent="0.25">
      <c r="A248" s="276">
        <v>6270</v>
      </c>
      <c r="B248" s="127" t="s">
        <v>264</v>
      </c>
      <c r="C248" s="278">
        <f t="shared" si="26"/>
        <v>0</v>
      </c>
      <c r="D248" s="134"/>
      <c r="E248" s="285"/>
      <c r="F248" s="286">
        <f t="shared" si="37"/>
        <v>0</v>
      </c>
      <c r="G248" s="134"/>
      <c r="H248" s="135"/>
      <c r="I248" s="136">
        <f t="shared" si="38"/>
        <v>0</v>
      </c>
      <c r="J248" s="134"/>
      <c r="K248" s="135"/>
      <c r="L248" s="136">
        <f t="shared" si="39"/>
        <v>0</v>
      </c>
      <c r="M248" s="284"/>
      <c r="N248" s="285"/>
      <c r="O248" s="136">
        <f t="shared" si="40"/>
        <v>0</v>
      </c>
      <c r="P248" s="85"/>
      <c r="R248" s="53"/>
      <c r="S248" s="53"/>
      <c r="T248" s="53"/>
      <c r="U248" s="53"/>
    </row>
    <row r="249" spans="1:21" ht="24" hidden="1" x14ac:dyDescent="0.25">
      <c r="A249" s="656">
        <v>6290</v>
      </c>
      <c r="B249" s="116" t="s">
        <v>265</v>
      </c>
      <c r="C249" s="278">
        <f t="shared" si="26"/>
        <v>0</v>
      </c>
      <c r="D249" s="297">
        <f>SUM(D250:D253)</f>
        <v>0</v>
      </c>
      <c r="E249" s="301">
        <f>SUM(E250:E253)</f>
        <v>0</v>
      </c>
      <c r="F249" s="263">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c r="R249" s="53"/>
      <c r="S249" s="53"/>
      <c r="T249" s="53"/>
      <c r="U249" s="53"/>
    </row>
    <row r="250" spans="1:21" hidden="1" x14ac:dyDescent="0.25">
      <c r="A250" s="76">
        <v>6291</v>
      </c>
      <c r="B250" s="127" t="s">
        <v>266</v>
      </c>
      <c r="C250" s="278">
        <f t="shared" si="26"/>
        <v>0</v>
      </c>
      <c r="D250" s="134"/>
      <c r="E250" s="285"/>
      <c r="F250" s="286">
        <f t="shared" si="37"/>
        <v>0</v>
      </c>
      <c r="G250" s="134"/>
      <c r="H250" s="135"/>
      <c r="I250" s="136">
        <f t="shared" si="38"/>
        <v>0</v>
      </c>
      <c r="J250" s="134"/>
      <c r="K250" s="135"/>
      <c r="L250" s="136">
        <f t="shared" si="39"/>
        <v>0</v>
      </c>
      <c r="M250" s="284"/>
      <c r="N250" s="285"/>
      <c r="O250" s="136">
        <f t="shared" si="40"/>
        <v>0</v>
      </c>
      <c r="P250" s="85"/>
      <c r="R250" s="53"/>
      <c r="S250" s="53"/>
      <c r="T250" s="53"/>
      <c r="U250" s="53"/>
    </row>
    <row r="251" spans="1:21" hidden="1" x14ac:dyDescent="0.25">
      <c r="A251" s="76">
        <v>6292</v>
      </c>
      <c r="B251" s="127" t="s">
        <v>267</v>
      </c>
      <c r="C251" s="278">
        <f t="shared" si="26"/>
        <v>0</v>
      </c>
      <c r="D251" s="134"/>
      <c r="E251" s="285"/>
      <c r="F251" s="286">
        <f t="shared" si="37"/>
        <v>0</v>
      </c>
      <c r="G251" s="134"/>
      <c r="H251" s="135"/>
      <c r="I251" s="136">
        <f t="shared" si="38"/>
        <v>0</v>
      </c>
      <c r="J251" s="134"/>
      <c r="K251" s="135"/>
      <c r="L251" s="136">
        <f t="shared" si="39"/>
        <v>0</v>
      </c>
      <c r="M251" s="284"/>
      <c r="N251" s="285"/>
      <c r="O251" s="136">
        <f t="shared" si="40"/>
        <v>0</v>
      </c>
      <c r="P251" s="85"/>
      <c r="R251" s="53"/>
      <c r="S251" s="53"/>
      <c r="T251" s="53"/>
      <c r="U251" s="53"/>
    </row>
    <row r="252" spans="1:21" ht="72" hidden="1" x14ac:dyDescent="0.25">
      <c r="A252" s="76">
        <v>6296</v>
      </c>
      <c r="B252" s="127" t="s">
        <v>268</v>
      </c>
      <c r="C252" s="278">
        <f t="shared" si="26"/>
        <v>0</v>
      </c>
      <c r="D252" s="134"/>
      <c r="E252" s="285"/>
      <c r="F252" s="286">
        <f t="shared" si="37"/>
        <v>0</v>
      </c>
      <c r="G252" s="134"/>
      <c r="H252" s="135"/>
      <c r="I252" s="136">
        <f t="shared" si="38"/>
        <v>0</v>
      </c>
      <c r="J252" s="134"/>
      <c r="K252" s="135"/>
      <c r="L252" s="136">
        <f t="shared" si="39"/>
        <v>0</v>
      </c>
      <c r="M252" s="284"/>
      <c r="N252" s="285"/>
      <c r="O252" s="136">
        <f t="shared" si="40"/>
        <v>0</v>
      </c>
      <c r="P252" s="85"/>
      <c r="R252" s="53"/>
      <c r="S252" s="53"/>
      <c r="T252" s="53"/>
      <c r="U252" s="53"/>
    </row>
    <row r="253" spans="1:21" ht="36" hidden="1" x14ac:dyDescent="0.25">
      <c r="A253" s="76">
        <v>6299</v>
      </c>
      <c r="B253" s="127" t="s">
        <v>269</v>
      </c>
      <c r="C253" s="278">
        <f t="shared" si="26"/>
        <v>0</v>
      </c>
      <c r="D253" s="134"/>
      <c r="E253" s="285"/>
      <c r="F253" s="286">
        <f t="shared" si="37"/>
        <v>0</v>
      </c>
      <c r="G253" s="134"/>
      <c r="H253" s="135"/>
      <c r="I253" s="136">
        <f t="shared" si="38"/>
        <v>0</v>
      </c>
      <c r="J253" s="134"/>
      <c r="K253" s="135"/>
      <c r="L253" s="136">
        <f t="shared" si="39"/>
        <v>0</v>
      </c>
      <c r="M253" s="284"/>
      <c r="N253" s="285"/>
      <c r="O253" s="136">
        <f t="shared" si="40"/>
        <v>0</v>
      </c>
      <c r="P253" s="85"/>
      <c r="R253" s="53"/>
      <c r="S253" s="53"/>
      <c r="T253" s="53"/>
      <c r="U253" s="53"/>
    </row>
    <row r="254" spans="1:21" hidden="1" x14ac:dyDescent="0.25">
      <c r="A254" s="99">
        <v>6300</v>
      </c>
      <c r="B254" s="247" t="s">
        <v>270</v>
      </c>
      <c r="C254" s="100">
        <f t="shared" si="26"/>
        <v>0</v>
      </c>
      <c r="D254" s="112">
        <f>SUM(D255,D259,D260)</f>
        <v>0</v>
      </c>
      <c r="E254" s="293">
        <f>SUM(E255,E259,E260)</f>
        <v>0</v>
      </c>
      <c r="F254" s="313">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c r="R254" s="53"/>
      <c r="S254" s="53"/>
      <c r="T254" s="53"/>
      <c r="U254" s="53"/>
    </row>
    <row r="255" spans="1:21" ht="24" hidden="1" x14ac:dyDescent="0.25">
      <c r="A255" s="656">
        <v>6320</v>
      </c>
      <c r="B255" s="116" t="s">
        <v>271</v>
      </c>
      <c r="C255" s="322">
        <f t="shared" si="26"/>
        <v>0</v>
      </c>
      <c r="D255" s="297">
        <f>SUM(D256:D258)</f>
        <v>0</v>
      </c>
      <c r="E255" s="301">
        <f>SUM(E256:E258)</f>
        <v>0</v>
      </c>
      <c r="F255" s="263">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c r="R255" s="53"/>
      <c r="S255" s="53"/>
      <c r="T255" s="53"/>
      <c r="U255" s="53"/>
    </row>
    <row r="256" spans="1:21" hidden="1" x14ac:dyDescent="0.25">
      <c r="A256" s="76">
        <v>6322</v>
      </c>
      <c r="B256" s="127" t="s">
        <v>272</v>
      </c>
      <c r="C256" s="281">
        <f t="shared" si="26"/>
        <v>0</v>
      </c>
      <c r="D256" s="134"/>
      <c r="E256" s="285"/>
      <c r="F256" s="286">
        <f t="shared" si="37"/>
        <v>0</v>
      </c>
      <c r="G256" s="134"/>
      <c r="H256" s="135"/>
      <c r="I256" s="136">
        <f t="shared" si="38"/>
        <v>0</v>
      </c>
      <c r="J256" s="134"/>
      <c r="K256" s="135"/>
      <c r="L256" s="136">
        <f t="shared" si="39"/>
        <v>0</v>
      </c>
      <c r="M256" s="284"/>
      <c r="N256" s="285"/>
      <c r="O256" s="136">
        <f t="shared" si="40"/>
        <v>0</v>
      </c>
      <c r="P256" s="85"/>
      <c r="R256" s="53"/>
      <c r="S256" s="53"/>
      <c r="T256" s="53"/>
      <c r="U256" s="53"/>
    </row>
    <row r="257" spans="1:21" ht="24" hidden="1" x14ac:dyDescent="0.25">
      <c r="A257" s="76">
        <v>6323</v>
      </c>
      <c r="B257" s="127" t="s">
        <v>273</v>
      </c>
      <c r="C257" s="281">
        <f t="shared" si="26"/>
        <v>0</v>
      </c>
      <c r="D257" s="134"/>
      <c r="E257" s="285"/>
      <c r="F257" s="286">
        <f t="shared" si="37"/>
        <v>0</v>
      </c>
      <c r="G257" s="134"/>
      <c r="H257" s="135"/>
      <c r="I257" s="136">
        <f t="shared" si="38"/>
        <v>0</v>
      </c>
      <c r="J257" s="134"/>
      <c r="K257" s="135"/>
      <c r="L257" s="136">
        <f t="shared" si="39"/>
        <v>0</v>
      </c>
      <c r="M257" s="284"/>
      <c r="N257" s="285"/>
      <c r="O257" s="136">
        <f t="shared" si="40"/>
        <v>0</v>
      </c>
      <c r="P257" s="85"/>
      <c r="R257" s="53"/>
      <c r="S257" s="53"/>
      <c r="T257" s="53"/>
      <c r="U257" s="53"/>
    </row>
    <row r="258" spans="1:21" ht="24" hidden="1" x14ac:dyDescent="0.25">
      <c r="A258" s="66">
        <v>6324</v>
      </c>
      <c r="B258" s="116" t="s">
        <v>274</v>
      </c>
      <c r="C258" s="281">
        <f t="shared" si="26"/>
        <v>0</v>
      </c>
      <c r="D258" s="123"/>
      <c r="E258" s="262"/>
      <c r="F258" s="263">
        <f t="shared" si="37"/>
        <v>0</v>
      </c>
      <c r="G258" s="123"/>
      <c r="H258" s="124"/>
      <c r="I258" s="125">
        <f t="shared" si="38"/>
        <v>0</v>
      </c>
      <c r="J258" s="123"/>
      <c r="K258" s="124"/>
      <c r="L258" s="125">
        <f t="shared" si="39"/>
        <v>0</v>
      </c>
      <c r="M258" s="264"/>
      <c r="N258" s="262"/>
      <c r="O258" s="125">
        <f t="shared" si="40"/>
        <v>0</v>
      </c>
      <c r="P258" s="74"/>
      <c r="R258" s="53"/>
      <c r="S258" s="53"/>
      <c r="T258" s="53"/>
      <c r="U258" s="53"/>
    </row>
    <row r="259" spans="1:21" ht="24" hidden="1" x14ac:dyDescent="0.25">
      <c r="A259" s="344">
        <v>6330</v>
      </c>
      <c r="B259" s="345" t="s">
        <v>275</v>
      </c>
      <c r="C259" s="281">
        <f t="shared" ref="C259:C286" si="50">F259+I259+L259+O259</f>
        <v>0</v>
      </c>
      <c r="D259" s="328"/>
      <c r="E259" s="329"/>
      <c r="F259" s="330">
        <f t="shared" si="37"/>
        <v>0</v>
      </c>
      <c r="G259" s="328"/>
      <c r="H259" s="331"/>
      <c r="I259" s="324">
        <f t="shared" si="38"/>
        <v>0</v>
      </c>
      <c r="J259" s="328"/>
      <c r="K259" s="331"/>
      <c r="L259" s="324">
        <f t="shared" si="39"/>
        <v>0</v>
      </c>
      <c r="M259" s="332"/>
      <c r="N259" s="329"/>
      <c r="O259" s="324">
        <f t="shared" si="40"/>
        <v>0</v>
      </c>
      <c r="P259" s="325"/>
      <c r="R259" s="53"/>
      <c r="S259" s="53"/>
      <c r="T259" s="53"/>
      <c r="U259" s="53"/>
    </row>
    <row r="260" spans="1:21" hidden="1" x14ac:dyDescent="0.25">
      <c r="A260" s="276">
        <v>6360</v>
      </c>
      <c r="B260" s="127" t="s">
        <v>276</v>
      </c>
      <c r="C260" s="281">
        <f t="shared" si="50"/>
        <v>0</v>
      </c>
      <c r="D260" s="134"/>
      <c r="E260" s="285"/>
      <c r="F260" s="286">
        <f t="shared" si="37"/>
        <v>0</v>
      </c>
      <c r="G260" s="134"/>
      <c r="H260" s="135"/>
      <c r="I260" s="136">
        <f t="shared" si="38"/>
        <v>0</v>
      </c>
      <c r="J260" s="134"/>
      <c r="K260" s="135"/>
      <c r="L260" s="136">
        <f t="shared" si="39"/>
        <v>0</v>
      </c>
      <c r="M260" s="284"/>
      <c r="N260" s="285"/>
      <c r="O260" s="136">
        <f t="shared" si="40"/>
        <v>0</v>
      </c>
      <c r="P260" s="85"/>
      <c r="R260" s="53"/>
      <c r="S260" s="53"/>
      <c r="T260" s="53"/>
      <c r="U260" s="53"/>
    </row>
    <row r="261" spans="1:21" ht="36" hidden="1" x14ac:dyDescent="0.25">
      <c r="A261" s="99">
        <v>6400</v>
      </c>
      <c r="B261" s="247" t="s">
        <v>277</v>
      </c>
      <c r="C261" s="100">
        <f t="shared" si="50"/>
        <v>0</v>
      </c>
      <c r="D261" s="112">
        <f>SUM(D262,D266)</f>
        <v>0</v>
      </c>
      <c r="E261" s="293">
        <f>SUM(E262,E266)</f>
        <v>0</v>
      </c>
      <c r="F261" s="313">
        <f t="shared" si="37"/>
        <v>0</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c r="R261" s="53"/>
      <c r="S261" s="53"/>
      <c r="T261" s="53"/>
      <c r="U261" s="53"/>
    </row>
    <row r="262" spans="1:21" ht="24" hidden="1" x14ac:dyDescent="0.25">
      <c r="A262" s="656">
        <v>6410</v>
      </c>
      <c r="B262" s="116" t="s">
        <v>278</v>
      </c>
      <c r="C262" s="300">
        <f t="shared" si="50"/>
        <v>0</v>
      </c>
      <c r="D262" s="297">
        <f>SUM(D263:D265)</f>
        <v>0</v>
      </c>
      <c r="E262" s="301">
        <f>SUM(E263:E265)</f>
        <v>0</v>
      </c>
      <c r="F262" s="263">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c r="R262" s="53"/>
      <c r="S262" s="53"/>
      <c r="T262" s="53"/>
      <c r="U262" s="53"/>
    </row>
    <row r="263" spans="1:21" hidden="1" x14ac:dyDescent="0.25">
      <c r="A263" s="76">
        <v>6411</v>
      </c>
      <c r="B263" s="346" t="s">
        <v>279</v>
      </c>
      <c r="C263" s="278">
        <f t="shared" si="50"/>
        <v>0</v>
      </c>
      <c r="D263" s="134"/>
      <c r="E263" s="285"/>
      <c r="F263" s="286">
        <f t="shared" si="37"/>
        <v>0</v>
      </c>
      <c r="G263" s="134"/>
      <c r="H263" s="135"/>
      <c r="I263" s="136">
        <f t="shared" si="38"/>
        <v>0</v>
      </c>
      <c r="J263" s="134"/>
      <c r="K263" s="135"/>
      <c r="L263" s="136">
        <f t="shared" si="39"/>
        <v>0</v>
      </c>
      <c r="M263" s="284"/>
      <c r="N263" s="285"/>
      <c r="O263" s="136">
        <f t="shared" si="40"/>
        <v>0</v>
      </c>
      <c r="P263" s="85"/>
      <c r="R263" s="53"/>
      <c r="S263" s="53"/>
      <c r="T263" s="53"/>
      <c r="U263" s="53"/>
    </row>
    <row r="264" spans="1:21" ht="36" hidden="1" x14ac:dyDescent="0.25">
      <c r="A264" s="76">
        <v>6412</v>
      </c>
      <c r="B264" s="127" t="s">
        <v>280</v>
      </c>
      <c r="C264" s="278">
        <f t="shared" si="50"/>
        <v>0</v>
      </c>
      <c r="D264" s="134"/>
      <c r="E264" s="285"/>
      <c r="F264" s="286">
        <f t="shared" si="37"/>
        <v>0</v>
      </c>
      <c r="G264" s="134"/>
      <c r="H264" s="135"/>
      <c r="I264" s="136">
        <f t="shared" si="38"/>
        <v>0</v>
      </c>
      <c r="J264" s="134"/>
      <c r="K264" s="135"/>
      <c r="L264" s="136">
        <f t="shared" si="39"/>
        <v>0</v>
      </c>
      <c r="M264" s="284"/>
      <c r="N264" s="285"/>
      <c r="O264" s="136">
        <f t="shared" si="40"/>
        <v>0</v>
      </c>
      <c r="P264" s="85"/>
      <c r="R264" s="53"/>
      <c r="S264" s="53"/>
      <c r="T264" s="53"/>
      <c r="U264" s="53"/>
    </row>
    <row r="265" spans="1:21" ht="36" hidden="1" x14ac:dyDescent="0.25">
      <c r="A265" s="76">
        <v>6419</v>
      </c>
      <c r="B265" s="127" t="s">
        <v>281</v>
      </c>
      <c r="C265" s="278">
        <f t="shared" si="50"/>
        <v>0</v>
      </c>
      <c r="D265" s="134"/>
      <c r="E265" s="285"/>
      <c r="F265" s="286">
        <f t="shared" si="37"/>
        <v>0</v>
      </c>
      <c r="G265" s="134"/>
      <c r="H265" s="135"/>
      <c r="I265" s="136">
        <f t="shared" si="38"/>
        <v>0</v>
      </c>
      <c r="J265" s="134"/>
      <c r="K265" s="135"/>
      <c r="L265" s="136">
        <f t="shared" si="39"/>
        <v>0</v>
      </c>
      <c r="M265" s="284"/>
      <c r="N265" s="285"/>
      <c r="O265" s="136">
        <f t="shared" si="40"/>
        <v>0</v>
      </c>
      <c r="P265" s="85"/>
      <c r="R265" s="53"/>
      <c r="S265" s="53"/>
      <c r="T265" s="53"/>
      <c r="U265" s="53"/>
    </row>
    <row r="266" spans="1:21" ht="36" hidden="1" x14ac:dyDescent="0.25">
      <c r="A266" s="276">
        <v>6420</v>
      </c>
      <c r="B266" s="127" t="s">
        <v>282</v>
      </c>
      <c r="C266" s="278">
        <f t="shared" si="50"/>
        <v>0</v>
      </c>
      <c r="D266" s="277">
        <f>SUM(D267:D270)</f>
        <v>0</v>
      </c>
      <c r="E266" s="282">
        <f>SUM(E267:E270)</f>
        <v>0</v>
      </c>
      <c r="F266" s="286">
        <f t="shared" si="37"/>
        <v>0</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c r="R266" s="53"/>
      <c r="S266" s="53"/>
      <c r="T266" s="53"/>
      <c r="U266" s="53"/>
    </row>
    <row r="267" spans="1:21" hidden="1" x14ac:dyDescent="0.25">
      <c r="A267" s="76">
        <v>6421</v>
      </c>
      <c r="B267" s="127" t="s">
        <v>283</v>
      </c>
      <c r="C267" s="278">
        <f t="shared" si="50"/>
        <v>0</v>
      </c>
      <c r="D267" s="134"/>
      <c r="E267" s="285"/>
      <c r="F267" s="286">
        <f t="shared" si="37"/>
        <v>0</v>
      </c>
      <c r="G267" s="134"/>
      <c r="H267" s="135"/>
      <c r="I267" s="136">
        <f t="shared" si="38"/>
        <v>0</v>
      </c>
      <c r="J267" s="134"/>
      <c r="K267" s="135"/>
      <c r="L267" s="136">
        <f t="shared" si="39"/>
        <v>0</v>
      </c>
      <c r="M267" s="284"/>
      <c r="N267" s="285"/>
      <c r="O267" s="136">
        <f t="shared" si="40"/>
        <v>0</v>
      </c>
      <c r="P267" s="85"/>
      <c r="R267" s="53"/>
      <c r="S267" s="53"/>
      <c r="T267" s="53"/>
      <c r="U267" s="53"/>
    </row>
    <row r="268" spans="1:21" hidden="1" x14ac:dyDescent="0.25">
      <c r="A268" s="76">
        <v>6422</v>
      </c>
      <c r="B268" s="127" t="s">
        <v>284</v>
      </c>
      <c r="C268" s="278">
        <f t="shared" si="50"/>
        <v>0</v>
      </c>
      <c r="D268" s="134"/>
      <c r="E268" s="285"/>
      <c r="F268" s="286">
        <f t="shared" si="37"/>
        <v>0</v>
      </c>
      <c r="G268" s="134"/>
      <c r="H268" s="135"/>
      <c r="I268" s="136">
        <f t="shared" si="38"/>
        <v>0</v>
      </c>
      <c r="J268" s="134"/>
      <c r="K268" s="135"/>
      <c r="L268" s="136">
        <f t="shared" si="39"/>
        <v>0</v>
      </c>
      <c r="M268" s="284"/>
      <c r="N268" s="285"/>
      <c r="O268" s="136">
        <f t="shared" si="40"/>
        <v>0</v>
      </c>
      <c r="P268" s="85"/>
      <c r="R268" s="53"/>
      <c r="S268" s="53"/>
      <c r="T268" s="53"/>
      <c r="U268" s="53"/>
    </row>
    <row r="269" spans="1:21" ht="24" hidden="1" x14ac:dyDescent="0.25">
      <c r="A269" s="76">
        <v>6423</v>
      </c>
      <c r="B269" s="127" t="s">
        <v>285</v>
      </c>
      <c r="C269" s="278">
        <f t="shared" si="50"/>
        <v>0</v>
      </c>
      <c r="D269" s="134"/>
      <c r="E269" s="285"/>
      <c r="F269" s="286">
        <f t="shared" si="37"/>
        <v>0</v>
      </c>
      <c r="G269" s="134"/>
      <c r="H269" s="135"/>
      <c r="I269" s="136">
        <f t="shared" si="38"/>
        <v>0</v>
      </c>
      <c r="J269" s="134"/>
      <c r="K269" s="135"/>
      <c r="L269" s="136">
        <f t="shared" si="39"/>
        <v>0</v>
      </c>
      <c r="M269" s="284"/>
      <c r="N269" s="285"/>
      <c r="O269" s="136">
        <f t="shared" si="40"/>
        <v>0</v>
      </c>
      <c r="P269" s="85"/>
      <c r="R269" s="53"/>
      <c r="S269" s="53"/>
      <c r="T269" s="53"/>
      <c r="U269" s="53"/>
    </row>
    <row r="270" spans="1:21" ht="36" hidden="1" x14ac:dyDescent="0.25">
      <c r="A270" s="76">
        <v>6424</v>
      </c>
      <c r="B270" s="127" t="s">
        <v>286</v>
      </c>
      <c r="C270" s="278">
        <f t="shared" si="50"/>
        <v>0</v>
      </c>
      <c r="D270" s="134"/>
      <c r="E270" s="285"/>
      <c r="F270" s="286">
        <f t="shared" si="37"/>
        <v>0</v>
      </c>
      <c r="G270" s="134"/>
      <c r="H270" s="135"/>
      <c r="I270" s="136">
        <f t="shared" si="38"/>
        <v>0</v>
      </c>
      <c r="J270" s="134"/>
      <c r="K270" s="135"/>
      <c r="L270" s="136">
        <f t="shared" si="39"/>
        <v>0</v>
      </c>
      <c r="M270" s="284"/>
      <c r="N270" s="285"/>
      <c r="O270" s="136">
        <f t="shared" si="40"/>
        <v>0</v>
      </c>
      <c r="P270" s="85"/>
      <c r="R270" s="53"/>
      <c r="S270" s="53"/>
      <c r="T270" s="53"/>
      <c r="U270" s="53"/>
    </row>
    <row r="271" spans="1:21" ht="36" x14ac:dyDescent="0.25">
      <c r="A271" s="347">
        <v>7000</v>
      </c>
      <c r="B271" s="347" t="s">
        <v>287</v>
      </c>
      <c r="C271" s="348">
        <f t="shared" si="50"/>
        <v>92</v>
      </c>
      <c r="D271" s="349">
        <f>SUM(D272,D282)</f>
        <v>0</v>
      </c>
      <c r="E271" s="350">
        <f>SUM(E272,E282)</f>
        <v>0</v>
      </c>
      <c r="F271" s="351">
        <f t="shared" si="37"/>
        <v>0</v>
      </c>
      <c r="G271" s="349">
        <f>SUM(G272,G282)</f>
        <v>0</v>
      </c>
      <c r="H271" s="352">
        <f>SUM(H272,H282)</f>
        <v>0</v>
      </c>
      <c r="I271" s="353">
        <f t="shared" si="38"/>
        <v>0</v>
      </c>
      <c r="J271" s="349">
        <f>SUM(J272,J282)</f>
        <v>92</v>
      </c>
      <c r="K271" s="352">
        <f>SUM(K272,K282)</f>
        <v>0</v>
      </c>
      <c r="L271" s="353">
        <f t="shared" si="39"/>
        <v>92</v>
      </c>
      <c r="M271" s="354">
        <f>SUM(M272,M282)</f>
        <v>0</v>
      </c>
      <c r="N271" s="355">
        <f>SUM(N272,N282)</f>
        <v>0</v>
      </c>
      <c r="O271" s="356">
        <f t="shared" si="40"/>
        <v>0</v>
      </c>
      <c r="P271" s="357"/>
      <c r="R271" s="53"/>
      <c r="S271" s="53"/>
      <c r="T271" s="53"/>
      <c r="U271" s="53"/>
    </row>
    <row r="272" spans="1:21" ht="24" x14ac:dyDescent="0.25">
      <c r="A272" s="99">
        <v>7200</v>
      </c>
      <c r="B272" s="247" t="s">
        <v>288</v>
      </c>
      <c r="C272" s="100">
        <f t="shared" si="50"/>
        <v>92</v>
      </c>
      <c r="D272" s="112">
        <f>SUM(D273,D274,D277,D278,D281)</f>
        <v>0</v>
      </c>
      <c r="E272" s="248">
        <f>SUM(E273,E274,E277,E278,E281)</f>
        <v>0</v>
      </c>
      <c r="F272" s="249">
        <f t="shared" si="37"/>
        <v>0</v>
      </c>
      <c r="G272" s="112">
        <f>SUM(G273,G274,G277,G278,G281)</f>
        <v>0</v>
      </c>
      <c r="H272" s="113">
        <f>SUM(H273,H274,H277,H278,H281)</f>
        <v>0</v>
      </c>
      <c r="I272" s="114">
        <f t="shared" si="38"/>
        <v>0</v>
      </c>
      <c r="J272" s="112">
        <f>SUM(J273,J274,J277,J278,J281)</f>
        <v>92</v>
      </c>
      <c r="K272" s="113">
        <f>SUM(K273,K274,K277,K278,K281)</f>
        <v>0</v>
      </c>
      <c r="L272" s="114">
        <f t="shared" si="39"/>
        <v>92</v>
      </c>
      <c r="M272" s="250">
        <f>SUM(M273,M274,M277,M278,M281)</f>
        <v>0</v>
      </c>
      <c r="N272" s="251">
        <f>SUM(N273,N274,N277,N278,N281)</f>
        <v>0</v>
      </c>
      <c r="O272" s="252">
        <f t="shared" si="40"/>
        <v>0</v>
      </c>
      <c r="P272" s="253"/>
      <c r="R272" s="53"/>
      <c r="S272" s="53"/>
      <c r="T272" s="53"/>
      <c r="U272" s="53"/>
    </row>
    <row r="273" spans="1:21" ht="24" hidden="1" x14ac:dyDescent="0.25">
      <c r="A273" s="656">
        <v>7210</v>
      </c>
      <c r="B273" s="116" t="s">
        <v>289</v>
      </c>
      <c r="C273" s="117">
        <f t="shared" si="50"/>
        <v>0</v>
      </c>
      <c r="D273" s="123"/>
      <c r="E273" s="262"/>
      <c r="F273" s="263">
        <f t="shared" si="37"/>
        <v>0</v>
      </c>
      <c r="G273" s="123"/>
      <c r="H273" s="124"/>
      <c r="I273" s="125">
        <f t="shared" si="38"/>
        <v>0</v>
      </c>
      <c r="J273" s="123"/>
      <c r="K273" s="124"/>
      <c r="L273" s="125">
        <f t="shared" si="39"/>
        <v>0</v>
      </c>
      <c r="M273" s="264"/>
      <c r="N273" s="262"/>
      <c r="O273" s="125">
        <f t="shared" si="40"/>
        <v>0</v>
      </c>
      <c r="P273" s="74"/>
      <c r="R273" s="53"/>
      <c r="S273" s="53"/>
      <c r="T273" s="53"/>
      <c r="U273" s="53"/>
    </row>
    <row r="274" spans="1:21" s="358" customFormat="1" ht="36" hidden="1" x14ac:dyDescent="0.25">
      <c r="A274" s="276">
        <v>7220</v>
      </c>
      <c r="B274" s="127" t="s">
        <v>290</v>
      </c>
      <c r="C274" s="128">
        <f t="shared" si="50"/>
        <v>0</v>
      </c>
      <c r="D274" s="277">
        <f>SUM(D275:D276)</f>
        <v>0</v>
      </c>
      <c r="E274" s="282">
        <f>SUM(E275:E276)</f>
        <v>0</v>
      </c>
      <c r="F274" s="28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c r="R274" s="53"/>
      <c r="S274" s="53"/>
      <c r="T274" s="53"/>
      <c r="U274" s="53"/>
    </row>
    <row r="275" spans="1:21" s="358" customFormat="1" ht="36" hidden="1" x14ac:dyDescent="0.25">
      <c r="A275" s="76">
        <v>7221</v>
      </c>
      <c r="B275" s="127" t="s">
        <v>291</v>
      </c>
      <c r="C275" s="128">
        <f t="shared" si="50"/>
        <v>0</v>
      </c>
      <c r="D275" s="134"/>
      <c r="E275" s="285"/>
      <c r="F275" s="286">
        <f t="shared" si="37"/>
        <v>0</v>
      </c>
      <c r="G275" s="134"/>
      <c r="H275" s="135"/>
      <c r="I275" s="136">
        <f t="shared" si="38"/>
        <v>0</v>
      </c>
      <c r="J275" s="134"/>
      <c r="K275" s="135"/>
      <c r="L275" s="136">
        <f t="shared" si="39"/>
        <v>0</v>
      </c>
      <c r="M275" s="284"/>
      <c r="N275" s="285"/>
      <c r="O275" s="136">
        <f t="shared" si="40"/>
        <v>0</v>
      </c>
      <c r="P275" s="85"/>
      <c r="R275" s="53"/>
      <c r="S275" s="53"/>
      <c r="T275" s="53"/>
      <c r="U275" s="53"/>
    </row>
    <row r="276" spans="1:21" s="358" customFormat="1" ht="36" hidden="1" x14ac:dyDescent="0.25">
      <c r="A276" s="76">
        <v>7222</v>
      </c>
      <c r="B276" s="127" t="s">
        <v>292</v>
      </c>
      <c r="C276" s="128">
        <f t="shared" si="50"/>
        <v>0</v>
      </c>
      <c r="D276" s="134"/>
      <c r="E276" s="285"/>
      <c r="F276" s="286">
        <f t="shared" si="37"/>
        <v>0</v>
      </c>
      <c r="G276" s="134"/>
      <c r="H276" s="135"/>
      <c r="I276" s="136">
        <f t="shared" si="38"/>
        <v>0</v>
      </c>
      <c r="J276" s="134"/>
      <c r="K276" s="135"/>
      <c r="L276" s="136">
        <f t="shared" si="39"/>
        <v>0</v>
      </c>
      <c r="M276" s="284"/>
      <c r="N276" s="285"/>
      <c r="O276" s="136">
        <f t="shared" si="40"/>
        <v>0</v>
      </c>
      <c r="P276" s="85"/>
      <c r="R276" s="53"/>
      <c r="S276" s="53"/>
      <c r="T276" s="53"/>
      <c r="U276" s="53"/>
    </row>
    <row r="277" spans="1:21" s="358" customFormat="1" ht="24" x14ac:dyDescent="0.25">
      <c r="A277" s="276">
        <v>7230</v>
      </c>
      <c r="B277" s="127" t="s">
        <v>293</v>
      </c>
      <c r="C277" s="128">
        <f t="shared" si="50"/>
        <v>92</v>
      </c>
      <c r="D277" s="134"/>
      <c r="E277" s="283"/>
      <c r="F277" s="279">
        <f t="shared" si="37"/>
        <v>0</v>
      </c>
      <c r="G277" s="134"/>
      <c r="H277" s="135"/>
      <c r="I277" s="136">
        <f t="shared" si="38"/>
        <v>0</v>
      </c>
      <c r="J277" s="134">
        <v>92</v>
      </c>
      <c r="K277" s="135"/>
      <c r="L277" s="136">
        <f t="shared" si="39"/>
        <v>92</v>
      </c>
      <c r="M277" s="284"/>
      <c r="N277" s="285"/>
      <c r="O277" s="136">
        <f>M277+N277</f>
        <v>0</v>
      </c>
      <c r="P277" s="85"/>
      <c r="R277" s="53"/>
      <c r="S277" s="53"/>
      <c r="T277" s="53"/>
      <c r="U277" s="53"/>
    </row>
    <row r="278" spans="1:21" ht="24" hidden="1" x14ac:dyDescent="0.25">
      <c r="A278" s="276">
        <v>7240</v>
      </c>
      <c r="B278" s="127" t="s">
        <v>294</v>
      </c>
      <c r="C278" s="128">
        <f t="shared" si="50"/>
        <v>0</v>
      </c>
      <c r="D278" s="277">
        <f>SUM(D279:D280)</f>
        <v>0</v>
      </c>
      <c r="E278" s="282">
        <f>SUM(E279:E280)</f>
        <v>0</v>
      </c>
      <c r="F278" s="28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c r="R278" s="53"/>
      <c r="S278" s="53"/>
      <c r="T278" s="53"/>
      <c r="U278" s="53"/>
    </row>
    <row r="279" spans="1:21" ht="48" hidden="1" x14ac:dyDescent="0.25">
      <c r="A279" s="76">
        <v>7245</v>
      </c>
      <c r="B279" s="127" t="s">
        <v>295</v>
      </c>
      <c r="C279" s="128">
        <f t="shared" si="50"/>
        <v>0</v>
      </c>
      <c r="D279" s="134"/>
      <c r="E279" s="285"/>
      <c r="F279" s="286">
        <f t="shared" si="37"/>
        <v>0</v>
      </c>
      <c r="G279" s="134"/>
      <c r="H279" s="135"/>
      <c r="I279" s="136">
        <f t="shared" si="38"/>
        <v>0</v>
      </c>
      <c r="J279" s="134"/>
      <c r="K279" s="135"/>
      <c r="L279" s="136">
        <f t="shared" si="39"/>
        <v>0</v>
      </c>
      <c r="M279" s="284"/>
      <c r="N279" s="285"/>
      <c r="O279" s="136">
        <f t="shared" ref="O279:O282" si="57">M279+N279</f>
        <v>0</v>
      </c>
      <c r="P279" s="85"/>
      <c r="R279" s="53"/>
      <c r="S279" s="53"/>
      <c r="T279" s="53"/>
      <c r="U279" s="53"/>
    </row>
    <row r="280" spans="1:21" ht="96" hidden="1" x14ac:dyDescent="0.25">
      <c r="A280" s="76">
        <v>7246</v>
      </c>
      <c r="B280" s="127" t="s">
        <v>296</v>
      </c>
      <c r="C280" s="128">
        <f t="shared" si="50"/>
        <v>0</v>
      </c>
      <c r="D280" s="134"/>
      <c r="E280" s="285"/>
      <c r="F280" s="286">
        <f t="shared" si="37"/>
        <v>0</v>
      </c>
      <c r="G280" s="134"/>
      <c r="H280" s="135"/>
      <c r="I280" s="136">
        <f t="shared" si="38"/>
        <v>0</v>
      </c>
      <c r="J280" s="134"/>
      <c r="K280" s="135"/>
      <c r="L280" s="136">
        <f t="shared" si="39"/>
        <v>0</v>
      </c>
      <c r="M280" s="284"/>
      <c r="N280" s="285"/>
      <c r="O280" s="136">
        <f t="shared" si="57"/>
        <v>0</v>
      </c>
      <c r="P280" s="85"/>
      <c r="R280" s="53"/>
      <c r="S280" s="53"/>
      <c r="T280" s="53"/>
      <c r="U280" s="53"/>
    </row>
    <row r="281" spans="1:21" ht="24" hidden="1" x14ac:dyDescent="0.25">
      <c r="A281" s="276">
        <v>7260</v>
      </c>
      <c r="B281" s="127" t="s">
        <v>297</v>
      </c>
      <c r="C281" s="128">
        <f t="shared" si="50"/>
        <v>0</v>
      </c>
      <c r="D281" s="123"/>
      <c r="E281" s="262"/>
      <c r="F281" s="263">
        <f t="shared" si="37"/>
        <v>0</v>
      </c>
      <c r="G281" s="123"/>
      <c r="H281" s="124"/>
      <c r="I281" s="125">
        <f t="shared" si="38"/>
        <v>0</v>
      </c>
      <c r="J281" s="123"/>
      <c r="K281" s="124"/>
      <c r="L281" s="125">
        <f t="shared" si="39"/>
        <v>0</v>
      </c>
      <c r="M281" s="264"/>
      <c r="N281" s="262"/>
      <c r="O281" s="125">
        <f t="shared" si="57"/>
        <v>0</v>
      </c>
      <c r="P281" s="74"/>
      <c r="R281" s="53"/>
      <c r="S281" s="53"/>
      <c r="T281" s="53"/>
      <c r="U281" s="53"/>
    </row>
    <row r="282" spans="1:21" hidden="1" x14ac:dyDescent="0.25">
      <c r="A282" s="99">
        <v>7700</v>
      </c>
      <c r="B282" s="247" t="s">
        <v>298</v>
      </c>
      <c r="C282" s="359">
        <f t="shared" si="50"/>
        <v>0</v>
      </c>
      <c r="D282" s="360">
        <f>D283</f>
        <v>0</v>
      </c>
      <c r="E282" s="304">
        <f>SUM(E283)</f>
        <v>0</v>
      </c>
      <c r="F282" s="316">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c r="R282" s="53"/>
      <c r="S282" s="53"/>
      <c r="T282" s="53"/>
      <c r="U282" s="53"/>
    </row>
    <row r="283" spans="1:21" hidden="1" x14ac:dyDescent="0.25">
      <c r="A283" s="141">
        <v>7720</v>
      </c>
      <c r="B283" s="142" t="s">
        <v>299</v>
      </c>
      <c r="C283" s="362">
        <f t="shared" si="50"/>
        <v>0</v>
      </c>
      <c r="D283" s="149"/>
      <c r="E283" s="363"/>
      <c r="F283" s="364">
        <f t="shared" si="37"/>
        <v>0</v>
      </c>
      <c r="G283" s="149"/>
      <c r="H283" s="150"/>
      <c r="I283" s="151">
        <f t="shared" si="38"/>
        <v>0</v>
      </c>
      <c r="J283" s="149"/>
      <c r="K283" s="150"/>
      <c r="L283" s="151">
        <f t="shared" si="39"/>
        <v>0</v>
      </c>
      <c r="M283" s="365"/>
      <c r="N283" s="363"/>
      <c r="O283" s="151">
        <f>M283+N283</f>
        <v>0</v>
      </c>
      <c r="P283" s="153"/>
      <c r="R283" s="53"/>
      <c r="S283" s="53"/>
      <c r="T283" s="53"/>
      <c r="U283" s="53"/>
    </row>
    <row r="284" spans="1:21" x14ac:dyDescent="0.25">
      <c r="A284" s="366"/>
      <c r="B284" s="179" t="s">
        <v>300</v>
      </c>
      <c r="C284" s="117">
        <f t="shared" si="50"/>
        <v>432</v>
      </c>
      <c r="D284" s="255">
        <f>SUM(D285:D286)</f>
        <v>0</v>
      </c>
      <c r="E284" s="256">
        <f>SUM(E285:E286)</f>
        <v>0</v>
      </c>
      <c r="F284" s="257">
        <f t="shared" si="37"/>
        <v>0</v>
      </c>
      <c r="G284" s="255">
        <f>SUM(G285:G286)</f>
        <v>0</v>
      </c>
      <c r="H284" s="258">
        <f>SUM(H285:H286)</f>
        <v>0</v>
      </c>
      <c r="I284" s="259">
        <f t="shared" si="38"/>
        <v>0</v>
      </c>
      <c r="J284" s="255">
        <f>SUM(J285:J286)</f>
        <v>432</v>
      </c>
      <c r="K284" s="258">
        <f>SUM(K285:K286)</f>
        <v>0</v>
      </c>
      <c r="L284" s="259">
        <f t="shared" si="39"/>
        <v>432</v>
      </c>
      <c r="M284" s="260">
        <f>SUM(M285:M286)</f>
        <v>0</v>
      </c>
      <c r="N284" s="261">
        <f>SUM(N285:N286)</f>
        <v>0</v>
      </c>
      <c r="O284" s="259">
        <f t="shared" ref="O284:O299" si="58">M284+N284</f>
        <v>0</v>
      </c>
      <c r="P284" s="189"/>
      <c r="R284" s="53"/>
      <c r="S284" s="53"/>
      <c r="T284" s="53"/>
      <c r="U284" s="53"/>
    </row>
    <row r="285" spans="1:21" hidden="1" x14ac:dyDescent="0.25">
      <c r="A285" s="346" t="s">
        <v>301</v>
      </c>
      <c r="B285" s="76" t="s">
        <v>302</v>
      </c>
      <c r="C285" s="279">
        <f t="shared" si="50"/>
        <v>0</v>
      </c>
      <c r="D285" s="134"/>
      <c r="E285" s="285"/>
      <c r="F285" s="286">
        <f t="shared" si="37"/>
        <v>0</v>
      </c>
      <c r="G285" s="134"/>
      <c r="H285" s="135"/>
      <c r="I285" s="136">
        <f t="shared" si="38"/>
        <v>0</v>
      </c>
      <c r="J285" s="134"/>
      <c r="K285" s="135"/>
      <c r="L285" s="136">
        <f t="shared" si="39"/>
        <v>0</v>
      </c>
      <c r="M285" s="284"/>
      <c r="N285" s="285"/>
      <c r="O285" s="136">
        <f t="shared" si="58"/>
        <v>0</v>
      </c>
      <c r="P285" s="85"/>
      <c r="R285" s="53"/>
      <c r="S285" s="53"/>
      <c r="T285" s="53"/>
      <c r="U285" s="53"/>
    </row>
    <row r="286" spans="1:21" ht="24" x14ac:dyDescent="0.25">
      <c r="A286" s="346" t="s">
        <v>303</v>
      </c>
      <c r="B286" s="367" t="s">
        <v>304</v>
      </c>
      <c r="C286" s="117">
        <f t="shared" si="50"/>
        <v>432</v>
      </c>
      <c r="D286" s="123"/>
      <c r="E286" s="295"/>
      <c r="F286" s="296">
        <f t="shared" si="37"/>
        <v>0</v>
      </c>
      <c r="G286" s="123"/>
      <c r="H286" s="124"/>
      <c r="I286" s="125">
        <f t="shared" si="38"/>
        <v>0</v>
      </c>
      <c r="J286" s="123">
        <v>432</v>
      </c>
      <c r="K286" s="124"/>
      <c r="L286" s="125">
        <f t="shared" si="39"/>
        <v>432</v>
      </c>
      <c r="M286" s="264"/>
      <c r="N286" s="262"/>
      <c r="O286" s="125">
        <f t="shared" si="58"/>
        <v>0</v>
      </c>
      <c r="P286" s="74"/>
      <c r="R286" s="53"/>
      <c r="S286" s="53"/>
      <c r="T286" s="53"/>
      <c r="U286" s="53"/>
    </row>
    <row r="287" spans="1:21" x14ac:dyDescent="0.25">
      <c r="A287" s="368"/>
      <c r="B287" s="369" t="s">
        <v>305</v>
      </c>
      <c r="C287" s="370">
        <f>SUM(C284,C271,C233,C198,C190,C176,C78,C56)</f>
        <v>353103</v>
      </c>
      <c r="D287" s="371">
        <f>SUM(D284,D271,D233,D198,D190,D176,D78,D56)</f>
        <v>320885</v>
      </c>
      <c r="E287" s="372">
        <f>SUM(E284,E271,E233,E198,E190,E176,E78,E56)</f>
        <v>0</v>
      </c>
      <c r="F287" s="373">
        <f t="shared" si="37"/>
        <v>320885</v>
      </c>
      <c r="G287" s="371">
        <f>SUM(G284,G271,G233,G198,G190,G176,G78,G56)</f>
        <v>30345</v>
      </c>
      <c r="H287" s="374">
        <f>SUM(H284,H271,H233,H198,H190,H176,H78,H56)</f>
        <v>0</v>
      </c>
      <c r="I287" s="375">
        <f t="shared" si="38"/>
        <v>30345</v>
      </c>
      <c r="J287" s="371">
        <f>SUM(J284,J271,J233,J198,J190,J176,J78,J56)</f>
        <v>1717</v>
      </c>
      <c r="K287" s="374">
        <f>SUM(K284,K271,K233,K198,K190,K176,K78,K56)</f>
        <v>0</v>
      </c>
      <c r="L287" s="375">
        <f t="shared" si="39"/>
        <v>1717</v>
      </c>
      <c r="M287" s="250">
        <f>SUM(M284,M271,M233,M198,M190,M176,M78,M56)</f>
        <v>156</v>
      </c>
      <c r="N287" s="251">
        <f>SUM(N284,N271,N233,N198,N190,N176,N78,N56)</f>
        <v>0</v>
      </c>
      <c r="O287" s="252">
        <f t="shared" si="58"/>
        <v>156</v>
      </c>
      <c r="P287" s="253"/>
      <c r="R287" s="53"/>
      <c r="S287" s="53"/>
      <c r="T287" s="53"/>
      <c r="U287" s="53"/>
    </row>
    <row r="288" spans="1:21" x14ac:dyDescent="0.25">
      <c r="A288" s="376" t="s">
        <v>306</v>
      </c>
      <c r="B288" s="377"/>
      <c r="C288" s="378">
        <f t="shared" ref="C288" si="59">F288+I288+L288+O288</f>
        <v>-514</v>
      </c>
      <c r="D288" s="379">
        <f>SUM(D28,D29,D45)-D54</f>
        <v>0</v>
      </c>
      <c r="E288" s="380">
        <f>SUM(E28,E29,E45)-E54</f>
        <v>0</v>
      </c>
      <c r="F288" s="381">
        <f t="shared" si="37"/>
        <v>0</v>
      </c>
      <c r="G288" s="379">
        <f>SUM(G28,G29,G45)-G54</f>
        <v>0</v>
      </c>
      <c r="H288" s="382">
        <f>SUM(H28,H29,H45)-H54</f>
        <v>0</v>
      </c>
      <c r="I288" s="383">
        <f t="shared" si="38"/>
        <v>0</v>
      </c>
      <c r="J288" s="379">
        <f>(J30+J46)-J54</f>
        <v>-408</v>
      </c>
      <c r="K288" s="382">
        <f>(K30+K46)-K54</f>
        <v>0</v>
      </c>
      <c r="L288" s="383">
        <f t="shared" si="39"/>
        <v>-408</v>
      </c>
      <c r="M288" s="378">
        <f>M48-M54</f>
        <v>-106</v>
      </c>
      <c r="N288" s="384">
        <f>N48-N54</f>
        <v>0</v>
      </c>
      <c r="O288" s="383">
        <f t="shared" si="58"/>
        <v>-106</v>
      </c>
      <c r="P288" s="385"/>
      <c r="R288" s="53"/>
      <c r="S288" s="53"/>
      <c r="T288" s="53"/>
      <c r="U288" s="53"/>
    </row>
    <row r="289" spans="1:21" s="41" customFormat="1" x14ac:dyDescent="0.25">
      <c r="A289" s="376" t="s">
        <v>307</v>
      </c>
      <c r="B289" s="377"/>
      <c r="C289" s="380">
        <f>SUM(C290,C291)-C298+C299</f>
        <v>514</v>
      </c>
      <c r="D289" s="379">
        <f>SUM(D290,D291)-D298+D299</f>
        <v>0</v>
      </c>
      <c r="E289" s="380">
        <f>SUM(E290,E291)-E298+E299</f>
        <v>0</v>
      </c>
      <c r="F289" s="381">
        <f t="shared" si="37"/>
        <v>0</v>
      </c>
      <c r="G289" s="379">
        <f>SUM(G290,G291)-G298+G299</f>
        <v>0</v>
      </c>
      <c r="H289" s="382">
        <f>SUM(H290,H291)-H298+H299</f>
        <v>0</v>
      </c>
      <c r="I289" s="383">
        <f t="shared" si="38"/>
        <v>0</v>
      </c>
      <c r="J289" s="379">
        <f>SUM(J290,J291)-J298+J299</f>
        <v>408</v>
      </c>
      <c r="K289" s="382">
        <f>SUM(K290,K291)-K298+K299</f>
        <v>0</v>
      </c>
      <c r="L289" s="383">
        <f t="shared" si="39"/>
        <v>408</v>
      </c>
      <c r="M289" s="378">
        <f>SUM(M290,M291)-M298+M299</f>
        <v>106</v>
      </c>
      <c r="N289" s="384">
        <f>SUM(N290,N291)-N298+N299</f>
        <v>0</v>
      </c>
      <c r="O289" s="383">
        <f t="shared" si="58"/>
        <v>106</v>
      </c>
      <c r="P289" s="385"/>
      <c r="R289" s="53"/>
      <c r="S289" s="53"/>
      <c r="T289" s="53"/>
      <c r="U289" s="53"/>
    </row>
    <row r="290" spans="1:21" s="41" customFormat="1" x14ac:dyDescent="0.25">
      <c r="A290" s="386" t="s">
        <v>308</v>
      </c>
      <c r="B290" s="386" t="s">
        <v>309</v>
      </c>
      <c r="C290" s="380">
        <f>C25-C284</f>
        <v>514</v>
      </c>
      <c r="D290" s="379">
        <f>D25-D284</f>
        <v>0</v>
      </c>
      <c r="E290" s="380">
        <f>E25-E284</f>
        <v>0</v>
      </c>
      <c r="F290" s="381">
        <f t="shared" si="37"/>
        <v>0</v>
      </c>
      <c r="G290" s="379">
        <f>G25-G284</f>
        <v>0</v>
      </c>
      <c r="H290" s="382">
        <f>H25-H284</f>
        <v>0</v>
      </c>
      <c r="I290" s="383">
        <f t="shared" si="38"/>
        <v>0</v>
      </c>
      <c r="J290" s="379">
        <f>J25-J284</f>
        <v>408</v>
      </c>
      <c r="K290" s="382">
        <f>K25-K284</f>
        <v>0</v>
      </c>
      <c r="L290" s="383">
        <f t="shared" si="39"/>
        <v>408</v>
      </c>
      <c r="M290" s="378">
        <f>M25-M284</f>
        <v>106</v>
      </c>
      <c r="N290" s="384">
        <f>N25-N284</f>
        <v>0</v>
      </c>
      <c r="O290" s="383">
        <f t="shared" si="58"/>
        <v>106</v>
      </c>
      <c r="P290" s="385"/>
      <c r="R290" s="53"/>
      <c r="S290" s="53"/>
      <c r="T290" s="53"/>
      <c r="U290" s="53"/>
    </row>
    <row r="291" spans="1:21" s="41" customFormat="1" hidden="1" x14ac:dyDescent="0.25">
      <c r="A291" s="387" t="s">
        <v>310</v>
      </c>
      <c r="B291" s="387" t="s">
        <v>311</v>
      </c>
      <c r="C291" s="380">
        <f>SUM(C292,C294,C296)-SUM(C293,C295,C297)</f>
        <v>0</v>
      </c>
      <c r="D291" s="379">
        <f t="shared" ref="D291:E291" si="60">SUM(D292,D294,D296)-SUM(D293,D295,D297)</f>
        <v>0</v>
      </c>
      <c r="E291" s="384">
        <f t="shared" si="60"/>
        <v>0</v>
      </c>
      <c r="F291" s="388">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c r="R291" s="53"/>
      <c r="S291" s="53"/>
      <c r="T291" s="53"/>
      <c r="U291" s="53"/>
    </row>
    <row r="292" spans="1:21" s="41" customFormat="1" hidden="1" x14ac:dyDescent="0.25">
      <c r="A292" s="366" t="s">
        <v>312</v>
      </c>
      <c r="B292" s="190" t="s">
        <v>313</v>
      </c>
      <c r="C292" s="143">
        <f t="shared" ref="C292:C299" si="64">F292+I292+L292+O292</f>
        <v>0</v>
      </c>
      <c r="D292" s="149"/>
      <c r="E292" s="363"/>
      <c r="F292" s="364">
        <f t="shared" si="37"/>
        <v>0</v>
      </c>
      <c r="G292" s="149"/>
      <c r="H292" s="150"/>
      <c r="I292" s="151">
        <f t="shared" si="38"/>
        <v>0</v>
      </c>
      <c r="J292" s="149"/>
      <c r="K292" s="150"/>
      <c r="L292" s="151">
        <f t="shared" si="39"/>
        <v>0</v>
      </c>
      <c r="M292" s="365"/>
      <c r="N292" s="363"/>
      <c r="O292" s="151">
        <f t="shared" si="58"/>
        <v>0</v>
      </c>
      <c r="P292" s="153"/>
      <c r="R292" s="53"/>
      <c r="S292" s="53"/>
      <c r="T292" s="53"/>
      <c r="U292" s="53"/>
    </row>
    <row r="293" spans="1:21" ht="24" hidden="1" x14ac:dyDescent="0.25">
      <c r="A293" s="346" t="s">
        <v>314</v>
      </c>
      <c r="B293" s="75" t="s">
        <v>315</v>
      </c>
      <c r="C293" s="128">
        <f t="shared" si="64"/>
        <v>0</v>
      </c>
      <c r="D293" s="134"/>
      <c r="E293" s="285"/>
      <c r="F293" s="286">
        <f t="shared" si="37"/>
        <v>0</v>
      </c>
      <c r="G293" s="134"/>
      <c r="H293" s="135"/>
      <c r="I293" s="136">
        <f t="shared" si="38"/>
        <v>0</v>
      </c>
      <c r="J293" s="134"/>
      <c r="K293" s="135"/>
      <c r="L293" s="136">
        <f t="shared" si="39"/>
        <v>0</v>
      </c>
      <c r="M293" s="284"/>
      <c r="N293" s="285"/>
      <c r="O293" s="136">
        <f t="shared" si="58"/>
        <v>0</v>
      </c>
      <c r="P293" s="85"/>
      <c r="R293" s="53"/>
      <c r="S293" s="53"/>
      <c r="T293" s="53"/>
      <c r="U293" s="53"/>
    </row>
    <row r="294" spans="1:21" hidden="1" x14ac:dyDescent="0.25">
      <c r="A294" s="346" t="s">
        <v>316</v>
      </c>
      <c r="B294" s="75" t="s">
        <v>317</v>
      </c>
      <c r="C294" s="128">
        <f t="shared" si="64"/>
        <v>0</v>
      </c>
      <c r="D294" s="134"/>
      <c r="E294" s="285"/>
      <c r="F294" s="286">
        <f t="shared" si="37"/>
        <v>0</v>
      </c>
      <c r="G294" s="134"/>
      <c r="H294" s="135"/>
      <c r="I294" s="136">
        <f t="shared" si="38"/>
        <v>0</v>
      </c>
      <c r="J294" s="134"/>
      <c r="K294" s="135"/>
      <c r="L294" s="136">
        <f t="shared" si="39"/>
        <v>0</v>
      </c>
      <c r="M294" s="284"/>
      <c r="N294" s="285"/>
      <c r="O294" s="136">
        <f t="shared" si="58"/>
        <v>0</v>
      </c>
      <c r="P294" s="85"/>
      <c r="R294" s="53"/>
      <c r="S294" s="53"/>
      <c r="T294" s="53"/>
      <c r="U294" s="53"/>
    </row>
    <row r="295" spans="1:21" ht="24" hidden="1" x14ac:dyDescent="0.25">
      <c r="A295" s="346" t="s">
        <v>318</v>
      </c>
      <c r="B295" s="75" t="s">
        <v>319</v>
      </c>
      <c r="C295" s="128">
        <f t="shared" si="64"/>
        <v>0</v>
      </c>
      <c r="D295" s="134"/>
      <c r="E295" s="285"/>
      <c r="F295" s="286">
        <f t="shared" si="37"/>
        <v>0</v>
      </c>
      <c r="G295" s="134"/>
      <c r="H295" s="135"/>
      <c r="I295" s="136">
        <f t="shared" si="38"/>
        <v>0</v>
      </c>
      <c r="J295" s="134"/>
      <c r="K295" s="135"/>
      <c r="L295" s="136">
        <f t="shared" si="39"/>
        <v>0</v>
      </c>
      <c r="M295" s="284"/>
      <c r="N295" s="285"/>
      <c r="O295" s="136">
        <f t="shared" si="58"/>
        <v>0</v>
      </c>
      <c r="P295" s="85"/>
      <c r="R295" s="53"/>
      <c r="S295" s="53"/>
      <c r="T295" s="53"/>
      <c r="U295" s="53"/>
    </row>
    <row r="296" spans="1:21" hidden="1" x14ac:dyDescent="0.25">
      <c r="A296" s="346" t="s">
        <v>320</v>
      </c>
      <c r="B296" s="75" t="s">
        <v>321</v>
      </c>
      <c r="C296" s="128">
        <f t="shared" si="64"/>
        <v>0</v>
      </c>
      <c r="D296" s="134"/>
      <c r="E296" s="285"/>
      <c r="F296" s="286">
        <f t="shared" si="37"/>
        <v>0</v>
      </c>
      <c r="G296" s="134"/>
      <c r="H296" s="135"/>
      <c r="I296" s="136">
        <f t="shared" si="38"/>
        <v>0</v>
      </c>
      <c r="J296" s="134"/>
      <c r="K296" s="135"/>
      <c r="L296" s="136">
        <f t="shared" si="39"/>
        <v>0</v>
      </c>
      <c r="M296" s="284"/>
      <c r="N296" s="285"/>
      <c r="O296" s="136">
        <f t="shared" si="58"/>
        <v>0</v>
      </c>
      <c r="P296" s="85"/>
      <c r="R296" s="53"/>
      <c r="S296" s="53"/>
      <c r="T296" s="53"/>
      <c r="U296" s="53"/>
    </row>
    <row r="297" spans="1:21" ht="24" hidden="1" x14ac:dyDescent="0.25">
      <c r="A297" s="389" t="s">
        <v>322</v>
      </c>
      <c r="B297" s="390" t="s">
        <v>323</v>
      </c>
      <c r="C297" s="327">
        <f t="shared" si="64"/>
        <v>0</v>
      </c>
      <c r="D297" s="328"/>
      <c r="E297" s="329"/>
      <c r="F297" s="330">
        <f t="shared" si="37"/>
        <v>0</v>
      </c>
      <c r="G297" s="328"/>
      <c r="H297" s="331"/>
      <c r="I297" s="324">
        <f t="shared" si="38"/>
        <v>0</v>
      </c>
      <c r="J297" s="328"/>
      <c r="K297" s="331"/>
      <c r="L297" s="324">
        <f t="shared" si="39"/>
        <v>0</v>
      </c>
      <c r="M297" s="332"/>
      <c r="N297" s="329"/>
      <c r="O297" s="324">
        <f t="shared" si="58"/>
        <v>0</v>
      </c>
      <c r="P297" s="325"/>
      <c r="R297" s="53"/>
      <c r="S297" s="53"/>
      <c r="T297" s="53"/>
      <c r="U297" s="53"/>
    </row>
    <row r="298" spans="1:21" hidden="1" x14ac:dyDescent="0.25">
      <c r="A298" s="387" t="s">
        <v>324</v>
      </c>
      <c r="B298" s="387" t="s">
        <v>325</v>
      </c>
      <c r="C298" s="391">
        <f t="shared" si="64"/>
        <v>0</v>
      </c>
      <c r="D298" s="392"/>
      <c r="E298" s="393"/>
      <c r="F298" s="388">
        <f t="shared" si="37"/>
        <v>0</v>
      </c>
      <c r="G298" s="392"/>
      <c r="H298" s="394"/>
      <c r="I298" s="383">
        <f t="shared" si="38"/>
        <v>0</v>
      </c>
      <c r="J298" s="392"/>
      <c r="K298" s="394"/>
      <c r="L298" s="383">
        <f t="shared" si="39"/>
        <v>0</v>
      </c>
      <c r="M298" s="395"/>
      <c r="N298" s="393"/>
      <c r="O298" s="383">
        <f t="shared" si="58"/>
        <v>0</v>
      </c>
      <c r="P298" s="385"/>
      <c r="R298" s="53"/>
      <c r="S298" s="53"/>
      <c r="T298" s="53"/>
      <c r="U298" s="53"/>
    </row>
    <row r="299" spans="1:21" s="41" customFormat="1" ht="48" hidden="1" x14ac:dyDescent="0.25">
      <c r="A299" s="387" t="s">
        <v>326</v>
      </c>
      <c r="B299" s="396" t="s">
        <v>327</v>
      </c>
      <c r="C299" s="397">
        <f t="shared" si="64"/>
        <v>0</v>
      </c>
      <c r="D299" s="398"/>
      <c r="E299" s="399"/>
      <c r="F299" s="400">
        <f t="shared" si="37"/>
        <v>0</v>
      </c>
      <c r="G299" s="392"/>
      <c r="H299" s="394"/>
      <c r="I299" s="383">
        <f t="shared" si="38"/>
        <v>0</v>
      </c>
      <c r="J299" s="392"/>
      <c r="K299" s="394"/>
      <c r="L299" s="383">
        <f t="shared" si="39"/>
        <v>0</v>
      </c>
      <c r="M299" s="395"/>
      <c r="N299" s="393"/>
      <c r="O299" s="383">
        <f t="shared" si="58"/>
        <v>0</v>
      </c>
      <c r="P299" s="385"/>
      <c r="R299" s="53"/>
      <c r="S299" s="53"/>
      <c r="T299" s="53"/>
      <c r="U299" s="53"/>
    </row>
    <row r="300" spans="1:21"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21" ht="12.75" thickBot="1" x14ac:dyDescent="0.3">
      <c r="A301" s="404"/>
      <c r="B301" s="405"/>
      <c r="C301" s="405"/>
      <c r="D301" s="405"/>
      <c r="E301" s="405"/>
      <c r="F301" s="405"/>
      <c r="G301" s="405"/>
      <c r="H301" s="405"/>
      <c r="I301" s="405"/>
      <c r="J301" s="405"/>
      <c r="K301" s="405"/>
      <c r="L301" s="405"/>
      <c r="M301" s="405"/>
      <c r="N301" s="405"/>
      <c r="O301" s="405"/>
      <c r="P301" s="406"/>
      <c r="Q301" s="7"/>
    </row>
    <row r="302" spans="1:21" x14ac:dyDescent="0.25">
      <c r="A302" s="5"/>
      <c r="B302" s="5"/>
      <c r="C302" s="5"/>
      <c r="D302" s="5"/>
      <c r="E302" s="5"/>
      <c r="F302" s="5"/>
      <c r="G302" s="5"/>
      <c r="H302" s="5"/>
      <c r="I302" s="5"/>
      <c r="J302" s="5"/>
      <c r="K302" s="5"/>
      <c r="L302" s="5"/>
      <c r="M302" s="5"/>
      <c r="N302" s="5"/>
      <c r="O302" s="5"/>
    </row>
    <row r="303" spans="1:21" x14ac:dyDescent="0.25">
      <c r="A303" s="5"/>
      <c r="B303" s="5"/>
      <c r="C303" s="5"/>
      <c r="D303" s="5"/>
      <c r="E303" s="5"/>
      <c r="F303" s="5"/>
      <c r="G303" s="5"/>
      <c r="H303" s="5"/>
      <c r="I303" s="5"/>
      <c r="J303" s="5"/>
      <c r="K303" s="5"/>
      <c r="L303" s="5"/>
      <c r="M303" s="5"/>
      <c r="N303" s="5"/>
      <c r="O303" s="5"/>
    </row>
    <row r="304" spans="1:21"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tzm5yYwVJp6kp3534tG+rQKiGjNTofu4y/R1KlO1O06UMtRajEndaGEoJI3pDcoYEtDlv5pHWbCgUAXBDWK3xA==" saltValue="0j8uNXw+r+dij2xxqkeRNg==" spinCount="100000" sheet="1" objects="1" scenarios="1" selectLockedCells="1" selectUnlockedCells="1"/>
  <autoFilter ref="A22:P300">
    <filterColumn colId="2">
      <filters blank="1">
        <filter val="1 050"/>
        <filter val="1 064"/>
        <filter val="1 186"/>
        <filter val="1 580"/>
        <filter val="1 598"/>
        <filter val="1 717"/>
        <filter val="1 964"/>
        <filter val="10 606"/>
        <filter val="100"/>
        <filter val="121"/>
        <filter val="130"/>
        <filter val="15 839"/>
        <filter val="16 675"/>
        <filter val="166"/>
        <filter val="19 300"/>
        <filter val="2 062"/>
        <filter val="2 088"/>
        <filter val="2 298"/>
        <filter val="2 560"/>
        <filter val="2 895"/>
        <filter val="20"/>
        <filter val="213 019"/>
        <filter val="24"/>
        <filter val="24 288"/>
        <filter val="240 202"/>
        <filter val="26 744"/>
        <filter val="3 046"/>
        <filter val="3 131"/>
        <filter val="3 223"/>
        <filter val="3 234"/>
        <filter val="3 748"/>
        <filter val="316 742"/>
        <filter val="32 706"/>
        <filter val="349 448"/>
        <filter val="351 230"/>
        <filter val="352 671"/>
        <filter val="353 103"/>
        <filter val="4 497"/>
        <filter val="432"/>
        <filter val="441"/>
        <filter val="445"/>
        <filter val="459"/>
        <filter val="490"/>
        <filter val="5 019"/>
        <filter val="5 962"/>
        <filter val="50"/>
        <filter val="514"/>
        <filter val="-514"/>
        <filter val="520"/>
        <filter val="59 865"/>
        <filter val="596"/>
        <filter val="6 686"/>
        <filter val="619"/>
        <filter val="630"/>
        <filter val="641"/>
        <filter val="676"/>
        <filter val="76 540"/>
        <filter val="800"/>
        <filter val="85"/>
        <filter val="877"/>
        <filter val="9 348"/>
        <filter val="92"/>
        <filter val="922"/>
        <filter val="941"/>
        <filter val="946"/>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104.pielikums Jūrmalas pilsētas domes
2017.gada 30.janvāra saistošajiem noteikumiem Nr.10
(Protokols Nr.4, 1.punkts)
 </firstHeader>
    <firstFooter>&amp;L&amp;9&amp;D; &amp;T&amp;R&amp;9&amp;P (&amp;N)</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3"/>
  <sheetViews>
    <sheetView view="pageLayout" zoomScaleNormal="90" workbookViewId="0">
      <selection activeCell="T10" sqref="T10"/>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1219</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7"/>
    </row>
    <row r="4" spans="1:17" ht="15.75"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1220</v>
      </c>
      <c r="D6" s="1555"/>
      <c r="E6" s="1555"/>
      <c r="F6" s="1555"/>
      <c r="G6" s="1555"/>
      <c r="H6" s="1555"/>
      <c r="I6" s="1555"/>
      <c r="J6" s="1555"/>
      <c r="K6" s="1555"/>
      <c r="L6" s="1555"/>
      <c r="M6" s="1555"/>
      <c r="N6" s="1555"/>
      <c r="O6" s="1555"/>
      <c r="P6" s="1556"/>
      <c r="Q6" s="7"/>
    </row>
    <row r="7" spans="1:17" ht="12.75" x14ac:dyDescent="0.25">
      <c r="A7" s="13" t="s">
        <v>4</v>
      </c>
      <c r="B7" s="14"/>
      <c r="C7" s="1555" t="s">
        <v>1221</v>
      </c>
      <c r="D7" s="1555"/>
      <c r="E7" s="1555"/>
      <c r="F7" s="1555"/>
      <c r="G7" s="1555"/>
      <c r="H7" s="1555"/>
      <c r="I7" s="1555"/>
      <c r="J7" s="1555"/>
      <c r="K7" s="1555"/>
      <c r="L7" s="1555"/>
      <c r="M7" s="1555"/>
      <c r="N7" s="1555"/>
      <c r="O7" s="1555"/>
      <c r="P7" s="1556"/>
      <c r="Q7" s="7"/>
    </row>
    <row r="8" spans="1:17" x14ac:dyDescent="0.25">
      <c r="A8" s="8" t="s">
        <v>6</v>
      </c>
      <c r="B8" s="9"/>
      <c r="C8" s="1553" t="s">
        <v>1222</v>
      </c>
      <c r="D8" s="1553"/>
      <c r="E8" s="1553"/>
      <c r="F8" s="1553"/>
      <c r="G8" s="1553"/>
      <c r="H8" s="1553"/>
      <c r="I8" s="1553"/>
      <c r="J8" s="1553"/>
      <c r="K8" s="1553"/>
      <c r="L8" s="1553"/>
      <c r="M8" s="1553"/>
      <c r="N8" s="1553"/>
      <c r="O8" s="1553"/>
      <c r="P8" s="1554"/>
      <c r="Q8" s="7"/>
    </row>
    <row r="9" spans="1:17" x14ac:dyDescent="0.25">
      <c r="A9" s="8" t="s">
        <v>8</v>
      </c>
      <c r="B9" s="9"/>
      <c r="C9" s="1553" t="s">
        <v>455</v>
      </c>
      <c r="D9" s="1553"/>
      <c r="E9" s="1553"/>
      <c r="F9" s="1553"/>
      <c r="G9" s="1553"/>
      <c r="H9" s="1553"/>
      <c r="I9" s="1553"/>
      <c r="J9" s="1553"/>
      <c r="K9" s="1553"/>
      <c r="L9" s="1553"/>
      <c r="M9" s="1553"/>
      <c r="N9" s="1553"/>
      <c r="O9" s="1553"/>
      <c r="P9" s="1554"/>
      <c r="Q9" s="7"/>
    </row>
    <row r="10" spans="1:17" ht="24" customHeight="1" x14ac:dyDescent="0.25">
      <c r="A10" s="8" t="s">
        <v>10</v>
      </c>
      <c r="B10" s="9"/>
      <c r="C10" s="1555" t="s">
        <v>334</v>
      </c>
      <c r="D10" s="1555"/>
      <c r="E10" s="1555"/>
      <c r="F10" s="1555"/>
      <c r="G10" s="1555"/>
      <c r="H10" s="1555"/>
      <c r="I10" s="1555"/>
      <c r="J10" s="1555"/>
      <c r="K10" s="1555"/>
      <c r="L10" s="1555"/>
      <c r="M10" s="1555"/>
      <c r="N10" s="1555"/>
      <c r="O10" s="1555"/>
      <c r="P10" s="1556"/>
      <c r="Q10" s="7"/>
    </row>
    <row r="11" spans="1:17" ht="24.75" customHeight="1" x14ac:dyDescent="0.25">
      <c r="A11" s="8" t="s">
        <v>12</v>
      </c>
      <c r="B11" s="9"/>
      <c r="C11" s="1555" t="s">
        <v>1223</v>
      </c>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1224</v>
      </c>
      <c r="D13" s="1553"/>
      <c r="E13" s="1553"/>
      <c r="F13" s="1553"/>
      <c r="G13" s="1553"/>
      <c r="H13" s="1553"/>
      <c r="I13" s="1553"/>
      <c r="J13" s="1553"/>
      <c r="K13" s="1553"/>
      <c r="L13" s="1553"/>
      <c r="M13" s="1553"/>
      <c r="N13" s="1553"/>
      <c r="O13" s="1553"/>
      <c r="P13" s="1554"/>
      <c r="Q13" s="7"/>
    </row>
    <row r="14" spans="1:17" x14ac:dyDescent="0.25">
      <c r="A14" s="8"/>
      <c r="B14" s="9" t="s">
        <v>17</v>
      </c>
      <c r="C14" s="1553" t="s">
        <v>1225</v>
      </c>
      <c r="D14" s="1553"/>
      <c r="E14" s="1553"/>
      <c r="F14" s="1553"/>
      <c r="G14" s="1553"/>
      <c r="H14" s="1553"/>
      <c r="I14" s="1553"/>
      <c r="J14" s="1553"/>
      <c r="K14" s="1553"/>
      <c r="L14" s="1553"/>
      <c r="M14" s="1553"/>
      <c r="N14" s="1553"/>
      <c r="O14" s="1553"/>
      <c r="P14" s="1554"/>
      <c r="Q14" s="7"/>
    </row>
    <row r="15" spans="1:17" x14ac:dyDescent="0.25">
      <c r="A15" s="8"/>
      <c r="B15" s="9" t="s">
        <v>19</v>
      </c>
      <c r="C15" s="1553" t="s">
        <v>1226</v>
      </c>
      <c r="D15" s="1553"/>
      <c r="E15" s="1553"/>
      <c r="F15" s="1553"/>
      <c r="G15" s="1553"/>
      <c r="H15" s="1553"/>
      <c r="I15" s="1553"/>
      <c r="J15" s="1553"/>
      <c r="K15" s="1553"/>
      <c r="L15" s="1553"/>
      <c r="M15" s="1553"/>
      <c r="N15" s="1553"/>
      <c r="O15" s="1553"/>
      <c r="P15" s="1554"/>
      <c r="Q15" s="7"/>
    </row>
    <row r="16" spans="1:17" x14ac:dyDescent="0.25">
      <c r="A16" s="8"/>
      <c r="B16" s="9" t="s">
        <v>20</v>
      </c>
      <c r="C16" s="1553" t="s">
        <v>1227</v>
      </c>
      <c r="D16" s="1553"/>
      <c r="E16" s="1553"/>
      <c r="F16" s="1553"/>
      <c r="G16" s="1553"/>
      <c r="H16" s="1553"/>
      <c r="I16" s="1553"/>
      <c r="J16" s="1553"/>
      <c r="K16" s="1553"/>
      <c r="L16" s="1553"/>
      <c r="M16" s="1553"/>
      <c r="N16" s="1553"/>
      <c r="O16" s="1553"/>
      <c r="P16" s="1554"/>
      <c r="Q16" s="7"/>
    </row>
    <row r="17" spans="1:20" x14ac:dyDescent="0.25">
      <c r="A17" s="8"/>
      <c r="B17" s="9" t="s">
        <v>22</v>
      </c>
      <c r="C17" s="1553"/>
      <c r="D17" s="1553"/>
      <c r="E17" s="1553"/>
      <c r="F17" s="1553"/>
      <c r="G17" s="1553"/>
      <c r="H17" s="1553"/>
      <c r="I17" s="1553"/>
      <c r="J17" s="1553"/>
      <c r="K17" s="1553"/>
      <c r="L17" s="1553"/>
      <c r="M17" s="1553"/>
      <c r="N17" s="1553"/>
      <c r="O17" s="1553"/>
      <c r="P17" s="1554"/>
      <c r="Q17" s="7"/>
    </row>
    <row r="18" spans="1:20" x14ac:dyDescent="0.25">
      <c r="A18" s="18"/>
      <c r="B18" s="19"/>
      <c r="C18" s="1569"/>
      <c r="D18" s="1569"/>
      <c r="E18" s="1569"/>
      <c r="F18" s="1569"/>
      <c r="G18" s="1569"/>
      <c r="H18" s="1569"/>
      <c r="I18" s="1569"/>
      <c r="J18" s="1569"/>
      <c r="K18" s="1569"/>
      <c r="L18" s="1569"/>
      <c r="M18" s="1569"/>
      <c r="N18" s="1569"/>
      <c r="O18" s="1569"/>
      <c r="P18" s="1570"/>
      <c r="Q18" s="7"/>
    </row>
    <row r="19" spans="1:20"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0"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20" s="21" customFormat="1" ht="55.5" customHeight="1" thickBot="1" x14ac:dyDescent="0.3">
      <c r="A21" s="1573"/>
      <c r="B21" s="1576"/>
      <c r="C21" s="1581"/>
      <c r="D21" s="1566"/>
      <c r="E21" s="1568"/>
      <c r="F21" s="1564"/>
      <c r="G21" s="1566"/>
      <c r="H21" s="1568"/>
      <c r="I21" s="1564"/>
      <c r="J21" s="1566"/>
      <c r="K21" s="1568"/>
      <c r="L21" s="1564"/>
      <c r="M21" s="1566"/>
      <c r="N21" s="1568"/>
      <c r="O21" s="1564"/>
      <c r="P21" s="1576"/>
    </row>
    <row r="22" spans="1:20"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0" s="41" customFormat="1" x14ac:dyDescent="0.25">
      <c r="A23" s="30"/>
      <c r="B23" s="31" t="s">
        <v>41</v>
      </c>
      <c r="C23" s="32"/>
      <c r="D23" s="33"/>
      <c r="E23" s="34"/>
      <c r="F23" s="35"/>
      <c r="G23" s="33"/>
      <c r="H23" s="36"/>
      <c r="I23" s="37"/>
      <c r="J23" s="33"/>
      <c r="K23" s="38"/>
      <c r="L23" s="37"/>
      <c r="M23" s="38"/>
      <c r="N23" s="39"/>
      <c r="O23" s="37"/>
      <c r="P23" s="40"/>
    </row>
    <row r="24" spans="1:20" s="41" customFormat="1" ht="12.75" thickBot="1" x14ac:dyDescent="0.3">
      <c r="A24" s="42"/>
      <c r="B24" s="43" t="s">
        <v>42</v>
      </c>
      <c r="C24" s="44">
        <f>F24+I24+L24+O24</f>
        <v>1145417</v>
      </c>
      <c r="D24" s="45">
        <f>SUM(D25,D28,D29,D45,D46)</f>
        <v>430458</v>
      </c>
      <c r="E24" s="46">
        <f>SUM(E25,E28,E29,E45,E46)</f>
        <v>0</v>
      </c>
      <c r="F24" s="47">
        <f t="shared" ref="F24:F29" si="0">D24+E24</f>
        <v>430458</v>
      </c>
      <c r="G24" s="45">
        <f>SUM(G25,G28,G46)</f>
        <v>689637</v>
      </c>
      <c r="H24" s="48">
        <f>SUM(H25,H28,H46)</f>
        <v>0</v>
      </c>
      <c r="I24" s="49">
        <f>G24+H24</f>
        <v>689637</v>
      </c>
      <c r="J24" s="45">
        <f>SUM(J25,J30,J46)</f>
        <v>25322</v>
      </c>
      <c r="K24" s="48">
        <f>SUM(K25,K30,K46)</f>
        <v>0</v>
      </c>
      <c r="L24" s="49">
        <f>J24+K24</f>
        <v>25322</v>
      </c>
      <c r="M24" s="50">
        <f>SUM(M25,M48)</f>
        <v>0</v>
      </c>
      <c r="N24" s="51">
        <f>SUM(N25,N48)</f>
        <v>0</v>
      </c>
      <c r="O24" s="49">
        <f>M24+N24</f>
        <v>0</v>
      </c>
      <c r="P24" s="52"/>
      <c r="R24" s="53"/>
      <c r="S24" s="53"/>
      <c r="T24" s="53"/>
    </row>
    <row r="25" spans="1:20" ht="12.75" thickTop="1" x14ac:dyDescent="0.25">
      <c r="A25" s="54"/>
      <c r="B25" s="55" t="s">
        <v>43</v>
      </c>
      <c r="C25" s="56">
        <f>F25+I25+L25+O25</f>
        <v>4441</v>
      </c>
      <c r="D25" s="57">
        <f>SUM(D26:D27)</f>
        <v>0</v>
      </c>
      <c r="E25" s="58">
        <f>SUM(E26:E27)</f>
        <v>0</v>
      </c>
      <c r="F25" s="59">
        <f t="shared" si="0"/>
        <v>0</v>
      </c>
      <c r="G25" s="57">
        <f>SUM(G26:G27)</f>
        <v>0</v>
      </c>
      <c r="H25" s="60">
        <f>SUM(H26:H27)</f>
        <v>0</v>
      </c>
      <c r="I25" s="61">
        <f>G25+H25</f>
        <v>0</v>
      </c>
      <c r="J25" s="57">
        <f>SUM(J26:J27)</f>
        <v>4441</v>
      </c>
      <c r="K25" s="60">
        <f>SUM(K26:K27)</f>
        <v>0</v>
      </c>
      <c r="L25" s="61">
        <f>J25+K25</f>
        <v>4441</v>
      </c>
      <c r="M25" s="62">
        <f>SUM(M26:M27)</f>
        <v>0</v>
      </c>
      <c r="N25" s="63">
        <f>SUM(N26:N27)</f>
        <v>0</v>
      </c>
      <c r="O25" s="61">
        <f>M25+N25</f>
        <v>0</v>
      </c>
      <c r="P25" s="64"/>
      <c r="R25" s="53"/>
      <c r="S25" s="53"/>
      <c r="T25" s="53"/>
    </row>
    <row r="26" spans="1:20" hidden="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c r="R26" s="53"/>
      <c r="S26" s="53"/>
      <c r="T26" s="53"/>
    </row>
    <row r="27" spans="1:20" x14ac:dyDescent="0.25">
      <c r="A27" s="75"/>
      <c r="B27" s="76" t="s">
        <v>45</v>
      </c>
      <c r="C27" s="77">
        <f>F27+I27+L27+O27</f>
        <v>4441</v>
      </c>
      <c r="D27" s="78"/>
      <c r="E27" s="79"/>
      <c r="F27" s="80">
        <f t="shared" si="0"/>
        <v>0</v>
      </c>
      <c r="G27" s="78"/>
      <c r="H27" s="81"/>
      <c r="I27" s="82">
        <f>G27+H27</f>
        <v>0</v>
      </c>
      <c r="J27" s="78">
        <v>4441</v>
      </c>
      <c r="K27" s="81"/>
      <c r="L27" s="82">
        <f>J27+K27</f>
        <v>4441</v>
      </c>
      <c r="M27" s="83"/>
      <c r="N27" s="84"/>
      <c r="O27" s="82">
        <f>M27+N27</f>
        <v>0</v>
      </c>
      <c r="P27" s="85"/>
      <c r="R27" s="53"/>
      <c r="S27" s="53"/>
      <c r="T27" s="53"/>
    </row>
    <row r="28" spans="1:20" s="41" customFormat="1" ht="24.75" thickBot="1" x14ac:dyDescent="0.3">
      <c r="A28" s="86">
        <v>19300</v>
      </c>
      <c r="B28" s="86" t="s">
        <v>46</v>
      </c>
      <c r="C28" s="87">
        <f>SUM(F28,I28)</f>
        <v>1120095</v>
      </c>
      <c r="D28" s="88">
        <v>430458</v>
      </c>
      <c r="E28" s="89"/>
      <c r="F28" s="90">
        <f t="shared" si="0"/>
        <v>430458</v>
      </c>
      <c r="G28" s="88">
        <v>689637</v>
      </c>
      <c r="H28" s="91"/>
      <c r="I28" s="92">
        <f>G28+H28</f>
        <v>689637</v>
      </c>
      <c r="J28" s="93" t="s">
        <v>47</v>
      </c>
      <c r="K28" s="94" t="s">
        <v>47</v>
      </c>
      <c r="L28" s="95" t="s">
        <v>47</v>
      </c>
      <c r="M28" s="96" t="s">
        <v>47</v>
      </c>
      <c r="N28" s="97" t="s">
        <v>47</v>
      </c>
      <c r="O28" s="95" t="s">
        <v>47</v>
      </c>
      <c r="P28" s="98"/>
      <c r="R28" s="53"/>
      <c r="S28" s="53"/>
      <c r="T28" s="53"/>
    </row>
    <row r="29" spans="1:20" s="41" customFormat="1" ht="24.75" hidden="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c r="R29" s="53"/>
      <c r="S29" s="53"/>
      <c r="T29" s="53"/>
    </row>
    <row r="30" spans="1:20" s="41" customFormat="1" ht="27.75" customHeight="1" thickTop="1" x14ac:dyDescent="0.25">
      <c r="A30" s="99">
        <v>21300</v>
      </c>
      <c r="B30" s="99" t="s">
        <v>49</v>
      </c>
      <c r="C30" s="100">
        <f t="shared" ref="C30:C44" si="1">L30</f>
        <v>20881</v>
      </c>
      <c r="D30" s="104" t="s">
        <v>47</v>
      </c>
      <c r="E30" s="110" t="s">
        <v>47</v>
      </c>
      <c r="F30" s="111" t="s">
        <v>47</v>
      </c>
      <c r="G30" s="104" t="s">
        <v>47</v>
      </c>
      <c r="H30" s="105" t="s">
        <v>47</v>
      </c>
      <c r="I30" s="106" t="s">
        <v>47</v>
      </c>
      <c r="J30" s="112">
        <f>SUM(J31,J35,J37,J40)</f>
        <v>20881</v>
      </c>
      <c r="K30" s="113">
        <f>SUM(K31,K35,K37,K40)</f>
        <v>0</v>
      </c>
      <c r="L30" s="114">
        <f t="shared" ref="L30:L44" si="2">J30+K30</f>
        <v>20881</v>
      </c>
      <c r="M30" s="107" t="s">
        <v>47</v>
      </c>
      <c r="N30" s="108" t="s">
        <v>47</v>
      </c>
      <c r="O30" s="106" t="s">
        <v>47</v>
      </c>
      <c r="P30" s="109"/>
      <c r="R30" s="53"/>
      <c r="S30" s="53"/>
      <c r="T30" s="53"/>
    </row>
    <row r="31" spans="1:20" s="41" customFormat="1" ht="24" hidden="1" x14ac:dyDescent="0.25">
      <c r="A31" s="115">
        <v>21350</v>
      </c>
      <c r="B31" s="99" t="s">
        <v>50</v>
      </c>
      <c r="C31" s="100">
        <f t="shared" si="1"/>
        <v>0</v>
      </c>
      <c r="D31" s="104" t="s">
        <v>47</v>
      </c>
      <c r="E31" s="108" t="s">
        <v>47</v>
      </c>
      <c r="F31" s="140" t="s">
        <v>47</v>
      </c>
      <c r="G31" s="104" t="s">
        <v>47</v>
      </c>
      <c r="H31" s="105" t="s">
        <v>47</v>
      </c>
      <c r="I31" s="106" t="s">
        <v>47</v>
      </c>
      <c r="J31" s="112">
        <f>SUM(J32:J34)</f>
        <v>0</v>
      </c>
      <c r="K31" s="113">
        <f>SUM(K32:K34)</f>
        <v>0</v>
      </c>
      <c r="L31" s="114">
        <f t="shared" si="2"/>
        <v>0</v>
      </c>
      <c r="M31" s="107" t="s">
        <v>47</v>
      </c>
      <c r="N31" s="108" t="s">
        <v>47</v>
      </c>
      <c r="O31" s="106" t="s">
        <v>47</v>
      </c>
      <c r="P31" s="109"/>
      <c r="R31" s="53"/>
      <c r="S31" s="53"/>
      <c r="T31" s="53"/>
    </row>
    <row r="32" spans="1:20" hidden="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c r="R32" s="53"/>
      <c r="S32" s="53"/>
      <c r="T32" s="53"/>
    </row>
    <row r="33" spans="1:20" hidden="1" x14ac:dyDescent="0.25">
      <c r="A33" s="75">
        <v>21352</v>
      </c>
      <c r="B33" s="127" t="s">
        <v>52</v>
      </c>
      <c r="C33" s="128">
        <f t="shared" si="1"/>
        <v>0</v>
      </c>
      <c r="D33" s="129" t="s">
        <v>47</v>
      </c>
      <c r="E33" s="138" t="s">
        <v>47</v>
      </c>
      <c r="F33" s="139" t="s">
        <v>47</v>
      </c>
      <c r="G33" s="129" t="s">
        <v>47</v>
      </c>
      <c r="H33" s="132" t="s">
        <v>47</v>
      </c>
      <c r="I33" s="133" t="s">
        <v>47</v>
      </c>
      <c r="J33" s="134"/>
      <c r="K33" s="135"/>
      <c r="L33" s="136">
        <f t="shared" si="2"/>
        <v>0</v>
      </c>
      <c r="M33" s="137" t="s">
        <v>47</v>
      </c>
      <c r="N33" s="138" t="s">
        <v>47</v>
      </c>
      <c r="O33" s="133" t="s">
        <v>47</v>
      </c>
      <c r="P33" s="85"/>
      <c r="R33" s="53"/>
      <c r="S33" s="53"/>
      <c r="T33" s="53"/>
    </row>
    <row r="34" spans="1:20" ht="24" hidden="1" x14ac:dyDescent="0.25">
      <c r="A34" s="75">
        <v>21359</v>
      </c>
      <c r="B34" s="127" t="s">
        <v>53</v>
      </c>
      <c r="C34" s="128">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c r="R34" s="53"/>
      <c r="S34" s="53"/>
      <c r="T34" s="53"/>
    </row>
    <row r="35" spans="1:20" s="41" customFormat="1" ht="36" hidden="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c r="R35" s="53"/>
      <c r="S35" s="53"/>
      <c r="T35" s="53"/>
    </row>
    <row r="36" spans="1:20" ht="36" hidden="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c r="R36" s="53"/>
      <c r="S36" s="53"/>
      <c r="T36" s="53"/>
    </row>
    <row r="37" spans="1:20" s="41" customFormat="1" x14ac:dyDescent="0.25">
      <c r="A37" s="115">
        <v>21380</v>
      </c>
      <c r="B37" s="99" t="s">
        <v>56</v>
      </c>
      <c r="C37" s="100">
        <f t="shared" si="1"/>
        <v>17188</v>
      </c>
      <c r="D37" s="104" t="s">
        <v>47</v>
      </c>
      <c r="E37" s="110" t="s">
        <v>47</v>
      </c>
      <c r="F37" s="111" t="s">
        <v>47</v>
      </c>
      <c r="G37" s="104" t="s">
        <v>47</v>
      </c>
      <c r="H37" s="105" t="s">
        <v>47</v>
      </c>
      <c r="I37" s="106" t="s">
        <v>47</v>
      </c>
      <c r="J37" s="112">
        <f>SUM(J38:J39)</f>
        <v>17188</v>
      </c>
      <c r="K37" s="113">
        <f>SUM(K38:K39)</f>
        <v>0</v>
      </c>
      <c r="L37" s="114">
        <f t="shared" si="2"/>
        <v>17188</v>
      </c>
      <c r="M37" s="107" t="s">
        <v>47</v>
      </c>
      <c r="N37" s="108" t="s">
        <v>47</v>
      </c>
      <c r="O37" s="106" t="s">
        <v>47</v>
      </c>
      <c r="P37" s="109"/>
      <c r="R37" s="53"/>
      <c r="S37" s="53"/>
      <c r="T37" s="53"/>
    </row>
    <row r="38" spans="1:20" x14ac:dyDescent="0.25">
      <c r="A38" s="141">
        <v>21381</v>
      </c>
      <c r="B38" s="142" t="s">
        <v>57</v>
      </c>
      <c r="C38" s="362">
        <f t="shared" si="1"/>
        <v>17188</v>
      </c>
      <c r="D38" s="118" t="s">
        <v>47</v>
      </c>
      <c r="E38" s="154" t="s">
        <v>47</v>
      </c>
      <c r="F38" s="773" t="s">
        <v>47</v>
      </c>
      <c r="G38" s="118" t="s">
        <v>47</v>
      </c>
      <c r="H38" s="121" t="s">
        <v>47</v>
      </c>
      <c r="I38" s="148" t="s">
        <v>47</v>
      </c>
      <c r="J38" s="123">
        <v>17188</v>
      </c>
      <c r="K38" s="124">
        <v>0</v>
      </c>
      <c r="L38" s="151">
        <f t="shared" si="2"/>
        <v>17188</v>
      </c>
      <c r="M38" s="126" t="s">
        <v>47</v>
      </c>
      <c r="N38" s="119" t="s">
        <v>47</v>
      </c>
      <c r="O38" s="148" t="s">
        <v>47</v>
      </c>
      <c r="P38" s="74"/>
      <c r="R38" s="53"/>
      <c r="S38" s="53"/>
      <c r="T38" s="53"/>
    </row>
    <row r="39" spans="1:20" ht="24" hidden="1" x14ac:dyDescent="0.25">
      <c r="A39" s="76">
        <v>21383</v>
      </c>
      <c r="B39" s="127" t="s">
        <v>58</v>
      </c>
      <c r="C39" s="128">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c r="R39" s="53"/>
      <c r="S39" s="53"/>
      <c r="T39" s="53"/>
    </row>
    <row r="40" spans="1:20" s="41" customFormat="1" ht="24" x14ac:dyDescent="0.25">
      <c r="A40" s="115">
        <v>21390</v>
      </c>
      <c r="B40" s="99" t="s">
        <v>59</v>
      </c>
      <c r="C40" s="100">
        <f t="shared" si="1"/>
        <v>3693</v>
      </c>
      <c r="D40" s="104" t="s">
        <v>47</v>
      </c>
      <c r="E40" s="110" t="s">
        <v>47</v>
      </c>
      <c r="F40" s="111" t="s">
        <v>47</v>
      </c>
      <c r="G40" s="104" t="s">
        <v>47</v>
      </c>
      <c r="H40" s="105" t="s">
        <v>47</v>
      </c>
      <c r="I40" s="106" t="s">
        <v>47</v>
      </c>
      <c r="J40" s="112">
        <f>SUM(J41:J44)</f>
        <v>3693</v>
      </c>
      <c r="K40" s="113">
        <f>SUM(K41:K44)</f>
        <v>0</v>
      </c>
      <c r="L40" s="114">
        <f t="shared" si="2"/>
        <v>3693</v>
      </c>
      <c r="M40" s="107" t="s">
        <v>47</v>
      </c>
      <c r="N40" s="108" t="s">
        <v>47</v>
      </c>
      <c r="O40" s="106" t="s">
        <v>47</v>
      </c>
      <c r="P40" s="109"/>
      <c r="R40" s="53"/>
      <c r="S40" s="53"/>
      <c r="T40" s="53"/>
    </row>
    <row r="41" spans="1:20" ht="24" hidden="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c r="R41" s="53"/>
      <c r="S41" s="53"/>
      <c r="T41" s="53"/>
    </row>
    <row r="42" spans="1:20" hidden="1" x14ac:dyDescent="0.25">
      <c r="A42" s="76">
        <v>21393</v>
      </c>
      <c r="B42" s="127" t="s">
        <v>61</v>
      </c>
      <c r="C42" s="128">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c r="R42" s="53"/>
      <c r="S42" s="53"/>
      <c r="T42" s="53"/>
    </row>
    <row r="43" spans="1:20" hidden="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c r="R43" s="53"/>
      <c r="S43" s="53"/>
      <c r="T43" s="53"/>
    </row>
    <row r="44" spans="1:20" ht="24" x14ac:dyDescent="0.25">
      <c r="A44" s="76">
        <v>21399</v>
      </c>
      <c r="B44" s="127" t="s">
        <v>63</v>
      </c>
      <c r="C44" s="128">
        <f t="shared" si="1"/>
        <v>3693</v>
      </c>
      <c r="D44" s="129" t="s">
        <v>47</v>
      </c>
      <c r="E44" s="130" t="s">
        <v>47</v>
      </c>
      <c r="F44" s="131" t="s">
        <v>47</v>
      </c>
      <c r="G44" s="129" t="s">
        <v>47</v>
      </c>
      <c r="H44" s="132" t="s">
        <v>47</v>
      </c>
      <c r="I44" s="133" t="s">
        <v>47</v>
      </c>
      <c r="J44" s="134">
        <v>3693</v>
      </c>
      <c r="K44" s="135"/>
      <c r="L44" s="136">
        <f t="shared" si="2"/>
        <v>3693</v>
      </c>
      <c r="M44" s="137" t="s">
        <v>47</v>
      </c>
      <c r="N44" s="138" t="s">
        <v>47</v>
      </c>
      <c r="O44" s="133" t="s">
        <v>47</v>
      </c>
      <c r="P44" s="85"/>
      <c r="R44" s="53"/>
      <c r="S44" s="53"/>
      <c r="T44" s="53"/>
    </row>
    <row r="45" spans="1:20" s="41" customFormat="1" ht="24" hidden="1" x14ac:dyDescent="0.25">
      <c r="A45" s="115">
        <v>21420</v>
      </c>
      <c r="B45" s="99" t="s">
        <v>64</v>
      </c>
      <c r="C45" s="156">
        <f>F45</f>
        <v>0</v>
      </c>
      <c r="D45" s="157"/>
      <c r="E45" s="158"/>
      <c r="F45" s="103">
        <f>D45+E45</f>
        <v>0</v>
      </c>
      <c r="G45" s="104" t="s">
        <v>47</v>
      </c>
      <c r="H45" s="105" t="s">
        <v>47</v>
      </c>
      <c r="I45" s="106" t="s">
        <v>47</v>
      </c>
      <c r="J45" s="104" t="s">
        <v>47</v>
      </c>
      <c r="K45" s="105" t="s">
        <v>47</v>
      </c>
      <c r="L45" s="106" t="s">
        <v>47</v>
      </c>
      <c r="M45" s="107" t="s">
        <v>47</v>
      </c>
      <c r="N45" s="108" t="s">
        <v>47</v>
      </c>
      <c r="O45" s="106" t="s">
        <v>47</v>
      </c>
      <c r="P45" s="109"/>
      <c r="R45" s="53"/>
      <c r="S45" s="53"/>
      <c r="T45" s="53"/>
    </row>
    <row r="46" spans="1:20" s="41" customFormat="1" ht="24" hidden="1" x14ac:dyDescent="0.25">
      <c r="A46" s="159">
        <v>21490</v>
      </c>
      <c r="B46" s="160" t="s">
        <v>65</v>
      </c>
      <c r="C46" s="156">
        <f>F46+I46+L46</f>
        <v>0</v>
      </c>
      <c r="D46" s="161">
        <f>D47</f>
        <v>0</v>
      </c>
      <c r="E46" s="162">
        <f>E47</f>
        <v>0</v>
      </c>
      <c r="F46" s="163">
        <f>D46+E46</f>
        <v>0</v>
      </c>
      <c r="G46" s="161">
        <f>G47</f>
        <v>0</v>
      </c>
      <c r="H46" s="164">
        <f t="shared" ref="H46:K46" si="3">H47</f>
        <v>0</v>
      </c>
      <c r="I46" s="165">
        <f>G46+H46</f>
        <v>0</v>
      </c>
      <c r="J46" s="161">
        <f>J47</f>
        <v>0</v>
      </c>
      <c r="K46" s="164">
        <f t="shared" si="3"/>
        <v>0</v>
      </c>
      <c r="L46" s="165">
        <f>J46+K46</f>
        <v>0</v>
      </c>
      <c r="M46" s="107" t="s">
        <v>47</v>
      </c>
      <c r="N46" s="108" t="s">
        <v>47</v>
      </c>
      <c r="O46" s="106" t="s">
        <v>47</v>
      </c>
      <c r="P46" s="109"/>
      <c r="R46" s="53"/>
      <c r="S46" s="53"/>
      <c r="T46" s="53"/>
    </row>
    <row r="47" spans="1:20" s="41" customFormat="1" ht="24" hidden="1" x14ac:dyDescent="0.25">
      <c r="A47" s="76">
        <v>21499</v>
      </c>
      <c r="B47" s="127" t="s">
        <v>66</v>
      </c>
      <c r="C47" s="166">
        <f>F47+I47+L47</f>
        <v>0</v>
      </c>
      <c r="D47" s="68"/>
      <c r="E47" s="69"/>
      <c r="F47" s="70">
        <f>D47+E47</f>
        <v>0</v>
      </c>
      <c r="G47" s="167"/>
      <c r="H47" s="71"/>
      <c r="I47" s="72">
        <f>G47+H47</f>
        <v>0</v>
      </c>
      <c r="J47" s="68"/>
      <c r="K47" s="71"/>
      <c r="L47" s="72">
        <f>J47+K47</f>
        <v>0</v>
      </c>
      <c r="M47" s="152" t="s">
        <v>47</v>
      </c>
      <c r="N47" s="145" t="s">
        <v>47</v>
      </c>
      <c r="O47" s="148" t="s">
        <v>47</v>
      </c>
      <c r="P47" s="153"/>
      <c r="R47" s="53"/>
      <c r="S47" s="53"/>
      <c r="T47" s="53"/>
    </row>
    <row r="48" spans="1:20" ht="24" hidden="1" x14ac:dyDescent="0.25">
      <c r="A48" s="168">
        <v>23000</v>
      </c>
      <c r="B48" s="169" t="s">
        <v>67</v>
      </c>
      <c r="C48" s="156">
        <f>O48</f>
        <v>0</v>
      </c>
      <c r="D48" s="170" t="s">
        <v>47</v>
      </c>
      <c r="E48" s="171" t="s">
        <v>47</v>
      </c>
      <c r="F48" s="172" t="s">
        <v>47</v>
      </c>
      <c r="G48" s="170" t="s">
        <v>47</v>
      </c>
      <c r="H48" s="173" t="s">
        <v>47</v>
      </c>
      <c r="I48" s="174" t="s">
        <v>47</v>
      </c>
      <c r="J48" s="170" t="s">
        <v>47</v>
      </c>
      <c r="K48" s="173" t="s">
        <v>47</v>
      </c>
      <c r="L48" s="174" t="s">
        <v>47</v>
      </c>
      <c r="M48" s="175">
        <f>SUM(M49:M50)</f>
        <v>0</v>
      </c>
      <c r="N48" s="176">
        <f>SUM(N49:N50)</f>
        <v>0</v>
      </c>
      <c r="O48" s="177">
        <f>M48+N48</f>
        <v>0</v>
      </c>
      <c r="P48" s="109"/>
      <c r="R48" s="53"/>
      <c r="S48" s="53"/>
      <c r="T48" s="53"/>
    </row>
    <row r="49" spans="1:20" ht="24" hidden="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c r="R49" s="53"/>
      <c r="S49" s="53"/>
      <c r="T49" s="53"/>
    </row>
    <row r="50" spans="1:20" ht="24" hidden="1" x14ac:dyDescent="0.25">
      <c r="A50" s="178">
        <v>23510</v>
      </c>
      <c r="B50" s="179" t="s">
        <v>69</v>
      </c>
      <c r="C50" s="180">
        <f>O50</f>
        <v>0</v>
      </c>
      <c r="D50" s="181" t="s">
        <v>47</v>
      </c>
      <c r="E50" s="182" t="s">
        <v>47</v>
      </c>
      <c r="F50" s="183" t="s">
        <v>47</v>
      </c>
      <c r="G50" s="181" t="s">
        <v>47</v>
      </c>
      <c r="H50" s="184" t="s">
        <v>47</v>
      </c>
      <c r="I50" s="185" t="s">
        <v>47</v>
      </c>
      <c r="J50" s="181" t="s">
        <v>47</v>
      </c>
      <c r="K50" s="184" t="s">
        <v>47</v>
      </c>
      <c r="L50" s="185" t="s">
        <v>47</v>
      </c>
      <c r="M50" s="186"/>
      <c r="N50" s="187"/>
      <c r="O50" s="188">
        <f>M50+N50</f>
        <v>0</v>
      </c>
      <c r="P50" s="189"/>
      <c r="R50" s="53"/>
      <c r="S50" s="53"/>
      <c r="T50" s="53"/>
    </row>
    <row r="51" spans="1:20" x14ac:dyDescent="0.25">
      <c r="A51" s="190"/>
      <c r="B51" s="179"/>
      <c r="C51" s="191"/>
      <c r="D51" s="192"/>
      <c r="E51" s="193"/>
      <c r="F51" s="194"/>
      <c r="G51" s="192"/>
      <c r="H51" s="195"/>
      <c r="I51" s="185"/>
      <c r="J51" s="196"/>
      <c r="K51" s="197"/>
      <c r="L51" s="188"/>
      <c r="M51" s="186"/>
      <c r="N51" s="187"/>
      <c r="O51" s="188"/>
      <c r="P51" s="189"/>
      <c r="R51" s="53"/>
      <c r="S51" s="53"/>
      <c r="T51" s="53"/>
    </row>
    <row r="52" spans="1:20" s="41" customFormat="1" x14ac:dyDescent="0.25">
      <c r="A52" s="198"/>
      <c r="B52" s="199" t="s">
        <v>70</v>
      </c>
      <c r="C52" s="200"/>
      <c r="D52" s="201"/>
      <c r="E52" s="202"/>
      <c r="F52" s="203"/>
      <c r="G52" s="201"/>
      <c r="H52" s="204"/>
      <c r="I52" s="205"/>
      <c r="J52" s="201"/>
      <c r="K52" s="204"/>
      <c r="L52" s="205"/>
      <c r="M52" s="206"/>
      <c r="N52" s="207"/>
      <c r="O52" s="205"/>
      <c r="P52" s="208"/>
      <c r="R52" s="53"/>
      <c r="S52" s="53"/>
      <c r="T52" s="53"/>
    </row>
    <row r="53" spans="1:20" s="41" customFormat="1" ht="12.75" thickBot="1" x14ac:dyDescent="0.3">
      <c r="A53" s="209"/>
      <c r="B53" s="42" t="s">
        <v>71</v>
      </c>
      <c r="C53" s="210">
        <f t="shared" ref="C53:C116" si="4">F53+I53+L53+O53</f>
        <v>1145417</v>
      </c>
      <c r="D53" s="211">
        <f>SUM(D54,D284)</f>
        <v>430458</v>
      </c>
      <c r="E53" s="212">
        <f>SUM(E54,E284)</f>
        <v>0</v>
      </c>
      <c r="F53" s="213">
        <f t="shared" ref="F53:F117" si="5">D53+E53</f>
        <v>430458</v>
      </c>
      <c r="G53" s="211">
        <f>SUM(G54,G284)</f>
        <v>689637</v>
      </c>
      <c r="H53" s="214">
        <f>SUM(H54,H284)</f>
        <v>0</v>
      </c>
      <c r="I53" s="215">
        <f t="shared" ref="I53:I117" si="6">G53+H53</f>
        <v>689637</v>
      </c>
      <c r="J53" s="211">
        <f>SUM(J54,J284)</f>
        <v>25322</v>
      </c>
      <c r="K53" s="214">
        <f>SUM(K54,K284)</f>
        <v>0</v>
      </c>
      <c r="L53" s="215">
        <f t="shared" ref="L53:L117" si="7">J53+K53</f>
        <v>25322</v>
      </c>
      <c r="M53" s="216">
        <f>SUM(M54,M284)</f>
        <v>0</v>
      </c>
      <c r="N53" s="217">
        <f>SUM(N54,N284)</f>
        <v>0</v>
      </c>
      <c r="O53" s="215">
        <f t="shared" ref="O53:O117" si="8">M53+N53</f>
        <v>0</v>
      </c>
      <c r="P53" s="52"/>
      <c r="R53" s="53"/>
      <c r="S53" s="53"/>
      <c r="T53" s="53"/>
    </row>
    <row r="54" spans="1:20" s="41" customFormat="1" ht="36.75" thickTop="1" x14ac:dyDescent="0.25">
      <c r="A54" s="218"/>
      <c r="B54" s="219" t="s">
        <v>72</v>
      </c>
      <c r="C54" s="220">
        <f t="shared" si="4"/>
        <v>1145417</v>
      </c>
      <c r="D54" s="221">
        <f>SUM(D55,D197)</f>
        <v>430458</v>
      </c>
      <c r="E54" s="222">
        <f>SUM(E55,E197)</f>
        <v>0</v>
      </c>
      <c r="F54" s="223">
        <f t="shared" si="5"/>
        <v>430458</v>
      </c>
      <c r="G54" s="221">
        <f>SUM(G55,G197)</f>
        <v>689637</v>
      </c>
      <c r="H54" s="224">
        <f>SUM(H55,H197)</f>
        <v>0</v>
      </c>
      <c r="I54" s="225">
        <f t="shared" si="6"/>
        <v>689637</v>
      </c>
      <c r="J54" s="221">
        <f>SUM(J55,J197)</f>
        <v>25322</v>
      </c>
      <c r="K54" s="224">
        <f>SUM(K55,K197)</f>
        <v>0</v>
      </c>
      <c r="L54" s="225">
        <f t="shared" si="7"/>
        <v>25322</v>
      </c>
      <c r="M54" s="226">
        <f>SUM(M55,M197)</f>
        <v>0</v>
      </c>
      <c r="N54" s="227">
        <f>SUM(N55,N197)</f>
        <v>0</v>
      </c>
      <c r="O54" s="225">
        <f t="shared" si="8"/>
        <v>0</v>
      </c>
      <c r="P54" s="228"/>
      <c r="R54" s="53"/>
      <c r="S54" s="53"/>
      <c r="T54" s="53"/>
    </row>
    <row r="55" spans="1:20" s="41" customFormat="1" ht="24" x14ac:dyDescent="0.25">
      <c r="A55" s="35"/>
      <c r="B55" s="30" t="s">
        <v>73</v>
      </c>
      <c r="C55" s="229">
        <f t="shared" si="4"/>
        <v>1119980</v>
      </c>
      <c r="D55" s="230">
        <f>SUM(D56,D78,D176,D190)</f>
        <v>413249</v>
      </c>
      <c r="E55" s="231">
        <f>SUM(E56,E78,E176,E190)</f>
        <v>0</v>
      </c>
      <c r="F55" s="232">
        <f t="shared" si="5"/>
        <v>413249</v>
      </c>
      <c r="G55" s="230">
        <f>SUM(G56,G78,G176,G190)</f>
        <v>681609</v>
      </c>
      <c r="H55" s="233">
        <f>SUM(H56,H78,H176,H190)</f>
        <v>0</v>
      </c>
      <c r="I55" s="234">
        <f t="shared" si="6"/>
        <v>681609</v>
      </c>
      <c r="J55" s="230">
        <f>SUM(J56,J78,J176,J190)</f>
        <v>25122</v>
      </c>
      <c r="K55" s="233">
        <f>SUM(K56,K78,K176,K190)</f>
        <v>0</v>
      </c>
      <c r="L55" s="234">
        <f t="shared" si="7"/>
        <v>25122</v>
      </c>
      <c r="M55" s="53">
        <f>SUM(M56,M78,M176,M190)</f>
        <v>0</v>
      </c>
      <c r="N55" s="235">
        <f>SUM(N56,N78,N176,N190)</f>
        <v>0</v>
      </c>
      <c r="O55" s="234">
        <f t="shared" si="8"/>
        <v>0</v>
      </c>
      <c r="P55" s="236"/>
      <c r="R55" s="53"/>
      <c r="S55" s="53"/>
      <c r="T55" s="53"/>
    </row>
    <row r="56" spans="1:20" s="41" customFormat="1" x14ac:dyDescent="0.25">
      <c r="A56" s="237">
        <v>1000</v>
      </c>
      <c r="B56" s="237" t="s">
        <v>74</v>
      </c>
      <c r="C56" s="238">
        <f t="shared" si="4"/>
        <v>994548</v>
      </c>
      <c r="D56" s="239">
        <f>SUM(D57,D70)</f>
        <v>314939</v>
      </c>
      <c r="E56" s="240">
        <f>SUM(E57,E70)</f>
        <v>0</v>
      </c>
      <c r="F56" s="241">
        <f t="shared" si="5"/>
        <v>314939</v>
      </c>
      <c r="G56" s="239">
        <f>SUM(G57,G70)</f>
        <v>679609</v>
      </c>
      <c r="H56" s="242">
        <f>SUM(H57,H70)</f>
        <v>0</v>
      </c>
      <c r="I56" s="243">
        <f t="shared" si="6"/>
        <v>679609</v>
      </c>
      <c r="J56" s="239">
        <f>SUM(J57,J70)</f>
        <v>0</v>
      </c>
      <c r="K56" s="242">
        <f>SUM(K57,K70)</f>
        <v>0</v>
      </c>
      <c r="L56" s="243">
        <f t="shared" si="7"/>
        <v>0</v>
      </c>
      <c r="M56" s="244">
        <f>SUM(M57,M70)</f>
        <v>0</v>
      </c>
      <c r="N56" s="245">
        <f>SUM(N57,N70)</f>
        <v>0</v>
      </c>
      <c r="O56" s="243">
        <f t="shared" si="8"/>
        <v>0</v>
      </c>
      <c r="P56" s="246"/>
      <c r="R56" s="53"/>
      <c r="S56" s="53"/>
      <c r="T56" s="53"/>
    </row>
    <row r="57" spans="1:20" x14ac:dyDescent="0.25">
      <c r="A57" s="99">
        <v>1100</v>
      </c>
      <c r="B57" s="247" t="s">
        <v>75</v>
      </c>
      <c r="C57" s="100">
        <f t="shared" si="4"/>
        <v>764903</v>
      </c>
      <c r="D57" s="112">
        <f>SUM(D58,D61,D69)</f>
        <v>219190</v>
      </c>
      <c r="E57" s="248">
        <f>SUM(E58,E61,E69)</f>
        <v>0</v>
      </c>
      <c r="F57" s="249">
        <f t="shared" si="5"/>
        <v>219190</v>
      </c>
      <c r="G57" s="112">
        <f>SUM(G58,G61,G69)</f>
        <v>545473</v>
      </c>
      <c r="H57" s="113">
        <f>SUM(H58,H61,H69)</f>
        <v>240</v>
      </c>
      <c r="I57" s="114">
        <f t="shared" si="6"/>
        <v>545713</v>
      </c>
      <c r="J57" s="112">
        <f>SUM(J58,J61,J69)</f>
        <v>0</v>
      </c>
      <c r="K57" s="113">
        <f>SUM(K58,K61,K69)</f>
        <v>0</v>
      </c>
      <c r="L57" s="114">
        <f t="shared" si="7"/>
        <v>0</v>
      </c>
      <c r="M57" s="250">
        <f>SUM(M58,M61,M69)</f>
        <v>0</v>
      </c>
      <c r="N57" s="251">
        <f>SUM(N58,N61,N69)</f>
        <v>0</v>
      </c>
      <c r="O57" s="252">
        <f t="shared" si="8"/>
        <v>0</v>
      </c>
      <c r="P57" s="253"/>
      <c r="R57" s="53"/>
      <c r="S57" s="53"/>
      <c r="T57" s="53"/>
    </row>
    <row r="58" spans="1:20" x14ac:dyDescent="0.25">
      <c r="A58" s="254">
        <v>1110</v>
      </c>
      <c r="B58" s="179" t="s">
        <v>76</v>
      </c>
      <c r="C58" s="191">
        <f t="shared" si="4"/>
        <v>687213</v>
      </c>
      <c r="D58" s="255">
        <f>SUM(D59:D60)</f>
        <v>187837</v>
      </c>
      <c r="E58" s="256">
        <f>SUM(E59:E60)</f>
        <v>0</v>
      </c>
      <c r="F58" s="257">
        <f t="shared" si="5"/>
        <v>187837</v>
      </c>
      <c r="G58" s="255">
        <f>SUM(G59:G60)</f>
        <v>499136</v>
      </c>
      <c r="H58" s="258">
        <f>SUM(H59:H60)</f>
        <v>240</v>
      </c>
      <c r="I58" s="259">
        <f t="shared" si="6"/>
        <v>499376</v>
      </c>
      <c r="J58" s="255">
        <f>SUM(J59:J60)</f>
        <v>0</v>
      </c>
      <c r="K58" s="258">
        <f>SUM(K59:K60)</f>
        <v>0</v>
      </c>
      <c r="L58" s="259">
        <f t="shared" si="7"/>
        <v>0</v>
      </c>
      <c r="M58" s="260">
        <f>SUM(M59:M60)</f>
        <v>0</v>
      </c>
      <c r="N58" s="261">
        <f>SUM(N59:N60)</f>
        <v>0</v>
      </c>
      <c r="O58" s="259">
        <f t="shared" si="8"/>
        <v>0</v>
      </c>
      <c r="P58" s="189"/>
      <c r="R58" s="53"/>
      <c r="S58" s="53"/>
      <c r="T58" s="53"/>
    </row>
    <row r="59" spans="1:20" hidden="1" x14ac:dyDescent="0.25">
      <c r="A59" s="66">
        <v>1111</v>
      </c>
      <c r="B59" s="116" t="s">
        <v>77</v>
      </c>
      <c r="C59" s="117">
        <f t="shared" si="4"/>
        <v>0</v>
      </c>
      <c r="D59" s="123"/>
      <c r="E59" s="262"/>
      <c r="F59" s="263">
        <f t="shared" si="5"/>
        <v>0</v>
      </c>
      <c r="G59" s="123"/>
      <c r="H59" s="124"/>
      <c r="I59" s="125">
        <f t="shared" si="6"/>
        <v>0</v>
      </c>
      <c r="J59" s="123"/>
      <c r="K59" s="124"/>
      <c r="L59" s="125">
        <f t="shared" si="7"/>
        <v>0</v>
      </c>
      <c r="M59" s="264"/>
      <c r="N59" s="262"/>
      <c r="O59" s="125">
        <f t="shared" si="8"/>
        <v>0</v>
      </c>
      <c r="P59" s="74"/>
      <c r="R59" s="53"/>
      <c r="S59" s="53"/>
      <c r="T59" s="53"/>
    </row>
    <row r="60" spans="1:20" ht="27.75" customHeight="1" x14ac:dyDescent="0.25">
      <c r="A60" s="76">
        <v>1119</v>
      </c>
      <c r="B60" s="127" t="s">
        <v>78</v>
      </c>
      <c r="C60" s="128">
        <f t="shared" si="4"/>
        <v>687213</v>
      </c>
      <c r="D60" s="134">
        <v>187837</v>
      </c>
      <c r="E60" s="283"/>
      <c r="F60" s="279">
        <f t="shared" si="5"/>
        <v>187837</v>
      </c>
      <c r="G60" s="134">
        <v>499136</v>
      </c>
      <c r="H60" s="135">
        <v>240</v>
      </c>
      <c r="I60" s="136">
        <f t="shared" si="6"/>
        <v>499376</v>
      </c>
      <c r="J60" s="134"/>
      <c r="K60" s="135"/>
      <c r="L60" s="136">
        <f t="shared" si="7"/>
        <v>0</v>
      </c>
      <c r="M60" s="284"/>
      <c r="N60" s="285"/>
      <c r="O60" s="136">
        <f t="shared" si="8"/>
        <v>0</v>
      </c>
      <c r="P60" s="85" t="s">
        <v>1228</v>
      </c>
      <c r="R60" s="53"/>
      <c r="S60" s="53"/>
      <c r="T60" s="53"/>
    </row>
    <row r="61" spans="1:20" ht="24" x14ac:dyDescent="0.25">
      <c r="A61" s="276">
        <v>1140</v>
      </c>
      <c r="B61" s="127" t="s">
        <v>79</v>
      </c>
      <c r="C61" s="128">
        <f t="shared" si="4"/>
        <v>76330</v>
      </c>
      <c r="D61" s="277">
        <f>SUM(D62:D68)</f>
        <v>29993</v>
      </c>
      <c r="E61" s="278">
        <f>SUM(E62:E68)</f>
        <v>0</v>
      </c>
      <c r="F61" s="279">
        <f>D61+E61</f>
        <v>29993</v>
      </c>
      <c r="G61" s="277">
        <f>SUM(G62:G68)</f>
        <v>46337</v>
      </c>
      <c r="H61" s="280">
        <f>SUM(H62:H68)</f>
        <v>0</v>
      </c>
      <c r="I61" s="136">
        <f t="shared" si="6"/>
        <v>46337</v>
      </c>
      <c r="J61" s="277">
        <f>SUM(J62:J68)</f>
        <v>0</v>
      </c>
      <c r="K61" s="280">
        <f>SUM(K62:K68)</f>
        <v>0</v>
      </c>
      <c r="L61" s="136">
        <f t="shared" si="7"/>
        <v>0</v>
      </c>
      <c r="M61" s="281">
        <f>SUM(M62:M68)</f>
        <v>0</v>
      </c>
      <c r="N61" s="282">
        <f>SUM(N62:N68)</f>
        <v>0</v>
      </c>
      <c r="O61" s="136">
        <f t="shared" si="8"/>
        <v>0</v>
      </c>
      <c r="P61" s="85"/>
      <c r="R61" s="53"/>
      <c r="S61" s="53"/>
      <c r="T61" s="53"/>
    </row>
    <row r="62" spans="1:20" x14ac:dyDescent="0.25">
      <c r="A62" s="76">
        <v>1141</v>
      </c>
      <c r="B62" s="127" t="s">
        <v>80</v>
      </c>
      <c r="C62" s="128">
        <f t="shared" si="4"/>
        <v>3748</v>
      </c>
      <c r="D62" s="134">
        <v>3748</v>
      </c>
      <c r="E62" s="283"/>
      <c r="F62" s="279">
        <f t="shared" si="5"/>
        <v>3748</v>
      </c>
      <c r="G62" s="134"/>
      <c r="H62" s="135"/>
      <c r="I62" s="136">
        <f t="shared" si="6"/>
        <v>0</v>
      </c>
      <c r="J62" s="134"/>
      <c r="K62" s="135"/>
      <c r="L62" s="136">
        <f t="shared" si="7"/>
        <v>0</v>
      </c>
      <c r="M62" s="284"/>
      <c r="N62" s="285"/>
      <c r="O62" s="136">
        <f t="shared" si="8"/>
        <v>0</v>
      </c>
      <c r="P62" s="85"/>
      <c r="R62" s="53"/>
      <c r="S62" s="53"/>
      <c r="T62" s="53"/>
    </row>
    <row r="63" spans="1:20" ht="24" x14ac:dyDescent="0.25">
      <c r="A63" s="76">
        <v>1142</v>
      </c>
      <c r="B63" s="127" t="s">
        <v>81</v>
      </c>
      <c r="C63" s="128">
        <f t="shared" si="4"/>
        <v>922</v>
      </c>
      <c r="D63" s="134">
        <v>922</v>
      </c>
      <c r="E63" s="283"/>
      <c r="F63" s="279">
        <f t="shared" si="5"/>
        <v>922</v>
      </c>
      <c r="G63" s="134"/>
      <c r="H63" s="135"/>
      <c r="I63" s="136">
        <f t="shared" si="6"/>
        <v>0</v>
      </c>
      <c r="J63" s="134"/>
      <c r="K63" s="135"/>
      <c r="L63" s="136">
        <f t="shared" si="7"/>
        <v>0</v>
      </c>
      <c r="M63" s="284"/>
      <c r="N63" s="285"/>
      <c r="O63" s="136">
        <f t="shared" si="8"/>
        <v>0</v>
      </c>
      <c r="P63" s="85"/>
      <c r="R63" s="53"/>
      <c r="S63" s="53"/>
      <c r="T63" s="53"/>
    </row>
    <row r="64" spans="1:20" ht="24" hidden="1" x14ac:dyDescent="0.25">
      <c r="A64" s="76">
        <v>1145</v>
      </c>
      <c r="B64" s="127" t="s">
        <v>82</v>
      </c>
      <c r="C64" s="128">
        <f t="shared" si="4"/>
        <v>0</v>
      </c>
      <c r="D64" s="134"/>
      <c r="E64" s="285"/>
      <c r="F64" s="286">
        <f t="shared" si="5"/>
        <v>0</v>
      </c>
      <c r="G64" s="134"/>
      <c r="H64" s="135"/>
      <c r="I64" s="136">
        <f t="shared" si="6"/>
        <v>0</v>
      </c>
      <c r="J64" s="134"/>
      <c r="K64" s="135"/>
      <c r="L64" s="136">
        <f t="shared" si="7"/>
        <v>0</v>
      </c>
      <c r="M64" s="284"/>
      <c r="N64" s="285"/>
      <c r="O64" s="136">
        <f t="shared" si="8"/>
        <v>0</v>
      </c>
      <c r="P64" s="85"/>
      <c r="R64" s="53"/>
      <c r="S64" s="53"/>
      <c r="T64" s="53"/>
    </row>
    <row r="65" spans="1:20" ht="24" hidden="1" x14ac:dyDescent="0.25">
      <c r="A65" s="76">
        <v>1146</v>
      </c>
      <c r="B65" s="127" t="s">
        <v>83</v>
      </c>
      <c r="C65" s="128">
        <f t="shared" si="4"/>
        <v>0</v>
      </c>
      <c r="D65" s="134">
        <v>0</v>
      </c>
      <c r="E65" s="285"/>
      <c r="F65" s="286">
        <f t="shared" si="5"/>
        <v>0</v>
      </c>
      <c r="G65" s="134"/>
      <c r="H65" s="135"/>
      <c r="I65" s="136">
        <f t="shared" si="6"/>
        <v>0</v>
      </c>
      <c r="J65" s="134"/>
      <c r="K65" s="135"/>
      <c r="L65" s="136">
        <f t="shared" si="7"/>
        <v>0</v>
      </c>
      <c r="M65" s="284"/>
      <c r="N65" s="285"/>
      <c r="O65" s="136">
        <f t="shared" si="8"/>
        <v>0</v>
      </c>
      <c r="P65" s="85"/>
      <c r="R65" s="53"/>
      <c r="S65" s="53"/>
      <c r="T65" s="53"/>
    </row>
    <row r="66" spans="1:20" x14ac:dyDescent="0.25">
      <c r="A66" s="76">
        <v>1147</v>
      </c>
      <c r="B66" s="127" t="s">
        <v>84</v>
      </c>
      <c r="C66" s="128">
        <f t="shared" si="4"/>
        <v>5640</v>
      </c>
      <c r="D66" s="134">
        <v>3020</v>
      </c>
      <c r="E66" s="283"/>
      <c r="F66" s="279">
        <f t="shared" si="5"/>
        <v>3020</v>
      </c>
      <c r="G66" s="134">
        <v>2620</v>
      </c>
      <c r="H66" s="135"/>
      <c r="I66" s="136">
        <f t="shared" si="6"/>
        <v>2620</v>
      </c>
      <c r="J66" s="134"/>
      <c r="K66" s="135"/>
      <c r="L66" s="136">
        <f t="shared" si="7"/>
        <v>0</v>
      </c>
      <c r="M66" s="284"/>
      <c r="N66" s="285"/>
      <c r="O66" s="136">
        <f t="shared" si="8"/>
        <v>0</v>
      </c>
      <c r="P66" s="85"/>
      <c r="R66" s="53"/>
      <c r="S66" s="53"/>
      <c r="T66" s="53"/>
    </row>
    <row r="67" spans="1:20" ht="15.75" customHeight="1" x14ac:dyDescent="0.25">
      <c r="A67" s="76">
        <v>1148</v>
      </c>
      <c r="B67" s="127" t="s">
        <v>85</v>
      </c>
      <c r="C67" s="128">
        <f t="shared" si="4"/>
        <v>40551</v>
      </c>
      <c r="D67" s="134">
        <v>19773</v>
      </c>
      <c r="E67" s="283"/>
      <c r="F67" s="279">
        <f t="shared" si="5"/>
        <v>19773</v>
      </c>
      <c r="G67" s="134">
        <v>7600</v>
      </c>
      <c r="H67" s="135">
        <v>13178</v>
      </c>
      <c r="I67" s="136">
        <f t="shared" si="6"/>
        <v>20778</v>
      </c>
      <c r="J67" s="134"/>
      <c r="K67" s="135"/>
      <c r="L67" s="136">
        <f t="shared" si="7"/>
        <v>0</v>
      </c>
      <c r="M67" s="284"/>
      <c r="N67" s="285"/>
      <c r="O67" s="136">
        <f t="shared" si="8"/>
        <v>0</v>
      </c>
      <c r="P67" s="85" t="s">
        <v>1229</v>
      </c>
      <c r="R67" s="53"/>
      <c r="S67" s="53"/>
      <c r="T67" s="53"/>
    </row>
    <row r="68" spans="1:20" ht="24.75" customHeight="1" x14ac:dyDescent="0.25">
      <c r="A68" s="76">
        <v>1149</v>
      </c>
      <c r="B68" s="127" t="s">
        <v>86</v>
      </c>
      <c r="C68" s="128">
        <f t="shared" si="4"/>
        <v>25469</v>
      </c>
      <c r="D68" s="134">
        <v>2530</v>
      </c>
      <c r="E68" s="283"/>
      <c r="F68" s="279">
        <f t="shared" si="5"/>
        <v>2530</v>
      </c>
      <c r="G68" s="134">
        <v>36117</v>
      </c>
      <c r="H68" s="135">
        <v>-13178</v>
      </c>
      <c r="I68" s="136">
        <f t="shared" si="6"/>
        <v>22939</v>
      </c>
      <c r="J68" s="134"/>
      <c r="K68" s="135"/>
      <c r="L68" s="136">
        <f t="shared" si="7"/>
        <v>0</v>
      </c>
      <c r="M68" s="284"/>
      <c r="N68" s="285"/>
      <c r="O68" s="136">
        <f t="shared" si="8"/>
        <v>0</v>
      </c>
      <c r="P68" s="85" t="s">
        <v>1230</v>
      </c>
      <c r="R68" s="53"/>
      <c r="S68" s="53"/>
      <c r="T68" s="53"/>
    </row>
    <row r="69" spans="1:20" ht="36" x14ac:dyDescent="0.25">
      <c r="A69" s="254">
        <v>1150</v>
      </c>
      <c r="B69" s="179" t="s">
        <v>87</v>
      </c>
      <c r="C69" s="128">
        <f t="shared" si="4"/>
        <v>1360</v>
      </c>
      <c r="D69" s="287">
        <v>1360</v>
      </c>
      <c r="E69" s="288"/>
      <c r="F69" s="257">
        <f t="shared" si="5"/>
        <v>1360</v>
      </c>
      <c r="G69" s="287"/>
      <c r="H69" s="289"/>
      <c r="I69" s="259">
        <f t="shared" si="6"/>
        <v>0</v>
      </c>
      <c r="J69" s="287"/>
      <c r="K69" s="289"/>
      <c r="L69" s="259">
        <f t="shared" si="7"/>
        <v>0</v>
      </c>
      <c r="M69" s="290"/>
      <c r="N69" s="291"/>
      <c r="O69" s="259">
        <f t="shared" si="8"/>
        <v>0</v>
      </c>
      <c r="P69" s="189"/>
      <c r="R69" s="53"/>
      <c r="S69" s="53"/>
      <c r="T69" s="53"/>
    </row>
    <row r="70" spans="1:20" ht="36" x14ac:dyDescent="0.25">
      <c r="A70" s="99">
        <v>1200</v>
      </c>
      <c r="B70" s="247" t="s">
        <v>88</v>
      </c>
      <c r="C70" s="100">
        <f t="shared" si="4"/>
        <v>229645</v>
      </c>
      <c r="D70" s="112">
        <f>SUM(D71:D72)</f>
        <v>95749</v>
      </c>
      <c r="E70" s="248">
        <f>SUM(E71:E72)</f>
        <v>0</v>
      </c>
      <c r="F70" s="249">
        <f>D70+E70</f>
        <v>95749</v>
      </c>
      <c r="G70" s="112">
        <f>SUM(G71:G72)</f>
        <v>134136</v>
      </c>
      <c r="H70" s="113">
        <f>SUM(H71:H72)</f>
        <v>-240</v>
      </c>
      <c r="I70" s="114">
        <f t="shared" si="6"/>
        <v>133896</v>
      </c>
      <c r="J70" s="112">
        <f>SUM(J71:J72)</f>
        <v>0</v>
      </c>
      <c r="K70" s="113">
        <f>SUM(K71:K72)</f>
        <v>0</v>
      </c>
      <c r="L70" s="114">
        <f t="shared" si="7"/>
        <v>0</v>
      </c>
      <c r="M70" s="292">
        <f>SUM(M71:M72)</f>
        <v>0</v>
      </c>
      <c r="N70" s="293">
        <f>SUM(N71:N72)</f>
        <v>0</v>
      </c>
      <c r="O70" s="114">
        <f t="shared" si="8"/>
        <v>0</v>
      </c>
      <c r="P70" s="109"/>
      <c r="R70" s="53"/>
      <c r="S70" s="53"/>
      <c r="T70" s="53"/>
    </row>
    <row r="71" spans="1:20" ht="24" x14ac:dyDescent="0.25">
      <c r="A71" s="656">
        <v>1210</v>
      </c>
      <c r="B71" s="116" t="s">
        <v>89</v>
      </c>
      <c r="C71" s="117">
        <f t="shared" si="4"/>
        <v>185191</v>
      </c>
      <c r="D71" s="123">
        <v>56662</v>
      </c>
      <c r="E71" s="295"/>
      <c r="F71" s="296">
        <f t="shared" si="5"/>
        <v>56662</v>
      </c>
      <c r="G71" s="123">
        <v>128529</v>
      </c>
      <c r="H71" s="124"/>
      <c r="I71" s="125">
        <f t="shared" si="6"/>
        <v>128529</v>
      </c>
      <c r="J71" s="123"/>
      <c r="K71" s="124"/>
      <c r="L71" s="125">
        <f t="shared" si="7"/>
        <v>0</v>
      </c>
      <c r="M71" s="264"/>
      <c r="N71" s="262"/>
      <c r="O71" s="125">
        <f t="shared" si="8"/>
        <v>0</v>
      </c>
      <c r="P71" s="74"/>
      <c r="R71" s="53"/>
      <c r="S71" s="53"/>
      <c r="T71" s="53"/>
    </row>
    <row r="72" spans="1:20" ht="24" x14ac:dyDescent="0.25">
      <c r="A72" s="276">
        <v>1220</v>
      </c>
      <c r="B72" s="127" t="s">
        <v>90</v>
      </c>
      <c r="C72" s="128">
        <f t="shared" si="4"/>
        <v>44454</v>
      </c>
      <c r="D72" s="277">
        <f>SUM(D73:D77)</f>
        <v>39087</v>
      </c>
      <c r="E72" s="278">
        <f>SUM(E73:E77)</f>
        <v>0</v>
      </c>
      <c r="F72" s="279">
        <f t="shared" si="5"/>
        <v>39087</v>
      </c>
      <c r="G72" s="277">
        <f>SUM(G73:G77)</f>
        <v>5607</v>
      </c>
      <c r="H72" s="280">
        <f>SUM(H73:H77)</f>
        <v>-240</v>
      </c>
      <c r="I72" s="136">
        <f t="shared" si="6"/>
        <v>5367</v>
      </c>
      <c r="J72" s="277">
        <f>SUM(J73:J77)</f>
        <v>0</v>
      </c>
      <c r="K72" s="280">
        <f>SUM(K73:K77)</f>
        <v>0</v>
      </c>
      <c r="L72" s="136">
        <f t="shared" si="7"/>
        <v>0</v>
      </c>
      <c r="M72" s="281">
        <f>SUM(M73:M77)</f>
        <v>0</v>
      </c>
      <c r="N72" s="282">
        <f>SUM(N73:N77)</f>
        <v>0</v>
      </c>
      <c r="O72" s="136">
        <f t="shared" si="8"/>
        <v>0</v>
      </c>
      <c r="P72" s="85"/>
      <c r="R72" s="53"/>
      <c r="S72" s="53"/>
      <c r="T72" s="53"/>
    </row>
    <row r="73" spans="1:20" ht="60" x14ac:dyDescent="0.25">
      <c r="A73" s="76">
        <v>1221</v>
      </c>
      <c r="B73" s="127" t="s">
        <v>91</v>
      </c>
      <c r="C73" s="128">
        <f t="shared" si="4"/>
        <v>30772</v>
      </c>
      <c r="D73" s="134">
        <v>25405</v>
      </c>
      <c r="E73" s="283"/>
      <c r="F73" s="279">
        <f t="shared" si="5"/>
        <v>25405</v>
      </c>
      <c r="G73" s="134">
        <v>5607</v>
      </c>
      <c r="H73" s="135">
        <v>-240</v>
      </c>
      <c r="I73" s="136">
        <f t="shared" si="6"/>
        <v>5367</v>
      </c>
      <c r="J73" s="134"/>
      <c r="K73" s="135"/>
      <c r="L73" s="136">
        <f t="shared" si="7"/>
        <v>0</v>
      </c>
      <c r="M73" s="284"/>
      <c r="N73" s="285"/>
      <c r="O73" s="136">
        <f t="shared" si="8"/>
        <v>0</v>
      </c>
      <c r="P73" s="85" t="s">
        <v>1231</v>
      </c>
      <c r="R73" s="53"/>
      <c r="S73" s="53"/>
      <c r="T73" s="53"/>
    </row>
    <row r="74" spans="1:20" hidden="1" x14ac:dyDescent="0.25">
      <c r="A74" s="76">
        <v>1223</v>
      </c>
      <c r="B74" s="127" t="s">
        <v>92</v>
      </c>
      <c r="C74" s="128">
        <f t="shared" si="4"/>
        <v>0</v>
      </c>
      <c r="D74" s="134"/>
      <c r="E74" s="285"/>
      <c r="F74" s="286">
        <f t="shared" si="5"/>
        <v>0</v>
      </c>
      <c r="G74" s="134"/>
      <c r="H74" s="135"/>
      <c r="I74" s="136">
        <f t="shared" si="6"/>
        <v>0</v>
      </c>
      <c r="J74" s="134"/>
      <c r="K74" s="135"/>
      <c r="L74" s="136">
        <f t="shared" si="7"/>
        <v>0</v>
      </c>
      <c r="M74" s="284"/>
      <c r="N74" s="285"/>
      <c r="O74" s="136">
        <f t="shared" si="8"/>
        <v>0</v>
      </c>
      <c r="P74" s="85"/>
      <c r="R74" s="53"/>
      <c r="S74" s="53"/>
      <c r="T74" s="53"/>
    </row>
    <row r="75" spans="1:20" hidden="1" x14ac:dyDescent="0.25">
      <c r="A75" s="76">
        <v>1225</v>
      </c>
      <c r="B75" s="127" t="s">
        <v>93</v>
      </c>
      <c r="C75" s="128">
        <f t="shared" si="4"/>
        <v>0</v>
      </c>
      <c r="D75" s="134"/>
      <c r="E75" s="285"/>
      <c r="F75" s="286">
        <f t="shared" si="5"/>
        <v>0</v>
      </c>
      <c r="G75" s="134"/>
      <c r="H75" s="135"/>
      <c r="I75" s="136">
        <f t="shared" si="6"/>
        <v>0</v>
      </c>
      <c r="J75" s="134"/>
      <c r="K75" s="135"/>
      <c r="L75" s="136">
        <f t="shared" si="7"/>
        <v>0</v>
      </c>
      <c r="M75" s="284"/>
      <c r="N75" s="285"/>
      <c r="O75" s="136">
        <f t="shared" si="8"/>
        <v>0</v>
      </c>
      <c r="P75" s="85"/>
      <c r="R75" s="53"/>
      <c r="S75" s="53"/>
      <c r="T75" s="53"/>
    </row>
    <row r="76" spans="1:20" ht="36" x14ac:dyDescent="0.25">
      <c r="A76" s="76">
        <v>1227</v>
      </c>
      <c r="B76" s="127" t="s">
        <v>94</v>
      </c>
      <c r="C76" s="128">
        <f t="shared" si="4"/>
        <v>12555</v>
      </c>
      <c r="D76" s="134">
        <v>12555</v>
      </c>
      <c r="E76" s="283"/>
      <c r="F76" s="279">
        <f t="shared" si="5"/>
        <v>12555</v>
      </c>
      <c r="G76" s="134"/>
      <c r="H76" s="135"/>
      <c r="I76" s="136">
        <f t="shared" si="6"/>
        <v>0</v>
      </c>
      <c r="J76" s="134"/>
      <c r="K76" s="135"/>
      <c r="L76" s="136">
        <f t="shared" si="7"/>
        <v>0</v>
      </c>
      <c r="M76" s="284"/>
      <c r="N76" s="285"/>
      <c r="O76" s="136">
        <f t="shared" si="8"/>
        <v>0</v>
      </c>
      <c r="P76" s="85"/>
      <c r="R76" s="53"/>
      <c r="S76" s="53"/>
      <c r="T76" s="53"/>
    </row>
    <row r="77" spans="1:20" ht="60" x14ac:dyDescent="0.25">
      <c r="A77" s="76">
        <v>1228</v>
      </c>
      <c r="B77" s="127" t="s">
        <v>95</v>
      </c>
      <c r="C77" s="128">
        <f t="shared" si="4"/>
        <v>1127</v>
      </c>
      <c r="D77" s="134">
        <v>1127</v>
      </c>
      <c r="E77" s="283"/>
      <c r="F77" s="279">
        <f t="shared" si="5"/>
        <v>1127</v>
      </c>
      <c r="G77" s="134"/>
      <c r="H77" s="135"/>
      <c r="I77" s="136">
        <f t="shared" si="6"/>
        <v>0</v>
      </c>
      <c r="J77" s="134"/>
      <c r="K77" s="135"/>
      <c r="L77" s="136">
        <f t="shared" si="7"/>
        <v>0</v>
      </c>
      <c r="M77" s="284"/>
      <c r="N77" s="285"/>
      <c r="O77" s="136">
        <f t="shared" si="8"/>
        <v>0</v>
      </c>
      <c r="P77" s="85"/>
      <c r="R77" s="53"/>
      <c r="S77" s="53"/>
      <c r="T77" s="53"/>
    </row>
    <row r="78" spans="1:20" x14ac:dyDescent="0.25">
      <c r="A78" s="237">
        <v>2000</v>
      </c>
      <c r="B78" s="237" t="s">
        <v>96</v>
      </c>
      <c r="C78" s="238">
        <f t="shared" si="4"/>
        <v>125432</v>
      </c>
      <c r="D78" s="239">
        <f>SUM(D79,D86,D133,D167,D168,D175)</f>
        <v>98310</v>
      </c>
      <c r="E78" s="240">
        <f>SUM(E79,E86,E133,E167,E168,E175)</f>
        <v>0</v>
      </c>
      <c r="F78" s="241">
        <f t="shared" si="5"/>
        <v>98310</v>
      </c>
      <c r="G78" s="239">
        <f>SUM(G79,G86,G133,G167,G168,G175)</f>
        <v>2000</v>
      </c>
      <c r="H78" s="242">
        <f>SUM(H79,H86,H133,H167,H168,H175)</f>
        <v>0</v>
      </c>
      <c r="I78" s="243">
        <f t="shared" si="6"/>
        <v>2000</v>
      </c>
      <c r="J78" s="239">
        <f>SUM(J79,J86,J133,J167,J168,J175)</f>
        <v>25122</v>
      </c>
      <c r="K78" s="242">
        <f>SUM(K79,K86,K133,K167,K168,K175)</f>
        <v>0</v>
      </c>
      <c r="L78" s="243">
        <f t="shared" si="7"/>
        <v>25122</v>
      </c>
      <c r="M78" s="244">
        <f>SUM(M79,M86,M133,M167,M168,M175)</f>
        <v>0</v>
      </c>
      <c r="N78" s="245">
        <f>SUM(N79,N86,N133,N167,N168,N175)</f>
        <v>0</v>
      </c>
      <c r="O78" s="243">
        <f t="shared" si="8"/>
        <v>0</v>
      </c>
      <c r="P78" s="246"/>
      <c r="R78" s="53"/>
      <c r="S78" s="53"/>
      <c r="T78" s="53"/>
    </row>
    <row r="79" spans="1:20" ht="24" hidden="1" x14ac:dyDescent="0.25">
      <c r="A79" s="99">
        <v>2100</v>
      </c>
      <c r="B79" s="247" t="s">
        <v>97</v>
      </c>
      <c r="C79" s="100">
        <f t="shared" si="4"/>
        <v>0</v>
      </c>
      <c r="D79" s="112">
        <f>SUM(D80,D83)</f>
        <v>0</v>
      </c>
      <c r="E79" s="293">
        <f>SUM(E80,E83)</f>
        <v>0</v>
      </c>
      <c r="F79" s="313">
        <f t="shared" si="5"/>
        <v>0</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c r="R79" s="53"/>
      <c r="S79" s="53"/>
      <c r="T79" s="53"/>
    </row>
    <row r="80" spans="1:20" ht="24" hidden="1" x14ac:dyDescent="0.25">
      <c r="A80" s="656">
        <v>2110</v>
      </c>
      <c r="B80" s="116" t="s">
        <v>98</v>
      </c>
      <c r="C80" s="117">
        <f t="shared" si="4"/>
        <v>0</v>
      </c>
      <c r="D80" s="297">
        <f>SUM(D81:D82)</f>
        <v>0</v>
      </c>
      <c r="E80" s="301">
        <f>SUM(E81:E82)</f>
        <v>0</v>
      </c>
      <c r="F80" s="263">
        <f t="shared" si="5"/>
        <v>0</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c r="R80" s="53"/>
      <c r="S80" s="53"/>
      <c r="T80" s="53"/>
    </row>
    <row r="81" spans="1:20" hidden="1" x14ac:dyDescent="0.25">
      <c r="A81" s="76">
        <v>2111</v>
      </c>
      <c r="B81" s="127" t="s">
        <v>99</v>
      </c>
      <c r="C81" s="128">
        <f t="shared" si="4"/>
        <v>0</v>
      </c>
      <c r="D81" s="134"/>
      <c r="E81" s="285"/>
      <c r="F81" s="286">
        <f t="shared" si="5"/>
        <v>0</v>
      </c>
      <c r="G81" s="134"/>
      <c r="H81" s="135"/>
      <c r="I81" s="136">
        <f t="shared" si="6"/>
        <v>0</v>
      </c>
      <c r="J81" s="134"/>
      <c r="K81" s="135"/>
      <c r="L81" s="136">
        <f t="shared" si="7"/>
        <v>0</v>
      </c>
      <c r="M81" s="284"/>
      <c r="N81" s="285"/>
      <c r="O81" s="136">
        <f t="shared" si="8"/>
        <v>0</v>
      </c>
      <c r="P81" s="85"/>
      <c r="R81" s="53"/>
      <c r="S81" s="53"/>
      <c r="T81" s="53"/>
    </row>
    <row r="82" spans="1:20" ht="24" hidden="1" x14ac:dyDescent="0.25">
      <c r="A82" s="76">
        <v>2112</v>
      </c>
      <c r="B82" s="127" t="s">
        <v>100</v>
      </c>
      <c r="C82" s="128">
        <f t="shared" si="4"/>
        <v>0</v>
      </c>
      <c r="D82" s="134"/>
      <c r="E82" s="285"/>
      <c r="F82" s="286">
        <f t="shared" si="5"/>
        <v>0</v>
      </c>
      <c r="G82" s="134"/>
      <c r="H82" s="135"/>
      <c r="I82" s="136">
        <f t="shared" si="6"/>
        <v>0</v>
      </c>
      <c r="J82" s="134"/>
      <c r="K82" s="135"/>
      <c r="L82" s="136">
        <f t="shared" si="7"/>
        <v>0</v>
      </c>
      <c r="M82" s="284"/>
      <c r="N82" s="285"/>
      <c r="O82" s="136">
        <f t="shared" si="8"/>
        <v>0</v>
      </c>
      <c r="P82" s="85"/>
      <c r="R82" s="53"/>
      <c r="S82" s="53"/>
      <c r="T82" s="53"/>
    </row>
    <row r="83" spans="1:20" ht="24" hidden="1" x14ac:dyDescent="0.25">
      <c r="A83" s="276">
        <v>2120</v>
      </c>
      <c r="B83" s="127" t="s">
        <v>101</v>
      </c>
      <c r="C83" s="128">
        <f t="shared" si="4"/>
        <v>0</v>
      </c>
      <c r="D83" s="277">
        <f>SUM(D84:D85)</f>
        <v>0</v>
      </c>
      <c r="E83" s="282">
        <f>SUM(E84:E85)</f>
        <v>0</v>
      </c>
      <c r="F83" s="28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c r="R83" s="53"/>
      <c r="S83" s="53"/>
      <c r="T83" s="53"/>
    </row>
    <row r="84" spans="1:20" hidden="1" x14ac:dyDescent="0.25">
      <c r="A84" s="76">
        <v>2121</v>
      </c>
      <c r="B84" s="127" t="s">
        <v>99</v>
      </c>
      <c r="C84" s="128">
        <f t="shared" si="4"/>
        <v>0</v>
      </c>
      <c r="D84" s="134"/>
      <c r="E84" s="285"/>
      <c r="F84" s="286">
        <f t="shared" si="5"/>
        <v>0</v>
      </c>
      <c r="G84" s="134"/>
      <c r="H84" s="135"/>
      <c r="I84" s="136">
        <f t="shared" si="6"/>
        <v>0</v>
      </c>
      <c r="J84" s="134"/>
      <c r="K84" s="135"/>
      <c r="L84" s="136">
        <f t="shared" si="7"/>
        <v>0</v>
      </c>
      <c r="M84" s="284"/>
      <c r="N84" s="285"/>
      <c r="O84" s="136">
        <f t="shared" si="8"/>
        <v>0</v>
      </c>
      <c r="P84" s="85"/>
      <c r="R84" s="53"/>
      <c r="S84" s="53"/>
      <c r="T84" s="53"/>
    </row>
    <row r="85" spans="1:20" ht="24" hidden="1" x14ac:dyDescent="0.25">
      <c r="A85" s="76">
        <v>2122</v>
      </c>
      <c r="B85" s="127" t="s">
        <v>100</v>
      </c>
      <c r="C85" s="128">
        <f t="shared" si="4"/>
        <v>0</v>
      </c>
      <c r="D85" s="134"/>
      <c r="E85" s="285"/>
      <c r="F85" s="286">
        <f t="shared" si="5"/>
        <v>0</v>
      </c>
      <c r="G85" s="134"/>
      <c r="H85" s="135"/>
      <c r="I85" s="136">
        <f t="shared" si="6"/>
        <v>0</v>
      </c>
      <c r="J85" s="134"/>
      <c r="K85" s="135"/>
      <c r="L85" s="136">
        <f t="shared" si="7"/>
        <v>0</v>
      </c>
      <c r="M85" s="284"/>
      <c r="N85" s="285"/>
      <c r="O85" s="136">
        <f t="shared" si="8"/>
        <v>0</v>
      </c>
      <c r="P85" s="85"/>
      <c r="R85" s="53"/>
      <c r="S85" s="53"/>
      <c r="T85" s="53"/>
    </row>
    <row r="86" spans="1:20" x14ac:dyDescent="0.25">
      <c r="A86" s="99">
        <v>2200</v>
      </c>
      <c r="B86" s="247" t="s">
        <v>102</v>
      </c>
      <c r="C86" s="302">
        <f t="shared" si="4"/>
        <v>89078</v>
      </c>
      <c r="D86" s="112">
        <f>SUM(D87,D92,D98,D106,D115,D119,D125,D131)</f>
        <v>70346</v>
      </c>
      <c r="E86" s="248">
        <f>SUM(E87,E92,E98,E106,E115,E119,E125,E131)</f>
        <v>0</v>
      </c>
      <c r="F86" s="249">
        <f t="shared" si="5"/>
        <v>70346</v>
      </c>
      <c r="G86" s="112">
        <f>SUM(G87,G92,G98,G106,G115,G119,G125,G131)</f>
        <v>0</v>
      </c>
      <c r="H86" s="113">
        <f>SUM(H87,H92,H98,H106,H115,H119,H125,H131)</f>
        <v>0</v>
      </c>
      <c r="I86" s="114">
        <f t="shared" si="6"/>
        <v>0</v>
      </c>
      <c r="J86" s="112">
        <f>SUM(J87,J92,J98,J106,J115,J119,J125,J131)</f>
        <v>18732</v>
      </c>
      <c r="K86" s="113">
        <f>SUM(K87,K92,K98,K106,K115,K119,K125,K131)</f>
        <v>0</v>
      </c>
      <c r="L86" s="114">
        <f t="shared" si="7"/>
        <v>18732</v>
      </c>
      <c r="M86" s="303">
        <f>SUM(M87,M92,M98,M106,M115,M119,M125,M131)</f>
        <v>0</v>
      </c>
      <c r="N86" s="304">
        <f>SUM(N87,N92,N98,N106,N115,N119,N125,N131)</f>
        <v>0</v>
      </c>
      <c r="O86" s="305">
        <f t="shared" si="8"/>
        <v>0</v>
      </c>
      <c r="P86" s="306"/>
      <c r="R86" s="53"/>
      <c r="S86" s="53"/>
      <c r="T86" s="53"/>
    </row>
    <row r="87" spans="1:20" ht="24" x14ac:dyDescent="0.25">
      <c r="A87" s="254">
        <v>2210</v>
      </c>
      <c r="B87" s="179" t="s">
        <v>103</v>
      </c>
      <c r="C87" s="191">
        <f t="shared" si="4"/>
        <v>1570</v>
      </c>
      <c r="D87" s="255">
        <f>SUM(D88:D91)</f>
        <v>1534</v>
      </c>
      <c r="E87" s="256">
        <f>SUM(E88:E91)</f>
        <v>0</v>
      </c>
      <c r="F87" s="257">
        <f t="shared" si="5"/>
        <v>1534</v>
      </c>
      <c r="G87" s="255">
        <f>SUM(G88:G91)</f>
        <v>0</v>
      </c>
      <c r="H87" s="258">
        <f>SUM(H88:H91)</f>
        <v>0</v>
      </c>
      <c r="I87" s="259">
        <f t="shared" si="6"/>
        <v>0</v>
      </c>
      <c r="J87" s="255">
        <f>SUM(J88:J91)</f>
        <v>36</v>
      </c>
      <c r="K87" s="258">
        <f>SUM(K88:K91)</f>
        <v>0</v>
      </c>
      <c r="L87" s="259">
        <f t="shared" si="7"/>
        <v>36</v>
      </c>
      <c r="M87" s="260">
        <f>SUM(M88:M91)</f>
        <v>0</v>
      </c>
      <c r="N87" s="261">
        <f>SUM(N88:N91)</f>
        <v>0</v>
      </c>
      <c r="O87" s="259">
        <f t="shared" si="8"/>
        <v>0</v>
      </c>
      <c r="P87" s="189"/>
      <c r="R87" s="53"/>
      <c r="S87" s="53"/>
      <c r="T87" s="53"/>
    </row>
    <row r="88" spans="1:20" ht="24" hidden="1" x14ac:dyDescent="0.25">
      <c r="A88" s="66">
        <v>2211</v>
      </c>
      <c r="B88" s="116" t="s">
        <v>104</v>
      </c>
      <c r="C88" s="128">
        <f t="shared" si="4"/>
        <v>0</v>
      </c>
      <c r="D88" s="123"/>
      <c r="E88" s="262"/>
      <c r="F88" s="263">
        <f t="shared" si="5"/>
        <v>0</v>
      </c>
      <c r="G88" s="123"/>
      <c r="H88" s="124"/>
      <c r="I88" s="125">
        <f t="shared" si="6"/>
        <v>0</v>
      </c>
      <c r="J88" s="123"/>
      <c r="K88" s="124"/>
      <c r="L88" s="125">
        <f t="shared" si="7"/>
        <v>0</v>
      </c>
      <c r="M88" s="264"/>
      <c r="N88" s="262"/>
      <c r="O88" s="125">
        <f t="shared" si="8"/>
        <v>0</v>
      </c>
      <c r="P88" s="74"/>
      <c r="R88" s="53"/>
      <c r="S88" s="53"/>
      <c r="T88" s="53"/>
    </row>
    <row r="89" spans="1:20" ht="36" x14ac:dyDescent="0.25">
      <c r="A89" s="76">
        <v>2212</v>
      </c>
      <c r="B89" s="127" t="s">
        <v>105</v>
      </c>
      <c r="C89" s="128">
        <f t="shared" si="4"/>
        <v>1207</v>
      </c>
      <c r="D89" s="134">
        <v>1207</v>
      </c>
      <c r="E89" s="283"/>
      <c r="F89" s="279">
        <f t="shared" si="5"/>
        <v>1207</v>
      </c>
      <c r="G89" s="134"/>
      <c r="H89" s="135"/>
      <c r="I89" s="136">
        <f t="shared" si="6"/>
        <v>0</v>
      </c>
      <c r="J89" s="134"/>
      <c r="K89" s="135"/>
      <c r="L89" s="136">
        <f t="shared" si="7"/>
        <v>0</v>
      </c>
      <c r="M89" s="284"/>
      <c r="N89" s="285"/>
      <c r="O89" s="136">
        <f t="shared" si="8"/>
        <v>0</v>
      </c>
      <c r="P89" s="85"/>
      <c r="R89" s="53"/>
      <c r="S89" s="53"/>
      <c r="T89" s="53"/>
    </row>
    <row r="90" spans="1:20" ht="24" x14ac:dyDescent="0.25">
      <c r="A90" s="76">
        <v>2214</v>
      </c>
      <c r="B90" s="127" t="s">
        <v>106</v>
      </c>
      <c r="C90" s="128">
        <f t="shared" si="4"/>
        <v>291</v>
      </c>
      <c r="D90" s="134">
        <v>291</v>
      </c>
      <c r="E90" s="283"/>
      <c r="F90" s="279">
        <f t="shared" si="5"/>
        <v>291</v>
      </c>
      <c r="G90" s="134"/>
      <c r="H90" s="135"/>
      <c r="I90" s="136">
        <f t="shared" si="6"/>
        <v>0</v>
      </c>
      <c r="J90" s="134"/>
      <c r="K90" s="135"/>
      <c r="L90" s="136">
        <f t="shared" si="7"/>
        <v>0</v>
      </c>
      <c r="M90" s="284"/>
      <c r="N90" s="285"/>
      <c r="O90" s="136">
        <f t="shared" si="8"/>
        <v>0</v>
      </c>
      <c r="P90" s="85"/>
      <c r="R90" s="53"/>
      <c r="S90" s="53"/>
      <c r="T90" s="53"/>
    </row>
    <row r="91" spans="1:20" x14ac:dyDescent="0.25">
      <c r="A91" s="76">
        <v>2219</v>
      </c>
      <c r="B91" s="127" t="s">
        <v>107</v>
      </c>
      <c r="C91" s="128">
        <f t="shared" si="4"/>
        <v>72</v>
      </c>
      <c r="D91" s="134">
        <v>36</v>
      </c>
      <c r="E91" s="283"/>
      <c r="F91" s="279">
        <f t="shared" si="5"/>
        <v>36</v>
      </c>
      <c r="G91" s="134"/>
      <c r="H91" s="135"/>
      <c r="I91" s="136">
        <f t="shared" si="6"/>
        <v>0</v>
      </c>
      <c r="J91" s="134">
        <v>36</v>
      </c>
      <c r="K91" s="135"/>
      <c r="L91" s="136">
        <f t="shared" si="7"/>
        <v>36</v>
      </c>
      <c r="M91" s="284"/>
      <c r="N91" s="285"/>
      <c r="O91" s="136">
        <f t="shared" si="8"/>
        <v>0</v>
      </c>
      <c r="P91" s="85"/>
      <c r="R91" s="53"/>
      <c r="S91" s="53"/>
      <c r="T91" s="53"/>
    </row>
    <row r="92" spans="1:20" ht="24" x14ac:dyDescent="0.25">
      <c r="A92" s="276">
        <v>2220</v>
      </c>
      <c r="B92" s="127" t="s">
        <v>108</v>
      </c>
      <c r="C92" s="128">
        <f t="shared" si="4"/>
        <v>74747</v>
      </c>
      <c r="D92" s="277">
        <f>SUM(D93:D97)</f>
        <v>56259</v>
      </c>
      <c r="E92" s="278">
        <f>SUM(E93:E97)</f>
        <v>0</v>
      </c>
      <c r="F92" s="279">
        <f t="shared" si="5"/>
        <v>56259</v>
      </c>
      <c r="G92" s="277">
        <f>SUM(G93:G97)</f>
        <v>0</v>
      </c>
      <c r="H92" s="280">
        <f>SUM(H93:H97)</f>
        <v>0</v>
      </c>
      <c r="I92" s="136">
        <f t="shared" si="6"/>
        <v>0</v>
      </c>
      <c r="J92" s="277">
        <f>SUM(J93:J97)</f>
        <v>18488</v>
      </c>
      <c r="K92" s="280">
        <f>SUM(K93:K97)</f>
        <v>0</v>
      </c>
      <c r="L92" s="136">
        <f t="shared" si="7"/>
        <v>18488</v>
      </c>
      <c r="M92" s="281">
        <f>SUM(M93:M97)</f>
        <v>0</v>
      </c>
      <c r="N92" s="282">
        <f>SUM(N93:N97)</f>
        <v>0</v>
      </c>
      <c r="O92" s="136">
        <f t="shared" si="8"/>
        <v>0</v>
      </c>
      <c r="P92" s="85"/>
      <c r="R92" s="53"/>
      <c r="S92" s="53"/>
      <c r="T92" s="53"/>
    </row>
    <row r="93" spans="1:20" x14ac:dyDescent="0.25">
      <c r="A93" s="76">
        <v>2221</v>
      </c>
      <c r="B93" s="127" t="s">
        <v>109</v>
      </c>
      <c r="C93" s="128">
        <f t="shared" si="4"/>
        <v>45771</v>
      </c>
      <c r="D93" s="134">
        <v>40363</v>
      </c>
      <c r="E93" s="283"/>
      <c r="F93" s="279">
        <f t="shared" si="5"/>
        <v>40363</v>
      </c>
      <c r="G93" s="134"/>
      <c r="H93" s="135"/>
      <c r="I93" s="136">
        <f t="shared" si="6"/>
        <v>0</v>
      </c>
      <c r="J93" s="134">
        <v>5408</v>
      </c>
      <c r="K93" s="135"/>
      <c r="L93" s="136">
        <f t="shared" si="7"/>
        <v>5408</v>
      </c>
      <c r="M93" s="284"/>
      <c r="N93" s="285"/>
      <c r="O93" s="136">
        <f t="shared" si="8"/>
        <v>0</v>
      </c>
      <c r="P93" s="85"/>
      <c r="R93" s="53"/>
      <c r="S93" s="53"/>
      <c r="T93" s="53"/>
    </row>
    <row r="94" spans="1:20" x14ac:dyDescent="0.25">
      <c r="A94" s="76">
        <v>2222</v>
      </c>
      <c r="B94" s="127" t="s">
        <v>110</v>
      </c>
      <c r="C94" s="128">
        <f t="shared" si="4"/>
        <v>7210</v>
      </c>
      <c r="D94" s="134">
        <v>4434</v>
      </c>
      <c r="E94" s="283"/>
      <c r="F94" s="279">
        <f t="shared" si="5"/>
        <v>4434</v>
      </c>
      <c r="G94" s="134"/>
      <c r="H94" s="135"/>
      <c r="I94" s="136">
        <f t="shared" si="6"/>
        <v>0</v>
      </c>
      <c r="J94" s="134">
        <v>2776</v>
      </c>
      <c r="K94" s="135"/>
      <c r="L94" s="136">
        <f t="shared" si="7"/>
        <v>2776</v>
      </c>
      <c r="M94" s="284"/>
      <c r="N94" s="285"/>
      <c r="O94" s="136">
        <f t="shared" si="8"/>
        <v>0</v>
      </c>
      <c r="P94" s="85"/>
      <c r="R94" s="53"/>
      <c r="S94" s="53"/>
      <c r="T94" s="53"/>
    </row>
    <row r="95" spans="1:20" x14ac:dyDescent="0.25">
      <c r="A95" s="76">
        <v>2223</v>
      </c>
      <c r="B95" s="127" t="s">
        <v>111</v>
      </c>
      <c r="C95" s="128">
        <f t="shared" si="4"/>
        <v>21111</v>
      </c>
      <c r="D95" s="134">
        <v>10807</v>
      </c>
      <c r="E95" s="283"/>
      <c r="F95" s="279">
        <f t="shared" si="5"/>
        <v>10807</v>
      </c>
      <c r="G95" s="134"/>
      <c r="H95" s="135"/>
      <c r="I95" s="136">
        <f t="shared" si="6"/>
        <v>0</v>
      </c>
      <c r="J95" s="134">
        <v>10304</v>
      </c>
      <c r="K95" s="135"/>
      <c r="L95" s="136">
        <f t="shared" si="7"/>
        <v>10304</v>
      </c>
      <c r="M95" s="284"/>
      <c r="N95" s="285"/>
      <c r="O95" s="136">
        <f t="shared" si="8"/>
        <v>0</v>
      </c>
      <c r="P95" s="85"/>
      <c r="R95" s="53"/>
      <c r="S95" s="53"/>
      <c r="T95" s="53"/>
    </row>
    <row r="96" spans="1:20" ht="48" x14ac:dyDescent="0.25">
      <c r="A96" s="76">
        <v>2224</v>
      </c>
      <c r="B96" s="127" t="s">
        <v>112</v>
      </c>
      <c r="C96" s="128">
        <f t="shared" si="4"/>
        <v>655</v>
      </c>
      <c r="D96" s="134">
        <v>655</v>
      </c>
      <c r="E96" s="283"/>
      <c r="F96" s="279">
        <f t="shared" si="5"/>
        <v>655</v>
      </c>
      <c r="G96" s="134"/>
      <c r="H96" s="135"/>
      <c r="I96" s="136">
        <f t="shared" si="6"/>
        <v>0</v>
      </c>
      <c r="J96" s="134"/>
      <c r="K96" s="135"/>
      <c r="L96" s="136">
        <f t="shared" si="7"/>
        <v>0</v>
      </c>
      <c r="M96" s="284"/>
      <c r="N96" s="285"/>
      <c r="O96" s="136">
        <f t="shared" si="8"/>
        <v>0</v>
      </c>
      <c r="P96" s="85"/>
      <c r="R96" s="53"/>
      <c r="S96" s="53"/>
      <c r="T96" s="53"/>
    </row>
    <row r="97" spans="1:20" ht="24" hidden="1" x14ac:dyDescent="0.25">
      <c r="A97" s="76">
        <v>2229</v>
      </c>
      <c r="B97" s="127" t="s">
        <v>113</v>
      </c>
      <c r="C97" s="128">
        <f t="shared" si="4"/>
        <v>0</v>
      </c>
      <c r="D97" s="134"/>
      <c r="E97" s="285"/>
      <c r="F97" s="286">
        <f t="shared" si="5"/>
        <v>0</v>
      </c>
      <c r="G97" s="134"/>
      <c r="H97" s="135"/>
      <c r="I97" s="136">
        <f t="shared" si="6"/>
        <v>0</v>
      </c>
      <c r="J97" s="134"/>
      <c r="K97" s="135"/>
      <c r="L97" s="136">
        <f t="shared" si="7"/>
        <v>0</v>
      </c>
      <c r="M97" s="284"/>
      <c r="N97" s="285"/>
      <c r="O97" s="136">
        <f t="shared" si="8"/>
        <v>0</v>
      </c>
      <c r="P97" s="85"/>
      <c r="R97" s="53"/>
      <c r="S97" s="53"/>
      <c r="T97" s="53"/>
    </row>
    <row r="98" spans="1:20" ht="36" x14ac:dyDescent="0.25">
      <c r="A98" s="276">
        <v>2230</v>
      </c>
      <c r="B98" s="127" t="s">
        <v>114</v>
      </c>
      <c r="C98" s="128">
        <f t="shared" si="4"/>
        <v>1546</v>
      </c>
      <c r="D98" s="277">
        <f>SUM(D99:D105)</f>
        <v>1546</v>
      </c>
      <c r="E98" s="278">
        <f>SUM(E99:E105)</f>
        <v>0</v>
      </c>
      <c r="F98" s="279">
        <f t="shared" si="5"/>
        <v>1546</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c r="R98" s="53"/>
      <c r="S98" s="53"/>
      <c r="T98" s="53"/>
    </row>
    <row r="99" spans="1:20" ht="24" hidden="1" x14ac:dyDescent="0.25">
      <c r="A99" s="76">
        <v>2231</v>
      </c>
      <c r="B99" s="127" t="s">
        <v>115</v>
      </c>
      <c r="C99" s="128">
        <f t="shared" si="4"/>
        <v>0</v>
      </c>
      <c r="D99" s="134"/>
      <c r="E99" s="285"/>
      <c r="F99" s="286">
        <f t="shared" si="5"/>
        <v>0</v>
      </c>
      <c r="G99" s="134"/>
      <c r="H99" s="135"/>
      <c r="I99" s="136">
        <f t="shared" si="6"/>
        <v>0</v>
      </c>
      <c r="J99" s="134"/>
      <c r="K99" s="135"/>
      <c r="L99" s="136">
        <f t="shared" si="7"/>
        <v>0</v>
      </c>
      <c r="M99" s="284"/>
      <c r="N99" s="285"/>
      <c r="O99" s="136">
        <f t="shared" si="8"/>
        <v>0</v>
      </c>
      <c r="P99" s="85"/>
      <c r="R99" s="53"/>
      <c r="S99" s="53"/>
      <c r="T99" s="53"/>
    </row>
    <row r="100" spans="1:20" ht="36" hidden="1" x14ac:dyDescent="0.25">
      <c r="A100" s="76">
        <v>2232</v>
      </c>
      <c r="B100" s="127" t="s">
        <v>116</v>
      </c>
      <c r="C100" s="128">
        <f t="shared" si="4"/>
        <v>0</v>
      </c>
      <c r="D100" s="134"/>
      <c r="E100" s="285"/>
      <c r="F100" s="286">
        <f t="shared" si="5"/>
        <v>0</v>
      </c>
      <c r="G100" s="134"/>
      <c r="H100" s="135"/>
      <c r="I100" s="136">
        <f t="shared" si="6"/>
        <v>0</v>
      </c>
      <c r="J100" s="134"/>
      <c r="K100" s="135"/>
      <c r="L100" s="136">
        <f t="shared" si="7"/>
        <v>0</v>
      </c>
      <c r="M100" s="284"/>
      <c r="N100" s="285"/>
      <c r="O100" s="136">
        <f t="shared" si="8"/>
        <v>0</v>
      </c>
      <c r="P100" s="85"/>
      <c r="R100" s="53"/>
      <c r="S100" s="53"/>
      <c r="T100" s="53"/>
    </row>
    <row r="101" spans="1:20" ht="24" hidden="1" x14ac:dyDescent="0.25">
      <c r="A101" s="66">
        <v>2233</v>
      </c>
      <c r="B101" s="116" t="s">
        <v>117</v>
      </c>
      <c r="C101" s="128">
        <f t="shared" si="4"/>
        <v>0</v>
      </c>
      <c r="D101" s="123"/>
      <c r="E101" s="262"/>
      <c r="F101" s="263">
        <f t="shared" si="5"/>
        <v>0</v>
      </c>
      <c r="G101" s="123"/>
      <c r="H101" s="124"/>
      <c r="I101" s="125">
        <f t="shared" si="6"/>
        <v>0</v>
      </c>
      <c r="J101" s="123"/>
      <c r="K101" s="124"/>
      <c r="L101" s="125">
        <f t="shared" si="7"/>
        <v>0</v>
      </c>
      <c r="M101" s="264"/>
      <c r="N101" s="262"/>
      <c r="O101" s="125">
        <f t="shared" si="8"/>
        <v>0</v>
      </c>
      <c r="P101" s="74"/>
      <c r="R101" s="53"/>
      <c r="S101" s="53"/>
      <c r="T101" s="53"/>
    </row>
    <row r="102" spans="1:20" ht="36" hidden="1" x14ac:dyDescent="0.25">
      <c r="A102" s="76">
        <v>2234</v>
      </c>
      <c r="B102" s="127" t="s">
        <v>118</v>
      </c>
      <c r="C102" s="128">
        <f t="shared" si="4"/>
        <v>0</v>
      </c>
      <c r="D102" s="134"/>
      <c r="E102" s="285"/>
      <c r="F102" s="286">
        <f t="shared" si="5"/>
        <v>0</v>
      </c>
      <c r="G102" s="134"/>
      <c r="H102" s="135"/>
      <c r="I102" s="136">
        <f t="shared" si="6"/>
        <v>0</v>
      </c>
      <c r="J102" s="134"/>
      <c r="K102" s="135"/>
      <c r="L102" s="136">
        <f t="shared" si="7"/>
        <v>0</v>
      </c>
      <c r="M102" s="284"/>
      <c r="N102" s="285"/>
      <c r="O102" s="136">
        <f t="shared" si="8"/>
        <v>0</v>
      </c>
      <c r="P102" s="85"/>
      <c r="R102" s="53"/>
      <c r="S102" s="53"/>
      <c r="T102" s="53"/>
    </row>
    <row r="103" spans="1:20" ht="24" hidden="1" x14ac:dyDescent="0.25">
      <c r="A103" s="76">
        <v>2235</v>
      </c>
      <c r="B103" s="127" t="s">
        <v>119</v>
      </c>
      <c r="C103" s="128">
        <f t="shared" si="4"/>
        <v>0</v>
      </c>
      <c r="D103" s="134"/>
      <c r="E103" s="285"/>
      <c r="F103" s="286">
        <f t="shared" si="5"/>
        <v>0</v>
      </c>
      <c r="G103" s="134"/>
      <c r="H103" s="135"/>
      <c r="I103" s="136">
        <f t="shared" si="6"/>
        <v>0</v>
      </c>
      <c r="J103" s="134"/>
      <c r="K103" s="135"/>
      <c r="L103" s="136">
        <f t="shared" si="7"/>
        <v>0</v>
      </c>
      <c r="M103" s="284"/>
      <c r="N103" s="285"/>
      <c r="O103" s="136">
        <f t="shared" si="8"/>
        <v>0</v>
      </c>
      <c r="P103" s="85"/>
      <c r="R103" s="53"/>
      <c r="S103" s="53"/>
      <c r="T103" s="53"/>
    </row>
    <row r="104" spans="1:20" hidden="1" x14ac:dyDescent="0.25">
      <c r="A104" s="76">
        <v>2236</v>
      </c>
      <c r="B104" s="127" t="s">
        <v>120</v>
      </c>
      <c r="C104" s="128">
        <f t="shared" si="4"/>
        <v>0</v>
      </c>
      <c r="D104" s="134"/>
      <c r="E104" s="285"/>
      <c r="F104" s="286">
        <f t="shared" si="5"/>
        <v>0</v>
      </c>
      <c r="G104" s="134"/>
      <c r="H104" s="135"/>
      <c r="I104" s="136">
        <f t="shared" si="6"/>
        <v>0</v>
      </c>
      <c r="J104" s="134"/>
      <c r="K104" s="135"/>
      <c r="L104" s="136">
        <f t="shared" si="7"/>
        <v>0</v>
      </c>
      <c r="M104" s="284"/>
      <c r="N104" s="285"/>
      <c r="O104" s="136">
        <f t="shared" si="8"/>
        <v>0</v>
      </c>
      <c r="P104" s="85"/>
      <c r="R104" s="53"/>
      <c r="S104" s="53"/>
      <c r="T104" s="53"/>
    </row>
    <row r="105" spans="1:20" ht="24" x14ac:dyDescent="0.25">
      <c r="A105" s="76">
        <v>2239</v>
      </c>
      <c r="B105" s="127" t="s">
        <v>121</v>
      </c>
      <c r="C105" s="128">
        <f t="shared" si="4"/>
        <v>1546</v>
      </c>
      <c r="D105" s="134">
        <v>1546</v>
      </c>
      <c r="E105" s="283"/>
      <c r="F105" s="279">
        <f t="shared" si="5"/>
        <v>1546</v>
      </c>
      <c r="G105" s="134"/>
      <c r="H105" s="135"/>
      <c r="I105" s="136">
        <f t="shared" si="6"/>
        <v>0</v>
      </c>
      <c r="J105" s="134"/>
      <c r="K105" s="135"/>
      <c r="L105" s="136">
        <f t="shared" si="7"/>
        <v>0</v>
      </c>
      <c r="M105" s="284"/>
      <c r="N105" s="285"/>
      <c r="O105" s="136">
        <f t="shared" si="8"/>
        <v>0</v>
      </c>
      <c r="P105" s="85"/>
      <c r="R105" s="53"/>
      <c r="S105" s="53"/>
      <c r="T105" s="53"/>
    </row>
    <row r="106" spans="1:20" ht="36" x14ac:dyDescent="0.25">
      <c r="A106" s="276">
        <v>2240</v>
      </c>
      <c r="B106" s="127" t="s">
        <v>122</v>
      </c>
      <c r="C106" s="128">
        <f t="shared" si="4"/>
        <v>7304</v>
      </c>
      <c r="D106" s="277">
        <f>SUM(D107:D114)</f>
        <v>7096</v>
      </c>
      <c r="E106" s="278">
        <f>SUM(E107:E114)</f>
        <v>0</v>
      </c>
      <c r="F106" s="279">
        <f t="shared" si="5"/>
        <v>7096</v>
      </c>
      <c r="G106" s="277">
        <f>SUM(G107:G114)</f>
        <v>0</v>
      </c>
      <c r="H106" s="280">
        <f>SUM(H107:H114)</f>
        <v>0</v>
      </c>
      <c r="I106" s="136">
        <f t="shared" si="6"/>
        <v>0</v>
      </c>
      <c r="J106" s="277">
        <f>SUM(J107:J114)</f>
        <v>208</v>
      </c>
      <c r="K106" s="280">
        <f>SUM(K107:K114)</f>
        <v>0</v>
      </c>
      <c r="L106" s="136">
        <f t="shared" si="7"/>
        <v>208</v>
      </c>
      <c r="M106" s="281">
        <f>SUM(M107:M114)</f>
        <v>0</v>
      </c>
      <c r="N106" s="282">
        <f>SUM(N107:N114)</f>
        <v>0</v>
      </c>
      <c r="O106" s="136">
        <f t="shared" si="8"/>
        <v>0</v>
      </c>
      <c r="P106" s="85"/>
      <c r="R106" s="53"/>
      <c r="S106" s="53"/>
      <c r="T106" s="53"/>
    </row>
    <row r="107" spans="1:20" hidden="1" x14ac:dyDescent="0.25">
      <c r="A107" s="76">
        <v>2241</v>
      </c>
      <c r="B107" s="127" t="s">
        <v>123</v>
      </c>
      <c r="C107" s="128">
        <f t="shared" si="4"/>
        <v>0</v>
      </c>
      <c r="D107" s="134"/>
      <c r="E107" s="285"/>
      <c r="F107" s="286">
        <f t="shared" si="5"/>
        <v>0</v>
      </c>
      <c r="G107" s="134"/>
      <c r="H107" s="135"/>
      <c r="I107" s="136">
        <f t="shared" si="6"/>
        <v>0</v>
      </c>
      <c r="J107" s="134"/>
      <c r="K107" s="135"/>
      <c r="L107" s="136">
        <f t="shared" si="7"/>
        <v>0</v>
      </c>
      <c r="M107" s="284"/>
      <c r="N107" s="285"/>
      <c r="O107" s="136">
        <f t="shared" si="8"/>
        <v>0</v>
      </c>
      <c r="P107" s="85"/>
      <c r="R107" s="53"/>
      <c r="S107" s="53"/>
      <c r="T107" s="53"/>
    </row>
    <row r="108" spans="1:20" ht="24" hidden="1" x14ac:dyDescent="0.25">
      <c r="A108" s="76">
        <v>2242</v>
      </c>
      <c r="B108" s="127" t="s">
        <v>124</v>
      </c>
      <c r="C108" s="128">
        <f t="shared" si="4"/>
        <v>0</v>
      </c>
      <c r="D108" s="134"/>
      <c r="E108" s="285"/>
      <c r="F108" s="286">
        <f t="shared" si="5"/>
        <v>0</v>
      </c>
      <c r="G108" s="134"/>
      <c r="H108" s="135"/>
      <c r="I108" s="136">
        <f t="shared" si="6"/>
        <v>0</v>
      </c>
      <c r="J108" s="134"/>
      <c r="K108" s="135"/>
      <c r="L108" s="136">
        <f t="shared" si="7"/>
        <v>0</v>
      </c>
      <c r="M108" s="284"/>
      <c r="N108" s="285"/>
      <c r="O108" s="136">
        <f t="shared" si="8"/>
        <v>0</v>
      </c>
      <c r="P108" s="85"/>
      <c r="R108" s="53"/>
      <c r="S108" s="53"/>
      <c r="T108" s="53"/>
    </row>
    <row r="109" spans="1:20" ht="24" x14ac:dyDescent="0.25">
      <c r="A109" s="76">
        <v>2243</v>
      </c>
      <c r="B109" s="127" t="s">
        <v>125</v>
      </c>
      <c r="C109" s="128">
        <f t="shared" si="4"/>
        <v>988</v>
      </c>
      <c r="D109" s="134">
        <v>988</v>
      </c>
      <c r="E109" s="283"/>
      <c r="F109" s="279">
        <f t="shared" si="5"/>
        <v>988</v>
      </c>
      <c r="G109" s="134"/>
      <c r="H109" s="135"/>
      <c r="I109" s="136">
        <f t="shared" si="6"/>
        <v>0</v>
      </c>
      <c r="J109" s="134"/>
      <c r="K109" s="135"/>
      <c r="L109" s="136">
        <f t="shared" si="7"/>
        <v>0</v>
      </c>
      <c r="M109" s="284"/>
      <c r="N109" s="285"/>
      <c r="O109" s="136">
        <f t="shared" si="8"/>
        <v>0</v>
      </c>
      <c r="P109" s="85"/>
      <c r="R109" s="53"/>
      <c r="S109" s="53"/>
      <c r="T109" s="53"/>
    </row>
    <row r="110" spans="1:20" x14ac:dyDescent="0.25">
      <c r="A110" s="76">
        <v>2244</v>
      </c>
      <c r="B110" s="127" t="s">
        <v>126</v>
      </c>
      <c r="C110" s="128">
        <f t="shared" si="4"/>
        <v>5544</v>
      </c>
      <c r="D110" s="134">
        <v>5544</v>
      </c>
      <c r="E110" s="283"/>
      <c r="F110" s="279">
        <f t="shared" si="5"/>
        <v>5544</v>
      </c>
      <c r="G110" s="134"/>
      <c r="H110" s="135"/>
      <c r="I110" s="136">
        <f t="shared" si="6"/>
        <v>0</v>
      </c>
      <c r="J110" s="134"/>
      <c r="K110" s="135"/>
      <c r="L110" s="136">
        <f t="shared" si="7"/>
        <v>0</v>
      </c>
      <c r="M110" s="284"/>
      <c r="N110" s="285"/>
      <c r="O110" s="136">
        <f t="shared" si="8"/>
        <v>0</v>
      </c>
      <c r="P110" s="85"/>
      <c r="R110" s="53"/>
      <c r="S110" s="53"/>
      <c r="T110" s="53"/>
    </row>
    <row r="111" spans="1:20" ht="24" hidden="1" x14ac:dyDescent="0.25">
      <c r="A111" s="76">
        <v>2246</v>
      </c>
      <c r="B111" s="127" t="s">
        <v>127</v>
      </c>
      <c r="C111" s="128">
        <f t="shared" si="4"/>
        <v>0</v>
      </c>
      <c r="D111" s="134"/>
      <c r="E111" s="285"/>
      <c r="F111" s="286">
        <f t="shared" si="5"/>
        <v>0</v>
      </c>
      <c r="G111" s="134"/>
      <c r="H111" s="135"/>
      <c r="I111" s="136">
        <f t="shared" si="6"/>
        <v>0</v>
      </c>
      <c r="J111" s="134"/>
      <c r="K111" s="135"/>
      <c r="L111" s="136">
        <f t="shared" si="7"/>
        <v>0</v>
      </c>
      <c r="M111" s="284"/>
      <c r="N111" s="285"/>
      <c r="O111" s="136">
        <f t="shared" si="8"/>
        <v>0</v>
      </c>
      <c r="P111" s="85"/>
      <c r="R111" s="53"/>
      <c r="S111" s="53"/>
      <c r="T111" s="53"/>
    </row>
    <row r="112" spans="1:20" hidden="1" x14ac:dyDescent="0.25">
      <c r="A112" s="76">
        <v>2247</v>
      </c>
      <c r="B112" s="127" t="s">
        <v>128</v>
      </c>
      <c r="C112" s="128">
        <f t="shared" si="4"/>
        <v>0</v>
      </c>
      <c r="D112" s="134"/>
      <c r="E112" s="285"/>
      <c r="F112" s="286">
        <f t="shared" si="5"/>
        <v>0</v>
      </c>
      <c r="G112" s="134"/>
      <c r="H112" s="135"/>
      <c r="I112" s="136">
        <f t="shared" si="6"/>
        <v>0</v>
      </c>
      <c r="J112" s="134"/>
      <c r="K112" s="135"/>
      <c r="L112" s="136">
        <f t="shared" si="7"/>
        <v>0</v>
      </c>
      <c r="M112" s="284"/>
      <c r="N112" s="285"/>
      <c r="O112" s="136">
        <f t="shared" si="8"/>
        <v>0</v>
      </c>
      <c r="P112" s="85"/>
      <c r="R112" s="53"/>
      <c r="S112" s="53"/>
      <c r="T112" s="53"/>
    </row>
    <row r="113" spans="1:20" ht="24" hidden="1" x14ac:dyDescent="0.25">
      <c r="A113" s="76">
        <v>2248</v>
      </c>
      <c r="B113" s="127" t="s">
        <v>129</v>
      </c>
      <c r="C113" s="128">
        <f t="shared" si="4"/>
        <v>0</v>
      </c>
      <c r="D113" s="134"/>
      <c r="E113" s="285"/>
      <c r="F113" s="286">
        <f t="shared" si="5"/>
        <v>0</v>
      </c>
      <c r="G113" s="134"/>
      <c r="H113" s="135"/>
      <c r="I113" s="136">
        <f t="shared" si="6"/>
        <v>0</v>
      </c>
      <c r="J113" s="134"/>
      <c r="K113" s="135"/>
      <c r="L113" s="136">
        <f t="shared" si="7"/>
        <v>0</v>
      </c>
      <c r="M113" s="284"/>
      <c r="N113" s="285"/>
      <c r="O113" s="136">
        <f t="shared" si="8"/>
        <v>0</v>
      </c>
      <c r="P113" s="85"/>
      <c r="R113" s="53"/>
      <c r="S113" s="53"/>
      <c r="T113" s="53"/>
    </row>
    <row r="114" spans="1:20" ht="24" x14ac:dyDescent="0.25">
      <c r="A114" s="76">
        <v>2249</v>
      </c>
      <c r="B114" s="127" t="s">
        <v>130</v>
      </c>
      <c r="C114" s="128">
        <f t="shared" si="4"/>
        <v>772</v>
      </c>
      <c r="D114" s="134">
        <v>564</v>
      </c>
      <c r="E114" s="283"/>
      <c r="F114" s="279">
        <f t="shared" si="5"/>
        <v>564</v>
      </c>
      <c r="G114" s="134"/>
      <c r="H114" s="135"/>
      <c r="I114" s="136">
        <f t="shared" si="6"/>
        <v>0</v>
      </c>
      <c r="J114" s="134">
        <v>208</v>
      </c>
      <c r="K114" s="135"/>
      <c r="L114" s="136">
        <f t="shared" si="7"/>
        <v>208</v>
      </c>
      <c r="M114" s="284"/>
      <c r="N114" s="285"/>
      <c r="O114" s="136">
        <f t="shared" si="8"/>
        <v>0</v>
      </c>
      <c r="P114" s="85"/>
      <c r="R114" s="53"/>
      <c r="S114" s="53"/>
      <c r="T114" s="53"/>
    </row>
    <row r="115" spans="1:20" x14ac:dyDescent="0.25">
      <c r="A115" s="276">
        <v>2250</v>
      </c>
      <c r="B115" s="127" t="s">
        <v>131</v>
      </c>
      <c r="C115" s="128">
        <f t="shared" si="4"/>
        <v>414</v>
      </c>
      <c r="D115" s="277">
        <f>SUM(D116:D118)</f>
        <v>414</v>
      </c>
      <c r="E115" s="278">
        <f>SUM(E116:E118)</f>
        <v>0</v>
      </c>
      <c r="F115" s="279">
        <f t="shared" si="5"/>
        <v>414</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c r="R115" s="53"/>
      <c r="S115" s="53"/>
      <c r="T115" s="53"/>
    </row>
    <row r="116" spans="1:20" hidden="1" x14ac:dyDescent="0.25">
      <c r="A116" s="76">
        <v>2251</v>
      </c>
      <c r="B116" s="127" t="s">
        <v>132</v>
      </c>
      <c r="C116" s="128">
        <f t="shared" si="4"/>
        <v>0</v>
      </c>
      <c r="D116" s="134"/>
      <c r="E116" s="285"/>
      <c r="F116" s="286">
        <f t="shared" si="5"/>
        <v>0</v>
      </c>
      <c r="G116" s="134"/>
      <c r="H116" s="135"/>
      <c r="I116" s="136">
        <f t="shared" si="6"/>
        <v>0</v>
      </c>
      <c r="J116" s="134"/>
      <c r="K116" s="135"/>
      <c r="L116" s="136">
        <f t="shared" si="7"/>
        <v>0</v>
      </c>
      <c r="M116" s="284"/>
      <c r="N116" s="285"/>
      <c r="O116" s="136">
        <f t="shared" si="8"/>
        <v>0</v>
      </c>
      <c r="P116" s="85"/>
      <c r="R116" s="53"/>
      <c r="S116" s="53"/>
      <c r="T116" s="53"/>
    </row>
    <row r="117" spans="1:20" ht="24" hidden="1" x14ac:dyDescent="0.25">
      <c r="A117" s="76">
        <v>2252</v>
      </c>
      <c r="B117" s="127" t="s">
        <v>133</v>
      </c>
      <c r="C117" s="128">
        <f t="shared" ref="C117:C181" si="9">F117+I117+L117+O117</f>
        <v>0</v>
      </c>
      <c r="D117" s="134"/>
      <c r="E117" s="285"/>
      <c r="F117" s="286">
        <f t="shared" si="5"/>
        <v>0</v>
      </c>
      <c r="G117" s="134"/>
      <c r="H117" s="135"/>
      <c r="I117" s="136">
        <f t="shared" si="6"/>
        <v>0</v>
      </c>
      <c r="J117" s="134"/>
      <c r="K117" s="135"/>
      <c r="L117" s="136">
        <f t="shared" si="7"/>
        <v>0</v>
      </c>
      <c r="M117" s="284"/>
      <c r="N117" s="285"/>
      <c r="O117" s="136">
        <f t="shared" si="8"/>
        <v>0</v>
      </c>
      <c r="P117" s="85"/>
      <c r="R117" s="53"/>
      <c r="S117" s="53"/>
      <c r="T117" s="53"/>
    </row>
    <row r="118" spans="1:20" ht="24" x14ac:dyDescent="0.25">
      <c r="A118" s="76">
        <v>2259</v>
      </c>
      <c r="B118" s="127" t="s">
        <v>134</v>
      </c>
      <c r="C118" s="128">
        <f t="shared" si="9"/>
        <v>414</v>
      </c>
      <c r="D118" s="134">
        <v>414</v>
      </c>
      <c r="E118" s="283"/>
      <c r="F118" s="279">
        <f t="shared" ref="F118:F182" si="10">D118+E118</f>
        <v>414</v>
      </c>
      <c r="G118" s="134"/>
      <c r="H118" s="135"/>
      <c r="I118" s="136">
        <f t="shared" ref="I118:I182" si="11">G118+H118</f>
        <v>0</v>
      </c>
      <c r="J118" s="134"/>
      <c r="K118" s="135"/>
      <c r="L118" s="136">
        <f t="shared" ref="L118:L182" si="12">J118+K118</f>
        <v>0</v>
      </c>
      <c r="M118" s="284"/>
      <c r="N118" s="285"/>
      <c r="O118" s="136">
        <f t="shared" ref="O118:O182" si="13">M118+N118</f>
        <v>0</v>
      </c>
      <c r="P118" s="85"/>
      <c r="R118" s="53"/>
      <c r="S118" s="53"/>
      <c r="T118" s="53"/>
    </row>
    <row r="119" spans="1:20" x14ac:dyDescent="0.25">
      <c r="A119" s="276">
        <v>2260</v>
      </c>
      <c r="B119" s="127" t="s">
        <v>135</v>
      </c>
      <c r="C119" s="128">
        <f t="shared" si="9"/>
        <v>3138</v>
      </c>
      <c r="D119" s="277">
        <f>SUM(D120:D124)</f>
        <v>3138</v>
      </c>
      <c r="E119" s="278">
        <f>SUM(E120:E124)</f>
        <v>0</v>
      </c>
      <c r="F119" s="279">
        <f t="shared" si="10"/>
        <v>3138</v>
      </c>
      <c r="G119" s="277">
        <f>SUM(G120:G124)</f>
        <v>0</v>
      </c>
      <c r="H119" s="280">
        <f>SUM(H120:H124)</f>
        <v>0</v>
      </c>
      <c r="I119" s="136">
        <f t="shared" si="11"/>
        <v>0</v>
      </c>
      <c r="J119" s="277">
        <f>SUM(J120:J124)</f>
        <v>0</v>
      </c>
      <c r="K119" s="280">
        <f>SUM(K120:K124)</f>
        <v>0</v>
      </c>
      <c r="L119" s="136">
        <f t="shared" si="12"/>
        <v>0</v>
      </c>
      <c r="M119" s="281">
        <f>SUM(M120:M124)</f>
        <v>0</v>
      </c>
      <c r="N119" s="282">
        <f>SUM(N120:N124)</f>
        <v>0</v>
      </c>
      <c r="O119" s="136">
        <f t="shared" si="13"/>
        <v>0</v>
      </c>
      <c r="P119" s="85"/>
      <c r="R119" s="53"/>
      <c r="S119" s="53"/>
      <c r="T119" s="53"/>
    </row>
    <row r="120" spans="1:20" x14ac:dyDescent="0.25">
      <c r="A120" s="76">
        <v>2261</v>
      </c>
      <c r="B120" s="127" t="s">
        <v>136</v>
      </c>
      <c r="C120" s="128">
        <f t="shared" si="9"/>
        <v>1200</v>
      </c>
      <c r="D120" s="134">
        <v>1200</v>
      </c>
      <c r="E120" s="283"/>
      <c r="F120" s="279">
        <f t="shared" si="10"/>
        <v>1200</v>
      </c>
      <c r="G120" s="134"/>
      <c r="H120" s="135"/>
      <c r="I120" s="136">
        <f t="shared" si="11"/>
        <v>0</v>
      </c>
      <c r="J120" s="134"/>
      <c r="K120" s="135"/>
      <c r="L120" s="136">
        <f t="shared" si="12"/>
        <v>0</v>
      </c>
      <c r="M120" s="284"/>
      <c r="N120" s="285"/>
      <c r="O120" s="136">
        <f t="shared" si="13"/>
        <v>0</v>
      </c>
      <c r="P120" s="85"/>
      <c r="R120" s="53"/>
      <c r="S120" s="53"/>
      <c r="T120" s="53"/>
    </row>
    <row r="121" spans="1:20" x14ac:dyDescent="0.25">
      <c r="A121" s="76">
        <v>2262</v>
      </c>
      <c r="B121" s="127" t="s">
        <v>137</v>
      </c>
      <c r="C121" s="128">
        <f t="shared" si="9"/>
        <v>1891</v>
      </c>
      <c r="D121" s="134">
        <v>1891</v>
      </c>
      <c r="E121" s="283"/>
      <c r="F121" s="279">
        <f t="shared" si="10"/>
        <v>1891</v>
      </c>
      <c r="G121" s="134"/>
      <c r="H121" s="135"/>
      <c r="I121" s="136">
        <f t="shared" si="11"/>
        <v>0</v>
      </c>
      <c r="J121" s="134"/>
      <c r="K121" s="135"/>
      <c r="L121" s="136">
        <f t="shared" si="12"/>
        <v>0</v>
      </c>
      <c r="M121" s="284"/>
      <c r="N121" s="285"/>
      <c r="O121" s="136">
        <f t="shared" si="13"/>
        <v>0</v>
      </c>
      <c r="P121" s="85"/>
      <c r="R121" s="53"/>
      <c r="S121" s="53"/>
      <c r="T121" s="53"/>
    </row>
    <row r="122" spans="1:20" hidden="1" x14ac:dyDescent="0.25">
      <c r="A122" s="76">
        <v>2263</v>
      </c>
      <c r="B122" s="127" t="s">
        <v>138</v>
      </c>
      <c r="C122" s="128">
        <f t="shared" si="9"/>
        <v>0</v>
      </c>
      <c r="D122" s="134"/>
      <c r="E122" s="285"/>
      <c r="F122" s="286">
        <f t="shared" si="10"/>
        <v>0</v>
      </c>
      <c r="G122" s="134"/>
      <c r="H122" s="135"/>
      <c r="I122" s="136">
        <f t="shared" si="11"/>
        <v>0</v>
      </c>
      <c r="J122" s="134"/>
      <c r="K122" s="135"/>
      <c r="L122" s="136">
        <f t="shared" si="12"/>
        <v>0</v>
      </c>
      <c r="M122" s="284"/>
      <c r="N122" s="285"/>
      <c r="O122" s="136">
        <f t="shared" si="13"/>
        <v>0</v>
      </c>
      <c r="P122" s="85"/>
      <c r="R122" s="53"/>
      <c r="S122" s="53"/>
      <c r="T122" s="53"/>
    </row>
    <row r="123" spans="1:20" ht="24" hidden="1" x14ac:dyDescent="0.25">
      <c r="A123" s="76">
        <v>2264</v>
      </c>
      <c r="B123" s="127" t="s">
        <v>139</v>
      </c>
      <c r="C123" s="128">
        <f t="shared" si="9"/>
        <v>0</v>
      </c>
      <c r="D123" s="134"/>
      <c r="E123" s="285"/>
      <c r="F123" s="286">
        <f t="shared" si="10"/>
        <v>0</v>
      </c>
      <c r="G123" s="134"/>
      <c r="H123" s="135"/>
      <c r="I123" s="136">
        <f t="shared" si="11"/>
        <v>0</v>
      </c>
      <c r="J123" s="134"/>
      <c r="K123" s="135"/>
      <c r="L123" s="136">
        <f t="shared" si="12"/>
        <v>0</v>
      </c>
      <c r="M123" s="284"/>
      <c r="N123" s="285"/>
      <c r="O123" s="136">
        <f t="shared" si="13"/>
        <v>0</v>
      </c>
      <c r="P123" s="85"/>
      <c r="R123" s="53"/>
      <c r="S123" s="53"/>
      <c r="T123" s="53"/>
    </row>
    <row r="124" spans="1:20" x14ac:dyDescent="0.25">
      <c r="A124" s="76">
        <v>2269</v>
      </c>
      <c r="B124" s="127" t="s">
        <v>140</v>
      </c>
      <c r="C124" s="128">
        <f t="shared" si="9"/>
        <v>47</v>
      </c>
      <c r="D124" s="134">
        <v>47</v>
      </c>
      <c r="E124" s="283"/>
      <c r="F124" s="279">
        <f t="shared" si="10"/>
        <v>47</v>
      </c>
      <c r="G124" s="134"/>
      <c r="H124" s="135"/>
      <c r="I124" s="136">
        <f t="shared" si="11"/>
        <v>0</v>
      </c>
      <c r="J124" s="134"/>
      <c r="K124" s="135"/>
      <c r="L124" s="136">
        <f t="shared" si="12"/>
        <v>0</v>
      </c>
      <c r="M124" s="284"/>
      <c r="N124" s="285"/>
      <c r="O124" s="136">
        <f t="shared" si="13"/>
        <v>0</v>
      </c>
      <c r="P124" s="85"/>
      <c r="R124" s="53"/>
      <c r="S124" s="53"/>
      <c r="T124" s="53"/>
    </row>
    <row r="125" spans="1:20" x14ac:dyDescent="0.25">
      <c r="A125" s="276">
        <v>2270</v>
      </c>
      <c r="B125" s="127" t="s">
        <v>141</v>
      </c>
      <c r="C125" s="128">
        <f t="shared" si="9"/>
        <v>359</v>
      </c>
      <c r="D125" s="277">
        <f>SUM(D126:D130)</f>
        <v>359</v>
      </c>
      <c r="E125" s="278">
        <f>SUM(E126:E130)</f>
        <v>0</v>
      </c>
      <c r="F125" s="279">
        <f t="shared" si="10"/>
        <v>359</v>
      </c>
      <c r="G125" s="277">
        <f>SUM(G126:G130)</f>
        <v>0</v>
      </c>
      <c r="H125" s="280">
        <f>SUM(H126:H130)</f>
        <v>0</v>
      </c>
      <c r="I125" s="136">
        <f t="shared" si="11"/>
        <v>0</v>
      </c>
      <c r="J125" s="277">
        <f>SUM(J126:J130)</f>
        <v>0</v>
      </c>
      <c r="K125" s="280">
        <f>SUM(K126:K130)</f>
        <v>0</v>
      </c>
      <c r="L125" s="136">
        <f t="shared" si="12"/>
        <v>0</v>
      </c>
      <c r="M125" s="281">
        <f>SUM(M126:M130)</f>
        <v>0</v>
      </c>
      <c r="N125" s="282">
        <f>SUM(N126:N130)</f>
        <v>0</v>
      </c>
      <c r="O125" s="136">
        <f t="shared" si="13"/>
        <v>0</v>
      </c>
      <c r="P125" s="85"/>
      <c r="R125" s="53"/>
      <c r="S125" s="53"/>
      <c r="T125" s="53"/>
    </row>
    <row r="126" spans="1:20" hidden="1" x14ac:dyDescent="0.25">
      <c r="A126" s="76">
        <v>2272</v>
      </c>
      <c r="B126" s="5" t="s">
        <v>142</v>
      </c>
      <c r="C126" s="128">
        <f t="shared" si="9"/>
        <v>0</v>
      </c>
      <c r="D126" s="134"/>
      <c r="E126" s="285"/>
      <c r="F126" s="286">
        <f t="shared" si="10"/>
        <v>0</v>
      </c>
      <c r="G126" s="134"/>
      <c r="H126" s="135"/>
      <c r="I126" s="136">
        <f t="shared" si="11"/>
        <v>0</v>
      </c>
      <c r="J126" s="134"/>
      <c r="K126" s="135"/>
      <c r="L126" s="136">
        <f t="shared" si="12"/>
        <v>0</v>
      </c>
      <c r="M126" s="284"/>
      <c r="N126" s="285"/>
      <c r="O126" s="136">
        <f t="shared" si="13"/>
        <v>0</v>
      </c>
      <c r="P126" s="85"/>
      <c r="R126" s="53"/>
      <c r="S126" s="53"/>
      <c r="T126" s="53"/>
    </row>
    <row r="127" spans="1:20" ht="24" hidden="1" x14ac:dyDescent="0.25">
      <c r="A127" s="76">
        <v>2275</v>
      </c>
      <c r="B127" s="127" t="s">
        <v>143</v>
      </c>
      <c r="C127" s="128">
        <f t="shared" si="9"/>
        <v>0</v>
      </c>
      <c r="D127" s="134"/>
      <c r="E127" s="285"/>
      <c r="F127" s="286">
        <f t="shared" si="10"/>
        <v>0</v>
      </c>
      <c r="G127" s="134"/>
      <c r="H127" s="135"/>
      <c r="I127" s="136">
        <f t="shared" si="11"/>
        <v>0</v>
      </c>
      <c r="J127" s="134"/>
      <c r="K127" s="135"/>
      <c r="L127" s="136">
        <f t="shared" si="12"/>
        <v>0</v>
      </c>
      <c r="M127" s="284"/>
      <c r="N127" s="285"/>
      <c r="O127" s="136">
        <f t="shared" si="13"/>
        <v>0</v>
      </c>
      <c r="P127" s="85"/>
      <c r="R127" s="53"/>
      <c r="S127" s="53"/>
      <c r="T127" s="53"/>
    </row>
    <row r="128" spans="1:20" ht="36" hidden="1" x14ac:dyDescent="0.25">
      <c r="A128" s="76">
        <v>2276</v>
      </c>
      <c r="B128" s="127" t="s">
        <v>144</v>
      </c>
      <c r="C128" s="128">
        <f t="shared" si="9"/>
        <v>0</v>
      </c>
      <c r="D128" s="134"/>
      <c r="E128" s="285"/>
      <c r="F128" s="286">
        <f t="shared" si="10"/>
        <v>0</v>
      </c>
      <c r="G128" s="134"/>
      <c r="H128" s="135"/>
      <c r="I128" s="136">
        <f t="shared" si="11"/>
        <v>0</v>
      </c>
      <c r="J128" s="134"/>
      <c r="K128" s="135"/>
      <c r="L128" s="136">
        <f t="shared" si="12"/>
        <v>0</v>
      </c>
      <c r="M128" s="284"/>
      <c r="N128" s="285"/>
      <c r="O128" s="136">
        <f t="shared" si="13"/>
        <v>0</v>
      </c>
      <c r="P128" s="85"/>
      <c r="R128" s="53"/>
      <c r="S128" s="53"/>
      <c r="T128" s="53"/>
    </row>
    <row r="129" spans="1:20" ht="24" hidden="1" x14ac:dyDescent="0.25">
      <c r="A129" s="76">
        <v>2278</v>
      </c>
      <c r="B129" s="127" t="s">
        <v>145</v>
      </c>
      <c r="C129" s="128">
        <f t="shared" si="9"/>
        <v>0</v>
      </c>
      <c r="D129" s="134"/>
      <c r="E129" s="285"/>
      <c r="F129" s="286">
        <f t="shared" si="10"/>
        <v>0</v>
      </c>
      <c r="G129" s="134"/>
      <c r="H129" s="135"/>
      <c r="I129" s="136">
        <f t="shared" si="11"/>
        <v>0</v>
      </c>
      <c r="J129" s="134"/>
      <c r="K129" s="135"/>
      <c r="L129" s="136">
        <f t="shared" si="12"/>
        <v>0</v>
      </c>
      <c r="M129" s="284"/>
      <c r="N129" s="285"/>
      <c r="O129" s="136">
        <f t="shared" si="13"/>
        <v>0</v>
      </c>
      <c r="P129" s="85"/>
      <c r="R129" s="53"/>
      <c r="S129" s="53"/>
      <c r="T129" s="53"/>
    </row>
    <row r="130" spans="1:20" ht="24" x14ac:dyDescent="0.25">
      <c r="A130" s="76">
        <v>2279</v>
      </c>
      <c r="B130" s="127" t="s">
        <v>146</v>
      </c>
      <c r="C130" s="128">
        <f t="shared" si="9"/>
        <v>359</v>
      </c>
      <c r="D130" s="134">
        <v>359</v>
      </c>
      <c r="E130" s="283"/>
      <c r="F130" s="279">
        <f t="shared" si="10"/>
        <v>359</v>
      </c>
      <c r="G130" s="134"/>
      <c r="H130" s="135"/>
      <c r="I130" s="136">
        <f t="shared" si="11"/>
        <v>0</v>
      </c>
      <c r="J130" s="134"/>
      <c r="K130" s="135"/>
      <c r="L130" s="136">
        <f t="shared" si="12"/>
        <v>0</v>
      </c>
      <c r="M130" s="284"/>
      <c r="N130" s="285"/>
      <c r="O130" s="136">
        <f t="shared" si="13"/>
        <v>0</v>
      </c>
      <c r="P130" s="85"/>
      <c r="R130" s="53"/>
      <c r="S130" s="53"/>
      <c r="T130" s="53"/>
    </row>
    <row r="131" spans="1:20" ht="24" hidden="1" x14ac:dyDescent="0.25">
      <c r="A131" s="656">
        <v>2280</v>
      </c>
      <c r="B131" s="116" t="s">
        <v>147</v>
      </c>
      <c r="C131" s="128">
        <f t="shared" si="9"/>
        <v>0</v>
      </c>
      <c r="D131" s="297">
        <f t="shared" ref="D131:N131" si="14">SUM(D132)</f>
        <v>0</v>
      </c>
      <c r="E131" s="301">
        <f t="shared" si="14"/>
        <v>0</v>
      </c>
      <c r="F131" s="263">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c r="R131" s="53"/>
      <c r="S131" s="53"/>
      <c r="T131" s="53"/>
    </row>
    <row r="132" spans="1:20" ht="24" hidden="1" x14ac:dyDescent="0.25">
      <c r="A132" s="76">
        <v>2283</v>
      </c>
      <c r="B132" s="127" t="s">
        <v>148</v>
      </c>
      <c r="C132" s="128">
        <f t="shared" si="9"/>
        <v>0</v>
      </c>
      <c r="D132" s="134"/>
      <c r="E132" s="285"/>
      <c r="F132" s="286">
        <f t="shared" si="10"/>
        <v>0</v>
      </c>
      <c r="G132" s="134"/>
      <c r="H132" s="135"/>
      <c r="I132" s="136">
        <f t="shared" si="11"/>
        <v>0</v>
      </c>
      <c r="J132" s="134"/>
      <c r="K132" s="135"/>
      <c r="L132" s="136">
        <f t="shared" si="12"/>
        <v>0</v>
      </c>
      <c r="M132" s="284"/>
      <c r="N132" s="285"/>
      <c r="O132" s="136">
        <f t="shared" si="13"/>
        <v>0</v>
      </c>
      <c r="P132" s="85"/>
      <c r="R132" s="53"/>
      <c r="S132" s="53"/>
      <c r="T132" s="53"/>
    </row>
    <row r="133" spans="1:20" ht="36" x14ac:dyDescent="0.25">
      <c r="A133" s="99">
        <v>2300</v>
      </c>
      <c r="B133" s="247" t="s">
        <v>149</v>
      </c>
      <c r="C133" s="100">
        <f t="shared" si="9"/>
        <v>36219</v>
      </c>
      <c r="D133" s="112">
        <f>SUM(D134,D139,D143,D144,D147,D154,D162,D163,D166)</f>
        <v>27840</v>
      </c>
      <c r="E133" s="248">
        <f>SUM(E134,E139,E143,E144,E147,E154,E162,E163,E166)</f>
        <v>0</v>
      </c>
      <c r="F133" s="249">
        <f t="shared" si="10"/>
        <v>27840</v>
      </c>
      <c r="G133" s="112">
        <f>SUM(G134,G139,G143,G144,G147,G154,G162,G163,G166)</f>
        <v>2000</v>
      </c>
      <c r="H133" s="113">
        <f>SUM(H134,H139,H143,H144,H147,H154,H162,H163,H166)</f>
        <v>0</v>
      </c>
      <c r="I133" s="114">
        <f t="shared" si="11"/>
        <v>2000</v>
      </c>
      <c r="J133" s="112">
        <f>SUM(J134,J139,J143,J144,J147,J154,J162,J163,J166)</f>
        <v>6379</v>
      </c>
      <c r="K133" s="113">
        <f>SUM(K134,K139,K143,K144,K147,K154,K162,K163,K166)</f>
        <v>0</v>
      </c>
      <c r="L133" s="114">
        <f t="shared" si="12"/>
        <v>6379</v>
      </c>
      <c r="M133" s="292">
        <f>SUM(M134,M139,M143,M144,M147,M154,M162,M163,M166)</f>
        <v>0</v>
      </c>
      <c r="N133" s="293">
        <f>SUM(N134,N139,N143,N144,N147,N154,N162,N163,N166)</f>
        <v>0</v>
      </c>
      <c r="O133" s="114">
        <f t="shared" si="13"/>
        <v>0</v>
      </c>
      <c r="P133" s="109"/>
      <c r="R133" s="53"/>
      <c r="S133" s="53"/>
      <c r="T133" s="53"/>
    </row>
    <row r="134" spans="1:20" ht="24" x14ac:dyDescent="0.25">
      <c r="A134" s="656">
        <v>2310</v>
      </c>
      <c r="B134" s="116" t="s">
        <v>150</v>
      </c>
      <c r="C134" s="117">
        <f t="shared" si="9"/>
        <v>15375</v>
      </c>
      <c r="D134" s="308">
        <f>SUM(D135:D138)</f>
        <v>11978</v>
      </c>
      <c r="E134" s="300">
        <f>SUM(E135:E138)</f>
        <v>0</v>
      </c>
      <c r="F134" s="296">
        <f t="shared" si="10"/>
        <v>11978</v>
      </c>
      <c r="G134" s="297">
        <f>SUM(G135:G138)</f>
        <v>0</v>
      </c>
      <c r="H134" s="299">
        <f>SUM(H135:H138)</f>
        <v>0</v>
      </c>
      <c r="I134" s="125">
        <f t="shared" si="11"/>
        <v>0</v>
      </c>
      <c r="J134" s="297">
        <f>SUM(J135:J138)</f>
        <v>3397</v>
      </c>
      <c r="K134" s="299">
        <f>SUM(K135:K138)</f>
        <v>0</v>
      </c>
      <c r="L134" s="125">
        <f t="shared" si="12"/>
        <v>3397</v>
      </c>
      <c r="M134" s="300">
        <f>SUM(M135:M138)</f>
        <v>0</v>
      </c>
      <c r="N134" s="301">
        <f>SUM(N135:N138)</f>
        <v>0</v>
      </c>
      <c r="O134" s="125">
        <f t="shared" si="13"/>
        <v>0</v>
      </c>
      <c r="P134" s="74"/>
      <c r="R134" s="53"/>
      <c r="S134" s="53"/>
      <c r="T134" s="53"/>
    </row>
    <row r="135" spans="1:20" x14ac:dyDescent="0.25">
      <c r="A135" s="76">
        <v>2311</v>
      </c>
      <c r="B135" s="127" t="s">
        <v>151</v>
      </c>
      <c r="C135" s="128">
        <f t="shared" si="9"/>
        <v>2171</v>
      </c>
      <c r="D135" s="134">
        <v>1991</v>
      </c>
      <c r="E135" s="283"/>
      <c r="F135" s="279">
        <f t="shared" si="10"/>
        <v>1991</v>
      </c>
      <c r="G135" s="134"/>
      <c r="H135" s="135"/>
      <c r="I135" s="136">
        <f t="shared" si="11"/>
        <v>0</v>
      </c>
      <c r="J135" s="134">
        <v>180</v>
      </c>
      <c r="K135" s="135">
        <v>0</v>
      </c>
      <c r="L135" s="136">
        <f t="shared" si="12"/>
        <v>180</v>
      </c>
      <c r="M135" s="284"/>
      <c r="N135" s="285"/>
      <c r="O135" s="136">
        <f t="shared" si="13"/>
        <v>0</v>
      </c>
      <c r="P135" s="85"/>
      <c r="R135" s="53"/>
      <c r="S135" s="53"/>
      <c r="T135" s="53"/>
    </row>
    <row r="136" spans="1:20" x14ac:dyDescent="0.25">
      <c r="A136" s="76">
        <v>2312</v>
      </c>
      <c r="B136" s="127" t="s">
        <v>152</v>
      </c>
      <c r="C136" s="128">
        <f t="shared" si="9"/>
        <v>12889</v>
      </c>
      <c r="D136" s="134">
        <v>9779</v>
      </c>
      <c r="E136" s="283"/>
      <c r="F136" s="279">
        <f t="shared" si="10"/>
        <v>9779</v>
      </c>
      <c r="G136" s="134"/>
      <c r="H136" s="135"/>
      <c r="I136" s="136">
        <f t="shared" si="11"/>
        <v>0</v>
      </c>
      <c r="J136" s="134">
        <v>3110</v>
      </c>
      <c r="K136" s="135"/>
      <c r="L136" s="136">
        <f t="shared" si="12"/>
        <v>3110</v>
      </c>
      <c r="M136" s="284"/>
      <c r="N136" s="285"/>
      <c r="O136" s="136">
        <f t="shared" si="13"/>
        <v>0</v>
      </c>
      <c r="P136" s="85"/>
      <c r="R136" s="53"/>
      <c r="S136" s="53"/>
      <c r="T136" s="53"/>
    </row>
    <row r="137" spans="1:20" x14ac:dyDescent="0.25">
      <c r="A137" s="76">
        <v>2313</v>
      </c>
      <c r="B137" s="127" t="s">
        <v>153</v>
      </c>
      <c r="C137" s="128">
        <f t="shared" si="9"/>
        <v>150</v>
      </c>
      <c r="D137" s="134">
        <v>150</v>
      </c>
      <c r="E137" s="283"/>
      <c r="F137" s="279">
        <f t="shared" si="10"/>
        <v>150</v>
      </c>
      <c r="G137" s="134"/>
      <c r="H137" s="135"/>
      <c r="I137" s="136">
        <f t="shared" si="11"/>
        <v>0</v>
      </c>
      <c r="J137" s="134"/>
      <c r="K137" s="135"/>
      <c r="L137" s="136">
        <f t="shared" si="12"/>
        <v>0</v>
      </c>
      <c r="M137" s="284"/>
      <c r="N137" s="285"/>
      <c r="O137" s="136">
        <f t="shared" si="13"/>
        <v>0</v>
      </c>
      <c r="P137" s="85"/>
      <c r="R137" s="53"/>
      <c r="S137" s="53"/>
      <c r="T137" s="53"/>
    </row>
    <row r="138" spans="1:20" ht="26.25" customHeight="1" x14ac:dyDescent="0.25">
      <c r="A138" s="76">
        <v>2314</v>
      </c>
      <c r="B138" s="127" t="s">
        <v>154</v>
      </c>
      <c r="C138" s="128">
        <f t="shared" si="9"/>
        <v>165</v>
      </c>
      <c r="D138" s="134">
        <v>58</v>
      </c>
      <c r="E138" s="283"/>
      <c r="F138" s="279">
        <f t="shared" si="10"/>
        <v>58</v>
      </c>
      <c r="G138" s="134"/>
      <c r="H138" s="135"/>
      <c r="I138" s="136">
        <f t="shared" si="11"/>
        <v>0</v>
      </c>
      <c r="J138" s="134">
        <v>107</v>
      </c>
      <c r="K138" s="135"/>
      <c r="L138" s="136">
        <f t="shared" si="12"/>
        <v>107</v>
      </c>
      <c r="M138" s="284"/>
      <c r="N138" s="285"/>
      <c r="O138" s="136">
        <f t="shared" si="13"/>
        <v>0</v>
      </c>
      <c r="P138" s="85"/>
      <c r="R138" s="53"/>
      <c r="S138" s="53"/>
      <c r="T138" s="53"/>
    </row>
    <row r="139" spans="1:20" x14ac:dyDescent="0.25">
      <c r="A139" s="276">
        <v>2320</v>
      </c>
      <c r="B139" s="127" t="s">
        <v>155</v>
      </c>
      <c r="C139" s="128">
        <f t="shared" si="9"/>
        <v>2139</v>
      </c>
      <c r="D139" s="277">
        <f>SUM(D140:D142)</f>
        <v>292</v>
      </c>
      <c r="E139" s="278">
        <f>SUM(E140:E142)</f>
        <v>0</v>
      </c>
      <c r="F139" s="279">
        <f t="shared" si="10"/>
        <v>292</v>
      </c>
      <c r="G139" s="277">
        <f>SUM(G140:G142)</f>
        <v>0</v>
      </c>
      <c r="H139" s="280">
        <f>SUM(H140:H142)</f>
        <v>0</v>
      </c>
      <c r="I139" s="136">
        <f t="shared" si="11"/>
        <v>0</v>
      </c>
      <c r="J139" s="277">
        <f>SUM(J140:J142)</f>
        <v>1847</v>
      </c>
      <c r="K139" s="280">
        <f>SUM(K140:K142)</f>
        <v>0</v>
      </c>
      <c r="L139" s="136">
        <f t="shared" si="12"/>
        <v>1847</v>
      </c>
      <c r="M139" s="281">
        <f>SUM(M140:M142)</f>
        <v>0</v>
      </c>
      <c r="N139" s="282">
        <f>SUM(N140:N142)</f>
        <v>0</v>
      </c>
      <c r="O139" s="136">
        <f t="shared" si="13"/>
        <v>0</v>
      </c>
      <c r="P139" s="85"/>
      <c r="R139" s="53"/>
      <c r="S139" s="53"/>
      <c r="T139" s="53"/>
    </row>
    <row r="140" spans="1:20" hidden="1" x14ac:dyDescent="0.25">
      <c r="A140" s="76">
        <v>2321</v>
      </c>
      <c r="B140" s="127" t="s">
        <v>156</v>
      </c>
      <c r="C140" s="128">
        <f t="shared" si="9"/>
        <v>0</v>
      </c>
      <c r="D140" s="134"/>
      <c r="E140" s="285"/>
      <c r="F140" s="286">
        <f t="shared" si="10"/>
        <v>0</v>
      </c>
      <c r="G140" s="134"/>
      <c r="H140" s="135"/>
      <c r="I140" s="136">
        <f t="shared" si="11"/>
        <v>0</v>
      </c>
      <c r="J140" s="134"/>
      <c r="K140" s="135"/>
      <c r="L140" s="136">
        <f t="shared" si="12"/>
        <v>0</v>
      </c>
      <c r="M140" s="284"/>
      <c r="N140" s="285"/>
      <c r="O140" s="136">
        <f t="shared" si="13"/>
        <v>0</v>
      </c>
      <c r="P140" s="85"/>
      <c r="R140" s="53"/>
      <c r="S140" s="53"/>
      <c r="T140" s="53"/>
    </row>
    <row r="141" spans="1:20" x14ac:dyDescent="0.25">
      <c r="A141" s="76">
        <v>2322</v>
      </c>
      <c r="B141" s="127" t="s">
        <v>157</v>
      </c>
      <c r="C141" s="128">
        <f t="shared" si="9"/>
        <v>2080</v>
      </c>
      <c r="D141" s="134">
        <v>292</v>
      </c>
      <c r="E141" s="283"/>
      <c r="F141" s="279">
        <f t="shared" si="10"/>
        <v>292</v>
      </c>
      <c r="G141" s="134"/>
      <c r="H141" s="135"/>
      <c r="I141" s="136">
        <f t="shared" si="11"/>
        <v>0</v>
      </c>
      <c r="J141" s="134">
        <v>1788</v>
      </c>
      <c r="K141" s="135"/>
      <c r="L141" s="136">
        <f t="shared" si="12"/>
        <v>1788</v>
      </c>
      <c r="M141" s="284"/>
      <c r="N141" s="285"/>
      <c r="O141" s="136">
        <f t="shared" si="13"/>
        <v>0</v>
      </c>
      <c r="P141" s="85"/>
      <c r="R141" s="53"/>
      <c r="S141" s="53"/>
      <c r="T141" s="53"/>
    </row>
    <row r="142" spans="1:20" x14ac:dyDescent="0.25">
      <c r="A142" s="76">
        <v>2329</v>
      </c>
      <c r="B142" s="127" t="s">
        <v>158</v>
      </c>
      <c r="C142" s="128">
        <f t="shared" si="9"/>
        <v>59</v>
      </c>
      <c r="D142" s="134"/>
      <c r="E142" s="283"/>
      <c r="F142" s="279">
        <f t="shared" si="10"/>
        <v>0</v>
      </c>
      <c r="G142" s="134"/>
      <c r="H142" s="135"/>
      <c r="I142" s="136">
        <f t="shared" si="11"/>
        <v>0</v>
      </c>
      <c r="J142" s="134">
        <v>59</v>
      </c>
      <c r="K142" s="135"/>
      <c r="L142" s="136">
        <f t="shared" si="12"/>
        <v>59</v>
      </c>
      <c r="M142" s="284"/>
      <c r="N142" s="285"/>
      <c r="O142" s="136">
        <f t="shared" si="13"/>
        <v>0</v>
      </c>
      <c r="P142" s="85"/>
      <c r="R142" s="53"/>
      <c r="S142" s="53"/>
      <c r="T142" s="53"/>
    </row>
    <row r="143" spans="1:20" hidden="1" x14ac:dyDescent="0.25">
      <c r="A143" s="276">
        <v>2330</v>
      </c>
      <c r="B143" s="127" t="s">
        <v>159</v>
      </c>
      <c r="C143" s="128">
        <f t="shared" si="9"/>
        <v>0</v>
      </c>
      <c r="D143" s="134"/>
      <c r="E143" s="285"/>
      <c r="F143" s="286">
        <f t="shared" si="10"/>
        <v>0</v>
      </c>
      <c r="G143" s="134"/>
      <c r="H143" s="135"/>
      <c r="I143" s="136">
        <f t="shared" si="11"/>
        <v>0</v>
      </c>
      <c r="J143" s="134"/>
      <c r="K143" s="135"/>
      <c r="L143" s="136">
        <f t="shared" si="12"/>
        <v>0</v>
      </c>
      <c r="M143" s="284"/>
      <c r="N143" s="285"/>
      <c r="O143" s="136">
        <f t="shared" si="13"/>
        <v>0</v>
      </c>
      <c r="P143" s="85"/>
      <c r="R143" s="53"/>
      <c r="S143" s="53"/>
      <c r="T143" s="53"/>
    </row>
    <row r="144" spans="1:20" ht="39" customHeight="1" x14ac:dyDescent="0.25">
      <c r="A144" s="276">
        <v>2340</v>
      </c>
      <c r="B144" s="127" t="s">
        <v>160</v>
      </c>
      <c r="C144" s="128">
        <f t="shared" si="9"/>
        <v>294</v>
      </c>
      <c r="D144" s="277">
        <f>SUM(D145:D146)</f>
        <v>294</v>
      </c>
      <c r="E144" s="278">
        <f>SUM(E145:E146)</f>
        <v>0</v>
      </c>
      <c r="F144" s="279">
        <f t="shared" si="10"/>
        <v>294</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c r="R144" s="53"/>
      <c r="S144" s="53"/>
      <c r="T144" s="53"/>
    </row>
    <row r="145" spans="1:20" x14ac:dyDescent="0.25">
      <c r="A145" s="76">
        <v>2341</v>
      </c>
      <c r="B145" s="127" t="s">
        <v>161</v>
      </c>
      <c r="C145" s="128">
        <f t="shared" si="9"/>
        <v>294</v>
      </c>
      <c r="D145" s="134">
        <v>294</v>
      </c>
      <c r="E145" s="283"/>
      <c r="F145" s="279">
        <f t="shared" si="10"/>
        <v>294</v>
      </c>
      <c r="G145" s="134"/>
      <c r="H145" s="135"/>
      <c r="I145" s="136">
        <f t="shared" si="11"/>
        <v>0</v>
      </c>
      <c r="J145" s="134"/>
      <c r="K145" s="135"/>
      <c r="L145" s="136">
        <f t="shared" si="12"/>
        <v>0</v>
      </c>
      <c r="M145" s="284"/>
      <c r="N145" s="285"/>
      <c r="O145" s="136">
        <f t="shared" si="13"/>
        <v>0</v>
      </c>
      <c r="P145" s="85"/>
      <c r="R145" s="53"/>
      <c r="S145" s="53"/>
      <c r="T145" s="53"/>
    </row>
    <row r="146" spans="1:20" ht="24" hidden="1" x14ac:dyDescent="0.25">
      <c r="A146" s="76">
        <v>2344</v>
      </c>
      <c r="B146" s="127" t="s">
        <v>162</v>
      </c>
      <c r="C146" s="128">
        <f t="shared" si="9"/>
        <v>0</v>
      </c>
      <c r="D146" s="134"/>
      <c r="E146" s="285"/>
      <c r="F146" s="286">
        <f t="shared" si="10"/>
        <v>0</v>
      </c>
      <c r="G146" s="134"/>
      <c r="H146" s="135"/>
      <c r="I146" s="136">
        <f t="shared" si="11"/>
        <v>0</v>
      </c>
      <c r="J146" s="134"/>
      <c r="K146" s="135"/>
      <c r="L146" s="136">
        <f t="shared" si="12"/>
        <v>0</v>
      </c>
      <c r="M146" s="284"/>
      <c r="N146" s="285"/>
      <c r="O146" s="136">
        <f t="shared" si="13"/>
        <v>0</v>
      </c>
      <c r="P146" s="85"/>
      <c r="R146" s="53"/>
      <c r="S146" s="53"/>
      <c r="T146" s="53"/>
    </row>
    <row r="147" spans="1:20" ht="24" x14ac:dyDescent="0.25">
      <c r="A147" s="254">
        <v>2350</v>
      </c>
      <c r="B147" s="179" t="s">
        <v>163</v>
      </c>
      <c r="C147" s="128">
        <f t="shared" si="9"/>
        <v>6191</v>
      </c>
      <c r="D147" s="255">
        <f>SUM(D148:D153)</f>
        <v>5056</v>
      </c>
      <c r="E147" s="256">
        <f>SUM(E148:E153)</f>
        <v>0</v>
      </c>
      <c r="F147" s="257">
        <f t="shared" si="10"/>
        <v>5056</v>
      </c>
      <c r="G147" s="255">
        <f>SUM(G148:G153)</f>
        <v>0</v>
      </c>
      <c r="H147" s="258">
        <f>SUM(H148:H153)</f>
        <v>0</v>
      </c>
      <c r="I147" s="259">
        <f t="shared" si="11"/>
        <v>0</v>
      </c>
      <c r="J147" s="255">
        <f>SUM(J148:J153)</f>
        <v>1135</v>
      </c>
      <c r="K147" s="258">
        <f>SUM(K148:K153)</f>
        <v>0</v>
      </c>
      <c r="L147" s="259">
        <f t="shared" si="12"/>
        <v>1135</v>
      </c>
      <c r="M147" s="260">
        <f>SUM(M148:M153)</f>
        <v>0</v>
      </c>
      <c r="N147" s="261">
        <f>SUM(N148:N153)</f>
        <v>0</v>
      </c>
      <c r="O147" s="259">
        <f t="shared" si="13"/>
        <v>0</v>
      </c>
      <c r="P147" s="189"/>
      <c r="R147" s="53"/>
      <c r="S147" s="53"/>
      <c r="T147" s="53"/>
    </row>
    <row r="148" spans="1:20" x14ac:dyDescent="0.25">
      <c r="A148" s="66">
        <v>2351</v>
      </c>
      <c r="B148" s="116" t="s">
        <v>164</v>
      </c>
      <c r="C148" s="128">
        <f t="shared" si="9"/>
        <v>1416</v>
      </c>
      <c r="D148" s="123">
        <v>1074</v>
      </c>
      <c r="E148" s="295"/>
      <c r="F148" s="296">
        <f t="shared" si="10"/>
        <v>1074</v>
      </c>
      <c r="G148" s="123"/>
      <c r="H148" s="124"/>
      <c r="I148" s="125">
        <f t="shared" si="11"/>
        <v>0</v>
      </c>
      <c r="J148" s="123">
        <v>342</v>
      </c>
      <c r="K148" s="124"/>
      <c r="L148" s="125">
        <f t="shared" si="12"/>
        <v>342</v>
      </c>
      <c r="M148" s="264"/>
      <c r="N148" s="262"/>
      <c r="O148" s="125">
        <f t="shared" si="13"/>
        <v>0</v>
      </c>
      <c r="P148" s="74"/>
      <c r="R148" s="53"/>
      <c r="S148" s="53"/>
      <c r="T148" s="53"/>
    </row>
    <row r="149" spans="1:20" x14ac:dyDescent="0.25">
      <c r="A149" s="76">
        <v>2352</v>
      </c>
      <c r="B149" s="127" t="s">
        <v>165</v>
      </c>
      <c r="C149" s="128">
        <f t="shared" si="9"/>
        <v>3859</v>
      </c>
      <c r="D149" s="134">
        <v>3269</v>
      </c>
      <c r="E149" s="283"/>
      <c r="F149" s="279">
        <f t="shared" si="10"/>
        <v>3269</v>
      </c>
      <c r="G149" s="134"/>
      <c r="H149" s="135"/>
      <c r="I149" s="136">
        <f t="shared" si="11"/>
        <v>0</v>
      </c>
      <c r="J149" s="134">
        <v>590</v>
      </c>
      <c r="K149" s="135"/>
      <c r="L149" s="136">
        <f t="shared" si="12"/>
        <v>590</v>
      </c>
      <c r="M149" s="284"/>
      <c r="N149" s="285"/>
      <c r="O149" s="136">
        <f t="shared" si="13"/>
        <v>0</v>
      </c>
      <c r="P149" s="85"/>
      <c r="R149" s="53"/>
      <c r="S149" s="53"/>
      <c r="T149" s="53"/>
    </row>
    <row r="150" spans="1:20" ht="24" x14ac:dyDescent="0.25">
      <c r="A150" s="76">
        <v>2353</v>
      </c>
      <c r="B150" s="127" t="s">
        <v>166</v>
      </c>
      <c r="C150" s="128">
        <f t="shared" si="9"/>
        <v>655</v>
      </c>
      <c r="D150" s="134">
        <v>452</v>
      </c>
      <c r="E150" s="283"/>
      <c r="F150" s="279">
        <f t="shared" si="10"/>
        <v>452</v>
      </c>
      <c r="G150" s="134"/>
      <c r="H150" s="135"/>
      <c r="I150" s="136">
        <f t="shared" si="11"/>
        <v>0</v>
      </c>
      <c r="J150" s="134">
        <v>203</v>
      </c>
      <c r="K150" s="135"/>
      <c r="L150" s="136">
        <f t="shared" si="12"/>
        <v>203</v>
      </c>
      <c r="M150" s="284"/>
      <c r="N150" s="285"/>
      <c r="O150" s="136">
        <f t="shared" si="13"/>
        <v>0</v>
      </c>
      <c r="P150" s="85"/>
      <c r="R150" s="53"/>
      <c r="S150" s="53"/>
      <c r="T150" s="53"/>
    </row>
    <row r="151" spans="1:20" ht="24" hidden="1" x14ac:dyDescent="0.25">
      <c r="A151" s="76">
        <v>2354</v>
      </c>
      <c r="B151" s="127" t="s">
        <v>167</v>
      </c>
      <c r="C151" s="128">
        <f t="shared" si="9"/>
        <v>0</v>
      </c>
      <c r="D151" s="134"/>
      <c r="E151" s="285"/>
      <c r="F151" s="286">
        <f t="shared" si="10"/>
        <v>0</v>
      </c>
      <c r="G151" s="134"/>
      <c r="H151" s="135"/>
      <c r="I151" s="136">
        <f t="shared" si="11"/>
        <v>0</v>
      </c>
      <c r="J151" s="134"/>
      <c r="K151" s="135"/>
      <c r="L151" s="136">
        <f t="shared" si="12"/>
        <v>0</v>
      </c>
      <c r="M151" s="284"/>
      <c r="N151" s="285"/>
      <c r="O151" s="136">
        <f t="shared" si="13"/>
        <v>0</v>
      </c>
      <c r="P151" s="85"/>
      <c r="R151" s="53"/>
      <c r="S151" s="53"/>
      <c r="T151" s="53"/>
    </row>
    <row r="152" spans="1:20" ht="24" x14ac:dyDescent="0.25">
      <c r="A152" s="76">
        <v>2355</v>
      </c>
      <c r="B152" s="127" t="s">
        <v>168</v>
      </c>
      <c r="C152" s="128">
        <f t="shared" si="9"/>
        <v>261</v>
      </c>
      <c r="D152" s="134">
        <v>261</v>
      </c>
      <c r="E152" s="283"/>
      <c r="F152" s="279">
        <f t="shared" si="10"/>
        <v>261</v>
      </c>
      <c r="G152" s="134"/>
      <c r="H152" s="135"/>
      <c r="I152" s="136">
        <f t="shared" si="11"/>
        <v>0</v>
      </c>
      <c r="J152" s="134"/>
      <c r="K152" s="135"/>
      <c r="L152" s="136">
        <f t="shared" si="12"/>
        <v>0</v>
      </c>
      <c r="M152" s="284"/>
      <c r="N152" s="285"/>
      <c r="O152" s="136">
        <f t="shared" si="13"/>
        <v>0</v>
      </c>
      <c r="P152" s="85"/>
      <c r="R152" s="53"/>
      <c r="S152" s="53"/>
      <c r="T152" s="53"/>
    </row>
    <row r="153" spans="1:20" ht="24" hidden="1" x14ac:dyDescent="0.25">
      <c r="A153" s="76">
        <v>2359</v>
      </c>
      <c r="B153" s="127" t="s">
        <v>169</v>
      </c>
      <c r="C153" s="128">
        <f t="shared" si="9"/>
        <v>0</v>
      </c>
      <c r="D153" s="134"/>
      <c r="E153" s="285"/>
      <c r="F153" s="286">
        <f t="shared" si="10"/>
        <v>0</v>
      </c>
      <c r="G153" s="134"/>
      <c r="H153" s="135"/>
      <c r="I153" s="136">
        <f t="shared" si="11"/>
        <v>0</v>
      </c>
      <c r="J153" s="134"/>
      <c r="K153" s="135"/>
      <c r="L153" s="136">
        <f t="shared" si="12"/>
        <v>0</v>
      </c>
      <c r="M153" s="284"/>
      <c r="N153" s="285"/>
      <c r="O153" s="136">
        <f t="shared" si="13"/>
        <v>0</v>
      </c>
      <c r="P153" s="85"/>
      <c r="R153" s="53"/>
      <c r="S153" s="53"/>
      <c r="T153" s="53"/>
    </row>
    <row r="154" spans="1:20" ht="24" x14ac:dyDescent="0.25">
      <c r="A154" s="276">
        <v>2360</v>
      </c>
      <c r="B154" s="127" t="s">
        <v>170</v>
      </c>
      <c r="C154" s="128">
        <f t="shared" si="9"/>
        <v>240</v>
      </c>
      <c r="D154" s="277">
        <f>SUM(D155:D161)</f>
        <v>240</v>
      </c>
      <c r="E154" s="278">
        <f>SUM(E155:E161)</f>
        <v>0</v>
      </c>
      <c r="F154" s="279">
        <f t="shared" si="10"/>
        <v>240</v>
      </c>
      <c r="G154" s="277">
        <f>SUM(G155:G161)</f>
        <v>0</v>
      </c>
      <c r="H154" s="280">
        <f>SUM(H155:H161)</f>
        <v>0</v>
      </c>
      <c r="I154" s="136">
        <f t="shared" si="11"/>
        <v>0</v>
      </c>
      <c r="J154" s="277">
        <f>SUM(J155:J161)</f>
        <v>0</v>
      </c>
      <c r="K154" s="280">
        <f>SUM(K155:K161)</f>
        <v>0</v>
      </c>
      <c r="L154" s="136">
        <f t="shared" si="12"/>
        <v>0</v>
      </c>
      <c r="M154" s="281">
        <f>SUM(M155:M161)</f>
        <v>0</v>
      </c>
      <c r="N154" s="282">
        <f>SUM(N155:N161)</f>
        <v>0</v>
      </c>
      <c r="O154" s="136">
        <f t="shared" si="13"/>
        <v>0</v>
      </c>
      <c r="P154" s="85"/>
      <c r="R154" s="53"/>
      <c r="S154" s="53"/>
      <c r="T154" s="53"/>
    </row>
    <row r="155" spans="1:20" x14ac:dyDescent="0.25">
      <c r="A155" s="75">
        <v>2361</v>
      </c>
      <c r="B155" s="127" t="s">
        <v>171</v>
      </c>
      <c r="C155" s="128">
        <f t="shared" si="9"/>
        <v>240</v>
      </c>
      <c r="D155" s="134">
        <v>240</v>
      </c>
      <c r="E155" s="283"/>
      <c r="F155" s="279">
        <f t="shared" si="10"/>
        <v>240</v>
      </c>
      <c r="G155" s="134"/>
      <c r="H155" s="135"/>
      <c r="I155" s="136">
        <f t="shared" si="11"/>
        <v>0</v>
      </c>
      <c r="J155" s="134"/>
      <c r="K155" s="135"/>
      <c r="L155" s="136">
        <f t="shared" si="12"/>
        <v>0</v>
      </c>
      <c r="M155" s="284"/>
      <c r="N155" s="285"/>
      <c r="O155" s="136">
        <f t="shared" si="13"/>
        <v>0</v>
      </c>
      <c r="P155" s="85"/>
      <c r="R155" s="53"/>
      <c r="S155" s="53"/>
      <c r="T155" s="53"/>
    </row>
    <row r="156" spans="1:20" ht="24" hidden="1" x14ac:dyDescent="0.25">
      <c r="A156" s="75">
        <v>2362</v>
      </c>
      <c r="B156" s="127" t="s">
        <v>172</v>
      </c>
      <c r="C156" s="128">
        <f t="shared" si="9"/>
        <v>0</v>
      </c>
      <c r="D156" s="134"/>
      <c r="E156" s="285"/>
      <c r="F156" s="286">
        <f t="shared" si="10"/>
        <v>0</v>
      </c>
      <c r="G156" s="134"/>
      <c r="H156" s="135"/>
      <c r="I156" s="136">
        <f t="shared" si="11"/>
        <v>0</v>
      </c>
      <c r="J156" s="134"/>
      <c r="K156" s="135"/>
      <c r="L156" s="136">
        <f t="shared" si="12"/>
        <v>0</v>
      </c>
      <c r="M156" s="284"/>
      <c r="N156" s="285"/>
      <c r="O156" s="136">
        <f t="shared" si="13"/>
        <v>0</v>
      </c>
      <c r="P156" s="85"/>
      <c r="R156" s="53"/>
      <c r="S156" s="53"/>
      <c r="T156" s="53"/>
    </row>
    <row r="157" spans="1:20" hidden="1" x14ac:dyDescent="0.25">
      <c r="A157" s="75">
        <v>2363</v>
      </c>
      <c r="B157" s="127" t="s">
        <v>173</v>
      </c>
      <c r="C157" s="128">
        <f t="shared" si="9"/>
        <v>0</v>
      </c>
      <c r="D157" s="134"/>
      <c r="E157" s="285"/>
      <c r="F157" s="286">
        <f t="shared" si="10"/>
        <v>0</v>
      </c>
      <c r="G157" s="134"/>
      <c r="H157" s="135"/>
      <c r="I157" s="136">
        <f t="shared" si="11"/>
        <v>0</v>
      </c>
      <c r="J157" s="134"/>
      <c r="K157" s="135"/>
      <c r="L157" s="136">
        <f t="shared" si="12"/>
        <v>0</v>
      </c>
      <c r="M157" s="284"/>
      <c r="N157" s="285"/>
      <c r="O157" s="136">
        <f t="shared" si="13"/>
        <v>0</v>
      </c>
      <c r="P157" s="85"/>
      <c r="R157" s="53"/>
      <c r="S157" s="53"/>
      <c r="T157" s="53"/>
    </row>
    <row r="158" spans="1:20" hidden="1" x14ac:dyDescent="0.25">
      <c r="A158" s="75">
        <v>2364</v>
      </c>
      <c r="B158" s="127" t="s">
        <v>174</v>
      </c>
      <c r="C158" s="128">
        <f t="shared" si="9"/>
        <v>0</v>
      </c>
      <c r="D158" s="134"/>
      <c r="E158" s="285"/>
      <c r="F158" s="286">
        <f t="shared" si="10"/>
        <v>0</v>
      </c>
      <c r="G158" s="134"/>
      <c r="H158" s="135"/>
      <c r="I158" s="136">
        <f t="shared" si="11"/>
        <v>0</v>
      </c>
      <c r="J158" s="134"/>
      <c r="K158" s="135"/>
      <c r="L158" s="136">
        <f t="shared" si="12"/>
        <v>0</v>
      </c>
      <c r="M158" s="284"/>
      <c r="N158" s="285"/>
      <c r="O158" s="136">
        <f t="shared" si="13"/>
        <v>0</v>
      </c>
      <c r="P158" s="85"/>
      <c r="R158" s="53"/>
      <c r="S158" s="53"/>
      <c r="T158" s="53"/>
    </row>
    <row r="159" spans="1:20" hidden="1" x14ac:dyDescent="0.25">
      <c r="A159" s="75">
        <v>2365</v>
      </c>
      <c r="B159" s="127" t="s">
        <v>175</v>
      </c>
      <c r="C159" s="128">
        <f t="shared" si="9"/>
        <v>0</v>
      </c>
      <c r="D159" s="134"/>
      <c r="E159" s="285"/>
      <c r="F159" s="286">
        <f t="shared" si="10"/>
        <v>0</v>
      </c>
      <c r="G159" s="134"/>
      <c r="H159" s="135"/>
      <c r="I159" s="136">
        <f t="shared" si="11"/>
        <v>0</v>
      </c>
      <c r="J159" s="134"/>
      <c r="K159" s="135"/>
      <c r="L159" s="136">
        <f t="shared" si="12"/>
        <v>0</v>
      </c>
      <c r="M159" s="284"/>
      <c r="N159" s="285"/>
      <c r="O159" s="136">
        <f t="shared" si="13"/>
        <v>0</v>
      </c>
      <c r="P159" s="85"/>
      <c r="R159" s="53"/>
      <c r="S159" s="53"/>
      <c r="T159" s="53"/>
    </row>
    <row r="160" spans="1:20" ht="36" hidden="1" x14ac:dyDescent="0.25">
      <c r="A160" s="75">
        <v>2366</v>
      </c>
      <c r="B160" s="127" t="s">
        <v>176</v>
      </c>
      <c r="C160" s="128">
        <f t="shared" si="9"/>
        <v>0</v>
      </c>
      <c r="D160" s="134"/>
      <c r="E160" s="285"/>
      <c r="F160" s="286">
        <f t="shared" si="10"/>
        <v>0</v>
      </c>
      <c r="G160" s="134"/>
      <c r="H160" s="135"/>
      <c r="I160" s="136">
        <f t="shared" si="11"/>
        <v>0</v>
      </c>
      <c r="J160" s="134"/>
      <c r="K160" s="135"/>
      <c r="L160" s="136">
        <f t="shared" si="12"/>
        <v>0</v>
      </c>
      <c r="M160" s="284"/>
      <c r="N160" s="285"/>
      <c r="O160" s="136">
        <f t="shared" si="13"/>
        <v>0</v>
      </c>
      <c r="P160" s="85"/>
      <c r="R160" s="53"/>
      <c r="S160" s="53"/>
      <c r="T160" s="53"/>
    </row>
    <row r="161" spans="1:20" ht="48" hidden="1" x14ac:dyDescent="0.25">
      <c r="A161" s="75">
        <v>2369</v>
      </c>
      <c r="B161" s="127" t="s">
        <v>177</v>
      </c>
      <c r="C161" s="128">
        <f t="shared" si="9"/>
        <v>0</v>
      </c>
      <c r="D161" s="134"/>
      <c r="E161" s="285"/>
      <c r="F161" s="286">
        <f t="shared" si="10"/>
        <v>0</v>
      </c>
      <c r="G161" s="134"/>
      <c r="H161" s="135"/>
      <c r="I161" s="136">
        <f t="shared" si="11"/>
        <v>0</v>
      </c>
      <c r="J161" s="134"/>
      <c r="K161" s="135"/>
      <c r="L161" s="136">
        <f t="shared" si="12"/>
        <v>0</v>
      </c>
      <c r="M161" s="284"/>
      <c r="N161" s="285"/>
      <c r="O161" s="136">
        <f t="shared" si="13"/>
        <v>0</v>
      </c>
      <c r="P161" s="85"/>
      <c r="R161" s="53"/>
      <c r="S161" s="53"/>
      <c r="T161" s="53"/>
    </row>
    <row r="162" spans="1:20" x14ac:dyDescent="0.25">
      <c r="A162" s="254">
        <v>2370</v>
      </c>
      <c r="B162" s="179" t="s">
        <v>178</v>
      </c>
      <c r="C162" s="128">
        <f t="shared" si="9"/>
        <v>11980</v>
      </c>
      <c r="D162" s="287">
        <v>9980</v>
      </c>
      <c r="E162" s="288"/>
      <c r="F162" s="257">
        <f t="shared" si="10"/>
        <v>9980</v>
      </c>
      <c r="G162" s="287">
        <v>2000</v>
      </c>
      <c r="H162" s="289"/>
      <c r="I162" s="259">
        <f t="shared" si="11"/>
        <v>2000</v>
      </c>
      <c r="J162" s="287"/>
      <c r="K162" s="289"/>
      <c r="L162" s="259">
        <f t="shared" si="12"/>
        <v>0</v>
      </c>
      <c r="M162" s="290"/>
      <c r="N162" s="291"/>
      <c r="O162" s="259">
        <f t="shared" si="13"/>
        <v>0</v>
      </c>
      <c r="P162" s="189"/>
      <c r="R162" s="53"/>
      <c r="S162" s="53"/>
      <c r="T162" s="53"/>
    </row>
    <row r="163" spans="1:20" hidden="1" x14ac:dyDescent="0.25">
      <c r="A163" s="254">
        <v>2380</v>
      </c>
      <c r="B163" s="179" t="s">
        <v>179</v>
      </c>
      <c r="C163" s="128">
        <f t="shared" si="9"/>
        <v>0</v>
      </c>
      <c r="D163" s="255">
        <f>SUM(D164:D165)</f>
        <v>0</v>
      </c>
      <c r="E163" s="261">
        <f>SUM(E164:E165)</f>
        <v>0</v>
      </c>
      <c r="F163" s="310">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c r="S163" s="53"/>
      <c r="T163" s="53"/>
    </row>
    <row r="164" spans="1:20" hidden="1" x14ac:dyDescent="0.25">
      <c r="A164" s="65">
        <v>2381</v>
      </c>
      <c r="B164" s="116" t="s">
        <v>180</v>
      </c>
      <c r="C164" s="128">
        <f t="shared" si="9"/>
        <v>0</v>
      </c>
      <c r="D164" s="123"/>
      <c r="E164" s="262"/>
      <c r="F164" s="263">
        <f t="shared" si="10"/>
        <v>0</v>
      </c>
      <c r="G164" s="123"/>
      <c r="H164" s="124"/>
      <c r="I164" s="125">
        <f t="shared" si="11"/>
        <v>0</v>
      </c>
      <c r="J164" s="123"/>
      <c r="K164" s="124"/>
      <c r="L164" s="125">
        <f t="shared" si="12"/>
        <v>0</v>
      </c>
      <c r="M164" s="264"/>
      <c r="N164" s="262"/>
      <c r="O164" s="125">
        <f t="shared" si="13"/>
        <v>0</v>
      </c>
      <c r="P164" s="74"/>
      <c r="R164" s="53"/>
      <c r="S164" s="53"/>
      <c r="T164" s="53"/>
    </row>
    <row r="165" spans="1:20" ht="24" hidden="1" x14ac:dyDescent="0.25">
      <c r="A165" s="75">
        <v>2389</v>
      </c>
      <c r="B165" s="127" t="s">
        <v>181</v>
      </c>
      <c r="C165" s="128">
        <f t="shared" si="9"/>
        <v>0</v>
      </c>
      <c r="D165" s="134"/>
      <c r="E165" s="285"/>
      <c r="F165" s="286">
        <f t="shared" si="10"/>
        <v>0</v>
      </c>
      <c r="G165" s="134"/>
      <c r="H165" s="135"/>
      <c r="I165" s="136">
        <f t="shared" si="11"/>
        <v>0</v>
      </c>
      <c r="J165" s="134"/>
      <c r="K165" s="135"/>
      <c r="L165" s="136">
        <f t="shared" si="12"/>
        <v>0</v>
      </c>
      <c r="M165" s="284"/>
      <c r="N165" s="285"/>
      <c r="O165" s="136">
        <f t="shared" si="13"/>
        <v>0</v>
      </c>
      <c r="P165" s="85"/>
      <c r="R165" s="53"/>
      <c r="S165" s="53"/>
      <c r="T165" s="53"/>
    </row>
    <row r="166" spans="1:20" hidden="1" x14ac:dyDescent="0.25">
      <c r="A166" s="254">
        <v>2390</v>
      </c>
      <c r="B166" s="179" t="s">
        <v>182</v>
      </c>
      <c r="C166" s="128">
        <f t="shared" si="9"/>
        <v>0</v>
      </c>
      <c r="D166" s="287"/>
      <c r="E166" s="291"/>
      <c r="F166" s="310">
        <f t="shared" si="10"/>
        <v>0</v>
      </c>
      <c r="G166" s="287"/>
      <c r="H166" s="289"/>
      <c r="I166" s="259">
        <f t="shared" si="11"/>
        <v>0</v>
      </c>
      <c r="J166" s="287">
        <v>0</v>
      </c>
      <c r="K166" s="289"/>
      <c r="L166" s="259">
        <f t="shared" si="12"/>
        <v>0</v>
      </c>
      <c r="M166" s="290"/>
      <c r="N166" s="291"/>
      <c r="O166" s="259">
        <f t="shared" si="13"/>
        <v>0</v>
      </c>
      <c r="P166" s="189"/>
      <c r="R166" s="53"/>
      <c r="S166" s="53"/>
      <c r="T166" s="53"/>
    </row>
    <row r="167" spans="1:20" x14ac:dyDescent="0.25">
      <c r="A167" s="99">
        <v>2400</v>
      </c>
      <c r="B167" s="247" t="s">
        <v>183</v>
      </c>
      <c r="C167" s="100">
        <f t="shared" si="9"/>
        <v>124</v>
      </c>
      <c r="D167" s="311">
        <v>124</v>
      </c>
      <c r="E167" s="712"/>
      <c r="F167" s="249">
        <f t="shared" si="10"/>
        <v>124</v>
      </c>
      <c r="G167" s="311"/>
      <c r="H167" s="314"/>
      <c r="I167" s="114">
        <f t="shared" si="11"/>
        <v>0</v>
      </c>
      <c r="J167" s="311"/>
      <c r="K167" s="314"/>
      <c r="L167" s="114">
        <f t="shared" si="12"/>
        <v>0</v>
      </c>
      <c r="M167" s="315"/>
      <c r="N167" s="312"/>
      <c r="O167" s="114">
        <f t="shared" si="13"/>
        <v>0</v>
      </c>
      <c r="P167" s="109"/>
      <c r="R167" s="53"/>
      <c r="S167" s="53"/>
      <c r="T167" s="53"/>
    </row>
    <row r="168" spans="1:20" ht="24" x14ac:dyDescent="0.25">
      <c r="A168" s="99">
        <v>2500</v>
      </c>
      <c r="B168" s="247" t="s">
        <v>184</v>
      </c>
      <c r="C168" s="100">
        <f t="shared" si="9"/>
        <v>11</v>
      </c>
      <c r="D168" s="112">
        <f>SUM(D169,D174)</f>
        <v>0</v>
      </c>
      <c r="E168" s="248">
        <f>SUM(E169,E174)</f>
        <v>0</v>
      </c>
      <c r="F168" s="249">
        <f t="shared" si="10"/>
        <v>0</v>
      </c>
      <c r="G168" s="112">
        <f>SUM(G169,G174)</f>
        <v>0</v>
      </c>
      <c r="H168" s="113">
        <f t="shared" ref="H168" si="17">SUM(H169,H174)</f>
        <v>0</v>
      </c>
      <c r="I168" s="114">
        <f t="shared" si="11"/>
        <v>0</v>
      </c>
      <c r="J168" s="112">
        <f>SUM(J169,J174)</f>
        <v>11</v>
      </c>
      <c r="K168" s="113">
        <f t="shared" ref="K168" si="18">SUM(K169,K174)</f>
        <v>0</v>
      </c>
      <c r="L168" s="114">
        <f t="shared" si="12"/>
        <v>11</v>
      </c>
      <c r="M168" s="250">
        <f t="shared" ref="M168:N168" si="19">SUM(M169,M174)</f>
        <v>0</v>
      </c>
      <c r="N168" s="251">
        <f t="shared" si="19"/>
        <v>0</v>
      </c>
      <c r="O168" s="252">
        <f t="shared" si="13"/>
        <v>0</v>
      </c>
      <c r="P168" s="253"/>
      <c r="R168" s="53"/>
      <c r="S168" s="53"/>
      <c r="T168" s="53"/>
    </row>
    <row r="169" spans="1:20" hidden="1" x14ac:dyDescent="0.25">
      <c r="A169" s="656">
        <v>2510</v>
      </c>
      <c r="B169" s="116" t="s">
        <v>185</v>
      </c>
      <c r="C169" s="117">
        <f t="shared" si="9"/>
        <v>0</v>
      </c>
      <c r="D169" s="297">
        <f>SUM(D170:D173)</f>
        <v>0</v>
      </c>
      <c r="E169" s="301">
        <f>SUM(E170:E173)</f>
        <v>0</v>
      </c>
      <c r="F169" s="263">
        <f t="shared" si="10"/>
        <v>0</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c r="R169" s="53"/>
      <c r="S169" s="53"/>
      <c r="T169" s="53"/>
    </row>
    <row r="170" spans="1:20" ht="24" hidden="1" x14ac:dyDescent="0.25">
      <c r="A170" s="76">
        <v>2512</v>
      </c>
      <c r="B170" s="127" t="s">
        <v>186</v>
      </c>
      <c r="C170" s="128">
        <f t="shared" si="9"/>
        <v>0</v>
      </c>
      <c r="D170" s="134"/>
      <c r="E170" s="285"/>
      <c r="F170" s="286">
        <f t="shared" si="10"/>
        <v>0</v>
      </c>
      <c r="G170" s="134"/>
      <c r="H170" s="135"/>
      <c r="I170" s="136">
        <f t="shared" si="11"/>
        <v>0</v>
      </c>
      <c r="J170" s="134"/>
      <c r="K170" s="135"/>
      <c r="L170" s="136">
        <f t="shared" si="12"/>
        <v>0</v>
      </c>
      <c r="M170" s="284"/>
      <c r="N170" s="285"/>
      <c r="O170" s="136">
        <f t="shared" si="13"/>
        <v>0</v>
      </c>
      <c r="P170" s="85"/>
      <c r="R170" s="53"/>
      <c r="S170" s="53"/>
      <c r="T170" s="53"/>
    </row>
    <row r="171" spans="1:20" ht="36" hidden="1" x14ac:dyDescent="0.25">
      <c r="A171" s="76">
        <v>2513</v>
      </c>
      <c r="B171" s="127" t="s">
        <v>187</v>
      </c>
      <c r="C171" s="128">
        <f t="shared" si="9"/>
        <v>0</v>
      </c>
      <c r="D171" s="134"/>
      <c r="E171" s="285"/>
      <c r="F171" s="286">
        <f t="shared" si="10"/>
        <v>0</v>
      </c>
      <c r="G171" s="134"/>
      <c r="H171" s="135"/>
      <c r="I171" s="136">
        <f t="shared" si="11"/>
        <v>0</v>
      </c>
      <c r="J171" s="134"/>
      <c r="K171" s="135"/>
      <c r="L171" s="136">
        <f t="shared" si="12"/>
        <v>0</v>
      </c>
      <c r="M171" s="284"/>
      <c r="N171" s="285"/>
      <c r="O171" s="136">
        <f t="shared" si="13"/>
        <v>0</v>
      </c>
      <c r="P171" s="85"/>
      <c r="R171" s="53"/>
      <c r="S171" s="53"/>
      <c r="T171" s="53"/>
    </row>
    <row r="172" spans="1:20" ht="24" hidden="1" x14ac:dyDescent="0.25">
      <c r="A172" s="76">
        <v>2515</v>
      </c>
      <c r="B172" s="127" t="s">
        <v>188</v>
      </c>
      <c r="C172" s="128">
        <f t="shared" si="9"/>
        <v>0</v>
      </c>
      <c r="D172" s="134"/>
      <c r="E172" s="285"/>
      <c r="F172" s="286">
        <f t="shared" si="10"/>
        <v>0</v>
      </c>
      <c r="G172" s="134"/>
      <c r="H172" s="135"/>
      <c r="I172" s="136">
        <f t="shared" si="11"/>
        <v>0</v>
      </c>
      <c r="J172" s="134"/>
      <c r="K172" s="135"/>
      <c r="L172" s="136">
        <f t="shared" si="12"/>
        <v>0</v>
      </c>
      <c r="M172" s="284"/>
      <c r="N172" s="285"/>
      <c r="O172" s="136">
        <f t="shared" si="13"/>
        <v>0</v>
      </c>
      <c r="P172" s="85"/>
      <c r="R172" s="53"/>
      <c r="S172" s="53"/>
      <c r="T172" s="53"/>
    </row>
    <row r="173" spans="1:20" ht="24" hidden="1" x14ac:dyDescent="0.25">
      <c r="A173" s="76">
        <v>2519</v>
      </c>
      <c r="B173" s="127" t="s">
        <v>189</v>
      </c>
      <c r="C173" s="128">
        <f t="shared" si="9"/>
        <v>0</v>
      </c>
      <c r="D173" s="134"/>
      <c r="E173" s="285"/>
      <c r="F173" s="286">
        <f t="shared" si="10"/>
        <v>0</v>
      </c>
      <c r="G173" s="134"/>
      <c r="H173" s="135"/>
      <c r="I173" s="136">
        <f t="shared" si="11"/>
        <v>0</v>
      </c>
      <c r="J173" s="134"/>
      <c r="K173" s="135"/>
      <c r="L173" s="136">
        <f t="shared" si="12"/>
        <v>0</v>
      </c>
      <c r="M173" s="284"/>
      <c r="N173" s="285"/>
      <c r="O173" s="136">
        <f t="shared" si="13"/>
        <v>0</v>
      </c>
      <c r="P173" s="85"/>
      <c r="R173" s="53"/>
      <c r="S173" s="53"/>
      <c r="T173" s="53"/>
    </row>
    <row r="174" spans="1:20" ht="24" x14ac:dyDescent="0.25">
      <c r="A174" s="276">
        <v>2520</v>
      </c>
      <c r="B174" s="127" t="s">
        <v>190</v>
      </c>
      <c r="C174" s="128">
        <f t="shared" si="9"/>
        <v>11</v>
      </c>
      <c r="D174" s="134"/>
      <c r="E174" s="283"/>
      <c r="F174" s="279">
        <f t="shared" si="10"/>
        <v>0</v>
      </c>
      <c r="G174" s="134"/>
      <c r="H174" s="135"/>
      <c r="I174" s="136">
        <f t="shared" si="11"/>
        <v>0</v>
      </c>
      <c r="J174" s="134">
        <v>11</v>
      </c>
      <c r="K174" s="135"/>
      <c r="L174" s="136">
        <f t="shared" si="12"/>
        <v>11</v>
      </c>
      <c r="M174" s="284"/>
      <c r="N174" s="285"/>
      <c r="O174" s="136">
        <f t="shared" si="13"/>
        <v>0</v>
      </c>
      <c r="P174" s="85"/>
      <c r="R174" s="53"/>
      <c r="S174" s="53"/>
      <c r="T174" s="53"/>
    </row>
    <row r="175" spans="1:20" s="319" customFormat="1" ht="48" hidden="1" x14ac:dyDescent="0.25">
      <c r="A175" s="31">
        <v>2800</v>
      </c>
      <c r="B175" s="116" t="s">
        <v>191</v>
      </c>
      <c r="C175" s="117">
        <f t="shared" si="9"/>
        <v>0</v>
      </c>
      <c r="D175" s="68"/>
      <c r="E175" s="69"/>
      <c r="F175" s="70">
        <f t="shared" si="10"/>
        <v>0</v>
      </c>
      <c r="G175" s="68"/>
      <c r="H175" s="71"/>
      <c r="I175" s="72">
        <f t="shared" si="11"/>
        <v>0</v>
      </c>
      <c r="J175" s="68"/>
      <c r="K175" s="71"/>
      <c r="L175" s="72">
        <f t="shared" si="12"/>
        <v>0</v>
      </c>
      <c r="M175" s="73"/>
      <c r="N175" s="69"/>
      <c r="O175" s="72">
        <f t="shared" si="13"/>
        <v>0</v>
      </c>
      <c r="P175" s="74"/>
      <c r="R175" s="53"/>
      <c r="S175" s="53"/>
      <c r="T175" s="53"/>
    </row>
    <row r="176" spans="1:20" hidden="1" x14ac:dyDescent="0.25">
      <c r="A176" s="237">
        <v>3000</v>
      </c>
      <c r="B176" s="237" t="s">
        <v>192</v>
      </c>
      <c r="C176" s="238">
        <f t="shared" si="9"/>
        <v>0</v>
      </c>
      <c r="D176" s="239">
        <f>SUM(D177,D187)</f>
        <v>0</v>
      </c>
      <c r="E176" s="245">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c r="S176" s="53"/>
      <c r="T176" s="53"/>
    </row>
    <row r="177" spans="1:20" ht="24" hidden="1" x14ac:dyDescent="0.25">
      <c r="A177" s="99">
        <v>3200</v>
      </c>
      <c r="B177" s="321" t="s">
        <v>193</v>
      </c>
      <c r="C177" s="100">
        <f t="shared" si="9"/>
        <v>0</v>
      </c>
      <c r="D177" s="112">
        <f>SUM(D178,D182)</f>
        <v>0</v>
      </c>
      <c r="E177" s="293">
        <f>SUM(E178,E182)</f>
        <v>0</v>
      </c>
      <c r="F177" s="313">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c r="R177" s="53"/>
      <c r="S177" s="53"/>
      <c r="T177" s="53"/>
    </row>
    <row r="178" spans="1:20" ht="36" hidden="1" x14ac:dyDescent="0.25">
      <c r="A178" s="656">
        <v>3260</v>
      </c>
      <c r="B178" s="116" t="s">
        <v>194</v>
      </c>
      <c r="C178" s="117">
        <f t="shared" si="9"/>
        <v>0</v>
      </c>
      <c r="D178" s="297">
        <f>SUM(D179:D181)</f>
        <v>0</v>
      </c>
      <c r="E178" s="301">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c r="S178" s="53"/>
      <c r="T178" s="53"/>
    </row>
    <row r="179" spans="1:20" ht="24" hidden="1" x14ac:dyDescent="0.25">
      <c r="A179" s="76">
        <v>3261</v>
      </c>
      <c r="B179" s="127" t="s">
        <v>195</v>
      </c>
      <c r="C179" s="128">
        <f t="shared" si="9"/>
        <v>0</v>
      </c>
      <c r="D179" s="134"/>
      <c r="E179" s="285"/>
      <c r="F179" s="286">
        <f t="shared" si="10"/>
        <v>0</v>
      </c>
      <c r="G179" s="134"/>
      <c r="H179" s="135"/>
      <c r="I179" s="136">
        <f t="shared" si="11"/>
        <v>0</v>
      </c>
      <c r="J179" s="134"/>
      <c r="K179" s="135"/>
      <c r="L179" s="136">
        <f t="shared" si="12"/>
        <v>0</v>
      </c>
      <c r="M179" s="284"/>
      <c r="N179" s="285"/>
      <c r="O179" s="136">
        <f t="shared" si="13"/>
        <v>0</v>
      </c>
      <c r="P179" s="85"/>
      <c r="R179" s="53"/>
      <c r="S179" s="53"/>
      <c r="T179" s="53"/>
    </row>
    <row r="180" spans="1:20" ht="36" hidden="1" x14ac:dyDescent="0.25">
      <c r="A180" s="76">
        <v>3262</v>
      </c>
      <c r="B180" s="127" t="s">
        <v>196</v>
      </c>
      <c r="C180" s="128">
        <f t="shared" si="9"/>
        <v>0</v>
      </c>
      <c r="D180" s="134"/>
      <c r="E180" s="285"/>
      <c r="F180" s="286">
        <f t="shared" si="10"/>
        <v>0</v>
      </c>
      <c r="G180" s="134"/>
      <c r="H180" s="135"/>
      <c r="I180" s="136">
        <f t="shared" si="11"/>
        <v>0</v>
      </c>
      <c r="J180" s="134"/>
      <c r="K180" s="135"/>
      <c r="L180" s="136">
        <f t="shared" si="12"/>
        <v>0</v>
      </c>
      <c r="M180" s="284"/>
      <c r="N180" s="285"/>
      <c r="O180" s="136">
        <f t="shared" si="13"/>
        <v>0</v>
      </c>
      <c r="P180" s="85"/>
      <c r="R180" s="53"/>
      <c r="S180" s="53"/>
      <c r="T180" s="53"/>
    </row>
    <row r="181" spans="1:20" ht="24" hidden="1" x14ac:dyDescent="0.25">
      <c r="A181" s="76">
        <v>3263</v>
      </c>
      <c r="B181" s="127" t="s">
        <v>197</v>
      </c>
      <c r="C181" s="128">
        <f t="shared" si="9"/>
        <v>0</v>
      </c>
      <c r="D181" s="134"/>
      <c r="E181" s="285"/>
      <c r="F181" s="286">
        <f t="shared" si="10"/>
        <v>0</v>
      </c>
      <c r="G181" s="134"/>
      <c r="H181" s="135"/>
      <c r="I181" s="136">
        <f t="shared" si="11"/>
        <v>0</v>
      </c>
      <c r="J181" s="134"/>
      <c r="K181" s="135"/>
      <c r="L181" s="136">
        <f t="shared" si="12"/>
        <v>0</v>
      </c>
      <c r="M181" s="284"/>
      <c r="N181" s="285"/>
      <c r="O181" s="136">
        <f t="shared" si="13"/>
        <v>0</v>
      </c>
      <c r="P181" s="85"/>
      <c r="R181" s="53"/>
      <c r="S181" s="53"/>
      <c r="T181" s="53"/>
    </row>
    <row r="182" spans="1:20" ht="84" hidden="1" x14ac:dyDescent="0.25">
      <c r="A182" s="656">
        <v>3290</v>
      </c>
      <c r="B182" s="116" t="s">
        <v>198</v>
      </c>
      <c r="C182" s="128">
        <f t="shared" ref="C182:C258" si="26">F182+I182+L182+O182</f>
        <v>0</v>
      </c>
      <c r="D182" s="297">
        <f>SUM(D183:D186)</f>
        <v>0</v>
      </c>
      <c r="E182" s="301">
        <f>SUM(E183:E186)</f>
        <v>0</v>
      </c>
      <c r="F182" s="263">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c r="R182" s="53"/>
      <c r="S182" s="53"/>
      <c r="T182" s="53"/>
    </row>
    <row r="183" spans="1:20" ht="72" hidden="1" x14ac:dyDescent="0.25">
      <c r="A183" s="76">
        <v>3291</v>
      </c>
      <c r="B183" s="127" t="s">
        <v>199</v>
      </c>
      <c r="C183" s="128">
        <f t="shared" si="26"/>
        <v>0</v>
      </c>
      <c r="D183" s="134"/>
      <c r="E183" s="285"/>
      <c r="F183" s="286">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c r="R183" s="53"/>
      <c r="S183" s="53"/>
      <c r="T183" s="53"/>
    </row>
    <row r="184" spans="1:20" ht="72" hidden="1" x14ac:dyDescent="0.25">
      <c r="A184" s="76">
        <v>3292</v>
      </c>
      <c r="B184" s="127" t="s">
        <v>200</v>
      </c>
      <c r="C184" s="128">
        <f t="shared" si="26"/>
        <v>0</v>
      </c>
      <c r="D184" s="134"/>
      <c r="E184" s="285"/>
      <c r="F184" s="286">
        <f t="shared" si="30"/>
        <v>0</v>
      </c>
      <c r="G184" s="134"/>
      <c r="H184" s="135"/>
      <c r="I184" s="136">
        <f t="shared" si="31"/>
        <v>0</v>
      </c>
      <c r="J184" s="134"/>
      <c r="K184" s="135"/>
      <c r="L184" s="136">
        <f t="shared" si="32"/>
        <v>0</v>
      </c>
      <c r="M184" s="284"/>
      <c r="N184" s="285"/>
      <c r="O184" s="136">
        <f t="shared" si="33"/>
        <v>0</v>
      </c>
      <c r="P184" s="85"/>
      <c r="R184" s="53"/>
      <c r="S184" s="53"/>
      <c r="T184" s="53"/>
    </row>
    <row r="185" spans="1:20" ht="72" hidden="1" x14ac:dyDescent="0.25">
      <c r="A185" s="76">
        <v>3293</v>
      </c>
      <c r="B185" s="127" t="s">
        <v>201</v>
      </c>
      <c r="C185" s="128">
        <f t="shared" si="26"/>
        <v>0</v>
      </c>
      <c r="D185" s="134"/>
      <c r="E185" s="285"/>
      <c r="F185" s="286">
        <f t="shared" si="30"/>
        <v>0</v>
      </c>
      <c r="G185" s="134"/>
      <c r="H185" s="135"/>
      <c r="I185" s="136">
        <f t="shared" si="31"/>
        <v>0</v>
      </c>
      <c r="J185" s="134"/>
      <c r="K185" s="135"/>
      <c r="L185" s="136">
        <f t="shared" si="32"/>
        <v>0</v>
      </c>
      <c r="M185" s="284"/>
      <c r="N185" s="285"/>
      <c r="O185" s="136">
        <f t="shared" si="33"/>
        <v>0</v>
      </c>
      <c r="P185" s="85"/>
      <c r="R185" s="53"/>
      <c r="S185" s="53"/>
      <c r="T185" s="53"/>
    </row>
    <row r="186" spans="1:20" ht="60" hidden="1" x14ac:dyDescent="0.25">
      <c r="A186" s="326">
        <v>3294</v>
      </c>
      <c r="B186" s="127" t="s">
        <v>202</v>
      </c>
      <c r="C186" s="327">
        <f t="shared" si="26"/>
        <v>0</v>
      </c>
      <c r="D186" s="328"/>
      <c r="E186" s="329"/>
      <c r="F186" s="330">
        <f t="shared" si="30"/>
        <v>0</v>
      </c>
      <c r="G186" s="328"/>
      <c r="H186" s="331"/>
      <c r="I186" s="324">
        <f t="shared" si="31"/>
        <v>0</v>
      </c>
      <c r="J186" s="328"/>
      <c r="K186" s="331"/>
      <c r="L186" s="324">
        <f t="shared" si="32"/>
        <v>0</v>
      </c>
      <c r="M186" s="332"/>
      <c r="N186" s="329"/>
      <c r="O186" s="324">
        <f t="shared" si="33"/>
        <v>0</v>
      </c>
      <c r="P186" s="325"/>
      <c r="R186" s="53"/>
      <c r="S186" s="53"/>
      <c r="T186" s="53"/>
    </row>
    <row r="187" spans="1:20" ht="48" hidden="1" x14ac:dyDescent="0.25">
      <c r="A187" s="160">
        <v>3300</v>
      </c>
      <c r="B187" s="321" t="s">
        <v>203</v>
      </c>
      <c r="C187" s="333">
        <f t="shared" si="26"/>
        <v>0</v>
      </c>
      <c r="D187" s="334">
        <f>SUM(D188:D189)</f>
        <v>0</v>
      </c>
      <c r="E187" s="251">
        <f>SUM(E188:E189)</f>
        <v>0</v>
      </c>
      <c r="F187" s="335">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c r="R187" s="53"/>
      <c r="S187" s="53"/>
      <c r="T187" s="53"/>
    </row>
    <row r="188" spans="1:20" ht="48" hidden="1" x14ac:dyDescent="0.25">
      <c r="A188" s="178">
        <v>3310</v>
      </c>
      <c r="B188" s="179" t="s">
        <v>204</v>
      </c>
      <c r="C188" s="191">
        <f t="shared" si="26"/>
        <v>0</v>
      </c>
      <c r="D188" s="287"/>
      <c r="E188" s="291"/>
      <c r="F188" s="310">
        <f t="shared" si="30"/>
        <v>0</v>
      </c>
      <c r="G188" s="287"/>
      <c r="H188" s="289"/>
      <c r="I188" s="259">
        <f t="shared" si="31"/>
        <v>0</v>
      </c>
      <c r="J188" s="287"/>
      <c r="K188" s="289"/>
      <c r="L188" s="259">
        <f t="shared" si="32"/>
        <v>0</v>
      </c>
      <c r="M188" s="290"/>
      <c r="N188" s="291"/>
      <c r="O188" s="259">
        <f t="shared" si="33"/>
        <v>0</v>
      </c>
      <c r="P188" s="189"/>
      <c r="R188" s="53"/>
      <c r="S188" s="53"/>
      <c r="T188" s="53"/>
    </row>
    <row r="189" spans="1:20" ht="60" hidden="1" x14ac:dyDescent="0.25">
      <c r="A189" s="66">
        <v>3320</v>
      </c>
      <c r="B189" s="116" t="s">
        <v>205</v>
      </c>
      <c r="C189" s="117">
        <f t="shared" si="26"/>
        <v>0</v>
      </c>
      <c r="D189" s="123"/>
      <c r="E189" s="262"/>
      <c r="F189" s="263">
        <f t="shared" si="30"/>
        <v>0</v>
      </c>
      <c r="G189" s="123"/>
      <c r="H189" s="124"/>
      <c r="I189" s="125">
        <f t="shared" si="31"/>
        <v>0</v>
      </c>
      <c r="J189" s="123"/>
      <c r="K189" s="124"/>
      <c r="L189" s="125">
        <f t="shared" si="32"/>
        <v>0</v>
      </c>
      <c r="M189" s="264"/>
      <c r="N189" s="262"/>
      <c r="O189" s="125">
        <f t="shared" si="33"/>
        <v>0</v>
      </c>
      <c r="P189" s="74"/>
      <c r="R189" s="53"/>
      <c r="S189" s="53"/>
      <c r="T189" s="53"/>
    </row>
    <row r="190" spans="1:20" hidden="1" x14ac:dyDescent="0.25">
      <c r="A190" s="337">
        <v>4000</v>
      </c>
      <c r="B190" s="237" t="s">
        <v>206</v>
      </c>
      <c r="C190" s="238">
        <f t="shared" si="26"/>
        <v>0</v>
      </c>
      <c r="D190" s="239">
        <f>SUM(D191,D194)</f>
        <v>0</v>
      </c>
      <c r="E190" s="245">
        <f>SUM(E191,E194)</f>
        <v>0</v>
      </c>
      <c r="F190" s="320">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c r="R190" s="53"/>
      <c r="S190" s="53"/>
      <c r="T190" s="53"/>
    </row>
    <row r="191" spans="1:20" ht="24" hidden="1" x14ac:dyDescent="0.25">
      <c r="A191" s="338">
        <v>4200</v>
      </c>
      <c r="B191" s="247" t="s">
        <v>207</v>
      </c>
      <c r="C191" s="100">
        <f t="shared" si="26"/>
        <v>0</v>
      </c>
      <c r="D191" s="112">
        <f>SUM(D192,D193)</f>
        <v>0</v>
      </c>
      <c r="E191" s="293">
        <f>SUM(E192,E193)</f>
        <v>0</v>
      </c>
      <c r="F191" s="313">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c r="R191" s="53"/>
      <c r="S191" s="53"/>
      <c r="T191" s="53"/>
    </row>
    <row r="192" spans="1:20" ht="36" hidden="1" x14ac:dyDescent="0.25">
      <c r="A192" s="656">
        <v>4240</v>
      </c>
      <c r="B192" s="116" t="s">
        <v>208</v>
      </c>
      <c r="C192" s="117">
        <f t="shared" si="26"/>
        <v>0</v>
      </c>
      <c r="D192" s="123"/>
      <c r="E192" s="262"/>
      <c r="F192" s="263">
        <f t="shared" si="30"/>
        <v>0</v>
      </c>
      <c r="G192" s="123"/>
      <c r="H192" s="124"/>
      <c r="I192" s="125">
        <f t="shared" si="31"/>
        <v>0</v>
      </c>
      <c r="J192" s="123"/>
      <c r="K192" s="124"/>
      <c r="L192" s="125">
        <f t="shared" si="32"/>
        <v>0</v>
      </c>
      <c r="M192" s="264"/>
      <c r="N192" s="262"/>
      <c r="O192" s="125">
        <f t="shared" si="33"/>
        <v>0</v>
      </c>
      <c r="P192" s="74"/>
      <c r="R192" s="53"/>
      <c r="S192" s="53"/>
      <c r="T192" s="53"/>
    </row>
    <row r="193" spans="1:20" ht="24" hidden="1" x14ac:dyDescent="0.25">
      <c r="A193" s="276">
        <v>4250</v>
      </c>
      <c r="B193" s="127" t="s">
        <v>209</v>
      </c>
      <c r="C193" s="128">
        <f t="shared" si="26"/>
        <v>0</v>
      </c>
      <c r="D193" s="134"/>
      <c r="E193" s="285"/>
      <c r="F193" s="286">
        <f t="shared" si="30"/>
        <v>0</v>
      </c>
      <c r="G193" s="134"/>
      <c r="H193" s="135"/>
      <c r="I193" s="136">
        <f t="shared" si="31"/>
        <v>0</v>
      </c>
      <c r="J193" s="134"/>
      <c r="K193" s="135"/>
      <c r="L193" s="136">
        <f t="shared" si="32"/>
        <v>0</v>
      </c>
      <c r="M193" s="284"/>
      <c r="N193" s="285"/>
      <c r="O193" s="136">
        <f t="shared" si="33"/>
        <v>0</v>
      </c>
      <c r="P193" s="85"/>
      <c r="R193" s="53"/>
      <c r="S193" s="53"/>
      <c r="T193" s="53"/>
    </row>
    <row r="194" spans="1:20" hidden="1" x14ac:dyDescent="0.25">
      <c r="A194" s="99">
        <v>4300</v>
      </c>
      <c r="B194" s="247" t="s">
        <v>210</v>
      </c>
      <c r="C194" s="100">
        <f t="shared" si="26"/>
        <v>0</v>
      </c>
      <c r="D194" s="112">
        <f>SUM(D195)</f>
        <v>0</v>
      </c>
      <c r="E194" s="293">
        <f>SUM(E195)</f>
        <v>0</v>
      </c>
      <c r="F194" s="313">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c r="R194" s="53"/>
      <c r="S194" s="53"/>
      <c r="T194" s="53"/>
    </row>
    <row r="195" spans="1:20" ht="24" hidden="1" x14ac:dyDescent="0.25">
      <c r="A195" s="656">
        <v>4310</v>
      </c>
      <c r="B195" s="116" t="s">
        <v>211</v>
      </c>
      <c r="C195" s="117">
        <f t="shared" si="26"/>
        <v>0</v>
      </c>
      <c r="D195" s="297">
        <f>SUM(D196:D196)</f>
        <v>0</v>
      </c>
      <c r="E195" s="301">
        <f>SUM(E196:E196)</f>
        <v>0</v>
      </c>
      <c r="F195" s="263">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c r="R195" s="53"/>
      <c r="S195" s="53"/>
      <c r="T195" s="53"/>
    </row>
    <row r="196" spans="1:20" ht="36" hidden="1" x14ac:dyDescent="0.25">
      <c r="A196" s="76">
        <v>4311</v>
      </c>
      <c r="B196" s="127" t="s">
        <v>212</v>
      </c>
      <c r="C196" s="128">
        <f t="shared" si="26"/>
        <v>0</v>
      </c>
      <c r="D196" s="134"/>
      <c r="E196" s="285"/>
      <c r="F196" s="286">
        <f t="shared" si="30"/>
        <v>0</v>
      </c>
      <c r="G196" s="134"/>
      <c r="H196" s="135"/>
      <c r="I196" s="136">
        <f t="shared" si="31"/>
        <v>0</v>
      </c>
      <c r="J196" s="134"/>
      <c r="K196" s="135"/>
      <c r="L196" s="136">
        <f t="shared" si="32"/>
        <v>0</v>
      </c>
      <c r="M196" s="284"/>
      <c r="N196" s="285"/>
      <c r="O196" s="136">
        <f t="shared" si="33"/>
        <v>0</v>
      </c>
      <c r="P196" s="85"/>
      <c r="R196" s="53"/>
      <c r="S196" s="53"/>
      <c r="T196" s="53"/>
    </row>
    <row r="197" spans="1:20" s="41" customFormat="1" ht="24" x14ac:dyDescent="0.25">
      <c r="A197" s="339"/>
      <c r="B197" s="31" t="s">
        <v>213</v>
      </c>
      <c r="C197" s="229">
        <f t="shared" si="26"/>
        <v>25437</v>
      </c>
      <c r="D197" s="230">
        <f>SUM(D198,D233,D271)</f>
        <v>17209</v>
      </c>
      <c r="E197" s="231">
        <f>SUM(E198,E233,E271)</f>
        <v>0</v>
      </c>
      <c r="F197" s="232">
        <f t="shared" si="30"/>
        <v>17209</v>
      </c>
      <c r="G197" s="230">
        <f>SUM(G198,G233,G271)</f>
        <v>8028</v>
      </c>
      <c r="H197" s="233">
        <f>SUM(H198,H233,H271)</f>
        <v>0</v>
      </c>
      <c r="I197" s="234">
        <f t="shared" si="31"/>
        <v>8028</v>
      </c>
      <c r="J197" s="230">
        <f>SUM(J198,J233,J271)</f>
        <v>200</v>
      </c>
      <c r="K197" s="233">
        <f>SUM(K198,K233,K271)</f>
        <v>0</v>
      </c>
      <c r="L197" s="234">
        <f t="shared" si="32"/>
        <v>200</v>
      </c>
      <c r="M197" s="340">
        <f>SUM(M198,M233,M271)</f>
        <v>0</v>
      </c>
      <c r="N197" s="341">
        <f>SUM(N198,N233,N271)</f>
        <v>0</v>
      </c>
      <c r="O197" s="342">
        <f t="shared" si="33"/>
        <v>0</v>
      </c>
      <c r="P197" s="343"/>
      <c r="R197" s="53"/>
      <c r="S197" s="53"/>
      <c r="T197" s="53"/>
    </row>
    <row r="198" spans="1:20" x14ac:dyDescent="0.25">
      <c r="A198" s="237">
        <v>5000</v>
      </c>
      <c r="B198" s="237" t="s">
        <v>214</v>
      </c>
      <c r="C198" s="238">
        <f>F198+I198+L198+O198</f>
        <v>25437</v>
      </c>
      <c r="D198" s="239">
        <f>D199+D207</f>
        <v>17209</v>
      </c>
      <c r="E198" s="240">
        <f>E199+E207</f>
        <v>0</v>
      </c>
      <c r="F198" s="241">
        <f t="shared" si="30"/>
        <v>17209</v>
      </c>
      <c r="G198" s="239">
        <f>G199+G207</f>
        <v>8028</v>
      </c>
      <c r="H198" s="242">
        <f>H199+H207</f>
        <v>0</v>
      </c>
      <c r="I198" s="243">
        <f t="shared" si="31"/>
        <v>8028</v>
      </c>
      <c r="J198" s="239">
        <f>J199+J207</f>
        <v>200</v>
      </c>
      <c r="K198" s="242">
        <f>K199+K207</f>
        <v>0</v>
      </c>
      <c r="L198" s="243">
        <f t="shared" si="32"/>
        <v>200</v>
      </c>
      <c r="M198" s="244">
        <f>M199+M207</f>
        <v>0</v>
      </c>
      <c r="N198" s="245">
        <f>N199+N207</f>
        <v>0</v>
      </c>
      <c r="O198" s="243">
        <f t="shared" si="33"/>
        <v>0</v>
      </c>
      <c r="P198" s="246"/>
      <c r="R198" s="53"/>
      <c r="S198" s="53"/>
      <c r="T198" s="53"/>
    </row>
    <row r="199" spans="1:20" x14ac:dyDescent="0.25">
      <c r="A199" s="99">
        <v>5100</v>
      </c>
      <c r="B199" s="247" t="s">
        <v>215</v>
      </c>
      <c r="C199" s="100">
        <f t="shared" si="26"/>
        <v>192</v>
      </c>
      <c r="D199" s="112">
        <f>D200+D201+D204+D205+D206</f>
        <v>192</v>
      </c>
      <c r="E199" s="248">
        <f>E200+E201+E204+E205+E206</f>
        <v>0</v>
      </c>
      <c r="F199" s="249">
        <f t="shared" si="30"/>
        <v>192</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c r="R199" s="53"/>
      <c r="S199" s="53"/>
      <c r="T199" s="53"/>
    </row>
    <row r="200" spans="1:20" hidden="1" x14ac:dyDescent="0.25">
      <c r="A200" s="656">
        <v>5110</v>
      </c>
      <c r="B200" s="116" t="s">
        <v>216</v>
      </c>
      <c r="C200" s="117">
        <f t="shared" si="26"/>
        <v>0</v>
      </c>
      <c r="D200" s="123"/>
      <c r="E200" s="262"/>
      <c r="F200" s="263">
        <f t="shared" si="30"/>
        <v>0</v>
      </c>
      <c r="G200" s="123"/>
      <c r="H200" s="124"/>
      <c r="I200" s="125">
        <f t="shared" si="31"/>
        <v>0</v>
      </c>
      <c r="J200" s="123"/>
      <c r="K200" s="124"/>
      <c r="L200" s="125">
        <f t="shared" si="32"/>
        <v>0</v>
      </c>
      <c r="M200" s="264"/>
      <c r="N200" s="262"/>
      <c r="O200" s="125">
        <f t="shared" si="33"/>
        <v>0</v>
      </c>
      <c r="P200" s="74"/>
      <c r="R200" s="53"/>
      <c r="S200" s="53"/>
      <c r="T200" s="53"/>
    </row>
    <row r="201" spans="1:20" ht="24" x14ac:dyDescent="0.25">
      <c r="A201" s="276">
        <v>5120</v>
      </c>
      <c r="B201" s="127" t="s">
        <v>217</v>
      </c>
      <c r="C201" s="128">
        <f t="shared" si="26"/>
        <v>192</v>
      </c>
      <c r="D201" s="277">
        <f>D202+D203</f>
        <v>192</v>
      </c>
      <c r="E201" s="278">
        <f>E202+E203</f>
        <v>0</v>
      </c>
      <c r="F201" s="279">
        <f t="shared" si="30"/>
        <v>192</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c r="R201" s="53"/>
      <c r="S201" s="53"/>
      <c r="T201" s="53"/>
    </row>
    <row r="202" spans="1:20" x14ac:dyDescent="0.25">
      <c r="A202" s="76">
        <v>5121</v>
      </c>
      <c r="B202" s="127" t="s">
        <v>218</v>
      </c>
      <c r="C202" s="128">
        <f t="shared" si="26"/>
        <v>192</v>
      </c>
      <c r="D202" s="134">
        <v>192</v>
      </c>
      <c r="E202" s="283"/>
      <c r="F202" s="279">
        <f t="shared" si="30"/>
        <v>192</v>
      </c>
      <c r="G202" s="134"/>
      <c r="H202" s="135"/>
      <c r="I202" s="136">
        <f t="shared" si="31"/>
        <v>0</v>
      </c>
      <c r="J202" s="134"/>
      <c r="K202" s="135"/>
      <c r="L202" s="136">
        <f t="shared" si="32"/>
        <v>0</v>
      </c>
      <c r="M202" s="284"/>
      <c r="N202" s="285"/>
      <c r="O202" s="136">
        <f t="shared" si="33"/>
        <v>0</v>
      </c>
      <c r="P202" s="85"/>
      <c r="R202" s="53"/>
      <c r="S202" s="53"/>
      <c r="T202" s="53"/>
    </row>
    <row r="203" spans="1:20" ht="24" hidden="1" x14ac:dyDescent="0.25">
      <c r="A203" s="76">
        <v>5129</v>
      </c>
      <c r="B203" s="127" t="s">
        <v>219</v>
      </c>
      <c r="C203" s="128">
        <f t="shared" si="26"/>
        <v>0</v>
      </c>
      <c r="D203" s="134"/>
      <c r="E203" s="285"/>
      <c r="F203" s="286">
        <f t="shared" si="30"/>
        <v>0</v>
      </c>
      <c r="G203" s="134"/>
      <c r="H203" s="135"/>
      <c r="I203" s="136">
        <f t="shared" si="31"/>
        <v>0</v>
      </c>
      <c r="J203" s="134"/>
      <c r="K203" s="135"/>
      <c r="L203" s="136">
        <f t="shared" si="32"/>
        <v>0</v>
      </c>
      <c r="M203" s="284"/>
      <c r="N203" s="285"/>
      <c r="O203" s="136">
        <f t="shared" si="33"/>
        <v>0</v>
      </c>
      <c r="P203" s="85"/>
      <c r="R203" s="53"/>
      <c r="S203" s="53"/>
      <c r="T203" s="53"/>
    </row>
    <row r="204" spans="1:20" hidden="1" x14ac:dyDescent="0.25">
      <c r="A204" s="276">
        <v>5130</v>
      </c>
      <c r="B204" s="127" t="s">
        <v>220</v>
      </c>
      <c r="C204" s="128">
        <f t="shared" si="26"/>
        <v>0</v>
      </c>
      <c r="D204" s="134"/>
      <c r="E204" s="285"/>
      <c r="F204" s="286">
        <f t="shared" si="30"/>
        <v>0</v>
      </c>
      <c r="G204" s="134"/>
      <c r="H204" s="135"/>
      <c r="I204" s="136">
        <f t="shared" si="31"/>
        <v>0</v>
      </c>
      <c r="J204" s="134"/>
      <c r="K204" s="135"/>
      <c r="L204" s="136">
        <f t="shared" si="32"/>
        <v>0</v>
      </c>
      <c r="M204" s="284"/>
      <c r="N204" s="285"/>
      <c r="O204" s="136">
        <f t="shared" si="33"/>
        <v>0</v>
      </c>
      <c r="P204" s="85"/>
      <c r="R204" s="53"/>
      <c r="S204" s="53"/>
      <c r="T204" s="53"/>
    </row>
    <row r="205" spans="1:20" hidden="1" x14ac:dyDescent="0.25">
      <c r="A205" s="276">
        <v>5140</v>
      </c>
      <c r="B205" s="127" t="s">
        <v>221</v>
      </c>
      <c r="C205" s="128">
        <f t="shared" si="26"/>
        <v>0</v>
      </c>
      <c r="D205" s="134"/>
      <c r="E205" s="285"/>
      <c r="F205" s="286">
        <f t="shared" si="30"/>
        <v>0</v>
      </c>
      <c r="G205" s="134"/>
      <c r="H205" s="135"/>
      <c r="I205" s="136">
        <f t="shared" si="31"/>
        <v>0</v>
      </c>
      <c r="J205" s="134"/>
      <c r="K205" s="135"/>
      <c r="L205" s="136">
        <f t="shared" si="32"/>
        <v>0</v>
      </c>
      <c r="M205" s="284"/>
      <c r="N205" s="285"/>
      <c r="O205" s="136">
        <f t="shared" si="33"/>
        <v>0</v>
      </c>
      <c r="P205" s="85"/>
      <c r="R205" s="53"/>
      <c r="S205" s="53"/>
      <c r="T205" s="53"/>
    </row>
    <row r="206" spans="1:20" ht="24" hidden="1" x14ac:dyDescent="0.25">
      <c r="A206" s="276">
        <v>5170</v>
      </c>
      <c r="B206" s="127" t="s">
        <v>222</v>
      </c>
      <c r="C206" s="128">
        <f t="shared" si="26"/>
        <v>0</v>
      </c>
      <c r="D206" s="134"/>
      <c r="E206" s="285"/>
      <c r="F206" s="286">
        <f t="shared" si="30"/>
        <v>0</v>
      </c>
      <c r="G206" s="134"/>
      <c r="H206" s="135"/>
      <c r="I206" s="136">
        <f t="shared" si="31"/>
        <v>0</v>
      </c>
      <c r="J206" s="134"/>
      <c r="K206" s="135"/>
      <c r="L206" s="136">
        <f t="shared" si="32"/>
        <v>0</v>
      </c>
      <c r="M206" s="284"/>
      <c r="N206" s="285"/>
      <c r="O206" s="136">
        <f t="shared" si="33"/>
        <v>0</v>
      </c>
      <c r="P206" s="85"/>
      <c r="R206" s="53"/>
      <c r="S206" s="53"/>
      <c r="T206" s="53"/>
    </row>
    <row r="207" spans="1:20" x14ac:dyDescent="0.25">
      <c r="A207" s="99">
        <v>5200</v>
      </c>
      <c r="B207" s="247" t="s">
        <v>223</v>
      </c>
      <c r="C207" s="100">
        <f t="shared" si="26"/>
        <v>25245</v>
      </c>
      <c r="D207" s="112">
        <f>D208+D218+D219+D228+D229+D230+D232</f>
        <v>17017</v>
      </c>
      <c r="E207" s="248">
        <f>E208+E218+E219+E228+E229+E230+E232</f>
        <v>0</v>
      </c>
      <c r="F207" s="249">
        <f t="shared" si="30"/>
        <v>17017</v>
      </c>
      <c r="G207" s="112">
        <f>G208+G218+G219+G228+G229+G230+G232</f>
        <v>8028</v>
      </c>
      <c r="H207" s="113">
        <f>H208+H218+H219+H228+H229+H230+H232</f>
        <v>0</v>
      </c>
      <c r="I207" s="114">
        <f t="shared" si="31"/>
        <v>8028</v>
      </c>
      <c r="J207" s="112">
        <f>J208+J218+J219+J228+J229+J230+J232</f>
        <v>200</v>
      </c>
      <c r="K207" s="113">
        <f>K208+K218+K219+K228+K229+K230+K232</f>
        <v>0</v>
      </c>
      <c r="L207" s="114">
        <f t="shared" si="32"/>
        <v>200</v>
      </c>
      <c r="M207" s="292">
        <f>M208+M218+M219+M228+M229+M230+M232</f>
        <v>0</v>
      </c>
      <c r="N207" s="293">
        <f>N208+N218+N219+N228+N229+N230+N232</f>
        <v>0</v>
      </c>
      <c r="O207" s="114">
        <f t="shared" si="33"/>
        <v>0</v>
      </c>
      <c r="P207" s="109"/>
      <c r="R207" s="53"/>
      <c r="S207" s="53"/>
      <c r="T207" s="53"/>
    </row>
    <row r="208" spans="1:20" hidden="1" x14ac:dyDescent="0.25">
      <c r="A208" s="254">
        <v>5210</v>
      </c>
      <c r="B208" s="179" t="s">
        <v>224</v>
      </c>
      <c r="C208" s="191">
        <f t="shared" si="26"/>
        <v>0</v>
      </c>
      <c r="D208" s="255">
        <f>SUM(D209:D217)</f>
        <v>0</v>
      </c>
      <c r="E208" s="261">
        <f>SUM(E209:E217)</f>
        <v>0</v>
      </c>
      <c r="F208" s="310">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c r="R208" s="53"/>
      <c r="S208" s="53"/>
      <c r="T208" s="53"/>
    </row>
    <row r="209" spans="1:20" hidden="1" x14ac:dyDescent="0.25">
      <c r="A209" s="66">
        <v>5211</v>
      </c>
      <c r="B209" s="116" t="s">
        <v>225</v>
      </c>
      <c r="C209" s="279">
        <f t="shared" si="26"/>
        <v>0</v>
      </c>
      <c r="D209" s="123"/>
      <c r="E209" s="262"/>
      <c r="F209" s="263">
        <f t="shared" si="30"/>
        <v>0</v>
      </c>
      <c r="G209" s="123"/>
      <c r="H209" s="124"/>
      <c r="I209" s="125">
        <f t="shared" si="31"/>
        <v>0</v>
      </c>
      <c r="J209" s="123"/>
      <c r="K209" s="124"/>
      <c r="L209" s="125">
        <f t="shared" si="32"/>
        <v>0</v>
      </c>
      <c r="M209" s="264"/>
      <c r="N209" s="262"/>
      <c r="O209" s="125">
        <f t="shared" si="33"/>
        <v>0</v>
      </c>
      <c r="P209" s="74"/>
      <c r="R209" s="53"/>
      <c r="S209" s="53"/>
      <c r="T209" s="53"/>
    </row>
    <row r="210" spans="1:20" hidden="1" x14ac:dyDescent="0.25">
      <c r="A210" s="76">
        <v>5212</v>
      </c>
      <c r="B210" s="127" t="s">
        <v>226</v>
      </c>
      <c r="C210" s="279">
        <f t="shared" si="26"/>
        <v>0</v>
      </c>
      <c r="D210" s="134"/>
      <c r="E210" s="285"/>
      <c r="F210" s="286">
        <f t="shared" si="30"/>
        <v>0</v>
      </c>
      <c r="G210" s="134"/>
      <c r="H210" s="135"/>
      <c r="I210" s="136">
        <f t="shared" si="31"/>
        <v>0</v>
      </c>
      <c r="J210" s="134"/>
      <c r="K210" s="135"/>
      <c r="L210" s="136">
        <f t="shared" si="32"/>
        <v>0</v>
      </c>
      <c r="M210" s="284"/>
      <c r="N210" s="285"/>
      <c r="O210" s="136">
        <f t="shared" si="33"/>
        <v>0</v>
      </c>
      <c r="P210" s="85"/>
      <c r="R210" s="53"/>
      <c r="S210" s="53"/>
      <c r="T210" s="53"/>
    </row>
    <row r="211" spans="1:20" hidden="1" x14ac:dyDescent="0.25">
      <c r="A211" s="76">
        <v>5213</v>
      </c>
      <c r="B211" s="127" t="s">
        <v>227</v>
      </c>
      <c r="C211" s="279">
        <f t="shared" si="26"/>
        <v>0</v>
      </c>
      <c r="D211" s="134"/>
      <c r="E211" s="285"/>
      <c r="F211" s="286">
        <f t="shared" si="30"/>
        <v>0</v>
      </c>
      <c r="G211" s="134"/>
      <c r="H211" s="135"/>
      <c r="I211" s="136">
        <f t="shared" si="31"/>
        <v>0</v>
      </c>
      <c r="J211" s="134"/>
      <c r="K211" s="135"/>
      <c r="L211" s="136">
        <f t="shared" si="32"/>
        <v>0</v>
      </c>
      <c r="M211" s="284"/>
      <c r="N211" s="285"/>
      <c r="O211" s="136">
        <f t="shared" si="33"/>
        <v>0</v>
      </c>
      <c r="P211" s="85"/>
      <c r="R211" s="53"/>
      <c r="S211" s="53"/>
      <c r="T211" s="53"/>
    </row>
    <row r="212" spans="1:20" hidden="1" x14ac:dyDescent="0.25">
      <c r="A212" s="76">
        <v>5214</v>
      </c>
      <c r="B212" s="127" t="s">
        <v>228</v>
      </c>
      <c r="C212" s="279">
        <f t="shared" si="26"/>
        <v>0</v>
      </c>
      <c r="D212" s="134"/>
      <c r="E212" s="285"/>
      <c r="F212" s="286">
        <f t="shared" si="30"/>
        <v>0</v>
      </c>
      <c r="G212" s="134"/>
      <c r="H212" s="135"/>
      <c r="I212" s="136">
        <f t="shared" si="31"/>
        <v>0</v>
      </c>
      <c r="J212" s="134"/>
      <c r="K212" s="135"/>
      <c r="L212" s="136">
        <f t="shared" si="32"/>
        <v>0</v>
      </c>
      <c r="M212" s="284"/>
      <c r="N212" s="285"/>
      <c r="O212" s="136">
        <f t="shared" si="33"/>
        <v>0</v>
      </c>
      <c r="P212" s="85"/>
      <c r="R212" s="53"/>
      <c r="S212" s="53"/>
      <c r="T212" s="53"/>
    </row>
    <row r="213" spans="1:20" hidden="1" x14ac:dyDescent="0.25">
      <c r="A213" s="76">
        <v>5215</v>
      </c>
      <c r="B213" s="127" t="s">
        <v>229</v>
      </c>
      <c r="C213" s="279">
        <f t="shared" si="26"/>
        <v>0</v>
      </c>
      <c r="D213" s="134"/>
      <c r="E213" s="285"/>
      <c r="F213" s="286">
        <f t="shared" si="30"/>
        <v>0</v>
      </c>
      <c r="G213" s="134"/>
      <c r="H213" s="135"/>
      <c r="I213" s="136">
        <f t="shared" si="31"/>
        <v>0</v>
      </c>
      <c r="J213" s="134"/>
      <c r="K213" s="135"/>
      <c r="L213" s="136">
        <f t="shared" si="32"/>
        <v>0</v>
      </c>
      <c r="M213" s="284"/>
      <c r="N213" s="285"/>
      <c r="O213" s="136">
        <f t="shared" si="33"/>
        <v>0</v>
      </c>
      <c r="P213" s="85"/>
      <c r="R213" s="53"/>
      <c r="S213" s="53"/>
      <c r="T213" s="53"/>
    </row>
    <row r="214" spans="1:20" ht="24" hidden="1" x14ac:dyDescent="0.25">
      <c r="A214" s="76">
        <v>5216</v>
      </c>
      <c r="B214" s="127" t="s">
        <v>230</v>
      </c>
      <c r="C214" s="279">
        <f t="shared" si="26"/>
        <v>0</v>
      </c>
      <c r="D214" s="134"/>
      <c r="E214" s="285"/>
      <c r="F214" s="286">
        <f t="shared" si="30"/>
        <v>0</v>
      </c>
      <c r="G214" s="134"/>
      <c r="H214" s="135"/>
      <c r="I214" s="136">
        <f t="shared" si="31"/>
        <v>0</v>
      </c>
      <c r="J214" s="134"/>
      <c r="K214" s="135"/>
      <c r="L214" s="136">
        <f t="shared" si="32"/>
        <v>0</v>
      </c>
      <c r="M214" s="284"/>
      <c r="N214" s="285"/>
      <c r="O214" s="136">
        <f t="shared" si="33"/>
        <v>0</v>
      </c>
      <c r="P214" s="85"/>
      <c r="R214" s="53"/>
      <c r="S214" s="53"/>
      <c r="T214" s="53"/>
    </row>
    <row r="215" spans="1:20" hidden="1" x14ac:dyDescent="0.25">
      <c r="A215" s="76">
        <v>5217</v>
      </c>
      <c r="B215" s="127" t="s">
        <v>231</v>
      </c>
      <c r="C215" s="279">
        <f t="shared" si="26"/>
        <v>0</v>
      </c>
      <c r="D215" s="134"/>
      <c r="E215" s="285"/>
      <c r="F215" s="286">
        <f t="shared" si="30"/>
        <v>0</v>
      </c>
      <c r="G215" s="134"/>
      <c r="H215" s="135"/>
      <c r="I215" s="136">
        <f t="shared" si="31"/>
        <v>0</v>
      </c>
      <c r="J215" s="134"/>
      <c r="K215" s="135"/>
      <c r="L215" s="136">
        <f t="shared" si="32"/>
        <v>0</v>
      </c>
      <c r="M215" s="284"/>
      <c r="N215" s="285"/>
      <c r="O215" s="136">
        <f t="shared" si="33"/>
        <v>0</v>
      </c>
      <c r="P215" s="85"/>
      <c r="R215" s="53"/>
      <c r="S215" s="53"/>
      <c r="T215" s="53"/>
    </row>
    <row r="216" spans="1:20" hidden="1" x14ac:dyDescent="0.25">
      <c r="A216" s="76">
        <v>5218</v>
      </c>
      <c r="B216" s="127" t="s">
        <v>232</v>
      </c>
      <c r="C216" s="279">
        <f t="shared" si="26"/>
        <v>0</v>
      </c>
      <c r="D216" s="134"/>
      <c r="E216" s="285"/>
      <c r="F216" s="286">
        <f t="shared" si="30"/>
        <v>0</v>
      </c>
      <c r="G216" s="134"/>
      <c r="H216" s="135"/>
      <c r="I216" s="136">
        <f t="shared" si="31"/>
        <v>0</v>
      </c>
      <c r="J216" s="134"/>
      <c r="K216" s="135"/>
      <c r="L216" s="136">
        <f t="shared" si="32"/>
        <v>0</v>
      </c>
      <c r="M216" s="284"/>
      <c r="N216" s="285"/>
      <c r="O216" s="136">
        <f t="shared" si="33"/>
        <v>0</v>
      </c>
      <c r="P216" s="85"/>
      <c r="R216" s="53"/>
      <c r="S216" s="53"/>
      <c r="T216" s="53"/>
    </row>
    <row r="217" spans="1:20" hidden="1" x14ac:dyDescent="0.25">
      <c r="A217" s="76">
        <v>5219</v>
      </c>
      <c r="B217" s="127" t="s">
        <v>233</v>
      </c>
      <c r="C217" s="279">
        <f t="shared" si="26"/>
        <v>0</v>
      </c>
      <c r="D217" s="134"/>
      <c r="E217" s="285"/>
      <c r="F217" s="286">
        <f t="shared" si="30"/>
        <v>0</v>
      </c>
      <c r="G217" s="134"/>
      <c r="H217" s="135"/>
      <c r="I217" s="136">
        <f t="shared" si="31"/>
        <v>0</v>
      </c>
      <c r="J217" s="134"/>
      <c r="K217" s="135"/>
      <c r="L217" s="136">
        <f t="shared" si="32"/>
        <v>0</v>
      </c>
      <c r="M217" s="284"/>
      <c r="N217" s="285"/>
      <c r="O217" s="136">
        <f t="shared" si="33"/>
        <v>0</v>
      </c>
      <c r="P217" s="85"/>
      <c r="R217" s="53"/>
      <c r="S217" s="53"/>
      <c r="T217" s="53"/>
    </row>
    <row r="218" spans="1:20" hidden="1" x14ac:dyDescent="0.25">
      <c r="A218" s="276">
        <v>5220</v>
      </c>
      <c r="B218" s="127" t="s">
        <v>234</v>
      </c>
      <c r="C218" s="279">
        <f t="shared" si="26"/>
        <v>0</v>
      </c>
      <c r="D218" s="134"/>
      <c r="E218" s="285"/>
      <c r="F218" s="286">
        <f t="shared" si="30"/>
        <v>0</v>
      </c>
      <c r="G218" s="134"/>
      <c r="H218" s="135"/>
      <c r="I218" s="136">
        <f t="shared" si="31"/>
        <v>0</v>
      </c>
      <c r="J218" s="134"/>
      <c r="K218" s="135"/>
      <c r="L218" s="136">
        <f t="shared" si="32"/>
        <v>0</v>
      </c>
      <c r="M218" s="284"/>
      <c r="N218" s="285"/>
      <c r="O218" s="136">
        <f t="shared" si="33"/>
        <v>0</v>
      </c>
      <c r="P218" s="85"/>
      <c r="R218" s="53"/>
      <c r="S218" s="53"/>
      <c r="T218" s="53"/>
    </row>
    <row r="219" spans="1:20" x14ac:dyDescent="0.25">
      <c r="A219" s="276">
        <v>5230</v>
      </c>
      <c r="B219" s="127" t="s">
        <v>235</v>
      </c>
      <c r="C219" s="279">
        <f t="shared" si="26"/>
        <v>25245</v>
      </c>
      <c r="D219" s="277">
        <f>SUM(D220:D227)</f>
        <v>17017</v>
      </c>
      <c r="E219" s="278">
        <f>SUM(E220:E227)</f>
        <v>0</v>
      </c>
      <c r="F219" s="279">
        <f t="shared" si="30"/>
        <v>17017</v>
      </c>
      <c r="G219" s="277">
        <f>SUM(G220:G227)</f>
        <v>8028</v>
      </c>
      <c r="H219" s="280">
        <f>SUM(H220:H227)</f>
        <v>0</v>
      </c>
      <c r="I219" s="136">
        <f t="shared" si="31"/>
        <v>8028</v>
      </c>
      <c r="J219" s="277">
        <f>SUM(J220:J227)</f>
        <v>200</v>
      </c>
      <c r="K219" s="280">
        <f>SUM(K220:K227)</f>
        <v>0</v>
      </c>
      <c r="L219" s="136">
        <f t="shared" si="32"/>
        <v>200</v>
      </c>
      <c r="M219" s="281">
        <f>SUM(M220:M227)</f>
        <v>0</v>
      </c>
      <c r="N219" s="282">
        <f>SUM(N220:N227)</f>
        <v>0</v>
      </c>
      <c r="O219" s="136">
        <f t="shared" si="33"/>
        <v>0</v>
      </c>
      <c r="P219" s="85"/>
      <c r="R219" s="53"/>
      <c r="S219" s="53"/>
      <c r="T219" s="53"/>
    </row>
    <row r="220" spans="1:20" hidden="1" x14ac:dyDescent="0.25">
      <c r="A220" s="76">
        <v>5231</v>
      </c>
      <c r="B220" s="127" t="s">
        <v>236</v>
      </c>
      <c r="C220" s="279">
        <f t="shared" si="26"/>
        <v>0</v>
      </c>
      <c r="D220" s="134"/>
      <c r="E220" s="285"/>
      <c r="F220" s="286">
        <f t="shared" si="30"/>
        <v>0</v>
      </c>
      <c r="G220" s="134"/>
      <c r="H220" s="135"/>
      <c r="I220" s="136">
        <f t="shared" si="31"/>
        <v>0</v>
      </c>
      <c r="J220" s="134"/>
      <c r="K220" s="135"/>
      <c r="L220" s="136">
        <f t="shared" si="32"/>
        <v>0</v>
      </c>
      <c r="M220" s="284"/>
      <c r="N220" s="285"/>
      <c r="O220" s="136">
        <f t="shared" si="33"/>
        <v>0</v>
      </c>
      <c r="P220" s="85"/>
      <c r="R220" s="53"/>
      <c r="S220" s="53"/>
      <c r="T220" s="53"/>
    </row>
    <row r="221" spans="1:20" x14ac:dyDescent="0.25">
      <c r="A221" s="76">
        <v>5232</v>
      </c>
      <c r="B221" s="127" t="s">
        <v>237</v>
      </c>
      <c r="C221" s="279">
        <f t="shared" si="26"/>
        <v>1080</v>
      </c>
      <c r="D221" s="134">
        <v>1080</v>
      </c>
      <c r="E221" s="283"/>
      <c r="F221" s="279">
        <f t="shared" si="30"/>
        <v>1080</v>
      </c>
      <c r="G221" s="134"/>
      <c r="H221" s="135"/>
      <c r="I221" s="136">
        <f t="shared" si="31"/>
        <v>0</v>
      </c>
      <c r="J221" s="134"/>
      <c r="K221" s="135"/>
      <c r="L221" s="136">
        <f t="shared" si="32"/>
        <v>0</v>
      </c>
      <c r="M221" s="284"/>
      <c r="N221" s="285"/>
      <c r="O221" s="136">
        <f t="shared" si="33"/>
        <v>0</v>
      </c>
      <c r="P221" s="85"/>
      <c r="R221" s="53"/>
      <c r="S221" s="53"/>
      <c r="T221" s="53"/>
    </row>
    <row r="222" spans="1:20" x14ac:dyDescent="0.25">
      <c r="A222" s="76">
        <v>5233</v>
      </c>
      <c r="B222" s="127" t="s">
        <v>238</v>
      </c>
      <c r="C222" s="279">
        <f t="shared" si="26"/>
        <v>12411</v>
      </c>
      <c r="D222" s="134">
        <v>4383</v>
      </c>
      <c r="E222" s="283"/>
      <c r="F222" s="279">
        <f t="shared" si="30"/>
        <v>4383</v>
      </c>
      <c r="G222" s="134">
        <v>8028</v>
      </c>
      <c r="H222" s="135"/>
      <c r="I222" s="136">
        <f t="shared" si="31"/>
        <v>8028</v>
      </c>
      <c r="J222" s="134"/>
      <c r="K222" s="135"/>
      <c r="L222" s="136">
        <f t="shared" si="32"/>
        <v>0</v>
      </c>
      <c r="M222" s="284"/>
      <c r="N222" s="285"/>
      <c r="O222" s="136">
        <f t="shared" si="33"/>
        <v>0</v>
      </c>
      <c r="P222" s="85"/>
      <c r="R222" s="53"/>
      <c r="S222" s="53"/>
      <c r="T222" s="53"/>
    </row>
    <row r="223" spans="1:20" ht="24" hidden="1" x14ac:dyDescent="0.25">
      <c r="A223" s="76">
        <v>5234</v>
      </c>
      <c r="B223" s="127" t="s">
        <v>239</v>
      </c>
      <c r="C223" s="279">
        <f t="shared" si="26"/>
        <v>0</v>
      </c>
      <c r="D223" s="134"/>
      <c r="E223" s="285"/>
      <c r="F223" s="286">
        <f t="shared" si="30"/>
        <v>0</v>
      </c>
      <c r="G223" s="134"/>
      <c r="H223" s="135"/>
      <c r="I223" s="136">
        <f t="shared" si="31"/>
        <v>0</v>
      </c>
      <c r="J223" s="134"/>
      <c r="K223" s="135"/>
      <c r="L223" s="136">
        <f t="shared" si="32"/>
        <v>0</v>
      </c>
      <c r="M223" s="284"/>
      <c r="N223" s="285"/>
      <c r="O223" s="136">
        <f t="shared" si="33"/>
        <v>0</v>
      </c>
      <c r="P223" s="85"/>
      <c r="R223" s="53"/>
      <c r="S223" s="53"/>
      <c r="T223" s="53"/>
    </row>
    <row r="224" spans="1:20" hidden="1" x14ac:dyDescent="0.25">
      <c r="A224" s="76">
        <v>5236</v>
      </c>
      <c r="B224" s="127" t="s">
        <v>240</v>
      </c>
      <c r="C224" s="279">
        <f t="shared" si="26"/>
        <v>0</v>
      </c>
      <c r="D224" s="134"/>
      <c r="E224" s="285"/>
      <c r="F224" s="286">
        <f t="shared" si="30"/>
        <v>0</v>
      </c>
      <c r="G224" s="134"/>
      <c r="H224" s="135"/>
      <c r="I224" s="136">
        <f t="shared" si="31"/>
        <v>0</v>
      </c>
      <c r="J224" s="134"/>
      <c r="K224" s="135"/>
      <c r="L224" s="136">
        <f t="shared" si="32"/>
        <v>0</v>
      </c>
      <c r="M224" s="284"/>
      <c r="N224" s="285"/>
      <c r="O224" s="136">
        <f t="shared" si="33"/>
        <v>0</v>
      </c>
      <c r="P224" s="85"/>
      <c r="R224" s="53"/>
      <c r="S224" s="53"/>
      <c r="T224" s="53"/>
    </row>
    <row r="225" spans="1:20" hidden="1" x14ac:dyDescent="0.25">
      <c r="A225" s="76">
        <v>5237</v>
      </c>
      <c r="B225" s="127" t="s">
        <v>241</v>
      </c>
      <c r="C225" s="279">
        <f t="shared" si="26"/>
        <v>0</v>
      </c>
      <c r="D225" s="134"/>
      <c r="E225" s="285"/>
      <c r="F225" s="286">
        <f t="shared" si="30"/>
        <v>0</v>
      </c>
      <c r="G225" s="134"/>
      <c r="H225" s="135"/>
      <c r="I225" s="136">
        <f t="shared" si="31"/>
        <v>0</v>
      </c>
      <c r="J225" s="134"/>
      <c r="K225" s="135"/>
      <c r="L225" s="136">
        <f t="shared" si="32"/>
        <v>0</v>
      </c>
      <c r="M225" s="284"/>
      <c r="N225" s="285"/>
      <c r="O225" s="136">
        <f t="shared" si="33"/>
        <v>0</v>
      </c>
      <c r="P225" s="85"/>
      <c r="R225" s="53"/>
      <c r="S225" s="53"/>
      <c r="T225" s="53"/>
    </row>
    <row r="226" spans="1:20" ht="24" x14ac:dyDescent="0.25">
      <c r="A226" s="76">
        <v>5238</v>
      </c>
      <c r="B226" s="127" t="s">
        <v>242</v>
      </c>
      <c r="C226" s="279">
        <f t="shared" si="26"/>
        <v>7573</v>
      </c>
      <c r="D226" s="134">
        <v>7573</v>
      </c>
      <c r="E226" s="283"/>
      <c r="F226" s="279">
        <f t="shared" si="30"/>
        <v>7573</v>
      </c>
      <c r="G226" s="134"/>
      <c r="H226" s="135"/>
      <c r="I226" s="136">
        <f t="shared" si="31"/>
        <v>0</v>
      </c>
      <c r="J226" s="134"/>
      <c r="K226" s="135"/>
      <c r="L226" s="136">
        <f t="shared" si="32"/>
        <v>0</v>
      </c>
      <c r="M226" s="284"/>
      <c r="N226" s="285"/>
      <c r="O226" s="136">
        <f t="shared" si="33"/>
        <v>0</v>
      </c>
      <c r="P226" s="85"/>
      <c r="R226" s="53"/>
      <c r="S226" s="53"/>
      <c r="T226" s="53"/>
    </row>
    <row r="227" spans="1:20" ht="24" x14ac:dyDescent="0.25">
      <c r="A227" s="76">
        <v>5239</v>
      </c>
      <c r="B227" s="127" t="s">
        <v>243</v>
      </c>
      <c r="C227" s="279">
        <f t="shared" si="26"/>
        <v>4181</v>
      </c>
      <c r="D227" s="134">
        <v>3981</v>
      </c>
      <c r="E227" s="283"/>
      <c r="F227" s="279">
        <f t="shared" si="30"/>
        <v>3981</v>
      </c>
      <c r="G227" s="134"/>
      <c r="H227" s="135"/>
      <c r="I227" s="136">
        <f t="shared" si="31"/>
        <v>0</v>
      </c>
      <c r="J227" s="134">
        <v>200</v>
      </c>
      <c r="K227" s="135"/>
      <c r="L227" s="136">
        <f t="shared" si="32"/>
        <v>200</v>
      </c>
      <c r="M227" s="284"/>
      <c r="N227" s="285"/>
      <c r="O227" s="136">
        <f t="shared" si="33"/>
        <v>0</v>
      </c>
      <c r="P227" s="85"/>
      <c r="R227" s="53"/>
      <c r="S227" s="53"/>
      <c r="T227" s="53"/>
    </row>
    <row r="228" spans="1:20" ht="24" hidden="1" x14ac:dyDescent="0.25">
      <c r="A228" s="276">
        <v>5240</v>
      </c>
      <c r="B228" s="127" t="s">
        <v>244</v>
      </c>
      <c r="C228" s="279">
        <f t="shared" si="26"/>
        <v>0</v>
      </c>
      <c r="D228" s="134"/>
      <c r="E228" s="285"/>
      <c r="F228" s="286">
        <f t="shared" si="30"/>
        <v>0</v>
      </c>
      <c r="G228" s="134"/>
      <c r="H228" s="135"/>
      <c r="I228" s="136">
        <f t="shared" si="31"/>
        <v>0</v>
      </c>
      <c r="J228" s="134"/>
      <c r="K228" s="135"/>
      <c r="L228" s="136">
        <f t="shared" si="32"/>
        <v>0</v>
      </c>
      <c r="M228" s="284"/>
      <c r="N228" s="285"/>
      <c r="O228" s="136">
        <f t="shared" si="33"/>
        <v>0</v>
      </c>
      <c r="P228" s="85"/>
      <c r="R228" s="53"/>
      <c r="S228" s="53"/>
      <c r="T228" s="53"/>
    </row>
    <row r="229" spans="1:20" hidden="1" x14ac:dyDescent="0.25">
      <c r="A229" s="276">
        <v>5250</v>
      </c>
      <c r="B229" s="127" t="s">
        <v>245</v>
      </c>
      <c r="C229" s="279">
        <f t="shared" si="26"/>
        <v>0</v>
      </c>
      <c r="D229" s="134"/>
      <c r="E229" s="285"/>
      <c r="F229" s="286">
        <f t="shared" si="30"/>
        <v>0</v>
      </c>
      <c r="G229" s="134"/>
      <c r="H229" s="135"/>
      <c r="I229" s="136">
        <f t="shared" si="31"/>
        <v>0</v>
      </c>
      <c r="J229" s="134"/>
      <c r="K229" s="135"/>
      <c r="L229" s="136">
        <f t="shared" si="32"/>
        <v>0</v>
      </c>
      <c r="M229" s="284"/>
      <c r="N229" s="285"/>
      <c r="O229" s="136">
        <f t="shared" si="33"/>
        <v>0</v>
      </c>
      <c r="P229" s="85"/>
      <c r="R229" s="53"/>
      <c r="S229" s="53"/>
      <c r="T229" s="53"/>
    </row>
    <row r="230" spans="1:20" hidden="1" x14ac:dyDescent="0.25">
      <c r="A230" s="276">
        <v>5260</v>
      </c>
      <c r="B230" s="127" t="s">
        <v>246</v>
      </c>
      <c r="C230" s="279">
        <f t="shared" si="26"/>
        <v>0</v>
      </c>
      <c r="D230" s="277">
        <f>SUM(D231)</f>
        <v>0</v>
      </c>
      <c r="E230" s="282">
        <f>SUM(E231)</f>
        <v>0</v>
      </c>
      <c r="F230" s="286">
        <f t="shared" si="30"/>
        <v>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c r="R230" s="53"/>
      <c r="S230" s="53"/>
      <c r="T230" s="53"/>
    </row>
    <row r="231" spans="1:20" ht="24" hidden="1" x14ac:dyDescent="0.25">
      <c r="A231" s="76">
        <v>5269</v>
      </c>
      <c r="B231" s="127" t="s">
        <v>247</v>
      </c>
      <c r="C231" s="279">
        <f t="shared" si="26"/>
        <v>0</v>
      </c>
      <c r="D231" s="134"/>
      <c r="E231" s="285"/>
      <c r="F231" s="286">
        <f t="shared" si="30"/>
        <v>0</v>
      </c>
      <c r="G231" s="134"/>
      <c r="H231" s="135"/>
      <c r="I231" s="136">
        <f t="shared" si="31"/>
        <v>0</v>
      </c>
      <c r="J231" s="134"/>
      <c r="K231" s="135"/>
      <c r="L231" s="136">
        <f t="shared" si="32"/>
        <v>0</v>
      </c>
      <c r="M231" s="284"/>
      <c r="N231" s="285"/>
      <c r="O231" s="136">
        <f t="shared" si="33"/>
        <v>0</v>
      </c>
      <c r="P231" s="85"/>
      <c r="R231" s="53"/>
      <c r="S231" s="53"/>
      <c r="T231" s="53"/>
    </row>
    <row r="232" spans="1:20" ht="24" hidden="1" x14ac:dyDescent="0.25">
      <c r="A232" s="254">
        <v>5270</v>
      </c>
      <c r="B232" s="179" t="s">
        <v>248</v>
      </c>
      <c r="C232" s="302">
        <f t="shared" si="26"/>
        <v>0</v>
      </c>
      <c r="D232" s="287"/>
      <c r="E232" s="291"/>
      <c r="F232" s="310">
        <f t="shared" si="30"/>
        <v>0</v>
      </c>
      <c r="G232" s="287"/>
      <c r="H232" s="289"/>
      <c r="I232" s="259">
        <f t="shared" si="31"/>
        <v>0</v>
      </c>
      <c r="J232" s="287"/>
      <c r="K232" s="289"/>
      <c r="L232" s="259">
        <f t="shared" si="32"/>
        <v>0</v>
      </c>
      <c r="M232" s="290"/>
      <c r="N232" s="291"/>
      <c r="O232" s="259">
        <f t="shared" si="33"/>
        <v>0</v>
      </c>
      <c r="P232" s="189"/>
      <c r="R232" s="53"/>
      <c r="S232" s="53"/>
      <c r="T232" s="53"/>
    </row>
    <row r="233" spans="1:20" hidden="1" x14ac:dyDescent="0.25">
      <c r="A233" s="237">
        <v>6000</v>
      </c>
      <c r="B233" s="237" t="s">
        <v>249</v>
      </c>
      <c r="C233" s="238">
        <f t="shared" si="26"/>
        <v>0</v>
      </c>
      <c r="D233" s="239">
        <f>D234+D254+D261</f>
        <v>0</v>
      </c>
      <c r="E233" s="245">
        <f>E234+E254+E261</f>
        <v>0</v>
      </c>
      <c r="F233" s="320">
        <f t="shared" si="30"/>
        <v>0</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c r="R233" s="53"/>
      <c r="S233" s="53"/>
      <c r="T233" s="53"/>
    </row>
    <row r="234" spans="1:20"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c r="R234" s="53"/>
      <c r="S234" s="53"/>
      <c r="T234" s="53"/>
    </row>
    <row r="235" spans="1:20" ht="24" hidden="1" x14ac:dyDescent="0.25">
      <c r="A235" s="656">
        <v>6220</v>
      </c>
      <c r="B235" s="116" t="s">
        <v>251</v>
      </c>
      <c r="C235" s="298">
        <f t="shared" si="26"/>
        <v>0</v>
      </c>
      <c r="D235" s="123"/>
      <c r="E235" s="262"/>
      <c r="F235" s="263">
        <f t="shared" si="30"/>
        <v>0</v>
      </c>
      <c r="G235" s="123"/>
      <c r="H235" s="124"/>
      <c r="I235" s="125">
        <f t="shared" si="31"/>
        <v>0</v>
      </c>
      <c r="J235" s="123"/>
      <c r="K235" s="124"/>
      <c r="L235" s="125">
        <f t="shared" si="32"/>
        <v>0</v>
      </c>
      <c r="M235" s="264"/>
      <c r="N235" s="262"/>
      <c r="O235" s="125">
        <f t="shared" si="33"/>
        <v>0</v>
      </c>
      <c r="P235" s="74"/>
      <c r="R235" s="53"/>
      <c r="S235" s="53"/>
      <c r="T235" s="53"/>
    </row>
    <row r="236" spans="1:20" hidden="1" x14ac:dyDescent="0.25">
      <c r="A236" s="276">
        <v>6230</v>
      </c>
      <c r="B236" s="127" t="s">
        <v>252</v>
      </c>
      <c r="C236" s="278">
        <f t="shared" si="26"/>
        <v>0</v>
      </c>
      <c r="D236" s="277">
        <f>SUM(D237)</f>
        <v>0</v>
      </c>
      <c r="E236" s="280">
        <f>SUM(E237)</f>
        <v>0</v>
      </c>
      <c r="F236" s="28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c r="R236" s="53"/>
      <c r="S236" s="53"/>
      <c r="T236" s="53"/>
    </row>
    <row r="237" spans="1:20" ht="24" hidden="1" x14ac:dyDescent="0.25">
      <c r="A237" s="76">
        <v>6239</v>
      </c>
      <c r="B237" s="116" t="s">
        <v>253</v>
      </c>
      <c r="C237" s="278">
        <f t="shared" si="26"/>
        <v>0</v>
      </c>
      <c r="D237" s="134"/>
      <c r="E237" s="285"/>
      <c r="F237" s="286">
        <f t="shared" si="30"/>
        <v>0</v>
      </c>
      <c r="G237" s="134"/>
      <c r="H237" s="135"/>
      <c r="I237" s="136">
        <f t="shared" si="31"/>
        <v>0</v>
      </c>
      <c r="J237" s="134"/>
      <c r="K237" s="135"/>
      <c r="L237" s="136">
        <f t="shared" si="32"/>
        <v>0</v>
      </c>
      <c r="M237" s="284"/>
      <c r="N237" s="285"/>
      <c r="O237" s="136">
        <f t="shared" si="33"/>
        <v>0</v>
      </c>
      <c r="P237" s="85"/>
      <c r="R237" s="53"/>
      <c r="S237" s="53"/>
      <c r="T237" s="53"/>
    </row>
    <row r="238" spans="1:20" ht="24" hidden="1" x14ac:dyDescent="0.25">
      <c r="A238" s="276">
        <v>6240</v>
      </c>
      <c r="B238" s="127" t="s">
        <v>254</v>
      </c>
      <c r="C238" s="278">
        <f t="shared" si="26"/>
        <v>0</v>
      </c>
      <c r="D238" s="277">
        <f>SUM(D239:D240)</f>
        <v>0</v>
      </c>
      <c r="E238" s="282">
        <f>SUM(E239:E240)</f>
        <v>0</v>
      </c>
      <c r="F238" s="28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c r="R238" s="53"/>
      <c r="S238" s="53"/>
      <c r="T238" s="53"/>
    </row>
    <row r="239" spans="1:20" hidden="1" x14ac:dyDescent="0.25">
      <c r="A239" s="76">
        <v>6241</v>
      </c>
      <c r="B239" s="127" t="s">
        <v>255</v>
      </c>
      <c r="C239" s="278">
        <f t="shared" si="26"/>
        <v>0</v>
      </c>
      <c r="D239" s="134"/>
      <c r="E239" s="285"/>
      <c r="F239" s="286">
        <f t="shared" si="30"/>
        <v>0</v>
      </c>
      <c r="G239" s="134"/>
      <c r="H239" s="135"/>
      <c r="I239" s="136">
        <f t="shared" si="31"/>
        <v>0</v>
      </c>
      <c r="J239" s="134"/>
      <c r="K239" s="135"/>
      <c r="L239" s="136">
        <f t="shared" si="32"/>
        <v>0</v>
      </c>
      <c r="M239" s="284"/>
      <c r="N239" s="285"/>
      <c r="O239" s="136">
        <f t="shared" si="33"/>
        <v>0</v>
      </c>
      <c r="P239" s="85"/>
      <c r="R239" s="53"/>
      <c r="S239" s="53"/>
      <c r="T239" s="53"/>
    </row>
    <row r="240" spans="1:20" hidden="1" x14ac:dyDescent="0.25">
      <c r="A240" s="76">
        <v>6242</v>
      </c>
      <c r="B240" s="127" t="s">
        <v>256</v>
      </c>
      <c r="C240" s="278">
        <f t="shared" si="26"/>
        <v>0</v>
      </c>
      <c r="D240" s="134"/>
      <c r="E240" s="285"/>
      <c r="F240" s="286">
        <f t="shared" si="30"/>
        <v>0</v>
      </c>
      <c r="G240" s="134"/>
      <c r="H240" s="135"/>
      <c r="I240" s="136">
        <f t="shared" si="31"/>
        <v>0</v>
      </c>
      <c r="J240" s="134"/>
      <c r="K240" s="135"/>
      <c r="L240" s="136">
        <f t="shared" si="32"/>
        <v>0</v>
      </c>
      <c r="M240" s="284"/>
      <c r="N240" s="285"/>
      <c r="O240" s="136">
        <f t="shared" si="33"/>
        <v>0</v>
      </c>
      <c r="P240" s="85"/>
      <c r="R240" s="53"/>
      <c r="S240" s="53"/>
      <c r="T240" s="53"/>
    </row>
    <row r="241" spans="1:20" ht="24" hidden="1" x14ac:dyDescent="0.25">
      <c r="A241" s="276">
        <v>6250</v>
      </c>
      <c r="B241" s="127" t="s">
        <v>257</v>
      </c>
      <c r="C241" s="278">
        <f t="shared" si="26"/>
        <v>0</v>
      </c>
      <c r="D241" s="277">
        <f>SUM(D242:D246)</f>
        <v>0</v>
      </c>
      <c r="E241" s="282">
        <f>SUM(E242:E246)</f>
        <v>0</v>
      </c>
      <c r="F241" s="28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c r="R241" s="53"/>
      <c r="S241" s="53"/>
      <c r="T241" s="53"/>
    </row>
    <row r="242" spans="1:20" hidden="1" x14ac:dyDescent="0.25">
      <c r="A242" s="76">
        <v>6252</v>
      </c>
      <c r="B242" s="127" t="s">
        <v>258</v>
      </c>
      <c r="C242" s="278">
        <f t="shared" si="26"/>
        <v>0</v>
      </c>
      <c r="D242" s="134"/>
      <c r="E242" s="285"/>
      <c r="F242" s="286">
        <f t="shared" si="30"/>
        <v>0</v>
      </c>
      <c r="G242" s="134"/>
      <c r="H242" s="135"/>
      <c r="I242" s="136">
        <f t="shared" si="31"/>
        <v>0</v>
      </c>
      <c r="J242" s="134"/>
      <c r="K242" s="135"/>
      <c r="L242" s="136">
        <f t="shared" si="32"/>
        <v>0</v>
      </c>
      <c r="M242" s="284"/>
      <c r="N242" s="285"/>
      <c r="O242" s="136">
        <f t="shared" si="33"/>
        <v>0</v>
      </c>
      <c r="P242" s="85"/>
      <c r="R242" s="53"/>
      <c r="S242" s="53"/>
      <c r="T242" s="53"/>
    </row>
    <row r="243" spans="1:20" hidden="1" x14ac:dyDescent="0.25">
      <c r="A243" s="76">
        <v>6253</v>
      </c>
      <c r="B243" s="127" t="s">
        <v>259</v>
      </c>
      <c r="C243" s="278">
        <f t="shared" si="26"/>
        <v>0</v>
      </c>
      <c r="D243" s="134"/>
      <c r="E243" s="285"/>
      <c r="F243" s="286">
        <f t="shared" si="30"/>
        <v>0</v>
      </c>
      <c r="G243" s="134"/>
      <c r="H243" s="135"/>
      <c r="I243" s="136">
        <f t="shared" si="31"/>
        <v>0</v>
      </c>
      <c r="J243" s="134"/>
      <c r="K243" s="135"/>
      <c r="L243" s="136">
        <f t="shared" si="32"/>
        <v>0</v>
      </c>
      <c r="M243" s="284"/>
      <c r="N243" s="285"/>
      <c r="O243" s="136">
        <f t="shared" si="33"/>
        <v>0</v>
      </c>
      <c r="P243" s="85"/>
      <c r="R243" s="53"/>
      <c r="S243" s="53"/>
      <c r="T243" s="53"/>
    </row>
    <row r="244" spans="1:20" ht="24" hidden="1" x14ac:dyDescent="0.25">
      <c r="A244" s="76">
        <v>6254</v>
      </c>
      <c r="B244" s="127" t="s">
        <v>260</v>
      </c>
      <c r="C244" s="278">
        <f t="shared" si="26"/>
        <v>0</v>
      </c>
      <c r="D244" s="134"/>
      <c r="E244" s="285"/>
      <c r="F244" s="286">
        <f t="shared" si="30"/>
        <v>0</v>
      </c>
      <c r="G244" s="134"/>
      <c r="H244" s="135"/>
      <c r="I244" s="136">
        <f t="shared" si="31"/>
        <v>0</v>
      </c>
      <c r="J244" s="134"/>
      <c r="K244" s="135"/>
      <c r="L244" s="136">
        <f t="shared" si="32"/>
        <v>0</v>
      </c>
      <c r="M244" s="284"/>
      <c r="N244" s="285"/>
      <c r="O244" s="136">
        <f t="shared" si="33"/>
        <v>0</v>
      </c>
      <c r="P244" s="85"/>
      <c r="R244" s="53"/>
      <c r="S244" s="53"/>
      <c r="T244" s="53"/>
    </row>
    <row r="245" spans="1:20" ht="24" hidden="1" x14ac:dyDescent="0.25">
      <c r="A245" s="76">
        <v>6255</v>
      </c>
      <c r="B245" s="127" t="s">
        <v>261</v>
      </c>
      <c r="C245" s="278">
        <f t="shared" si="26"/>
        <v>0</v>
      </c>
      <c r="D245" s="134"/>
      <c r="E245" s="285"/>
      <c r="F245" s="286">
        <f t="shared" si="30"/>
        <v>0</v>
      </c>
      <c r="G245" s="134"/>
      <c r="H245" s="135"/>
      <c r="I245" s="136">
        <f t="shared" si="31"/>
        <v>0</v>
      </c>
      <c r="J245" s="134"/>
      <c r="K245" s="135"/>
      <c r="L245" s="136">
        <f t="shared" si="32"/>
        <v>0</v>
      </c>
      <c r="M245" s="284"/>
      <c r="N245" s="285"/>
      <c r="O245" s="136">
        <f t="shared" si="33"/>
        <v>0</v>
      </c>
      <c r="P245" s="85"/>
      <c r="R245" s="53"/>
      <c r="S245" s="53"/>
      <c r="T245" s="53"/>
    </row>
    <row r="246" spans="1:20" hidden="1" x14ac:dyDescent="0.25">
      <c r="A246" s="76">
        <v>6259</v>
      </c>
      <c r="B246" s="127" t="s">
        <v>262</v>
      </c>
      <c r="C246" s="278">
        <f t="shared" si="26"/>
        <v>0</v>
      </c>
      <c r="D246" s="134"/>
      <c r="E246" s="285"/>
      <c r="F246" s="286">
        <f t="shared" si="30"/>
        <v>0</v>
      </c>
      <c r="G246" s="134"/>
      <c r="H246" s="135"/>
      <c r="I246" s="136">
        <f t="shared" si="31"/>
        <v>0</v>
      </c>
      <c r="J246" s="134"/>
      <c r="K246" s="135"/>
      <c r="L246" s="136">
        <f t="shared" si="32"/>
        <v>0</v>
      </c>
      <c r="M246" s="284"/>
      <c r="N246" s="285"/>
      <c r="O246" s="136">
        <f t="shared" si="33"/>
        <v>0</v>
      </c>
      <c r="P246" s="85"/>
      <c r="R246" s="53"/>
      <c r="S246" s="53"/>
      <c r="T246" s="53"/>
    </row>
    <row r="247" spans="1:20" ht="24" hidden="1" x14ac:dyDescent="0.25">
      <c r="A247" s="276">
        <v>6260</v>
      </c>
      <c r="B247" s="127" t="s">
        <v>263</v>
      </c>
      <c r="C247" s="278">
        <f t="shared" si="26"/>
        <v>0</v>
      </c>
      <c r="D247" s="134"/>
      <c r="E247" s="285"/>
      <c r="F247" s="286">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c r="R247" s="53"/>
      <c r="S247" s="53"/>
      <c r="T247" s="53"/>
    </row>
    <row r="248" spans="1:20" hidden="1" x14ac:dyDescent="0.25">
      <c r="A248" s="276">
        <v>6270</v>
      </c>
      <c r="B248" s="127" t="s">
        <v>264</v>
      </c>
      <c r="C248" s="278">
        <f t="shared" si="26"/>
        <v>0</v>
      </c>
      <c r="D248" s="134"/>
      <c r="E248" s="285"/>
      <c r="F248" s="286">
        <f t="shared" si="37"/>
        <v>0</v>
      </c>
      <c r="G248" s="134"/>
      <c r="H248" s="135"/>
      <c r="I248" s="136">
        <f t="shared" si="38"/>
        <v>0</v>
      </c>
      <c r="J248" s="134"/>
      <c r="K248" s="135"/>
      <c r="L248" s="136">
        <f t="shared" si="39"/>
        <v>0</v>
      </c>
      <c r="M248" s="284"/>
      <c r="N248" s="285"/>
      <c r="O248" s="136">
        <f t="shared" si="40"/>
        <v>0</v>
      </c>
      <c r="P248" s="85"/>
      <c r="R248" s="53"/>
      <c r="S248" s="53"/>
      <c r="T248" s="53"/>
    </row>
    <row r="249" spans="1:20" ht="24" hidden="1" x14ac:dyDescent="0.25">
      <c r="A249" s="656">
        <v>6290</v>
      </c>
      <c r="B249" s="116" t="s">
        <v>265</v>
      </c>
      <c r="C249" s="278">
        <f t="shared" si="26"/>
        <v>0</v>
      </c>
      <c r="D249" s="297">
        <f>SUM(D250:D253)</f>
        <v>0</v>
      </c>
      <c r="E249" s="301">
        <f>SUM(E250:E253)</f>
        <v>0</v>
      </c>
      <c r="F249" s="263">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c r="R249" s="53"/>
      <c r="S249" s="53"/>
      <c r="T249" s="53"/>
    </row>
    <row r="250" spans="1:20" hidden="1" x14ac:dyDescent="0.25">
      <c r="A250" s="76">
        <v>6291</v>
      </c>
      <c r="B250" s="127" t="s">
        <v>266</v>
      </c>
      <c r="C250" s="278">
        <f t="shared" si="26"/>
        <v>0</v>
      </c>
      <c r="D250" s="134"/>
      <c r="E250" s="285"/>
      <c r="F250" s="286">
        <f t="shared" si="37"/>
        <v>0</v>
      </c>
      <c r="G250" s="134"/>
      <c r="H250" s="135"/>
      <c r="I250" s="136">
        <f t="shared" si="38"/>
        <v>0</v>
      </c>
      <c r="J250" s="134"/>
      <c r="K250" s="135"/>
      <c r="L250" s="136">
        <f t="shared" si="39"/>
        <v>0</v>
      </c>
      <c r="M250" s="284"/>
      <c r="N250" s="285"/>
      <c r="O250" s="136">
        <f t="shared" si="40"/>
        <v>0</v>
      </c>
      <c r="P250" s="85"/>
      <c r="R250" s="53"/>
      <c r="S250" s="53"/>
      <c r="T250" s="53"/>
    </row>
    <row r="251" spans="1:20" hidden="1" x14ac:dyDescent="0.25">
      <c r="A251" s="76">
        <v>6292</v>
      </c>
      <c r="B251" s="127" t="s">
        <v>267</v>
      </c>
      <c r="C251" s="278">
        <f t="shared" si="26"/>
        <v>0</v>
      </c>
      <c r="D251" s="134"/>
      <c r="E251" s="285"/>
      <c r="F251" s="286">
        <f t="shared" si="37"/>
        <v>0</v>
      </c>
      <c r="G251" s="134"/>
      <c r="H251" s="135"/>
      <c r="I251" s="136">
        <f t="shared" si="38"/>
        <v>0</v>
      </c>
      <c r="J251" s="134"/>
      <c r="K251" s="135"/>
      <c r="L251" s="136">
        <f t="shared" si="39"/>
        <v>0</v>
      </c>
      <c r="M251" s="284"/>
      <c r="N251" s="285"/>
      <c r="O251" s="136">
        <f t="shared" si="40"/>
        <v>0</v>
      </c>
      <c r="P251" s="85"/>
      <c r="R251" s="53"/>
      <c r="S251" s="53"/>
      <c r="T251" s="53"/>
    </row>
    <row r="252" spans="1:20" ht="72" hidden="1" x14ac:dyDescent="0.25">
      <c r="A252" s="76">
        <v>6296</v>
      </c>
      <c r="B252" s="127" t="s">
        <v>268</v>
      </c>
      <c r="C252" s="278">
        <f t="shared" si="26"/>
        <v>0</v>
      </c>
      <c r="D252" s="134"/>
      <c r="E252" s="285"/>
      <c r="F252" s="286">
        <f t="shared" si="37"/>
        <v>0</v>
      </c>
      <c r="G252" s="134"/>
      <c r="H252" s="135"/>
      <c r="I252" s="136">
        <f t="shared" si="38"/>
        <v>0</v>
      </c>
      <c r="J252" s="134"/>
      <c r="K252" s="135"/>
      <c r="L252" s="136">
        <f t="shared" si="39"/>
        <v>0</v>
      </c>
      <c r="M252" s="284"/>
      <c r="N252" s="285"/>
      <c r="O252" s="136">
        <f t="shared" si="40"/>
        <v>0</v>
      </c>
      <c r="P252" s="85"/>
      <c r="R252" s="53"/>
      <c r="S252" s="53"/>
      <c r="T252" s="53"/>
    </row>
    <row r="253" spans="1:20" ht="36" hidden="1" x14ac:dyDescent="0.25">
      <c r="A253" s="76">
        <v>6299</v>
      </c>
      <c r="B253" s="127" t="s">
        <v>269</v>
      </c>
      <c r="C253" s="278">
        <f t="shared" si="26"/>
        <v>0</v>
      </c>
      <c r="D253" s="134"/>
      <c r="E253" s="285"/>
      <c r="F253" s="286">
        <f t="shared" si="37"/>
        <v>0</v>
      </c>
      <c r="G253" s="134"/>
      <c r="H253" s="135"/>
      <c r="I253" s="136">
        <f t="shared" si="38"/>
        <v>0</v>
      </c>
      <c r="J253" s="134"/>
      <c r="K253" s="135"/>
      <c r="L253" s="136">
        <f t="shared" si="39"/>
        <v>0</v>
      </c>
      <c r="M253" s="284"/>
      <c r="N253" s="285"/>
      <c r="O253" s="136">
        <f t="shared" si="40"/>
        <v>0</v>
      </c>
      <c r="P253" s="85"/>
      <c r="R253" s="53"/>
      <c r="S253" s="53"/>
      <c r="T253" s="53"/>
    </row>
    <row r="254" spans="1:20" hidden="1" x14ac:dyDescent="0.25">
      <c r="A254" s="99">
        <v>6300</v>
      </c>
      <c r="B254" s="247" t="s">
        <v>270</v>
      </c>
      <c r="C254" s="100">
        <f t="shared" si="26"/>
        <v>0</v>
      </c>
      <c r="D254" s="112">
        <f>SUM(D255,D259,D260)</f>
        <v>0</v>
      </c>
      <c r="E254" s="293">
        <f>SUM(E255,E259,E260)</f>
        <v>0</v>
      </c>
      <c r="F254" s="313">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c r="R254" s="53"/>
      <c r="S254" s="53"/>
      <c r="T254" s="53"/>
    </row>
    <row r="255" spans="1:20" ht="24" hidden="1" x14ac:dyDescent="0.25">
      <c r="A255" s="656">
        <v>6320</v>
      </c>
      <c r="B255" s="116" t="s">
        <v>271</v>
      </c>
      <c r="C255" s="322">
        <f t="shared" si="26"/>
        <v>0</v>
      </c>
      <c r="D255" s="297">
        <f>SUM(D256:D258)</f>
        <v>0</v>
      </c>
      <c r="E255" s="301">
        <f>SUM(E256:E258)</f>
        <v>0</v>
      </c>
      <c r="F255" s="263">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c r="R255" s="53"/>
      <c r="S255" s="53"/>
      <c r="T255" s="53"/>
    </row>
    <row r="256" spans="1:20" hidden="1" x14ac:dyDescent="0.25">
      <c r="A256" s="76">
        <v>6322</v>
      </c>
      <c r="B256" s="127" t="s">
        <v>272</v>
      </c>
      <c r="C256" s="281">
        <f t="shared" si="26"/>
        <v>0</v>
      </c>
      <c r="D256" s="134"/>
      <c r="E256" s="285"/>
      <c r="F256" s="286">
        <f t="shared" si="37"/>
        <v>0</v>
      </c>
      <c r="G256" s="134"/>
      <c r="H256" s="135"/>
      <c r="I256" s="136">
        <f t="shared" si="38"/>
        <v>0</v>
      </c>
      <c r="J256" s="134"/>
      <c r="K256" s="135"/>
      <c r="L256" s="136">
        <f t="shared" si="39"/>
        <v>0</v>
      </c>
      <c r="M256" s="284"/>
      <c r="N256" s="285"/>
      <c r="O256" s="136">
        <f t="shared" si="40"/>
        <v>0</v>
      </c>
      <c r="P256" s="85"/>
      <c r="R256" s="53"/>
      <c r="S256" s="53"/>
      <c r="T256" s="53"/>
    </row>
    <row r="257" spans="1:20" ht="24" hidden="1" x14ac:dyDescent="0.25">
      <c r="A257" s="76">
        <v>6323</v>
      </c>
      <c r="B257" s="127" t="s">
        <v>273</v>
      </c>
      <c r="C257" s="281">
        <f t="shared" si="26"/>
        <v>0</v>
      </c>
      <c r="D257" s="134"/>
      <c r="E257" s="285"/>
      <c r="F257" s="286">
        <f t="shared" si="37"/>
        <v>0</v>
      </c>
      <c r="G257" s="134"/>
      <c r="H257" s="135"/>
      <c r="I257" s="136">
        <f t="shared" si="38"/>
        <v>0</v>
      </c>
      <c r="J257" s="134"/>
      <c r="K257" s="135"/>
      <c r="L257" s="136">
        <f t="shared" si="39"/>
        <v>0</v>
      </c>
      <c r="M257" s="284"/>
      <c r="N257" s="285"/>
      <c r="O257" s="136">
        <f t="shared" si="40"/>
        <v>0</v>
      </c>
      <c r="P257" s="85"/>
      <c r="R257" s="53"/>
      <c r="S257" s="53"/>
      <c r="T257" s="53"/>
    </row>
    <row r="258" spans="1:20" ht="24" hidden="1" x14ac:dyDescent="0.25">
      <c r="A258" s="66">
        <v>6324</v>
      </c>
      <c r="B258" s="116" t="s">
        <v>274</v>
      </c>
      <c r="C258" s="281">
        <f t="shared" si="26"/>
        <v>0</v>
      </c>
      <c r="D258" s="123"/>
      <c r="E258" s="262"/>
      <c r="F258" s="263">
        <f t="shared" si="37"/>
        <v>0</v>
      </c>
      <c r="G258" s="123"/>
      <c r="H258" s="124"/>
      <c r="I258" s="125">
        <f t="shared" si="38"/>
        <v>0</v>
      </c>
      <c r="J258" s="123"/>
      <c r="K258" s="124"/>
      <c r="L258" s="125">
        <f t="shared" si="39"/>
        <v>0</v>
      </c>
      <c r="M258" s="264"/>
      <c r="N258" s="262"/>
      <c r="O258" s="125">
        <f t="shared" si="40"/>
        <v>0</v>
      </c>
      <c r="P258" s="74"/>
      <c r="R258" s="53"/>
      <c r="S258" s="53"/>
      <c r="T258" s="53"/>
    </row>
    <row r="259" spans="1:20" ht="24" hidden="1" x14ac:dyDescent="0.25">
      <c r="A259" s="344">
        <v>6330</v>
      </c>
      <c r="B259" s="345" t="s">
        <v>275</v>
      </c>
      <c r="C259" s="281">
        <f t="shared" ref="C259:C286" si="50">F259+I259+L259+O259</f>
        <v>0</v>
      </c>
      <c r="D259" s="328"/>
      <c r="E259" s="329"/>
      <c r="F259" s="330">
        <f t="shared" si="37"/>
        <v>0</v>
      </c>
      <c r="G259" s="328"/>
      <c r="H259" s="331"/>
      <c r="I259" s="324">
        <f t="shared" si="38"/>
        <v>0</v>
      </c>
      <c r="J259" s="328"/>
      <c r="K259" s="331"/>
      <c r="L259" s="324">
        <f t="shared" si="39"/>
        <v>0</v>
      </c>
      <c r="M259" s="332"/>
      <c r="N259" s="329"/>
      <c r="O259" s="324">
        <f t="shared" si="40"/>
        <v>0</v>
      </c>
      <c r="P259" s="325"/>
      <c r="R259" s="53"/>
      <c r="S259" s="53"/>
      <c r="T259" s="53"/>
    </row>
    <row r="260" spans="1:20" hidden="1" x14ac:dyDescent="0.25">
      <c r="A260" s="276">
        <v>6360</v>
      </c>
      <c r="B260" s="127" t="s">
        <v>276</v>
      </c>
      <c r="C260" s="281">
        <f t="shared" si="50"/>
        <v>0</v>
      </c>
      <c r="D260" s="134"/>
      <c r="E260" s="285"/>
      <c r="F260" s="286">
        <f t="shared" si="37"/>
        <v>0</v>
      </c>
      <c r="G260" s="134"/>
      <c r="H260" s="135"/>
      <c r="I260" s="136">
        <f t="shared" si="38"/>
        <v>0</v>
      </c>
      <c r="J260" s="134"/>
      <c r="K260" s="135"/>
      <c r="L260" s="136">
        <f t="shared" si="39"/>
        <v>0</v>
      </c>
      <c r="M260" s="284"/>
      <c r="N260" s="285"/>
      <c r="O260" s="136">
        <f t="shared" si="40"/>
        <v>0</v>
      </c>
      <c r="P260" s="85"/>
      <c r="R260" s="53"/>
      <c r="S260" s="53"/>
      <c r="T260" s="53"/>
    </row>
    <row r="261" spans="1:20" ht="36" hidden="1" x14ac:dyDescent="0.25">
      <c r="A261" s="99">
        <v>6400</v>
      </c>
      <c r="B261" s="247" t="s">
        <v>277</v>
      </c>
      <c r="C261" s="100">
        <f t="shared" si="50"/>
        <v>0</v>
      </c>
      <c r="D261" s="112">
        <f>SUM(D262,D266)</f>
        <v>0</v>
      </c>
      <c r="E261" s="293">
        <f>SUM(E262,E266)</f>
        <v>0</v>
      </c>
      <c r="F261" s="313">
        <f t="shared" si="37"/>
        <v>0</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c r="R261" s="53"/>
      <c r="S261" s="53"/>
      <c r="T261" s="53"/>
    </row>
    <row r="262" spans="1:20" ht="24" hidden="1" x14ac:dyDescent="0.25">
      <c r="A262" s="656">
        <v>6410</v>
      </c>
      <c r="B262" s="116" t="s">
        <v>278</v>
      </c>
      <c r="C262" s="300">
        <f t="shared" si="50"/>
        <v>0</v>
      </c>
      <c r="D262" s="297">
        <f>SUM(D263:D265)</f>
        <v>0</v>
      </c>
      <c r="E262" s="301">
        <f>SUM(E263:E265)</f>
        <v>0</v>
      </c>
      <c r="F262" s="263">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c r="R262" s="53"/>
      <c r="S262" s="53"/>
      <c r="T262" s="53"/>
    </row>
    <row r="263" spans="1:20" hidden="1" x14ac:dyDescent="0.25">
      <c r="A263" s="76">
        <v>6411</v>
      </c>
      <c r="B263" s="346" t="s">
        <v>279</v>
      </c>
      <c r="C263" s="278">
        <f t="shared" si="50"/>
        <v>0</v>
      </c>
      <c r="D263" s="134"/>
      <c r="E263" s="285"/>
      <c r="F263" s="286">
        <f t="shared" si="37"/>
        <v>0</v>
      </c>
      <c r="G263" s="134"/>
      <c r="H263" s="135"/>
      <c r="I263" s="136">
        <f t="shared" si="38"/>
        <v>0</v>
      </c>
      <c r="J263" s="134"/>
      <c r="K263" s="135"/>
      <c r="L263" s="136">
        <f t="shared" si="39"/>
        <v>0</v>
      </c>
      <c r="M263" s="284"/>
      <c r="N263" s="285"/>
      <c r="O263" s="136">
        <f t="shared" si="40"/>
        <v>0</v>
      </c>
      <c r="P263" s="85"/>
      <c r="R263" s="53"/>
      <c r="S263" s="53"/>
      <c r="T263" s="53"/>
    </row>
    <row r="264" spans="1:20" ht="36" hidden="1" x14ac:dyDescent="0.25">
      <c r="A264" s="76">
        <v>6412</v>
      </c>
      <c r="B264" s="127" t="s">
        <v>280</v>
      </c>
      <c r="C264" s="278">
        <f t="shared" si="50"/>
        <v>0</v>
      </c>
      <c r="D264" s="134"/>
      <c r="E264" s="285"/>
      <c r="F264" s="286">
        <f t="shared" si="37"/>
        <v>0</v>
      </c>
      <c r="G264" s="134"/>
      <c r="H264" s="135"/>
      <c r="I264" s="136">
        <f t="shared" si="38"/>
        <v>0</v>
      </c>
      <c r="J264" s="134"/>
      <c r="K264" s="135"/>
      <c r="L264" s="136">
        <f t="shared" si="39"/>
        <v>0</v>
      </c>
      <c r="M264" s="284"/>
      <c r="N264" s="285"/>
      <c r="O264" s="136">
        <f t="shared" si="40"/>
        <v>0</v>
      </c>
      <c r="P264" s="85"/>
      <c r="R264" s="53"/>
      <c r="S264" s="53"/>
      <c r="T264" s="53"/>
    </row>
    <row r="265" spans="1:20" ht="36" hidden="1" x14ac:dyDescent="0.25">
      <c r="A265" s="76">
        <v>6419</v>
      </c>
      <c r="B265" s="127" t="s">
        <v>281</v>
      </c>
      <c r="C265" s="278">
        <f t="shared" si="50"/>
        <v>0</v>
      </c>
      <c r="D265" s="134"/>
      <c r="E265" s="285"/>
      <c r="F265" s="286">
        <f t="shared" si="37"/>
        <v>0</v>
      </c>
      <c r="G265" s="134"/>
      <c r="H265" s="135"/>
      <c r="I265" s="136">
        <f t="shared" si="38"/>
        <v>0</v>
      </c>
      <c r="J265" s="134"/>
      <c r="K265" s="135"/>
      <c r="L265" s="136">
        <f t="shared" si="39"/>
        <v>0</v>
      </c>
      <c r="M265" s="284"/>
      <c r="N265" s="285"/>
      <c r="O265" s="136">
        <f t="shared" si="40"/>
        <v>0</v>
      </c>
      <c r="P265" s="85"/>
      <c r="R265" s="53"/>
      <c r="S265" s="53"/>
      <c r="T265" s="53"/>
    </row>
    <row r="266" spans="1:20" ht="36" hidden="1" x14ac:dyDescent="0.25">
      <c r="A266" s="276">
        <v>6420</v>
      </c>
      <c r="B266" s="127" t="s">
        <v>282</v>
      </c>
      <c r="C266" s="278">
        <f t="shared" si="50"/>
        <v>0</v>
      </c>
      <c r="D266" s="277">
        <f>SUM(D267:D270)</f>
        <v>0</v>
      </c>
      <c r="E266" s="282">
        <f>SUM(E267:E270)</f>
        <v>0</v>
      </c>
      <c r="F266" s="286">
        <f t="shared" si="37"/>
        <v>0</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c r="R266" s="53"/>
      <c r="S266" s="53"/>
      <c r="T266" s="53"/>
    </row>
    <row r="267" spans="1:20" hidden="1" x14ac:dyDescent="0.25">
      <c r="A267" s="76">
        <v>6421</v>
      </c>
      <c r="B267" s="127" t="s">
        <v>283</v>
      </c>
      <c r="C267" s="278">
        <f t="shared" si="50"/>
        <v>0</v>
      </c>
      <c r="D267" s="134"/>
      <c r="E267" s="285"/>
      <c r="F267" s="286">
        <f t="shared" si="37"/>
        <v>0</v>
      </c>
      <c r="G267" s="134"/>
      <c r="H267" s="135"/>
      <c r="I267" s="136">
        <f t="shared" si="38"/>
        <v>0</v>
      </c>
      <c r="J267" s="134"/>
      <c r="K267" s="135"/>
      <c r="L267" s="136">
        <f t="shared" si="39"/>
        <v>0</v>
      </c>
      <c r="M267" s="284"/>
      <c r="N267" s="285"/>
      <c r="O267" s="136">
        <f t="shared" si="40"/>
        <v>0</v>
      </c>
      <c r="P267" s="85"/>
      <c r="R267" s="53"/>
      <c r="S267" s="53"/>
      <c r="T267" s="53"/>
    </row>
    <row r="268" spans="1:20" hidden="1" x14ac:dyDescent="0.25">
      <c r="A268" s="76">
        <v>6422</v>
      </c>
      <c r="B268" s="127" t="s">
        <v>284</v>
      </c>
      <c r="C268" s="278">
        <f t="shared" si="50"/>
        <v>0</v>
      </c>
      <c r="D268" s="134"/>
      <c r="E268" s="285"/>
      <c r="F268" s="286">
        <f t="shared" si="37"/>
        <v>0</v>
      </c>
      <c r="G268" s="134"/>
      <c r="H268" s="135"/>
      <c r="I268" s="136">
        <f t="shared" si="38"/>
        <v>0</v>
      </c>
      <c r="J268" s="134"/>
      <c r="K268" s="135"/>
      <c r="L268" s="136">
        <f t="shared" si="39"/>
        <v>0</v>
      </c>
      <c r="M268" s="284"/>
      <c r="N268" s="285"/>
      <c r="O268" s="136">
        <f t="shared" si="40"/>
        <v>0</v>
      </c>
      <c r="P268" s="85"/>
      <c r="R268" s="53"/>
      <c r="S268" s="53"/>
      <c r="T268" s="53"/>
    </row>
    <row r="269" spans="1:20" ht="24" hidden="1" x14ac:dyDescent="0.25">
      <c r="A269" s="76">
        <v>6423</v>
      </c>
      <c r="B269" s="127" t="s">
        <v>285</v>
      </c>
      <c r="C269" s="278">
        <f t="shared" si="50"/>
        <v>0</v>
      </c>
      <c r="D269" s="134"/>
      <c r="E269" s="285"/>
      <c r="F269" s="286">
        <f t="shared" si="37"/>
        <v>0</v>
      </c>
      <c r="G269" s="134"/>
      <c r="H269" s="135"/>
      <c r="I269" s="136">
        <f t="shared" si="38"/>
        <v>0</v>
      </c>
      <c r="J269" s="134"/>
      <c r="K269" s="135"/>
      <c r="L269" s="136">
        <f t="shared" si="39"/>
        <v>0</v>
      </c>
      <c r="M269" s="284"/>
      <c r="N269" s="285"/>
      <c r="O269" s="136">
        <f t="shared" si="40"/>
        <v>0</v>
      </c>
      <c r="P269" s="85"/>
      <c r="R269" s="53"/>
      <c r="S269" s="53"/>
      <c r="T269" s="53"/>
    </row>
    <row r="270" spans="1:20" ht="36" hidden="1" x14ac:dyDescent="0.25">
      <c r="A270" s="76">
        <v>6424</v>
      </c>
      <c r="B270" s="127" t="s">
        <v>286</v>
      </c>
      <c r="C270" s="278">
        <f t="shared" si="50"/>
        <v>0</v>
      </c>
      <c r="D270" s="134"/>
      <c r="E270" s="285"/>
      <c r="F270" s="286">
        <f t="shared" si="37"/>
        <v>0</v>
      </c>
      <c r="G270" s="134"/>
      <c r="H270" s="135"/>
      <c r="I270" s="136">
        <f t="shared" si="38"/>
        <v>0</v>
      </c>
      <c r="J270" s="134"/>
      <c r="K270" s="135"/>
      <c r="L270" s="136">
        <f t="shared" si="39"/>
        <v>0</v>
      </c>
      <c r="M270" s="284"/>
      <c r="N270" s="285"/>
      <c r="O270" s="136">
        <f t="shared" si="40"/>
        <v>0</v>
      </c>
      <c r="P270" s="85"/>
      <c r="R270" s="53"/>
      <c r="S270" s="53"/>
      <c r="T270" s="53"/>
    </row>
    <row r="271" spans="1:20" ht="36" hidden="1" x14ac:dyDescent="0.25">
      <c r="A271" s="347">
        <v>7000</v>
      </c>
      <c r="B271" s="347" t="s">
        <v>287</v>
      </c>
      <c r="C271" s="348">
        <f t="shared" si="50"/>
        <v>0</v>
      </c>
      <c r="D271" s="349">
        <f>SUM(D272,D282)</f>
        <v>0</v>
      </c>
      <c r="E271" s="407">
        <f>SUM(E272,E282)</f>
        <v>0</v>
      </c>
      <c r="F271" s="408">
        <f t="shared" si="37"/>
        <v>0</v>
      </c>
      <c r="G271" s="349">
        <f>SUM(G272,G282)</f>
        <v>0</v>
      </c>
      <c r="H271" s="352">
        <f>SUM(H272,H282)</f>
        <v>0</v>
      </c>
      <c r="I271" s="353">
        <f t="shared" si="38"/>
        <v>0</v>
      </c>
      <c r="J271" s="349">
        <f>SUM(J272,J282)</f>
        <v>0</v>
      </c>
      <c r="K271" s="352">
        <f>SUM(K272,K282)</f>
        <v>0</v>
      </c>
      <c r="L271" s="353">
        <f t="shared" si="39"/>
        <v>0</v>
      </c>
      <c r="M271" s="354">
        <f>SUM(M272,M282)</f>
        <v>0</v>
      </c>
      <c r="N271" s="355">
        <f>SUM(N272,N282)</f>
        <v>0</v>
      </c>
      <c r="O271" s="356">
        <f t="shared" si="40"/>
        <v>0</v>
      </c>
      <c r="P271" s="357"/>
      <c r="R271" s="53"/>
      <c r="S271" s="53"/>
      <c r="T271" s="53"/>
    </row>
    <row r="272" spans="1:20" ht="24" hidden="1" x14ac:dyDescent="0.25">
      <c r="A272" s="99">
        <v>7200</v>
      </c>
      <c r="B272" s="247" t="s">
        <v>288</v>
      </c>
      <c r="C272" s="100">
        <f t="shared" si="50"/>
        <v>0</v>
      </c>
      <c r="D272" s="112">
        <f>SUM(D273,D274,D277,D278,D281)</f>
        <v>0</v>
      </c>
      <c r="E272" s="293">
        <f>SUM(E273,E274,E277,E278,E281)</f>
        <v>0</v>
      </c>
      <c r="F272" s="313">
        <f t="shared" si="37"/>
        <v>0</v>
      </c>
      <c r="G272" s="112">
        <f>SUM(G273,G274,G277,G278,G281)</f>
        <v>0</v>
      </c>
      <c r="H272" s="113">
        <f>SUM(H273,H274,H277,H278,H281)</f>
        <v>0</v>
      </c>
      <c r="I272" s="114">
        <f t="shared" si="38"/>
        <v>0</v>
      </c>
      <c r="J272" s="112">
        <f>SUM(J273,J274,J277,J278,J281)</f>
        <v>0</v>
      </c>
      <c r="K272" s="113">
        <f>SUM(K273,K274,K277,K278,K281)</f>
        <v>0</v>
      </c>
      <c r="L272" s="114">
        <f t="shared" si="39"/>
        <v>0</v>
      </c>
      <c r="M272" s="250">
        <f>SUM(M273,M274,M277,M278,M281)</f>
        <v>0</v>
      </c>
      <c r="N272" s="251">
        <f>SUM(N273,N274,N277,N278,N281)</f>
        <v>0</v>
      </c>
      <c r="O272" s="252">
        <f t="shared" si="40"/>
        <v>0</v>
      </c>
      <c r="P272" s="253"/>
      <c r="R272" s="53"/>
      <c r="S272" s="53"/>
      <c r="T272" s="53"/>
    </row>
    <row r="273" spans="1:20" ht="24" hidden="1" x14ac:dyDescent="0.25">
      <c r="A273" s="656">
        <v>7210</v>
      </c>
      <c r="B273" s="116" t="s">
        <v>289</v>
      </c>
      <c r="C273" s="117">
        <f t="shared" si="50"/>
        <v>0</v>
      </c>
      <c r="D273" s="123"/>
      <c r="E273" s="262"/>
      <c r="F273" s="263">
        <f t="shared" si="37"/>
        <v>0</v>
      </c>
      <c r="G273" s="123"/>
      <c r="H273" s="124"/>
      <c r="I273" s="125">
        <f t="shared" si="38"/>
        <v>0</v>
      </c>
      <c r="J273" s="123"/>
      <c r="K273" s="124"/>
      <c r="L273" s="125">
        <f t="shared" si="39"/>
        <v>0</v>
      </c>
      <c r="M273" s="264"/>
      <c r="N273" s="262"/>
      <c r="O273" s="125">
        <f t="shared" si="40"/>
        <v>0</v>
      </c>
      <c r="P273" s="74"/>
      <c r="R273" s="53"/>
      <c r="S273" s="53"/>
      <c r="T273" s="53"/>
    </row>
    <row r="274" spans="1:20" s="358" customFormat="1" ht="36" hidden="1" x14ac:dyDescent="0.25">
      <c r="A274" s="276">
        <v>7220</v>
      </c>
      <c r="B274" s="127" t="s">
        <v>290</v>
      </c>
      <c r="C274" s="128">
        <f t="shared" si="50"/>
        <v>0</v>
      </c>
      <c r="D274" s="277">
        <f>SUM(D275:D276)</f>
        <v>0</v>
      </c>
      <c r="E274" s="282">
        <f>SUM(E275:E276)</f>
        <v>0</v>
      </c>
      <c r="F274" s="28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c r="R274" s="53"/>
      <c r="S274" s="53"/>
      <c r="T274" s="53"/>
    </row>
    <row r="275" spans="1:20" s="358" customFormat="1" ht="36" hidden="1" x14ac:dyDescent="0.25">
      <c r="A275" s="76">
        <v>7221</v>
      </c>
      <c r="B275" s="127" t="s">
        <v>291</v>
      </c>
      <c r="C275" s="128">
        <f t="shared" si="50"/>
        <v>0</v>
      </c>
      <c r="D275" s="134"/>
      <c r="E275" s="285"/>
      <c r="F275" s="286">
        <f t="shared" si="37"/>
        <v>0</v>
      </c>
      <c r="G275" s="134"/>
      <c r="H275" s="135"/>
      <c r="I275" s="136">
        <f t="shared" si="38"/>
        <v>0</v>
      </c>
      <c r="J275" s="134"/>
      <c r="K275" s="135"/>
      <c r="L275" s="136">
        <f t="shared" si="39"/>
        <v>0</v>
      </c>
      <c r="M275" s="284"/>
      <c r="N275" s="285"/>
      <c r="O275" s="136">
        <f t="shared" si="40"/>
        <v>0</v>
      </c>
      <c r="P275" s="85"/>
      <c r="R275" s="53"/>
      <c r="S275" s="53"/>
      <c r="T275" s="53"/>
    </row>
    <row r="276" spans="1:20" s="358" customFormat="1" ht="36" hidden="1" x14ac:dyDescent="0.25">
      <c r="A276" s="76">
        <v>7222</v>
      </c>
      <c r="B276" s="127" t="s">
        <v>292</v>
      </c>
      <c r="C276" s="128">
        <f t="shared" si="50"/>
        <v>0</v>
      </c>
      <c r="D276" s="134"/>
      <c r="E276" s="285"/>
      <c r="F276" s="286">
        <f t="shared" si="37"/>
        <v>0</v>
      </c>
      <c r="G276" s="134"/>
      <c r="H276" s="135"/>
      <c r="I276" s="136">
        <f t="shared" si="38"/>
        <v>0</v>
      </c>
      <c r="J276" s="134"/>
      <c r="K276" s="135"/>
      <c r="L276" s="136">
        <f t="shared" si="39"/>
        <v>0</v>
      </c>
      <c r="M276" s="284"/>
      <c r="N276" s="285"/>
      <c r="O276" s="136">
        <f t="shared" si="40"/>
        <v>0</v>
      </c>
      <c r="P276" s="85"/>
      <c r="R276" s="53"/>
      <c r="S276" s="53"/>
      <c r="T276" s="53"/>
    </row>
    <row r="277" spans="1:20" s="358" customFormat="1" ht="24" hidden="1" x14ac:dyDescent="0.25">
      <c r="A277" s="276">
        <v>7230</v>
      </c>
      <c r="B277" s="127" t="s">
        <v>293</v>
      </c>
      <c r="C277" s="128">
        <f t="shared" si="50"/>
        <v>0</v>
      </c>
      <c r="D277" s="134"/>
      <c r="E277" s="285"/>
      <c r="F277" s="286">
        <f t="shared" si="37"/>
        <v>0</v>
      </c>
      <c r="G277" s="134"/>
      <c r="H277" s="135"/>
      <c r="I277" s="136">
        <f t="shared" si="38"/>
        <v>0</v>
      </c>
      <c r="J277" s="134"/>
      <c r="K277" s="135"/>
      <c r="L277" s="136">
        <f t="shared" si="39"/>
        <v>0</v>
      </c>
      <c r="M277" s="284"/>
      <c r="N277" s="285"/>
      <c r="O277" s="136">
        <f>M277+N277</f>
        <v>0</v>
      </c>
      <c r="P277" s="85"/>
      <c r="R277" s="53"/>
      <c r="S277" s="53"/>
      <c r="T277" s="53"/>
    </row>
    <row r="278" spans="1:20" ht="24" hidden="1" x14ac:dyDescent="0.25">
      <c r="A278" s="276">
        <v>7240</v>
      </c>
      <c r="B278" s="127" t="s">
        <v>294</v>
      </c>
      <c r="C278" s="128">
        <f t="shared" si="50"/>
        <v>0</v>
      </c>
      <c r="D278" s="277">
        <f>SUM(D279:D280)</f>
        <v>0</v>
      </c>
      <c r="E278" s="282">
        <f>SUM(E279:E280)</f>
        <v>0</v>
      </c>
      <c r="F278" s="28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c r="R278" s="53"/>
      <c r="S278" s="53"/>
      <c r="T278" s="53"/>
    </row>
    <row r="279" spans="1:20" ht="48" hidden="1" x14ac:dyDescent="0.25">
      <c r="A279" s="76">
        <v>7245</v>
      </c>
      <c r="B279" s="127" t="s">
        <v>295</v>
      </c>
      <c r="C279" s="128">
        <f t="shared" si="50"/>
        <v>0</v>
      </c>
      <c r="D279" s="134"/>
      <c r="E279" s="285"/>
      <c r="F279" s="286">
        <f t="shared" si="37"/>
        <v>0</v>
      </c>
      <c r="G279" s="134"/>
      <c r="H279" s="135"/>
      <c r="I279" s="136">
        <f t="shared" si="38"/>
        <v>0</v>
      </c>
      <c r="J279" s="134"/>
      <c r="K279" s="135"/>
      <c r="L279" s="136">
        <f t="shared" si="39"/>
        <v>0</v>
      </c>
      <c r="M279" s="284"/>
      <c r="N279" s="285"/>
      <c r="O279" s="136">
        <f t="shared" ref="O279:O282" si="57">M279+N279</f>
        <v>0</v>
      </c>
      <c r="P279" s="85"/>
      <c r="R279" s="53"/>
      <c r="S279" s="53"/>
      <c r="T279" s="53"/>
    </row>
    <row r="280" spans="1:20" ht="96" hidden="1" x14ac:dyDescent="0.25">
      <c r="A280" s="76">
        <v>7246</v>
      </c>
      <c r="B280" s="127" t="s">
        <v>296</v>
      </c>
      <c r="C280" s="128">
        <f t="shared" si="50"/>
        <v>0</v>
      </c>
      <c r="D280" s="134"/>
      <c r="E280" s="285"/>
      <c r="F280" s="286">
        <f t="shared" si="37"/>
        <v>0</v>
      </c>
      <c r="G280" s="134"/>
      <c r="H280" s="135"/>
      <c r="I280" s="136">
        <f t="shared" si="38"/>
        <v>0</v>
      </c>
      <c r="J280" s="134"/>
      <c r="K280" s="135"/>
      <c r="L280" s="136">
        <f t="shared" si="39"/>
        <v>0</v>
      </c>
      <c r="M280" s="284"/>
      <c r="N280" s="285"/>
      <c r="O280" s="136">
        <f t="shared" si="57"/>
        <v>0</v>
      </c>
      <c r="P280" s="85"/>
      <c r="R280" s="53"/>
      <c r="S280" s="53"/>
      <c r="T280" s="53"/>
    </row>
    <row r="281" spans="1:20" ht="24" hidden="1" x14ac:dyDescent="0.25">
      <c r="A281" s="276">
        <v>7260</v>
      </c>
      <c r="B281" s="127" t="s">
        <v>297</v>
      </c>
      <c r="C281" s="128">
        <f t="shared" si="50"/>
        <v>0</v>
      </c>
      <c r="D281" s="123"/>
      <c r="E281" s="262"/>
      <c r="F281" s="263">
        <f t="shared" si="37"/>
        <v>0</v>
      </c>
      <c r="G281" s="123"/>
      <c r="H281" s="124"/>
      <c r="I281" s="125">
        <f t="shared" si="38"/>
        <v>0</v>
      </c>
      <c r="J281" s="123"/>
      <c r="K281" s="124"/>
      <c r="L281" s="125">
        <f t="shared" si="39"/>
        <v>0</v>
      </c>
      <c r="M281" s="264"/>
      <c r="N281" s="262"/>
      <c r="O281" s="125">
        <f t="shared" si="57"/>
        <v>0</v>
      </c>
      <c r="P281" s="74"/>
      <c r="R281" s="53"/>
      <c r="S281" s="53"/>
      <c r="T281" s="53"/>
    </row>
    <row r="282" spans="1:20" hidden="1" x14ac:dyDescent="0.25">
      <c r="A282" s="99">
        <v>7700</v>
      </c>
      <c r="B282" s="247" t="s">
        <v>298</v>
      </c>
      <c r="C282" s="359">
        <f t="shared" si="50"/>
        <v>0</v>
      </c>
      <c r="D282" s="360">
        <f>D283</f>
        <v>0</v>
      </c>
      <c r="E282" s="304">
        <f>SUM(E283)</f>
        <v>0</v>
      </c>
      <c r="F282" s="316">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c r="R282" s="53"/>
      <c r="S282" s="53"/>
      <c r="T282" s="53"/>
    </row>
    <row r="283" spans="1:20" hidden="1" x14ac:dyDescent="0.25">
      <c r="A283" s="141">
        <v>7720</v>
      </c>
      <c r="B283" s="142" t="s">
        <v>299</v>
      </c>
      <c r="C283" s="362">
        <f t="shared" si="50"/>
        <v>0</v>
      </c>
      <c r="D283" s="149"/>
      <c r="E283" s="363"/>
      <c r="F283" s="364">
        <f t="shared" si="37"/>
        <v>0</v>
      </c>
      <c r="G283" s="149"/>
      <c r="H283" s="150"/>
      <c r="I283" s="151">
        <f t="shared" si="38"/>
        <v>0</v>
      </c>
      <c r="J283" s="149"/>
      <c r="K283" s="150"/>
      <c r="L283" s="151">
        <f t="shared" si="39"/>
        <v>0</v>
      </c>
      <c r="M283" s="365"/>
      <c r="N283" s="363"/>
      <c r="O283" s="151">
        <f>M283+N283</f>
        <v>0</v>
      </c>
      <c r="P283" s="153"/>
      <c r="R283" s="53"/>
      <c r="S283" s="53"/>
      <c r="T283" s="53"/>
    </row>
    <row r="284" spans="1:20" hidden="1" x14ac:dyDescent="0.25">
      <c r="A284" s="366"/>
      <c r="B284" s="179" t="s">
        <v>300</v>
      </c>
      <c r="C284" s="117">
        <f t="shared" si="50"/>
        <v>0</v>
      </c>
      <c r="D284" s="255">
        <f>SUM(D285:D286)</f>
        <v>0</v>
      </c>
      <c r="E284" s="261">
        <f>SUM(E285:E286)</f>
        <v>0</v>
      </c>
      <c r="F284" s="310">
        <f t="shared" si="37"/>
        <v>0</v>
      </c>
      <c r="G284" s="255">
        <f>SUM(G285:G286)</f>
        <v>0</v>
      </c>
      <c r="H284" s="258">
        <f>SUM(H285:H286)</f>
        <v>0</v>
      </c>
      <c r="I284" s="259">
        <f t="shared" si="38"/>
        <v>0</v>
      </c>
      <c r="J284" s="255">
        <f>SUM(J285:J286)</f>
        <v>0</v>
      </c>
      <c r="K284" s="258">
        <f>SUM(K285:K286)</f>
        <v>0</v>
      </c>
      <c r="L284" s="259">
        <f t="shared" si="39"/>
        <v>0</v>
      </c>
      <c r="M284" s="260">
        <f>SUM(M285:M286)</f>
        <v>0</v>
      </c>
      <c r="N284" s="261">
        <f>SUM(N285:N286)</f>
        <v>0</v>
      </c>
      <c r="O284" s="259">
        <f t="shared" ref="O284:O299" si="58">M284+N284</f>
        <v>0</v>
      </c>
      <c r="P284" s="189"/>
      <c r="R284" s="53"/>
      <c r="S284" s="53"/>
      <c r="T284" s="53"/>
    </row>
    <row r="285" spans="1:20" hidden="1" x14ac:dyDescent="0.25">
      <c r="A285" s="346" t="s">
        <v>301</v>
      </c>
      <c r="B285" s="76" t="s">
        <v>302</v>
      </c>
      <c r="C285" s="279">
        <f t="shared" si="50"/>
        <v>0</v>
      </c>
      <c r="D285" s="134"/>
      <c r="E285" s="285"/>
      <c r="F285" s="286">
        <f t="shared" si="37"/>
        <v>0</v>
      </c>
      <c r="G285" s="134"/>
      <c r="H285" s="135"/>
      <c r="I285" s="136">
        <f t="shared" si="38"/>
        <v>0</v>
      </c>
      <c r="J285" s="134"/>
      <c r="K285" s="135"/>
      <c r="L285" s="136">
        <f t="shared" si="39"/>
        <v>0</v>
      </c>
      <c r="M285" s="284"/>
      <c r="N285" s="285"/>
      <c r="O285" s="136">
        <f t="shared" si="58"/>
        <v>0</v>
      </c>
      <c r="P285" s="85"/>
      <c r="R285" s="53"/>
      <c r="S285" s="53"/>
      <c r="T285" s="53"/>
    </row>
    <row r="286" spans="1:20" ht="24" hidden="1" x14ac:dyDescent="0.25">
      <c r="A286" s="346" t="s">
        <v>303</v>
      </c>
      <c r="B286" s="367" t="s">
        <v>304</v>
      </c>
      <c r="C286" s="117">
        <f t="shared" si="50"/>
        <v>0</v>
      </c>
      <c r="D286" s="123"/>
      <c r="E286" s="262"/>
      <c r="F286" s="263">
        <f t="shared" si="37"/>
        <v>0</v>
      </c>
      <c r="G286" s="123"/>
      <c r="H286" s="124"/>
      <c r="I286" s="125">
        <f t="shared" si="38"/>
        <v>0</v>
      </c>
      <c r="J286" s="123"/>
      <c r="K286" s="124"/>
      <c r="L286" s="125">
        <f t="shared" si="39"/>
        <v>0</v>
      </c>
      <c r="M286" s="264"/>
      <c r="N286" s="262"/>
      <c r="O286" s="125">
        <f t="shared" si="58"/>
        <v>0</v>
      </c>
      <c r="P286" s="74"/>
      <c r="R286" s="53"/>
      <c r="S286" s="53"/>
      <c r="T286" s="53"/>
    </row>
    <row r="287" spans="1:20" x14ac:dyDescent="0.25">
      <c r="A287" s="368"/>
      <c r="B287" s="369" t="s">
        <v>305</v>
      </c>
      <c r="C287" s="370">
        <f>SUM(C284,C271,C233,C198,C190,C176,C78,C56)</f>
        <v>1145417</v>
      </c>
      <c r="D287" s="371">
        <f>SUM(D284,D271,D233,D198,D190,D176,D78,D56)</f>
        <v>430458</v>
      </c>
      <c r="E287" s="372">
        <f>SUM(E284,E271,E233,E198,E190,E176,E78,E56)</f>
        <v>0</v>
      </c>
      <c r="F287" s="373">
        <f t="shared" si="37"/>
        <v>430458</v>
      </c>
      <c r="G287" s="371">
        <f>SUM(G284,G271,G233,G198,G190,G176,G78,G56)</f>
        <v>689637</v>
      </c>
      <c r="H287" s="374">
        <f>SUM(H284,H271,H233,H198,H190,H176,H78,H56)</f>
        <v>0</v>
      </c>
      <c r="I287" s="375">
        <f t="shared" si="38"/>
        <v>689637</v>
      </c>
      <c r="J287" s="371">
        <f>SUM(J284,J271,J233,J198,J190,J176,J78,J56)</f>
        <v>25322</v>
      </c>
      <c r="K287" s="374">
        <f>SUM(K284,K271,K233,K198,K190,K176,K78,K56)</f>
        <v>0</v>
      </c>
      <c r="L287" s="375">
        <f t="shared" si="39"/>
        <v>25322</v>
      </c>
      <c r="M287" s="250">
        <f>SUM(M284,M271,M233,M198,M190,M176,M78,M56)</f>
        <v>0</v>
      </c>
      <c r="N287" s="251">
        <f>SUM(N284,N271,N233,N198,N190,N176,N78,N56)</f>
        <v>0</v>
      </c>
      <c r="O287" s="252">
        <f t="shared" si="58"/>
        <v>0</v>
      </c>
      <c r="P287" s="253"/>
      <c r="R287" s="53"/>
      <c r="S287" s="53"/>
      <c r="T287" s="53"/>
    </row>
    <row r="288" spans="1:20" x14ac:dyDescent="0.25">
      <c r="A288" s="376" t="s">
        <v>306</v>
      </c>
      <c r="B288" s="377"/>
      <c r="C288" s="378">
        <f t="shared" ref="C288" si="59">F288+I288+L288+O288</f>
        <v>-4441</v>
      </c>
      <c r="D288" s="379">
        <f>SUM(D28,D29,D45)-D54</f>
        <v>0</v>
      </c>
      <c r="E288" s="380">
        <f>SUM(E28,E29,E45)-E54</f>
        <v>0</v>
      </c>
      <c r="F288" s="381">
        <f t="shared" si="37"/>
        <v>0</v>
      </c>
      <c r="G288" s="379">
        <f>SUM(G28,G29,G45)-G54</f>
        <v>0</v>
      </c>
      <c r="H288" s="382">
        <f>SUM(H28,H29,H45)-H54</f>
        <v>0</v>
      </c>
      <c r="I288" s="383">
        <f t="shared" si="38"/>
        <v>0</v>
      </c>
      <c r="J288" s="379">
        <f>(J30+J46)-J54</f>
        <v>-4441</v>
      </c>
      <c r="K288" s="382">
        <f>(K30+K46)-K54</f>
        <v>0</v>
      </c>
      <c r="L288" s="383">
        <f t="shared" si="39"/>
        <v>-4441</v>
      </c>
      <c r="M288" s="378">
        <f>M48-M54</f>
        <v>0</v>
      </c>
      <c r="N288" s="384">
        <f>N48-N54</f>
        <v>0</v>
      </c>
      <c r="O288" s="383">
        <f t="shared" si="58"/>
        <v>0</v>
      </c>
      <c r="P288" s="385"/>
      <c r="R288" s="53"/>
      <c r="S288" s="53"/>
      <c r="T288" s="53"/>
    </row>
    <row r="289" spans="1:20" s="41" customFormat="1" x14ac:dyDescent="0.25">
      <c r="A289" s="376" t="s">
        <v>307</v>
      </c>
      <c r="B289" s="377"/>
      <c r="C289" s="380">
        <f>SUM(C290,C291)-C298+C299</f>
        <v>4441</v>
      </c>
      <c r="D289" s="379">
        <f>SUM(D290,D291)-D298+D299</f>
        <v>0</v>
      </c>
      <c r="E289" s="380">
        <f>SUM(E290,E291)-E298+E299</f>
        <v>0</v>
      </c>
      <c r="F289" s="381">
        <f t="shared" si="37"/>
        <v>0</v>
      </c>
      <c r="G289" s="379">
        <f>SUM(G290,G291)-G298+G299</f>
        <v>0</v>
      </c>
      <c r="H289" s="382">
        <f>SUM(H290,H291)-H298+H299</f>
        <v>0</v>
      </c>
      <c r="I289" s="383">
        <f t="shared" si="38"/>
        <v>0</v>
      </c>
      <c r="J289" s="379">
        <f>SUM(J290,J291)-J298+J299</f>
        <v>4441</v>
      </c>
      <c r="K289" s="382">
        <f>SUM(K290,K291)-K298+K299</f>
        <v>0</v>
      </c>
      <c r="L289" s="383">
        <f t="shared" si="39"/>
        <v>4441</v>
      </c>
      <c r="M289" s="378">
        <f>SUM(M290,M291)-M298+M299</f>
        <v>0</v>
      </c>
      <c r="N289" s="384">
        <f>SUM(N290,N291)-N298+N299</f>
        <v>0</v>
      </c>
      <c r="O289" s="383">
        <f t="shared" si="58"/>
        <v>0</v>
      </c>
      <c r="P289" s="385"/>
      <c r="R289" s="53"/>
      <c r="S289" s="53"/>
      <c r="T289" s="53"/>
    </row>
    <row r="290" spans="1:20" s="41" customFormat="1" x14ac:dyDescent="0.25">
      <c r="A290" s="386" t="s">
        <v>308</v>
      </c>
      <c r="B290" s="386" t="s">
        <v>309</v>
      </c>
      <c r="C290" s="380">
        <f>C25-C284</f>
        <v>4441</v>
      </c>
      <c r="D290" s="379">
        <f>D25-D284</f>
        <v>0</v>
      </c>
      <c r="E290" s="380">
        <f>E25-E284</f>
        <v>0</v>
      </c>
      <c r="F290" s="381">
        <f t="shared" si="37"/>
        <v>0</v>
      </c>
      <c r="G290" s="379">
        <f>G25-G284</f>
        <v>0</v>
      </c>
      <c r="H290" s="382">
        <f>H25-H284</f>
        <v>0</v>
      </c>
      <c r="I290" s="383">
        <f t="shared" si="38"/>
        <v>0</v>
      </c>
      <c r="J290" s="379">
        <f>J25-J284</f>
        <v>4441</v>
      </c>
      <c r="K290" s="382">
        <f>K25-K284</f>
        <v>0</v>
      </c>
      <c r="L290" s="383">
        <f t="shared" si="39"/>
        <v>4441</v>
      </c>
      <c r="M290" s="378">
        <f>M25-M284</f>
        <v>0</v>
      </c>
      <c r="N290" s="384">
        <f>N25-N284</f>
        <v>0</v>
      </c>
      <c r="O290" s="383">
        <f t="shared" si="58"/>
        <v>0</v>
      </c>
      <c r="P290" s="385"/>
      <c r="R290" s="53"/>
      <c r="S290" s="53"/>
      <c r="T290" s="53"/>
    </row>
    <row r="291" spans="1:20" s="41" customFormat="1" hidden="1" x14ac:dyDescent="0.25">
      <c r="A291" s="387" t="s">
        <v>310</v>
      </c>
      <c r="B291" s="387" t="s">
        <v>311</v>
      </c>
      <c r="C291" s="380">
        <f>SUM(C292,C294,C296)-SUM(C293,C295,C297)</f>
        <v>0</v>
      </c>
      <c r="D291" s="379">
        <f t="shared" ref="D291:E291" si="60">SUM(D292,D294,D296)-SUM(D293,D295,D297)</f>
        <v>0</v>
      </c>
      <c r="E291" s="384">
        <f t="shared" si="60"/>
        <v>0</v>
      </c>
      <c r="F291" s="388">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c r="R291" s="53"/>
      <c r="S291" s="53"/>
      <c r="T291" s="53"/>
    </row>
    <row r="292" spans="1:20" s="41" customFormat="1" hidden="1" x14ac:dyDescent="0.25">
      <c r="A292" s="366" t="s">
        <v>312</v>
      </c>
      <c r="B292" s="190" t="s">
        <v>313</v>
      </c>
      <c r="C292" s="143">
        <f t="shared" ref="C292:C299" si="64">F292+I292+L292+O292</f>
        <v>0</v>
      </c>
      <c r="D292" s="149"/>
      <c r="E292" s="363"/>
      <c r="F292" s="364">
        <f t="shared" si="37"/>
        <v>0</v>
      </c>
      <c r="G292" s="149"/>
      <c r="H292" s="150"/>
      <c r="I292" s="151">
        <f t="shared" si="38"/>
        <v>0</v>
      </c>
      <c r="J292" s="149"/>
      <c r="K292" s="150"/>
      <c r="L292" s="151">
        <f t="shared" si="39"/>
        <v>0</v>
      </c>
      <c r="M292" s="365"/>
      <c r="N292" s="363"/>
      <c r="O292" s="151">
        <f t="shared" si="58"/>
        <v>0</v>
      </c>
      <c r="P292" s="153"/>
      <c r="R292" s="53"/>
      <c r="S292" s="53"/>
      <c r="T292" s="53"/>
    </row>
    <row r="293" spans="1:20" ht="24" hidden="1" x14ac:dyDescent="0.25">
      <c r="A293" s="346" t="s">
        <v>314</v>
      </c>
      <c r="B293" s="75" t="s">
        <v>315</v>
      </c>
      <c r="C293" s="128">
        <f t="shared" si="64"/>
        <v>0</v>
      </c>
      <c r="D293" s="134"/>
      <c r="E293" s="285"/>
      <c r="F293" s="286">
        <f t="shared" si="37"/>
        <v>0</v>
      </c>
      <c r="G293" s="134"/>
      <c r="H293" s="135"/>
      <c r="I293" s="136">
        <f t="shared" si="38"/>
        <v>0</v>
      </c>
      <c r="J293" s="134"/>
      <c r="K293" s="135"/>
      <c r="L293" s="136">
        <f t="shared" si="39"/>
        <v>0</v>
      </c>
      <c r="M293" s="284"/>
      <c r="N293" s="285"/>
      <c r="O293" s="136">
        <f t="shared" si="58"/>
        <v>0</v>
      </c>
      <c r="P293" s="85"/>
      <c r="R293" s="53"/>
      <c r="S293" s="53"/>
      <c r="T293" s="53"/>
    </row>
    <row r="294" spans="1:20" hidden="1" x14ac:dyDescent="0.25">
      <c r="A294" s="346" t="s">
        <v>316</v>
      </c>
      <c r="B294" s="75" t="s">
        <v>317</v>
      </c>
      <c r="C294" s="128">
        <f t="shared" si="64"/>
        <v>0</v>
      </c>
      <c r="D294" s="134"/>
      <c r="E294" s="285"/>
      <c r="F294" s="286">
        <f t="shared" si="37"/>
        <v>0</v>
      </c>
      <c r="G294" s="134"/>
      <c r="H294" s="135"/>
      <c r="I294" s="136">
        <f t="shared" si="38"/>
        <v>0</v>
      </c>
      <c r="J294" s="134"/>
      <c r="K294" s="135"/>
      <c r="L294" s="136">
        <f t="shared" si="39"/>
        <v>0</v>
      </c>
      <c r="M294" s="284"/>
      <c r="N294" s="285"/>
      <c r="O294" s="136">
        <f t="shared" si="58"/>
        <v>0</v>
      </c>
      <c r="P294" s="85"/>
      <c r="R294" s="53"/>
      <c r="S294" s="53"/>
      <c r="T294" s="53"/>
    </row>
    <row r="295" spans="1:20" ht="24" hidden="1" x14ac:dyDescent="0.25">
      <c r="A295" s="346" t="s">
        <v>318</v>
      </c>
      <c r="B295" s="75" t="s">
        <v>319</v>
      </c>
      <c r="C295" s="128">
        <f t="shared" si="64"/>
        <v>0</v>
      </c>
      <c r="D295" s="134"/>
      <c r="E295" s="285"/>
      <c r="F295" s="286">
        <f t="shared" si="37"/>
        <v>0</v>
      </c>
      <c r="G295" s="134"/>
      <c r="H295" s="135"/>
      <c r="I295" s="136">
        <f t="shared" si="38"/>
        <v>0</v>
      </c>
      <c r="J295" s="134"/>
      <c r="K295" s="135"/>
      <c r="L295" s="136">
        <f t="shared" si="39"/>
        <v>0</v>
      </c>
      <c r="M295" s="284"/>
      <c r="N295" s="285"/>
      <c r="O295" s="136">
        <f t="shared" si="58"/>
        <v>0</v>
      </c>
      <c r="P295" s="85"/>
      <c r="R295" s="53"/>
      <c r="S295" s="53"/>
      <c r="T295" s="53"/>
    </row>
    <row r="296" spans="1:20" hidden="1" x14ac:dyDescent="0.25">
      <c r="A296" s="346" t="s">
        <v>320</v>
      </c>
      <c r="B296" s="75" t="s">
        <v>321</v>
      </c>
      <c r="C296" s="128">
        <f t="shared" si="64"/>
        <v>0</v>
      </c>
      <c r="D296" s="134"/>
      <c r="E296" s="285"/>
      <c r="F296" s="286">
        <f t="shared" si="37"/>
        <v>0</v>
      </c>
      <c r="G296" s="134"/>
      <c r="H296" s="135"/>
      <c r="I296" s="136">
        <f t="shared" si="38"/>
        <v>0</v>
      </c>
      <c r="J296" s="134"/>
      <c r="K296" s="135"/>
      <c r="L296" s="136">
        <f t="shared" si="39"/>
        <v>0</v>
      </c>
      <c r="M296" s="284"/>
      <c r="N296" s="285"/>
      <c r="O296" s="136">
        <f t="shared" si="58"/>
        <v>0</v>
      </c>
      <c r="P296" s="85"/>
      <c r="R296" s="53"/>
      <c r="S296" s="53"/>
      <c r="T296" s="53"/>
    </row>
    <row r="297" spans="1:20" ht="24" hidden="1" x14ac:dyDescent="0.25">
      <c r="A297" s="389" t="s">
        <v>322</v>
      </c>
      <c r="B297" s="390" t="s">
        <v>323</v>
      </c>
      <c r="C297" s="327">
        <f t="shared" si="64"/>
        <v>0</v>
      </c>
      <c r="D297" s="328"/>
      <c r="E297" s="329"/>
      <c r="F297" s="330">
        <f t="shared" si="37"/>
        <v>0</v>
      </c>
      <c r="G297" s="328"/>
      <c r="H297" s="331"/>
      <c r="I297" s="324">
        <f t="shared" si="38"/>
        <v>0</v>
      </c>
      <c r="J297" s="328"/>
      <c r="K297" s="331"/>
      <c r="L297" s="324">
        <f t="shared" si="39"/>
        <v>0</v>
      </c>
      <c r="M297" s="332"/>
      <c r="N297" s="329"/>
      <c r="O297" s="324">
        <f t="shared" si="58"/>
        <v>0</v>
      </c>
      <c r="P297" s="325"/>
      <c r="R297" s="53"/>
      <c r="S297" s="53"/>
      <c r="T297" s="53"/>
    </row>
    <row r="298" spans="1:20" hidden="1" x14ac:dyDescent="0.25">
      <c r="A298" s="387" t="s">
        <v>324</v>
      </c>
      <c r="B298" s="387" t="s">
        <v>325</v>
      </c>
      <c r="C298" s="391">
        <f t="shared" si="64"/>
        <v>0</v>
      </c>
      <c r="D298" s="392"/>
      <c r="E298" s="393"/>
      <c r="F298" s="388">
        <f t="shared" si="37"/>
        <v>0</v>
      </c>
      <c r="G298" s="392"/>
      <c r="H298" s="394"/>
      <c r="I298" s="383">
        <f t="shared" si="38"/>
        <v>0</v>
      </c>
      <c r="J298" s="392"/>
      <c r="K298" s="394"/>
      <c r="L298" s="383">
        <f t="shared" si="39"/>
        <v>0</v>
      </c>
      <c r="M298" s="395"/>
      <c r="N298" s="393"/>
      <c r="O298" s="383">
        <f t="shared" si="58"/>
        <v>0</v>
      </c>
      <c r="P298" s="385"/>
      <c r="R298" s="53"/>
      <c r="S298" s="53"/>
      <c r="T298" s="53"/>
    </row>
    <row r="299" spans="1:20" s="41" customFormat="1" ht="48" hidden="1" x14ac:dyDescent="0.25">
      <c r="A299" s="387" t="s">
        <v>326</v>
      </c>
      <c r="B299" s="396" t="s">
        <v>327</v>
      </c>
      <c r="C299" s="397">
        <f t="shared" si="64"/>
        <v>0</v>
      </c>
      <c r="D299" s="398"/>
      <c r="E299" s="399"/>
      <c r="F299" s="400">
        <f t="shared" si="37"/>
        <v>0</v>
      </c>
      <c r="G299" s="392"/>
      <c r="H299" s="394"/>
      <c r="I299" s="383">
        <f t="shared" si="38"/>
        <v>0</v>
      </c>
      <c r="J299" s="392"/>
      <c r="K299" s="394"/>
      <c r="L299" s="383">
        <f t="shared" si="39"/>
        <v>0</v>
      </c>
      <c r="M299" s="395"/>
      <c r="N299" s="393"/>
      <c r="O299" s="383">
        <f t="shared" si="58"/>
        <v>0</v>
      </c>
      <c r="P299" s="385"/>
      <c r="R299" s="53"/>
      <c r="S299" s="53"/>
      <c r="T299" s="53"/>
    </row>
    <row r="300" spans="1:20"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20" s="41" customFormat="1" x14ac:dyDescent="0.25">
      <c r="A301" s="721" t="s">
        <v>1232</v>
      </c>
      <c r="B301" s="722"/>
      <c r="C301" s="722"/>
      <c r="D301" s="722"/>
      <c r="E301" s="722"/>
      <c r="F301" s="722"/>
      <c r="G301" s="722"/>
      <c r="H301" s="722"/>
      <c r="I301" s="722"/>
      <c r="J301" s="722"/>
      <c r="K301" s="722"/>
      <c r="L301" s="722"/>
      <c r="M301" s="722"/>
      <c r="N301" s="722"/>
      <c r="O301" s="722"/>
      <c r="P301" s="723"/>
      <c r="Q301" s="32"/>
    </row>
    <row r="302" spans="1:20" s="41" customFormat="1" x14ac:dyDescent="0.25">
      <c r="A302" s="721" t="s">
        <v>1233</v>
      </c>
      <c r="B302" s="722"/>
      <c r="C302" s="722"/>
      <c r="D302" s="722"/>
      <c r="E302" s="722"/>
      <c r="F302" s="722"/>
      <c r="G302" s="722"/>
      <c r="H302" s="722"/>
      <c r="I302" s="722"/>
      <c r="J302" s="722"/>
      <c r="K302" s="722"/>
      <c r="L302" s="722"/>
      <c r="M302" s="722"/>
      <c r="N302" s="722"/>
      <c r="O302" s="722"/>
      <c r="P302" s="723"/>
      <c r="Q302" s="32"/>
    </row>
    <row r="303" spans="1:20" ht="12.75" thickBot="1" x14ac:dyDescent="0.3">
      <c r="A303" s="404"/>
      <c r="B303" s="405"/>
      <c r="C303" s="405"/>
      <c r="D303" s="405"/>
      <c r="E303" s="405"/>
      <c r="F303" s="405"/>
      <c r="G303" s="405"/>
      <c r="H303" s="405"/>
      <c r="I303" s="405"/>
      <c r="J303" s="405"/>
      <c r="K303" s="405"/>
      <c r="L303" s="405"/>
      <c r="M303" s="405"/>
      <c r="N303" s="405"/>
      <c r="O303" s="405"/>
      <c r="P303" s="406"/>
      <c r="Q303" s="7"/>
    </row>
    <row r="304" spans="1:20"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row r="322" spans="1:15" x14ac:dyDescent="0.25">
      <c r="A322" s="5"/>
      <c r="B322" s="5"/>
      <c r="C322" s="5"/>
      <c r="D322" s="5"/>
      <c r="E322" s="5"/>
      <c r="F322" s="5"/>
      <c r="G322" s="5"/>
      <c r="H322" s="5"/>
      <c r="I322" s="5"/>
      <c r="J322" s="5"/>
      <c r="K322" s="5"/>
      <c r="L322" s="5"/>
      <c r="M322" s="5"/>
      <c r="N322" s="5"/>
      <c r="O322" s="5"/>
    </row>
    <row r="323" spans="1:15" x14ac:dyDescent="0.25">
      <c r="A323" s="5"/>
      <c r="B323" s="5"/>
      <c r="C323" s="5"/>
      <c r="D323" s="5"/>
      <c r="E323" s="5"/>
      <c r="F323" s="5"/>
      <c r="G323" s="5"/>
      <c r="H323" s="5"/>
      <c r="I323" s="5"/>
      <c r="J323" s="5"/>
      <c r="K323" s="5"/>
      <c r="L323" s="5"/>
      <c r="M323" s="5"/>
      <c r="N323" s="5"/>
      <c r="O323" s="5"/>
    </row>
  </sheetData>
  <sheetProtection algorithmName="SHA-512" hashValue="cDEXpssSq2O3hKxu/XXiKt6sKv/KaEmr34AtjrYJhpNr9UIKlAGBOwhBg426neIDrYEidfR/jpEyj8h0U+JL1A==" saltValue="raMmKqBFMa4mgkDGsGiGNg==" spinCount="100000" sheet="1" objects="1" scenarios="1" formatCells="0" formatColumns="0" formatRows="0"/>
  <autoFilter ref="A22:P301">
    <filterColumn colId="2">
      <filters blank="1">
        <filter val="1 080"/>
        <filter val="1 119 980"/>
        <filter val="1 120 095"/>
        <filter val="1 127"/>
        <filter val="1 145 417"/>
        <filter val="1 200"/>
        <filter val="1 207"/>
        <filter val="1 360"/>
        <filter val="1 416"/>
        <filter val="1 546"/>
        <filter val="1 570"/>
        <filter val="1 891"/>
        <filter val="11"/>
        <filter val="11 980"/>
        <filter val="12 411"/>
        <filter val="12 555"/>
        <filter val="12 889"/>
        <filter val="124"/>
        <filter val="125 432"/>
        <filter val="15 375"/>
        <filter val="150"/>
        <filter val="165"/>
        <filter val="17 188"/>
        <filter val="185 191"/>
        <filter val="192"/>
        <filter val="2 080"/>
        <filter val="2 139"/>
        <filter val="2 171"/>
        <filter val="20 881"/>
        <filter val="21 111"/>
        <filter val="229 645"/>
        <filter val="240"/>
        <filter val="25 245"/>
        <filter val="25 437"/>
        <filter val="25 469"/>
        <filter val="261"/>
        <filter val="291"/>
        <filter val="294"/>
        <filter val="3 138"/>
        <filter val="3 693"/>
        <filter val="3 748"/>
        <filter val="3 859"/>
        <filter val="30 772"/>
        <filter val="359"/>
        <filter val="36 219"/>
        <filter val="4 181"/>
        <filter val="4 441"/>
        <filter val="-4 441"/>
        <filter val="40 551"/>
        <filter val="414"/>
        <filter val="44 454"/>
        <filter val="45 771"/>
        <filter val="47"/>
        <filter val="5 544"/>
        <filter val="5 640"/>
        <filter val="59"/>
        <filter val="6 191"/>
        <filter val="655"/>
        <filter val="687 213"/>
        <filter val="7 210"/>
        <filter val="7 304"/>
        <filter val="7 573"/>
        <filter val="72"/>
        <filter val="74 747"/>
        <filter val="76 330"/>
        <filter val="764 903"/>
        <filter val="772"/>
        <filter val="89 078"/>
        <filter val="922"/>
        <filter val="988"/>
        <filter val="994 548"/>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105.pielikums Jūrmalas pilsētas domes
2017.gada 30.janvāra saistošajiem noteikumiem Nr.10
(Protokols Nr.4, 1.punkts)
 </firstHeader>
    <firstFooter>&amp;L&amp;9&amp;D; &amp;T&amp;R&amp;9&amp;P (&amp;N)</first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01"/>
  <sheetViews>
    <sheetView view="pageLayout" zoomScaleNormal="100" workbookViewId="0">
      <selection activeCell="S13" sqref="S13"/>
    </sheetView>
  </sheetViews>
  <sheetFormatPr defaultRowHeight="15" outlineLevelCol="1" x14ac:dyDescent="0.25"/>
  <cols>
    <col min="1" max="1" width="10.7109375" customWidth="1"/>
    <col min="2" max="2" width="32.28515625" customWidth="1"/>
    <col min="4" max="4" width="9.140625" hidden="1" customWidth="1" outlineLevel="1"/>
    <col min="5" max="5" width="7.140625" hidden="1" customWidth="1" outlineLevel="1"/>
    <col min="6" max="6" width="9.28515625" customWidth="1" collapsed="1"/>
    <col min="7" max="7" width="10.42578125" hidden="1" customWidth="1" outlineLevel="1"/>
    <col min="8" max="8" width="9.7109375" hidden="1" customWidth="1" outlineLevel="1"/>
    <col min="9" max="9" width="9.42578125" customWidth="1" collapsed="1"/>
    <col min="10" max="10" width="9.42578125" hidden="1" customWidth="1" outlineLevel="1"/>
    <col min="11" max="11" width="7.28515625" hidden="1" customWidth="1" outlineLevel="1"/>
    <col min="12" max="12" width="8.7109375" customWidth="1" collapsed="1"/>
    <col min="13" max="14" width="7.140625" hidden="1" customWidth="1" outlineLevel="1"/>
    <col min="15" max="15" width="7.140625" customWidth="1" collapsed="1"/>
    <col min="16" max="16" width="38" hidden="1" customWidth="1" outlineLevel="1"/>
    <col min="17" max="17" width="9.140625" collapsed="1"/>
  </cols>
  <sheetData>
    <row r="1" spans="1:17" x14ac:dyDescent="0.25">
      <c r="A1" s="1"/>
      <c r="B1" s="2"/>
      <c r="C1" s="2"/>
      <c r="D1" s="2"/>
      <c r="E1" s="2"/>
      <c r="F1" s="2"/>
      <c r="G1" s="2"/>
      <c r="H1" s="2"/>
      <c r="I1" s="2"/>
      <c r="J1" s="2"/>
      <c r="K1" s="2"/>
      <c r="L1" s="2"/>
      <c r="M1" s="3"/>
      <c r="N1" s="3"/>
      <c r="O1" s="4" t="s">
        <v>1172</v>
      </c>
      <c r="P1" s="5"/>
    </row>
    <row r="2" spans="1:17" x14ac:dyDescent="0.25">
      <c r="A2" s="1"/>
      <c r="B2" s="2"/>
      <c r="C2" s="2"/>
      <c r="D2" s="2"/>
      <c r="E2" s="2"/>
      <c r="F2" s="2"/>
      <c r="G2" s="2"/>
      <c r="H2" s="2"/>
      <c r="I2" s="2"/>
      <c r="J2" s="2"/>
      <c r="K2" s="2"/>
      <c r="L2" s="2"/>
      <c r="M2" s="3"/>
      <c r="N2" s="3"/>
      <c r="O2" s="4"/>
      <c r="P2" s="5"/>
    </row>
    <row r="3" spans="1:17" x14ac:dyDescent="0.25">
      <c r="A3" s="1589"/>
      <c r="B3" s="1590"/>
      <c r="C3" s="1590"/>
      <c r="D3" s="1590"/>
      <c r="E3" s="1590"/>
      <c r="F3" s="1590"/>
      <c r="G3" s="1590"/>
      <c r="H3" s="1590"/>
      <c r="I3" s="1590"/>
      <c r="J3" s="1590"/>
      <c r="K3" s="1590"/>
      <c r="L3" s="1590"/>
      <c r="M3" s="1590"/>
      <c r="N3" s="1590"/>
      <c r="O3" s="1590"/>
      <c r="P3" s="1591"/>
      <c r="Q3" s="610"/>
    </row>
    <row r="4" spans="1:17" ht="15.75" x14ac:dyDescent="0.25">
      <c r="A4" s="1560" t="s">
        <v>1</v>
      </c>
      <c r="B4" s="1561"/>
      <c r="C4" s="1561"/>
      <c r="D4" s="1561"/>
      <c r="E4" s="1561"/>
      <c r="F4" s="1561"/>
      <c r="G4" s="1561"/>
      <c r="H4" s="1561"/>
      <c r="I4" s="1561"/>
      <c r="J4" s="1561"/>
      <c r="K4" s="1561"/>
      <c r="L4" s="1561"/>
      <c r="M4" s="1561"/>
      <c r="N4" s="1561"/>
      <c r="O4" s="1561"/>
      <c r="P4" s="1561"/>
      <c r="Q4" s="610"/>
    </row>
    <row r="5" spans="1:17" ht="15.75" x14ac:dyDescent="0.25">
      <c r="A5" s="653"/>
      <c r="B5" s="654"/>
      <c r="C5" s="654"/>
      <c r="D5" s="654"/>
      <c r="E5" s="654"/>
      <c r="F5" s="654"/>
      <c r="G5" s="654"/>
      <c r="H5" s="654"/>
      <c r="I5" s="654"/>
      <c r="J5" s="654"/>
      <c r="K5" s="654"/>
      <c r="L5" s="654"/>
      <c r="M5" s="654"/>
      <c r="N5" s="654"/>
      <c r="O5" s="654"/>
      <c r="P5" s="654"/>
      <c r="Q5" s="610"/>
    </row>
    <row r="6" spans="1:17" ht="12.75" customHeight="1" x14ac:dyDescent="0.25">
      <c r="A6" s="13" t="s">
        <v>2</v>
      </c>
      <c r="B6" s="14"/>
      <c r="C6" s="1630" t="s">
        <v>1173</v>
      </c>
      <c r="D6" s="1555"/>
      <c r="E6" s="1555"/>
      <c r="F6" s="1555"/>
      <c r="G6" s="1555"/>
      <c r="H6" s="1555"/>
      <c r="I6" s="1555"/>
      <c r="J6" s="1555"/>
      <c r="K6" s="1555"/>
      <c r="L6" s="1555"/>
      <c r="M6" s="1555"/>
      <c r="N6" s="1555"/>
      <c r="O6" s="1555"/>
      <c r="P6" s="1556"/>
      <c r="Q6" s="610"/>
    </row>
    <row r="7" spans="1:17" ht="12.75" customHeight="1" x14ac:dyDescent="0.25">
      <c r="A7" s="13" t="s">
        <v>4</v>
      </c>
      <c r="B7" s="14"/>
      <c r="C7" s="1630" t="s">
        <v>1174</v>
      </c>
      <c r="D7" s="1555"/>
      <c r="E7" s="1555"/>
      <c r="F7" s="1555"/>
      <c r="G7" s="1555"/>
      <c r="H7" s="1555"/>
      <c r="I7" s="1555"/>
      <c r="J7" s="1555"/>
      <c r="K7" s="1555"/>
      <c r="L7" s="1555"/>
      <c r="M7" s="1555"/>
      <c r="N7" s="1555"/>
      <c r="O7" s="1555"/>
      <c r="P7" s="1556"/>
      <c r="Q7" s="610"/>
    </row>
    <row r="8" spans="1:17" ht="12.75" customHeight="1" x14ac:dyDescent="0.25">
      <c r="A8" s="8" t="s">
        <v>6</v>
      </c>
      <c r="B8" s="9"/>
      <c r="C8" s="1629" t="s">
        <v>1175</v>
      </c>
      <c r="D8" s="1553"/>
      <c r="E8" s="1553"/>
      <c r="F8" s="1553"/>
      <c r="G8" s="1553"/>
      <c r="H8" s="1553"/>
      <c r="I8" s="1553"/>
      <c r="J8" s="1553"/>
      <c r="K8" s="1553"/>
      <c r="L8" s="1553"/>
      <c r="M8" s="1553"/>
      <c r="N8" s="1553"/>
      <c r="O8" s="1553"/>
      <c r="P8" s="1554"/>
      <c r="Q8" s="610"/>
    </row>
    <row r="9" spans="1:17" ht="12.75" customHeight="1" x14ac:dyDescent="0.25">
      <c r="A9" s="8" t="s">
        <v>8</v>
      </c>
      <c r="B9" s="9"/>
      <c r="C9" s="1629" t="s">
        <v>333</v>
      </c>
      <c r="D9" s="1553"/>
      <c r="E9" s="1553"/>
      <c r="F9" s="1553"/>
      <c r="G9" s="1553"/>
      <c r="H9" s="1553"/>
      <c r="I9" s="1553"/>
      <c r="J9" s="1553"/>
      <c r="K9" s="1553"/>
      <c r="L9" s="1553"/>
      <c r="M9" s="1553"/>
      <c r="N9" s="1553"/>
      <c r="O9" s="1553"/>
      <c r="P9" s="1554"/>
      <c r="Q9" s="610"/>
    </row>
    <row r="10" spans="1:17" ht="12.75" customHeight="1" x14ac:dyDescent="0.25">
      <c r="A10" s="8" t="s">
        <v>10</v>
      </c>
      <c r="B10" s="9"/>
      <c r="C10" s="1630" t="s">
        <v>1176</v>
      </c>
      <c r="D10" s="1555"/>
      <c r="E10" s="1555"/>
      <c r="F10" s="1555"/>
      <c r="G10" s="1555"/>
      <c r="H10" s="1555"/>
      <c r="I10" s="1555"/>
      <c r="J10" s="1555"/>
      <c r="K10" s="1555"/>
      <c r="L10" s="1555"/>
      <c r="M10" s="1555"/>
      <c r="N10" s="1555"/>
      <c r="O10" s="1555"/>
      <c r="P10" s="1556"/>
      <c r="Q10" s="610"/>
    </row>
    <row r="11" spans="1:17" ht="12.75" customHeight="1" x14ac:dyDescent="0.25">
      <c r="A11" s="8" t="s">
        <v>12</v>
      </c>
      <c r="B11" s="9"/>
      <c r="C11" s="1630" t="s">
        <v>1177</v>
      </c>
      <c r="D11" s="1555"/>
      <c r="E11" s="1555"/>
      <c r="F11" s="1555"/>
      <c r="G11" s="1555"/>
      <c r="H11" s="1555"/>
      <c r="I11" s="1555"/>
      <c r="J11" s="1555"/>
      <c r="K11" s="1555"/>
      <c r="L11" s="1555"/>
      <c r="M11" s="1555"/>
      <c r="N11" s="1555"/>
      <c r="O11" s="1555"/>
      <c r="P11" s="1556"/>
      <c r="Q11" s="610"/>
    </row>
    <row r="12" spans="1:17" ht="12.75" customHeight="1" x14ac:dyDescent="0.25">
      <c r="A12" s="15" t="s">
        <v>14</v>
      </c>
      <c r="B12" s="9"/>
      <c r="C12" s="998"/>
      <c r="D12" s="16"/>
      <c r="E12" s="16"/>
      <c r="F12" s="16"/>
      <c r="G12" s="16"/>
      <c r="H12" s="16"/>
      <c r="I12" s="16"/>
      <c r="J12" s="16"/>
      <c r="K12" s="16"/>
      <c r="L12" s="16"/>
      <c r="M12" s="16"/>
      <c r="N12" s="16"/>
      <c r="O12" s="16"/>
      <c r="P12" s="17"/>
      <c r="Q12" s="610"/>
    </row>
    <row r="13" spans="1:17" ht="12.75" customHeight="1" x14ac:dyDescent="0.25">
      <c r="A13" s="8"/>
      <c r="B13" s="9" t="s">
        <v>15</v>
      </c>
      <c r="C13" s="1629" t="s">
        <v>1178</v>
      </c>
      <c r="D13" s="1553"/>
      <c r="E13" s="1553"/>
      <c r="F13" s="1553"/>
      <c r="G13" s="1553"/>
      <c r="H13" s="1553"/>
      <c r="I13" s="1553"/>
      <c r="J13" s="1553"/>
      <c r="K13" s="1553"/>
      <c r="L13" s="1553"/>
      <c r="M13" s="1553"/>
      <c r="N13" s="1553"/>
      <c r="O13" s="1553"/>
      <c r="P13" s="1554"/>
      <c r="Q13" s="610"/>
    </row>
    <row r="14" spans="1:17" ht="12.75" customHeight="1" x14ac:dyDescent="0.25">
      <c r="A14" s="8"/>
      <c r="B14" s="9" t="s">
        <v>17</v>
      </c>
      <c r="C14" s="1629" t="s">
        <v>1179</v>
      </c>
      <c r="D14" s="1553"/>
      <c r="E14" s="1553"/>
      <c r="F14" s="1553"/>
      <c r="G14" s="1553"/>
      <c r="H14" s="1553"/>
      <c r="I14" s="1553"/>
      <c r="J14" s="1553"/>
      <c r="K14" s="1553"/>
      <c r="L14" s="1553"/>
      <c r="M14" s="1553"/>
      <c r="N14" s="1553"/>
      <c r="O14" s="1553"/>
      <c r="P14" s="1554"/>
      <c r="Q14" s="610"/>
    </row>
    <row r="15" spans="1:17" ht="12.75" customHeight="1" x14ac:dyDescent="0.25">
      <c r="A15" s="8"/>
      <c r="B15" s="9" t="s">
        <v>19</v>
      </c>
      <c r="C15" s="999"/>
      <c r="D15" s="16"/>
      <c r="E15" s="16"/>
      <c r="F15" s="16"/>
      <c r="G15" s="16"/>
      <c r="H15" s="16"/>
      <c r="I15" s="16"/>
      <c r="J15" s="16"/>
      <c r="K15" s="16"/>
      <c r="L15" s="16"/>
      <c r="M15" s="16"/>
      <c r="N15" s="16"/>
      <c r="O15" s="16"/>
      <c r="P15" s="1000"/>
      <c r="Q15" s="610"/>
    </row>
    <row r="16" spans="1:17" ht="12.75" customHeight="1" x14ac:dyDescent="0.25">
      <c r="A16" s="8"/>
      <c r="B16" s="9" t="s">
        <v>20</v>
      </c>
      <c r="C16" s="1629" t="s">
        <v>1180</v>
      </c>
      <c r="D16" s="1553"/>
      <c r="E16" s="1553"/>
      <c r="F16" s="1553"/>
      <c r="G16" s="1553"/>
      <c r="H16" s="1553"/>
      <c r="I16" s="1553"/>
      <c r="J16" s="1553"/>
      <c r="K16" s="1553"/>
      <c r="L16" s="1553"/>
      <c r="M16" s="1553"/>
      <c r="N16" s="1553"/>
      <c r="O16" s="1553"/>
      <c r="P16" s="1554"/>
      <c r="Q16" s="610"/>
    </row>
    <row r="17" spans="1:20" ht="12.75" customHeight="1" x14ac:dyDescent="0.25">
      <c r="A17" s="8"/>
      <c r="B17" s="9" t="s">
        <v>22</v>
      </c>
      <c r="C17" s="1629"/>
      <c r="D17" s="1553"/>
      <c r="E17" s="1553"/>
      <c r="F17" s="1553"/>
      <c r="G17" s="1553"/>
      <c r="H17" s="1553"/>
      <c r="I17" s="1553"/>
      <c r="J17" s="1553"/>
      <c r="K17" s="1553"/>
      <c r="L17" s="1553"/>
      <c r="M17" s="1553"/>
      <c r="N17" s="1553"/>
      <c r="O17" s="1553"/>
      <c r="P17" s="1554"/>
      <c r="Q17" s="610"/>
    </row>
    <row r="18" spans="1:20" ht="12.75" customHeight="1" x14ac:dyDescent="0.25">
      <c r="A18" s="18"/>
      <c r="B18" s="19"/>
      <c r="C18" s="1631"/>
      <c r="D18" s="1569"/>
      <c r="E18" s="1569"/>
      <c r="F18" s="1569"/>
      <c r="G18" s="1569"/>
      <c r="H18" s="1569"/>
      <c r="I18" s="1569"/>
      <c r="J18" s="1569"/>
      <c r="K18" s="1569"/>
      <c r="L18" s="1569"/>
      <c r="M18" s="1569"/>
      <c r="N18" s="1569"/>
      <c r="O18" s="1569"/>
      <c r="P18" s="1570"/>
      <c r="Q18" s="610"/>
    </row>
    <row r="19" spans="1:20"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0"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20" ht="58.5" customHeight="1" thickBot="1" x14ac:dyDescent="0.3">
      <c r="A21" s="1573"/>
      <c r="B21" s="1576"/>
      <c r="C21" s="1581"/>
      <c r="D21" s="1566"/>
      <c r="E21" s="1568"/>
      <c r="F21" s="1564"/>
      <c r="G21" s="1566"/>
      <c r="H21" s="1568"/>
      <c r="I21" s="1564"/>
      <c r="J21" s="1566"/>
      <c r="K21" s="1568"/>
      <c r="L21" s="1564"/>
      <c r="M21" s="1566"/>
      <c r="N21" s="1568"/>
      <c r="O21" s="1564"/>
      <c r="P21" s="1576"/>
    </row>
    <row r="22" spans="1:20" ht="9.75" customHeight="1" thickTop="1" x14ac:dyDescent="0.25">
      <c r="A22" s="22">
        <v>1</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0" x14ac:dyDescent="0.25">
      <c r="A23" s="30"/>
      <c r="B23" s="31" t="s">
        <v>41</v>
      </c>
      <c r="C23" s="32"/>
      <c r="D23" s="33"/>
      <c r="E23" s="34"/>
      <c r="F23" s="35"/>
      <c r="G23" s="33"/>
      <c r="H23" s="36"/>
      <c r="I23" s="37"/>
      <c r="J23" s="33"/>
      <c r="K23" s="38"/>
      <c r="L23" s="37"/>
      <c r="M23" s="38"/>
      <c r="N23" s="39"/>
      <c r="O23" s="37"/>
      <c r="P23" s="40"/>
    </row>
    <row r="24" spans="1:20" ht="15.75" thickBot="1" x14ac:dyDescent="0.3">
      <c r="A24" s="42"/>
      <c r="B24" s="43" t="s">
        <v>42</v>
      </c>
      <c r="C24" s="44">
        <f>SUM(F24,I24,L24,O24)</f>
        <v>651820</v>
      </c>
      <c r="D24" s="45">
        <f>SUM(D25,D28,D29,D45,D46)</f>
        <v>457279</v>
      </c>
      <c r="E24" s="46">
        <f>SUM(E25,E28,E29,E45,E46)</f>
        <v>0</v>
      </c>
      <c r="F24" s="47">
        <f t="shared" ref="F24:F29" si="0">D24+E24</f>
        <v>457279</v>
      </c>
      <c r="G24" s="45">
        <f>SUM(G25,G28,G29,G45,G46)</f>
        <v>172980</v>
      </c>
      <c r="H24" s="48">
        <f>SUM(H25,H28,H46)</f>
        <v>0</v>
      </c>
      <c r="I24" s="49">
        <f>G24+H24</f>
        <v>172980</v>
      </c>
      <c r="J24" s="45">
        <f>SUM(J25,J30,J46)</f>
        <v>21561</v>
      </c>
      <c r="K24" s="48">
        <f>SUM(K25,K30,K46)</f>
        <v>0</v>
      </c>
      <c r="L24" s="49">
        <f>J24+K24</f>
        <v>21561</v>
      </c>
      <c r="M24" s="50">
        <f>SUM(M25,M48)</f>
        <v>0</v>
      </c>
      <c r="N24" s="51">
        <f>SUM(N25,N48)</f>
        <v>0</v>
      </c>
      <c r="O24" s="49">
        <f>M24+N24</f>
        <v>0</v>
      </c>
      <c r="P24" s="52"/>
      <c r="R24" s="1001"/>
      <c r="S24" s="1001"/>
      <c r="T24" s="1001"/>
    </row>
    <row r="25" spans="1:20" ht="15.75" thickTop="1" x14ac:dyDescent="0.25">
      <c r="A25" s="54"/>
      <c r="B25" s="55" t="s">
        <v>43</v>
      </c>
      <c r="C25" s="56">
        <f t="shared" ref="C25:C50" si="1">SUM(F25,I25,L25,O25)</f>
        <v>2000</v>
      </c>
      <c r="D25" s="57">
        <f>SUM(D26:D27)</f>
        <v>0</v>
      </c>
      <c r="E25" s="58">
        <f>SUM(E26:E27)</f>
        <v>0</v>
      </c>
      <c r="F25" s="59">
        <f t="shared" si="0"/>
        <v>0</v>
      </c>
      <c r="G25" s="57">
        <f>SUM(G26:G27)</f>
        <v>0</v>
      </c>
      <c r="H25" s="60">
        <f>SUM(H26:H27)</f>
        <v>0</v>
      </c>
      <c r="I25" s="61">
        <f>G25+H25</f>
        <v>0</v>
      </c>
      <c r="J25" s="57">
        <f>SUM(J26:J27)</f>
        <v>2000</v>
      </c>
      <c r="K25" s="60">
        <f>SUM(K26:K27)</f>
        <v>0</v>
      </c>
      <c r="L25" s="61">
        <f>J25+K25</f>
        <v>2000</v>
      </c>
      <c r="M25" s="62">
        <f>SUM(M26:M27)</f>
        <v>0</v>
      </c>
      <c r="N25" s="63">
        <f>SUM(N26:N27)</f>
        <v>0</v>
      </c>
      <c r="O25" s="61">
        <f>M25+N25</f>
        <v>0</v>
      </c>
      <c r="P25" s="64"/>
      <c r="R25" s="1001"/>
      <c r="S25" s="1001"/>
      <c r="T25" s="1001"/>
    </row>
    <row r="26" spans="1:20" hidden="1" x14ac:dyDescent="0.25">
      <c r="A26" s="65"/>
      <c r="B26" s="66" t="s">
        <v>44</v>
      </c>
      <c r="C26" s="67">
        <f t="shared" si="1"/>
        <v>0</v>
      </c>
      <c r="D26" s="68"/>
      <c r="E26" s="69"/>
      <c r="F26" s="72">
        <f t="shared" si="0"/>
        <v>0</v>
      </c>
      <c r="G26" s="68"/>
      <c r="H26" s="71"/>
      <c r="I26" s="72">
        <f>G26+H26</f>
        <v>0</v>
      </c>
      <c r="J26" s="68"/>
      <c r="K26" s="71"/>
      <c r="L26" s="72">
        <f>J26+K26</f>
        <v>0</v>
      </c>
      <c r="M26" s="73"/>
      <c r="N26" s="69"/>
      <c r="O26" s="72">
        <f>M26+N26</f>
        <v>0</v>
      </c>
      <c r="P26" s="74"/>
      <c r="R26" s="1001"/>
      <c r="S26" s="1001"/>
      <c r="T26" s="1001"/>
    </row>
    <row r="27" spans="1:20" x14ac:dyDescent="0.25">
      <c r="A27" s="75"/>
      <c r="B27" s="76" t="s">
        <v>45</v>
      </c>
      <c r="C27" s="77">
        <f t="shared" si="1"/>
        <v>2000</v>
      </c>
      <c r="D27" s="78"/>
      <c r="E27" s="79"/>
      <c r="F27" s="80">
        <f t="shared" si="0"/>
        <v>0</v>
      </c>
      <c r="G27" s="78"/>
      <c r="H27" s="81"/>
      <c r="I27" s="82">
        <f>G27+H27</f>
        <v>0</v>
      </c>
      <c r="J27" s="78">
        <v>2000</v>
      </c>
      <c r="K27" s="81"/>
      <c r="L27" s="82">
        <f>J27+K27</f>
        <v>2000</v>
      </c>
      <c r="M27" s="83"/>
      <c r="N27" s="84"/>
      <c r="O27" s="82">
        <f>M27+N27</f>
        <v>0</v>
      </c>
      <c r="P27" s="85"/>
      <c r="R27" s="1001"/>
      <c r="S27" s="1001"/>
      <c r="T27" s="1001"/>
    </row>
    <row r="28" spans="1:20" ht="24.75" thickBot="1" x14ac:dyDescent="0.3">
      <c r="A28" s="86">
        <v>19300</v>
      </c>
      <c r="B28" s="86" t="s">
        <v>46</v>
      </c>
      <c r="C28" s="87">
        <f t="shared" si="1"/>
        <v>630259</v>
      </c>
      <c r="D28" s="88">
        <v>457279</v>
      </c>
      <c r="E28" s="89"/>
      <c r="F28" s="90">
        <f t="shared" si="0"/>
        <v>457279</v>
      </c>
      <c r="G28" s="88">
        <v>172980</v>
      </c>
      <c r="H28" s="91"/>
      <c r="I28" s="92">
        <f>G28+H28</f>
        <v>172980</v>
      </c>
      <c r="J28" s="93" t="s">
        <v>47</v>
      </c>
      <c r="K28" s="94" t="s">
        <v>47</v>
      </c>
      <c r="L28" s="95" t="s">
        <v>47</v>
      </c>
      <c r="M28" s="96" t="s">
        <v>47</v>
      </c>
      <c r="N28" s="97" t="s">
        <v>47</v>
      </c>
      <c r="O28" s="95" t="s">
        <v>47</v>
      </c>
      <c r="P28" s="98"/>
      <c r="R28" s="1001"/>
      <c r="S28" s="1001"/>
      <c r="T28" s="1001"/>
    </row>
    <row r="29" spans="1:20" ht="24.75" hidden="1" thickTop="1" x14ac:dyDescent="0.25">
      <c r="A29" s="99"/>
      <c r="B29" s="99" t="s">
        <v>48</v>
      </c>
      <c r="C29" s="100">
        <f t="shared" si="1"/>
        <v>0</v>
      </c>
      <c r="D29" s="101"/>
      <c r="E29" s="102"/>
      <c r="F29" s="177">
        <f t="shared" si="0"/>
        <v>0</v>
      </c>
      <c r="G29" s="104" t="s">
        <v>47</v>
      </c>
      <c r="H29" s="105" t="s">
        <v>47</v>
      </c>
      <c r="I29" s="106" t="s">
        <v>47</v>
      </c>
      <c r="J29" s="104" t="s">
        <v>47</v>
      </c>
      <c r="K29" s="105" t="s">
        <v>47</v>
      </c>
      <c r="L29" s="106" t="s">
        <v>47</v>
      </c>
      <c r="M29" s="107" t="s">
        <v>47</v>
      </c>
      <c r="N29" s="108" t="s">
        <v>47</v>
      </c>
      <c r="O29" s="106" t="s">
        <v>47</v>
      </c>
      <c r="P29" s="109"/>
      <c r="R29" s="1001"/>
      <c r="S29" s="1001"/>
      <c r="T29" s="1001"/>
    </row>
    <row r="30" spans="1:20" ht="24.75" thickTop="1" x14ac:dyDescent="0.25">
      <c r="A30" s="99">
        <v>21300</v>
      </c>
      <c r="B30" s="99" t="s">
        <v>49</v>
      </c>
      <c r="C30" s="100">
        <f t="shared" si="1"/>
        <v>19496</v>
      </c>
      <c r="D30" s="104" t="s">
        <v>47</v>
      </c>
      <c r="E30" s="110" t="s">
        <v>47</v>
      </c>
      <c r="F30" s="111" t="s">
        <v>47</v>
      </c>
      <c r="G30" s="104" t="s">
        <v>47</v>
      </c>
      <c r="H30" s="105" t="s">
        <v>47</v>
      </c>
      <c r="I30" s="106" t="s">
        <v>47</v>
      </c>
      <c r="J30" s="112">
        <f>SUM(J31,J35,J37,J40)</f>
        <v>19496</v>
      </c>
      <c r="K30" s="113">
        <f>SUM(K31,K35,K37,K40)</f>
        <v>0</v>
      </c>
      <c r="L30" s="114">
        <f t="shared" ref="L30:L44" si="2">J30+K30</f>
        <v>19496</v>
      </c>
      <c r="M30" s="107" t="s">
        <v>47</v>
      </c>
      <c r="N30" s="108" t="s">
        <v>47</v>
      </c>
      <c r="O30" s="106" t="s">
        <v>47</v>
      </c>
      <c r="P30" s="109"/>
      <c r="R30" s="1001"/>
      <c r="S30" s="1001"/>
      <c r="T30" s="1001"/>
    </row>
    <row r="31" spans="1:20" x14ac:dyDescent="0.25">
      <c r="A31" s="115">
        <v>21350</v>
      </c>
      <c r="B31" s="99" t="s">
        <v>50</v>
      </c>
      <c r="C31" s="100">
        <f t="shared" si="1"/>
        <v>13281</v>
      </c>
      <c r="D31" s="104" t="s">
        <v>47</v>
      </c>
      <c r="E31" s="110" t="s">
        <v>47</v>
      </c>
      <c r="F31" s="111" t="s">
        <v>47</v>
      </c>
      <c r="G31" s="104" t="s">
        <v>47</v>
      </c>
      <c r="H31" s="105" t="s">
        <v>47</v>
      </c>
      <c r="I31" s="106" t="s">
        <v>47</v>
      </c>
      <c r="J31" s="112">
        <f>SUM(J32:J34)</f>
        <v>13281</v>
      </c>
      <c r="K31" s="113">
        <f>SUM(K32:K34)</f>
        <v>0</v>
      </c>
      <c r="L31" s="114">
        <f t="shared" si="2"/>
        <v>13281</v>
      </c>
      <c r="M31" s="107" t="s">
        <v>47</v>
      </c>
      <c r="N31" s="108" t="s">
        <v>47</v>
      </c>
      <c r="O31" s="106" t="s">
        <v>47</v>
      </c>
      <c r="P31" s="109"/>
      <c r="R31" s="1001"/>
      <c r="S31" s="1001"/>
      <c r="T31" s="1001"/>
    </row>
    <row r="32" spans="1:20" hidden="1" x14ac:dyDescent="0.25">
      <c r="A32" s="65">
        <v>21351</v>
      </c>
      <c r="B32" s="116" t="s">
        <v>51</v>
      </c>
      <c r="C32" s="117">
        <f t="shared" si="1"/>
        <v>0</v>
      </c>
      <c r="D32" s="118" t="s">
        <v>47</v>
      </c>
      <c r="E32" s="119" t="s">
        <v>47</v>
      </c>
      <c r="F32" s="122" t="s">
        <v>47</v>
      </c>
      <c r="G32" s="118" t="s">
        <v>47</v>
      </c>
      <c r="H32" s="121" t="s">
        <v>47</v>
      </c>
      <c r="I32" s="122" t="s">
        <v>47</v>
      </c>
      <c r="J32" s="123"/>
      <c r="K32" s="124"/>
      <c r="L32" s="125">
        <f t="shared" si="2"/>
        <v>0</v>
      </c>
      <c r="M32" s="126" t="s">
        <v>47</v>
      </c>
      <c r="N32" s="119" t="s">
        <v>47</v>
      </c>
      <c r="O32" s="122" t="s">
        <v>47</v>
      </c>
      <c r="P32" s="74"/>
      <c r="R32" s="1001"/>
      <c r="S32" s="1001"/>
      <c r="T32" s="1001"/>
    </row>
    <row r="33" spans="1:20" x14ac:dyDescent="0.25">
      <c r="A33" s="75">
        <v>21352</v>
      </c>
      <c r="B33" s="127" t="s">
        <v>52</v>
      </c>
      <c r="C33" s="128">
        <f t="shared" si="1"/>
        <v>13281</v>
      </c>
      <c r="D33" s="129" t="s">
        <v>47</v>
      </c>
      <c r="E33" s="130" t="s">
        <v>47</v>
      </c>
      <c r="F33" s="131" t="s">
        <v>47</v>
      </c>
      <c r="G33" s="129" t="s">
        <v>47</v>
      </c>
      <c r="H33" s="132" t="s">
        <v>47</v>
      </c>
      <c r="I33" s="133" t="s">
        <v>47</v>
      </c>
      <c r="J33" s="134">
        <v>13281</v>
      </c>
      <c r="K33" s="135"/>
      <c r="L33" s="136">
        <f t="shared" si="2"/>
        <v>13281</v>
      </c>
      <c r="M33" s="137" t="s">
        <v>47</v>
      </c>
      <c r="N33" s="138" t="s">
        <v>47</v>
      </c>
      <c r="O33" s="133" t="s">
        <v>47</v>
      </c>
      <c r="P33" s="85"/>
      <c r="R33" s="1001"/>
      <c r="S33" s="1001"/>
      <c r="T33" s="1001"/>
    </row>
    <row r="34" spans="1:20" ht="24" hidden="1" x14ac:dyDescent="0.25">
      <c r="A34" s="75">
        <v>21359</v>
      </c>
      <c r="B34" s="127" t="s">
        <v>53</v>
      </c>
      <c r="C34" s="128">
        <f t="shared" si="1"/>
        <v>0</v>
      </c>
      <c r="D34" s="129" t="s">
        <v>47</v>
      </c>
      <c r="E34" s="138" t="s">
        <v>47</v>
      </c>
      <c r="F34" s="133" t="s">
        <v>47</v>
      </c>
      <c r="G34" s="129" t="s">
        <v>47</v>
      </c>
      <c r="H34" s="132" t="s">
        <v>47</v>
      </c>
      <c r="I34" s="133" t="s">
        <v>47</v>
      </c>
      <c r="J34" s="134"/>
      <c r="K34" s="135"/>
      <c r="L34" s="136">
        <f t="shared" si="2"/>
        <v>0</v>
      </c>
      <c r="M34" s="137" t="s">
        <v>47</v>
      </c>
      <c r="N34" s="138" t="s">
        <v>47</v>
      </c>
      <c r="O34" s="133" t="s">
        <v>47</v>
      </c>
      <c r="P34" s="85"/>
      <c r="R34" s="1001"/>
      <c r="S34" s="1001"/>
      <c r="T34" s="1001"/>
    </row>
    <row r="35" spans="1:20" ht="24" hidden="1" x14ac:dyDescent="0.25">
      <c r="A35" s="115">
        <v>21370</v>
      </c>
      <c r="B35" s="99" t="s">
        <v>54</v>
      </c>
      <c r="C35" s="100">
        <f t="shared" si="1"/>
        <v>0</v>
      </c>
      <c r="D35" s="104" t="s">
        <v>47</v>
      </c>
      <c r="E35" s="108" t="s">
        <v>47</v>
      </c>
      <c r="F35" s="106" t="s">
        <v>47</v>
      </c>
      <c r="G35" s="104" t="s">
        <v>47</v>
      </c>
      <c r="H35" s="105" t="s">
        <v>47</v>
      </c>
      <c r="I35" s="106" t="s">
        <v>47</v>
      </c>
      <c r="J35" s="112">
        <f>SUM(J36)</f>
        <v>0</v>
      </c>
      <c r="K35" s="113">
        <f>SUM(K36)</f>
        <v>0</v>
      </c>
      <c r="L35" s="114">
        <f t="shared" si="2"/>
        <v>0</v>
      </c>
      <c r="M35" s="107" t="s">
        <v>47</v>
      </c>
      <c r="N35" s="108" t="s">
        <v>47</v>
      </c>
      <c r="O35" s="106" t="s">
        <v>47</v>
      </c>
      <c r="P35" s="109"/>
      <c r="R35" s="1001"/>
      <c r="S35" s="1001"/>
      <c r="T35" s="1001"/>
    </row>
    <row r="36" spans="1:20" ht="24" hidden="1" x14ac:dyDescent="0.25">
      <c r="A36" s="141">
        <v>21379</v>
      </c>
      <c r="B36" s="142" t="s">
        <v>55</v>
      </c>
      <c r="C36" s="143">
        <f t="shared" si="1"/>
        <v>0</v>
      </c>
      <c r="D36" s="144" t="s">
        <v>47</v>
      </c>
      <c r="E36" s="145" t="s">
        <v>47</v>
      </c>
      <c r="F36" s="148" t="s">
        <v>47</v>
      </c>
      <c r="G36" s="144" t="s">
        <v>47</v>
      </c>
      <c r="H36" s="147" t="s">
        <v>47</v>
      </c>
      <c r="I36" s="148" t="s">
        <v>47</v>
      </c>
      <c r="J36" s="149"/>
      <c r="K36" s="150"/>
      <c r="L36" s="151">
        <f t="shared" si="2"/>
        <v>0</v>
      </c>
      <c r="M36" s="152" t="s">
        <v>47</v>
      </c>
      <c r="N36" s="145" t="s">
        <v>47</v>
      </c>
      <c r="O36" s="148" t="s">
        <v>47</v>
      </c>
      <c r="P36" s="153"/>
      <c r="R36" s="1001"/>
      <c r="S36" s="1001"/>
      <c r="T36" s="1001"/>
    </row>
    <row r="37" spans="1:20" hidden="1" x14ac:dyDescent="0.25">
      <c r="A37" s="115">
        <v>21380</v>
      </c>
      <c r="B37" s="99" t="s">
        <v>56</v>
      </c>
      <c r="C37" s="100">
        <f t="shared" si="1"/>
        <v>0</v>
      </c>
      <c r="D37" s="104" t="s">
        <v>47</v>
      </c>
      <c r="E37" s="108" t="s">
        <v>47</v>
      </c>
      <c r="F37" s="106" t="s">
        <v>47</v>
      </c>
      <c r="G37" s="104" t="s">
        <v>47</v>
      </c>
      <c r="H37" s="105" t="s">
        <v>47</v>
      </c>
      <c r="I37" s="106" t="s">
        <v>47</v>
      </c>
      <c r="J37" s="112">
        <f>SUM(J38:J39)</f>
        <v>0</v>
      </c>
      <c r="K37" s="113">
        <f>SUM(K38:K39)</f>
        <v>0</v>
      </c>
      <c r="L37" s="114">
        <f t="shared" si="2"/>
        <v>0</v>
      </c>
      <c r="M37" s="107" t="s">
        <v>47</v>
      </c>
      <c r="N37" s="108" t="s">
        <v>47</v>
      </c>
      <c r="O37" s="106" t="s">
        <v>47</v>
      </c>
      <c r="P37" s="109"/>
      <c r="R37" s="1001"/>
      <c r="S37" s="1001"/>
      <c r="T37" s="1001"/>
    </row>
    <row r="38" spans="1:20" hidden="1" x14ac:dyDescent="0.25">
      <c r="A38" s="66">
        <v>21381</v>
      </c>
      <c r="B38" s="116" t="s">
        <v>57</v>
      </c>
      <c r="C38" s="117">
        <f t="shared" si="1"/>
        <v>0</v>
      </c>
      <c r="D38" s="118" t="s">
        <v>47</v>
      </c>
      <c r="E38" s="119" t="s">
        <v>47</v>
      </c>
      <c r="F38" s="122" t="s">
        <v>47</v>
      </c>
      <c r="G38" s="118" t="s">
        <v>47</v>
      </c>
      <c r="H38" s="121" t="s">
        <v>47</v>
      </c>
      <c r="I38" s="122" t="s">
        <v>47</v>
      </c>
      <c r="J38" s="123"/>
      <c r="K38" s="124"/>
      <c r="L38" s="125">
        <f t="shared" si="2"/>
        <v>0</v>
      </c>
      <c r="M38" s="126" t="s">
        <v>47</v>
      </c>
      <c r="N38" s="119" t="s">
        <v>47</v>
      </c>
      <c r="O38" s="122" t="s">
        <v>47</v>
      </c>
      <c r="P38" s="74"/>
      <c r="R38" s="1001"/>
      <c r="S38" s="1001"/>
      <c r="T38" s="1001"/>
    </row>
    <row r="39" spans="1:20" hidden="1" x14ac:dyDescent="0.25">
      <c r="A39" s="76">
        <v>21383</v>
      </c>
      <c r="B39" s="127" t="s">
        <v>58</v>
      </c>
      <c r="C39" s="128">
        <f t="shared" si="1"/>
        <v>0</v>
      </c>
      <c r="D39" s="129" t="s">
        <v>47</v>
      </c>
      <c r="E39" s="138" t="s">
        <v>47</v>
      </c>
      <c r="F39" s="133" t="s">
        <v>47</v>
      </c>
      <c r="G39" s="129" t="s">
        <v>47</v>
      </c>
      <c r="H39" s="132" t="s">
        <v>47</v>
      </c>
      <c r="I39" s="133" t="s">
        <v>47</v>
      </c>
      <c r="J39" s="134"/>
      <c r="K39" s="135"/>
      <c r="L39" s="136">
        <f t="shared" si="2"/>
        <v>0</v>
      </c>
      <c r="M39" s="137" t="s">
        <v>47</v>
      </c>
      <c r="N39" s="138" t="s">
        <v>47</v>
      </c>
      <c r="O39" s="133" t="s">
        <v>47</v>
      </c>
      <c r="P39" s="85"/>
      <c r="R39" s="1001"/>
      <c r="S39" s="1001"/>
      <c r="T39" s="1001"/>
    </row>
    <row r="40" spans="1:20" ht="24" x14ac:dyDescent="0.25">
      <c r="A40" s="115">
        <v>21390</v>
      </c>
      <c r="B40" s="99" t="s">
        <v>59</v>
      </c>
      <c r="C40" s="100">
        <f t="shared" si="1"/>
        <v>6215</v>
      </c>
      <c r="D40" s="104" t="s">
        <v>47</v>
      </c>
      <c r="E40" s="110" t="s">
        <v>47</v>
      </c>
      <c r="F40" s="111" t="s">
        <v>47</v>
      </c>
      <c r="G40" s="104" t="s">
        <v>47</v>
      </c>
      <c r="H40" s="105" t="s">
        <v>47</v>
      </c>
      <c r="I40" s="106" t="s">
        <v>47</v>
      </c>
      <c r="J40" s="112">
        <f>SUM(J41:J44)</f>
        <v>6215</v>
      </c>
      <c r="K40" s="113">
        <f>SUM(K41:K44)</f>
        <v>0</v>
      </c>
      <c r="L40" s="114">
        <f t="shared" si="2"/>
        <v>6215</v>
      </c>
      <c r="M40" s="107" t="s">
        <v>47</v>
      </c>
      <c r="N40" s="108" t="s">
        <v>47</v>
      </c>
      <c r="O40" s="106" t="s">
        <v>47</v>
      </c>
      <c r="P40" s="109"/>
      <c r="R40" s="1001"/>
      <c r="S40" s="1001"/>
      <c r="T40" s="1001"/>
    </row>
    <row r="41" spans="1:20" ht="24" hidden="1" x14ac:dyDescent="0.25">
      <c r="A41" s="66">
        <v>21391</v>
      </c>
      <c r="B41" s="116" t="s">
        <v>60</v>
      </c>
      <c r="C41" s="117">
        <f t="shared" si="1"/>
        <v>0</v>
      </c>
      <c r="D41" s="118" t="s">
        <v>47</v>
      </c>
      <c r="E41" s="119" t="s">
        <v>47</v>
      </c>
      <c r="F41" s="122" t="s">
        <v>47</v>
      </c>
      <c r="G41" s="118" t="s">
        <v>47</v>
      </c>
      <c r="H41" s="121" t="s">
        <v>47</v>
      </c>
      <c r="I41" s="122" t="s">
        <v>47</v>
      </c>
      <c r="J41" s="123"/>
      <c r="K41" s="124"/>
      <c r="L41" s="125">
        <f t="shared" si="2"/>
        <v>0</v>
      </c>
      <c r="M41" s="126" t="s">
        <v>47</v>
      </c>
      <c r="N41" s="119" t="s">
        <v>47</v>
      </c>
      <c r="O41" s="122" t="s">
        <v>47</v>
      </c>
      <c r="P41" s="74"/>
      <c r="R41" s="1001"/>
      <c r="S41" s="1001"/>
      <c r="T41" s="1001"/>
    </row>
    <row r="42" spans="1:20" hidden="1" x14ac:dyDescent="0.25">
      <c r="A42" s="76">
        <v>21393</v>
      </c>
      <c r="B42" s="127" t="s">
        <v>61</v>
      </c>
      <c r="C42" s="128">
        <f t="shared" si="1"/>
        <v>0</v>
      </c>
      <c r="D42" s="129" t="s">
        <v>47</v>
      </c>
      <c r="E42" s="138" t="s">
        <v>47</v>
      </c>
      <c r="F42" s="133" t="s">
        <v>47</v>
      </c>
      <c r="G42" s="129" t="s">
        <v>47</v>
      </c>
      <c r="H42" s="132" t="s">
        <v>47</v>
      </c>
      <c r="I42" s="133" t="s">
        <v>47</v>
      </c>
      <c r="J42" s="134"/>
      <c r="K42" s="135"/>
      <c r="L42" s="136">
        <f t="shared" si="2"/>
        <v>0</v>
      </c>
      <c r="M42" s="137" t="s">
        <v>47</v>
      </c>
      <c r="N42" s="138" t="s">
        <v>47</v>
      </c>
      <c r="O42" s="133" t="s">
        <v>47</v>
      </c>
      <c r="P42" s="85"/>
      <c r="R42" s="1001"/>
      <c r="S42" s="1001"/>
      <c r="T42" s="1001"/>
    </row>
    <row r="43" spans="1:20" hidden="1" x14ac:dyDescent="0.25">
      <c r="A43" s="76">
        <v>21395</v>
      </c>
      <c r="B43" s="127" t="s">
        <v>62</v>
      </c>
      <c r="C43" s="128">
        <f t="shared" si="1"/>
        <v>0</v>
      </c>
      <c r="D43" s="129" t="s">
        <v>47</v>
      </c>
      <c r="E43" s="138" t="s">
        <v>47</v>
      </c>
      <c r="F43" s="133" t="s">
        <v>47</v>
      </c>
      <c r="G43" s="129" t="s">
        <v>47</v>
      </c>
      <c r="H43" s="132" t="s">
        <v>47</v>
      </c>
      <c r="I43" s="133" t="s">
        <v>47</v>
      </c>
      <c r="J43" s="134"/>
      <c r="K43" s="135"/>
      <c r="L43" s="136">
        <f t="shared" si="2"/>
        <v>0</v>
      </c>
      <c r="M43" s="137" t="s">
        <v>47</v>
      </c>
      <c r="N43" s="138" t="s">
        <v>47</v>
      </c>
      <c r="O43" s="133" t="s">
        <v>47</v>
      </c>
      <c r="P43" s="85"/>
      <c r="R43" s="1001"/>
      <c r="S43" s="1001"/>
      <c r="T43" s="1001"/>
    </row>
    <row r="44" spans="1:20" x14ac:dyDescent="0.25">
      <c r="A44" s="76">
        <v>21399</v>
      </c>
      <c r="B44" s="127" t="s">
        <v>63</v>
      </c>
      <c r="C44" s="302">
        <f t="shared" si="1"/>
        <v>6215</v>
      </c>
      <c r="D44" s="129" t="s">
        <v>47</v>
      </c>
      <c r="E44" s="130" t="s">
        <v>47</v>
      </c>
      <c r="F44" s="131" t="s">
        <v>47</v>
      </c>
      <c r="G44" s="129" t="s">
        <v>47</v>
      </c>
      <c r="H44" s="132" t="s">
        <v>47</v>
      </c>
      <c r="I44" s="133" t="s">
        <v>47</v>
      </c>
      <c r="J44" s="134">
        <f>19496-13281</f>
        <v>6215</v>
      </c>
      <c r="K44" s="135"/>
      <c r="L44" s="136">
        <f t="shared" si="2"/>
        <v>6215</v>
      </c>
      <c r="M44" s="137" t="s">
        <v>47</v>
      </c>
      <c r="N44" s="138" t="s">
        <v>47</v>
      </c>
      <c r="O44" s="133" t="s">
        <v>47</v>
      </c>
      <c r="P44" s="85"/>
      <c r="R44" s="1001"/>
      <c r="S44" s="1001"/>
      <c r="T44" s="1001"/>
    </row>
    <row r="45" spans="1:20" ht="24" hidden="1" x14ac:dyDescent="0.25">
      <c r="A45" s="115">
        <v>21420</v>
      </c>
      <c r="B45" s="99" t="s">
        <v>64</v>
      </c>
      <c r="C45" s="156">
        <f t="shared" si="1"/>
        <v>0</v>
      </c>
      <c r="D45" s="157"/>
      <c r="E45" s="158"/>
      <c r="F45" s="177">
        <f>D45+E45</f>
        <v>0</v>
      </c>
      <c r="G45" s="104" t="s">
        <v>47</v>
      </c>
      <c r="H45" s="105" t="s">
        <v>47</v>
      </c>
      <c r="I45" s="106" t="s">
        <v>47</v>
      </c>
      <c r="J45" s="104" t="s">
        <v>47</v>
      </c>
      <c r="K45" s="105" t="s">
        <v>47</v>
      </c>
      <c r="L45" s="106" t="s">
        <v>47</v>
      </c>
      <c r="M45" s="107" t="s">
        <v>47</v>
      </c>
      <c r="N45" s="108" t="s">
        <v>47</v>
      </c>
      <c r="O45" s="106" t="s">
        <v>47</v>
      </c>
      <c r="P45" s="109"/>
      <c r="R45" s="1001"/>
      <c r="S45" s="1001"/>
      <c r="T45" s="1001"/>
    </row>
    <row r="46" spans="1:20" ht="24" x14ac:dyDescent="0.25">
      <c r="A46" s="159">
        <v>21490</v>
      </c>
      <c r="B46" s="160" t="s">
        <v>65</v>
      </c>
      <c r="C46" s="156">
        <f t="shared" si="1"/>
        <v>65</v>
      </c>
      <c r="D46" s="161">
        <f>D47</f>
        <v>0</v>
      </c>
      <c r="E46" s="672">
        <f>E47</f>
        <v>0</v>
      </c>
      <c r="F46" s="774">
        <f>D46+E46</f>
        <v>0</v>
      </c>
      <c r="G46" s="161">
        <f>G47</f>
        <v>0</v>
      </c>
      <c r="H46" s="164">
        <f>H47</f>
        <v>0</v>
      </c>
      <c r="I46" s="165">
        <f>G46+H46</f>
        <v>0</v>
      </c>
      <c r="J46" s="161">
        <f>J47</f>
        <v>65</v>
      </c>
      <c r="K46" s="164">
        <f>K47</f>
        <v>0</v>
      </c>
      <c r="L46" s="165">
        <f>J46+K46</f>
        <v>65</v>
      </c>
      <c r="M46" s="107" t="s">
        <v>47</v>
      </c>
      <c r="N46" s="108" t="s">
        <v>47</v>
      </c>
      <c r="O46" s="106" t="s">
        <v>47</v>
      </c>
      <c r="P46" s="109"/>
      <c r="R46" s="1001"/>
      <c r="S46" s="1001"/>
      <c r="T46" s="1001"/>
    </row>
    <row r="47" spans="1:20" x14ac:dyDescent="0.25">
      <c r="A47" s="265">
        <v>21499</v>
      </c>
      <c r="B47" s="266" t="s">
        <v>66</v>
      </c>
      <c r="C47" s="929">
        <f t="shared" si="1"/>
        <v>65</v>
      </c>
      <c r="D47" s="930"/>
      <c r="E47" s="948"/>
      <c r="F47" s="949">
        <f>D47+E47</f>
        <v>0</v>
      </c>
      <c r="G47" s="933"/>
      <c r="H47" s="934"/>
      <c r="I47" s="980">
        <f>G47+H47</f>
        <v>0</v>
      </c>
      <c r="J47" s="930">
        <v>65</v>
      </c>
      <c r="K47" s="934"/>
      <c r="L47" s="980">
        <f>J47+K47</f>
        <v>65</v>
      </c>
      <c r="M47" s="936" t="s">
        <v>47</v>
      </c>
      <c r="N47" s="937" t="s">
        <v>47</v>
      </c>
      <c r="O47" s="938" t="s">
        <v>47</v>
      </c>
      <c r="P47" s="939"/>
      <c r="R47" s="1001"/>
      <c r="S47" s="1001"/>
      <c r="T47" s="1001"/>
    </row>
    <row r="48" spans="1:20" hidden="1" x14ac:dyDescent="0.25">
      <c r="A48" s="168">
        <v>23000</v>
      </c>
      <c r="B48" s="169" t="s">
        <v>67</v>
      </c>
      <c r="C48" s="156">
        <f t="shared" si="1"/>
        <v>0</v>
      </c>
      <c r="D48" s="170" t="s">
        <v>47</v>
      </c>
      <c r="E48" s="171" t="s">
        <v>47</v>
      </c>
      <c r="F48" s="174" t="s">
        <v>47</v>
      </c>
      <c r="G48" s="170" t="s">
        <v>47</v>
      </c>
      <c r="H48" s="173" t="s">
        <v>47</v>
      </c>
      <c r="I48" s="174" t="s">
        <v>47</v>
      </c>
      <c r="J48" s="170" t="s">
        <v>47</v>
      </c>
      <c r="K48" s="173" t="s">
        <v>47</v>
      </c>
      <c r="L48" s="174" t="s">
        <v>47</v>
      </c>
      <c r="M48" s="175">
        <f>SUM(M49:M50)</f>
        <v>0</v>
      </c>
      <c r="N48" s="176">
        <f>SUM(N49:N50)</f>
        <v>0</v>
      </c>
      <c r="O48" s="177">
        <f>M48+N48</f>
        <v>0</v>
      </c>
      <c r="P48" s="109"/>
      <c r="R48" s="1001"/>
      <c r="S48" s="1001"/>
      <c r="T48" s="1001"/>
    </row>
    <row r="49" spans="1:20" ht="24" hidden="1" x14ac:dyDescent="0.25">
      <c r="A49" s="178">
        <v>23410</v>
      </c>
      <c r="B49" s="179" t="s">
        <v>68</v>
      </c>
      <c r="C49" s="180">
        <f t="shared" si="1"/>
        <v>0</v>
      </c>
      <c r="D49" s="181" t="s">
        <v>47</v>
      </c>
      <c r="E49" s="182" t="s">
        <v>47</v>
      </c>
      <c r="F49" s="185" t="s">
        <v>47</v>
      </c>
      <c r="G49" s="181" t="s">
        <v>47</v>
      </c>
      <c r="H49" s="184" t="s">
        <v>47</v>
      </c>
      <c r="I49" s="185" t="s">
        <v>47</v>
      </c>
      <c r="J49" s="181" t="s">
        <v>47</v>
      </c>
      <c r="K49" s="184" t="s">
        <v>47</v>
      </c>
      <c r="L49" s="185" t="s">
        <v>47</v>
      </c>
      <c r="M49" s="186"/>
      <c r="N49" s="187"/>
      <c r="O49" s="188">
        <f>M49+N49</f>
        <v>0</v>
      </c>
      <c r="P49" s="189"/>
      <c r="R49" s="1001"/>
      <c r="S49" s="1001"/>
      <c r="T49" s="1001"/>
    </row>
    <row r="50" spans="1:20" ht="24" hidden="1" x14ac:dyDescent="0.25">
      <c r="A50" s="178">
        <v>23510</v>
      </c>
      <c r="B50" s="179" t="s">
        <v>69</v>
      </c>
      <c r="C50" s="180">
        <f t="shared" si="1"/>
        <v>0</v>
      </c>
      <c r="D50" s="181" t="s">
        <v>47</v>
      </c>
      <c r="E50" s="182" t="s">
        <v>47</v>
      </c>
      <c r="F50" s="185" t="s">
        <v>47</v>
      </c>
      <c r="G50" s="181" t="s">
        <v>47</v>
      </c>
      <c r="H50" s="184" t="s">
        <v>47</v>
      </c>
      <c r="I50" s="185" t="s">
        <v>47</v>
      </c>
      <c r="J50" s="181" t="s">
        <v>47</v>
      </c>
      <c r="K50" s="184" t="s">
        <v>47</v>
      </c>
      <c r="L50" s="185" t="s">
        <v>47</v>
      </c>
      <c r="M50" s="186"/>
      <c r="N50" s="187"/>
      <c r="O50" s="188">
        <f>M50+N50</f>
        <v>0</v>
      </c>
      <c r="P50" s="189"/>
      <c r="R50" s="1001"/>
      <c r="S50" s="1001"/>
      <c r="T50" s="1001"/>
    </row>
    <row r="51" spans="1:20" x14ac:dyDescent="0.25">
      <c r="A51" s="190"/>
      <c r="B51" s="179"/>
      <c r="C51" s="191"/>
      <c r="D51" s="192"/>
      <c r="E51" s="193"/>
      <c r="F51" s="194"/>
      <c r="G51" s="192"/>
      <c r="H51" s="195"/>
      <c r="I51" s="185"/>
      <c r="J51" s="196"/>
      <c r="K51" s="197"/>
      <c r="L51" s="188"/>
      <c r="M51" s="186"/>
      <c r="N51" s="187"/>
      <c r="O51" s="188"/>
      <c r="P51" s="189"/>
      <c r="R51" s="1001"/>
      <c r="S51" s="1001"/>
      <c r="T51" s="1001"/>
    </row>
    <row r="52" spans="1:20" x14ac:dyDescent="0.25">
      <c r="A52" s="198"/>
      <c r="B52" s="199" t="s">
        <v>70</v>
      </c>
      <c r="C52" s="200"/>
      <c r="D52" s="201"/>
      <c r="E52" s="202"/>
      <c r="F52" s="203"/>
      <c r="G52" s="201"/>
      <c r="H52" s="204"/>
      <c r="I52" s="205"/>
      <c r="J52" s="201"/>
      <c r="K52" s="204"/>
      <c r="L52" s="205"/>
      <c r="M52" s="206"/>
      <c r="N52" s="207"/>
      <c r="O52" s="205"/>
      <c r="P52" s="208"/>
      <c r="R52" s="1001"/>
      <c r="S52" s="1001"/>
      <c r="T52" s="1001"/>
    </row>
    <row r="53" spans="1:20" ht="15.75" thickBot="1" x14ac:dyDescent="0.3">
      <c r="A53" s="209"/>
      <c r="B53" s="42" t="s">
        <v>71</v>
      </c>
      <c r="C53" s="210">
        <f t="shared" ref="C53:C116" si="3">SUM(F53,I53,L53,O53)</f>
        <v>651820</v>
      </c>
      <c r="D53" s="211">
        <f>SUM(D54,D284)</f>
        <v>457279</v>
      </c>
      <c r="E53" s="212">
        <f>SUM(E54,E284)</f>
        <v>0</v>
      </c>
      <c r="F53" s="213">
        <f t="shared" ref="F53:F116" si="4">D53+E53</f>
        <v>457279</v>
      </c>
      <c r="G53" s="211">
        <f>SUM(G54,G284)</f>
        <v>172980</v>
      </c>
      <c r="H53" s="214">
        <f>SUM(H54,H284)</f>
        <v>0</v>
      </c>
      <c r="I53" s="215">
        <f t="shared" ref="I53:I116" si="5">G53+H53</f>
        <v>172980</v>
      </c>
      <c r="J53" s="211">
        <f>SUM(J54,J284)</f>
        <v>21561</v>
      </c>
      <c r="K53" s="214">
        <f>SUM(K54,K284)</f>
        <v>0</v>
      </c>
      <c r="L53" s="215">
        <f t="shared" ref="L53:L116" si="6">J53+K53</f>
        <v>21561</v>
      </c>
      <c r="M53" s="216">
        <f>SUM(M54,M284)</f>
        <v>0</v>
      </c>
      <c r="N53" s="217">
        <f>SUM(N54,N284)</f>
        <v>0</v>
      </c>
      <c r="O53" s="215">
        <f t="shared" ref="O53:O116" si="7">M53+N53</f>
        <v>0</v>
      </c>
      <c r="P53" s="52"/>
      <c r="R53" s="1001"/>
      <c r="S53" s="1001"/>
      <c r="T53" s="1001"/>
    </row>
    <row r="54" spans="1:20" ht="36.75" thickTop="1" x14ac:dyDescent="0.25">
      <c r="A54" s="218"/>
      <c r="B54" s="219" t="s">
        <v>72</v>
      </c>
      <c r="C54" s="220">
        <f t="shared" si="3"/>
        <v>651820</v>
      </c>
      <c r="D54" s="221">
        <f>SUM(D55,D197)</f>
        <v>457279</v>
      </c>
      <c r="E54" s="222">
        <f>SUM(E55,E197)</f>
        <v>0</v>
      </c>
      <c r="F54" s="223">
        <f t="shared" si="4"/>
        <v>457279</v>
      </c>
      <c r="G54" s="221">
        <f>SUM(G55,G197)</f>
        <v>172980</v>
      </c>
      <c r="H54" s="224">
        <f>SUM(H55,H197)</f>
        <v>0</v>
      </c>
      <c r="I54" s="225">
        <f t="shared" si="5"/>
        <v>172980</v>
      </c>
      <c r="J54" s="221">
        <f>SUM(J55,J197)</f>
        <v>21561</v>
      </c>
      <c r="K54" s="224">
        <f>SUM(K55,K197)</f>
        <v>0</v>
      </c>
      <c r="L54" s="225">
        <f t="shared" si="6"/>
        <v>21561</v>
      </c>
      <c r="M54" s="226">
        <f>SUM(M55,M197)</f>
        <v>0</v>
      </c>
      <c r="N54" s="227">
        <f>SUM(N55,N197)</f>
        <v>0</v>
      </c>
      <c r="O54" s="225">
        <f t="shared" si="7"/>
        <v>0</v>
      </c>
      <c r="P54" s="228"/>
      <c r="R54" s="1001"/>
      <c r="S54" s="1001"/>
      <c r="T54" s="1001"/>
    </row>
    <row r="55" spans="1:20" ht="24" x14ac:dyDescent="0.25">
      <c r="A55" s="35"/>
      <c r="B55" s="30" t="s">
        <v>73</v>
      </c>
      <c r="C55" s="229">
        <f t="shared" si="3"/>
        <v>646745</v>
      </c>
      <c r="D55" s="230">
        <f>SUM(D56,D78,D176,D190)</f>
        <v>452704</v>
      </c>
      <c r="E55" s="231">
        <f>SUM(E56,E78,E176,E190)</f>
        <v>0</v>
      </c>
      <c r="F55" s="232">
        <f t="shared" si="4"/>
        <v>452704</v>
      </c>
      <c r="G55" s="230">
        <f>SUM(G56,G78,G176,G190)</f>
        <v>172480</v>
      </c>
      <c r="H55" s="233">
        <f>SUM(H56,H78,H176,H190)</f>
        <v>0</v>
      </c>
      <c r="I55" s="234">
        <f t="shared" si="5"/>
        <v>172480</v>
      </c>
      <c r="J55" s="230">
        <f>SUM(J56,J78,J176,J190)</f>
        <v>21561</v>
      </c>
      <c r="K55" s="233">
        <f>SUM(K56,K78,K176,K190)</f>
        <v>0</v>
      </c>
      <c r="L55" s="234">
        <f t="shared" si="6"/>
        <v>21561</v>
      </c>
      <c r="M55" s="53">
        <f>SUM(M56,M78,M176,M190)</f>
        <v>0</v>
      </c>
      <c r="N55" s="235">
        <f>SUM(N56,N78,N176,N190)</f>
        <v>0</v>
      </c>
      <c r="O55" s="234">
        <f t="shared" si="7"/>
        <v>0</v>
      </c>
      <c r="P55" s="236"/>
      <c r="R55" s="1001"/>
      <c r="S55" s="1001"/>
      <c r="T55" s="1001"/>
    </row>
    <row r="56" spans="1:20" x14ac:dyDescent="0.25">
      <c r="A56" s="237">
        <v>1000</v>
      </c>
      <c r="B56" s="237" t="s">
        <v>74</v>
      </c>
      <c r="C56" s="238">
        <f t="shared" si="3"/>
        <v>550743</v>
      </c>
      <c r="D56" s="239">
        <f>SUM(D57,D70)</f>
        <v>381094</v>
      </c>
      <c r="E56" s="240">
        <f>SUM(E57,E70)</f>
        <v>0</v>
      </c>
      <c r="F56" s="241">
        <f t="shared" si="4"/>
        <v>381094</v>
      </c>
      <c r="G56" s="239">
        <f>SUM(G57,G70)</f>
        <v>169649</v>
      </c>
      <c r="H56" s="242">
        <f>SUM(H57,H70)</f>
        <v>0</v>
      </c>
      <c r="I56" s="243">
        <f t="shared" si="5"/>
        <v>169649</v>
      </c>
      <c r="J56" s="239">
        <f>SUM(J57,J70)</f>
        <v>0</v>
      </c>
      <c r="K56" s="242">
        <f>SUM(K57,K70)</f>
        <v>0</v>
      </c>
      <c r="L56" s="243">
        <f t="shared" si="6"/>
        <v>0</v>
      </c>
      <c r="M56" s="244">
        <f>SUM(M57,M70)</f>
        <v>0</v>
      </c>
      <c r="N56" s="245">
        <f>SUM(N57,N70)</f>
        <v>0</v>
      </c>
      <c r="O56" s="243">
        <f t="shared" si="7"/>
        <v>0</v>
      </c>
      <c r="P56" s="246"/>
      <c r="R56" s="1001"/>
      <c r="S56" s="1001"/>
      <c r="T56" s="1001"/>
    </row>
    <row r="57" spans="1:20" x14ac:dyDescent="0.25">
      <c r="A57" s="99">
        <v>1100</v>
      </c>
      <c r="B57" s="247" t="s">
        <v>75</v>
      </c>
      <c r="C57" s="100">
        <f t="shared" si="3"/>
        <v>415197</v>
      </c>
      <c r="D57" s="112">
        <f>SUM(D58,D61,D69)</f>
        <v>281479</v>
      </c>
      <c r="E57" s="248">
        <f>SUM(E58,E61,E69)</f>
        <v>0</v>
      </c>
      <c r="F57" s="249">
        <f t="shared" si="4"/>
        <v>281479</v>
      </c>
      <c r="G57" s="112">
        <f>SUM(G58,G61,G69)</f>
        <v>136232</v>
      </c>
      <c r="H57" s="113">
        <f>SUM(H58,H61,H69)</f>
        <v>-2514</v>
      </c>
      <c r="I57" s="114">
        <f t="shared" si="5"/>
        <v>133718</v>
      </c>
      <c r="J57" s="112">
        <f>SUM(J58,J61,J69)</f>
        <v>0</v>
      </c>
      <c r="K57" s="113">
        <f>SUM(K58,K61,K69)</f>
        <v>0</v>
      </c>
      <c r="L57" s="114">
        <f t="shared" si="6"/>
        <v>0</v>
      </c>
      <c r="M57" s="250">
        <f>SUM(M58,M61,M69)</f>
        <v>0</v>
      </c>
      <c r="N57" s="251">
        <f>SUM(N58,N61,N69)</f>
        <v>0</v>
      </c>
      <c r="O57" s="252">
        <f t="shared" si="7"/>
        <v>0</v>
      </c>
      <c r="P57" s="253"/>
      <c r="R57" s="1001"/>
      <c r="S57" s="1001"/>
      <c r="T57" s="1001"/>
    </row>
    <row r="58" spans="1:20" x14ac:dyDescent="0.25">
      <c r="A58" s="254">
        <v>1110</v>
      </c>
      <c r="B58" s="179" t="s">
        <v>76</v>
      </c>
      <c r="C58" s="191">
        <f t="shared" si="3"/>
        <v>374560</v>
      </c>
      <c r="D58" s="255">
        <f>SUM(D59:D60)</f>
        <v>245608</v>
      </c>
      <c r="E58" s="256">
        <f>SUM(E59:E60)</f>
        <v>0</v>
      </c>
      <c r="F58" s="257">
        <f t="shared" si="4"/>
        <v>245608</v>
      </c>
      <c r="G58" s="255">
        <f>SUM(G59:G60)</f>
        <v>128952</v>
      </c>
      <c r="H58" s="258">
        <f>SUM(H59:H60)</f>
        <v>0</v>
      </c>
      <c r="I58" s="259">
        <f t="shared" si="5"/>
        <v>128952</v>
      </c>
      <c r="J58" s="255">
        <f>SUM(J59:J60)</f>
        <v>0</v>
      </c>
      <c r="K58" s="258">
        <f>SUM(K59:K60)</f>
        <v>0</v>
      </c>
      <c r="L58" s="259">
        <f t="shared" si="6"/>
        <v>0</v>
      </c>
      <c r="M58" s="260">
        <f>SUM(M59:M60)</f>
        <v>0</v>
      </c>
      <c r="N58" s="261">
        <f>SUM(N59:N60)</f>
        <v>0</v>
      </c>
      <c r="O58" s="259">
        <f t="shared" si="7"/>
        <v>0</v>
      </c>
      <c r="P58" s="189"/>
      <c r="R58" s="1001"/>
      <c r="S58" s="1001"/>
      <c r="T58" s="1001"/>
    </row>
    <row r="59" spans="1:20" hidden="1" x14ac:dyDescent="0.25">
      <c r="A59" s="66">
        <v>1111</v>
      </c>
      <c r="B59" s="116" t="s">
        <v>77</v>
      </c>
      <c r="C59" s="117">
        <f t="shared" si="3"/>
        <v>0</v>
      </c>
      <c r="D59" s="123"/>
      <c r="E59" s="262"/>
      <c r="F59" s="125">
        <f t="shared" si="4"/>
        <v>0</v>
      </c>
      <c r="G59" s="123"/>
      <c r="H59" s="124"/>
      <c r="I59" s="125">
        <f t="shared" si="5"/>
        <v>0</v>
      </c>
      <c r="J59" s="123"/>
      <c r="K59" s="124"/>
      <c r="L59" s="125">
        <f t="shared" si="6"/>
        <v>0</v>
      </c>
      <c r="M59" s="264"/>
      <c r="N59" s="262"/>
      <c r="O59" s="125">
        <f t="shared" si="7"/>
        <v>0</v>
      </c>
      <c r="P59" s="74"/>
      <c r="R59" s="1001"/>
      <c r="S59" s="1001"/>
      <c r="T59" s="1001"/>
    </row>
    <row r="60" spans="1:20" x14ac:dyDescent="0.25">
      <c r="A60" s="265">
        <v>1119</v>
      </c>
      <c r="B60" s="266" t="s">
        <v>78</v>
      </c>
      <c r="C60" s="267">
        <f t="shared" si="3"/>
        <v>374560</v>
      </c>
      <c r="D60" s="268">
        <v>245608</v>
      </c>
      <c r="E60" s="269"/>
      <c r="F60" s="270">
        <f>D60+E60</f>
        <v>245608</v>
      </c>
      <c r="G60" s="268">
        <v>128952</v>
      </c>
      <c r="H60" s="271"/>
      <c r="I60" s="272">
        <f t="shared" si="5"/>
        <v>128952</v>
      </c>
      <c r="J60" s="268"/>
      <c r="K60" s="271"/>
      <c r="L60" s="272">
        <f t="shared" si="6"/>
        <v>0</v>
      </c>
      <c r="M60" s="273"/>
      <c r="N60" s="274"/>
      <c r="O60" s="272">
        <f t="shared" si="7"/>
        <v>0</v>
      </c>
      <c r="P60" s="275"/>
      <c r="R60" s="1001"/>
      <c r="S60" s="1001"/>
      <c r="T60" s="1001"/>
    </row>
    <row r="61" spans="1:20" x14ac:dyDescent="0.25">
      <c r="A61" s="276">
        <v>1140</v>
      </c>
      <c r="B61" s="127" t="s">
        <v>79</v>
      </c>
      <c r="C61" s="128">
        <f t="shared" si="3"/>
        <v>38832</v>
      </c>
      <c r="D61" s="277">
        <f>SUM(D62:D68)</f>
        <v>34066</v>
      </c>
      <c r="E61" s="278">
        <f>SUM(E62:E68)</f>
        <v>0</v>
      </c>
      <c r="F61" s="279">
        <f t="shared" si="4"/>
        <v>34066</v>
      </c>
      <c r="G61" s="277">
        <f>SUM(G62:G68)</f>
        <v>7280</v>
      </c>
      <c r="H61" s="280">
        <f>SUM(H62:H68)</f>
        <v>-2514</v>
      </c>
      <c r="I61" s="136">
        <f t="shared" si="5"/>
        <v>4766</v>
      </c>
      <c r="J61" s="277">
        <f>SUM(J62:J68)</f>
        <v>0</v>
      </c>
      <c r="K61" s="280">
        <f>SUM(K62:K68)</f>
        <v>0</v>
      </c>
      <c r="L61" s="136">
        <f t="shared" si="6"/>
        <v>0</v>
      </c>
      <c r="M61" s="281">
        <f>SUM(M62:M68)</f>
        <v>0</v>
      </c>
      <c r="N61" s="282">
        <f>SUM(N62:N68)</f>
        <v>0</v>
      </c>
      <c r="O61" s="136">
        <f t="shared" si="7"/>
        <v>0</v>
      </c>
      <c r="P61" s="189"/>
      <c r="R61" s="1001"/>
      <c r="S61" s="1001"/>
      <c r="T61" s="1001"/>
    </row>
    <row r="62" spans="1:20" x14ac:dyDescent="0.25">
      <c r="A62" s="76">
        <v>1141</v>
      </c>
      <c r="B62" s="127" t="s">
        <v>80</v>
      </c>
      <c r="C62" s="128">
        <f t="shared" si="3"/>
        <v>3748</v>
      </c>
      <c r="D62" s="134">
        <v>3748</v>
      </c>
      <c r="E62" s="283"/>
      <c r="F62" s="279">
        <f t="shared" si="4"/>
        <v>3748</v>
      </c>
      <c r="G62" s="134"/>
      <c r="H62" s="135"/>
      <c r="I62" s="136">
        <f t="shared" si="5"/>
        <v>0</v>
      </c>
      <c r="J62" s="134"/>
      <c r="K62" s="135"/>
      <c r="L62" s="136">
        <f t="shared" si="6"/>
        <v>0</v>
      </c>
      <c r="M62" s="284"/>
      <c r="N62" s="285"/>
      <c r="O62" s="136">
        <f t="shared" si="7"/>
        <v>0</v>
      </c>
      <c r="P62" s="85"/>
      <c r="R62" s="1001"/>
      <c r="S62" s="1001"/>
      <c r="T62" s="1001"/>
    </row>
    <row r="63" spans="1:20" ht="24" x14ac:dyDescent="0.25">
      <c r="A63" s="76">
        <v>1142</v>
      </c>
      <c r="B63" s="127" t="s">
        <v>81</v>
      </c>
      <c r="C63" s="128">
        <f t="shared" si="3"/>
        <v>922</v>
      </c>
      <c r="D63" s="134">
        <v>922</v>
      </c>
      <c r="E63" s="283"/>
      <c r="F63" s="279">
        <f t="shared" si="4"/>
        <v>922</v>
      </c>
      <c r="G63" s="134"/>
      <c r="H63" s="135"/>
      <c r="I63" s="136">
        <f t="shared" si="5"/>
        <v>0</v>
      </c>
      <c r="J63" s="134"/>
      <c r="K63" s="135"/>
      <c r="L63" s="136">
        <f t="shared" si="6"/>
        <v>0</v>
      </c>
      <c r="M63" s="284"/>
      <c r="N63" s="285"/>
      <c r="O63" s="136">
        <f t="shared" si="7"/>
        <v>0</v>
      </c>
      <c r="P63" s="85"/>
      <c r="R63" s="1001"/>
      <c r="S63" s="1001"/>
      <c r="T63" s="1001"/>
    </row>
    <row r="64" spans="1:20" ht="24" x14ac:dyDescent="0.25">
      <c r="A64" s="76">
        <v>1145</v>
      </c>
      <c r="B64" s="127" t="s">
        <v>82</v>
      </c>
      <c r="C64" s="128">
        <f t="shared" si="3"/>
        <v>3446</v>
      </c>
      <c r="D64" s="134">
        <f>1827+263</f>
        <v>2090</v>
      </c>
      <c r="E64" s="283"/>
      <c r="F64" s="279">
        <f t="shared" si="4"/>
        <v>2090</v>
      </c>
      <c r="G64" s="134">
        <v>1356</v>
      </c>
      <c r="H64" s="135"/>
      <c r="I64" s="136">
        <f t="shared" si="5"/>
        <v>1356</v>
      </c>
      <c r="J64" s="134"/>
      <c r="K64" s="135"/>
      <c r="L64" s="136">
        <f t="shared" si="6"/>
        <v>0</v>
      </c>
      <c r="M64" s="284"/>
      <c r="N64" s="285"/>
      <c r="O64" s="136">
        <f t="shared" si="7"/>
        <v>0</v>
      </c>
      <c r="P64" s="74"/>
      <c r="R64" s="1001"/>
      <c r="S64" s="1001"/>
      <c r="T64" s="1001"/>
    </row>
    <row r="65" spans="1:20" ht="24" hidden="1" x14ac:dyDescent="0.25">
      <c r="A65" s="76">
        <v>1146</v>
      </c>
      <c r="B65" s="127" t="s">
        <v>83</v>
      </c>
      <c r="C65" s="128">
        <f t="shared" si="3"/>
        <v>0</v>
      </c>
      <c r="D65" s="134">
        <v>0</v>
      </c>
      <c r="E65" s="285"/>
      <c r="F65" s="136">
        <f t="shared" si="4"/>
        <v>0</v>
      </c>
      <c r="G65" s="134"/>
      <c r="H65" s="135"/>
      <c r="I65" s="136">
        <f t="shared" si="5"/>
        <v>0</v>
      </c>
      <c r="J65" s="134"/>
      <c r="K65" s="135"/>
      <c r="L65" s="136">
        <f t="shared" si="6"/>
        <v>0</v>
      </c>
      <c r="M65" s="284"/>
      <c r="N65" s="285"/>
      <c r="O65" s="136">
        <f t="shared" si="7"/>
        <v>0</v>
      </c>
      <c r="P65" s="771"/>
      <c r="R65" s="1001"/>
      <c r="S65" s="1001"/>
      <c r="T65" s="1001"/>
    </row>
    <row r="66" spans="1:20" x14ac:dyDescent="0.25">
      <c r="A66" s="265">
        <v>1147</v>
      </c>
      <c r="B66" s="266" t="s">
        <v>84</v>
      </c>
      <c r="C66" s="267">
        <f t="shared" si="3"/>
        <v>2460</v>
      </c>
      <c r="D66" s="268">
        <v>2460</v>
      </c>
      <c r="E66" s="269"/>
      <c r="F66" s="270">
        <f t="shared" si="4"/>
        <v>2460</v>
      </c>
      <c r="G66" s="268"/>
      <c r="H66" s="271"/>
      <c r="I66" s="272">
        <f t="shared" si="5"/>
        <v>0</v>
      </c>
      <c r="J66" s="268"/>
      <c r="K66" s="271"/>
      <c r="L66" s="272">
        <f t="shared" si="6"/>
        <v>0</v>
      </c>
      <c r="M66" s="273"/>
      <c r="N66" s="274"/>
      <c r="O66" s="272">
        <f t="shared" si="7"/>
        <v>0</v>
      </c>
      <c r="P66" s="275"/>
      <c r="R66" s="1001"/>
      <c r="S66" s="1001"/>
      <c r="T66" s="1001"/>
    </row>
    <row r="67" spans="1:20" x14ac:dyDescent="0.25">
      <c r="A67" s="76">
        <v>1148</v>
      </c>
      <c r="B67" s="127" t="s">
        <v>85</v>
      </c>
      <c r="C67" s="128">
        <f t="shared" si="3"/>
        <v>23727</v>
      </c>
      <c r="D67" s="134">
        <v>23727</v>
      </c>
      <c r="E67" s="283"/>
      <c r="F67" s="279">
        <f t="shared" si="4"/>
        <v>23727</v>
      </c>
      <c r="G67" s="134"/>
      <c r="H67" s="135"/>
      <c r="I67" s="136">
        <f t="shared" si="5"/>
        <v>0</v>
      </c>
      <c r="J67" s="134"/>
      <c r="K67" s="135"/>
      <c r="L67" s="136">
        <f t="shared" si="6"/>
        <v>0</v>
      </c>
      <c r="M67" s="284"/>
      <c r="N67" s="285"/>
      <c r="O67" s="136">
        <f t="shared" si="7"/>
        <v>0</v>
      </c>
      <c r="P67" s="85"/>
      <c r="R67" s="1001"/>
      <c r="S67" s="1001"/>
      <c r="T67" s="1001"/>
    </row>
    <row r="68" spans="1:20" ht="24" x14ac:dyDescent="0.25">
      <c r="A68" s="76">
        <v>1149</v>
      </c>
      <c r="B68" s="127" t="s">
        <v>86</v>
      </c>
      <c r="C68" s="128">
        <f t="shared" si="3"/>
        <v>4529</v>
      </c>
      <c r="D68" s="134">
        <v>1119</v>
      </c>
      <c r="E68" s="283"/>
      <c r="F68" s="279">
        <f t="shared" si="4"/>
        <v>1119</v>
      </c>
      <c r="G68" s="134">
        <v>5924</v>
      </c>
      <c r="H68" s="135">
        <v>-2514</v>
      </c>
      <c r="I68" s="136">
        <f t="shared" si="5"/>
        <v>3410</v>
      </c>
      <c r="J68" s="134"/>
      <c r="K68" s="135"/>
      <c r="L68" s="136">
        <f t="shared" si="6"/>
        <v>0</v>
      </c>
      <c r="M68" s="284"/>
      <c r="N68" s="285"/>
      <c r="O68" s="136">
        <f t="shared" si="7"/>
        <v>0</v>
      </c>
      <c r="P68" s="74" t="s">
        <v>1181</v>
      </c>
      <c r="R68" s="1001"/>
      <c r="S68" s="1001"/>
      <c r="T68" s="1001"/>
    </row>
    <row r="69" spans="1:20" ht="36" x14ac:dyDescent="0.25">
      <c r="A69" s="254">
        <v>1150</v>
      </c>
      <c r="B69" s="179" t="s">
        <v>87</v>
      </c>
      <c r="C69" s="128">
        <f t="shared" si="3"/>
        <v>1805</v>
      </c>
      <c r="D69" s="287">
        <v>1805</v>
      </c>
      <c r="E69" s="288"/>
      <c r="F69" s="257">
        <f t="shared" si="4"/>
        <v>1805</v>
      </c>
      <c r="G69" s="287"/>
      <c r="H69" s="289"/>
      <c r="I69" s="259">
        <f t="shared" si="5"/>
        <v>0</v>
      </c>
      <c r="J69" s="287"/>
      <c r="K69" s="289"/>
      <c r="L69" s="259">
        <f t="shared" si="6"/>
        <v>0</v>
      </c>
      <c r="M69" s="290"/>
      <c r="N69" s="291"/>
      <c r="O69" s="259">
        <f t="shared" si="7"/>
        <v>0</v>
      </c>
      <c r="P69" s="189"/>
      <c r="R69" s="1001"/>
      <c r="S69" s="1001"/>
      <c r="T69" s="1001"/>
    </row>
    <row r="70" spans="1:20" ht="36" x14ac:dyDescent="0.25">
      <c r="A70" s="99">
        <v>1200</v>
      </c>
      <c r="B70" s="247" t="s">
        <v>88</v>
      </c>
      <c r="C70" s="100">
        <f t="shared" si="3"/>
        <v>135546</v>
      </c>
      <c r="D70" s="112">
        <f>SUM(D71:D72)</f>
        <v>99615</v>
      </c>
      <c r="E70" s="248">
        <f>SUM(E71:E72)</f>
        <v>0</v>
      </c>
      <c r="F70" s="249">
        <f t="shared" si="4"/>
        <v>99615</v>
      </c>
      <c r="G70" s="112">
        <f>SUM(G71:G72)</f>
        <v>33417</v>
      </c>
      <c r="H70" s="113">
        <f>SUM(H71:H72)</f>
        <v>2514</v>
      </c>
      <c r="I70" s="114">
        <f t="shared" si="5"/>
        <v>35931</v>
      </c>
      <c r="J70" s="112">
        <f>SUM(J71:J72)</f>
        <v>0</v>
      </c>
      <c r="K70" s="113">
        <f>SUM(K71:K72)</f>
        <v>0</v>
      </c>
      <c r="L70" s="114">
        <f t="shared" si="6"/>
        <v>0</v>
      </c>
      <c r="M70" s="292">
        <f>SUM(M71:M72)</f>
        <v>0</v>
      </c>
      <c r="N70" s="293">
        <f>SUM(N71:N72)</f>
        <v>0</v>
      </c>
      <c r="O70" s="114">
        <f t="shared" si="7"/>
        <v>0</v>
      </c>
      <c r="P70" s="109"/>
      <c r="R70" s="1001"/>
      <c r="S70" s="1001"/>
      <c r="T70" s="1001"/>
    </row>
    <row r="71" spans="1:20" s="1012" customFormat="1" ht="24" x14ac:dyDescent="0.25">
      <c r="A71" s="1002">
        <v>1210</v>
      </c>
      <c r="B71" s="1003" t="s">
        <v>89</v>
      </c>
      <c r="C71" s="1004">
        <f t="shared" si="3"/>
        <v>105346</v>
      </c>
      <c r="D71" s="1005">
        <v>70015</v>
      </c>
      <c r="E71" s="1006"/>
      <c r="F71" s="1007">
        <f t="shared" si="4"/>
        <v>70015</v>
      </c>
      <c r="G71" s="1005">
        <v>32717</v>
      </c>
      <c r="H71" s="1008">
        <v>2614</v>
      </c>
      <c r="I71" s="1009">
        <f t="shared" si="5"/>
        <v>35331</v>
      </c>
      <c r="J71" s="1005"/>
      <c r="K71" s="1008"/>
      <c r="L71" s="1009">
        <f t="shared" si="6"/>
        <v>0</v>
      </c>
      <c r="M71" s="1010"/>
      <c r="N71" s="1011"/>
      <c r="O71" s="1009">
        <f t="shared" si="7"/>
        <v>0</v>
      </c>
      <c r="P71" s="74" t="s">
        <v>1182</v>
      </c>
      <c r="R71" s="1001"/>
      <c r="S71" s="1001"/>
      <c r="T71" s="1001"/>
    </row>
    <row r="72" spans="1:20" ht="24" x14ac:dyDescent="0.25">
      <c r="A72" s="276">
        <v>1220</v>
      </c>
      <c r="B72" s="127" t="s">
        <v>90</v>
      </c>
      <c r="C72" s="128">
        <f t="shared" si="3"/>
        <v>30200</v>
      </c>
      <c r="D72" s="277">
        <f>SUM(D73:D77)</f>
        <v>29600</v>
      </c>
      <c r="E72" s="278">
        <f>SUM(E73:E77)</f>
        <v>0</v>
      </c>
      <c r="F72" s="279">
        <f t="shared" si="4"/>
        <v>29600</v>
      </c>
      <c r="G72" s="277">
        <f>SUM(G73:G77)</f>
        <v>700</v>
      </c>
      <c r="H72" s="280">
        <f>SUM(H73:H77)</f>
        <v>-100</v>
      </c>
      <c r="I72" s="136">
        <f t="shared" si="5"/>
        <v>600</v>
      </c>
      <c r="J72" s="277">
        <f>SUM(J73:J77)</f>
        <v>0</v>
      </c>
      <c r="K72" s="280">
        <f>SUM(K73:K77)</f>
        <v>0</v>
      </c>
      <c r="L72" s="136">
        <f t="shared" si="6"/>
        <v>0</v>
      </c>
      <c r="M72" s="281">
        <f>SUM(M73:M77)</f>
        <v>0</v>
      </c>
      <c r="N72" s="282">
        <f>SUM(N73:N77)</f>
        <v>0</v>
      </c>
      <c r="O72" s="136">
        <f t="shared" si="7"/>
        <v>0</v>
      </c>
      <c r="P72" s="771"/>
      <c r="R72" s="1001"/>
      <c r="S72" s="1001"/>
      <c r="T72" s="1001"/>
    </row>
    <row r="73" spans="1:20" ht="48" x14ac:dyDescent="0.25">
      <c r="A73" s="76">
        <v>1221</v>
      </c>
      <c r="B73" s="127" t="s">
        <v>91</v>
      </c>
      <c r="C73" s="128">
        <f t="shared" si="3"/>
        <v>16326</v>
      </c>
      <c r="D73" s="134">
        <f>10736+4990</f>
        <v>15726</v>
      </c>
      <c r="E73" s="283"/>
      <c r="F73" s="279">
        <f t="shared" si="4"/>
        <v>15726</v>
      </c>
      <c r="G73" s="134">
        <f>100+100+500</f>
        <v>700</v>
      </c>
      <c r="H73" s="135">
        <v>-100</v>
      </c>
      <c r="I73" s="136">
        <f t="shared" si="5"/>
        <v>600</v>
      </c>
      <c r="J73" s="134"/>
      <c r="K73" s="135"/>
      <c r="L73" s="136">
        <f t="shared" si="6"/>
        <v>0</v>
      </c>
      <c r="M73" s="284"/>
      <c r="N73" s="285"/>
      <c r="O73" s="136">
        <f t="shared" si="7"/>
        <v>0</v>
      </c>
      <c r="P73" s="74" t="s">
        <v>1181</v>
      </c>
      <c r="R73" s="1001"/>
      <c r="S73" s="1001"/>
      <c r="T73" s="1001"/>
    </row>
    <row r="74" spans="1:20" hidden="1" x14ac:dyDescent="0.25">
      <c r="A74" s="76">
        <v>1223</v>
      </c>
      <c r="B74" s="127" t="s">
        <v>92</v>
      </c>
      <c r="C74" s="128">
        <f t="shared" si="3"/>
        <v>0</v>
      </c>
      <c r="D74" s="134"/>
      <c r="E74" s="285"/>
      <c r="F74" s="136">
        <f t="shared" si="4"/>
        <v>0</v>
      </c>
      <c r="G74" s="134"/>
      <c r="H74" s="135"/>
      <c r="I74" s="136">
        <f t="shared" si="5"/>
        <v>0</v>
      </c>
      <c r="J74" s="134"/>
      <c r="K74" s="135"/>
      <c r="L74" s="136">
        <f t="shared" si="6"/>
        <v>0</v>
      </c>
      <c r="M74" s="284"/>
      <c r="N74" s="285"/>
      <c r="O74" s="136">
        <f t="shared" si="7"/>
        <v>0</v>
      </c>
      <c r="P74" s="85"/>
      <c r="R74" s="1001"/>
      <c r="S74" s="1001"/>
      <c r="T74" s="1001"/>
    </row>
    <row r="75" spans="1:20" hidden="1" x14ac:dyDescent="0.25">
      <c r="A75" s="76">
        <v>1225</v>
      </c>
      <c r="B75" s="127" t="s">
        <v>93</v>
      </c>
      <c r="C75" s="128">
        <f t="shared" si="3"/>
        <v>0</v>
      </c>
      <c r="D75" s="134"/>
      <c r="E75" s="285"/>
      <c r="F75" s="136">
        <f t="shared" si="4"/>
        <v>0</v>
      </c>
      <c r="G75" s="134"/>
      <c r="H75" s="135"/>
      <c r="I75" s="136">
        <f t="shared" si="5"/>
        <v>0</v>
      </c>
      <c r="J75" s="134"/>
      <c r="K75" s="135"/>
      <c r="L75" s="136">
        <f t="shared" si="6"/>
        <v>0</v>
      </c>
      <c r="M75" s="284"/>
      <c r="N75" s="285"/>
      <c r="O75" s="136">
        <f t="shared" si="7"/>
        <v>0</v>
      </c>
      <c r="P75" s="85"/>
      <c r="R75" s="1001"/>
      <c r="S75" s="1001"/>
      <c r="T75" s="1001"/>
    </row>
    <row r="76" spans="1:20" ht="24" x14ac:dyDescent="0.25">
      <c r="A76" s="76">
        <v>1227</v>
      </c>
      <c r="B76" s="127" t="s">
        <v>94</v>
      </c>
      <c r="C76" s="128">
        <f t="shared" si="3"/>
        <v>12806</v>
      </c>
      <c r="D76" s="134">
        <v>12806</v>
      </c>
      <c r="E76" s="283"/>
      <c r="F76" s="279">
        <f t="shared" si="4"/>
        <v>12806</v>
      </c>
      <c r="G76" s="134"/>
      <c r="H76" s="135"/>
      <c r="I76" s="136">
        <f t="shared" si="5"/>
        <v>0</v>
      </c>
      <c r="J76" s="134"/>
      <c r="K76" s="135"/>
      <c r="L76" s="136">
        <f t="shared" si="6"/>
        <v>0</v>
      </c>
      <c r="M76" s="284"/>
      <c r="N76" s="285"/>
      <c r="O76" s="136">
        <f t="shared" si="7"/>
        <v>0</v>
      </c>
      <c r="P76" s="85"/>
      <c r="R76" s="1001"/>
      <c r="S76" s="1001"/>
      <c r="T76" s="1001"/>
    </row>
    <row r="77" spans="1:20" ht="48" x14ac:dyDescent="0.25">
      <c r="A77" s="265">
        <v>1228</v>
      </c>
      <c r="B77" s="266" t="s">
        <v>95</v>
      </c>
      <c r="C77" s="267">
        <f t="shared" si="3"/>
        <v>1068</v>
      </c>
      <c r="D77" s="268">
        <v>1068</v>
      </c>
      <c r="E77" s="269"/>
      <c r="F77" s="270">
        <f t="shared" si="4"/>
        <v>1068</v>
      </c>
      <c r="G77" s="268"/>
      <c r="H77" s="271"/>
      <c r="I77" s="272">
        <f t="shared" si="5"/>
        <v>0</v>
      </c>
      <c r="J77" s="268"/>
      <c r="K77" s="271"/>
      <c r="L77" s="272">
        <f t="shared" si="6"/>
        <v>0</v>
      </c>
      <c r="M77" s="273"/>
      <c r="N77" s="274"/>
      <c r="O77" s="272">
        <f t="shared" si="7"/>
        <v>0</v>
      </c>
      <c r="P77" s="275"/>
      <c r="R77" s="1001"/>
      <c r="S77" s="1001"/>
      <c r="T77" s="1001"/>
    </row>
    <row r="78" spans="1:20" x14ac:dyDescent="0.25">
      <c r="A78" s="237">
        <v>2000</v>
      </c>
      <c r="B78" s="237" t="s">
        <v>96</v>
      </c>
      <c r="C78" s="238">
        <f t="shared" si="3"/>
        <v>96002</v>
      </c>
      <c r="D78" s="239">
        <f>SUM(D79,D86,D133,D167,D168,D175)</f>
        <v>71610</v>
      </c>
      <c r="E78" s="240">
        <f>SUM(E79,E86,E133,E167,E168,E175)</f>
        <v>0</v>
      </c>
      <c r="F78" s="241">
        <f t="shared" si="4"/>
        <v>71610</v>
      </c>
      <c r="G78" s="239">
        <f>SUM(G79,G86,G133,G167,G168,G175)</f>
        <v>2831</v>
      </c>
      <c r="H78" s="242">
        <f>SUM(H79,H86,H133,H167,H168,H175)</f>
        <v>0</v>
      </c>
      <c r="I78" s="243">
        <f t="shared" si="5"/>
        <v>2831</v>
      </c>
      <c r="J78" s="239">
        <f>SUM(J79,J86,J133,J167,J168,J175)</f>
        <v>21561</v>
      </c>
      <c r="K78" s="242">
        <f>SUM(K79,K86,K133,K167,K168,K175)</f>
        <v>0</v>
      </c>
      <c r="L78" s="243">
        <f t="shared" si="6"/>
        <v>21561</v>
      </c>
      <c r="M78" s="244">
        <f>SUM(M79,M86,M133,M167,M168,M175)</f>
        <v>0</v>
      </c>
      <c r="N78" s="245">
        <f>SUM(N79,N86,N133,N167,N168,N175)</f>
        <v>0</v>
      </c>
      <c r="O78" s="243">
        <f t="shared" si="7"/>
        <v>0</v>
      </c>
      <c r="P78" s="246"/>
      <c r="R78" s="1001"/>
      <c r="S78" s="1001"/>
      <c r="T78" s="1001"/>
    </row>
    <row r="79" spans="1:20" ht="24" hidden="1" x14ac:dyDescent="0.25">
      <c r="A79" s="99">
        <v>2100</v>
      </c>
      <c r="B79" s="247" t="s">
        <v>97</v>
      </c>
      <c r="C79" s="100">
        <f t="shared" si="3"/>
        <v>0</v>
      </c>
      <c r="D79" s="112">
        <f>SUM(D80,D83)</f>
        <v>0</v>
      </c>
      <c r="E79" s="293">
        <f>SUM(E80,E83)</f>
        <v>0</v>
      </c>
      <c r="F79" s="114">
        <f t="shared" si="4"/>
        <v>0</v>
      </c>
      <c r="G79" s="112">
        <f>SUM(G80,G83)</f>
        <v>0</v>
      </c>
      <c r="H79" s="113">
        <f>SUM(H80,H83)</f>
        <v>0</v>
      </c>
      <c r="I79" s="114">
        <f t="shared" si="5"/>
        <v>0</v>
      </c>
      <c r="J79" s="112">
        <f>SUM(J80,J83)</f>
        <v>0</v>
      </c>
      <c r="K79" s="113">
        <f>SUM(K80,K83)</f>
        <v>0</v>
      </c>
      <c r="L79" s="114">
        <f t="shared" si="6"/>
        <v>0</v>
      </c>
      <c r="M79" s="292">
        <f>SUM(M80,M83)</f>
        <v>0</v>
      </c>
      <c r="N79" s="293">
        <f>SUM(N80,N83)</f>
        <v>0</v>
      </c>
      <c r="O79" s="114">
        <f t="shared" si="7"/>
        <v>0</v>
      </c>
      <c r="P79" s="109"/>
      <c r="R79" s="1001"/>
      <c r="S79" s="1001"/>
      <c r="T79" s="1001"/>
    </row>
    <row r="80" spans="1:20" ht="24" hidden="1" x14ac:dyDescent="0.25">
      <c r="A80" s="656">
        <v>2110</v>
      </c>
      <c r="B80" s="116" t="s">
        <v>98</v>
      </c>
      <c r="C80" s="117">
        <f t="shared" si="3"/>
        <v>0</v>
      </c>
      <c r="D80" s="297">
        <f>SUM(D81:D82)</f>
        <v>0</v>
      </c>
      <c r="E80" s="301">
        <f>SUM(E81:E82)</f>
        <v>0</v>
      </c>
      <c r="F80" s="125">
        <f t="shared" si="4"/>
        <v>0</v>
      </c>
      <c r="G80" s="297">
        <f>SUM(G81:G82)</f>
        <v>0</v>
      </c>
      <c r="H80" s="299">
        <f>SUM(H81:H82)</f>
        <v>0</v>
      </c>
      <c r="I80" s="125">
        <f t="shared" si="5"/>
        <v>0</v>
      </c>
      <c r="J80" s="297">
        <f>SUM(J81:J82)</f>
        <v>0</v>
      </c>
      <c r="K80" s="299">
        <f>SUM(K81:K82)</f>
        <v>0</v>
      </c>
      <c r="L80" s="125">
        <f t="shared" si="6"/>
        <v>0</v>
      </c>
      <c r="M80" s="300">
        <f>SUM(M81:M82)</f>
        <v>0</v>
      </c>
      <c r="N80" s="301">
        <f>SUM(N81:N82)</f>
        <v>0</v>
      </c>
      <c r="O80" s="125">
        <f t="shared" si="7"/>
        <v>0</v>
      </c>
      <c r="P80" s="74"/>
      <c r="R80" s="1001"/>
      <c r="S80" s="1001"/>
      <c r="T80" s="1001"/>
    </row>
    <row r="81" spans="1:20" hidden="1" x14ac:dyDescent="0.25">
      <c r="A81" s="76">
        <v>2111</v>
      </c>
      <c r="B81" s="127" t="s">
        <v>99</v>
      </c>
      <c r="C81" s="128">
        <f t="shared" si="3"/>
        <v>0</v>
      </c>
      <c r="D81" s="134"/>
      <c r="E81" s="285"/>
      <c r="F81" s="136">
        <f t="shared" si="4"/>
        <v>0</v>
      </c>
      <c r="G81" s="134"/>
      <c r="H81" s="135"/>
      <c r="I81" s="136">
        <f t="shared" si="5"/>
        <v>0</v>
      </c>
      <c r="J81" s="134"/>
      <c r="K81" s="135"/>
      <c r="L81" s="136">
        <f t="shared" si="6"/>
        <v>0</v>
      </c>
      <c r="M81" s="284"/>
      <c r="N81" s="285"/>
      <c r="O81" s="136">
        <f t="shared" si="7"/>
        <v>0</v>
      </c>
      <c r="P81" s="85"/>
      <c r="R81" s="1001"/>
      <c r="S81" s="1001"/>
      <c r="T81" s="1001"/>
    </row>
    <row r="82" spans="1:20" ht="24" hidden="1" x14ac:dyDescent="0.25">
      <c r="A82" s="76">
        <v>2112</v>
      </c>
      <c r="B82" s="127" t="s">
        <v>100</v>
      </c>
      <c r="C82" s="128">
        <f t="shared" si="3"/>
        <v>0</v>
      </c>
      <c r="D82" s="134"/>
      <c r="E82" s="285"/>
      <c r="F82" s="136">
        <f t="shared" si="4"/>
        <v>0</v>
      </c>
      <c r="G82" s="134"/>
      <c r="H82" s="135"/>
      <c r="I82" s="136">
        <f t="shared" si="5"/>
        <v>0</v>
      </c>
      <c r="J82" s="134"/>
      <c r="K82" s="135"/>
      <c r="L82" s="136">
        <f t="shared" si="6"/>
        <v>0</v>
      </c>
      <c r="M82" s="284"/>
      <c r="N82" s="285"/>
      <c r="O82" s="136">
        <f t="shared" si="7"/>
        <v>0</v>
      </c>
      <c r="P82" s="85"/>
      <c r="R82" s="1001"/>
      <c r="S82" s="1001"/>
      <c r="T82" s="1001"/>
    </row>
    <row r="83" spans="1:20" ht="24" hidden="1" x14ac:dyDescent="0.25">
      <c r="A83" s="276">
        <v>2120</v>
      </c>
      <c r="B83" s="127" t="s">
        <v>101</v>
      </c>
      <c r="C83" s="128">
        <f t="shared" si="3"/>
        <v>0</v>
      </c>
      <c r="D83" s="277">
        <f>SUM(D84:D85)</f>
        <v>0</v>
      </c>
      <c r="E83" s="282">
        <f>SUM(E84:E85)</f>
        <v>0</v>
      </c>
      <c r="F83" s="136">
        <f t="shared" si="4"/>
        <v>0</v>
      </c>
      <c r="G83" s="277">
        <f>SUM(G84:G85)</f>
        <v>0</v>
      </c>
      <c r="H83" s="280">
        <f>SUM(H84:H85)</f>
        <v>0</v>
      </c>
      <c r="I83" s="136">
        <f t="shared" si="5"/>
        <v>0</v>
      </c>
      <c r="J83" s="277">
        <f>SUM(J84:J85)</f>
        <v>0</v>
      </c>
      <c r="K83" s="280">
        <f>SUM(K84:K85)</f>
        <v>0</v>
      </c>
      <c r="L83" s="136">
        <f t="shared" si="6"/>
        <v>0</v>
      </c>
      <c r="M83" s="281">
        <f>SUM(M84:M85)</f>
        <v>0</v>
      </c>
      <c r="N83" s="282">
        <f>SUM(N84:N85)</f>
        <v>0</v>
      </c>
      <c r="O83" s="136">
        <f t="shared" si="7"/>
        <v>0</v>
      </c>
      <c r="P83" s="85"/>
      <c r="R83" s="1001"/>
      <c r="S83" s="1001"/>
      <c r="T83" s="1001"/>
    </row>
    <row r="84" spans="1:20" hidden="1" x14ac:dyDescent="0.25">
      <c r="A84" s="76">
        <v>2121</v>
      </c>
      <c r="B84" s="127" t="s">
        <v>99</v>
      </c>
      <c r="C84" s="128">
        <f t="shared" si="3"/>
        <v>0</v>
      </c>
      <c r="D84" s="134"/>
      <c r="E84" s="285"/>
      <c r="F84" s="136">
        <f t="shared" si="4"/>
        <v>0</v>
      </c>
      <c r="G84" s="134"/>
      <c r="H84" s="135"/>
      <c r="I84" s="136">
        <f t="shared" si="5"/>
        <v>0</v>
      </c>
      <c r="J84" s="134"/>
      <c r="K84" s="135"/>
      <c r="L84" s="136">
        <f t="shared" si="6"/>
        <v>0</v>
      </c>
      <c r="M84" s="284"/>
      <c r="N84" s="285"/>
      <c r="O84" s="136">
        <f t="shared" si="7"/>
        <v>0</v>
      </c>
      <c r="P84" s="85"/>
      <c r="R84" s="1001"/>
      <c r="S84" s="1001"/>
      <c r="T84" s="1001"/>
    </row>
    <row r="85" spans="1:20" ht="24" hidden="1" x14ac:dyDescent="0.25">
      <c r="A85" s="76">
        <v>2122</v>
      </c>
      <c r="B85" s="127" t="s">
        <v>100</v>
      </c>
      <c r="C85" s="128">
        <f t="shared" si="3"/>
        <v>0</v>
      </c>
      <c r="D85" s="134"/>
      <c r="E85" s="285"/>
      <c r="F85" s="136">
        <f t="shared" si="4"/>
        <v>0</v>
      </c>
      <c r="G85" s="134"/>
      <c r="H85" s="135"/>
      <c r="I85" s="136">
        <f t="shared" si="5"/>
        <v>0</v>
      </c>
      <c r="J85" s="134"/>
      <c r="K85" s="135"/>
      <c r="L85" s="136">
        <f t="shared" si="6"/>
        <v>0</v>
      </c>
      <c r="M85" s="284"/>
      <c r="N85" s="285"/>
      <c r="O85" s="136">
        <f t="shared" si="7"/>
        <v>0</v>
      </c>
      <c r="P85" s="85"/>
      <c r="R85" s="1001"/>
      <c r="S85" s="1001"/>
      <c r="T85" s="1001"/>
    </row>
    <row r="86" spans="1:20" x14ac:dyDescent="0.25">
      <c r="A86" s="99">
        <v>2200</v>
      </c>
      <c r="B86" s="247" t="s">
        <v>102</v>
      </c>
      <c r="C86" s="302">
        <f t="shared" si="3"/>
        <v>59733</v>
      </c>
      <c r="D86" s="112">
        <f>SUM(D87,D92,D98,D106,D115,D119,D125,D131)</f>
        <v>58601</v>
      </c>
      <c r="E86" s="248">
        <f>SUM(E87,E92,E98,E106,E115,E119,E125,E131)</f>
        <v>0</v>
      </c>
      <c r="F86" s="249">
        <f t="shared" si="4"/>
        <v>58601</v>
      </c>
      <c r="G86" s="112">
        <f>SUM(G87,G92,G98,G106,G115,G119,G125,G131)</f>
        <v>0</v>
      </c>
      <c r="H86" s="113">
        <f>SUM(H87,H92,H98,H106,H115,H119,H125,H131)</f>
        <v>0</v>
      </c>
      <c r="I86" s="114">
        <f t="shared" si="5"/>
        <v>0</v>
      </c>
      <c r="J86" s="112">
        <f>SUM(J87,J92,J98,J106,J115,J119,J125,J131)</f>
        <v>1132</v>
      </c>
      <c r="K86" s="113">
        <f>SUM(K87,K92,K98,K106,K115,K119,K125,K131)</f>
        <v>0</v>
      </c>
      <c r="L86" s="114">
        <f t="shared" si="6"/>
        <v>1132</v>
      </c>
      <c r="M86" s="303">
        <f>SUM(M87,M92,M98,M106,M115,M119,M125,M131)</f>
        <v>0</v>
      </c>
      <c r="N86" s="304">
        <f>SUM(N87,N92,N98,N106,N115,N119,N125,N131)</f>
        <v>0</v>
      </c>
      <c r="O86" s="305">
        <f t="shared" si="7"/>
        <v>0</v>
      </c>
      <c r="P86" s="306"/>
      <c r="R86" s="1001"/>
      <c r="S86" s="1001"/>
      <c r="T86" s="1001"/>
    </row>
    <row r="87" spans="1:20" x14ac:dyDescent="0.25">
      <c r="A87" s="254">
        <v>2210</v>
      </c>
      <c r="B87" s="179" t="s">
        <v>103</v>
      </c>
      <c r="C87" s="191">
        <f t="shared" si="3"/>
        <v>1243</v>
      </c>
      <c r="D87" s="255">
        <f>SUM(D88:D91)</f>
        <v>1178</v>
      </c>
      <c r="E87" s="256">
        <f>SUM(E88:E91)</f>
        <v>0</v>
      </c>
      <c r="F87" s="257">
        <f t="shared" si="4"/>
        <v>1178</v>
      </c>
      <c r="G87" s="255">
        <f>SUM(G88:G91)</f>
        <v>0</v>
      </c>
      <c r="H87" s="258">
        <f>SUM(H88:H91)</f>
        <v>0</v>
      </c>
      <c r="I87" s="259">
        <f t="shared" si="5"/>
        <v>0</v>
      </c>
      <c r="J87" s="255">
        <f>SUM(J88:J91)</f>
        <v>65</v>
      </c>
      <c r="K87" s="258">
        <f>SUM(K88:K91)</f>
        <v>0</v>
      </c>
      <c r="L87" s="259">
        <f t="shared" si="6"/>
        <v>65</v>
      </c>
      <c r="M87" s="260">
        <f>SUM(M88:M91)</f>
        <v>0</v>
      </c>
      <c r="N87" s="261">
        <f>SUM(N88:N91)</f>
        <v>0</v>
      </c>
      <c r="O87" s="259">
        <f t="shared" si="7"/>
        <v>0</v>
      </c>
      <c r="P87" s="189"/>
      <c r="R87" s="1001"/>
      <c r="S87" s="1001"/>
      <c r="T87" s="1001"/>
    </row>
    <row r="88" spans="1:20" ht="24" hidden="1" x14ac:dyDescent="0.25">
      <c r="A88" s="66">
        <v>2211</v>
      </c>
      <c r="B88" s="116" t="s">
        <v>104</v>
      </c>
      <c r="C88" s="128">
        <f t="shared" si="3"/>
        <v>0</v>
      </c>
      <c r="D88" s="123"/>
      <c r="E88" s="262"/>
      <c r="F88" s="125">
        <f t="shared" si="4"/>
        <v>0</v>
      </c>
      <c r="G88" s="123"/>
      <c r="H88" s="124"/>
      <c r="I88" s="125">
        <f t="shared" si="5"/>
        <v>0</v>
      </c>
      <c r="J88" s="123"/>
      <c r="K88" s="124"/>
      <c r="L88" s="125">
        <f t="shared" si="6"/>
        <v>0</v>
      </c>
      <c r="M88" s="264"/>
      <c r="N88" s="262"/>
      <c r="O88" s="125">
        <f t="shared" si="7"/>
        <v>0</v>
      </c>
      <c r="P88" s="74"/>
      <c r="R88" s="1001"/>
      <c r="S88" s="1001"/>
      <c r="T88" s="1001"/>
    </row>
    <row r="89" spans="1:20" ht="36" x14ac:dyDescent="0.25">
      <c r="A89" s="76">
        <v>2212</v>
      </c>
      <c r="B89" s="127" t="s">
        <v>105</v>
      </c>
      <c r="C89" s="128">
        <f t="shared" si="3"/>
        <v>904</v>
      </c>
      <c r="D89" s="134">
        <v>904</v>
      </c>
      <c r="E89" s="283"/>
      <c r="F89" s="279">
        <f t="shared" si="4"/>
        <v>904</v>
      </c>
      <c r="G89" s="134"/>
      <c r="H89" s="135"/>
      <c r="I89" s="136">
        <f t="shared" si="5"/>
        <v>0</v>
      </c>
      <c r="J89" s="134"/>
      <c r="K89" s="135"/>
      <c r="L89" s="136">
        <f t="shared" si="6"/>
        <v>0</v>
      </c>
      <c r="M89" s="284"/>
      <c r="N89" s="285"/>
      <c r="O89" s="136">
        <f t="shared" si="7"/>
        <v>0</v>
      </c>
      <c r="P89" s="85"/>
      <c r="R89" s="1001"/>
      <c r="S89" s="1001"/>
      <c r="T89" s="1001"/>
    </row>
    <row r="90" spans="1:20" ht="24" x14ac:dyDescent="0.25">
      <c r="A90" s="265">
        <v>2214</v>
      </c>
      <c r="B90" s="266" t="s">
        <v>106</v>
      </c>
      <c r="C90" s="267">
        <f t="shared" si="3"/>
        <v>295</v>
      </c>
      <c r="D90" s="268">
        <v>230</v>
      </c>
      <c r="E90" s="269"/>
      <c r="F90" s="270">
        <f t="shared" si="4"/>
        <v>230</v>
      </c>
      <c r="G90" s="268"/>
      <c r="H90" s="271"/>
      <c r="I90" s="272">
        <f t="shared" si="5"/>
        <v>0</v>
      </c>
      <c r="J90" s="268">
        <v>65</v>
      </c>
      <c r="K90" s="271"/>
      <c r="L90" s="272">
        <f t="shared" si="6"/>
        <v>65</v>
      </c>
      <c r="M90" s="273"/>
      <c r="N90" s="274"/>
      <c r="O90" s="272">
        <f t="shared" si="7"/>
        <v>0</v>
      </c>
      <c r="P90" s="275"/>
      <c r="R90" s="1001"/>
      <c r="S90" s="1001"/>
      <c r="T90" s="1001"/>
    </row>
    <row r="91" spans="1:20" x14ac:dyDescent="0.25">
      <c r="A91" s="76">
        <v>2219</v>
      </c>
      <c r="B91" s="127" t="s">
        <v>107</v>
      </c>
      <c r="C91" s="128">
        <f t="shared" si="3"/>
        <v>44</v>
      </c>
      <c r="D91" s="134">
        <v>44</v>
      </c>
      <c r="E91" s="283"/>
      <c r="F91" s="279">
        <f t="shared" si="4"/>
        <v>44</v>
      </c>
      <c r="G91" s="134"/>
      <c r="H91" s="135"/>
      <c r="I91" s="136">
        <f t="shared" si="5"/>
        <v>0</v>
      </c>
      <c r="J91" s="134"/>
      <c r="K91" s="135"/>
      <c r="L91" s="136">
        <f t="shared" si="6"/>
        <v>0</v>
      </c>
      <c r="M91" s="284"/>
      <c r="N91" s="285"/>
      <c r="O91" s="136">
        <f t="shared" si="7"/>
        <v>0</v>
      </c>
      <c r="P91" s="85"/>
      <c r="R91" s="1001"/>
      <c r="S91" s="1001"/>
      <c r="T91" s="1001"/>
    </row>
    <row r="92" spans="1:20" x14ac:dyDescent="0.25">
      <c r="A92" s="276">
        <v>2220</v>
      </c>
      <c r="B92" s="127" t="s">
        <v>108</v>
      </c>
      <c r="C92" s="128">
        <f t="shared" si="3"/>
        <v>47339</v>
      </c>
      <c r="D92" s="277">
        <f>SUM(D93:D97)</f>
        <v>47339</v>
      </c>
      <c r="E92" s="278">
        <f>SUM(E93:E97)</f>
        <v>0</v>
      </c>
      <c r="F92" s="279">
        <f t="shared" si="4"/>
        <v>47339</v>
      </c>
      <c r="G92" s="277">
        <f>SUM(G93:G97)</f>
        <v>0</v>
      </c>
      <c r="H92" s="280">
        <f>SUM(H93:H97)</f>
        <v>0</v>
      </c>
      <c r="I92" s="136">
        <f t="shared" si="5"/>
        <v>0</v>
      </c>
      <c r="J92" s="277">
        <f>SUM(J93:J97)</f>
        <v>0</v>
      </c>
      <c r="K92" s="280">
        <f>SUM(K93:K97)</f>
        <v>0</v>
      </c>
      <c r="L92" s="136">
        <f t="shared" si="6"/>
        <v>0</v>
      </c>
      <c r="M92" s="281">
        <f>SUM(M93:M97)</f>
        <v>0</v>
      </c>
      <c r="N92" s="282">
        <f>SUM(N93:N97)</f>
        <v>0</v>
      </c>
      <c r="O92" s="136">
        <f t="shared" si="7"/>
        <v>0</v>
      </c>
      <c r="P92" s="85"/>
      <c r="R92" s="1001"/>
      <c r="S92" s="1001"/>
      <c r="T92" s="1001"/>
    </row>
    <row r="93" spans="1:20" x14ac:dyDescent="0.25">
      <c r="A93" s="76">
        <v>2221</v>
      </c>
      <c r="B93" s="127" t="s">
        <v>109</v>
      </c>
      <c r="C93" s="128">
        <f t="shared" si="3"/>
        <v>32844</v>
      </c>
      <c r="D93" s="134">
        <v>32844</v>
      </c>
      <c r="E93" s="283"/>
      <c r="F93" s="279">
        <f t="shared" si="4"/>
        <v>32844</v>
      </c>
      <c r="G93" s="134"/>
      <c r="H93" s="135"/>
      <c r="I93" s="136">
        <f t="shared" si="5"/>
        <v>0</v>
      </c>
      <c r="J93" s="134"/>
      <c r="K93" s="135"/>
      <c r="L93" s="136">
        <f t="shared" si="6"/>
        <v>0</v>
      </c>
      <c r="M93" s="284"/>
      <c r="N93" s="285"/>
      <c r="O93" s="136">
        <f t="shared" si="7"/>
        <v>0</v>
      </c>
      <c r="P93" s="85"/>
      <c r="R93" s="1001"/>
      <c r="S93" s="1001"/>
      <c r="T93" s="1001"/>
    </row>
    <row r="94" spans="1:20" x14ac:dyDescent="0.25">
      <c r="A94" s="76">
        <v>2222</v>
      </c>
      <c r="B94" s="127" t="s">
        <v>110</v>
      </c>
      <c r="C94" s="128">
        <f t="shared" si="3"/>
        <v>5739</v>
      </c>
      <c r="D94" s="134">
        <v>5739</v>
      </c>
      <c r="E94" s="283"/>
      <c r="F94" s="279">
        <f t="shared" si="4"/>
        <v>5739</v>
      </c>
      <c r="G94" s="134"/>
      <c r="H94" s="135"/>
      <c r="I94" s="136">
        <f t="shared" si="5"/>
        <v>0</v>
      </c>
      <c r="J94" s="134"/>
      <c r="K94" s="135"/>
      <c r="L94" s="136">
        <f t="shared" si="6"/>
        <v>0</v>
      </c>
      <c r="M94" s="284"/>
      <c r="N94" s="285"/>
      <c r="O94" s="136">
        <f t="shared" si="7"/>
        <v>0</v>
      </c>
      <c r="P94" s="85"/>
      <c r="R94" s="1001"/>
      <c r="S94" s="1001"/>
      <c r="T94" s="1001"/>
    </row>
    <row r="95" spans="1:20" x14ac:dyDescent="0.25">
      <c r="A95" s="76">
        <v>2223</v>
      </c>
      <c r="B95" s="127" t="s">
        <v>111</v>
      </c>
      <c r="C95" s="128">
        <f t="shared" si="3"/>
        <v>7583</v>
      </c>
      <c r="D95" s="134">
        <v>7583</v>
      </c>
      <c r="E95" s="283"/>
      <c r="F95" s="279">
        <f t="shared" si="4"/>
        <v>7583</v>
      </c>
      <c r="G95" s="134"/>
      <c r="H95" s="135"/>
      <c r="I95" s="136">
        <f t="shared" si="5"/>
        <v>0</v>
      </c>
      <c r="J95" s="134"/>
      <c r="K95" s="135"/>
      <c r="L95" s="136">
        <f t="shared" si="6"/>
        <v>0</v>
      </c>
      <c r="M95" s="284"/>
      <c r="N95" s="285"/>
      <c r="O95" s="136">
        <f t="shared" si="7"/>
        <v>0</v>
      </c>
      <c r="P95" s="85"/>
      <c r="R95" s="1001"/>
      <c r="S95" s="1001"/>
      <c r="T95" s="1001"/>
    </row>
    <row r="96" spans="1:20" ht="36" x14ac:dyDescent="0.25">
      <c r="A96" s="76">
        <v>2224</v>
      </c>
      <c r="B96" s="127" t="s">
        <v>112</v>
      </c>
      <c r="C96" s="128">
        <f t="shared" si="3"/>
        <v>1173</v>
      </c>
      <c r="D96" s="134">
        <v>1173</v>
      </c>
      <c r="E96" s="283"/>
      <c r="F96" s="279">
        <f t="shared" si="4"/>
        <v>1173</v>
      </c>
      <c r="G96" s="134"/>
      <c r="H96" s="135"/>
      <c r="I96" s="136">
        <f t="shared" si="5"/>
        <v>0</v>
      </c>
      <c r="J96" s="134"/>
      <c r="K96" s="135"/>
      <c r="L96" s="136">
        <f t="shared" si="6"/>
        <v>0</v>
      </c>
      <c r="M96" s="284"/>
      <c r="N96" s="285"/>
      <c r="O96" s="136">
        <f t="shared" si="7"/>
        <v>0</v>
      </c>
      <c r="P96" s="85"/>
      <c r="R96" s="1001"/>
      <c r="S96" s="1001"/>
      <c r="T96" s="1001"/>
    </row>
    <row r="97" spans="1:20" ht="24" hidden="1" x14ac:dyDescent="0.25">
      <c r="A97" s="76">
        <v>2229</v>
      </c>
      <c r="B97" s="127" t="s">
        <v>113</v>
      </c>
      <c r="C97" s="128">
        <f t="shared" si="3"/>
        <v>0</v>
      </c>
      <c r="D97" s="134"/>
      <c r="E97" s="285"/>
      <c r="F97" s="136">
        <f t="shared" si="4"/>
        <v>0</v>
      </c>
      <c r="G97" s="134"/>
      <c r="H97" s="135"/>
      <c r="I97" s="136">
        <f t="shared" si="5"/>
        <v>0</v>
      </c>
      <c r="J97" s="134"/>
      <c r="K97" s="135"/>
      <c r="L97" s="136">
        <f t="shared" si="6"/>
        <v>0</v>
      </c>
      <c r="M97" s="284"/>
      <c r="N97" s="285"/>
      <c r="O97" s="136">
        <f t="shared" si="7"/>
        <v>0</v>
      </c>
      <c r="P97" s="85"/>
      <c r="R97" s="1001"/>
      <c r="S97" s="1001"/>
      <c r="T97" s="1001"/>
    </row>
    <row r="98" spans="1:20" ht="36" x14ac:dyDescent="0.25">
      <c r="A98" s="276">
        <v>2230</v>
      </c>
      <c r="B98" s="127" t="s">
        <v>114</v>
      </c>
      <c r="C98" s="128">
        <f t="shared" si="3"/>
        <v>1699</v>
      </c>
      <c r="D98" s="277">
        <f>SUM(D99:D105)</f>
        <v>1699</v>
      </c>
      <c r="E98" s="278">
        <f>SUM(E99:E105)</f>
        <v>0</v>
      </c>
      <c r="F98" s="279">
        <f t="shared" si="4"/>
        <v>1699</v>
      </c>
      <c r="G98" s="277">
        <f>SUM(G99:G105)</f>
        <v>0</v>
      </c>
      <c r="H98" s="280">
        <f>SUM(H99:H105)</f>
        <v>0</v>
      </c>
      <c r="I98" s="136">
        <f t="shared" si="5"/>
        <v>0</v>
      </c>
      <c r="J98" s="277">
        <f>SUM(J99:J105)</f>
        <v>0</v>
      </c>
      <c r="K98" s="280">
        <f>SUM(K99:K105)</f>
        <v>0</v>
      </c>
      <c r="L98" s="136">
        <f t="shared" si="6"/>
        <v>0</v>
      </c>
      <c r="M98" s="281">
        <f>SUM(M99:M105)</f>
        <v>0</v>
      </c>
      <c r="N98" s="282">
        <f>SUM(N99:N105)</f>
        <v>0</v>
      </c>
      <c r="O98" s="136">
        <f t="shared" si="7"/>
        <v>0</v>
      </c>
      <c r="P98" s="85"/>
      <c r="R98" s="1001"/>
      <c r="S98" s="1001"/>
      <c r="T98" s="1001"/>
    </row>
    <row r="99" spans="1:20" ht="24" hidden="1" x14ac:dyDescent="0.25">
      <c r="A99" s="76">
        <v>2231</v>
      </c>
      <c r="B99" s="127" t="s">
        <v>115</v>
      </c>
      <c r="C99" s="128">
        <f t="shared" si="3"/>
        <v>0</v>
      </c>
      <c r="D99" s="134"/>
      <c r="E99" s="285"/>
      <c r="F99" s="136">
        <f t="shared" si="4"/>
        <v>0</v>
      </c>
      <c r="G99" s="134"/>
      <c r="H99" s="135"/>
      <c r="I99" s="136">
        <f t="shared" si="5"/>
        <v>0</v>
      </c>
      <c r="J99" s="134"/>
      <c r="K99" s="135"/>
      <c r="L99" s="136">
        <f t="shared" si="6"/>
        <v>0</v>
      </c>
      <c r="M99" s="284"/>
      <c r="N99" s="285"/>
      <c r="O99" s="136">
        <f t="shared" si="7"/>
        <v>0</v>
      </c>
      <c r="P99" s="85"/>
      <c r="R99" s="1001"/>
      <c r="S99" s="1001"/>
      <c r="T99" s="1001"/>
    </row>
    <row r="100" spans="1:20" ht="24" hidden="1" x14ac:dyDescent="0.25">
      <c r="A100" s="76">
        <v>2232</v>
      </c>
      <c r="B100" s="127" t="s">
        <v>116</v>
      </c>
      <c r="C100" s="128">
        <f t="shared" si="3"/>
        <v>0</v>
      </c>
      <c r="D100" s="134"/>
      <c r="E100" s="285"/>
      <c r="F100" s="136">
        <f t="shared" si="4"/>
        <v>0</v>
      </c>
      <c r="G100" s="134"/>
      <c r="H100" s="135"/>
      <c r="I100" s="136">
        <f t="shared" si="5"/>
        <v>0</v>
      </c>
      <c r="J100" s="134"/>
      <c r="K100" s="135"/>
      <c r="L100" s="136">
        <f t="shared" si="6"/>
        <v>0</v>
      </c>
      <c r="M100" s="284"/>
      <c r="N100" s="285"/>
      <c r="O100" s="136">
        <f t="shared" si="7"/>
        <v>0</v>
      </c>
      <c r="P100" s="85"/>
      <c r="R100" s="1001"/>
      <c r="S100" s="1001"/>
      <c r="T100" s="1001"/>
    </row>
    <row r="101" spans="1:20" hidden="1" x14ac:dyDescent="0.25">
      <c r="A101" s="66">
        <v>2233</v>
      </c>
      <c r="B101" s="116" t="s">
        <v>117</v>
      </c>
      <c r="C101" s="128">
        <f t="shared" si="3"/>
        <v>0</v>
      </c>
      <c r="D101" s="123"/>
      <c r="E101" s="262"/>
      <c r="F101" s="125">
        <f t="shared" si="4"/>
        <v>0</v>
      </c>
      <c r="G101" s="123"/>
      <c r="H101" s="124"/>
      <c r="I101" s="125">
        <f t="shared" si="5"/>
        <v>0</v>
      </c>
      <c r="J101" s="123"/>
      <c r="K101" s="124"/>
      <c r="L101" s="125">
        <f t="shared" si="6"/>
        <v>0</v>
      </c>
      <c r="M101" s="264"/>
      <c r="N101" s="262"/>
      <c r="O101" s="125">
        <f t="shared" si="7"/>
        <v>0</v>
      </c>
      <c r="P101" s="74"/>
      <c r="R101" s="1001"/>
      <c r="S101" s="1001"/>
      <c r="T101" s="1001"/>
    </row>
    <row r="102" spans="1:20" ht="24" hidden="1" x14ac:dyDescent="0.25">
      <c r="A102" s="76">
        <v>2234</v>
      </c>
      <c r="B102" s="127" t="s">
        <v>118</v>
      </c>
      <c r="C102" s="128">
        <f t="shared" si="3"/>
        <v>0</v>
      </c>
      <c r="D102" s="134"/>
      <c r="E102" s="285"/>
      <c r="F102" s="136">
        <f t="shared" si="4"/>
        <v>0</v>
      </c>
      <c r="G102" s="134"/>
      <c r="H102" s="135"/>
      <c r="I102" s="136">
        <f t="shared" si="5"/>
        <v>0</v>
      </c>
      <c r="J102" s="134"/>
      <c r="K102" s="135"/>
      <c r="L102" s="136">
        <f t="shared" si="6"/>
        <v>0</v>
      </c>
      <c r="M102" s="284"/>
      <c r="N102" s="285"/>
      <c r="O102" s="136">
        <f t="shared" si="7"/>
        <v>0</v>
      </c>
      <c r="P102" s="85"/>
      <c r="R102" s="1001"/>
      <c r="S102" s="1001"/>
      <c r="T102" s="1001"/>
    </row>
    <row r="103" spans="1:20" ht="24" x14ac:dyDescent="0.25">
      <c r="A103" s="76">
        <v>2235</v>
      </c>
      <c r="B103" s="127" t="s">
        <v>119</v>
      </c>
      <c r="C103" s="128">
        <f t="shared" si="3"/>
        <v>35</v>
      </c>
      <c r="D103" s="134">
        <v>35</v>
      </c>
      <c r="E103" s="283"/>
      <c r="F103" s="279">
        <f t="shared" si="4"/>
        <v>35</v>
      </c>
      <c r="G103" s="134"/>
      <c r="H103" s="135"/>
      <c r="I103" s="136">
        <f t="shared" si="5"/>
        <v>0</v>
      </c>
      <c r="J103" s="134"/>
      <c r="K103" s="135"/>
      <c r="L103" s="136">
        <f t="shared" si="6"/>
        <v>0</v>
      </c>
      <c r="M103" s="284"/>
      <c r="N103" s="285"/>
      <c r="O103" s="136">
        <f t="shared" si="7"/>
        <v>0</v>
      </c>
      <c r="P103" s="85"/>
      <c r="R103" s="1001"/>
      <c r="S103" s="1001"/>
      <c r="T103" s="1001"/>
    </row>
    <row r="104" spans="1:20" hidden="1" x14ac:dyDescent="0.25">
      <c r="A104" s="76">
        <v>2236</v>
      </c>
      <c r="B104" s="127" t="s">
        <v>120</v>
      </c>
      <c r="C104" s="128">
        <f t="shared" si="3"/>
        <v>0</v>
      </c>
      <c r="D104" s="134"/>
      <c r="E104" s="285"/>
      <c r="F104" s="136">
        <f t="shared" si="4"/>
        <v>0</v>
      </c>
      <c r="G104" s="134"/>
      <c r="H104" s="135"/>
      <c r="I104" s="136">
        <f t="shared" si="5"/>
        <v>0</v>
      </c>
      <c r="J104" s="134"/>
      <c r="K104" s="135"/>
      <c r="L104" s="136">
        <f t="shared" si="6"/>
        <v>0</v>
      </c>
      <c r="M104" s="284"/>
      <c r="N104" s="285"/>
      <c r="O104" s="136">
        <f t="shared" si="7"/>
        <v>0</v>
      </c>
      <c r="P104" s="85"/>
      <c r="R104" s="1001"/>
      <c r="S104" s="1001"/>
      <c r="T104" s="1001"/>
    </row>
    <row r="105" spans="1:20" x14ac:dyDescent="0.25">
      <c r="A105" s="76">
        <v>2239</v>
      </c>
      <c r="B105" s="127" t="s">
        <v>121</v>
      </c>
      <c r="C105" s="128">
        <f t="shared" si="3"/>
        <v>1664</v>
      </c>
      <c r="D105" s="134">
        <v>1664</v>
      </c>
      <c r="E105" s="283"/>
      <c r="F105" s="279">
        <f t="shared" si="4"/>
        <v>1664</v>
      </c>
      <c r="G105" s="134"/>
      <c r="H105" s="135"/>
      <c r="I105" s="136">
        <f t="shared" si="5"/>
        <v>0</v>
      </c>
      <c r="J105" s="134"/>
      <c r="K105" s="135"/>
      <c r="L105" s="136">
        <f t="shared" si="6"/>
        <v>0</v>
      </c>
      <c r="M105" s="284"/>
      <c r="N105" s="285"/>
      <c r="O105" s="136">
        <f t="shared" si="7"/>
        <v>0</v>
      </c>
      <c r="P105" s="85"/>
      <c r="R105" s="1001"/>
      <c r="S105" s="1001"/>
      <c r="T105" s="1001"/>
    </row>
    <row r="106" spans="1:20" ht="24" x14ac:dyDescent="0.25">
      <c r="A106" s="276">
        <v>2240</v>
      </c>
      <c r="B106" s="127" t="s">
        <v>122</v>
      </c>
      <c r="C106" s="128">
        <f t="shared" si="3"/>
        <v>7602</v>
      </c>
      <c r="D106" s="277">
        <f>SUM(D107:D114)</f>
        <v>7602</v>
      </c>
      <c r="E106" s="278">
        <f>SUM(E107:E114)</f>
        <v>0</v>
      </c>
      <c r="F106" s="279">
        <f t="shared" si="4"/>
        <v>7602</v>
      </c>
      <c r="G106" s="277">
        <f>SUM(G107:G114)</f>
        <v>0</v>
      </c>
      <c r="H106" s="280">
        <f>SUM(H107:H114)</f>
        <v>0</v>
      </c>
      <c r="I106" s="136">
        <f t="shared" si="5"/>
        <v>0</v>
      </c>
      <c r="J106" s="277">
        <f>SUM(J107:J114)</f>
        <v>0</v>
      </c>
      <c r="K106" s="280">
        <f>SUM(K107:K114)</f>
        <v>0</v>
      </c>
      <c r="L106" s="136">
        <f t="shared" si="6"/>
        <v>0</v>
      </c>
      <c r="M106" s="281">
        <f>SUM(M107:M114)</f>
        <v>0</v>
      </c>
      <c r="N106" s="282">
        <f>SUM(N107:N114)</f>
        <v>0</v>
      </c>
      <c r="O106" s="136">
        <f t="shared" si="7"/>
        <v>0</v>
      </c>
      <c r="P106" s="85"/>
      <c r="R106" s="1001"/>
      <c r="S106" s="1001"/>
      <c r="T106" s="1001"/>
    </row>
    <row r="107" spans="1:20" hidden="1" x14ac:dyDescent="0.25">
      <c r="A107" s="76">
        <v>2241</v>
      </c>
      <c r="B107" s="127" t="s">
        <v>123</v>
      </c>
      <c r="C107" s="128">
        <f t="shared" si="3"/>
        <v>0</v>
      </c>
      <c r="D107" s="134"/>
      <c r="E107" s="285"/>
      <c r="F107" s="136">
        <f t="shared" si="4"/>
        <v>0</v>
      </c>
      <c r="G107" s="134"/>
      <c r="H107" s="135"/>
      <c r="I107" s="136">
        <f t="shared" si="5"/>
        <v>0</v>
      </c>
      <c r="J107" s="134"/>
      <c r="K107" s="135"/>
      <c r="L107" s="136">
        <f t="shared" si="6"/>
        <v>0</v>
      </c>
      <c r="M107" s="284"/>
      <c r="N107" s="285"/>
      <c r="O107" s="136">
        <f t="shared" si="7"/>
        <v>0</v>
      </c>
      <c r="P107" s="85"/>
      <c r="R107" s="1001"/>
      <c r="S107" s="1001"/>
      <c r="T107" s="1001"/>
    </row>
    <row r="108" spans="1:20" hidden="1" x14ac:dyDescent="0.25">
      <c r="A108" s="76">
        <v>2242</v>
      </c>
      <c r="B108" s="127" t="s">
        <v>124</v>
      </c>
      <c r="C108" s="128">
        <f t="shared" si="3"/>
        <v>0</v>
      </c>
      <c r="D108" s="134"/>
      <c r="E108" s="285"/>
      <c r="F108" s="136">
        <f t="shared" si="4"/>
        <v>0</v>
      </c>
      <c r="G108" s="134"/>
      <c r="H108" s="135"/>
      <c r="I108" s="136">
        <f t="shared" si="5"/>
        <v>0</v>
      </c>
      <c r="J108" s="134"/>
      <c r="K108" s="135"/>
      <c r="L108" s="136">
        <f t="shared" si="6"/>
        <v>0</v>
      </c>
      <c r="M108" s="284"/>
      <c r="N108" s="285"/>
      <c r="O108" s="136">
        <f t="shared" si="7"/>
        <v>0</v>
      </c>
      <c r="P108" s="85"/>
      <c r="R108" s="1001"/>
      <c r="S108" s="1001"/>
      <c r="T108" s="1001"/>
    </row>
    <row r="109" spans="1:20" ht="24" x14ac:dyDescent="0.25">
      <c r="A109" s="76">
        <v>2243</v>
      </c>
      <c r="B109" s="127" t="s">
        <v>125</v>
      </c>
      <c r="C109" s="128">
        <f t="shared" si="3"/>
        <v>2241</v>
      </c>
      <c r="D109" s="134">
        <v>2241</v>
      </c>
      <c r="E109" s="283"/>
      <c r="F109" s="279">
        <f t="shared" si="4"/>
        <v>2241</v>
      </c>
      <c r="G109" s="134"/>
      <c r="H109" s="135"/>
      <c r="I109" s="136">
        <f t="shared" si="5"/>
        <v>0</v>
      </c>
      <c r="J109" s="134"/>
      <c r="K109" s="135"/>
      <c r="L109" s="136">
        <f t="shared" si="6"/>
        <v>0</v>
      </c>
      <c r="M109" s="284"/>
      <c r="N109" s="285"/>
      <c r="O109" s="136">
        <f t="shared" si="7"/>
        <v>0</v>
      </c>
      <c r="P109" s="85"/>
      <c r="R109" s="1001"/>
      <c r="S109" s="1001"/>
      <c r="T109" s="1001"/>
    </row>
    <row r="110" spans="1:20" x14ac:dyDescent="0.25">
      <c r="A110" s="76">
        <v>2244</v>
      </c>
      <c r="B110" s="127" t="s">
        <v>126</v>
      </c>
      <c r="C110" s="128">
        <f t="shared" si="3"/>
        <v>5361</v>
      </c>
      <c r="D110" s="134">
        <v>5361</v>
      </c>
      <c r="E110" s="283"/>
      <c r="F110" s="279">
        <f t="shared" si="4"/>
        <v>5361</v>
      </c>
      <c r="G110" s="134"/>
      <c r="H110" s="135"/>
      <c r="I110" s="136">
        <f t="shared" si="5"/>
        <v>0</v>
      </c>
      <c r="J110" s="134"/>
      <c r="K110" s="135"/>
      <c r="L110" s="136">
        <f t="shared" si="6"/>
        <v>0</v>
      </c>
      <c r="M110" s="284"/>
      <c r="N110" s="285"/>
      <c r="O110" s="136">
        <f t="shared" si="7"/>
        <v>0</v>
      </c>
      <c r="P110" s="85"/>
      <c r="R110" s="1001"/>
      <c r="S110" s="1001"/>
      <c r="T110" s="1001"/>
    </row>
    <row r="111" spans="1:20" hidden="1" x14ac:dyDescent="0.25">
      <c r="A111" s="76">
        <v>2246</v>
      </c>
      <c r="B111" s="127" t="s">
        <v>127</v>
      </c>
      <c r="C111" s="128">
        <f t="shared" si="3"/>
        <v>0</v>
      </c>
      <c r="D111" s="134"/>
      <c r="E111" s="285"/>
      <c r="F111" s="136">
        <f t="shared" si="4"/>
        <v>0</v>
      </c>
      <c r="G111" s="134"/>
      <c r="H111" s="135"/>
      <c r="I111" s="136">
        <f t="shared" si="5"/>
        <v>0</v>
      </c>
      <c r="J111" s="134"/>
      <c r="K111" s="135"/>
      <c r="L111" s="136">
        <f t="shared" si="6"/>
        <v>0</v>
      </c>
      <c r="M111" s="284"/>
      <c r="N111" s="285"/>
      <c r="O111" s="136">
        <f t="shared" si="7"/>
        <v>0</v>
      </c>
      <c r="P111" s="85"/>
      <c r="R111" s="1001"/>
      <c r="S111" s="1001"/>
      <c r="T111" s="1001"/>
    </row>
    <row r="112" spans="1:20" hidden="1" x14ac:dyDescent="0.25">
      <c r="A112" s="76">
        <v>2247</v>
      </c>
      <c r="B112" s="127" t="s">
        <v>128</v>
      </c>
      <c r="C112" s="128">
        <f t="shared" si="3"/>
        <v>0</v>
      </c>
      <c r="D112" s="134"/>
      <c r="E112" s="285"/>
      <c r="F112" s="136">
        <f t="shared" si="4"/>
        <v>0</v>
      </c>
      <c r="G112" s="134"/>
      <c r="H112" s="135"/>
      <c r="I112" s="136">
        <f t="shared" si="5"/>
        <v>0</v>
      </c>
      <c r="J112" s="134"/>
      <c r="K112" s="135"/>
      <c r="L112" s="136">
        <f t="shared" si="6"/>
        <v>0</v>
      </c>
      <c r="M112" s="284"/>
      <c r="N112" s="285"/>
      <c r="O112" s="136">
        <f t="shared" si="7"/>
        <v>0</v>
      </c>
      <c r="P112" s="85"/>
      <c r="R112" s="1001"/>
      <c r="S112" s="1001"/>
      <c r="T112" s="1001"/>
    </row>
    <row r="113" spans="1:20" ht="24" hidden="1" x14ac:dyDescent="0.25">
      <c r="A113" s="76">
        <v>2248</v>
      </c>
      <c r="B113" s="127" t="s">
        <v>129</v>
      </c>
      <c r="C113" s="128">
        <f t="shared" si="3"/>
        <v>0</v>
      </c>
      <c r="D113" s="134"/>
      <c r="E113" s="285"/>
      <c r="F113" s="136">
        <f t="shared" si="4"/>
        <v>0</v>
      </c>
      <c r="G113" s="134"/>
      <c r="H113" s="135"/>
      <c r="I113" s="136">
        <f t="shared" si="5"/>
        <v>0</v>
      </c>
      <c r="J113" s="134"/>
      <c r="K113" s="135"/>
      <c r="L113" s="136">
        <f t="shared" si="6"/>
        <v>0</v>
      </c>
      <c r="M113" s="284"/>
      <c r="N113" s="285"/>
      <c r="O113" s="136">
        <f t="shared" si="7"/>
        <v>0</v>
      </c>
      <c r="P113" s="85"/>
      <c r="R113" s="1001"/>
      <c r="S113" s="1001"/>
      <c r="T113" s="1001"/>
    </row>
    <row r="114" spans="1:20" ht="24" hidden="1" x14ac:dyDescent="0.25">
      <c r="A114" s="76">
        <v>2249</v>
      </c>
      <c r="B114" s="127" t="s">
        <v>130</v>
      </c>
      <c r="C114" s="128">
        <f t="shared" si="3"/>
        <v>0</v>
      </c>
      <c r="D114" s="134"/>
      <c r="E114" s="285"/>
      <c r="F114" s="136">
        <f t="shared" si="4"/>
        <v>0</v>
      </c>
      <c r="G114" s="134"/>
      <c r="H114" s="135"/>
      <c r="I114" s="136">
        <f t="shared" si="5"/>
        <v>0</v>
      </c>
      <c r="J114" s="134"/>
      <c r="K114" s="135"/>
      <c r="L114" s="136">
        <f t="shared" si="6"/>
        <v>0</v>
      </c>
      <c r="M114" s="284"/>
      <c r="N114" s="285"/>
      <c r="O114" s="136">
        <f t="shared" si="7"/>
        <v>0</v>
      </c>
      <c r="P114" s="85"/>
      <c r="R114" s="1001"/>
      <c r="S114" s="1001"/>
      <c r="T114" s="1001"/>
    </row>
    <row r="115" spans="1:20" x14ac:dyDescent="0.25">
      <c r="A115" s="276">
        <v>2250</v>
      </c>
      <c r="B115" s="127" t="s">
        <v>131</v>
      </c>
      <c r="C115" s="128">
        <f t="shared" si="3"/>
        <v>742</v>
      </c>
      <c r="D115" s="277">
        <f>SUM(D116:D118)</f>
        <v>742</v>
      </c>
      <c r="E115" s="278">
        <f>SUM(E116:E118)</f>
        <v>0</v>
      </c>
      <c r="F115" s="279">
        <f t="shared" si="4"/>
        <v>742</v>
      </c>
      <c r="G115" s="277">
        <f>SUM(G116:G118)</f>
        <v>0</v>
      </c>
      <c r="H115" s="280">
        <f>SUM(H116:H118)</f>
        <v>0</v>
      </c>
      <c r="I115" s="136">
        <f t="shared" si="5"/>
        <v>0</v>
      </c>
      <c r="J115" s="277">
        <f>SUM(J116:J118)</f>
        <v>0</v>
      </c>
      <c r="K115" s="280">
        <f>SUM(K116:K118)</f>
        <v>0</v>
      </c>
      <c r="L115" s="136">
        <f t="shared" si="6"/>
        <v>0</v>
      </c>
      <c r="M115" s="281">
        <f>SUM(M116:M118)</f>
        <v>0</v>
      </c>
      <c r="N115" s="282">
        <f>SUM(N116:N118)</f>
        <v>0</v>
      </c>
      <c r="O115" s="136">
        <f t="shared" si="7"/>
        <v>0</v>
      </c>
      <c r="P115" s="85"/>
      <c r="R115" s="1001"/>
      <c r="S115" s="1001"/>
      <c r="T115" s="1001"/>
    </row>
    <row r="116" spans="1:20" x14ac:dyDescent="0.25">
      <c r="A116" s="76">
        <v>2251</v>
      </c>
      <c r="B116" s="127" t="s">
        <v>132</v>
      </c>
      <c r="C116" s="128">
        <f t="shared" si="3"/>
        <v>166</v>
      </c>
      <c r="D116" s="134">
        <v>166</v>
      </c>
      <c r="E116" s="283"/>
      <c r="F116" s="279">
        <f t="shared" si="4"/>
        <v>166</v>
      </c>
      <c r="G116" s="134"/>
      <c r="H116" s="135"/>
      <c r="I116" s="136">
        <f t="shared" si="5"/>
        <v>0</v>
      </c>
      <c r="J116" s="134"/>
      <c r="K116" s="135"/>
      <c r="L116" s="136">
        <f t="shared" si="6"/>
        <v>0</v>
      </c>
      <c r="M116" s="284"/>
      <c r="N116" s="285"/>
      <c r="O116" s="136">
        <f t="shared" si="7"/>
        <v>0</v>
      </c>
      <c r="P116" s="85"/>
      <c r="R116" s="1001"/>
      <c r="S116" s="1001"/>
      <c r="T116" s="1001"/>
    </row>
    <row r="117" spans="1:20" ht="24" hidden="1" x14ac:dyDescent="0.25">
      <c r="A117" s="76">
        <v>2252</v>
      </c>
      <c r="B117" s="127" t="s">
        <v>133</v>
      </c>
      <c r="C117" s="128">
        <f t="shared" ref="C117:C180" si="8">SUM(F117,I117,L117,O117)</f>
        <v>0</v>
      </c>
      <c r="D117" s="134"/>
      <c r="E117" s="285"/>
      <c r="F117" s="136">
        <f t="shared" ref="F117:F180" si="9">D117+E117</f>
        <v>0</v>
      </c>
      <c r="G117" s="134"/>
      <c r="H117" s="135"/>
      <c r="I117" s="136">
        <f t="shared" ref="I117:I180" si="10">G117+H117</f>
        <v>0</v>
      </c>
      <c r="J117" s="134"/>
      <c r="K117" s="135"/>
      <c r="L117" s="136">
        <f t="shared" ref="L117:L180" si="11">J117+K117</f>
        <v>0</v>
      </c>
      <c r="M117" s="284"/>
      <c r="N117" s="285"/>
      <c r="O117" s="136">
        <f t="shared" ref="O117:O180" si="12">M117+N117</f>
        <v>0</v>
      </c>
      <c r="P117" s="85"/>
      <c r="R117" s="1001"/>
      <c r="S117" s="1001"/>
      <c r="T117" s="1001"/>
    </row>
    <row r="118" spans="1:20" x14ac:dyDescent="0.25">
      <c r="A118" s="76">
        <v>2259</v>
      </c>
      <c r="B118" s="127" t="s">
        <v>134</v>
      </c>
      <c r="C118" s="128">
        <f t="shared" si="8"/>
        <v>576</v>
      </c>
      <c r="D118" s="134">
        <v>576</v>
      </c>
      <c r="E118" s="283"/>
      <c r="F118" s="279">
        <f t="shared" si="9"/>
        <v>576</v>
      </c>
      <c r="G118" s="134"/>
      <c r="H118" s="135"/>
      <c r="I118" s="136">
        <f t="shared" si="10"/>
        <v>0</v>
      </c>
      <c r="J118" s="134"/>
      <c r="K118" s="135"/>
      <c r="L118" s="136">
        <f t="shared" si="11"/>
        <v>0</v>
      </c>
      <c r="M118" s="284"/>
      <c r="N118" s="285"/>
      <c r="O118" s="136">
        <f t="shared" si="12"/>
        <v>0</v>
      </c>
      <c r="P118" s="85"/>
      <c r="R118" s="1001"/>
      <c r="S118" s="1001"/>
      <c r="T118" s="1001"/>
    </row>
    <row r="119" spans="1:20" x14ac:dyDescent="0.25">
      <c r="A119" s="276">
        <v>2260</v>
      </c>
      <c r="B119" s="127" t="s">
        <v>135</v>
      </c>
      <c r="C119" s="128">
        <f t="shared" si="8"/>
        <v>41</v>
      </c>
      <c r="D119" s="277">
        <f>SUM(D120:D124)</f>
        <v>41</v>
      </c>
      <c r="E119" s="278">
        <f>SUM(E120:E124)</f>
        <v>0</v>
      </c>
      <c r="F119" s="279">
        <f t="shared" si="9"/>
        <v>41</v>
      </c>
      <c r="G119" s="277">
        <f>SUM(G120:G124)</f>
        <v>0</v>
      </c>
      <c r="H119" s="280">
        <f>SUM(H120:H124)</f>
        <v>0</v>
      </c>
      <c r="I119" s="136">
        <f t="shared" si="10"/>
        <v>0</v>
      </c>
      <c r="J119" s="277">
        <f>SUM(J120:J124)</f>
        <v>0</v>
      </c>
      <c r="K119" s="280">
        <f>SUM(K120:K124)</f>
        <v>0</v>
      </c>
      <c r="L119" s="136">
        <f t="shared" si="11"/>
        <v>0</v>
      </c>
      <c r="M119" s="281">
        <f>SUM(M120:M124)</f>
        <v>0</v>
      </c>
      <c r="N119" s="282">
        <f>SUM(N120:N124)</f>
        <v>0</v>
      </c>
      <c r="O119" s="136">
        <f t="shared" si="12"/>
        <v>0</v>
      </c>
      <c r="P119" s="85"/>
      <c r="R119" s="1001"/>
      <c r="S119" s="1001"/>
      <c r="T119" s="1001"/>
    </row>
    <row r="120" spans="1:20" hidden="1" x14ac:dyDescent="0.25">
      <c r="A120" s="76">
        <v>2261</v>
      </c>
      <c r="B120" s="127" t="s">
        <v>136</v>
      </c>
      <c r="C120" s="128">
        <f t="shared" si="8"/>
        <v>0</v>
      </c>
      <c r="D120" s="134"/>
      <c r="E120" s="285"/>
      <c r="F120" s="136">
        <f t="shared" si="9"/>
        <v>0</v>
      </c>
      <c r="G120" s="134"/>
      <c r="H120" s="135"/>
      <c r="I120" s="136">
        <f t="shared" si="10"/>
        <v>0</v>
      </c>
      <c r="J120" s="134"/>
      <c r="K120" s="135"/>
      <c r="L120" s="136">
        <f t="shared" si="11"/>
        <v>0</v>
      </c>
      <c r="M120" s="284"/>
      <c r="N120" s="285"/>
      <c r="O120" s="136">
        <f t="shared" si="12"/>
        <v>0</v>
      </c>
      <c r="P120" s="85"/>
      <c r="R120" s="1001"/>
      <c r="S120" s="1001"/>
      <c r="T120" s="1001"/>
    </row>
    <row r="121" spans="1:20" hidden="1" x14ac:dyDescent="0.25">
      <c r="A121" s="76">
        <v>2262</v>
      </c>
      <c r="B121" s="127" t="s">
        <v>137</v>
      </c>
      <c r="C121" s="128">
        <f t="shared" si="8"/>
        <v>0</v>
      </c>
      <c r="D121" s="134"/>
      <c r="E121" s="285"/>
      <c r="F121" s="136">
        <f t="shared" si="9"/>
        <v>0</v>
      </c>
      <c r="G121" s="134"/>
      <c r="H121" s="135"/>
      <c r="I121" s="136">
        <f t="shared" si="10"/>
        <v>0</v>
      </c>
      <c r="J121" s="134"/>
      <c r="K121" s="135"/>
      <c r="L121" s="136">
        <f t="shared" si="11"/>
        <v>0</v>
      </c>
      <c r="M121" s="284"/>
      <c r="N121" s="285"/>
      <c r="O121" s="136">
        <f t="shared" si="12"/>
        <v>0</v>
      </c>
      <c r="P121" s="85"/>
      <c r="R121" s="1001"/>
      <c r="S121" s="1001"/>
      <c r="T121" s="1001"/>
    </row>
    <row r="122" spans="1:20" hidden="1" x14ac:dyDescent="0.25">
      <c r="A122" s="76">
        <v>2263</v>
      </c>
      <c r="B122" s="127" t="s">
        <v>138</v>
      </c>
      <c r="C122" s="128">
        <f t="shared" si="8"/>
        <v>0</v>
      </c>
      <c r="D122" s="134"/>
      <c r="E122" s="285"/>
      <c r="F122" s="136">
        <f t="shared" si="9"/>
        <v>0</v>
      </c>
      <c r="G122" s="134"/>
      <c r="H122" s="135"/>
      <c r="I122" s="136">
        <f t="shared" si="10"/>
        <v>0</v>
      </c>
      <c r="J122" s="134"/>
      <c r="K122" s="135"/>
      <c r="L122" s="136">
        <f t="shared" si="11"/>
        <v>0</v>
      </c>
      <c r="M122" s="284"/>
      <c r="N122" s="285"/>
      <c r="O122" s="136">
        <f t="shared" si="12"/>
        <v>0</v>
      </c>
      <c r="P122" s="85"/>
      <c r="R122" s="1001"/>
      <c r="S122" s="1001"/>
      <c r="T122" s="1001"/>
    </row>
    <row r="123" spans="1:20" hidden="1" x14ac:dyDescent="0.25">
      <c r="A123" s="76">
        <v>2264</v>
      </c>
      <c r="B123" s="127" t="s">
        <v>139</v>
      </c>
      <c r="C123" s="128">
        <f t="shared" si="8"/>
        <v>0</v>
      </c>
      <c r="D123" s="134"/>
      <c r="E123" s="285"/>
      <c r="F123" s="136">
        <f t="shared" si="9"/>
        <v>0</v>
      </c>
      <c r="G123" s="134"/>
      <c r="H123" s="135"/>
      <c r="I123" s="136">
        <f t="shared" si="10"/>
        <v>0</v>
      </c>
      <c r="J123" s="134"/>
      <c r="K123" s="135"/>
      <c r="L123" s="136">
        <f t="shared" si="11"/>
        <v>0</v>
      </c>
      <c r="M123" s="284"/>
      <c r="N123" s="285"/>
      <c r="O123" s="136">
        <f t="shared" si="12"/>
        <v>0</v>
      </c>
      <c r="P123" s="85"/>
      <c r="R123" s="1001"/>
      <c r="S123" s="1001"/>
      <c r="T123" s="1001"/>
    </row>
    <row r="124" spans="1:20" x14ac:dyDescent="0.25">
      <c r="A124" s="76">
        <v>2269</v>
      </c>
      <c r="B124" s="127" t="s">
        <v>140</v>
      </c>
      <c r="C124" s="128">
        <f t="shared" si="8"/>
        <v>41</v>
      </c>
      <c r="D124" s="134">
        <v>41</v>
      </c>
      <c r="E124" s="283"/>
      <c r="F124" s="279">
        <f t="shared" si="9"/>
        <v>41</v>
      </c>
      <c r="G124" s="134"/>
      <c r="H124" s="135"/>
      <c r="I124" s="136">
        <f t="shared" si="10"/>
        <v>0</v>
      </c>
      <c r="J124" s="134"/>
      <c r="K124" s="135"/>
      <c r="L124" s="136">
        <f t="shared" si="11"/>
        <v>0</v>
      </c>
      <c r="M124" s="284"/>
      <c r="N124" s="285"/>
      <c r="O124" s="136">
        <f t="shared" si="12"/>
        <v>0</v>
      </c>
      <c r="P124" s="85"/>
      <c r="R124" s="1001"/>
      <c r="S124" s="1001"/>
      <c r="T124" s="1001"/>
    </row>
    <row r="125" spans="1:20" x14ac:dyDescent="0.25">
      <c r="A125" s="276">
        <v>2270</v>
      </c>
      <c r="B125" s="127" t="s">
        <v>141</v>
      </c>
      <c r="C125" s="128">
        <f t="shared" si="8"/>
        <v>1067</v>
      </c>
      <c r="D125" s="277">
        <f>SUM(D126:D130)</f>
        <v>0</v>
      </c>
      <c r="E125" s="278">
        <f>SUM(E126:E130)</f>
        <v>0</v>
      </c>
      <c r="F125" s="279">
        <f t="shared" si="9"/>
        <v>0</v>
      </c>
      <c r="G125" s="277">
        <f>SUM(G126:G130)</f>
        <v>0</v>
      </c>
      <c r="H125" s="280">
        <f>SUM(H126:H130)</f>
        <v>0</v>
      </c>
      <c r="I125" s="136">
        <f t="shared" si="10"/>
        <v>0</v>
      </c>
      <c r="J125" s="277">
        <f>SUM(J126:J130)</f>
        <v>1067</v>
      </c>
      <c r="K125" s="280">
        <f>SUM(K126:K130)</f>
        <v>0</v>
      </c>
      <c r="L125" s="136">
        <f t="shared" si="11"/>
        <v>1067</v>
      </c>
      <c r="M125" s="281">
        <f>SUM(M126:M130)</f>
        <v>0</v>
      </c>
      <c r="N125" s="282">
        <f>SUM(N126:N130)</f>
        <v>0</v>
      </c>
      <c r="O125" s="136">
        <f t="shared" si="12"/>
        <v>0</v>
      </c>
      <c r="P125" s="85"/>
      <c r="R125" s="1001"/>
      <c r="S125" s="1001"/>
      <c r="T125" s="1001"/>
    </row>
    <row r="126" spans="1:20" hidden="1" x14ac:dyDescent="0.25">
      <c r="A126" s="76">
        <v>2272</v>
      </c>
      <c r="B126" s="5" t="s">
        <v>142</v>
      </c>
      <c r="C126" s="128">
        <f t="shared" si="8"/>
        <v>0</v>
      </c>
      <c r="D126" s="134"/>
      <c r="E126" s="285"/>
      <c r="F126" s="136">
        <f t="shared" si="9"/>
        <v>0</v>
      </c>
      <c r="G126" s="134"/>
      <c r="H126" s="135"/>
      <c r="I126" s="136">
        <f t="shared" si="10"/>
        <v>0</v>
      </c>
      <c r="J126" s="134"/>
      <c r="K126" s="135"/>
      <c r="L126" s="136">
        <f t="shared" si="11"/>
        <v>0</v>
      </c>
      <c r="M126" s="284"/>
      <c r="N126" s="285"/>
      <c r="O126" s="136">
        <f t="shared" si="12"/>
        <v>0</v>
      </c>
      <c r="P126" s="85"/>
      <c r="R126" s="1001"/>
      <c r="S126" s="1001"/>
      <c r="T126" s="1001"/>
    </row>
    <row r="127" spans="1:20" ht="24" hidden="1" x14ac:dyDescent="0.25">
      <c r="A127" s="76">
        <v>2275</v>
      </c>
      <c r="B127" s="127" t="s">
        <v>143</v>
      </c>
      <c r="C127" s="128">
        <f t="shared" si="8"/>
        <v>0</v>
      </c>
      <c r="D127" s="134"/>
      <c r="E127" s="285"/>
      <c r="F127" s="136">
        <f t="shared" si="9"/>
        <v>0</v>
      </c>
      <c r="G127" s="134"/>
      <c r="H127" s="135"/>
      <c r="I127" s="136">
        <f t="shared" si="10"/>
        <v>0</v>
      </c>
      <c r="J127" s="134"/>
      <c r="K127" s="135"/>
      <c r="L127" s="136">
        <f t="shared" si="11"/>
        <v>0</v>
      </c>
      <c r="M127" s="284"/>
      <c r="N127" s="285"/>
      <c r="O127" s="136">
        <f t="shared" si="12"/>
        <v>0</v>
      </c>
      <c r="P127" s="85"/>
      <c r="R127" s="1001"/>
      <c r="S127" s="1001"/>
      <c r="T127" s="1001"/>
    </row>
    <row r="128" spans="1:20" ht="24" hidden="1" x14ac:dyDescent="0.25">
      <c r="A128" s="76">
        <v>2276</v>
      </c>
      <c r="B128" s="127" t="s">
        <v>144</v>
      </c>
      <c r="C128" s="128">
        <f t="shared" si="8"/>
        <v>0</v>
      </c>
      <c r="D128" s="134"/>
      <c r="E128" s="285"/>
      <c r="F128" s="136">
        <f t="shared" si="9"/>
        <v>0</v>
      </c>
      <c r="G128" s="134"/>
      <c r="H128" s="135"/>
      <c r="I128" s="136">
        <f t="shared" si="10"/>
        <v>0</v>
      </c>
      <c r="J128" s="134"/>
      <c r="K128" s="135"/>
      <c r="L128" s="136">
        <f t="shared" si="11"/>
        <v>0</v>
      </c>
      <c r="M128" s="284"/>
      <c r="N128" s="285"/>
      <c r="O128" s="136">
        <f t="shared" si="12"/>
        <v>0</v>
      </c>
      <c r="P128" s="85"/>
      <c r="R128" s="1001"/>
      <c r="S128" s="1001"/>
      <c r="T128" s="1001"/>
    </row>
    <row r="129" spans="1:20" ht="24" hidden="1" x14ac:dyDescent="0.25">
      <c r="A129" s="76">
        <v>2278</v>
      </c>
      <c r="B129" s="127" t="s">
        <v>145</v>
      </c>
      <c r="C129" s="128">
        <f t="shared" si="8"/>
        <v>0</v>
      </c>
      <c r="D129" s="134"/>
      <c r="E129" s="285"/>
      <c r="F129" s="136">
        <f t="shared" si="9"/>
        <v>0</v>
      </c>
      <c r="G129" s="134"/>
      <c r="H129" s="135"/>
      <c r="I129" s="136">
        <f t="shared" si="10"/>
        <v>0</v>
      </c>
      <c r="J129" s="134"/>
      <c r="K129" s="135"/>
      <c r="L129" s="136">
        <f t="shared" si="11"/>
        <v>0</v>
      </c>
      <c r="M129" s="284"/>
      <c r="N129" s="285"/>
      <c r="O129" s="136">
        <f t="shared" si="12"/>
        <v>0</v>
      </c>
      <c r="P129" s="85"/>
      <c r="R129" s="1001"/>
      <c r="S129" s="1001"/>
      <c r="T129" s="1001"/>
    </row>
    <row r="130" spans="1:20" ht="24" x14ac:dyDescent="0.25">
      <c r="A130" s="76">
        <v>2279</v>
      </c>
      <c r="B130" s="127" t="s">
        <v>146</v>
      </c>
      <c r="C130" s="128">
        <f t="shared" si="8"/>
        <v>1067</v>
      </c>
      <c r="D130" s="134"/>
      <c r="E130" s="283"/>
      <c r="F130" s="279">
        <f t="shared" si="9"/>
        <v>0</v>
      </c>
      <c r="G130" s="134"/>
      <c r="H130" s="135"/>
      <c r="I130" s="136">
        <f t="shared" si="10"/>
        <v>0</v>
      </c>
      <c r="J130" s="134">
        <v>1067</v>
      </c>
      <c r="K130" s="135"/>
      <c r="L130" s="136">
        <f t="shared" si="11"/>
        <v>1067</v>
      </c>
      <c r="M130" s="284"/>
      <c r="N130" s="285"/>
      <c r="O130" s="136">
        <f t="shared" si="12"/>
        <v>0</v>
      </c>
      <c r="P130" s="85"/>
      <c r="R130" s="1001"/>
      <c r="S130" s="1001"/>
      <c r="T130" s="1001"/>
    </row>
    <row r="131" spans="1:20" ht="24" hidden="1" x14ac:dyDescent="0.25">
      <c r="A131" s="656">
        <v>2280</v>
      </c>
      <c r="B131" s="116" t="s">
        <v>147</v>
      </c>
      <c r="C131" s="128">
        <f t="shared" si="8"/>
        <v>0</v>
      </c>
      <c r="D131" s="297">
        <f>SUM(D132)</f>
        <v>0</v>
      </c>
      <c r="E131" s="301">
        <f>SUM(E132)</f>
        <v>0</v>
      </c>
      <c r="F131" s="125">
        <f t="shared" si="9"/>
        <v>0</v>
      </c>
      <c r="G131" s="297">
        <f>SUM(G132)</f>
        <v>0</v>
      </c>
      <c r="H131" s="299">
        <f>SUM(H132)</f>
        <v>0</v>
      </c>
      <c r="I131" s="125">
        <f t="shared" si="10"/>
        <v>0</v>
      </c>
      <c r="J131" s="297">
        <f>SUM(J132)</f>
        <v>0</v>
      </c>
      <c r="K131" s="299">
        <f>SUM(K132)</f>
        <v>0</v>
      </c>
      <c r="L131" s="125">
        <f t="shared" si="11"/>
        <v>0</v>
      </c>
      <c r="M131" s="281">
        <f>SUM(M132)</f>
        <v>0</v>
      </c>
      <c r="N131" s="282">
        <f>SUM(N132)</f>
        <v>0</v>
      </c>
      <c r="O131" s="136">
        <f t="shared" si="12"/>
        <v>0</v>
      </c>
      <c r="P131" s="85"/>
      <c r="R131" s="1001"/>
      <c r="S131" s="1001"/>
      <c r="T131" s="1001"/>
    </row>
    <row r="132" spans="1:20" ht="24" hidden="1" x14ac:dyDescent="0.25">
      <c r="A132" s="76">
        <v>2283</v>
      </c>
      <c r="B132" s="127" t="s">
        <v>148</v>
      </c>
      <c r="C132" s="128">
        <f t="shared" si="8"/>
        <v>0</v>
      </c>
      <c r="D132" s="134"/>
      <c r="E132" s="285"/>
      <c r="F132" s="136">
        <f t="shared" si="9"/>
        <v>0</v>
      </c>
      <c r="G132" s="134"/>
      <c r="H132" s="135"/>
      <c r="I132" s="136">
        <f t="shared" si="10"/>
        <v>0</v>
      </c>
      <c r="J132" s="134"/>
      <c r="K132" s="135"/>
      <c r="L132" s="136">
        <f t="shared" si="11"/>
        <v>0</v>
      </c>
      <c r="M132" s="284"/>
      <c r="N132" s="285"/>
      <c r="O132" s="136">
        <f t="shared" si="12"/>
        <v>0</v>
      </c>
      <c r="P132" s="85"/>
      <c r="R132" s="1001"/>
      <c r="S132" s="1001"/>
      <c r="T132" s="1001"/>
    </row>
    <row r="133" spans="1:20" ht="36" x14ac:dyDescent="0.25">
      <c r="A133" s="99">
        <v>2300</v>
      </c>
      <c r="B133" s="247" t="s">
        <v>149</v>
      </c>
      <c r="C133" s="100">
        <f t="shared" si="8"/>
        <v>36269</v>
      </c>
      <c r="D133" s="112">
        <f>SUM(D134,D139,D143,D144,D147,D154,D162,D163,D166)</f>
        <v>13009</v>
      </c>
      <c r="E133" s="248">
        <f>SUM(E134,E139,E143,E144,E147,E154,E162,E163,E166)</f>
        <v>0</v>
      </c>
      <c r="F133" s="249">
        <f t="shared" si="9"/>
        <v>13009</v>
      </c>
      <c r="G133" s="112">
        <f>SUM(G134,G139,G143,G144,G147,G154,G162,G163,G166)</f>
        <v>2831</v>
      </c>
      <c r="H133" s="113">
        <f>SUM(H134,H139,H143,H144,H147,H154,H162,H163,H166)</f>
        <v>0</v>
      </c>
      <c r="I133" s="114">
        <f t="shared" si="10"/>
        <v>2831</v>
      </c>
      <c r="J133" s="112">
        <f>SUM(J134,J139,J143,J144,J147,J154,J162,J163,J166)</f>
        <v>20429</v>
      </c>
      <c r="K133" s="113">
        <f>SUM(K134,K139,K143,K144,K147,K154,K162,K163,K166)</f>
        <v>0</v>
      </c>
      <c r="L133" s="114">
        <f t="shared" si="11"/>
        <v>20429</v>
      </c>
      <c r="M133" s="292">
        <f>SUM(M134,M139,M143,M144,M147,M154,M162,M163,M166)</f>
        <v>0</v>
      </c>
      <c r="N133" s="293">
        <f>SUM(N134,N139,N143,N144,N147,N154,N162,N163,N166)</f>
        <v>0</v>
      </c>
      <c r="O133" s="114">
        <f t="shared" si="12"/>
        <v>0</v>
      </c>
      <c r="P133" s="109"/>
      <c r="R133" s="1001"/>
      <c r="S133" s="1001"/>
      <c r="T133" s="1001"/>
    </row>
    <row r="134" spans="1:20" ht="24" x14ac:dyDescent="0.25">
      <c r="A134" s="656">
        <v>2310</v>
      </c>
      <c r="B134" s="116" t="s">
        <v>150</v>
      </c>
      <c r="C134" s="117">
        <f t="shared" si="8"/>
        <v>3591</v>
      </c>
      <c r="D134" s="308">
        <f>SUM(D135:D138)</f>
        <v>3591</v>
      </c>
      <c r="E134" s="298">
        <f>SUM(E135:E138)</f>
        <v>0</v>
      </c>
      <c r="F134" s="296">
        <f t="shared" si="9"/>
        <v>3591</v>
      </c>
      <c r="G134" s="297">
        <f>SUM(G135:G138)</f>
        <v>0</v>
      </c>
      <c r="H134" s="299">
        <f>SUM(H135:H138)</f>
        <v>0</v>
      </c>
      <c r="I134" s="125">
        <f t="shared" si="10"/>
        <v>0</v>
      </c>
      <c r="J134" s="297">
        <f>SUM(J135:J138)</f>
        <v>0</v>
      </c>
      <c r="K134" s="299">
        <f>SUM(K135:K138)</f>
        <v>0</v>
      </c>
      <c r="L134" s="125">
        <f t="shared" si="11"/>
        <v>0</v>
      </c>
      <c r="M134" s="300">
        <f>SUM(M135:M138)</f>
        <v>0</v>
      </c>
      <c r="N134" s="301">
        <f>SUM(N135:N138)</f>
        <v>0</v>
      </c>
      <c r="O134" s="125">
        <f t="shared" si="12"/>
        <v>0</v>
      </c>
      <c r="P134" s="74"/>
      <c r="R134" s="1001"/>
      <c r="S134" s="1001"/>
      <c r="T134" s="1001"/>
    </row>
    <row r="135" spans="1:20" x14ac:dyDescent="0.25">
      <c r="A135" s="76">
        <v>2311</v>
      </c>
      <c r="B135" s="127" t="s">
        <v>151</v>
      </c>
      <c r="C135" s="128">
        <f t="shared" si="8"/>
        <v>580</v>
      </c>
      <c r="D135" s="134">
        <v>580</v>
      </c>
      <c r="E135" s="283"/>
      <c r="F135" s="279">
        <f t="shared" si="9"/>
        <v>580</v>
      </c>
      <c r="G135" s="134"/>
      <c r="H135" s="135"/>
      <c r="I135" s="136">
        <f t="shared" si="10"/>
        <v>0</v>
      </c>
      <c r="J135" s="134"/>
      <c r="K135" s="135"/>
      <c r="L135" s="136">
        <f t="shared" si="11"/>
        <v>0</v>
      </c>
      <c r="M135" s="284"/>
      <c r="N135" s="285"/>
      <c r="O135" s="136">
        <f t="shared" si="12"/>
        <v>0</v>
      </c>
      <c r="P135" s="85"/>
      <c r="R135" s="1001"/>
      <c r="S135" s="1001"/>
      <c r="T135" s="1001"/>
    </row>
    <row r="136" spans="1:20" x14ac:dyDescent="0.25">
      <c r="A136" s="76">
        <v>2312</v>
      </c>
      <c r="B136" s="127" t="s">
        <v>152</v>
      </c>
      <c r="C136" s="128">
        <f t="shared" si="8"/>
        <v>2662</v>
      </c>
      <c r="D136" s="134">
        <v>2662</v>
      </c>
      <c r="E136" s="283"/>
      <c r="F136" s="279">
        <f t="shared" si="9"/>
        <v>2662</v>
      </c>
      <c r="G136" s="134"/>
      <c r="H136" s="135"/>
      <c r="I136" s="136">
        <f t="shared" si="10"/>
        <v>0</v>
      </c>
      <c r="J136" s="134"/>
      <c r="K136" s="135"/>
      <c r="L136" s="136">
        <f t="shared" si="11"/>
        <v>0</v>
      </c>
      <c r="M136" s="284"/>
      <c r="N136" s="285"/>
      <c r="O136" s="136">
        <f t="shared" si="12"/>
        <v>0</v>
      </c>
      <c r="P136" s="85"/>
      <c r="R136" s="1001"/>
      <c r="S136" s="1001"/>
      <c r="T136" s="1001"/>
    </row>
    <row r="137" spans="1:20" x14ac:dyDescent="0.25">
      <c r="A137" s="76">
        <v>2313</v>
      </c>
      <c r="B137" s="127" t="s">
        <v>153</v>
      </c>
      <c r="C137" s="128">
        <f t="shared" si="8"/>
        <v>349</v>
      </c>
      <c r="D137" s="134">
        <v>349</v>
      </c>
      <c r="E137" s="283"/>
      <c r="F137" s="279">
        <f t="shared" si="9"/>
        <v>349</v>
      </c>
      <c r="G137" s="134"/>
      <c r="H137" s="135"/>
      <c r="I137" s="136">
        <f t="shared" si="10"/>
        <v>0</v>
      </c>
      <c r="J137" s="134"/>
      <c r="K137" s="135"/>
      <c r="L137" s="136">
        <f t="shared" si="11"/>
        <v>0</v>
      </c>
      <c r="M137" s="284"/>
      <c r="N137" s="285"/>
      <c r="O137" s="136">
        <f t="shared" si="12"/>
        <v>0</v>
      </c>
      <c r="P137" s="85"/>
      <c r="R137" s="1001"/>
      <c r="S137" s="1001"/>
      <c r="T137" s="1001"/>
    </row>
    <row r="138" spans="1:20" ht="24" hidden="1" x14ac:dyDescent="0.25">
      <c r="A138" s="76">
        <v>2314</v>
      </c>
      <c r="B138" s="127" t="s">
        <v>154</v>
      </c>
      <c r="C138" s="128">
        <f t="shared" si="8"/>
        <v>0</v>
      </c>
      <c r="D138" s="134"/>
      <c r="E138" s="285"/>
      <c r="F138" s="136">
        <f t="shared" si="9"/>
        <v>0</v>
      </c>
      <c r="G138" s="134"/>
      <c r="H138" s="135"/>
      <c r="I138" s="136">
        <f t="shared" si="10"/>
        <v>0</v>
      </c>
      <c r="J138" s="134"/>
      <c r="K138" s="135"/>
      <c r="L138" s="136">
        <f t="shared" si="11"/>
        <v>0</v>
      </c>
      <c r="M138" s="284"/>
      <c r="N138" s="285"/>
      <c r="O138" s="136">
        <f t="shared" si="12"/>
        <v>0</v>
      </c>
      <c r="P138" s="85"/>
      <c r="R138" s="1001"/>
      <c r="S138" s="1001"/>
      <c r="T138" s="1001"/>
    </row>
    <row r="139" spans="1:20" x14ac:dyDescent="0.25">
      <c r="A139" s="276">
        <v>2320</v>
      </c>
      <c r="B139" s="127" t="s">
        <v>155</v>
      </c>
      <c r="C139" s="128">
        <f t="shared" si="8"/>
        <v>402</v>
      </c>
      <c r="D139" s="277">
        <f>SUM(D140:D142)</f>
        <v>292</v>
      </c>
      <c r="E139" s="278">
        <f>SUM(E140:E142)</f>
        <v>0</v>
      </c>
      <c r="F139" s="279">
        <f t="shared" si="9"/>
        <v>292</v>
      </c>
      <c r="G139" s="277">
        <f>SUM(G140:G142)</f>
        <v>0</v>
      </c>
      <c r="H139" s="280">
        <f>SUM(H140:H142)</f>
        <v>0</v>
      </c>
      <c r="I139" s="136">
        <f t="shared" si="10"/>
        <v>0</v>
      </c>
      <c r="J139" s="277">
        <f>SUM(J140:J142)</f>
        <v>110</v>
      </c>
      <c r="K139" s="280">
        <f>SUM(K140:K142)</f>
        <v>0</v>
      </c>
      <c r="L139" s="136">
        <f t="shared" si="11"/>
        <v>110</v>
      </c>
      <c r="M139" s="281">
        <f>SUM(M140:M142)</f>
        <v>0</v>
      </c>
      <c r="N139" s="282">
        <f>SUM(N140:N142)</f>
        <v>0</v>
      </c>
      <c r="O139" s="136">
        <f t="shared" si="12"/>
        <v>0</v>
      </c>
      <c r="P139" s="85"/>
      <c r="R139" s="1001"/>
      <c r="S139" s="1001"/>
      <c r="T139" s="1001"/>
    </row>
    <row r="140" spans="1:20" hidden="1" x14ac:dyDescent="0.25">
      <c r="A140" s="76">
        <v>2321</v>
      </c>
      <c r="B140" s="127" t="s">
        <v>156</v>
      </c>
      <c r="C140" s="128">
        <f t="shared" si="8"/>
        <v>0</v>
      </c>
      <c r="D140" s="134"/>
      <c r="E140" s="285"/>
      <c r="F140" s="136">
        <f t="shared" si="9"/>
        <v>0</v>
      </c>
      <c r="G140" s="134"/>
      <c r="H140" s="135"/>
      <c r="I140" s="136">
        <f t="shared" si="10"/>
        <v>0</v>
      </c>
      <c r="J140" s="134"/>
      <c r="K140" s="135"/>
      <c r="L140" s="136">
        <f t="shared" si="11"/>
        <v>0</v>
      </c>
      <c r="M140" s="284"/>
      <c r="N140" s="285"/>
      <c r="O140" s="136">
        <f t="shared" si="12"/>
        <v>0</v>
      </c>
      <c r="P140" s="85"/>
      <c r="R140" s="1001"/>
      <c r="S140" s="1001"/>
      <c r="T140" s="1001"/>
    </row>
    <row r="141" spans="1:20" x14ac:dyDescent="0.25">
      <c r="A141" s="76">
        <v>2322</v>
      </c>
      <c r="B141" s="127" t="s">
        <v>157</v>
      </c>
      <c r="C141" s="128">
        <f t="shared" si="8"/>
        <v>402</v>
      </c>
      <c r="D141" s="134">
        <v>292</v>
      </c>
      <c r="E141" s="283"/>
      <c r="F141" s="279">
        <f t="shared" si="9"/>
        <v>292</v>
      </c>
      <c r="G141" s="134"/>
      <c r="H141" s="135"/>
      <c r="I141" s="136">
        <f t="shared" si="10"/>
        <v>0</v>
      </c>
      <c r="J141" s="134">
        <v>110</v>
      </c>
      <c r="K141" s="135"/>
      <c r="L141" s="136">
        <f t="shared" si="11"/>
        <v>110</v>
      </c>
      <c r="M141" s="284"/>
      <c r="N141" s="285"/>
      <c r="O141" s="136">
        <f t="shared" si="12"/>
        <v>0</v>
      </c>
      <c r="P141" s="85"/>
      <c r="R141" s="1001"/>
      <c r="S141" s="1001"/>
      <c r="T141" s="1001"/>
    </row>
    <row r="142" spans="1:20" hidden="1" x14ac:dyDescent="0.25">
      <c r="A142" s="76">
        <v>2329</v>
      </c>
      <c r="B142" s="127" t="s">
        <v>158</v>
      </c>
      <c r="C142" s="128">
        <f t="shared" si="8"/>
        <v>0</v>
      </c>
      <c r="D142" s="134"/>
      <c r="E142" s="285"/>
      <c r="F142" s="136">
        <f t="shared" si="9"/>
        <v>0</v>
      </c>
      <c r="G142" s="134"/>
      <c r="H142" s="135"/>
      <c r="I142" s="136">
        <f t="shared" si="10"/>
        <v>0</v>
      </c>
      <c r="J142" s="134"/>
      <c r="K142" s="135"/>
      <c r="L142" s="136">
        <f t="shared" si="11"/>
        <v>0</v>
      </c>
      <c r="M142" s="284"/>
      <c r="N142" s="285"/>
      <c r="O142" s="136">
        <f t="shared" si="12"/>
        <v>0</v>
      </c>
      <c r="P142" s="85"/>
      <c r="R142" s="1001"/>
      <c r="S142" s="1001"/>
      <c r="T142" s="1001"/>
    </row>
    <row r="143" spans="1:20" hidden="1" x14ac:dyDescent="0.25">
      <c r="A143" s="276">
        <v>2330</v>
      </c>
      <c r="B143" s="127" t="s">
        <v>159</v>
      </c>
      <c r="C143" s="128">
        <f t="shared" si="8"/>
        <v>0</v>
      </c>
      <c r="D143" s="134"/>
      <c r="E143" s="285"/>
      <c r="F143" s="136">
        <f t="shared" si="9"/>
        <v>0</v>
      </c>
      <c r="G143" s="134"/>
      <c r="H143" s="135"/>
      <c r="I143" s="136">
        <f t="shared" si="10"/>
        <v>0</v>
      </c>
      <c r="J143" s="134"/>
      <c r="K143" s="135"/>
      <c r="L143" s="136">
        <f t="shared" si="11"/>
        <v>0</v>
      </c>
      <c r="M143" s="284"/>
      <c r="N143" s="285"/>
      <c r="O143" s="136">
        <f t="shared" si="12"/>
        <v>0</v>
      </c>
      <c r="P143" s="85"/>
      <c r="R143" s="1001"/>
      <c r="S143" s="1001"/>
      <c r="T143" s="1001"/>
    </row>
    <row r="144" spans="1:20" ht="36" x14ac:dyDescent="0.25">
      <c r="A144" s="276">
        <v>2340</v>
      </c>
      <c r="B144" s="127" t="s">
        <v>160</v>
      </c>
      <c r="C144" s="128">
        <f t="shared" si="8"/>
        <v>143</v>
      </c>
      <c r="D144" s="277">
        <f>SUM(D145:D146)</f>
        <v>143</v>
      </c>
      <c r="E144" s="278">
        <f>SUM(E145:E146)</f>
        <v>0</v>
      </c>
      <c r="F144" s="279">
        <f t="shared" si="9"/>
        <v>143</v>
      </c>
      <c r="G144" s="277">
        <f>SUM(G145:G146)</f>
        <v>0</v>
      </c>
      <c r="H144" s="280">
        <f>SUM(H145:H146)</f>
        <v>0</v>
      </c>
      <c r="I144" s="136">
        <f t="shared" si="10"/>
        <v>0</v>
      </c>
      <c r="J144" s="277">
        <f>SUM(J145:J146)</f>
        <v>0</v>
      </c>
      <c r="K144" s="280">
        <f>SUM(K145:K146)</f>
        <v>0</v>
      </c>
      <c r="L144" s="136">
        <f t="shared" si="11"/>
        <v>0</v>
      </c>
      <c r="M144" s="281">
        <f>SUM(M145:M146)</f>
        <v>0</v>
      </c>
      <c r="N144" s="282">
        <f>SUM(N145:N146)</f>
        <v>0</v>
      </c>
      <c r="O144" s="136">
        <f t="shared" si="12"/>
        <v>0</v>
      </c>
      <c r="P144" s="85"/>
      <c r="R144" s="1001"/>
      <c r="S144" s="1001"/>
      <c r="T144" s="1001"/>
    </row>
    <row r="145" spans="1:20" x14ac:dyDescent="0.25">
      <c r="A145" s="76">
        <v>2341</v>
      </c>
      <c r="B145" s="127" t="s">
        <v>161</v>
      </c>
      <c r="C145" s="128">
        <f t="shared" si="8"/>
        <v>143</v>
      </c>
      <c r="D145" s="134">
        <v>143</v>
      </c>
      <c r="E145" s="283"/>
      <c r="F145" s="279">
        <f t="shared" si="9"/>
        <v>143</v>
      </c>
      <c r="G145" s="134"/>
      <c r="H145" s="135"/>
      <c r="I145" s="136">
        <f t="shared" si="10"/>
        <v>0</v>
      </c>
      <c r="J145" s="134"/>
      <c r="K145" s="135"/>
      <c r="L145" s="136">
        <f t="shared" si="11"/>
        <v>0</v>
      </c>
      <c r="M145" s="284"/>
      <c r="N145" s="285"/>
      <c r="O145" s="136">
        <f t="shared" si="12"/>
        <v>0</v>
      </c>
      <c r="P145" s="85"/>
      <c r="R145" s="1001"/>
      <c r="S145" s="1001"/>
      <c r="T145" s="1001"/>
    </row>
    <row r="146" spans="1:20" ht="24" hidden="1" x14ac:dyDescent="0.25">
      <c r="A146" s="76">
        <v>2344</v>
      </c>
      <c r="B146" s="127" t="s">
        <v>162</v>
      </c>
      <c r="C146" s="128">
        <f t="shared" si="8"/>
        <v>0</v>
      </c>
      <c r="D146" s="134"/>
      <c r="E146" s="285"/>
      <c r="F146" s="136">
        <f t="shared" si="9"/>
        <v>0</v>
      </c>
      <c r="G146" s="134"/>
      <c r="H146" s="135"/>
      <c r="I146" s="136">
        <f t="shared" si="10"/>
        <v>0</v>
      </c>
      <c r="J146" s="134"/>
      <c r="K146" s="135"/>
      <c r="L146" s="136">
        <f t="shared" si="11"/>
        <v>0</v>
      </c>
      <c r="M146" s="284"/>
      <c r="N146" s="285"/>
      <c r="O146" s="136">
        <f t="shared" si="12"/>
        <v>0</v>
      </c>
      <c r="P146" s="85"/>
      <c r="R146" s="1001"/>
      <c r="S146" s="1001"/>
      <c r="T146" s="1001"/>
    </row>
    <row r="147" spans="1:20" ht="24" x14ac:dyDescent="0.25">
      <c r="A147" s="254">
        <v>2350</v>
      </c>
      <c r="B147" s="179" t="s">
        <v>163</v>
      </c>
      <c r="C147" s="128">
        <f t="shared" si="8"/>
        <v>5880</v>
      </c>
      <c r="D147" s="255">
        <f>SUM(D148:D153)</f>
        <v>5880</v>
      </c>
      <c r="E147" s="256">
        <f>SUM(E148:E153)</f>
        <v>0</v>
      </c>
      <c r="F147" s="257">
        <f t="shared" si="9"/>
        <v>5880</v>
      </c>
      <c r="G147" s="255">
        <f>SUM(G148:G153)</f>
        <v>0</v>
      </c>
      <c r="H147" s="258">
        <f>SUM(H148:H153)</f>
        <v>0</v>
      </c>
      <c r="I147" s="259">
        <f t="shared" si="10"/>
        <v>0</v>
      </c>
      <c r="J147" s="255">
        <f>SUM(J148:J153)</f>
        <v>0</v>
      </c>
      <c r="K147" s="258">
        <f>SUM(K148:K153)</f>
        <v>0</v>
      </c>
      <c r="L147" s="259">
        <f t="shared" si="11"/>
        <v>0</v>
      </c>
      <c r="M147" s="260">
        <f>SUM(M148:M153)</f>
        <v>0</v>
      </c>
      <c r="N147" s="261">
        <f>SUM(N148:N153)</f>
        <v>0</v>
      </c>
      <c r="O147" s="259">
        <f t="shared" si="12"/>
        <v>0</v>
      </c>
      <c r="P147" s="189"/>
      <c r="R147" s="1001"/>
      <c r="S147" s="1001"/>
      <c r="T147" s="1001"/>
    </row>
    <row r="148" spans="1:20" x14ac:dyDescent="0.25">
      <c r="A148" s="66">
        <v>2351</v>
      </c>
      <c r="B148" s="116" t="s">
        <v>164</v>
      </c>
      <c r="C148" s="128">
        <f t="shared" si="8"/>
        <v>2030</v>
      </c>
      <c r="D148" s="123">
        <v>2030</v>
      </c>
      <c r="E148" s="295"/>
      <c r="F148" s="296">
        <f t="shared" si="9"/>
        <v>2030</v>
      </c>
      <c r="G148" s="123"/>
      <c r="H148" s="124"/>
      <c r="I148" s="125">
        <f t="shared" si="10"/>
        <v>0</v>
      </c>
      <c r="J148" s="123"/>
      <c r="K148" s="124"/>
      <c r="L148" s="125">
        <f t="shared" si="11"/>
        <v>0</v>
      </c>
      <c r="M148" s="264"/>
      <c r="N148" s="262"/>
      <c r="O148" s="125">
        <f t="shared" si="12"/>
        <v>0</v>
      </c>
      <c r="P148" s="74"/>
      <c r="R148" s="1001"/>
      <c r="S148" s="1001"/>
      <c r="T148" s="1001"/>
    </row>
    <row r="149" spans="1:20" x14ac:dyDescent="0.25">
      <c r="A149" s="76">
        <v>2352</v>
      </c>
      <c r="B149" s="127" t="s">
        <v>165</v>
      </c>
      <c r="C149" s="128">
        <f t="shared" si="8"/>
        <v>3565</v>
      </c>
      <c r="D149" s="134">
        <v>3565</v>
      </c>
      <c r="E149" s="283"/>
      <c r="F149" s="279">
        <f t="shared" si="9"/>
        <v>3565</v>
      </c>
      <c r="G149" s="134"/>
      <c r="H149" s="135"/>
      <c r="I149" s="136">
        <f t="shared" si="10"/>
        <v>0</v>
      </c>
      <c r="J149" s="134"/>
      <c r="K149" s="135"/>
      <c r="L149" s="136">
        <f t="shared" si="11"/>
        <v>0</v>
      </c>
      <c r="M149" s="284"/>
      <c r="N149" s="285"/>
      <c r="O149" s="136">
        <f t="shared" si="12"/>
        <v>0</v>
      </c>
      <c r="P149" s="85"/>
      <c r="R149" s="1001"/>
      <c r="S149" s="1001"/>
      <c r="T149" s="1001"/>
    </row>
    <row r="150" spans="1:20" ht="24" hidden="1" x14ac:dyDescent="0.25">
      <c r="A150" s="76">
        <v>2353</v>
      </c>
      <c r="B150" s="127" t="s">
        <v>166</v>
      </c>
      <c r="C150" s="128">
        <f t="shared" si="8"/>
        <v>0</v>
      </c>
      <c r="D150" s="134"/>
      <c r="E150" s="285"/>
      <c r="F150" s="136">
        <f t="shared" si="9"/>
        <v>0</v>
      </c>
      <c r="G150" s="134"/>
      <c r="H150" s="135"/>
      <c r="I150" s="136">
        <f t="shared" si="10"/>
        <v>0</v>
      </c>
      <c r="J150" s="134"/>
      <c r="K150" s="135"/>
      <c r="L150" s="136">
        <f t="shared" si="11"/>
        <v>0</v>
      </c>
      <c r="M150" s="284"/>
      <c r="N150" s="285"/>
      <c r="O150" s="136">
        <f t="shared" si="12"/>
        <v>0</v>
      </c>
      <c r="P150" s="85"/>
      <c r="R150" s="1001"/>
      <c r="S150" s="1001"/>
      <c r="T150" s="1001"/>
    </row>
    <row r="151" spans="1:20" ht="24" hidden="1" x14ac:dyDescent="0.25">
      <c r="A151" s="76">
        <v>2354</v>
      </c>
      <c r="B151" s="127" t="s">
        <v>167</v>
      </c>
      <c r="C151" s="128">
        <f t="shared" si="8"/>
        <v>0</v>
      </c>
      <c r="D151" s="134"/>
      <c r="E151" s="285"/>
      <c r="F151" s="136">
        <f t="shared" si="9"/>
        <v>0</v>
      </c>
      <c r="G151" s="134"/>
      <c r="H151" s="135"/>
      <c r="I151" s="136">
        <f t="shared" si="10"/>
        <v>0</v>
      </c>
      <c r="J151" s="134"/>
      <c r="K151" s="135"/>
      <c r="L151" s="136">
        <f t="shared" si="11"/>
        <v>0</v>
      </c>
      <c r="M151" s="284"/>
      <c r="N151" s="285"/>
      <c r="O151" s="136">
        <f t="shared" si="12"/>
        <v>0</v>
      </c>
      <c r="P151" s="85"/>
      <c r="R151" s="1001"/>
      <c r="S151" s="1001"/>
      <c r="T151" s="1001"/>
    </row>
    <row r="152" spans="1:20" ht="24" x14ac:dyDescent="0.25">
      <c r="A152" s="76">
        <v>2355</v>
      </c>
      <c r="B152" s="127" t="s">
        <v>168</v>
      </c>
      <c r="C152" s="128">
        <f t="shared" si="8"/>
        <v>285</v>
      </c>
      <c r="D152" s="134">
        <v>285</v>
      </c>
      <c r="E152" s="283"/>
      <c r="F152" s="279">
        <f t="shared" si="9"/>
        <v>285</v>
      </c>
      <c r="G152" s="134"/>
      <c r="H152" s="135"/>
      <c r="I152" s="136">
        <f t="shared" si="10"/>
        <v>0</v>
      </c>
      <c r="J152" s="134"/>
      <c r="K152" s="135"/>
      <c r="L152" s="136">
        <f t="shared" si="11"/>
        <v>0</v>
      </c>
      <c r="M152" s="284"/>
      <c r="N152" s="285"/>
      <c r="O152" s="136">
        <f t="shared" si="12"/>
        <v>0</v>
      </c>
      <c r="P152" s="85"/>
      <c r="R152" s="1001"/>
      <c r="S152" s="1001"/>
      <c r="T152" s="1001"/>
    </row>
    <row r="153" spans="1:20" hidden="1" x14ac:dyDescent="0.25">
      <c r="A153" s="76">
        <v>2359</v>
      </c>
      <c r="B153" s="127" t="s">
        <v>169</v>
      </c>
      <c r="C153" s="128">
        <f t="shared" si="8"/>
        <v>0</v>
      </c>
      <c r="D153" s="134"/>
      <c r="E153" s="285"/>
      <c r="F153" s="136">
        <f t="shared" si="9"/>
        <v>0</v>
      </c>
      <c r="G153" s="134"/>
      <c r="H153" s="135"/>
      <c r="I153" s="136">
        <f t="shared" si="10"/>
        <v>0</v>
      </c>
      <c r="J153" s="134"/>
      <c r="K153" s="135"/>
      <c r="L153" s="136">
        <f t="shared" si="11"/>
        <v>0</v>
      </c>
      <c r="M153" s="284"/>
      <c r="N153" s="285"/>
      <c r="O153" s="136">
        <f t="shared" si="12"/>
        <v>0</v>
      </c>
      <c r="P153" s="85"/>
      <c r="R153" s="1001"/>
      <c r="S153" s="1001"/>
      <c r="T153" s="1001"/>
    </row>
    <row r="154" spans="1:20" ht="24" x14ac:dyDescent="0.25">
      <c r="A154" s="276">
        <v>2360</v>
      </c>
      <c r="B154" s="127" t="s">
        <v>170</v>
      </c>
      <c r="C154" s="128">
        <f t="shared" si="8"/>
        <v>21003</v>
      </c>
      <c r="D154" s="277">
        <f>SUM(D155:D161)</f>
        <v>684</v>
      </c>
      <c r="E154" s="278">
        <f>SUM(E155:E161)</f>
        <v>0</v>
      </c>
      <c r="F154" s="279">
        <f t="shared" si="9"/>
        <v>684</v>
      </c>
      <c r="G154" s="277">
        <f>SUM(G155:G161)</f>
        <v>0</v>
      </c>
      <c r="H154" s="280">
        <f>SUM(H155:H161)</f>
        <v>0</v>
      </c>
      <c r="I154" s="136">
        <f t="shared" si="10"/>
        <v>0</v>
      </c>
      <c r="J154" s="277">
        <f>SUM(J155:J161)</f>
        <v>20319</v>
      </c>
      <c r="K154" s="280">
        <f>SUM(K155:K161)</f>
        <v>0</v>
      </c>
      <c r="L154" s="136">
        <f t="shared" si="11"/>
        <v>20319</v>
      </c>
      <c r="M154" s="281">
        <f>SUM(M155:M161)</f>
        <v>0</v>
      </c>
      <c r="N154" s="282">
        <f>SUM(N155:N161)</f>
        <v>0</v>
      </c>
      <c r="O154" s="136">
        <f t="shared" si="12"/>
        <v>0</v>
      </c>
      <c r="P154" s="85"/>
      <c r="R154" s="1001"/>
      <c r="S154" s="1001"/>
      <c r="T154" s="1001"/>
    </row>
    <row r="155" spans="1:20" x14ac:dyDescent="0.25">
      <c r="A155" s="75">
        <v>2361</v>
      </c>
      <c r="B155" s="127" t="s">
        <v>171</v>
      </c>
      <c r="C155" s="128">
        <f t="shared" si="8"/>
        <v>399</v>
      </c>
      <c r="D155" s="134">
        <v>399</v>
      </c>
      <c r="E155" s="283"/>
      <c r="F155" s="279">
        <f t="shared" si="9"/>
        <v>399</v>
      </c>
      <c r="G155" s="134"/>
      <c r="H155" s="135"/>
      <c r="I155" s="136">
        <f t="shared" si="10"/>
        <v>0</v>
      </c>
      <c r="J155" s="134"/>
      <c r="K155" s="135"/>
      <c r="L155" s="136">
        <f t="shared" si="11"/>
        <v>0</v>
      </c>
      <c r="M155" s="284"/>
      <c r="N155" s="285"/>
      <c r="O155" s="136">
        <f t="shared" si="12"/>
        <v>0</v>
      </c>
      <c r="P155" s="85"/>
      <c r="R155" s="1001"/>
      <c r="S155" s="1001"/>
      <c r="T155" s="1001"/>
    </row>
    <row r="156" spans="1:20" ht="24" x14ac:dyDescent="0.25">
      <c r="A156" s="75">
        <v>2362</v>
      </c>
      <c r="B156" s="127" t="s">
        <v>172</v>
      </c>
      <c r="C156" s="128">
        <f t="shared" si="8"/>
        <v>285</v>
      </c>
      <c r="D156" s="134">
        <v>285</v>
      </c>
      <c r="E156" s="283"/>
      <c r="F156" s="279">
        <f t="shared" si="9"/>
        <v>285</v>
      </c>
      <c r="G156" s="134"/>
      <c r="H156" s="135"/>
      <c r="I156" s="136">
        <f t="shared" si="10"/>
        <v>0</v>
      </c>
      <c r="J156" s="134"/>
      <c r="K156" s="135"/>
      <c r="L156" s="136">
        <f t="shared" si="11"/>
        <v>0</v>
      </c>
      <c r="M156" s="284"/>
      <c r="N156" s="285"/>
      <c r="O156" s="136">
        <f t="shared" si="12"/>
        <v>0</v>
      </c>
      <c r="P156" s="85"/>
      <c r="R156" s="1001"/>
      <c r="S156" s="1001"/>
      <c r="T156" s="1001"/>
    </row>
    <row r="157" spans="1:20" x14ac:dyDescent="0.25">
      <c r="A157" s="75">
        <v>2363</v>
      </c>
      <c r="B157" s="127" t="s">
        <v>173</v>
      </c>
      <c r="C157" s="128">
        <f t="shared" si="8"/>
        <v>20319</v>
      </c>
      <c r="D157" s="134"/>
      <c r="E157" s="283"/>
      <c r="F157" s="279">
        <f t="shared" si="9"/>
        <v>0</v>
      </c>
      <c r="G157" s="134"/>
      <c r="H157" s="135"/>
      <c r="I157" s="136">
        <f t="shared" si="10"/>
        <v>0</v>
      </c>
      <c r="J157" s="134">
        <f>19386+933</f>
        <v>20319</v>
      </c>
      <c r="K157" s="135"/>
      <c r="L157" s="136">
        <f t="shared" si="11"/>
        <v>20319</v>
      </c>
      <c r="M157" s="284"/>
      <c r="N157" s="285"/>
      <c r="O157" s="136">
        <f t="shared" si="12"/>
        <v>0</v>
      </c>
      <c r="P157" s="85"/>
      <c r="R157" s="1001"/>
      <c r="S157" s="1001"/>
      <c r="T157" s="1001"/>
    </row>
    <row r="158" spans="1:20" hidden="1" x14ac:dyDescent="0.25">
      <c r="A158" s="75">
        <v>2364</v>
      </c>
      <c r="B158" s="127" t="s">
        <v>174</v>
      </c>
      <c r="C158" s="128">
        <f t="shared" si="8"/>
        <v>0</v>
      </c>
      <c r="D158" s="134"/>
      <c r="E158" s="285"/>
      <c r="F158" s="136">
        <f t="shared" si="9"/>
        <v>0</v>
      </c>
      <c r="G158" s="134"/>
      <c r="H158" s="135"/>
      <c r="I158" s="136">
        <f t="shared" si="10"/>
        <v>0</v>
      </c>
      <c r="J158" s="134"/>
      <c r="K158" s="135"/>
      <c r="L158" s="136">
        <f t="shared" si="11"/>
        <v>0</v>
      </c>
      <c r="M158" s="284"/>
      <c r="N158" s="285"/>
      <c r="O158" s="136">
        <f t="shared" si="12"/>
        <v>0</v>
      </c>
      <c r="P158" s="85"/>
      <c r="R158" s="1001"/>
      <c r="S158" s="1001"/>
      <c r="T158" s="1001"/>
    </row>
    <row r="159" spans="1:20" hidden="1" x14ac:dyDescent="0.25">
      <c r="A159" s="75">
        <v>2365</v>
      </c>
      <c r="B159" s="127" t="s">
        <v>175</v>
      </c>
      <c r="C159" s="128">
        <f t="shared" si="8"/>
        <v>0</v>
      </c>
      <c r="D159" s="134"/>
      <c r="E159" s="285"/>
      <c r="F159" s="136">
        <f t="shared" si="9"/>
        <v>0</v>
      </c>
      <c r="G159" s="134"/>
      <c r="H159" s="135"/>
      <c r="I159" s="136">
        <f t="shared" si="10"/>
        <v>0</v>
      </c>
      <c r="J159" s="134"/>
      <c r="K159" s="135"/>
      <c r="L159" s="136">
        <f t="shared" si="11"/>
        <v>0</v>
      </c>
      <c r="M159" s="284"/>
      <c r="N159" s="285"/>
      <c r="O159" s="136">
        <f t="shared" si="12"/>
        <v>0</v>
      </c>
      <c r="P159" s="85"/>
      <c r="R159" s="1001"/>
      <c r="S159" s="1001"/>
      <c r="T159" s="1001"/>
    </row>
    <row r="160" spans="1:20" ht="36" hidden="1" x14ac:dyDescent="0.25">
      <c r="A160" s="75">
        <v>2366</v>
      </c>
      <c r="B160" s="127" t="s">
        <v>176</v>
      </c>
      <c r="C160" s="128">
        <f t="shared" si="8"/>
        <v>0</v>
      </c>
      <c r="D160" s="134"/>
      <c r="E160" s="285"/>
      <c r="F160" s="136">
        <f t="shared" si="9"/>
        <v>0</v>
      </c>
      <c r="G160" s="134"/>
      <c r="H160" s="135"/>
      <c r="I160" s="136">
        <f t="shared" si="10"/>
        <v>0</v>
      </c>
      <c r="J160" s="134"/>
      <c r="K160" s="135"/>
      <c r="L160" s="136">
        <f t="shared" si="11"/>
        <v>0</v>
      </c>
      <c r="M160" s="284"/>
      <c r="N160" s="285"/>
      <c r="O160" s="136">
        <f t="shared" si="12"/>
        <v>0</v>
      </c>
      <c r="P160" s="85"/>
      <c r="R160" s="1001"/>
      <c r="S160" s="1001"/>
      <c r="T160" s="1001"/>
    </row>
    <row r="161" spans="1:20" ht="48" hidden="1" x14ac:dyDescent="0.25">
      <c r="A161" s="75">
        <v>2369</v>
      </c>
      <c r="B161" s="127" t="s">
        <v>177</v>
      </c>
      <c r="C161" s="128">
        <f t="shared" si="8"/>
        <v>0</v>
      </c>
      <c r="D161" s="134"/>
      <c r="E161" s="285"/>
      <c r="F161" s="136">
        <f t="shared" si="9"/>
        <v>0</v>
      </c>
      <c r="G161" s="134"/>
      <c r="H161" s="135"/>
      <c r="I161" s="136">
        <f t="shared" si="10"/>
        <v>0</v>
      </c>
      <c r="J161" s="134"/>
      <c r="K161" s="135"/>
      <c r="L161" s="136">
        <f t="shared" si="11"/>
        <v>0</v>
      </c>
      <c r="M161" s="284"/>
      <c r="N161" s="285"/>
      <c r="O161" s="136">
        <f t="shared" si="12"/>
        <v>0</v>
      </c>
      <c r="P161" s="85"/>
      <c r="R161" s="1001"/>
      <c r="S161" s="1001"/>
      <c r="T161" s="1001"/>
    </row>
    <row r="162" spans="1:20" x14ac:dyDescent="0.25">
      <c r="A162" s="254">
        <v>2370</v>
      </c>
      <c r="B162" s="179" t="s">
        <v>178</v>
      </c>
      <c r="C162" s="128">
        <f t="shared" si="8"/>
        <v>5250</v>
      </c>
      <c r="D162" s="287">
        <v>2419</v>
      </c>
      <c r="E162" s="288"/>
      <c r="F162" s="257">
        <f t="shared" si="9"/>
        <v>2419</v>
      </c>
      <c r="G162" s="287">
        <v>2831</v>
      </c>
      <c r="H162" s="289"/>
      <c r="I162" s="259">
        <f t="shared" si="10"/>
        <v>2831</v>
      </c>
      <c r="J162" s="287"/>
      <c r="K162" s="289"/>
      <c r="L162" s="259">
        <f t="shared" si="11"/>
        <v>0</v>
      </c>
      <c r="M162" s="290"/>
      <c r="N162" s="291"/>
      <c r="O162" s="259">
        <f t="shared" si="12"/>
        <v>0</v>
      </c>
      <c r="P162" s="85"/>
      <c r="R162" s="1001"/>
      <c r="S162" s="1001"/>
      <c r="T162" s="1001"/>
    </row>
    <row r="163" spans="1:20" hidden="1" x14ac:dyDescent="0.25">
      <c r="A163" s="254">
        <v>2380</v>
      </c>
      <c r="B163" s="179" t="s">
        <v>179</v>
      </c>
      <c r="C163" s="128">
        <f t="shared" si="8"/>
        <v>0</v>
      </c>
      <c r="D163" s="255">
        <f>SUM(D164:D165)</f>
        <v>0</v>
      </c>
      <c r="E163" s="261">
        <f>SUM(E164:E165)</f>
        <v>0</v>
      </c>
      <c r="F163" s="259">
        <f t="shared" si="9"/>
        <v>0</v>
      </c>
      <c r="G163" s="255">
        <f>SUM(G164:G165)</f>
        <v>0</v>
      </c>
      <c r="H163" s="258">
        <f>SUM(H164:H165)</f>
        <v>0</v>
      </c>
      <c r="I163" s="259">
        <f t="shared" si="10"/>
        <v>0</v>
      </c>
      <c r="J163" s="255">
        <f>SUM(J164:J165)</f>
        <v>0</v>
      </c>
      <c r="K163" s="258">
        <f>SUM(K164:K165)</f>
        <v>0</v>
      </c>
      <c r="L163" s="259">
        <f t="shared" si="11"/>
        <v>0</v>
      </c>
      <c r="M163" s="260">
        <f>SUM(M164:M165)</f>
        <v>0</v>
      </c>
      <c r="N163" s="261">
        <f>SUM(N164:N165)</f>
        <v>0</v>
      </c>
      <c r="O163" s="259">
        <f t="shared" si="12"/>
        <v>0</v>
      </c>
      <c r="P163" s="189"/>
      <c r="R163" s="1001"/>
      <c r="S163" s="1001"/>
      <c r="T163" s="1001"/>
    </row>
    <row r="164" spans="1:20" hidden="1" x14ac:dyDescent="0.25">
      <c r="A164" s="65">
        <v>2381</v>
      </c>
      <c r="B164" s="116" t="s">
        <v>180</v>
      </c>
      <c r="C164" s="128">
        <f t="shared" si="8"/>
        <v>0</v>
      </c>
      <c r="D164" s="123"/>
      <c r="E164" s="262"/>
      <c r="F164" s="125">
        <f t="shared" si="9"/>
        <v>0</v>
      </c>
      <c r="G164" s="123"/>
      <c r="H164" s="124"/>
      <c r="I164" s="125">
        <f t="shared" si="10"/>
        <v>0</v>
      </c>
      <c r="J164" s="123"/>
      <c r="K164" s="124"/>
      <c r="L164" s="125">
        <f t="shared" si="11"/>
        <v>0</v>
      </c>
      <c r="M164" s="264"/>
      <c r="N164" s="262"/>
      <c r="O164" s="125">
        <f t="shared" si="12"/>
        <v>0</v>
      </c>
      <c r="P164" s="74"/>
      <c r="R164" s="1001"/>
      <c r="S164" s="1001"/>
      <c r="T164" s="1001"/>
    </row>
    <row r="165" spans="1:20" ht="24" hidden="1" x14ac:dyDescent="0.25">
      <c r="A165" s="75">
        <v>2389</v>
      </c>
      <c r="B165" s="127" t="s">
        <v>181</v>
      </c>
      <c r="C165" s="128">
        <f t="shared" si="8"/>
        <v>0</v>
      </c>
      <c r="D165" s="134"/>
      <c r="E165" s="285"/>
      <c r="F165" s="136">
        <f t="shared" si="9"/>
        <v>0</v>
      </c>
      <c r="G165" s="134"/>
      <c r="H165" s="135"/>
      <c r="I165" s="136">
        <f t="shared" si="10"/>
        <v>0</v>
      </c>
      <c r="J165" s="134"/>
      <c r="K165" s="135"/>
      <c r="L165" s="136">
        <f t="shared" si="11"/>
        <v>0</v>
      </c>
      <c r="M165" s="284"/>
      <c r="N165" s="285"/>
      <c r="O165" s="136">
        <f t="shared" si="12"/>
        <v>0</v>
      </c>
      <c r="P165" s="85"/>
      <c r="R165" s="1001"/>
      <c r="S165" s="1001"/>
      <c r="T165" s="1001"/>
    </row>
    <row r="166" spans="1:20" hidden="1" x14ac:dyDescent="0.25">
      <c r="A166" s="254">
        <v>2390</v>
      </c>
      <c r="B166" s="179" t="s">
        <v>182</v>
      </c>
      <c r="C166" s="128">
        <f t="shared" si="8"/>
        <v>0</v>
      </c>
      <c r="D166" s="287"/>
      <c r="E166" s="291"/>
      <c r="F166" s="259">
        <f t="shared" si="9"/>
        <v>0</v>
      </c>
      <c r="G166" s="287"/>
      <c r="H166" s="289"/>
      <c r="I166" s="259">
        <f t="shared" si="10"/>
        <v>0</v>
      </c>
      <c r="J166" s="287"/>
      <c r="K166" s="289"/>
      <c r="L166" s="259">
        <f t="shared" si="11"/>
        <v>0</v>
      </c>
      <c r="M166" s="290"/>
      <c r="N166" s="291"/>
      <c r="O166" s="259">
        <f t="shared" si="12"/>
        <v>0</v>
      </c>
      <c r="P166" s="189"/>
      <c r="R166" s="1001"/>
      <c r="S166" s="1001"/>
      <c r="T166" s="1001"/>
    </row>
    <row r="167" spans="1:20" hidden="1" x14ac:dyDescent="0.25">
      <c r="A167" s="99">
        <v>2400</v>
      </c>
      <c r="B167" s="247" t="s">
        <v>183</v>
      </c>
      <c r="C167" s="100">
        <f t="shared" si="8"/>
        <v>0</v>
      </c>
      <c r="D167" s="311"/>
      <c r="E167" s="312"/>
      <c r="F167" s="114">
        <f t="shared" si="9"/>
        <v>0</v>
      </c>
      <c r="G167" s="311"/>
      <c r="H167" s="314"/>
      <c r="I167" s="114">
        <f t="shared" si="10"/>
        <v>0</v>
      </c>
      <c r="J167" s="311"/>
      <c r="K167" s="314"/>
      <c r="L167" s="114">
        <f t="shared" si="11"/>
        <v>0</v>
      </c>
      <c r="M167" s="315"/>
      <c r="N167" s="312"/>
      <c r="O167" s="114">
        <f t="shared" si="12"/>
        <v>0</v>
      </c>
      <c r="P167" s="109"/>
      <c r="R167" s="1001"/>
      <c r="S167" s="1001"/>
      <c r="T167" s="1001"/>
    </row>
    <row r="168" spans="1:20" ht="24" hidden="1" x14ac:dyDescent="0.25">
      <c r="A168" s="99">
        <v>2500</v>
      </c>
      <c r="B168" s="247" t="s">
        <v>184</v>
      </c>
      <c r="C168" s="100">
        <f t="shared" si="8"/>
        <v>0</v>
      </c>
      <c r="D168" s="112">
        <f>SUM(D169,D174)</f>
        <v>0</v>
      </c>
      <c r="E168" s="293">
        <f>SUM(E169,E174)</f>
        <v>0</v>
      </c>
      <c r="F168" s="114">
        <f t="shared" si="9"/>
        <v>0</v>
      </c>
      <c r="G168" s="112">
        <f>SUM(G169,G174)</f>
        <v>0</v>
      </c>
      <c r="H168" s="113">
        <f>SUM(H169,H174)</f>
        <v>0</v>
      </c>
      <c r="I168" s="114">
        <f t="shared" si="10"/>
        <v>0</v>
      </c>
      <c r="J168" s="112">
        <f>SUM(J169,J174)</f>
        <v>0</v>
      </c>
      <c r="K168" s="113">
        <f>SUM(K169,K174)</f>
        <v>0</v>
      </c>
      <c r="L168" s="114">
        <f t="shared" si="11"/>
        <v>0</v>
      </c>
      <c r="M168" s="250">
        <f>SUM(M169,M174)</f>
        <v>0</v>
      </c>
      <c r="N168" s="251">
        <f>SUM(N169,N174)</f>
        <v>0</v>
      </c>
      <c r="O168" s="252">
        <f t="shared" si="12"/>
        <v>0</v>
      </c>
      <c r="P168" s="253"/>
      <c r="R168" s="1001"/>
      <c r="S168" s="1001"/>
      <c r="T168" s="1001"/>
    </row>
    <row r="169" spans="1:20" hidden="1" x14ac:dyDescent="0.25">
      <c r="A169" s="656">
        <v>2510</v>
      </c>
      <c r="B169" s="116" t="s">
        <v>185</v>
      </c>
      <c r="C169" s="117">
        <f t="shared" si="8"/>
        <v>0</v>
      </c>
      <c r="D169" s="297">
        <f>SUM(D170:D173)</f>
        <v>0</v>
      </c>
      <c r="E169" s="301">
        <f>SUM(E170:E173)</f>
        <v>0</v>
      </c>
      <c r="F169" s="125">
        <f t="shared" si="9"/>
        <v>0</v>
      </c>
      <c r="G169" s="297">
        <f>SUM(G170:G173)</f>
        <v>0</v>
      </c>
      <c r="H169" s="299">
        <f>SUM(H170:H173)</f>
        <v>0</v>
      </c>
      <c r="I169" s="125">
        <f t="shared" si="10"/>
        <v>0</v>
      </c>
      <c r="J169" s="297">
        <f>SUM(J170:J173)</f>
        <v>0</v>
      </c>
      <c r="K169" s="299">
        <f>SUM(K170:K173)</f>
        <v>0</v>
      </c>
      <c r="L169" s="125">
        <f t="shared" si="11"/>
        <v>0</v>
      </c>
      <c r="M169" s="317">
        <f>SUM(M170:M173)</f>
        <v>0</v>
      </c>
      <c r="N169" s="318">
        <f>SUM(N170:N173)</f>
        <v>0</v>
      </c>
      <c r="O169" s="151">
        <f t="shared" si="12"/>
        <v>0</v>
      </c>
      <c r="P169" s="153"/>
      <c r="R169" s="1001"/>
      <c r="S169" s="1001"/>
      <c r="T169" s="1001"/>
    </row>
    <row r="170" spans="1:20" ht="24" hidden="1" x14ac:dyDescent="0.25">
      <c r="A170" s="76">
        <v>2512</v>
      </c>
      <c r="B170" s="127" t="s">
        <v>186</v>
      </c>
      <c r="C170" s="128">
        <f t="shared" si="8"/>
        <v>0</v>
      </c>
      <c r="D170" s="134"/>
      <c r="E170" s="285"/>
      <c r="F170" s="136">
        <f t="shared" si="9"/>
        <v>0</v>
      </c>
      <c r="G170" s="134"/>
      <c r="H170" s="135"/>
      <c r="I170" s="136">
        <f t="shared" si="10"/>
        <v>0</v>
      </c>
      <c r="J170" s="134"/>
      <c r="K170" s="135"/>
      <c r="L170" s="136">
        <f t="shared" si="11"/>
        <v>0</v>
      </c>
      <c r="M170" s="284"/>
      <c r="N170" s="285"/>
      <c r="O170" s="136">
        <f t="shared" si="12"/>
        <v>0</v>
      </c>
      <c r="P170" s="85"/>
      <c r="R170" s="1001"/>
      <c r="S170" s="1001"/>
      <c r="T170" s="1001"/>
    </row>
    <row r="171" spans="1:20" ht="36" hidden="1" x14ac:dyDescent="0.25">
      <c r="A171" s="76">
        <v>2513</v>
      </c>
      <c r="B171" s="127" t="s">
        <v>187</v>
      </c>
      <c r="C171" s="128">
        <f t="shared" si="8"/>
        <v>0</v>
      </c>
      <c r="D171" s="134"/>
      <c r="E171" s="285"/>
      <c r="F171" s="136">
        <f t="shared" si="9"/>
        <v>0</v>
      </c>
      <c r="G171" s="134"/>
      <c r="H171" s="135"/>
      <c r="I171" s="136">
        <f t="shared" si="10"/>
        <v>0</v>
      </c>
      <c r="J171" s="134"/>
      <c r="K171" s="135"/>
      <c r="L171" s="136">
        <f t="shared" si="11"/>
        <v>0</v>
      </c>
      <c r="M171" s="284"/>
      <c r="N171" s="285"/>
      <c r="O171" s="136">
        <f t="shared" si="12"/>
        <v>0</v>
      </c>
      <c r="P171" s="85"/>
      <c r="R171" s="1001"/>
      <c r="S171" s="1001"/>
      <c r="T171" s="1001"/>
    </row>
    <row r="172" spans="1:20" ht="24" hidden="1" x14ac:dyDescent="0.25">
      <c r="A172" s="76">
        <v>2515</v>
      </c>
      <c r="B172" s="127" t="s">
        <v>188</v>
      </c>
      <c r="C172" s="128">
        <f t="shared" si="8"/>
        <v>0</v>
      </c>
      <c r="D172" s="134"/>
      <c r="E172" s="285"/>
      <c r="F172" s="136">
        <f t="shared" si="9"/>
        <v>0</v>
      </c>
      <c r="G172" s="134"/>
      <c r="H172" s="135"/>
      <c r="I172" s="136">
        <f t="shared" si="10"/>
        <v>0</v>
      </c>
      <c r="J172" s="134"/>
      <c r="K172" s="135"/>
      <c r="L172" s="136">
        <f t="shared" si="11"/>
        <v>0</v>
      </c>
      <c r="M172" s="284"/>
      <c r="N172" s="285"/>
      <c r="O172" s="136">
        <f t="shared" si="12"/>
        <v>0</v>
      </c>
      <c r="P172" s="85"/>
      <c r="R172" s="1001"/>
      <c r="S172" s="1001"/>
      <c r="T172" s="1001"/>
    </row>
    <row r="173" spans="1:20" ht="24" hidden="1" x14ac:dyDescent="0.25">
      <c r="A173" s="76">
        <v>2519</v>
      </c>
      <c r="B173" s="127" t="s">
        <v>189</v>
      </c>
      <c r="C173" s="128">
        <f t="shared" si="8"/>
        <v>0</v>
      </c>
      <c r="D173" s="134"/>
      <c r="E173" s="285"/>
      <c r="F173" s="136">
        <f t="shared" si="9"/>
        <v>0</v>
      </c>
      <c r="G173" s="134"/>
      <c r="H173" s="135"/>
      <c r="I173" s="136">
        <f t="shared" si="10"/>
        <v>0</v>
      </c>
      <c r="J173" s="134"/>
      <c r="K173" s="135"/>
      <c r="L173" s="136">
        <f t="shared" si="11"/>
        <v>0</v>
      </c>
      <c r="M173" s="284"/>
      <c r="N173" s="285"/>
      <c r="O173" s="136">
        <f t="shared" si="12"/>
        <v>0</v>
      </c>
      <c r="P173" s="85"/>
      <c r="R173" s="1001"/>
      <c r="S173" s="1001"/>
      <c r="T173" s="1001"/>
    </row>
    <row r="174" spans="1:20" hidden="1" x14ac:dyDescent="0.25">
      <c r="A174" s="276">
        <v>2520</v>
      </c>
      <c r="B174" s="127" t="s">
        <v>190</v>
      </c>
      <c r="C174" s="128">
        <f t="shared" si="8"/>
        <v>0</v>
      </c>
      <c r="D174" s="134"/>
      <c r="E174" s="285"/>
      <c r="F174" s="136">
        <f t="shared" si="9"/>
        <v>0</v>
      </c>
      <c r="G174" s="134"/>
      <c r="H174" s="135"/>
      <c r="I174" s="136">
        <f t="shared" si="10"/>
        <v>0</v>
      </c>
      <c r="J174" s="134"/>
      <c r="K174" s="135"/>
      <c r="L174" s="136">
        <f t="shared" si="11"/>
        <v>0</v>
      </c>
      <c r="M174" s="284"/>
      <c r="N174" s="285"/>
      <c r="O174" s="136">
        <f t="shared" si="12"/>
        <v>0</v>
      </c>
      <c r="P174" s="85"/>
      <c r="R174" s="1001"/>
      <c r="S174" s="1001"/>
      <c r="T174" s="1001"/>
    </row>
    <row r="175" spans="1:20" ht="36" hidden="1" x14ac:dyDescent="0.25">
      <c r="A175" s="31">
        <v>2800</v>
      </c>
      <c r="B175" s="116" t="s">
        <v>191</v>
      </c>
      <c r="C175" s="117">
        <f t="shared" si="8"/>
        <v>0</v>
      </c>
      <c r="D175" s="68"/>
      <c r="E175" s="69"/>
      <c r="F175" s="72">
        <f t="shared" si="9"/>
        <v>0</v>
      </c>
      <c r="G175" s="68"/>
      <c r="H175" s="71"/>
      <c r="I175" s="72">
        <f t="shared" si="10"/>
        <v>0</v>
      </c>
      <c r="J175" s="68"/>
      <c r="K175" s="71"/>
      <c r="L175" s="72">
        <f t="shared" si="11"/>
        <v>0</v>
      </c>
      <c r="M175" s="73"/>
      <c r="N175" s="69"/>
      <c r="O175" s="72">
        <f t="shared" si="12"/>
        <v>0</v>
      </c>
      <c r="P175" s="74"/>
      <c r="R175" s="1001"/>
      <c r="S175" s="1001"/>
      <c r="T175" s="1001"/>
    </row>
    <row r="176" spans="1:20" hidden="1" x14ac:dyDescent="0.25">
      <c r="A176" s="237">
        <v>3000</v>
      </c>
      <c r="B176" s="237" t="s">
        <v>192</v>
      </c>
      <c r="C176" s="238">
        <f t="shared" si="8"/>
        <v>0</v>
      </c>
      <c r="D176" s="239">
        <f>SUM(D177,D187)</f>
        <v>0</v>
      </c>
      <c r="E176" s="245">
        <f>SUM(E177,E187)</f>
        <v>0</v>
      </c>
      <c r="F176" s="243">
        <f t="shared" si="9"/>
        <v>0</v>
      </c>
      <c r="G176" s="239">
        <f>SUM(G177,G187)</f>
        <v>0</v>
      </c>
      <c r="H176" s="242">
        <f>SUM(H177,H187)</f>
        <v>0</v>
      </c>
      <c r="I176" s="243">
        <f t="shared" si="10"/>
        <v>0</v>
      </c>
      <c r="J176" s="239">
        <f>SUM(J177,J187)</f>
        <v>0</v>
      </c>
      <c r="K176" s="242">
        <f>SUM(K177,K187)</f>
        <v>0</v>
      </c>
      <c r="L176" s="243">
        <f t="shared" si="11"/>
        <v>0</v>
      </c>
      <c r="M176" s="244">
        <f>SUM(M177,M187)</f>
        <v>0</v>
      </c>
      <c r="N176" s="245">
        <f>SUM(N177,N187)</f>
        <v>0</v>
      </c>
      <c r="O176" s="243">
        <f t="shared" si="12"/>
        <v>0</v>
      </c>
      <c r="P176" s="246"/>
      <c r="R176" s="1001"/>
      <c r="S176" s="1001"/>
      <c r="T176" s="1001"/>
    </row>
    <row r="177" spans="1:20" ht="24" hidden="1" x14ac:dyDescent="0.25">
      <c r="A177" s="99">
        <v>3200</v>
      </c>
      <c r="B177" s="321" t="s">
        <v>193</v>
      </c>
      <c r="C177" s="100">
        <f t="shared" si="8"/>
        <v>0</v>
      </c>
      <c r="D177" s="112">
        <f>SUM(D178,D182)</f>
        <v>0</v>
      </c>
      <c r="E177" s="293">
        <f>SUM(E178,E182)</f>
        <v>0</v>
      </c>
      <c r="F177" s="114">
        <f t="shared" si="9"/>
        <v>0</v>
      </c>
      <c r="G177" s="112">
        <f>SUM(G178,G182)</f>
        <v>0</v>
      </c>
      <c r="H177" s="113">
        <f>SUM(H178,H182)</f>
        <v>0</v>
      </c>
      <c r="I177" s="114">
        <f t="shared" si="10"/>
        <v>0</v>
      </c>
      <c r="J177" s="112">
        <f>SUM(J178,J182)</f>
        <v>0</v>
      </c>
      <c r="K177" s="113">
        <f>SUM(K178,K182)</f>
        <v>0</v>
      </c>
      <c r="L177" s="114">
        <f t="shared" si="11"/>
        <v>0</v>
      </c>
      <c r="M177" s="250">
        <f>SUM(M178,M182)</f>
        <v>0</v>
      </c>
      <c r="N177" s="251">
        <f>SUM(N178,N182)</f>
        <v>0</v>
      </c>
      <c r="O177" s="252">
        <f t="shared" si="12"/>
        <v>0</v>
      </c>
      <c r="P177" s="253"/>
      <c r="R177" s="1001"/>
      <c r="S177" s="1001"/>
      <c r="T177" s="1001"/>
    </row>
    <row r="178" spans="1:20" ht="36" hidden="1" x14ac:dyDescent="0.25">
      <c r="A178" s="656">
        <v>3260</v>
      </c>
      <c r="B178" s="116" t="s">
        <v>194</v>
      </c>
      <c r="C178" s="117">
        <f t="shared" si="8"/>
        <v>0</v>
      </c>
      <c r="D178" s="297">
        <f>SUM(D179:D181)</f>
        <v>0</v>
      </c>
      <c r="E178" s="301">
        <f>SUM(E179:E181)</f>
        <v>0</v>
      </c>
      <c r="F178" s="125">
        <f t="shared" si="9"/>
        <v>0</v>
      </c>
      <c r="G178" s="297">
        <f>SUM(G179:G181)</f>
        <v>0</v>
      </c>
      <c r="H178" s="299">
        <f>SUM(H179:H181)</f>
        <v>0</v>
      </c>
      <c r="I178" s="125">
        <f t="shared" si="10"/>
        <v>0</v>
      </c>
      <c r="J178" s="297">
        <f>SUM(J179:J181)</f>
        <v>0</v>
      </c>
      <c r="K178" s="299">
        <f>SUM(K179:K181)</f>
        <v>0</v>
      </c>
      <c r="L178" s="125">
        <f t="shared" si="11"/>
        <v>0</v>
      </c>
      <c r="M178" s="300">
        <f>SUM(M179:M181)</f>
        <v>0</v>
      </c>
      <c r="N178" s="301">
        <f>SUM(N179:N181)</f>
        <v>0</v>
      </c>
      <c r="O178" s="125">
        <f t="shared" si="12"/>
        <v>0</v>
      </c>
      <c r="P178" s="74"/>
      <c r="R178" s="1001"/>
      <c r="S178" s="1001"/>
      <c r="T178" s="1001"/>
    </row>
    <row r="179" spans="1:20" ht="24" hidden="1" x14ac:dyDescent="0.25">
      <c r="A179" s="76">
        <v>3261</v>
      </c>
      <c r="B179" s="127" t="s">
        <v>195</v>
      </c>
      <c r="C179" s="128">
        <f t="shared" si="8"/>
        <v>0</v>
      </c>
      <c r="D179" s="134"/>
      <c r="E179" s="285"/>
      <c r="F179" s="136">
        <f t="shared" si="9"/>
        <v>0</v>
      </c>
      <c r="G179" s="134"/>
      <c r="H179" s="135"/>
      <c r="I179" s="136">
        <f t="shared" si="10"/>
        <v>0</v>
      </c>
      <c r="J179" s="134"/>
      <c r="K179" s="135"/>
      <c r="L179" s="136">
        <f t="shared" si="11"/>
        <v>0</v>
      </c>
      <c r="M179" s="284"/>
      <c r="N179" s="285"/>
      <c r="O179" s="136">
        <f t="shared" si="12"/>
        <v>0</v>
      </c>
      <c r="P179" s="85"/>
      <c r="R179" s="1001"/>
      <c r="S179" s="1001"/>
      <c r="T179" s="1001"/>
    </row>
    <row r="180" spans="1:20" ht="36" hidden="1" x14ac:dyDescent="0.25">
      <c r="A180" s="76">
        <v>3262</v>
      </c>
      <c r="B180" s="127" t="s">
        <v>196</v>
      </c>
      <c r="C180" s="128">
        <f t="shared" si="8"/>
        <v>0</v>
      </c>
      <c r="D180" s="134"/>
      <c r="E180" s="285"/>
      <c r="F180" s="136">
        <f t="shared" si="9"/>
        <v>0</v>
      </c>
      <c r="G180" s="134"/>
      <c r="H180" s="135"/>
      <c r="I180" s="136">
        <f t="shared" si="10"/>
        <v>0</v>
      </c>
      <c r="J180" s="134"/>
      <c r="K180" s="135"/>
      <c r="L180" s="136">
        <f t="shared" si="11"/>
        <v>0</v>
      </c>
      <c r="M180" s="284"/>
      <c r="N180" s="285"/>
      <c r="O180" s="136">
        <f t="shared" si="12"/>
        <v>0</v>
      </c>
      <c r="P180" s="85"/>
      <c r="R180" s="1001"/>
      <c r="S180" s="1001"/>
      <c r="T180" s="1001"/>
    </row>
    <row r="181" spans="1:20" ht="24" hidden="1" x14ac:dyDescent="0.25">
      <c r="A181" s="76">
        <v>3263</v>
      </c>
      <c r="B181" s="127" t="s">
        <v>197</v>
      </c>
      <c r="C181" s="128">
        <f t="shared" ref="C181:C244" si="13">SUM(F181,I181,L181,O181)</f>
        <v>0</v>
      </c>
      <c r="D181" s="134"/>
      <c r="E181" s="285"/>
      <c r="F181" s="136">
        <f t="shared" ref="F181:F244" si="14">D181+E181</f>
        <v>0</v>
      </c>
      <c r="G181" s="134"/>
      <c r="H181" s="135"/>
      <c r="I181" s="136">
        <f t="shared" ref="I181:I244" si="15">G181+H181</f>
        <v>0</v>
      </c>
      <c r="J181" s="134"/>
      <c r="K181" s="135"/>
      <c r="L181" s="136">
        <f t="shared" ref="L181:L244" si="16">J181+K181</f>
        <v>0</v>
      </c>
      <c r="M181" s="284"/>
      <c r="N181" s="285"/>
      <c r="O181" s="136">
        <f t="shared" ref="O181:O244" si="17">M181+N181</f>
        <v>0</v>
      </c>
      <c r="P181" s="85"/>
      <c r="R181" s="1001"/>
      <c r="S181" s="1001"/>
      <c r="T181" s="1001"/>
    </row>
    <row r="182" spans="1:20" ht="72" hidden="1" x14ac:dyDescent="0.25">
      <c r="A182" s="656">
        <v>3290</v>
      </c>
      <c r="B182" s="116" t="s">
        <v>198</v>
      </c>
      <c r="C182" s="128">
        <f t="shared" si="13"/>
        <v>0</v>
      </c>
      <c r="D182" s="297">
        <f>SUM(D183:D186)</f>
        <v>0</v>
      </c>
      <c r="E182" s="301">
        <f>SUM(E183:E186)</f>
        <v>0</v>
      </c>
      <c r="F182" s="125">
        <f t="shared" si="14"/>
        <v>0</v>
      </c>
      <c r="G182" s="297">
        <f>SUM(G183:G186)</f>
        <v>0</v>
      </c>
      <c r="H182" s="299">
        <f>SUM(H183:H186)</f>
        <v>0</v>
      </c>
      <c r="I182" s="125">
        <f t="shared" si="15"/>
        <v>0</v>
      </c>
      <c r="J182" s="297">
        <f>SUM(J183:J186)</f>
        <v>0</v>
      </c>
      <c r="K182" s="299">
        <f>SUM(K183:K186)</f>
        <v>0</v>
      </c>
      <c r="L182" s="125">
        <f t="shared" si="16"/>
        <v>0</v>
      </c>
      <c r="M182" s="322">
        <f>SUM(M183:M186)</f>
        <v>0</v>
      </c>
      <c r="N182" s="323">
        <f>SUM(N183:N186)</f>
        <v>0</v>
      </c>
      <c r="O182" s="324">
        <f t="shared" si="17"/>
        <v>0</v>
      </c>
      <c r="P182" s="325"/>
      <c r="R182" s="1001"/>
      <c r="S182" s="1001"/>
      <c r="T182" s="1001"/>
    </row>
    <row r="183" spans="1:20" ht="60" hidden="1" x14ac:dyDescent="0.25">
      <c r="A183" s="76">
        <v>3291</v>
      </c>
      <c r="B183" s="127" t="s">
        <v>199</v>
      </c>
      <c r="C183" s="128">
        <f t="shared" si="13"/>
        <v>0</v>
      </c>
      <c r="D183" s="134"/>
      <c r="E183" s="285"/>
      <c r="F183" s="136">
        <f t="shared" si="14"/>
        <v>0</v>
      </c>
      <c r="G183" s="134"/>
      <c r="H183" s="135"/>
      <c r="I183" s="136">
        <f t="shared" si="15"/>
        <v>0</v>
      </c>
      <c r="J183" s="134"/>
      <c r="K183" s="135"/>
      <c r="L183" s="136">
        <f t="shared" si="16"/>
        <v>0</v>
      </c>
      <c r="M183" s="284"/>
      <c r="N183" s="285"/>
      <c r="O183" s="136">
        <f t="shared" si="17"/>
        <v>0</v>
      </c>
      <c r="P183" s="85"/>
      <c r="R183" s="1001"/>
      <c r="S183" s="1001"/>
      <c r="T183" s="1001"/>
    </row>
    <row r="184" spans="1:20" ht="60" hidden="1" x14ac:dyDescent="0.25">
      <c r="A184" s="76">
        <v>3292</v>
      </c>
      <c r="B184" s="127" t="s">
        <v>200</v>
      </c>
      <c r="C184" s="128">
        <f t="shared" si="13"/>
        <v>0</v>
      </c>
      <c r="D184" s="134"/>
      <c r="E184" s="285"/>
      <c r="F184" s="136">
        <f t="shared" si="14"/>
        <v>0</v>
      </c>
      <c r="G184" s="134"/>
      <c r="H184" s="135"/>
      <c r="I184" s="136">
        <f t="shared" si="15"/>
        <v>0</v>
      </c>
      <c r="J184" s="134"/>
      <c r="K184" s="135"/>
      <c r="L184" s="136">
        <f t="shared" si="16"/>
        <v>0</v>
      </c>
      <c r="M184" s="284"/>
      <c r="N184" s="285"/>
      <c r="O184" s="136">
        <f t="shared" si="17"/>
        <v>0</v>
      </c>
      <c r="P184" s="85"/>
      <c r="R184" s="1001"/>
      <c r="S184" s="1001"/>
      <c r="T184" s="1001"/>
    </row>
    <row r="185" spans="1:20" ht="60" hidden="1" x14ac:dyDescent="0.25">
      <c r="A185" s="76">
        <v>3293</v>
      </c>
      <c r="B185" s="127" t="s">
        <v>201</v>
      </c>
      <c r="C185" s="128">
        <f t="shared" si="13"/>
        <v>0</v>
      </c>
      <c r="D185" s="134"/>
      <c r="E185" s="285"/>
      <c r="F185" s="136">
        <f t="shared" si="14"/>
        <v>0</v>
      </c>
      <c r="G185" s="134"/>
      <c r="H185" s="135"/>
      <c r="I185" s="136">
        <f t="shared" si="15"/>
        <v>0</v>
      </c>
      <c r="J185" s="134"/>
      <c r="K185" s="135"/>
      <c r="L185" s="136">
        <f t="shared" si="16"/>
        <v>0</v>
      </c>
      <c r="M185" s="284"/>
      <c r="N185" s="285"/>
      <c r="O185" s="136">
        <f t="shared" si="17"/>
        <v>0</v>
      </c>
      <c r="P185" s="85"/>
      <c r="R185" s="1001"/>
      <c r="S185" s="1001"/>
      <c r="T185" s="1001"/>
    </row>
    <row r="186" spans="1:20" ht="48" hidden="1" x14ac:dyDescent="0.25">
      <c r="A186" s="326">
        <v>3294</v>
      </c>
      <c r="B186" s="127" t="s">
        <v>202</v>
      </c>
      <c r="C186" s="327">
        <f t="shared" si="13"/>
        <v>0</v>
      </c>
      <c r="D186" s="328"/>
      <c r="E186" s="329"/>
      <c r="F186" s="324">
        <f t="shared" si="14"/>
        <v>0</v>
      </c>
      <c r="G186" s="328"/>
      <c r="H186" s="331"/>
      <c r="I186" s="324">
        <f t="shared" si="15"/>
        <v>0</v>
      </c>
      <c r="J186" s="328"/>
      <c r="K186" s="331"/>
      <c r="L186" s="324">
        <f t="shared" si="16"/>
        <v>0</v>
      </c>
      <c r="M186" s="332"/>
      <c r="N186" s="329"/>
      <c r="O186" s="324">
        <f t="shared" si="17"/>
        <v>0</v>
      </c>
      <c r="P186" s="325"/>
      <c r="R186" s="1001"/>
      <c r="S186" s="1001"/>
      <c r="T186" s="1001"/>
    </row>
    <row r="187" spans="1:20" ht="36" hidden="1" x14ac:dyDescent="0.25">
      <c r="A187" s="160">
        <v>3300</v>
      </c>
      <c r="B187" s="321" t="s">
        <v>203</v>
      </c>
      <c r="C187" s="333">
        <f t="shared" si="13"/>
        <v>0</v>
      </c>
      <c r="D187" s="334">
        <f>SUM(D188:D189)</f>
        <v>0</v>
      </c>
      <c r="E187" s="251">
        <f>SUM(E188:E189)</f>
        <v>0</v>
      </c>
      <c r="F187" s="252">
        <f t="shared" si="14"/>
        <v>0</v>
      </c>
      <c r="G187" s="334">
        <f>SUM(G188:G189)</f>
        <v>0</v>
      </c>
      <c r="H187" s="336">
        <f>SUM(H188:H189)</f>
        <v>0</v>
      </c>
      <c r="I187" s="252">
        <f t="shared" si="15"/>
        <v>0</v>
      </c>
      <c r="J187" s="334">
        <f>SUM(J188:J189)</f>
        <v>0</v>
      </c>
      <c r="K187" s="336">
        <f>SUM(K188:K189)</f>
        <v>0</v>
      </c>
      <c r="L187" s="252">
        <f t="shared" si="16"/>
        <v>0</v>
      </c>
      <c r="M187" s="250">
        <f>SUM(M188:M189)</f>
        <v>0</v>
      </c>
      <c r="N187" s="251">
        <f>SUM(N188:N189)</f>
        <v>0</v>
      </c>
      <c r="O187" s="252">
        <f t="shared" si="17"/>
        <v>0</v>
      </c>
      <c r="P187" s="253"/>
      <c r="R187" s="1001"/>
      <c r="S187" s="1001"/>
      <c r="T187" s="1001"/>
    </row>
    <row r="188" spans="1:20" ht="48" hidden="1" x14ac:dyDescent="0.25">
      <c r="A188" s="178">
        <v>3310</v>
      </c>
      <c r="B188" s="179" t="s">
        <v>204</v>
      </c>
      <c r="C188" s="191">
        <f t="shared" si="13"/>
        <v>0</v>
      </c>
      <c r="D188" s="287"/>
      <c r="E188" s="291"/>
      <c r="F188" s="259">
        <f t="shared" si="14"/>
        <v>0</v>
      </c>
      <c r="G188" s="287"/>
      <c r="H188" s="289"/>
      <c r="I188" s="259">
        <f t="shared" si="15"/>
        <v>0</v>
      </c>
      <c r="J188" s="287"/>
      <c r="K188" s="289"/>
      <c r="L188" s="259">
        <f t="shared" si="16"/>
        <v>0</v>
      </c>
      <c r="M188" s="290"/>
      <c r="N188" s="291"/>
      <c r="O188" s="259">
        <f t="shared" si="17"/>
        <v>0</v>
      </c>
      <c r="P188" s="189"/>
      <c r="R188" s="1001"/>
      <c r="S188" s="1001"/>
      <c r="T188" s="1001"/>
    </row>
    <row r="189" spans="1:20" ht="48" hidden="1" x14ac:dyDescent="0.25">
      <c r="A189" s="66">
        <v>3320</v>
      </c>
      <c r="B189" s="116" t="s">
        <v>205</v>
      </c>
      <c r="C189" s="117">
        <f t="shared" si="13"/>
        <v>0</v>
      </c>
      <c r="D189" s="123"/>
      <c r="E189" s="262"/>
      <c r="F189" s="125">
        <f t="shared" si="14"/>
        <v>0</v>
      </c>
      <c r="G189" s="123"/>
      <c r="H189" s="124"/>
      <c r="I189" s="125">
        <f t="shared" si="15"/>
        <v>0</v>
      </c>
      <c r="J189" s="123"/>
      <c r="K189" s="124"/>
      <c r="L189" s="125">
        <f t="shared" si="16"/>
        <v>0</v>
      </c>
      <c r="M189" s="264"/>
      <c r="N189" s="262"/>
      <c r="O189" s="125">
        <f t="shared" si="17"/>
        <v>0</v>
      </c>
      <c r="P189" s="74"/>
      <c r="R189" s="1001"/>
      <c r="S189" s="1001"/>
      <c r="T189" s="1001"/>
    </row>
    <row r="190" spans="1:20" hidden="1" x14ac:dyDescent="0.25">
      <c r="A190" s="337">
        <v>4000</v>
      </c>
      <c r="B190" s="237" t="s">
        <v>206</v>
      </c>
      <c r="C190" s="238">
        <f t="shared" si="13"/>
        <v>0</v>
      </c>
      <c r="D190" s="239">
        <f>SUM(D191,D194)</f>
        <v>0</v>
      </c>
      <c r="E190" s="245">
        <f>SUM(E191,E194)</f>
        <v>0</v>
      </c>
      <c r="F190" s="243">
        <f t="shared" si="14"/>
        <v>0</v>
      </c>
      <c r="G190" s="239">
        <f>SUM(G191,G194)</f>
        <v>0</v>
      </c>
      <c r="H190" s="242">
        <f>SUM(H191,H194)</f>
        <v>0</v>
      </c>
      <c r="I190" s="243">
        <f t="shared" si="15"/>
        <v>0</v>
      </c>
      <c r="J190" s="239">
        <f>SUM(J191,J194)</f>
        <v>0</v>
      </c>
      <c r="K190" s="242">
        <f>SUM(K191,K194)</f>
        <v>0</v>
      </c>
      <c r="L190" s="243">
        <f t="shared" si="16"/>
        <v>0</v>
      </c>
      <c r="M190" s="244">
        <f>SUM(M191,M194)</f>
        <v>0</v>
      </c>
      <c r="N190" s="245">
        <f>SUM(N191,N194)</f>
        <v>0</v>
      </c>
      <c r="O190" s="243">
        <f t="shared" si="17"/>
        <v>0</v>
      </c>
      <c r="P190" s="246"/>
      <c r="R190" s="1001"/>
      <c r="S190" s="1001"/>
      <c r="T190" s="1001"/>
    </row>
    <row r="191" spans="1:20" ht="24" hidden="1" x14ac:dyDescent="0.25">
      <c r="A191" s="338">
        <v>4200</v>
      </c>
      <c r="B191" s="247" t="s">
        <v>207</v>
      </c>
      <c r="C191" s="100">
        <f t="shared" si="13"/>
        <v>0</v>
      </c>
      <c r="D191" s="112">
        <f>SUM(D192,D193)</f>
        <v>0</v>
      </c>
      <c r="E191" s="293">
        <f>SUM(E192,E193)</f>
        <v>0</v>
      </c>
      <c r="F191" s="114">
        <f t="shared" si="14"/>
        <v>0</v>
      </c>
      <c r="G191" s="112">
        <f>SUM(G192,G193)</f>
        <v>0</v>
      </c>
      <c r="H191" s="113">
        <f>SUM(H192,H193)</f>
        <v>0</v>
      </c>
      <c r="I191" s="114">
        <f t="shared" si="15"/>
        <v>0</v>
      </c>
      <c r="J191" s="112">
        <f>SUM(J192,J193)</f>
        <v>0</v>
      </c>
      <c r="K191" s="113">
        <f>SUM(K192,K193)</f>
        <v>0</v>
      </c>
      <c r="L191" s="114">
        <f t="shared" si="16"/>
        <v>0</v>
      </c>
      <c r="M191" s="292">
        <f>SUM(M192,M193)</f>
        <v>0</v>
      </c>
      <c r="N191" s="293">
        <f>SUM(N192,N193)</f>
        <v>0</v>
      </c>
      <c r="O191" s="114">
        <f t="shared" si="17"/>
        <v>0</v>
      </c>
      <c r="P191" s="109"/>
      <c r="R191" s="1001"/>
      <c r="S191" s="1001"/>
      <c r="T191" s="1001"/>
    </row>
    <row r="192" spans="1:20" ht="36" hidden="1" x14ac:dyDescent="0.25">
      <c r="A192" s="656">
        <v>4240</v>
      </c>
      <c r="B192" s="116" t="s">
        <v>208</v>
      </c>
      <c r="C192" s="117">
        <f t="shared" si="13"/>
        <v>0</v>
      </c>
      <c r="D192" s="123"/>
      <c r="E192" s="262"/>
      <c r="F192" s="125">
        <f t="shared" si="14"/>
        <v>0</v>
      </c>
      <c r="G192" s="123"/>
      <c r="H192" s="124"/>
      <c r="I192" s="125">
        <f t="shared" si="15"/>
        <v>0</v>
      </c>
      <c r="J192" s="123"/>
      <c r="K192" s="124"/>
      <c r="L192" s="125">
        <f t="shared" si="16"/>
        <v>0</v>
      </c>
      <c r="M192" s="264"/>
      <c r="N192" s="262"/>
      <c r="O192" s="125">
        <f t="shared" si="17"/>
        <v>0</v>
      </c>
      <c r="P192" s="74"/>
      <c r="R192" s="1001"/>
      <c r="S192" s="1001"/>
      <c r="T192" s="1001"/>
    </row>
    <row r="193" spans="1:20" hidden="1" x14ac:dyDescent="0.25">
      <c r="A193" s="276">
        <v>4250</v>
      </c>
      <c r="B193" s="127" t="s">
        <v>209</v>
      </c>
      <c r="C193" s="128">
        <f t="shared" si="13"/>
        <v>0</v>
      </c>
      <c r="D193" s="134"/>
      <c r="E193" s="285"/>
      <c r="F193" s="136">
        <f t="shared" si="14"/>
        <v>0</v>
      </c>
      <c r="G193" s="134"/>
      <c r="H193" s="135"/>
      <c r="I193" s="136">
        <f t="shared" si="15"/>
        <v>0</v>
      </c>
      <c r="J193" s="134"/>
      <c r="K193" s="135"/>
      <c r="L193" s="136">
        <f t="shared" si="16"/>
        <v>0</v>
      </c>
      <c r="M193" s="284"/>
      <c r="N193" s="285"/>
      <c r="O193" s="136">
        <f t="shared" si="17"/>
        <v>0</v>
      </c>
      <c r="P193" s="85"/>
      <c r="R193" s="1001"/>
      <c r="S193" s="1001"/>
      <c r="T193" s="1001"/>
    </row>
    <row r="194" spans="1:20" hidden="1" x14ac:dyDescent="0.25">
      <c r="A194" s="99">
        <v>4300</v>
      </c>
      <c r="B194" s="247" t="s">
        <v>210</v>
      </c>
      <c r="C194" s="100">
        <f t="shared" si="13"/>
        <v>0</v>
      </c>
      <c r="D194" s="112">
        <f>SUM(D195)</f>
        <v>0</v>
      </c>
      <c r="E194" s="293">
        <f>SUM(E195)</f>
        <v>0</v>
      </c>
      <c r="F194" s="114">
        <f t="shared" si="14"/>
        <v>0</v>
      </c>
      <c r="G194" s="112">
        <f>SUM(G195)</f>
        <v>0</v>
      </c>
      <c r="H194" s="113">
        <f>SUM(H195)</f>
        <v>0</v>
      </c>
      <c r="I194" s="114">
        <f t="shared" si="15"/>
        <v>0</v>
      </c>
      <c r="J194" s="112">
        <f>SUM(J195)</f>
        <v>0</v>
      </c>
      <c r="K194" s="113">
        <f>SUM(K195)</f>
        <v>0</v>
      </c>
      <c r="L194" s="114">
        <f t="shared" si="16"/>
        <v>0</v>
      </c>
      <c r="M194" s="292">
        <f>SUM(M195)</f>
        <v>0</v>
      </c>
      <c r="N194" s="293">
        <f>SUM(N195)</f>
        <v>0</v>
      </c>
      <c r="O194" s="114">
        <f t="shared" si="17"/>
        <v>0</v>
      </c>
      <c r="P194" s="109"/>
      <c r="R194" s="1001"/>
      <c r="S194" s="1001"/>
      <c r="T194" s="1001"/>
    </row>
    <row r="195" spans="1:20" ht="24" hidden="1" x14ac:dyDescent="0.25">
      <c r="A195" s="656">
        <v>4310</v>
      </c>
      <c r="B195" s="116" t="s">
        <v>211</v>
      </c>
      <c r="C195" s="117">
        <f t="shared" si="13"/>
        <v>0</v>
      </c>
      <c r="D195" s="297">
        <f>SUM(D196:D196)</f>
        <v>0</v>
      </c>
      <c r="E195" s="301">
        <f>SUM(E196:E196)</f>
        <v>0</v>
      </c>
      <c r="F195" s="125">
        <f t="shared" si="14"/>
        <v>0</v>
      </c>
      <c r="G195" s="297">
        <f>SUM(G196:G196)</f>
        <v>0</v>
      </c>
      <c r="H195" s="299">
        <f>SUM(H196:H196)</f>
        <v>0</v>
      </c>
      <c r="I195" s="125">
        <f t="shared" si="15"/>
        <v>0</v>
      </c>
      <c r="J195" s="297">
        <f>SUM(J196:J196)</f>
        <v>0</v>
      </c>
      <c r="K195" s="299">
        <f>SUM(K196:K196)</f>
        <v>0</v>
      </c>
      <c r="L195" s="125">
        <f t="shared" si="16"/>
        <v>0</v>
      </c>
      <c r="M195" s="300">
        <f>SUM(M196:M196)</f>
        <v>0</v>
      </c>
      <c r="N195" s="301">
        <f>SUM(N196:N196)</f>
        <v>0</v>
      </c>
      <c r="O195" s="125">
        <f t="shared" si="17"/>
        <v>0</v>
      </c>
      <c r="P195" s="74"/>
      <c r="R195" s="1001"/>
      <c r="S195" s="1001"/>
      <c r="T195" s="1001"/>
    </row>
    <row r="196" spans="1:20" ht="36" hidden="1" x14ac:dyDescent="0.25">
      <c r="A196" s="76">
        <v>4311</v>
      </c>
      <c r="B196" s="127" t="s">
        <v>212</v>
      </c>
      <c r="C196" s="128">
        <f t="shared" si="13"/>
        <v>0</v>
      </c>
      <c r="D196" s="134"/>
      <c r="E196" s="285"/>
      <c r="F196" s="136">
        <f t="shared" si="14"/>
        <v>0</v>
      </c>
      <c r="G196" s="134"/>
      <c r="H196" s="135"/>
      <c r="I196" s="136">
        <f t="shared" si="15"/>
        <v>0</v>
      </c>
      <c r="J196" s="134"/>
      <c r="K196" s="135"/>
      <c r="L196" s="136">
        <f t="shared" si="16"/>
        <v>0</v>
      </c>
      <c r="M196" s="284"/>
      <c r="N196" s="285"/>
      <c r="O196" s="136">
        <f t="shared" si="17"/>
        <v>0</v>
      </c>
      <c r="P196" s="85"/>
      <c r="R196" s="1001"/>
      <c r="S196" s="1001"/>
      <c r="T196" s="1001"/>
    </row>
    <row r="197" spans="1:20" x14ac:dyDescent="0.25">
      <c r="A197" s="339"/>
      <c r="B197" s="31" t="s">
        <v>213</v>
      </c>
      <c r="C197" s="229">
        <f t="shared" si="13"/>
        <v>5075</v>
      </c>
      <c r="D197" s="230">
        <f>SUM(D198,D233,D271)</f>
        <v>4575</v>
      </c>
      <c r="E197" s="231">
        <f>SUM(E198,E233,E271)</f>
        <v>0</v>
      </c>
      <c r="F197" s="232">
        <f t="shared" si="14"/>
        <v>4575</v>
      </c>
      <c r="G197" s="230">
        <f>SUM(G198,G233,G271)</f>
        <v>500</v>
      </c>
      <c r="H197" s="233">
        <f>SUM(H198,H233,H271)</f>
        <v>0</v>
      </c>
      <c r="I197" s="234">
        <f t="shared" si="15"/>
        <v>500</v>
      </c>
      <c r="J197" s="230">
        <f>SUM(J198,J233,J271)</f>
        <v>0</v>
      </c>
      <c r="K197" s="233">
        <f>SUM(K198,K233,K271)</f>
        <v>0</v>
      </c>
      <c r="L197" s="234">
        <f t="shared" si="16"/>
        <v>0</v>
      </c>
      <c r="M197" s="340">
        <f>SUM(M198,M233,M271)</f>
        <v>0</v>
      </c>
      <c r="N197" s="341">
        <f>SUM(N198,N233,N271)</f>
        <v>0</v>
      </c>
      <c r="O197" s="342">
        <f t="shared" si="17"/>
        <v>0</v>
      </c>
      <c r="P197" s="343"/>
      <c r="R197" s="1001"/>
      <c r="S197" s="1001"/>
      <c r="T197" s="1001"/>
    </row>
    <row r="198" spans="1:20" x14ac:dyDescent="0.25">
      <c r="A198" s="237">
        <v>5000</v>
      </c>
      <c r="B198" s="237" t="s">
        <v>214</v>
      </c>
      <c r="C198" s="238">
        <f t="shared" si="13"/>
        <v>5075</v>
      </c>
      <c r="D198" s="239">
        <f>D199+D207</f>
        <v>4575</v>
      </c>
      <c r="E198" s="240">
        <f>E199+E207</f>
        <v>0</v>
      </c>
      <c r="F198" s="241">
        <f t="shared" si="14"/>
        <v>4575</v>
      </c>
      <c r="G198" s="239">
        <f>G199+G207</f>
        <v>500</v>
      </c>
      <c r="H198" s="242">
        <f>H199+H207</f>
        <v>0</v>
      </c>
      <c r="I198" s="243">
        <f t="shared" si="15"/>
        <v>500</v>
      </c>
      <c r="J198" s="239">
        <f>J199+J207</f>
        <v>0</v>
      </c>
      <c r="K198" s="242">
        <f>K199+K207</f>
        <v>0</v>
      </c>
      <c r="L198" s="243">
        <f t="shared" si="16"/>
        <v>0</v>
      </c>
      <c r="M198" s="244">
        <f>M199+M207</f>
        <v>0</v>
      </c>
      <c r="N198" s="245">
        <f>N199+N207</f>
        <v>0</v>
      </c>
      <c r="O198" s="243">
        <f t="shared" si="17"/>
        <v>0</v>
      </c>
      <c r="P198" s="246"/>
      <c r="R198" s="1001"/>
      <c r="S198" s="1001"/>
      <c r="T198" s="1001"/>
    </row>
    <row r="199" spans="1:20" hidden="1" x14ac:dyDescent="0.25">
      <c r="A199" s="99">
        <v>5100</v>
      </c>
      <c r="B199" s="247" t="s">
        <v>215</v>
      </c>
      <c r="C199" s="100">
        <f t="shared" si="13"/>
        <v>0</v>
      </c>
      <c r="D199" s="112">
        <f>D200+D201+D204+D205+D206</f>
        <v>0</v>
      </c>
      <c r="E199" s="293">
        <f>E200+E201+E204+E205+E206</f>
        <v>0</v>
      </c>
      <c r="F199" s="114">
        <f t="shared" si="14"/>
        <v>0</v>
      </c>
      <c r="G199" s="112">
        <f>G200+G201+G204+G205+G206</f>
        <v>0</v>
      </c>
      <c r="H199" s="113">
        <f>H200+H201+H204+H205+H206</f>
        <v>0</v>
      </c>
      <c r="I199" s="114">
        <f t="shared" si="15"/>
        <v>0</v>
      </c>
      <c r="J199" s="112">
        <f>J200+J201+J204+J205+J206</f>
        <v>0</v>
      </c>
      <c r="K199" s="113">
        <f>K200+K201+K204+K205+K206</f>
        <v>0</v>
      </c>
      <c r="L199" s="114">
        <f t="shared" si="16"/>
        <v>0</v>
      </c>
      <c r="M199" s="292">
        <f>M200+M201+M204+M205+M206</f>
        <v>0</v>
      </c>
      <c r="N199" s="293">
        <f>N200+N201+N204+N205+N206</f>
        <v>0</v>
      </c>
      <c r="O199" s="114">
        <f t="shared" si="17"/>
        <v>0</v>
      </c>
      <c r="P199" s="109"/>
      <c r="R199" s="1001"/>
      <c r="S199" s="1001"/>
      <c r="T199" s="1001"/>
    </row>
    <row r="200" spans="1:20" hidden="1" x14ac:dyDescent="0.25">
      <c r="A200" s="656">
        <v>5110</v>
      </c>
      <c r="B200" s="116" t="s">
        <v>216</v>
      </c>
      <c r="C200" s="117">
        <f t="shared" si="13"/>
        <v>0</v>
      </c>
      <c r="D200" s="123"/>
      <c r="E200" s="262"/>
      <c r="F200" s="125">
        <f t="shared" si="14"/>
        <v>0</v>
      </c>
      <c r="G200" s="123"/>
      <c r="H200" s="124"/>
      <c r="I200" s="125">
        <f t="shared" si="15"/>
        <v>0</v>
      </c>
      <c r="J200" s="123"/>
      <c r="K200" s="124"/>
      <c r="L200" s="125">
        <f t="shared" si="16"/>
        <v>0</v>
      </c>
      <c r="M200" s="264"/>
      <c r="N200" s="262"/>
      <c r="O200" s="125">
        <f t="shared" si="17"/>
        <v>0</v>
      </c>
      <c r="P200" s="74"/>
      <c r="R200" s="1001"/>
      <c r="S200" s="1001"/>
      <c r="T200" s="1001"/>
    </row>
    <row r="201" spans="1:20" ht="24" hidden="1" x14ac:dyDescent="0.25">
      <c r="A201" s="276">
        <v>5120</v>
      </c>
      <c r="B201" s="127" t="s">
        <v>217</v>
      </c>
      <c r="C201" s="128">
        <f t="shared" si="13"/>
        <v>0</v>
      </c>
      <c r="D201" s="277">
        <f>D202+D203</f>
        <v>0</v>
      </c>
      <c r="E201" s="282">
        <f>E202+E203</f>
        <v>0</v>
      </c>
      <c r="F201" s="136">
        <f t="shared" si="14"/>
        <v>0</v>
      </c>
      <c r="G201" s="277">
        <f>G202+G203</f>
        <v>0</v>
      </c>
      <c r="H201" s="280">
        <f>H202+H203</f>
        <v>0</v>
      </c>
      <c r="I201" s="136">
        <f t="shared" si="15"/>
        <v>0</v>
      </c>
      <c r="J201" s="277">
        <f>J202+J203</f>
        <v>0</v>
      </c>
      <c r="K201" s="280">
        <f>K202+K203</f>
        <v>0</v>
      </c>
      <c r="L201" s="136">
        <f t="shared" si="16"/>
        <v>0</v>
      </c>
      <c r="M201" s="281">
        <f>M202+M203</f>
        <v>0</v>
      </c>
      <c r="N201" s="282">
        <f>N202+N203</f>
        <v>0</v>
      </c>
      <c r="O201" s="136">
        <f t="shared" si="17"/>
        <v>0</v>
      </c>
      <c r="P201" s="85"/>
      <c r="R201" s="1001"/>
      <c r="S201" s="1001"/>
      <c r="T201" s="1001"/>
    </row>
    <row r="202" spans="1:20" hidden="1" x14ac:dyDescent="0.25">
      <c r="A202" s="76">
        <v>5121</v>
      </c>
      <c r="B202" s="127" t="s">
        <v>218</v>
      </c>
      <c r="C202" s="128">
        <f t="shared" si="13"/>
        <v>0</v>
      </c>
      <c r="D202" s="134"/>
      <c r="E202" s="285"/>
      <c r="F202" s="136">
        <f t="shared" si="14"/>
        <v>0</v>
      </c>
      <c r="G202" s="134"/>
      <c r="H202" s="135"/>
      <c r="I202" s="136">
        <f t="shared" si="15"/>
        <v>0</v>
      </c>
      <c r="J202" s="134"/>
      <c r="K202" s="135"/>
      <c r="L202" s="136">
        <f t="shared" si="16"/>
        <v>0</v>
      </c>
      <c r="M202" s="284"/>
      <c r="N202" s="285"/>
      <c r="O202" s="136">
        <f t="shared" si="17"/>
        <v>0</v>
      </c>
      <c r="P202" s="85"/>
      <c r="R202" s="1001"/>
      <c r="S202" s="1001"/>
      <c r="T202" s="1001"/>
    </row>
    <row r="203" spans="1:20" ht="24" hidden="1" x14ac:dyDescent="0.25">
      <c r="A203" s="76">
        <v>5129</v>
      </c>
      <c r="B203" s="127" t="s">
        <v>219</v>
      </c>
      <c r="C203" s="128">
        <f t="shared" si="13"/>
        <v>0</v>
      </c>
      <c r="D203" s="134"/>
      <c r="E203" s="285"/>
      <c r="F203" s="136">
        <f t="shared" si="14"/>
        <v>0</v>
      </c>
      <c r="G203" s="134"/>
      <c r="H203" s="135"/>
      <c r="I203" s="136">
        <f t="shared" si="15"/>
        <v>0</v>
      </c>
      <c r="J203" s="134"/>
      <c r="K203" s="135"/>
      <c r="L203" s="136">
        <f t="shared" si="16"/>
        <v>0</v>
      </c>
      <c r="M203" s="284"/>
      <c r="N203" s="285"/>
      <c r="O203" s="136">
        <f t="shared" si="17"/>
        <v>0</v>
      </c>
      <c r="P203" s="85"/>
      <c r="R203" s="1001"/>
      <c r="S203" s="1001"/>
      <c r="T203" s="1001"/>
    </row>
    <row r="204" spans="1:20" hidden="1" x14ac:dyDescent="0.25">
      <c r="A204" s="276">
        <v>5130</v>
      </c>
      <c r="B204" s="127" t="s">
        <v>220</v>
      </c>
      <c r="C204" s="128">
        <f t="shared" si="13"/>
        <v>0</v>
      </c>
      <c r="D204" s="134"/>
      <c r="E204" s="285"/>
      <c r="F204" s="136">
        <f t="shared" si="14"/>
        <v>0</v>
      </c>
      <c r="G204" s="134"/>
      <c r="H204" s="135"/>
      <c r="I204" s="136">
        <f t="shared" si="15"/>
        <v>0</v>
      </c>
      <c r="J204" s="134"/>
      <c r="K204" s="135"/>
      <c r="L204" s="136">
        <f t="shared" si="16"/>
        <v>0</v>
      </c>
      <c r="M204" s="284"/>
      <c r="N204" s="285"/>
      <c r="O204" s="136">
        <f t="shared" si="17"/>
        <v>0</v>
      </c>
      <c r="P204" s="85"/>
      <c r="R204" s="1001"/>
      <c r="S204" s="1001"/>
      <c r="T204" s="1001"/>
    </row>
    <row r="205" spans="1:20" hidden="1" x14ac:dyDescent="0.25">
      <c r="A205" s="276">
        <v>5140</v>
      </c>
      <c r="B205" s="127" t="s">
        <v>221</v>
      </c>
      <c r="C205" s="128">
        <f t="shared" si="13"/>
        <v>0</v>
      </c>
      <c r="D205" s="134"/>
      <c r="E205" s="285"/>
      <c r="F205" s="136">
        <f t="shared" si="14"/>
        <v>0</v>
      </c>
      <c r="G205" s="134"/>
      <c r="H205" s="135"/>
      <c r="I205" s="136">
        <f t="shared" si="15"/>
        <v>0</v>
      </c>
      <c r="J205" s="134"/>
      <c r="K205" s="135"/>
      <c r="L205" s="136">
        <f t="shared" si="16"/>
        <v>0</v>
      </c>
      <c r="M205" s="284"/>
      <c r="N205" s="285"/>
      <c r="O205" s="136">
        <f t="shared" si="17"/>
        <v>0</v>
      </c>
      <c r="P205" s="85"/>
      <c r="R205" s="1001"/>
      <c r="S205" s="1001"/>
      <c r="T205" s="1001"/>
    </row>
    <row r="206" spans="1:20" ht="24" hidden="1" x14ac:dyDescent="0.25">
      <c r="A206" s="276">
        <v>5170</v>
      </c>
      <c r="B206" s="127" t="s">
        <v>222</v>
      </c>
      <c r="C206" s="128">
        <f t="shared" si="13"/>
        <v>0</v>
      </c>
      <c r="D206" s="134"/>
      <c r="E206" s="285"/>
      <c r="F206" s="136">
        <f t="shared" si="14"/>
        <v>0</v>
      </c>
      <c r="G206" s="134"/>
      <c r="H206" s="135"/>
      <c r="I206" s="136">
        <f t="shared" si="15"/>
        <v>0</v>
      </c>
      <c r="J206" s="134"/>
      <c r="K206" s="135"/>
      <c r="L206" s="136">
        <f t="shared" si="16"/>
        <v>0</v>
      </c>
      <c r="M206" s="284"/>
      <c r="N206" s="285"/>
      <c r="O206" s="136">
        <f t="shared" si="17"/>
        <v>0</v>
      </c>
      <c r="P206" s="85"/>
      <c r="R206" s="1001"/>
      <c r="S206" s="1001"/>
      <c r="T206" s="1001"/>
    </row>
    <row r="207" spans="1:20" x14ac:dyDescent="0.25">
      <c r="A207" s="99">
        <v>5200</v>
      </c>
      <c r="B207" s="247" t="s">
        <v>223</v>
      </c>
      <c r="C207" s="100">
        <f t="shared" si="13"/>
        <v>5075</v>
      </c>
      <c r="D207" s="112">
        <f>D208+D218+D219+D228+D229+D230+D232</f>
        <v>4575</v>
      </c>
      <c r="E207" s="248">
        <f>E208+E218+E219+E228+E229+E230+E232</f>
        <v>0</v>
      </c>
      <c r="F207" s="249">
        <f t="shared" si="14"/>
        <v>4575</v>
      </c>
      <c r="G207" s="112">
        <f>G208+G218+G219+G228+G229+G230+G232</f>
        <v>500</v>
      </c>
      <c r="H207" s="113">
        <f>H208+H218+H219+H228+H229+H230+H232</f>
        <v>0</v>
      </c>
      <c r="I207" s="114">
        <f t="shared" si="15"/>
        <v>500</v>
      </c>
      <c r="J207" s="112">
        <f>J208+J218+J219+J228+J229+J230+J232</f>
        <v>0</v>
      </c>
      <c r="K207" s="113">
        <f>K208+K218+K219+K228+K229+K230+K232</f>
        <v>0</v>
      </c>
      <c r="L207" s="114">
        <f t="shared" si="16"/>
        <v>0</v>
      </c>
      <c r="M207" s="292">
        <f>M208+M218+M219+M228+M229+M230+M232</f>
        <v>0</v>
      </c>
      <c r="N207" s="293">
        <f>N208+N218+N219+N228+N229+N230+N232</f>
        <v>0</v>
      </c>
      <c r="O207" s="114">
        <f t="shared" si="17"/>
        <v>0</v>
      </c>
      <c r="P207" s="109"/>
      <c r="R207" s="1001"/>
      <c r="S207" s="1001"/>
      <c r="T207" s="1001"/>
    </row>
    <row r="208" spans="1:20" hidden="1" x14ac:dyDescent="0.25">
      <c r="A208" s="254">
        <v>5210</v>
      </c>
      <c r="B208" s="179" t="s">
        <v>224</v>
      </c>
      <c r="C208" s="191">
        <f t="shared" si="13"/>
        <v>0</v>
      </c>
      <c r="D208" s="255">
        <f>SUM(D209:D217)</f>
        <v>0</v>
      </c>
      <c r="E208" s="261">
        <f>SUM(E209:E217)</f>
        <v>0</v>
      </c>
      <c r="F208" s="259">
        <f t="shared" si="14"/>
        <v>0</v>
      </c>
      <c r="G208" s="255">
        <f>SUM(G209:G217)</f>
        <v>0</v>
      </c>
      <c r="H208" s="258">
        <f>SUM(H209:H217)</f>
        <v>0</v>
      </c>
      <c r="I208" s="259">
        <f t="shared" si="15"/>
        <v>0</v>
      </c>
      <c r="J208" s="255">
        <f>SUM(J209:J217)</f>
        <v>0</v>
      </c>
      <c r="K208" s="258">
        <f>SUM(K209:K217)</f>
        <v>0</v>
      </c>
      <c r="L208" s="259">
        <f t="shared" si="16"/>
        <v>0</v>
      </c>
      <c r="M208" s="260">
        <f>SUM(M209:M217)</f>
        <v>0</v>
      </c>
      <c r="N208" s="261">
        <f>SUM(N209:N217)</f>
        <v>0</v>
      </c>
      <c r="O208" s="259">
        <f t="shared" si="17"/>
        <v>0</v>
      </c>
      <c r="P208" s="189"/>
      <c r="R208" s="1001"/>
      <c r="S208" s="1001"/>
      <c r="T208" s="1001"/>
    </row>
    <row r="209" spans="1:20" hidden="1" x14ac:dyDescent="0.25">
      <c r="A209" s="66">
        <v>5211</v>
      </c>
      <c r="B209" s="116" t="s">
        <v>225</v>
      </c>
      <c r="C209" s="279">
        <f t="shared" si="13"/>
        <v>0</v>
      </c>
      <c r="D209" s="123"/>
      <c r="E209" s="262"/>
      <c r="F209" s="125">
        <f t="shared" si="14"/>
        <v>0</v>
      </c>
      <c r="G209" s="123"/>
      <c r="H209" s="124"/>
      <c r="I209" s="125">
        <f t="shared" si="15"/>
        <v>0</v>
      </c>
      <c r="J209" s="123"/>
      <c r="K209" s="124"/>
      <c r="L209" s="125">
        <f t="shared" si="16"/>
        <v>0</v>
      </c>
      <c r="M209" s="264"/>
      <c r="N209" s="262"/>
      <c r="O209" s="125">
        <f t="shared" si="17"/>
        <v>0</v>
      </c>
      <c r="P209" s="74"/>
      <c r="R209" s="1001"/>
      <c r="S209" s="1001"/>
      <c r="T209" s="1001"/>
    </row>
    <row r="210" spans="1:20" hidden="1" x14ac:dyDescent="0.25">
      <c r="A210" s="76">
        <v>5212</v>
      </c>
      <c r="B210" s="127" t="s">
        <v>226</v>
      </c>
      <c r="C210" s="279">
        <f t="shared" si="13"/>
        <v>0</v>
      </c>
      <c r="D210" s="134"/>
      <c r="E210" s="285"/>
      <c r="F210" s="136">
        <f t="shared" si="14"/>
        <v>0</v>
      </c>
      <c r="G210" s="134"/>
      <c r="H210" s="135"/>
      <c r="I210" s="136">
        <f t="shared" si="15"/>
        <v>0</v>
      </c>
      <c r="J210" s="134"/>
      <c r="K210" s="135"/>
      <c r="L210" s="136">
        <f t="shared" si="16"/>
        <v>0</v>
      </c>
      <c r="M210" s="284"/>
      <c r="N210" s="285"/>
      <c r="O210" s="136">
        <f t="shared" si="17"/>
        <v>0</v>
      </c>
      <c r="P210" s="85"/>
      <c r="R210" s="1001"/>
      <c r="S210" s="1001"/>
      <c r="T210" s="1001"/>
    </row>
    <row r="211" spans="1:20" hidden="1" x14ac:dyDescent="0.25">
      <c r="A211" s="76">
        <v>5213</v>
      </c>
      <c r="B211" s="127" t="s">
        <v>227</v>
      </c>
      <c r="C211" s="279">
        <f t="shared" si="13"/>
        <v>0</v>
      </c>
      <c r="D211" s="134"/>
      <c r="E211" s="285"/>
      <c r="F211" s="136">
        <f t="shared" si="14"/>
        <v>0</v>
      </c>
      <c r="G211" s="134"/>
      <c r="H211" s="135"/>
      <c r="I211" s="136">
        <f t="shared" si="15"/>
        <v>0</v>
      </c>
      <c r="J211" s="134"/>
      <c r="K211" s="135"/>
      <c r="L211" s="136">
        <f t="shared" si="16"/>
        <v>0</v>
      </c>
      <c r="M211" s="284"/>
      <c r="N211" s="285"/>
      <c r="O211" s="136">
        <f t="shared" si="17"/>
        <v>0</v>
      </c>
      <c r="P211" s="85"/>
      <c r="R211" s="1001"/>
      <c r="S211" s="1001"/>
      <c r="T211" s="1001"/>
    </row>
    <row r="212" spans="1:20" hidden="1" x14ac:dyDescent="0.25">
      <c r="A212" s="76">
        <v>5214</v>
      </c>
      <c r="B212" s="127" t="s">
        <v>228</v>
      </c>
      <c r="C212" s="279">
        <f t="shared" si="13"/>
        <v>0</v>
      </c>
      <c r="D212" s="134"/>
      <c r="E212" s="285"/>
      <c r="F212" s="136">
        <f t="shared" si="14"/>
        <v>0</v>
      </c>
      <c r="G212" s="134"/>
      <c r="H212" s="135"/>
      <c r="I212" s="136">
        <f t="shared" si="15"/>
        <v>0</v>
      </c>
      <c r="J212" s="134"/>
      <c r="K212" s="135"/>
      <c r="L212" s="136">
        <f t="shared" si="16"/>
        <v>0</v>
      </c>
      <c r="M212" s="284"/>
      <c r="N212" s="285"/>
      <c r="O212" s="136">
        <f t="shared" si="17"/>
        <v>0</v>
      </c>
      <c r="P212" s="85"/>
      <c r="R212" s="1001"/>
      <c r="S212" s="1001"/>
      <c r="T212" s="1001"/>
    </row>
    <row r="213" spans="1:20" hidden="1" x14ac:dyDescent="0.25">
      <c r="A213" s="76">
        <v>5215</v>
      </c>
      <c r="B213" s="127" t="s">
        <v>229</v>
      </c>
      <c r="C213" s="279">
        <f t="shared" si="13"/>
        <v>0</v>
      </c>
      <c r="D213" s="134"/>
      <c r="E213" s="285"/>
      <c r="F213" s="136">
        <f t="shared" si="14"/>
        <v>0</v>
      </c>
      <c r="G213" s="134"/>
      <c r="H213" s="135"/>
      <c r="I213" s="136">
        <f t="shared" si="15"/>
        <v>0</v>
      </c>
      <c r="J213" s="134"/>
      <c r="K213" s="135"/>
      <c r="L213" s="136">
        <f t="shared" si="16"/>
        <v>0</v>
      </c>
      <c r="M213" s="284"/>
      <c r="N213" s="285"/>
      <c r="O213" s="136">
        <f t="shared" si="17"/>
        <v>0</v>
      </c>
      <c r="P213" s="85"/>
      <c r="R213" s="1001"/>
      <c r="S213" s="1001"/>
      <c r="T213" s="1001"/>
    </row>
    <row r="214" spans="1:20" hidden="1" x14ac:dyDescent="0.25">
      <c r="A214" s="76">
        <v>5216</v>
      </c>
      <c r="B214" s="127" t="s">
        <v>230</v>
      </c>
      <c r="C214" s="279">
        <f t="shared" si="13"/>
        <v>0</v>
      </c>
      <c r="D214" s="134"/>
      <c r="E214" s="285"/>
      <c r="F214" s="136">
        <f t="shared" si="14"/>
        <v>0</v>
      </c>
      <c r="G214" s="134"/>
      <c r="H214" s="135"/>
      <c r="I214" s="136">
        <f t="shared" si="15"/>
        <v>0</v>
      </c>
      <c r="J214" s="134"/>
      <c r="K214" s="135"/>
      <c r="L214" s="136">
        <f t="shared" si="16"/>
        <v>0</v>
      </c>
      <c r="M214" s="284"/>
      <c r="N214" s="285"/>
      <c r="O214" s="136">
        <f t="shared" si="17"/>
        <v>0</v>
      </c>
      <c r="P214" s="85"/>
      <c r="R214" s="1001"/>
      <c r="S214" s="1001"/>
      <c r="T214" s="1001"/>
    </row>
    <row r="215" spans="1:20" hidden="1" x14ac:dyDescent="0.25">
      <c r="A215" s="76">
        <v>5217</v>
      </c>
      <c r="B215" s="127" t="s">
        <v>231</v>
      </c>
      <c r="C215" s="279">
        <f t="shared" si="13"/>
        <v>0</v>
      </c>
      <c r="D215" s="134"/>
      <c r="E215" s="285"/>
      <c r="F215" s="136">
        <f t="shared" si="14"/>
        <v>0</v>
      </c>
      <c r="G215" s="134"/>
      <c r="H215" s="135"/>
      <c r="I215" s="136">
        <f t="shared" si="15"/>
        <v>0</v>
      </c>
      <c r="J215" s="134"/>
      <c r="K215" s="135"/>
      <c r="L215" s="136">
        <f t="shared" si="16"/>
        <v>0</v>
      </c>
      <c r="M215" s="284"/>
      <c r="N215" s="285"/>
      <c r="O215" s="136">
        <f t="shared" si="17"/>
        <v>0</v>
      </c>
      <c r="P215" s="85"/>
      <c r="R215" s="1001"/>
      <c r="S215" s="1001"/>
      <c r="T215" s="1001"/>
    </row>
    <row r="216" spans="1:20" hidden="1" x14ac:dyDescent="0.25">
      <c r="A216" s="76">
        <v>5218</v>
      </c>
      <c r="B216" s="127" t="s">
        <v>232</v>
      </c>
      <c r="C216" s="279">
        <f t="shared" si="13"/>
        <v>0</v>
      </c>
      <c r="D216" s="134"/>
      <c r="E216" s="285"/>
      <c r="F216" s="136">
        <f t="shared" si="14"/>
        <v>0</v>
      </c>
      <c r="G216" s="134"/>
      <c r="H216" s="135"/>
      <c r="I216" s="136">
        <f t="shared" si="15"/>
        <v>0</v>
      </c>
      <c r="J216" s="134"/>
      <c r="K216" s="135"/>
      <c r="L216" s="136">
        <f t="shared" si="16"/>
        <v>0</v>
      </c>
      <c r="M216" s="284"/>
      <c r="N216" s="285"/>
      <c r="O216" s="136">
        <f t="shared" si="17"/>
        <v>0</v>
      </c>
      <c r="P216" s="85"/>
      <c r="R216" s="1001"/>
      <c r="S216" s="1001"/>
      <c r="T216" s="1001"/>
    </row>
    <row r="217" spans="1:20" hidden="1" x14ac:dyDescent="0.25">
      <c r="A217" s="76">
        <v>5219</v>
      </c>
      <c r="B217" s="127" t="s">
        <v>233</v>
      </c>
      <c r="C217" s="279">
        <f t="shared" si="13"/>
        <v>0</v>
      </c>
      <c r="D217" s="134"/>
      <c r="E217" s="285"/>
      <c r="F217" s="136">
        <f t="shared" si="14"/>
        <v>0</v>
      </c>
      <c r="G217" s="134"/>
      <c r="H217" s="135"/>
      <c r="I217" s="136">
        <f t="shared" si="15"/>
        <v>0</v>
      </c>
      <c r="J217" s="134"/>
      <c r="K217" s="135"/>
      <c r="L217" s="136">
        <f t="shared" si="16"/>
        <v>0</v>
      </c>
      <c r="M217" s="284"/>
      <c r="N217" s="285"/>
      <c r="O217" s="136">
        <f t="shared" si="17"/>
        <v>0</v>
      </c>
      <c r="P217" s="85"/>
      <c r="R217" s="1001"/>
      <c r="S217" s="1001"/>
      <c r="T217" s="1001"/>
    </row>
    <row r="218" spans="1:20" hidden="1" x14ac:dyDescent="0.25">
      <c r="A218" s="276">
        <v>5220</v>
      </c>
      <c r="B218" s="127" t="s">
        <v>234</v>
      </c>
      <c r="C218" s="279">
        <f t="shared" si="13"/>
        <v>0</v>
      </c>
      <c r="D218" s="134"/>
      <c r="E218" s="285"/>
      <c r="F218" s="136">
        <f t="shared" si="14"/>
        <v>0</v>
      </c>
      <c r="G218" s="134"/>
      <c r="H218" s="135"/>
      <c r="I218" s="136">
        <f t="shared" si="15"/>
        <v>0</v>
      </c>
      <c r="J218" s="134"/>
      <c r="K218" s="135"/>
      <c r="L218" s="136">
        <f t="shared" si="16"/>
        <v>0</v>
      </c>
      <c r="M218" s="284"/>
      <c r="N218" s="285"/>
      <c r="O218" s="136">
        <f t="shared" si="17"/>
        <v>0</v>
      </c>
      <c r="P218" s="85"/>
      <c r="R218" s="1001"/>
      <c r="S218" s="1001"/>
      <c r="T218" s="1001"/>
    </row>
    <row r="219" spans="1:20" x14ac:dyDescent="0.25">
      <c r="A219" s="276">
        <v>5230</v>
      </c>
      <c r="B219" s="127" t="s">
        <v>235</v>
      </c>
      <c r="C219" s="279">
        <f t="shared" si="13"/>
        <v>5075</v>
      </c>
      <c r="D219" s="277">
        <f>SUM(D220:D227)</f>
        <v>4575</v>
      </c>
      <c r="E219" s="278">
        <f>SUM(E220:E227)</f>
        <v>0</v>
      </c>
      <c r="F219" s="279">
        <f t="shared" si="14"/>
        <v>4575</v>
      </c>
      <c r="G219" s="277">
        <f>SUM(G220:G227)</f>
        <v>500</v>
      </c>
      <c r="H219" s="280">
        <f>SUM(H220:H227)</f>
        <v>0</v>
      </c>
      <c r="I219" s="136">
        <f t="shared" si="15"/>
        <v>500</v>
      </c>
      <c r="J219" s="277">
        <f>SUM(J220:J227)</f>
        <v>0</v>
      </c>
      <c r="K219" s="280">
        <f>SUM(K220:K227)</f>
        <v>0</v>
      </c>
      <c r="L219" s="136">
        <f t="shared" si="16"/>
        <v>0</v>
      </c>
      <c r="M219" s="281">
        <f>SUM(M220:M227)</f>
        <v>0</v>
      </c>
      <c r="N219" s="282">
        <f>SUM(N220:N227)</f>
        <v>0</v>
      </c>
      <c r="O219" s="136">
        <f t="shared" si="17"/>
        <v>0</v>
      </c>
      <c r="P219" s="85"/>
      <c r="R219" s="1001"/>
      <c r="S219" s="1001"/>
      <c r="T219" s="1001"/>
    </row>
    <row r="220" spans="1:20" hidden="1" x14ac:dyDescent="0.25">
      <c r="A220" s="76">
        <v>5231</v>
      </c>
      <c r="B220" s="127" t="s">
        <v>236</v>
      </c>
      <c r="C220" s="279">
        <f t="shared" si="13"/>
        <v>0</v>
      </c>
      <c r="D220" s="134"/>
      <c r="E220" s="285"/>
      <c r="F220" s="136">
        <f t="shared" si="14"/>
        <v>0</v>
      </c>
      <c r="G220" s="134"/>
      <c r="H220" s="135"/>
      <c r="I220" s="136">
        <f t="shared" si="15"/>
        <v>0</v>
      </c>
      <c r="J220" s="134"/>
      <c r="K220" s="135"/>
      <c r="L220" s="136">
        <f t="shared" si="16"/>
        <v>0</v>
      </c>
      <c r="M220" s="284"/>
      <c r="N220" s="285"/>
      <c r="O220" s="136">
        <f t="shared" si="17"/>
        <v>0</v>
      </c>
      <c r="P220" s="85"/>
      <c r="R220" s="1001"/>
      <c r="S220" s="1001"/>
      <c r="T220" s="1001"/>
    </row>
    <row r="221" spans="1:20" x14ac:dyDescent="0.25">
      <c r="A221" s="76">
        <v>5232</v>
      </c>
      <c r="B221" s="127" t="s">
        <v>237</v>
      </c>
      <c r="C221" s="279">
        <f t="shared" si="13"/>
        <v>2815</v>
      </c>
      <c r="D221" s="134">
        <v>2815</v>
      </c>
      <c r="E221" s="283"/>
      <c r="F221" s="279">
        <f t="shared" si="14"/>
        <v>2815</v>
      </c>
      <c r="G221" s="134"/>
      <c r="H221" s="135"/>
      <c r="I221" s="136">
        <f t="shared" si="15"/>
        <v>0</v>
      </c>
      <c r="J221" s="134"/>
      <c r="K221" s="135"/>
      <c r="L221" s="136">
        <f t="shared" si="16"/>
        <v>0</v>
      </c>
      <c r="M221" s="284"/>
      <c r="N221" s="285"/>
      <c r="O221" s="136">
        <f t="shared" si="17"/>
        <v>0</v>
      </c>
      <c r="P221" s="85"/>
      <c r="R221" s="1001"/>
      <c r="S221" s="1001"/>
      <c r="T221" s="1001"/>
    </row>
    <row r="222" spans="1:20" x14ac:dyDescent="0.25">
      <c r="A222" s="76">
        <v>5233</v>
      </c>
      <c r="B222" s="127" t="s">
        <v>238</v>
      </c>
      <c r="C222" s="279">
        <f t="shared" si="13"/>
        <v>2260</v>
      </c>
      <c r="D222" s="134">
        <v>1760</v>
      </c>
      <c r="E222" s="283"/>
      <c r="F222" s="279">
        <f t="shared" si="14"/>
        <v>1760</v>
      </c>
      <c r="G222" s="134">
        <v>500</v>
      </c>
      <c r="H222" s="135"/>
      <c r="I222" s="136">
        <f t="shared" si="15"/>
        <v>500</v>
      </c>
      <c r="J222" s="134"/>
      <c r="K222" s="135"/>
      <c r="L222" s="136">
        <f t="shared" si="16"/>
        <v>0</v>
      </c>
      <c r="M222" s="284"/>
      <c r="N222" s="285"/>
      <c r="O222" s="136">
        <f t="shared" si="17"/>
        <v>0</v>
      </c>
      <c r="P222" s="85"/>
      <c r="R222" s="1001"/>
      <c r="S222" s="1001"/>
      <c r="T222" s="1001"/>
    </row>
    <row r="223" spans="1:20" hidden="1" x14ac:dyDescent="0.25">
      <c r="A223" s="76">
        <v>5234</v>
      </c>
      <c r="B223" s="127" t="s">
        <v>239</v>
      </c>
      <c r="C223" s="279">
        <f t="shared" si="13"/>
        <v>0</v>
      </c>
      <c r="D223" s="134"/>
      <c r="E223" s="285"/>
      <c r="F223" s="136">
        <f t="shared" si="14"/>
        <v>0</v>
      </c>
      <c r="G223" s="134"/>
      <c r="H223" s="135"/>
      <c r="I223" s="136">
        <f t="shared" si="15"/>
        <v>0</v>
      </c>
      <c r="J223" s="134"/>
      <c r="K223" s="135"/>
      <c r="L223" s="136">
        <f t="shared" si="16"/>
        <v>0</v>
      </c>
      <c r="M223" s="284"/>
      <c r="N223" s="285"/>
      <c r="O223" s="136">
        <f t="shared" si="17"/>
        <v>0</v>
      </c>
      <c r="P223" s="85"/>
      <c r="R223" s="1001"/>
      <c r="S223" s="1001"/>
      <c r="T223" s="1001"/>
    </row>
    <row r="224" spans="1:20" hidden="1" x14ac:dyDescent="0.25">
      <c r="A224" s="76">
        <v>5236</v>
      </c>
      <c r="B224" s="127" t="s">
        <v>240</v>
      </c>
      <c r="C224" s="279">
        <f t="shared" si="13"/>
        <v>0</v>
      </c>
      <c r="D224" s="134"/>
      <c r="E224" s="285"/>
      <c r="F224" s="136">
        <f t="shared" si="14"/>
        <v>0</v>
      </c>
      <c r="G224" s="134"/>
      <c r="H224" s="135"/>
      <c r="I224" s="136">
        <f t="shared" si="15"/>
        <v>0</v>
      </c>
      <c r="J224" s="134"/>
      <c r="K224" s="135"/>
      <c r="L224" s="136">
        <f t="shared" si="16"/>
        <v>0</v>
      </c>
      <c r="M224" s="284"/>
      <c r="N224" s="285"/>
      <c r="O224" s="136">
        <f t="shared" si="17"/>
        <v>0</v>
      </c>
      <c r="P224" s="85"/>
      <c r="R224" s="1001"/>
      <c r="S224" s="1001"/>
      <c r="T224" s="1001"/>
    </row>
    <row r="225" spans="1:20" hidden="1" x14ac:dyDescent="0.25">
      <c r="A225" s="76">
        <v>5237</v>
      </c>
      <c r="B225" s="127" t="s">
        <v>241</v>
      </c>
      <c r="C225" s="279">
        <f t="shared" si="13"/>
        <v>0</v>
      </c>
      <c r="D225" s="134"/>
      <c r="E225" s="285"/>
      <c r="F225" s="136">
        <f t="shared" si="14"/>
        <v>0</v>
      </c>
      <c r="G225" s="134"/>
      <c r="H225" s="135"/>
      <c r="I225" s="136">
        <f t="shared" si="15"/>
        <v>0</v>
      </c>
      <c r="J225" s="134"/>
      <c r="K225" s="135"/>
      <c r="L225" s="136">
        <f t="shared" si="16"/>
        <v>0</v>
      </c>
      <c r="M225" s="284"/>
      <c r="N225" s="285"/>
      <c r="O225" s="136">
        <f t="shared" si="17"/>
        <v>0</v>
      </c>
      <c r="P225" s="85"/>
      <c r="R225" s="1001"/>
      <c r="S225" s="1001"/>
      <c r="T225" s="1001"/>
    </row>
    <row r="226" spans="1:20" hidden="1" x14ac:dyDescent="0.25">
      <c r="A226" s="76">
        <v>5238</v>
      </c>
      <c r="B226" s="127" t="s">
        <v>242</v>
      </c>
      <c r="C226" s="279">
        <f t="shared" si="13"/>
        <v>0</v>
      </c>
      <c r="D226" s="134"/>
      <c r="E226" s="285"/>
      <c r="F226" s="136">
        <f t="shared" si="14"/>
        <v>0</v>
      </c>
      <c r="G226" s="134"/>
      <c r="H226" s="135"/>
      <c r="I226" s="136">
        <f t="shared" si="15"/>
        <v>0</v>
      </c>
      <c r="J226" s="134"/>
      <c r="K226" s="135"/>
      <c r="L226" s="136">
        <f t="shared" si="16"/>
        <v>0</v>
      </c>
      <c r="M226" s="284"/>
      <c r="N226" s="285"/>
      <c r="O226" s="136">
        <f t="shared" si="17"/>
        <v>0</v>
      </c>
      <c r="P226" s="85"/>
      <c r="R226" s="1001"/>
      <c r="S226" s="1001"/>
      <c r="T226" s="1001"/>
    </row>
    <row r="227" spans="1:20" hidden="1" x14ac:dyDescent="0.25">
      <c r="A227" s="76">
        <v>5239</v>
      </c>
      <c r="B227" s="127" t="s">
        <v>243</v>
      </c>
      <c r="C227" s="279">
        <f t="shared" si="13"/>
        <v>0</v>
      </c>
      <c r="D227" s="134"/>
      <c r="E227" s="285"/>
      <c r="F227" s="136">
        <f t="shared" si="14"/>
        <v>0</v>
      </c>
      <c r="G227" s="134"/>
      <c r="H227" s="135"/>
      <c r="I227" s="136">
        <f t="shared" si="15"/>
        <v>0</v>
      </c>
      <c r="J227" s="134"/>
      <c r="K227" s="135"/>
      <c r="L227" s="136">
        <f t="shared" si="16"/>
        <v>0</v>
      </c>
      <c r="M227" s="284"/>
      <c r="N227" s="285"/>
      <c r="O227" s="136">
        <f t="shared" si="17"/>
        <v>0</v>
      </c>
      <c r="P227" s="85"/>
      <c r="R227" s="1001"/>
      <c r="S227" s="1001"/>
      <c r="T227" s="1001"/>
    </row>
    <row r="228" spans="1:20" ht="24" hidden="1" x14ac:dyDescent="0.25">
      <c r="A228" s="276">
        <v>5240</v>
      </c>
      <c r="B228" s="127" t="s">
        <v>244</v>
      </c>
      <c r="C228" s="279">
        <f t="shared" si="13"/>
        <v>0</v>
      </c>
      <c r="D228" s="134"/>
      <c r="E228" s="285"/>
      <c r="F228" s="136">
        <f t="shared" si="14"/>
        <v>0</v>
      </c>
      <c r="G228" s="134"/>
      <c r="H228" s="135"/>
      <c r="I228" s="136">
        <f t="shared" si="15"/>
        <v>0</v>
      </c>
      <c r="J228" s="134"/>
      <c r="K228" s="135"/>
      <c r="L228" s="136">
        <f t="shared" si="16"/>
        <v>0</v>
      </c>
      <c r="M228" s="284"/>
      <c r="N228" s="285"/>
      <c r="O228" s="136">
        <f t="shared" si="17"/>
        <v>0</v>
      </c>
      <c r="P228" s="85"/>
      <c r="R228" s="1001"/>
      <c r="S228" s="1001"/>
      <c r="T228" s="1001"/>
    </row>
    <row r="229" spans="1:20" hidden="1" x14ac:dyDescent="0.25">
      <c r="A229" s="276">
        <v>5250</v>
      </c>
      <c r="B229" s="127" t="s">
        <v>245</v>
      </c>
      <c r="C229" s="279">
        <f t="shared" si="13"/>
        <v>0</v>
      </c>
      <c r="D229" s="134"/>
      <c r="E229" s="285"/>
      <c r="F229" s="136">
        <f t="shared" si="14"/>
        <v>0</v>
      </c>
      <c r="G229" s="134"/>
      <c r="H229" s="135"/>
      <c r="I229" s="136">
        <f t="shared" si="15"/>
        <v>0</v>
      </c>
      <c r="J229" s="134"/>
      <c r="K229" s="135"/>
      <c r="L229" s="136">
        <f t="shared" si="16"/>
        <v>0</v>
      </c>
      <c r="M229" s="284"/>
      <c r="N229" s="285"/>
      <c r="O229" s="136">
        <f t="shared" si="17"/>
        <v>0</v>
      </c>
      <c r="P229" s="85"/>
      <c r="R229" s="1001"/>
      <c r="S229" s="1001"/>
      <c r="T229" s="1001"/>
    </row>
    <row r="230" spans="1:20" hidden="1" x14ac:dyDescent="0.25">
      <c r="A230" s="276">
        <v>5260</v>
      </c>
      <c r="B230" s="127" t="s">
        <v>246</v>
      </c>
      <c r="C230" s="279">
        <f t="shared" si="13"/>
        <v>0</v>
      </c>
      <c r="D230" s="277">
        <f>SUM(D231)</f>
        <v>0</v>
      </c>
      <c r="E230" s="282">
        <f>SUM(E231)</f>
        <v>0</v>
      </c>
      <c r="F230" s="136">
        <f t="shared" si="14"/>
        <v>0</v>
      </c>
      <c r="G230" s="277">
        <f>SUM(G231)</f>
        <v>0</v>
      </c>
      <c r="H230" s="280">
        <f>SUM(H231)</f>
        <v>0</v>
      </c>
      <c r="I230" s="136">
        <f t="shared" si="15"/>
        <v>0</v>
      </c>
      <c r="J230" s="277">
        <f>SUM(J231)</f>
        <v>0</v>
      </c>
      <c r="K230" s="280">
        <f>SUM(K231)</f>
        <v>0</v>
      </c>
      <c r="L230" s="136">
        <f t="shared" si="16"/>
        <v>0</v>
      </c>
      <c r="M230" s="281">
        <f>SUM(M231)</f>
        <v>0</v>
      </c>
      <c r="N230" s="282">
        <f>SUM(N231)</f>
        <v>0</v>
      </c>
      <c r="O230" s="136">
        <f t="shared" si="17"/>
        <v>0</v>
      </c>
      <c r="P230" s="85"/>
      <c r="R230" s="1001"/>
      <c r="S230" s="1001"/>
      <c r="T230" s="1001"/>
    </row>
    <row r="231" spans="1:20" hidden="1" x14ac:dyDescent="0.25">
      <c r="A231" s="76">
        <v>5269</v>
      </c>
      <c r="B231" s="127" t="s">
        <v>247</v>
      </c>
      <c r="C231" s="279">
        <f t="shared" si="13"/>
        <v>0</v>
      </c>
      <c r="D231" s="134"/>
      <c r="E231" s="285"/>
      <c r="F231" s="136">
        <f t="shared" si="14"/>
        <v>0</v>
      </c>
      <c r="G231" s="134"/>
      <c r="H231" s="135"/>
      <c r="I231" s="136">
        <f t="shared" si="15"/>
        <v>0</v>
      </c>
      <c r="J231" s="134"/>
      <c r="K231" s="135"/>
      <c r="L231" s="136">
        <f t="shared" si="16"/>
        <v>0</v>
      </c>
      <c r="M231" s="284"/>
      <c r="N231" s="285"/>
      <c r="O231" s="136">
        <f t="shared" si="17"/>
        <v>0</v>
      </c>
      <c r="P231" s="85"/>
      <c r="R231" s="1001"/>
      <c r="S231" s="1001"/>
      <c r="T231" s="1001"/>
    </row>
    <row r="232" spans="1:20" ht="24" hidden="1" x14ac:dyDescent="0.25">
      <c r="A232" s="254">
        <v>5270</v>
      </c>
      <c r="B232" s="179" t="s">
        <v>248</v>
      </c>
      <c r="C232" s="302">
        <f t="shared" si="13"/>
        <v>0</v>
      </c>
      <c r="D232" s="287"/>
      <c r="E232" s="291"/>
      <c r="F232" s="259">
        <f t="shared" si="14"/>
        <v>0</v>
      </c>
      <c r="G232" s="287"/>
      <c r="H232" s="289"/>
      <c r="I232" s="259">
        <f t="shared" si="15"/>
        <v>0</v>
      </c>
      <c r="J232" s="287"/>
      <c r="K232" s="289"/>
      <c r="L232" s="259">
        <f t="shared" si="16"/>
        <v>0</v>
      </c>
      <c r="M232" s="290"/>
      <c r="N232" s="291"/>
      <c r="O232" s="259">
        <f t="shared" si="17"/>
        <v>0</v>
      </c>
      <c r="P232" s="189"/>
      <c r="R232" s="1001"/>
      <c r="S232" s="1001"/>
      <c r="T232" s="1001"/>
    </row>
    <row r="233" spans="1:20" hidden="1" x14ac:dyDescent="0.25">
      <c r="A233" s="237">
        <v>6000</v>
      </c>
      <c r="B233" s="237" t="s">
        <v>249</v>
      </c>
      <c r="C233" s="238">
        <f t="shared" si="13"/>
        <v>0</v>
      </c>
      <c r="D233" s="239">
        <f>D234+D254+D261</f>
        <v>0</v>
      </c>
      <c r="E233" s="245">
        <f>E234+E254+E261</f>
        <v>0</v>
      </c>
      <c r="F233" s="243">
        <f t="shared" si="14"/>
        <v>0</v>
      </c>
      <c r="G233" s="239">
        <f>G234+G254+G261</f>
        <v>0</v>
      </c>
      <c r="H233" s="242">
        <f>H234+H254+H261</f>
        <v>0</v>
      </c>
      <c r="I233" s="243">
        <f t="shared" si="15"/>
        <v>0</v>
      </c>
      <c r="J233" s="239">
        <f>J234+J254+J261</f>
        <v>0</v>
      </c>
      <c r="K233" s="242">
        <f>K234+K254+K261</f>
        <v>0</v>
      </c>
      <c r="L233" s="243">
        <f t="shared" si="16"/>
        <v>0</v>
      </c>
      <c r="M233" s="244">
        <f>M234+M254+M261</f>
        <v>0</v>
      </c>
      <c r="N233" s="245">
        <f>N234+N254+N261</f>
        <v>0</v>
      </c>
      <c r="O233" s="243">
        <f t="shared" si="17"/>
        <v>0</v>
      </c>
      <c r="P233" s="246"/>
      <c r="R233" s="1001"/>
      <c r="S233" s="1001"/>
      <c r="T233" s="1001"/>
    </row>
    <row r="234" spans="1:20" hidden="1" x14ac:dyDescent="0.25">
      <c r="A234" s="160">
        <v>6200</v>
      </c>
      <c r="B234" s="321" t="s">
        <v>250</v>
      </c>
      <c r="C234" s="333">
        <f t="shared" si="13"/>
        <v>0</v>
      </c>
      <c r="D234" s="334">
        <f>SUM(D235,D236,D238,D241,D247,D248,D249)</f>
        <v>0</v>
      </c>
      <c r="E234" s="251">
        <f>SUM(E235,E236,E238,E241,E247,E248,E249)</f>
        <v>0</v>
      </c>
      <c r="F234" s="252">
        <f t="shared" si="14"/>
        <v>0</v>
      </c>
      <c r="G234" s="334">
        <f>SUM(G235,G236,G238,G241,G247,G248,G249)</f>
        <v>0</v>
      </c>
      <c r="H234" s="336">
        <f>SUM(H235,H236,H238,H241,H247,H248,H249)</f>
        <v>0</v>
      </c>
      <c r="I234" s="252">
        <f t="shared" si="15"/>
        <v>0</v>
      </c>
      <c r="J234" s="334">
        <f>SUM(J235,J236,J238,J241,J247,J248,J249)</f>
        <v>0</v>
      </c>
      <c r="K234" s="336">
        <f>SUM(K235,K236,K238,K241,K247,K248,K249)</f>
        <v>0</v>
      </c>
      <c r="L234" s="252">
        <f t="shared" si="16"/>
        <v>0</v>
      </c>
      <c r="M234" s="250">
        <f>SUM(M235,M236,M238,M241,M247,M248,M249)</f>
        <v>0</v>
      </c>
      <c r="N234" s="251">
        <f>SUM(N235,N236,N238,N241,N247,N248,N249)</f>
        <v>0</v>
      </c>
      <c r="O234" s="252">
        <f t="shared" si="17"/>
        <v>0</v>
      </c>
      <c r="P234" s="253"/>
      <c r="R234" s="1001"/>
      <c r="S234" s="1001"/>
      <c r="T234" s="1001"/>
    </row>
    <row r="235" spans="1:20" ht="24" hidden="1" x14ac:dyDescent="0.25">
      <c r="A235" s="656">
        <v>6220</v>
      </c>
      <c r="B235" s="116" t="s">
        <v>251</v>
      </c>
      <c r="C235" s="298">
        <f t="shared" si="13"/>
        <v>0</v>
      </c>
      <c r="D235" s="123"/>
      <c r="E235" s="262"/>
      <c r="F235" s="125">
        <f t="shared" si="14"/>
        <v>0</v>
      </c>
      <c r="G235" s="123"/>
      <c r="H235" s="124"/>
      <c r="I235" s="125">
        <f t="shared" si="15"/>
        <v>0</v>
      </c>
      <c r="J235" s="123"/>
      <c r="K235" s="124"/>
      <c r="L235" s="125">
        <f t="shared" si="16"/>
        <v>0</v>
      </c>
      <c r="M235" s="264"/>
      <c r="N235" s="262"/>
      <c r="O235" s="125">
        <f t="shared" si="17"/>
        <v>0</v>
      </c>
      <c r="P235" s="74"/>
      <c r="R235" s="1001"/>
      <c r="S235" s="1001"/>
      <c r="T235" s="1001"/>
    </row>
    <row r="236" spans="1:20" hidden="1" x14ac:dyDescent="0.25">
      <c r="A236" s="276">
        <v>6230</v>
      </c>
      <c r="B236" s="127" t="s">
        <v>252</v>
      </c>
      <c r="C236" s="278">
        <f t="shared" si="13"/>
        <v>0</v>
      </c>
      <c r="D236" s="277">
        <f>SUM(D237)</f>
        <v>0</v>
      </c>
      <c r="E236" s="282">
        <f>SUM(E237)</f>
        <v>0</v>
      </c>
      <c r="F236" s="136">
        <f t="shared" si="14"/>
        <v>0</v>
      </c>
      <c r="G236" s="277">
        <f>SUM(G237)</f>
        <v>0</v>
      </c>
      <c r="H236" s="280">
        <f>SUM(H237)</f>
        <v>0</v>
      </c>
      <c r="I236" s="136">
        <f t="shared" si="15"/>
        <v>0</v>
      </c>
      <c r="J236" s="277">
        <f>SUM(J237)</f>
        <v>0</v>
      </c>
      <c r="K236" s="280">
        <f>SUM(K237)</f>
        <v>0</v>
      </c>
      <c r="L236" s="136">
        <f t="shared" si="16"/>
        <v>0</v>
      </c>
      <c r="M236" s="277">
        <f>SUM(M237)</f>
        <v>0</v>
      </c>
      <c r="N236" s="280">
        <f>SUM(N237)</f>
        <v>0</v>
      </c>
      <c r="O236" s="136">
        <f t="shared" si="17"/>
        <v>0</v>
      </c>
      <c r="P236" s="85"/>
      <c r="R236" s="1001"/>
      <c r="S236" s="1001"/>
      <c r="T236" s="1001"/>
    </row>
    <row r="237" spans="1:20" hidden="1" x14ac:dyDescent="0.25">
      <c r="A237" s="76">
        <v>6239</v>
      </c>
      <c r="B237" s="116" t="s">
        <v>253</v>
      </c>
      <c r="C237" s="278">
        <f t="shared" si="13"/>
        <v>0</v>
      </c>
      <c r="D237" s="134"/>
      <c r="E237" s="285"/>
      <c r="F237" s="136">
        <f t="shared" si="14"/>
        <v>0</v>
      </c>
      <c r="G237" s="134"/>
      <c r="H237" s="135"/>
      <c r="I237" s="136">
        <f t="shared" si="15"/>
        <v>0</v>
      </c>
      <c r="J237" s="134"/>
      <c r="K237" s="135"/>
      <c r="L237" s="136">
        <f t="shared" si="16"/>
        <v>0</v>
      </c>
      <c r="M237" s="284"/>
      <c r="N237" s="285"/>
      <c r="O237" s="136">
        <f t="shared" si="17"/>
        <v>0</v>
      </c>
      <c r="P237" s="85"/>
      <c r="R237" s="1001"/>
      <c r="S237" s="1001"/>
      <c r="T237" s="1001"/>
    </row>
    <row r="238" spans="1:20" ht="24" hidden="1" x14ac:dyDescent="0.25">
      <c r="A238" s="276">
        <v>6240</v>
      </c>
      <c r="B238" s="127" t="s">
        <v>254</v>
      </c>
      <c r="C238" s="278">
        <f t="shared" si="13"/>
        <v>0</v>
      </c>
      <c r="D238" s="277">
        <f>SUM(D239:D240)</f>
        <v>0</v>
      </c>
      <c r="E238" s="282">
        <f>SUM(E239:E240)</f>
        <v>0</v>
      </c>
      <c r="F238" s="136">
        <f t="shared" si="14"/>
        <v>0</v>
      </c>
      <c r="G238" s="277">
        <f>SUM(G239:G240)</f>
        <v>0</v>
      </c>
      <c r="H238" s="280">
        <f>SUM(H239:H240)</f>
        <v>0</v>
      </c>
      <c r="I238" s="136">
        <f t="shared" si="15"/>
        <v>0</v>
      </c>
      <c r="J238" s="277">
        <f>SUM(J239:J240)</f>
        <v>0</v>
      </c>
      <c r="K238" s="280">
        <f>SUM(K239:K240)</f>
        <v>0</v>
      </c>
      <c r="L238" s="136">
        <f t="shared" si="16"/>
        <v>0</v>
      </c>
      <c r="M238" s="281">
        <f>SUM(M239:M240)</f>
        <v>0</v>
      </c>
      <c r="N238" s="282">
        <f>SUM(N239:N240)</f>
        <v>0</v>
      </c>
      <c r="O238" s="136">
        <f t="shared" si="17"/>
        <v>0</v>
      </c>
      <c r="P238" s="85"/>
      <c r="R238" s="1001"/>
      <c r="S238" s="1001"/>
      <c r="T238" s="1001"/>
    </row>
    <row r="239" spans="1:20" hidden="1" x14ac:dyDescent="0.25">
      <c r="A239" s="76">
        <v>6241</v>
      </c>
      <c r="B239" s="127" t="s">
        <v>255</v>
      </c>
      <c r="C239" s="278">
        <f t="shared" si="13"/>
        <v>0</v>
      </c>
      <c r="D239" s="134"/>
      <c r="E239" s="285"/>
      <c r="F239" s="136">
        <f t="shared" si="14"/>
        <v>0</v>
      </c>
      <c r="G239" s="134"/>
      <c r="H239" s="135"/>
      <c r="I239" s="136">
        <f t="shared" si="15"/>
        <v>0</v>
      </c>
      <c r="J239" s="134"/>
      <c r="K239" s="135"/>
      <c r="L239" s="136">
        <f t="shared" si="16"/>
        <v>0</v>
      </c>
      <c r="M239" s="284"/>
      <c r="N239" s="285"/>
      <c r="O239" s="136">
        <f t="shared" si="17"/>
        <v>0</v>
      </c>
      <c r="P239" s="85"/>
      <c r="R239" s="1001"/>
      <c r="S239" s="1001"/>
      <c r="T239" s="1001"/>
    </row>
    <row r="240" spans="1:20" hidden="1" x14ac:dyDescent="0.25">
      <c r="A240" s="76">
        <v>6242</v>
      </c>
      <c r="B240" s="127" t="s">
        <v>256</v>
      </c>
      <c r="C240" s="278">
        <f t="shared" si="13"/>
        <v>0</v>
      </c>
      <c r="D240" s="134"/>
      <c r="E240" s="285"/>
      <c r="F240" s="136">
        <f t="shared" si="14"/>
        <v>0</v>
      </c>
      <c r="G240" s="134"/>
      <c r="H240" s="135"/>
      <c r="I240" s="136">
        <f t="shared" si="15"/>
        <v>0</v>
      </c>
      <c r="J240" s="134"/>
      <c r="K240" s="135"/>
      <c r="L240" s="136">
        <f t="shared" si="16"/>
        <v>0</v>
      </c>
      <c r="M240" s="284"/>
      <c r="N240" s="285"/>
      <c r="O240" s="136">
        <f t="shared" si="17"/>
        <v>0</v>
      </c>
      <c r="P240" s="85"/>
      <c r="R240" s="1001"/>
      <c r="S240" s="1001"/>
      <c r="T240" s="1001"/>
    </row>
    <row r="241" spans="1:20" ht="24" hidden="1" x14ac:dyDescent="0.25">
      <c r="A241" s="276">
        <v>6250</v>
      </c>
      <c r="B241" s="127" t="s">
        <v>257</v>
      </c>
      <c r="C241" s="278">
        <f t="shared" si="13"/>
        <v>0</v>
      </c>
      <c r="D241" s="277">
        <f>SUM(D242:D246)</f>
        <v>0</v>
      </c>
      <c r="E241" s="282">
        <f>SUM(E242:E246)</f>
        <v>0</v>
      </c>
      <c r="F241" s="136">
        <f t="shared" si="14"/>
        <v>0</v>
      </c>
      <c r="G241" s="277">
        <f>SUM(G242:G246)</f>
        <v>0</v>
      </c>
      <c r="H241" s="280">
        <f>SUM(H242:H246)</f>
        <v>0</v>
      </c>
      <c r="I241" s="136">
        <f t="shared" si="15"/>
        <v>0</v>
      </c>
      <c r="J241" s="277">
        <f>SUM(J242:J246)</f>
        <v>0</v>
      </c>
      <c r="K241" s="280">
        <f>SUM(K242:K246)</f>
        <v>0</v>
      </c>
      <c r="L241" s="136">
        <f t="shared" si="16"/>
        <v>0</v>
      </c>
      <c r="M241" s="281">
        <f>SUM(M242:M246)</f>
        <v>0</v>
      </c>
      <c r="N241" s="282">
        <f>SUM(N242:N246)</f>
        <v>0</v>
      </c>
      <c r="O241" s="136">
        <f t="shared" si="17"/>
        <v>0</v>
      </c>
      <c r="P241" s="85"/>
      <c r="R241" s="1001"/>
      <c r="S241" s="1001"/>
      <c r="T241" s="1001"/>
    </row>
    <row r="242" spans="1:20" hidden="1" x14ac:dyDescent="0.25">
      <c r="A242" s="76">
        <v>6252</v>
      </c>
      <c r="B242" s="127" t="s">
        <v>258</v>
      </c>
      <c r="C242" s="278">
        <f t="shared" si="13"/>
        <v>0</v>
      </c>
      <c r="D242" s="134"/>
      <c r="E242" s="285"/>
      <c r="F242" s="136">
        <f t="shared" si="14"/>
        <v>0</v>
      </c>
      <c r="G242" s="134"/>
      <c r="H242" s="135"/>
      <c r="I242" s="136">
        <f t="shared" si="15"/>
        <v>0</v>
      </c>
      <c r="J242" s="134"/>
      <c r="K242" s="135"/>
      <c r="L242" s="136">
        <f t="shared" si="16"/>
        <v>0</v>
      </c>
      <c r="M242" s="284"/>
      <c r="N242" s="285"/>
      <c r="O242" s="136">
        <f t="shared" si="17"/>
        <v>0</v>
      </c>
      <c r="P242" s="85"/>
      <c r="R242" s="1001"/>
      <c r="S242" s="1001"/>
      <c r="T242" s="1001"/>
    </row>
    <row r="243" spans="1:20" hidden="1" x14ac:dyDescent="0.25">
      <c r="A243" s="76">
        <v>6253</v>
      </c>
      <c r="B243" s="127" t="s">
        <v>259</v>
      </c>
      <c r="C243" s="278">
        <f t="shared" si="13"/>
        <v>0</v>
      </c>
      <c r="D243" s="134"/>
      <c r="E243" s="285"/>
      <c r="F243" s="136">
        <f t="shared" si="14"/>
        <v>0</v>
      </c>
      <c r="G243" s="134"/>
      <c r="H243" s="135"/>
      <c r="I243" s="136">
        <f t="shared" si="15"/>
        <v>0</v>
      </c>
      <c r="J243" s="134"/>
      <c r="K243" s="135"/>
      <c r="L243" s="136">
        <f t="shared" si="16"/>
        <v>0</v>
      </c>
      <c r="M243" s="284"/>
      <c r="N243" s="285"/>
      <c r="O243" s="136">
        <f t="shared" si="17"/>
        <v>0</v>
      </c>
      <c r="P243" s="85"/>
      <c r="R243" s="1001"/>
      <c r="S243" s="1001"/>
      <c r="T243" s="1001"/>
    </row>
    <row r="244" spans="1:20" ht="24" hidden="1" x14ac:dyDescent="0.25">
      <c r="A244" s="76">
        <v>6254</v>
      </c>
      <c r="B244" s="127" t="s">
        <v>260</v>
      </c>
      <c r="C244" s="278">
        <f t="shared" si="13"/>
        <v>0</v>
      </c>
      <c r="D244" s="134"/>
      <c r="E244" s="285"/>
      <c r="F244" s="136">
        <f t="shared" si="14"/>
        <v>0</v>
      </c>
      <c r="G244" s="134"/>
      <c r="H244" s="135"/>
      <c r="I244" s="136">
        <f t="shared" si="15"/>
        <v>0</v>
      </c>
      <c r="J244" s="134"/>
      <c r="K244" s="135"/>
      <c r="L244" s="136">
        <f t="shared" si="16"/>
        <v>0</v>
      </c>
      <c r="M244" s="284"/>
      <c r="N244" s="285"/>
      <c r="O244" s="136">
        <f t="shared" si="17"/>
        <v>0</v>
      </c>
      <c r="P244" s="85"/>
      <c r="R244" s="1001"/>
      <c r="S244" s="1001"/>
      <c r="T244" s="1001"/>
    </row>
    <row r="245" spans="1:20" ht="24" hidden="1" x14ac:dyDescent="0.25">
      <c r="A245" s="76">
        <v>6255</v>
      </c>
      <c r="B245" s="127" t="s">
        <v>261</v>
      </c>
      <c r="C245" s="278">
        <f t="shared" ref="C245:C299" si="18">SUM(F245,I245,L245,O245)</f>
        <v>0</v>
      </c>
      <c r="D245" s="134"/>
      <c r="E245" s="285"/>
      <c r="F245" s="136">
        <f t="shared" ref="F245:F299" si="19">D245+E245</f>
        <v>0</v>
      </c>
      <c r="G245" s="134"/>
      <c r="H245" s="135"/>
      <c r="I245" s="136">
        <f t="shared" ref="I245:I299" si="20">G245+H245</f>
        <v>0</v>
      </c>
      <c r="J245" s="134"/>
      <c r="K245" s="135"/>
      <c r="L245" s="136">
        <f t="shared" ref="L245:L299" si="21">J245+K245</f>
        <v>0</v>
      </c>
      <c r="M245" s="284"/>
      <c r="N245" s="285"/>
      <c r="O245" s="136">
        <f t="shared" ref="O245:O277" si="22">M245+N245</f>
        <v>0</v>
      </c>
      <c r="P245" s="85"/>
      <c r="R245" s="1001"/>
      <c r="S245" s="1001"/>
      <c r="T245" s="1001"/>
    </row>
    <row r="246" spans="1:20" hidden="1" x14ac:dyDescent="0.25">
      <c r="A246" s="76">
        <v>6259</v>
      </c>
      <c r="B246" s="127" t="s">
        <v>262</v>
      </c>
      <c r="C246" s="278">
        <f t="shared" si="18"/>
        <v>0</v>
      </c>
      <c r="D246" s="134"/>
      <c r="E246" s="285"/>
      <c r="F246" s="136">
        <f t="shared" si="19"/>
        <v>0</v>
      </c>
      <c r="G246" s="134"/>
      <c r="H246" s="135"/>
      <c r="I246" s="136">
        <f t="shared" si="20"/>
        <v>0</v>
      </c>
      <c r="J246" s="134"/>
      <c r="K246" s="135"/>
      <c r="L246" s="136">
        <f t="shared" si="21"/>
        <v>0</v>
      </c>
      <c r="M246" s="284"/>
      <c r="N246" s="285"/>
      <c r="O246" s="136">
        <f t="shared" si="22"/>
        <v>0</v>
      </c>
      <c r="P246" s="85"/>
      <c r="R246" s="1001"/>
      <c r="S246" s="1001"/>
      <c r="T246" s="1001"/>
    </row>
    <row r="247" spans="1:20" ht="24" hidden="1" x14ac:dyDescent="0.25">
      <c r="A247" s="276">
        <v>6260</v>
      </c>
      <c r="B247" s="127" t="s">
        <v>263</v>
      </c>
      <c r="C247" s="278">
        <f t="shared" si="18"/>
        <v>0</v>
      </c>
      <c r="D247" s="134"/>
      <c r="E247" s="285"/>
      <c r="F247" s="136">
        <f t="shared" si="19"/>
        <v>0</v>
      </c>
      <c r="G247" s="134"/>
      <c r="H247" s="135"/>
      <c r="I247" s="136">
        <f t="shared" si="20"/>
        <v>0</v>
      </c>
      <c r="J247" s="134"/>
      <c r="K247" s="135"/>
      <c r="L247" s="136">
        <f t="shared" si="21"/>
        <v>0</v>
      </c>
      <c r="M247" s="284"/>
      <c r="N247" s="285"/>
      <c r="O247" s="136">
        <f t="shared" si="22"/>
        <v>0</v>
      </c>
      <c r="P247" s="85"/>
      <c r="R247" s="1001"/>
      <c r="S247" s="1001"/>
      <c r="T247" s="1001"/>
    </row>
    <row r="248" spans="1:20" hidden="1" x14ac:dyDescent="0.25">
      <c r="A248" s="276">
        <v>6270</v>
      </c>
      <c r="B248" s="127" t="s">
        <v>264</v>
      </c>
      <c r="C248" s="278">
        <f t="shared" si="18"/>
        <v>0</v>
      </c>
      <c r="D248" s="134"/>
      <c r="E248" s="285"/>
      <c r="F248" s="136">
        <f t="shared" si="19"/>
        <v>0</v>
      </c>
      <c r="G248" s="134"/>
      <c r="H248" s="135"/>
      <c r="I248" s="136">
        <f t="shared" si="20"/>
        <v>0</v>
      </c>
      <c r="J248" s="134"/>
      <c r="K248" s="135"/>
      <c r="L248" s="136">
        <f t="shared" si="21"/>
        <v>0</v>
      </c>
      <c r="M248" s="284"/>
      <c r="N248" s="285"/>
      <c r="O248" s="136">
        <f t="shared" si="22"/>
        <v>0</v>
      </c>
      <c r="P248" s="85"/>
      <c r="R248" s="1001"/>
      <c r="S248" s="1001"/>
      <c r="T248" s="1001"/>
    </row>
    <row r="249" spans="1:20" hidden="1" x14ac:dyDescent="0.25">
      <c r="A249" s="656">
        <v>6290</v>
      </c>
      <c r="B249" s="116" t="s">
        <v>265</v>
      </c>
      <c r="C249" s="278">
        <f t="shared" si="18"/>
        <v>0</v>
      </c>
      <c r="D249" s="297">
        <f>SUM(D250:D253)</f>
        <v>0</v>
      </c>
      <c r="E249" s="301">
        <f>SUM(E250:E253)</f>
        <v>0</v>
      </c>
      <c r="F249" s="125">
        <f t="shared" si="19"/>
        <v>0</v>
      </c>
      <c r="G249" s="297">
        <f>SUM(G250:G253)</f>
        <v>0</v>
      </c>
      <c r="H249" s="299">
        <f>SUM(H250:H253)</f>
        <v>0</v>
      </c>
      <c r="I249" s="125">
        <f t="shared" si="20"/>
        <v>0</v>
      </c>
      <c r="J249" s="297">
        <f>SUM(J250:J253)</f>
        <v>0</v>
      </c>
      <c r="K249" s="299">
        <f>SUM(K250:K253)</f>
        <v>0</v>
      </c>
      <c r="L249" s="125">
        <f t="shared" si="21"/>
        <v>0</v>
      </c>
      <c r="M249" s="322">
        <f>SUM(M250:M253)</f>
        <v>0</v>
      </c>
      <c r="N249" s="323">
        <f>SUM(N250:N253)</f>
        <v>0</v>
      </c>
      <c r="O249" s="324">
        <f t="shared" si="22"/>
        <v>0</v>
      </c>
      <c r="P249" s="325"/>
      <c r="R249" s="1001"/>
      <c r="S249" s="1001"/>
      <c r="T249" s="1001"/>
    </row>
    <row r="250" spans="1:20" hidden="1" x14ac:dyDescent="0.25">
      <c r="A250" s="76">
        <v>6291</v>
      </c>
      <c r="B250" s="127" t="s">
        <v>266</v>
      </c>
      <c r="C250" s="278">
        <f t="shared" si="18"/>
        <v>0</v>
      </c>
      <c r="D250" s="134"/>
      <c r="E250" s="285"/>
      <c r="F250" s="136">
        <f t="shared" si="19"/>
        <v>0</v>
      </c>
      <c r="G250" s="134"/>
      <c r="H250" s="135"/>
      <c r="I250" s="136">
        <f t="shared" si="20"/>
        <v>0</v>
      </c>
      <c r="J250" s="134"/>
      <c r="K250" s="135"/>
      <c r="L250" s="136">
        <f t="shared" si="21"/>
        <v>0</v>
      </c>
      <c r="M250" s="284"/>
      <c r="N250" s="285"/>
      <c r="O250" s="136">
        <f t="shared" si="22"/>
        <v>0</v>
      </c>
      <c r="P250" s="85"/>
      <c r="R250" s="1001"/>
      <c r="S250" s="1001"/>
      <c r="T250" s="1001"/>
    </row>
    <row r="251" spans="1:20" hidden="1" x14ac:dyDescent="0.25">
      <c r="A251" s="76">
        <v>6292</v>
      </c>
      <c r="B251" s="127" t="s">
        <v>267</v>
      </c>
      <c r="C251" s="278">
        <f t="shared" si="18"/>
        <v>0</v>
      </c>
      <c r="D251" s="134"/>
      <c r="E251" s="285"/>
      <c r="F251" s="136">
        <f t="shared" si="19"/>
        <v>0</v>
      </c>
      <c r="G251" s="134"/>
      <c r="H251" s="135"/>
      <c r="I251" s="136">
        <f t="shared" si="20"/>
        <v>0</v>
      </c>
      <c r="J251" s="134"/>
      <c r="K251" s="135"/>
      <c r="L251" s="136">
        <f t="shared" si="21"/>
        <v>0</v>
      </c>
      <c r="M251" s="284"/>
      <c r="N251" s="285"/>
      <c r="O251" s="136">
        <f t="shared" si="22"/>
        <v>0</v>
      </c>
      <c r="P251" s="85"/>
      <c r="R251" s="1001"/>
      <c r="S251" s="1001"/>
      <c r="T251" s="1001"/>
    </row>
    <row r="252" spans="1:20" ht="72" hidden="1" x14ac:dyDescent="0.25">
      <c r="A252" s="76">
        <v>6296</v>
      </c>
      <c r="B252" s="127" t="s">
        <v>268</v>
      </c>
      <c r="C252" s="278">
        <f t="shared" si="18"/>
        <v>0</v>
      </c>
      <c r="D252" s="134"/>
      <c r="E252" s="285"/>
      <c r="F252" s="136">
        <f t="shared" si="19"/>
        <v>0</v>
      </c>
      <c r="G252" s="134"/>
      <c r="H252" s="135"/>
      <c r="I252" s="136">
        <f t="shared" si="20"/>
        <v>0</v>
      </c>
      <c r="J252" s="134"/>
      <c r="K252" s="135"/>
      <c r="L252" s="136">
        <f t="shared" si="21"/>
        <v>0</v>
      </c>
      <c r="M252" s="284"/>
      <c r="N252" s="285"/>
      <c r="O252" s="136">
        <f t="shared" si="22"/>
        <v>0</v>
      </c>
      <c r="P252" s="85"/>
      <c r="R252" s="1001"/>
      <c r="S252" s="1001"/>
      <c r="T252" s="1001"/>
    </row>
    <row r="253" spans="1:20" ht="36" hidden="1" x14ac:dyDescent="0.25">
      <c r="A253" s="76">
        <v>6299</v>
      </c>
      <c r="B253" s="127" t="s">
        <v>269</v>
      </c>
      <c r="C253" s="278">
        <f t="shared" si="18"/>
        <v>0</v>
      </c>
      <c r="D253" s="134"/>
      <c r="E253" s="285"/>
      <c r="F253" s="136">
        <f t="shared" si="19"/>
        <v>0</v>
      </c>
      <c r="G253" s="134"/>
      <c r="H253" s="135"/>
      <c r="I253" s="136">
        <f t="shared" si="20"/>
        <v>0</v>
      </c>
      <c r="J253" s="134"/>
      <c r="K253" s="135"/>
      <c r="L253" s="136">
        <f t="shared" si="21"/>
        <v>0</v>
      </c>
      <c r="M253" s="284"/>
      <c r="N253" s="285"/>
      <c r="O253" s="136">
        <f t="shared" si="22"/>
        <v>0</v>
      </c>
      <c r="P253" s="85"/>
      <c r="R253" s="1001"/>
      <c r="S253" s="1001"/>
      <c r="T253" s="1001"/>
    </row>
    <row r="254" spans="1:20" hidden="1" x14ac:dyDescent="0.25">
      <c r="A254" s="99">
        <v>6300</v>
      </c>
      <c r="B254" s="247" t="s">
        <v>270</v>
      </c>
      <c r="C254" s="100">
        <f t="shared" si="18"/>
        <v>0</v>
      </c>
      <c r="D254" s="112">
        <f>SUM(D255,D259,D260)</f>
        <v>0</v>
      </c>
      <c r="E254" s="293">
        <f>SUM(E255,E259,E260)</f>
        <v>0</v>
      </c>
      <c r="F254" s="114">
        <f t="shared" si="19"/>
        <v>0</v>
      </c>
      <c r="G254" s="112">
        <f>SUM(G255,G259,G260)</f>
        <v>0</v>
      </c>
      <c r="H254" s="113">
        <f>SUM(H255,H259,H260)</f>
        <v>0</v>
      </c>
      <c r="I254" s="114">
        <f t="shared" si="20"/>
        <v>0</v>
      </c>
      <c r="J254" s="112">
        <f>SUM(J255,J259,J260)</f>
        <v>0</v>
      </c>
      <c r="K254" s="113">
        <f>SUM(K255,K259,K260)</f>
        <v>0</v>
      </c>
      <c r="L254" s="114">
        <f t="shared" si="21"/>
        <v>0</v>
      </c>
      <c r="M254" s="303">
        <f>SUM(M255,M259,M260)</f>
        <v>0</v>
      </c>
      <c r="N254" s="304">
        <f>SUM(N255,N259,N260)</f>
        <v>0</v>
      </c>
      <c r="O254" s="305">
        <f t="shared" si="22"/>
        <v>0</v>
      </c>
      <c r="P254" s="306"/>
      <c r="R254" s="1001"/>
      <c r="S254" s="1001"/>
      <c r="T254" s="1001"/>
    </row>
    <row r="255" spans="1:20" ht="24" hidden="1" x14ac:dyDescent="0.25">
      <c r="A255" s="656">
        <v>6320</v>
      </c>
      <c r="B255" s="116" t="s">
        <v>271</v>
      </c>
      <c r="C255" s="322">
        <f t="shared" si="18"/>
        <v>0</v>
      </c>
      <c r="D255" s="297">
        <f>SUM(D256:D258)</f>
        <v>0</v>
      </c>
      <c r="E255" s="301">
        <f>SUM(E256:E258)</f>
        <v>0</v>
      </c>
      <c r="F255" s="125">
        <f t="shared" si="19"/>
        <v>0</v>
      </c>
      <c r="G255" s="297">
        <f>SUM(G256:G258)</f>
        <v>0</v>
      </c>
      <c r="H255" s="299">
        <f>SUM(H256:H258)</f>
        <v>0</v>
      </c>
      <c r="I255" s="125">
        <f t="shared" si="20"/>
        <v>0</v>
      </c>
      <c r="J255" s="297">
        <f>SUM(J256:J258)</f>
        <v>0</v>
      </c>
      <c r="K255" s="299">
        <f>SUM(K256:K258)</f>
        <v>0</v>
      </c>
      <c r="L255" s="125">
        <f t="shared" si="21"/>
        <v>0</v>
      </c>
      <c r="M255" s="300">
        <f>SUM(M256:M258)</f>
        <v>0</v>
      </c>
      <c r="N255" s="301">
        <f>SUM(N256:N258)</f>
        <v>0</v>
      </c>
      <c r="O255" s="125">
        <f t="shared" si="22"/>
        <v>0</v>
      </c>
      <c r="P255" s="74"/>
      <c r="R255" s="1001"/>
      <c r="S255" s="1001"/>
      <c r="T255" s="1001"/>
    </row>
    <row r="256" spans="1:20" hidden="1" x14ac:dyDescent="0.25">
      <c r="A256" s="76">
        <v>6322</v>
      </c>
      <c r="B256" s="127" t="s">
        <v>272</v>
      </c>
      <c r="C256" s="281">
        <f t="shared" si="18"/>
        <v>0</v>
      </c>
      <c r="D256" s="134"/>
      <c r="E256" s="285"/>
      <c r="F256" s="136">
        <f t="shared" si="19"/>
        <v>0</v>
      </c>
      <c r="G256" s="134"/>
      <c r="H256" s="135"/>
      <c r="I256" s="136">
        <f t="shared" si="20"/>
        <v>0</v>
      </c>
      <c r="J256" s="134"/>
      <c r="K256" s="135"/>
      <c r="L256" s="136">
        <f t="shared" si="21"/>
        <v>0</v>
      </c>
      <c r="M256" s="284"/>
      <c r="N256" s="285"/>
      <c r="O256" s="136">
        <f t="shared" si="22"/>
        <v>0</v>
      </c>
      <c r="P256" s="85"/>
      <c r="R256" s="1001"/>
      <c r="S256" s="1001"/>
      <c r="T256" s="1001"/>
    </row>
    <row r="257" spans="1:20" ht="24" hidden="1" x14ac:dyDescent="0.25">
      <c r="A257" s="76">
        <v>6323</v>
      </c>
      <c r="B257" s="127" t="s">
        <v>273</v>
      </c>
      <c r="C257" s="281">
        <f t="shared" si="18"/>
        <v>0</v>
      </c>
      <c r="D257" s="134"/>
      <c r="E257" s="285"/>
      <c r="F257" s="136">
        <f t="shared" si="19"/>
        <v>0</v>
      </c>
      <c r="G257" s="134"/>
      <c r="H257" s="135"/>
      <c r="I257" s="136">
        <f t="shared" si="20"/>
        <v>0</v>
      </c>
      <c r="J257" s="134"/>
      <c r="K257" s="135"/>
      <c r="L257" s="136">
        <f t="shared" si="21"/>
        <v>0</v>
      </c>
      <c r="M257" s="284"/>
      <c r="N257" s="285"/>
      <c r="O257" s="136">
        <f t="shared" si="22"/>
        <v>0</v>
      </c>
      <c r="P257" s="85"/>
      <c r="R257" s="1001"/>
      <c r="S257" s="1001"/>
      <c r="T257" s="1001"/>
    </row>
    <row r="258" spans="1:20" ht="24" hidden="1" x14ac:dyDescent="0.25">
      <c r="A258" s="66">
        <v>6324</v>
      </c>
      <c r="B258" s="116" t="s">
        <v>274</v>
      </c>
      <c r="C258" s="281">
        <f t="shared" si="18"/>
        <v>0</v>
      </c>
      <c r="D258" s="123"/>
      <c r="E258" s="262"/>
      <c r="F258" s="125">
        <f t="shared" si="19"/>
        <v>0</v>
      </c>
      <c r="G258" s="123"/>
      <c r="H258" s="124"/>
      <c r="I258" s="125">
        <f t="shared" si="20"/>
        <v>0</v>
      </c>
      <c r="J258" s="123"/>
      <c r="K258" s="124"/>
      <c r="L258" s="125">
        <f t="shared" si="21"/>
        <v>0</v>
      </c>
      <c r="M258" s="264"/>
      <c r="N258" s="262"/>
      <c r="O258" s="125">
        <f t="shared" si="22"/>
        <v>0</v>
      </c>
      <c r="P258" s="74"/>
      <c r="R258" s="1001"/>
      <c r="S258" s="1001"/>
      <c r="T258" s="1001"/>
    </row>
    <row r="259" spans="1:20" hidden="1" x14ac:dyDescent="0.25">
      <c r="A259" s="344">
        <v>6330</v>
      </c>
      <c r="B259" s="345" t="s">
        <v>275</v>
      </c>
      <c r="C259" s="281">
        <f t="shared" si="18"/>
        <v>0</v>
      </c>
      <c r="D259" s="328"/>
      <c r="E259" s="329"/>
      <c r="F259" s="324">
        <f t="shared" si="19"/>
        <v>0</v>
      </c>
      <c r="G259" s="328"/>
      <c r="H259" s="331"/>
      <c r="I259" s="324">
        <f t="shared" si="20"/>
        <v>0</v>
      </c>
      <c r="J259" s="328"/>
      <c r="K259" s="331"/>
      <c r="L259" s="324">
        <f t="shared" si="21"/>
        <v>0</v>
      </c>
      <c r="M259" s="332"/>
      <c r="N259" s="329"/>
      <c r="O259" s="324">
        <f t="shared" si="22"/>
        <v>0</v>
      </c>
      <c r="P259" s="325"/>
      <c r="R259" s="1001"/>
      <c r="S259" s="1001"/>
      <c r="T259" s="1001"/>
    </row>
    <row r="260" spans="1:20" hidden="1" x14ac:dyDescent="0.25">
      <c r="A260" s="276">
        <v>6360</v>
      </c>
      <c r="B260" s="127" t="s">
        <v>276</v>
      </c>
      <c r="C260" s="281">
        <f t="shared" si="18"/>
        <v>0</v>
      </c>
      <c r="D260" s="134"/>
      <c r="E260" s="285"/>
      <c r="F260" s="136">
        <f t="shared" si="19"/>
        <v>0</v>
      </c>
      <c r="G260" s="134"/>
      <c r="H260" s="135"/>
      <c r="I260" s="136">
        <f t="shared" si="20"/>
        <v>0</v>
      </c>
      <c r="J260" s="134"/>
      <c r="K260" s="135"/>
      <c r="L260" s="136">
        <f t="shared" si="21"/>
        <v>0</v>
      </c>
      <c r="M260" s="284"/>
      <c r="N260" s="285"/>
      <c r="O260" s="136">
        <f t="shared" si="22"/>
        <v>0</v>
      </c>
      <c r="P260" s="85"/>
      <c r="R260" s="1001"/>
      <c r="S260" s="1001"/>
      <c r="T260" s="1001"/>
    </row>
    <row r="261" spans="1:20" ht="24" hidden="1" x14ac:dyDescent="0.25">
      <c r="A261" s="99">
        <v>6400</v>
      </c>
      <c r="B261" s="247" t="s">
        <v>277</v>
      </c>
      <c r="C261" s="100">
        <f t="shared" si="18"/>
        <v>0</v>
      </c>
      <c r="D261" s="112">
        <f>SUM(D262,D266)</f>
        <v>0</v>
      </c>
      <c r="E261" s="293">
        <f>SUM(E262,E266)</f>
        <v>0</v>
      </c>
      <c r="F261" s="114">
        <f t="shared" si="19"/>
        <v>0</v>
      </c>
      <c r="G261" s="112">
        <f>SUM(G262,G266)</f>
        <v>0</v>
      </c>
      <c r="H261" s="113">
        <f>SUM(H262,H266)</f>
        <v>0</v>
      </c>
      <c r="I261" s="114">
        <f t="shared" si="20"/>
        <v>0</v>
      </c>
      <c r="J261" s="112">
        <f>SUM(J262,J266)</f>
        <v>0</v>
      </c>
      <c r="K261" s="113">
        <f>SUM(K262,K266)</f>
        <v>0</v>
      </c>
      <c r="L261" s="114">
        <f t="shared" si="21"/>
        <v>0</v>
      </c>
      <c r="M261" s="303">
        <f>SUM(M262,M266)</f>
        <v>0</v>
      </c>
      <c r="N261" s="304">
        <f>SUM(N262,N266)</f>
        <v>0</v>
      </c>
      <c r="O261" s="305">
        <f t="shared" si="22"/>
        <v>0</v>
      </c>
      <c r="P261" s="306"/>
      <c r="R261" s="1001"/>
      <c r="S261" s="1001"/>
      <c r="T261" s="1001"/>
    </row>
    <row r="262" spans="1:20" ht="24" hidden="1" x14ac:dyDescent="0.25">
      <c r="A262" s="656">
        <v>6410</v>
      </c>
      <c r="B262" s="116" t="s">
        <v>278</v>
      </c>
      <c r="C262" s="300">
        <f t="shared" si="18"/>
        <v>0</v>
      </c>
      <c r="D262" s="297">
        <f>SUM(D263:D265)</f>
        <v>0</v>
      </c>
      <c r="E262" s="301">
        <f>SUM(E263:E265)</f>
        <v>0</v>
      </c>
      <c r="F262" s="125">
        <f t="shared" si="19"/>
        <v>0</v>
      </c>
      <c r="G262" s="297">
        <f>SUM(G263:G265)</f>
        <v>0</v>
      </c>
      <c r="H262" s="299">
        <f>SUM(H263:H265)</f>
        <v>0</v>
      </c>
      <c r="I262" s="125">
        <f t="shared" si="20"/>
        <v>0</v>
      </c>
      <c r="J262" s="297">
        <f>SUM(J263:J265)</f>
        <v>0</v>
      </c>
      <c r="K262" s="299">
        <f>SUM(K263:K265)</f>
        <v>0</v>
      </c>
      <c r="L262" s="125">
        <f t="shared" si="21"/>
        <v>0</v>
      </c>
      <c r="M262" s="317">
        <f>SUM(M263:M265)</f>
        <v>0</v>
      </c>
      <c r="N262" s="318">
        <f>SUM(N263:N265)</f>
        <v>0</v>
      </c>
      <c r="O262" s="151">
        <f t="shared" si="22"/>
        <v>0</v>
      </c>
      <c r="P262" s="153"/>
      <c r="R262" s="1001"/>
      <c r="S262" s="1001"/>
      <c r="T262" s="1001"/>
    </row>
    <row r="263" spans="1:20" hidden="1" x14ac:dyDescent="0.25">
      <c r="A263" s="76">
        <v>6411</v>
      </c>
      <c r="B263" s="346" t="s">
        <v>279</v>
      </c>
      <c r="C263" s="278">
        <f t="shared" si="18"/>
        <v>0</v>
      </c>
      <c r="D263" s="134"/>
      <c r="E263" s="285"/>
      <c r="F263" s="136">
        <f t="shared" si="19"/>
        <v>0</v>
      </c>
      <c r="G263" s="134"/>
      <c r="H263" s="135"/>
      <c r="I263" s="136">
        <f t="shared" si="20"/>
        <v>0</v>
      </c>
      <c r="J263" s="134"/>
      <c r="K263" s="135"/>
      <c r="L263" s="136">
        <f t="shared" si="21"/>
        <v>0</v>
      </c>
      <c r="M263" s="284"/>
      <c r="N263" s="285"/>
      <c r="O263" s="136">
        <f t="shared" si="22"/>
        <v>0</v>
      </c>
      <c r="P263" s="85"/>
      <c r="R263" s="1001"/>
      <c r="S263" s="1001"/>
      <c r="T263" s="1001"/>
    </row>
    <row r="264" spans="1:20" ht="36" hidden="1" x14ac:dyDescent="0.25">
      <c r="A264" s="76">
        <v>6412</v>
      </c>
      <c r="B264" s="127" t="s">
        <v>280</v>
      </c>
      <c r="C264" s="278">
        <f t="shared" si="18"/>
        <v>0</v>
      </c>
      <c r="D264" s="134"/>
      <c r="E264" s="285"/>
      <c r="F264" s="136">
        <f t="shared" si="19"/>
        <v>0</v>
      </c>
      <c r="G264" s="134"/>
      <c r="H264" s="135"/>
      <c r="I264" s="136">
        <f t="shared" si="20"/>
        <v>0</v>
      </c>
      <c r="J264" s="134"/>
      <c r="K264" s="135"/>
      <c r="L264" s="136">
        <f t="shared" si="21"/>
        <v>0</v>
      </c>
      <c r="M264" s="284"/>
      <c r="N264" s="285"/>
      <c r="O264" s="136">
        <f t="shared" si="22"/>
        <v>0</v>
      </c>
      <c r="P264" s="85"/>
      <c r="R264" s="1001"/>
      <c r="S264" s="1001"/>
      <c r="T264" s="1001"/>
    </row>
    <row r="265" spans="1:20" ht="36" hidden="1" x14ac:dyDescent="0.25">
      <c r="A265" s="76">
        <v>6419</v>
      </c>
      <c r="B265" s="127" t="s">
        <v>281</v>
      </c>
      <c r="C265" s="278">
        <f t="shared" si="18"/>
        <v>0</v>
      </c>
      <c r="D265" s="134"/>
      <c r="E265" s="285"/>
      <c r="F265" s="136">
        <f t="shared" si="19"/>
        <v>0</v>
      </c>
      <c r="G265" s="134"/>
      <c r="H265" s="135"/>
      <c r="I265" s="136">
        <f t="shared" si="20"/>
        <v>0</v>
      </c>
      <c r="J265" s="134"/>
      <c r="K265" s="135"/>
      <c r="L265" s="136">
        <f t="shared" si="21"/>
        <v>0</v>
      </c>
      <c r="M265" s="284"/>
      <c r="N265" s="285"/>
      <c r="O265" s="136">
        <f t="shared" si="22"/>
        <v>0</v>
      </c>
      <c r="P265" s="85"/>
      <c r="R265" s="1001"/>
      <c r="S265" s="1001"/>
      <c r="T265" s="1001"/>
    </row>
    <row r="266" spans="1:20" ht="36" hidden="1" x14ac:dyDescent="0.25">
      <c r="A266" s="276">
        <v>6420</v>
      </c>
      <c r="B266" s="127" t="s">
        <v>282</v>
      </c>
      <c r="C266" s="278">
        <f t="shared" si="18"/>
        <v>0</v>
      </c>
      <c r="D266" s="277">
        <f>SUM(D267:D270)</f>
        <v>0</v>
      </c>
      <c r="E266" s="282">
        <f>SUM(E267:E270)</f>
        <v>0</v>
      </c>
      <c r="F266" s="136">
        <f t="shared" si="19"/>
        <v>0</v>
      </c>
      <c r="G266" s="277">
        <f>SUM(G267:G270)</f>
        <v>0</v>
      </c>
      <c r="H266" s="280">
        <f>SUM(H267:H270)</f>
        <v>0</v>
      </c>
      <c r="I266" s="136">
        <f t="shared" si="20"/>
        <v>0</v>
      </c>
      <c r="J266" s="277">
        <f>SUM(J267:J270)</f>
        <v>0</v>
      </c>
      <c r="K266" s="280">
        <f>SUM(K267:K270)</f>
        <v>0</v>
      </c>
      <c r="L266" s="136">
        <f t="shared" si="21"/>
        <v>0</v>
      </c>
      <c r="M266" s="281">
        <f>SUM(M267:M270)</f>
        <v>0</v>
      </c>
      <c r="N266" s="282">
        <f>SUM(N267:N270)</f>
        <v>0</v>
      </c>
      <c r="O266" s="136">
        <f t="shared" si="22"/>
        <v>0</v>
      </c>
      <c r="P266" s="85"/>
      <c r="R266" s="1001"/>
      <c r="S266" s="1001"/>
      <c r="T266" s="1001"/>
    </row>
    <row r="267" spans="1:20" hidden="1" x14ac:dyDescent="0.25">
      <c r="A267" s="76">
        <v>6421</v>
      </c>
      <c r="B267" s="127" t="s">
        <v>283</v>
      </c>
      <c r="C267" s="278">
        <f t="shared" si="18"/>
        <v>0</v>
      </c>
      <c r="D267" s="134"/>
      <c r="E267" s="285"/>
      <c r="F267" s="136">
        <f t="shared" si="19"/>
        <v>0</v>
      </c>
      <c r="G267" s="134"/>
      <c r="H267" s="135"/>
      <c r="I267" s="136">
        <f t="shared" si="20"/>
        <v>0</v>
      </c>
      <c r="J267" s="134"/>
      <c r="K267" s="135"/>
      <c r="L267" s="136">
        <f t="shared" si="21"/>
        <v>0</v>
      </c>
      <c r="M267" s="284"/>
      <c r="N267" s="285"/>
      <c r="O267" s="136">
        <f t="shared" si="22"/>
        <v>0</v>
      </c>
      <c r="P267" s="85"/>
      <c r="R267" s="1001"/>
      <c r="S267" s="1001"/>
      <c r="T267" s="1001"/>
    </row>
    <row r="268" spans="1:20" hidden="1" x14ac:dyDescent="0.25">
      <c r="A268" s="76">
        <v>6422</v>
      </c>
      <c r="B268" s="127" t="s">
        <v>284</v>
      </c>
      <c r="C268" s="278">
        <f t="shared" si="18"/>
        <v>0</v>
      </c>
      <c r="D268" s="134"/>
      <c r="E268" s="285"/>
      <c r="F268" s="136">
        <f t="shared" si="19"/>
        <v>0</v>
      </c>
      <c r="G268" s="134"/>
      <c r="H268" s="135"/>
      <c r="I268" s="136">
        <f t="shared" si="20"/>
        <v>0</v>
      </c>
      <c r="J268" s="134"/>
      <c r="K268" s="135"/>
      <c r="L268" s="136">
        <f t="shared" si="21"/>
        <v>0</v>
      </c>
      <c r="M268" s="284"/>
      <c r="N268" s="285"/>
      <c r="O268" s="136">
        <f t="shared" si="22"/>
        <v>0</v>
      </c>
      <c r="P268" s="85"/>
      <c r="R268" s="1001"/>
      <c r="S268" s="1001"/>
      <c r="T268" s="1001"/>
    </row>
    <row r="269" spans="1:20" hidden="1" x14ac:dyDescent="0.25">
      <c r="A269" s="76">
        <v>6423</v>
      </c>
      <c r="B269" s="127" t="s">
        <v>285</v>
      </c>
      <c r="C269" s="278">
        <f t="shared" si="18"/>
        <v>0</v>
      </c>
      <c r="D269" s="134"/>
      <c r="E269" s="285"/>
      <c r="F269" s="136">
        <f t="shared" si="19"/>
        <v>0</v>
      </c>
      <c r="G269" s="134"/>
      <c r="H269" s="135"/>
      <c r="I269" s="136">
        <f t="shared" si="20"/>
        <v>0</v>
      </c>
      <c r="J269" s="134"/>
      <c r="K269" s="135"/>
      <c r="L269" s="136">
        <f t="shared" si="21"/>
        <v>0</v>
      </c>
      <c r="M269" s="284"/>
      <c r="N269" s="285"/>
      <c r="O269" s="136">
        <f t="shared" si="22"/>
        <v>0</v>
      </c>
      <c r="P269" s="85"/>
      <c r="R269" s="1001"/>
      <c r="S269" s="1001"/>
      <c r="T269" s="1001"/>
    </row>
    <row r="270" spans="1:20" ht="24" hidden="1" x14ac:dyDescent="0.25">
      <c r="A270" s="76">
        <v>6424</v>
      </c>
      <c r="B270" s="127" t="s">
        <v>286</v>
      </c>
      <c r="C270" s="278">
        <f t="shared" si="18"/>
        <v>0</v>
      </c>
      <c r="D270" s="134"/>
      <c r="E270" s="285"/>
      <c r="F270" s="136">
        <f t="shared" si="19"/>
        <v>0</v>
      </c>
      <c r="G270" s="134"/>
      <c r="H270" s="135"/>
      <c r="I270" s="136">
        <f t="shared" si="20"/>
        <v>0</v>
      </c>
      <c r="J270" s="134"/>
      <c r="K270" s="135"/>
      <c r="L270" s="136">
        <f t="shared" si="21"/>
        <v>0</v>
      </c>
      <c r="M270" s="284"/>
      <c r="N270" s="285"/>
      <c r="O270" s="136">
        <f t="shared" si="22"/>
        <v>0</v>
      </c>
      <c r="P270" s="85"/>
      <c r="R270" s="1001"/>
      <c r="S270" s="1001"/>
      <c r="T270" s="1001"/>
    </row>
    <row r="271" spans="1:20" ht="36" hidden="1" x14ac:dyDescent="0.25">
      <c r="A271" s="347">
        <v>7000</v>
      </c>
      <c r="B271" s="347" t="s">
        <v>287</v>
      </c>
      <c r="C271" s="348">
        <f t="shared" si="18"/>
        <v>0</v>
      </c>
      <c r="D271" s="349">
        <f>SUM(D272,D282)</f>
        <v>0</v>
      </c>
      <c r="E271" s="407">
        <f>SUM(E272,E282)</f>
        <v>0</v>
      </c>
      <c r="F271" s="353">
        <f t="shared" si="19"/>
        <v>0</v>
      </c>
      <c r="G271" s="349">
        <f>SUM(G272,G282)</f>
        <v>0</v>
      </c>
      <c r="H271" s="352">
        <f>SUM(H272,H282)</f>
        <v>0</v>
      </c>
      <c r="I271" s="353">
        <f t="shared" si="20"/>
        <v>0</v>
      </c>
      <c r="J271" s="349">
        <f>SUM(J272,J282)</f>
        <v>0</v>
      </c>
      <c r="K271" s="352">
        <f>SUM(K272,K282)</f>
        <v>0</v>
      </c>
      <c r="L271" s="353">
        <f t="shared" si="21"/>
        <v>0</v>
      </c>
      <c r="M271" s="354">
        <f>SUM(M272,M282)</f>
        <v>0</v>
      </c>
      <c r="N271" s="355">
        <f>SUM(N272,N282)</f>
        <v>0</v>
      </c>
      <c r="O271" s="356">
        <f t="shared" si="22"/>
        <v>0</v>
      </c>
      <c r="P271" s="357"/>
      <c r="R271" s="1001"/>
      <c r="S271" s="1001"/>
      <c r="T271" s="1001"/>
    </row>
    <row r="272" spans="1:20" hidden="1" x14ac:dyDescent="0.25">
      <c r="A272" s="99">
        <v>7200</v>
      </c>
      <c r="B272" s="247" t="s">
        <v>288</v>
      </c>
      <c r="C272" s="100">
        <f t="shared" si="18"/>
        <v>0</v>
      </c>
      <c r="D272" s="112">
        <f>SUM(D273,D274,D277,D278,D281)</f>
        <v>0</v>
      </c>
      <c r="E272" s="293">
        <f>SUM(E273,E274,E277,E278,E281)</f>
        <v>0</v>
      </c>
      <c r="F272" s="114">
        <f t="shared" si="19"/>
        <v>0</v>
      </c>
      <c r="G272" s="112">
        <f>SUM(G273,G274,G277,G278,G281)</f>
        <v>0</v>
      </c>
      <c r="H272" s="113">
        <f>SUM(H273,H274,H277,H278,H281)</f>
        <v>0</v>
      </c>
      <c r="I272" s="114">
        <f t="shared" si="20"/>
        <v>0</v>
      </c>
      <c r="J272" s="112">
        <f>SUM(J273,J274,J277,J278,J281)</f>
        <v>0</v>
      </c>
      <c r="K272" s="113">
        <f>SUM(K273,K274,K277,K278,K281)</f>
        <v>0</v>
      </c>
      <c r="L272" s="114">
        <f t="shared" si="21"/>
        <v>0</v>
      </c>
      <c r="M272" s="250">
        <f>SUM(M273,M274,M277,M278,M281)</f>
        <v>0</v>
      </c>
      <c r="N272" s="251">
        <f>SUM(N273,N274,N277,N278,N281)</f>
        <v>0</v>
      </c>
      <c r="O272" s="252">
        <f t="shared" si="22"/>
        <v>0</v>
      </c>
      <c r="P272" s="253"/>
      <c r="R272" s="1001"/>
      <c r="S272" s="1001"/>
      <c r="T272" s="1001"/>
    </row>
    <row r="273" spans="1:20" ht="24" hidden="1" x14ac:dyDescent="0.25">
      <c r="A273" s="656">
        <v>7210</v>
      </c>
      <c r="B273" s="116" t="s">
        <v>289</v>
      </c>
      <c r="C273" s="117">
        <f t="shared" si="18"/>
        <v>0</v>
      </c>
      <c r="D273" s="123"/>
      <c r="E273" s="262"/>
      <c r="F273" s="125">
        <f t="shared" si="19"/>
        <v>0</v>
      </c>
      <c r="G273" s="123"/>
      <c r="H273" s="124"/>
      <c r="I273" s="125">
        <f t="shared" si="20"/>
        <v>0</v>
      </c>
      <c r="J273" s="123"/>
      <c r="K273" s="124"/>
      <c r="L273" s="125">
        <f t="shared" si="21"/>
        <v>0</v>
      </c>
      <c r="M273" s="264"/>
      <c r="N273" s="262"/>
      <c r="O273" s="125">
        <f t="shared" si="22"/>
        <v>0</v>
      </c>
      <c r="P273" s="74"/>
      <c r="R273" s="1001"/>
      <c r="S273" s="1001"/>
      <c r="T273" s="1001"/>
    </row>
    <row r="274" spans="1:20" ht="24" hidden="1" x14ac:dyDescent="0.25">
      <c r="A274" s="276">
        <v>7220</v>
      </c>
      <c r="B274" s="127" t="s">
        <v>290</v>
      </c>
      <c r="C274" s="128">
        <f t="shared" si="18"/>
        <v>0</v>
      </c>
      <c r="D274" s="277">
        <f>SUM(D275:D276)</f>
        <v>0</v>
      </c>
      <c r="E274" s="282">
        <f>SUM(E275:E276)</f>
        <v>0</v>
      </c>
      <c r="F274" s="136">
        <f t="shared" si="19"/>
        <v>0</v>
      </c>
      <c r="G274" s="277">
        <f>SUM(G275:G276)</f>
        <v>0</v>
      </c>
      <c r="H274" s="280">
        <f>SUM(H275:H276)</f>
        <v>0</v>
      </c>
      <c r="I274" s="136">
        <f t="shared" si="20"/>
        <v>0</v>
      </c>
      <c r="J274" s="277">
        <f>SUM(J275:J276)</f>
        <v>0</v>
      </c>
      <c r="K274" s="280">
        <f>SUM(K275:K276)</f>
        <v>0</v>
      </c>
      <c r="L274" s="136">
        <f t="shared" si="21"/>
        <v>0</v>
      </c>
      <c r="M274" s="281">
        <f>SUM(M275:M276)</f>
        <v>0</v>
      </c>
      <c r="N274" s="282">
        <f>SUM(N275:N276)</f>
        <v>0</v>
      </c>
      <c r="O274" s="136">
        <f t="shared" si="22"/>
        <v>0</v>
      </c>
      <c r="P274" s="85"/>
      <c r="R274" s="1001"/>
      <c r="S274" s="1001"/>
      <c r="T274" s="1001"/>
    </row>
    <row r="275" spans="1:20" ht="36" hidden="1" x14ac:dyDescent="0.25">
      <c r="A275" s="76">
        <v>7221</v>
      </c>
      <c r="B275" s="127" t="s">
        <v>291</v>
      </c>
      <c r="C275" s="128">
        <f t="shared" si="18"/>
        <v>0</v>
      </c>
      <c r="D275" s="134"/>
      <c r="E275" s="285"/>
      <c r="F275" s="136">
        <f t="shared" si="19"/>
        <v>0</v>
      </c>
      <c r="G275" s="134"/>
      <c r="H275" s="135"/>
      <c r="I275" s="136">
        <f t="shared" si="20"/>
        <v>0</v>
      </c>
      <c r="J275" s="134"/>
      <c r="K275" s="135"/>
      <c r="L275" s="136">
        <f t="shared" si="21"/>
        <v>0</v>
      </c>
      <c r="M275" s="284"/>
      <c r="N275" s="285"/>
      <c r="O275" s="136">
        <f t="shared" si="22"/>
        <v>0</v>
      </c>
      <c r="P275" s="85"/>
      <c r="R275" s="1001"/>
      <c r="S275" s="1001"/>
      <c r="T275" s="1001"/>
    </row>
    <row r="276" spans="1:20" ht="36" hidden="1" x14ac:dyDescent="0.25">
      <c r="A276" s="76">
        <v>7222</v>
      </c>
      <c r="B276" s="127" t="s">
        <v>292</v>
      </c>
      <c r="C276" s="128">
        <f t="shared" si="18"/>
        <v>0</v>
      </c>
      <c r="D276" s="134"/>
      <c r="E276" s="285"/>
      <c r="F276" s="136">
        <f t="shared" si="19"/>
        <v>0</v>
      </c>
      <c r="G276" s="134"/>
      <c r="H276" s="135"/>
      <c r="I276" s="136">
        <f t="shared" si="20"/>
        <v>0</v>
      </c>
      <c r="J276" s="134"/>
      <c r="K276" s="135"/>
      <c r="L276" s="136">
        <f t="shared" si="21"/>
        <v>0</v>
      </c>
      <c r="M276" s="284"/>
      <c r="N276" s="285"/>
      <c r="O276" s="136">
        <f t="shared" si="22"/>
        <v>0</v>
      </c>
      <c r="P276" s="85"/>
      <c r="R276" s="1001"/>
      <c r="S276" s="1001"/>
      <c r="T276" s="1001"/>
    </row>
    <row r="277" spans="1:20" ht="24" hidden="1" x14ac:dyDescent="0.25">
      <c r="A277" s="276">
        <v>7230</v>
      </c>
      <c r="B277" s="127" t="s">
        <v>293</v>
      </c>
      <c r="C277" s="128">
        <f t="shared" si="18"/>
        <v>0</v>
      </c>
      <c r="D277" s="134"/>
      <c r="E277" s="285"/>
      <c r="F277" s="136">
        <f t="shared" si="19"/>
        <v>0</v>
      </c>
      <c r="G277" s="134"/>
      <c r="H277" s="135"/>
      <c r="I277" s="136">
        <f t="shared" si="20"/>
        <v>0</v>
      </c>
      <c r="J277" s="134"/>
      <c r="K277" s="135"/>
      <c r="L277" s="136">
        <f t="shared" si="21"/>
        <v>0</v>
      </c>
      <c r="M277" s="284"/>
      <c r="N277" s="285"/>
      <c r="O277" s="136">
        <f t="shared" si="22"/>
        <v>0</v>
      </c>
      <c r="P277" s="85"/>
      <c r="R277" s="1001"/>
      <c r="S277" s="1001"/>
      <c r="T277" s="1001"/>
    </row>
    <row r="278" spans="1:20" ht="24" hidden="1" x14ac:dyDescent="0.25">
      <c r="A278" s="276">
        <v>7240</v>
      </c>
      <c r="B278" s="127" t="s">
        <v>294</v>
      </c>
      <c r="C278" s="128">
        <f t="shared" si="18"/>
        <v>0</v>
      </c>
      <c r="D278" s="277">
        <f>SUM(D279:D280)</f>
        <v>0</v>
      </c>
      <c r="E278" s="282">
        <f>SUM(E279:E280)</f>
        <v>0</v>
      </c>
      <c r="F278" s="136">
        <f t="shared" si="19"/>
        <v>0</v>
      </c>
      <c r="G278" s="277">
        <f>SUM(G279:G280)</f>
        <v>0</v>
      </c>
      <c r="H278" s="280">
        <f>SUM(H279:H280)</f>
        <v>0</v>
      </c>
      <c r="I278" s="136">
        <f t="shared" si="20"/>
        <v>0</v>
      </c>
      <c r="J278" s="277">
        <f>SUM(J279:J280)</f>
        <v>0</v>
      </c>
      <c r="K278" s="280">
        <f>SUM(K279:K280)</f>
        <v>0</v>
      </c>
      <c r="L278" s="136">
        <f t="shared" si="21"/>
        <v>0</v>
      </c>
      <c r="M278" s="281">
        <f>SUM(M279:M280)</f>
        <v>0</v>
      </c>
      <c r="N278" s="282">
        <f>SUM(N279:N280)</f>
        <v>0</v>
      </c>
      <c r="O278" s="136">
        <f>SUM(O279:O280)</f>
        <v>0</v>
      </c>
      <c r="P278" s="85"/>
      <c r="R278" s="1001"/>
      <c r="S278" s="1001"/>
      <c r="T278" s="1001"/>
    </row>
    <row r="279" spans="1:20" ht="48" hidden="1" x14ac:dyDescent="0.25">
      <c r="A279" s="76">
        <v>7245</v>
      </c>
      <c r="B279" s="127" t="s">
        <v>295</v>
      </c>
      <c r="C279" s="128">
        <f t="shared" si="18"/>
        <v>0</v>
      </c>
      <c r="D279" s="134"/>
      <c r="E279" s="285"/>
      <c r="F279" s="136">
        <f t="shared" si="19"/>
        <v>0</v>
      </c>
      <c r="G279" s="134"/>
      <c r="H279" s="135"/>
      <c r="I279" s="136">
        <f t="shared" si="20"/>
        <v>0</v>
      </c>
      <c r="J279" s="134"/>
      <c r="K279" s="135"/>
      <c r="L279" s="136">
        <f t="shared" si="21"/>
        <v>0</v>
      </c>
      <c r="M279" s="284"/>
      <c r="N279" s="285"/>
      <c r="O279" s="136">
        <f t="shared" ref="O279:O299" si="23">M279+N279</f>
        <v>0</v>
      </c>
      <c r="P279" s="85"/>
      <c r="R279" s="1001"/>
      <c r="S279" s="1001"/>
      <c r="T279" s="1001"/>
    </row>
    <row r="280" spans="1:20" ht="72" hidden="1" customHeight="1" x14ac:dyDescent="0.25">
      <c r="A280" s="76">
        <v>7246</v>
      </c>
      <c r="B280" s="127" t="s">
        <v>296</v>
      </c>
      <c r="C280" s="128">
        <f t="shared" si="18"/>
        <v>0</v>
      </c>
      <c r="D280" s="134"/>
      <c r="E280" s="285"/>
      <c r="F280" s="136">
        <f t="shared" si="19"/>
        <v>0</v>
      </c>
      <c r="G280" s="134"/>
      <c r="H280" s="135"/>
      <c r="I280" s="136">
        <f t="shared" si="20"/>
        <v>0</v>
      </c>
      <c r="J280" s="134"/>
      <c r="K280" s="135"/>
      <c r="L280" s="136">
        <f t="shared" si="21"/>
        <v>0</v>
      </c>
      <c r="M280" s="284"/>
      <c r="N280" s="285"/>
      <c r="O280" s="136">
        <f t="shared" si="23"/>
        <v>0</v>
      </c>
      <c r="P280" s="85"/>
      <c r="R280" s="1001"/>
      <c r="S280" s="1001"/>
      <c r="T280" s="1001"/>
    </row>
    <row r="281" spans="1:20" ht="24" hidden="1" x14ac:dyDescent="0.25">
      <c r="A281" s="276">
        <v>7260</v>
      </c>
      <c r="B281" s="127" t="s">
        <v>297</v>
      </c>
      <c r="C281" s="128">
        <f t="shared" si="18"/>
        <v>0</v>
      </c>
      <c r="D281" s="123"/>
      <c r="E281" s="262"/>
      <c r="F281" s="125">
        <f t="shared" si="19"/>
        <v>0</v>
      </c>
      <c r="G281" s="123"/>
      <c r="H281" s="124"/>
      <c r="I281" s="125">
        <f t="shared" si="20"/>
        <v>0</v>
      </c>
      <c r="J281" s="123"/>
      <c r="K281" s="124"/>
      <c r="L281" s="125">
        <f t="shared" si="21"/>
        <v>0</v>
      </c>
      <c r="M281" s="264"/>
      <c r="N281" s="262"/>
      <c r="O281" s="125">
        <f t="shared" si="23"/>
        <v>0</v>
      </c>
      <c r="P281" s="74"/>
      <c r="R281" s="1001"/>
      <c r="S281" s="1001"/>
      <c r="T281" s="1001"/>
    </row>
    <row r="282" spans="1:20" hidden="1" x14ac:dyDescent="0.25">
      <c r="A282" s="99">
        <v>7700</v>
      </c>
      <c r="B282" s="247" t="s">
        <v>298</v>
      </c>
      <c r="C282" s="359">
        <f t="shared" si="18"/>
        <v>0</v>
      </c>
      <c r="D282" s="360">
        <f>D283</f>
        <v>0</v>
      </c>
      <c r="E282" s="304">
        <f>SUM(E283)</f>
        <v>0</v>
      </c>
      <c r="F282" s="305">
        <f t="shared" si="19"/>
        <v>0</v>
      </c>
      <c r="G282" s="360">
        <f>G283</f>
        <v>0</v>
      </c>
      <c r="H282" s="361">
        <f>SUM(H283)</f>
        <v>0</v>
      </c>
      <c r="I282" s="305">
        <f t="shared" si="20"/>
        <v>0</v>
      </c>
      <c r="J282" s="360">
        <f>J283</f>
        <v>0</v>
      </c>
      <c r="K282" s="361">
        <f>SUM(K283)</f>
        <v>0</v>
      </c>
      <c r="L282" s="305">
        <f t="shared" si="21"/>
        <v>0</v>
      </c>
      <c r="M282" s="303">
        <f>SUM(M283)</f>
        <v>0</v>
      </c>
      <c r="N282" s="304">
        <f>SUM(N283)</f>
        <v>0</v>
      </c>
      <c r="O282" s="305">
        <f t="shared" si="23"/>
        <v>0</v>
      </c>
      <c r="P282" s="306"/>
      <c r="R282" s="1001"/>
      <c r="S282" s="1001"/>
      <c r="T282" s="1001"/>
    </row>
    <row r="283" spans="1:20" hidden="1" x14ac:dyDescent="0.25">
      <c r="A283" s="141">
        <v>7720</v>
      </c>
      <c r="B283" s="142" t="s">
        <v>299</v>
      </c>
      <c r="C283" s="362">
        <f t="shared" si="18"/>
        <v>0</v>
      </c>
      <c r="D283" s="149"/>
      <c r="E283" s="363"/>
      <c r="F283" s="151">
        <f t="shared" si="19"/>
        <v>0</v>
      </c>
      <c r="G283" s="149"/>
      <c r="H283" s="150"/>
      <c r="I283" s="151">
        <f t="shared" si="20"/>
        <v>0</v>
      </c>
      <c r="J283" s="149"/>
      <c r="K283" s="150"/>
      <c r="L283" s="151">
        <f t="shared" si="21"/>
        <v>0</v>
      </c>
      <c r="M283" s="365"/>
      <c r="N283" s="363"/>
      <c r="O283" s="151">
        <f t="shared" si="23"/>
        <v>0</v>
      </c>
      <c r="P283" s="153"/>
      <c r="R283" s="1001"/>
      <c r="S283" s="1001"/>
      <c r="T283" s="1001"/>
    </row>
    <row r="284" spans="1:20" hidden="1" x14ac:dyDescent="0.25">
      <c r="A284" s="366"/>
      <c r="B284" s="179" t="s">
        <v>300</v>
      </c>
      <c r="C284" s="117">
        <f t="shared" si="18"/>
        <v>0</v>
      </c>
      <c r="D284" s="255">
        <f>SUM(D285:D286)</f>
        <v>0</v>
      </c>
      <c r="E284" s="261">
        <f>SUM(E285:E286)</f>
        <v>0</v>
      </c>
      <c r="F284" s="259">
        <f t="shared" si="19"/>
        <v>0</v>
      </c>
      <c r="G284" s="255">
        <f>SUM(G285:G286)</f>
        <v>0</v>
      </c>
      <c r="H284" s="258">
        <f>SUM(H285:H286)</f>
        <v>0</v>
      </c>
      <c r="I284" s="259">
        <f t="shared" si="20"/>
        <v>0</v>
      </c>
      <c r="J284" s="255">
        <f>SUM(J285:J286)</f>
        <v>0</v>
      </c>
      <c r="K284" s="258">
        <f>SUM(K285:K286)</f>
        <v>0</v>
      </c>
      <c r="L284" s="259">
        <f t="shared" si="21"/>
        <v>0</v>
      </c>
      <c r="M284" s="260">
        <f>SUM(M285:M286)</f>
        <v>0</v>
      </c>
      <c r="N284" s="261">
        <f>SUM(N285:N286)</f>
        <v>0</v>
      </c>
      <c r="O284" s="259">
        <f t="shared" si="23"/>
        <v>0</v>
      </c>
      <c r="P284" s="189"/>
      <c r="R284" s="1001"/>
      <c r="S284" s="1001"/>
      <c r="T284" s="1001"/>
    </row>
    <row r="285" spans="1:20" hidden="1" x14ac:dyDescent="0.25">
      <c r="A285" s="346" t="s">
        <v>301</v>
      </c>
      <c r="B285" s="76" t="s">
        <v>302</v>
      </c>
      <c r="C285" s="279">
        <f t="shared" si="18"/>
        <v>0</v>
      </c>
      <c r="D285" s="134"/>
      <c r="E285" s="285"/>
      <c r="F285" s="136">
        <f t="shared" si="19"/>
        <v>0</v>
      </c>
      <c r="G285" s="134"/>
      <c r="H285" s="135"/>
      <c r="I285" s="136">
        <f t="shared" si="20"/>
        <v>0</v>
      </c>
      <c r="J285" s="134"/>
      <c r="K285" s="135"/>
      <c r="L285" s="136">
        <f t="shared" si="21"/>
        <v>0</v>
      </c>
      <c r="M285" s="284"/>
      <c r="N285" s="285"/>
      <c r="O285" s="136">
        <f t="shared" si="23"/>
        <v>0</v>
      </c>
      <c r="P285" s="85"/>
      <c r="R285" s="1001"/>
      <c r="S285" s="1001"/>
      <c r="T285" s="1001"/>
    </row>
    <row r="286" spans="1:20" hidden="1" x14ac:dyDescent="0.25">
      <c r="A286" s="346" t="s">
        <v>303</v>
      </c>
      <c r="B286" s="367" t="s">
        <v>304</v>
      </c>
      <c r="C286" s="117">
        <f t="shared" si="18"/>
        <v>0</v>
      </c>
      <c r="D286" s="123"/>
      <c r="E286" s="262"/>
      <c r="F286" s="125">
        <f t="shared" si="19"/>
        <v>0</v>
      </c>
      <c r="G286" s="123"/>
      <c r="H286" s="124"/>
      <c r="I286" s="125">
        <f t="shared" si="20"/>
        <v>0</v>
      </c>
      <c r="J286" s="123"/>
      <c r="K286" s="124"/>
      <c r="L286" s="125">
        <f t="shared" si="21"/>
        <v>0</v>
      </c>
      <c r="M286" s="264"/>
      <c r="N286" s="262"/>
      <c r="O286" s="125">
        <f t="shared" si="23"/>
        <v>0</v>
      </c>
      <c r="P286" s="74"/>
      <c r="R286" s="1001"/>
      <c r="S286" s="1001"/>
      <c r="T286" s="1001"/>
    </row>
    <row r="287" spans="1:20" x14ac:dyDescent="0.25">
      <c r="A287" s="368"/>
      <c r="B287" s="369" t="s">
        <v>305</v>
      </c>
      <c r="C287" s="370">
        <f t="shared" si="18"/>
        <v>651820</v>
      </c>
      <c r="D287" s="371">
        <f>SUM(D284,D271,D233,D198,D190,D176,D78,D56)</f>
        <v>457279</v>
      </c>
      <c r="E287" s="372">
        <f>SUM(E284,E271,E233,E198,E190,E176,E78,E56)</f>
        <v>0</v>
      </c>
      <c r="F287" s="373">
        <f t="shared" si="19"/>
        <v>457279</v>
      </c>
      <c r="G287" s="371">
        <f>SUM(G284,G271,G233,G198,G190,G176,G78,G56)</f>
        <v>172980</v>
      </c>
      <c r="H287" s="374">
        <f>SUM(H284,H271,H233,H198,H190,H176,H78,H56)</f>
        <v>0</v>
      </c>
      <c r="I287" s="375">
        <f t="shared" si="20"/>
        <v>172980</v>
      </c>
      <c r="J287" s="371">
        <f>SUM(J284,J271,J233,J198,J190,J176,J78,J56)</f>
        <v>21561</v>
      </c>
      <c r="K287" s="374">
        <f>SUM(K284,K271,K233,K198,K190,K176,K78,K56)</f>
        <v>0</v>
      </c>
      <c r="L287" s="375">
        <f t="shared" si="21"/>
        <v>21561</v>
      </c>
      <c r="M287" s="250">
        <f>SUM(M284,M271,M233,M198,M190,M176,M78,M56)</f>
        <v>0</v>
      </c>
      <c r="N287" s="251">
        <f>SUM(N284,N271,N233,N198,N190,N176,N78,N56)</f>
        <v>0</v>
      </c>
      <c r="O287" s="252">
        <f t="shared" si="23"/>
        <v>0</v>
      </c>
      <c r="P287" s="253"/>
      <c r="R287" s="1001"/>
      <c r="S287" s="1001"/>
      <c r="T287" s="1001"/>
    </row>
    <row r="288" spans="1:20" x14ac:dyDescent="0.25">
      <c r="A288" s="376" t="s">
        <v>306</v>
      </c>
      <c r="B288" s="377"/>
      <c r="C288" s="378">
        <f t="shared" si="18"/>
        <v>-2000</v>
      </c>
      <c r="D288" s="379">
        <f>SUM(D28,D29,D45)-D54</f>
        <v>0</v>
      </c>
      <c r="E288" s="380">
        <f>SUM(E28,E29,E45)-E54</f>
        <v>0</v>
      </c>
      <c r="F288" s="381">
        <f t="shared" si="19"/>
        <v>0</v>
      </c>
      <c r="G288" s="379">
        <f>SUM(G28,G29,G45)-G54</f>
        <v>0</v>
      </c>
      <c r="H288" s="382">
        <f>SUM(H28,H29,H45)-H54</f>
        <v>0</v>
      </c>
      <c r="I288" s="383">
        <f t="shared" si="20"/>
        <v>0</v>
      </c>
      <c r="J288" s="379">
        <f>(J30+J46)-J54</f>
        <v>-2000</v>
      </c>
      <c r="K288" s="382">
        <f>(K30+K46)-K54</f>
        <v>0</v>
      </c>
      <c r="L288" s="383">
        <f t="shared" si="21"/>
        <v>-2000</v>
      </c>
      <c r="M288" s="378">
        <f>M48-M54</f>
        <v>0</v>
      </c>
      <c r="N288" s="384">
        <f>N48-N54</f>
        <v>0</v>
      </c>
      <c r="O288" s="383">
        <f t="shared" si="23"/>
        <v>0</v>
      </c>
      <c r="P288" s="385"/>
      <c r="R288" s="1001"/>
      <c r="S288" s="1001"/>
      <c r="T288" s="1001"/>
    </row>
    <row r="289" spans="1:20" x14ac:dyDescent="0.25">
      <c r="A289" s="376" t="s">
        <v>307</v>
      </c>
      <c r="B289" s="377"/>
      <c r="C289" s="380">
        <f t="shared" si="18"/>
        <v>2000</v>
      </c>
      <c r="D289" s="379">
        <f>SUM(D290,D291)-D298+D299</f>
        <v>0</v>
      </c>
      <c r="E289" s="380">
        <f>SUM(E290,E291)-E298+E299</f>
        <v>0</v>
      </c>
      <c r="F289" s="381">
        <f t="shared" si="19"/>
        <v>0</v>
      </c>
      <c r="G289" s="379">
        <f>SUM(G290,G291)-G298+G299</f>
        <v>0</v>
      </c>
      <c r="H289" s="382">
        <f>SUM(H290,H291)-H298+H299</f>
        <v>0</v>
      </c>
      <c r="I289" s="383">
        <f t="shared" si="20"/>
        <v>0</v>
      </c>
      <c r="J289" s="379">
        <f>SUM(J290,J291)-J298+J299</f>
        <v>2000</v>
      </c>
      <c r="K289" s="382">
        <f>SUM(K290,K291)-K298+K299</f>
        <v>0</v>
      </c>
      <c r="L289" s="383">
        <f t="shared" si="21"/>
        <v>2000</v>
      </c>
      <c r="M289" s="378">
        <f>SUM(M290,M291)-M298+M299</f>
        <v>0</v>
      </c>
      <c r="N289" s="384">
        <f>SUM(N290,N291)-N298+N299</f>
        <v>0</v>
      </c>
      <c r="O289" s="383">
        <f t="shared" si="23"/>
        <v>0</v>
      </c>
      <c r="P289" s="385"/>
      <c r="R289" s="1001"/>
      <c r="S289" s="1001"/>
      <c r="T289" s="1001"/>
    </row>
    <row r="290" spans="1:20" x14ac:dyDescent="0.25">
      <c r="A290" s="386" t="s">
        <v>308</v>
      </c>
      <c r="B290" s="386" t="s">
        <v>309</v>
      </c>
      <c r="C290" s="380">
        <f t="shared" si="18"/>
        <v>2000</v>
      </c>
      <c r="D290" s="379">
        <f>D25-D284</f>
        <v>0</v>
      </c>
      <c r="E290" s="380">
        <f>E25-E284</f>
        <v>0</v>
      </c>
      <c r="F290" s="381">
        <f t="shared" si="19"/>
        <v>0</v>
      </c>
      <c r="G290" s="379">
        <f>G25-G284</f>
        <v>0</v>
      </c>
      <c r="H290" s="382">
        <f>H25-H284</f>
        <v>0</v>
      </c>
      <c r="I290" s="383">
        <f t="shared" si="20"/>
        <v>0</v>
      </c>
      <c r="J290" s="379">
        <f>J25-J284</f>
        <v>2000</v>
      </c>
      <c r="K290" s="382">
        <f>K25-K284</f>
        <v>0</v>
      </c>
      <c r="L290" s="383">
        <f t="shared" si="21"/>
        <v>2000</v>
      </c>
      <c r="M290" s="378">
        <f>M25-M284</f>
        <v>0</v>
      </c>
      <c r="N290" s="384">
        <f>N25-N284</f>
        <v>0</v>
      </c>
      <c r="O290" s="383">
        <f t="shared" si="23"/>
        <v>0</v>
      </c>
      <c r="P290" s="385"/>
      <c r="R290" s="1001"/>
      <c r="S290" s="1001"/>
      <c r="T290" s="1001"/>
    </row>
    <row r="291" spans="1:20" hidden="1" x14ac:dyDescent="0.25">
      <c r="A291" s="387" t="s">
        <v>310</v>
      </c>
      <c r="B291" s="387" t="s">
        <v>311</v>
      </c>
      <c r="C291" s="380">
        <f t="shared" si="18"/>
        <v>0</v>
      </c>
      <c r="D291" s="379">
        <f>SUM(D292,D294,D296)-SUM(D293,D295,D297)</f>
        <v>0</v>
      </c>
      <c r="E291" s="384">
        <f>SUM(E292,E294,E296)-SUM(E293,E295,E297)</f>
        <v>0</v>
      </c>
      <c r="F291" s="383">
        <f t="shared" si="19"/>
        <v>0</v>
      </c>
      <c r="G291" s="379">
        <f>SUM(G292,G294,G296)-SUM(G293,G295,G297)</f>
        <v>0</v>
      </c>
      <c r="H291" s="382">
        <f>SUM(H292,H294,H296)-SUM(H293,H295,H297)</f>
        <v>0</v>
      </c>
      <c r="I291" s="383">
        <f t="shared" si="20"/>
        <v>0</v>
      </c>
      <c r="J291" s="379">
        <f>SUM(J292,J294,J296)-SUM(J293,J295,J297)</f>
        <v>0</v>
      </c>
      <c r="K291" s="382">
        <f>SUM(K292,K294,K296)-SUM(K293,K295,K297)</f>
        <v>0</v>
      </c>
      <c r="L291" s="383">
        <f t="shared" si="21"/>
        <v>0</v>
      </c>
      <c r="M291" s="378">
        <f>SUM(M292,M294,M296)-SUM(M293,M295,M297)</f>
        <v>0</v>
      </c>
      <c r="N291" s="384">
        <f>SUM(N292,N294,N296)-SUM(N293,N295,N297)</f>
        <v>0</v>
      </c>
      <c r="O291" s="383">
        <f t="shared" si="23"/>
        <v>0</v>
      </c>
      <c r="P291" s="385"/>
      <c r="R291" s="1001"/>
      <c r="S291" s="1001"/>
      <c r="T291" s="1001"/>
    </row>
    <row r="292" spans="1:20" hidden="1" x14ac:dyDescent="0.25">
      <c r="A292" s="366" t="s">
        <v>312</v>
      </c>
      <c r="B292" s="190" t="s">
        <v>313</v>
      </c>
      <c r="C292" s="143">
        <f t="shared" si="18"/>
        <v>0</v>
      </c>
      <c r="D292" s="149"/>
      <c r="E292" s="363"/>
      <c r="F292" s="151">
        <f t="shared" si="19"/>
        <v>0</v>
      </c>
      <c r="G292" s="149"/>
      <c r="H292" s="150"/>
      <c r="I292" s="151">
        <f t="shared" si="20"/>
        <v>0</v>
      </c>
      <c r="J292" s="149"/>
      <c r="K292" s="150"/>
      <c r="L292" s="151">
        <f t="shared" si="21"/>
        <v>0</v>
      </c>
      <c r="M292" s="365"/>
      <c r="N292" s="363"/>
      <c r="O292" s="151">
        <f t="shared" si="23"/>
        <v>0</v>
      </c>
      <c r="P292" s="153"/>
      <c r="R292" s="1001"/>
      <c r="S292" s="1001"/>
      <c r="T292" s="1001"/>
    </row>
    <row r="293" spans="1:20" hidden="1" x14ac:dyDescent="0.25">
      <c r="A293" s="346" t="s">
        <v>314</v>
      </c>
      <c r="B293" s="75" t="s">
        <v>315</v>
      </c>
      <c r="C293" s="128">
        <f t="shared" si="18"/>
        <v>0</v>
      </c>
      <c r="D293" s="134"/>
      <c r="E293" s="285"/>
      <c r="F293" s="136">
        <f t="shared" si="19"/>
        <v>0</v>
      </c>
      <c r="G293" s="134"/>
      <c r="H293" s="135"/>
      <c r="I293" s="136">
        <f t="shared" si="20"/>
        <v>0</v>
      </c>
      <c r="J293" s="134"/>
      <c r="K293" s="135"/>
      <c r="L293" s="136">
        <f t="shared" si="21"/>
        <v>0</v>
      </c>
      <c r="M293" s="284"/>
      <c r="N293" s="285"/>
      <c r="O293" s="136">
        <f t="shared" si="23"/>
        <v>0</v>
      </c>
      <c r="P293" s="85"/>
      <c r="R293" s="1001"/>
      <c r="S293" s="1001"/>
      <c r="T293" s="1001"/>
    </row>
    <row r="294" spans="1:20" hidden="1" x14ac:dyDescent="0.25">
      <c r="A294" s="346" t="s">
        <v>316</v>
      </c>
      <c r="B294" s="75" t="s">
        <v>317</v>
      </c>
      <c r="C294" s="128">
        <f t="shared" si="18"/>
        <v>0</v>
      </c>
      <c r="D294" s="134"/>
      <c r="E294" s="285"/>
      <c r="F294" s="136">
        <f t="shared" si="19"/>
        <v>0</v>
      </c>
      <c r="G294" s="134"/>
      <c r="H294" s="135"/>
      <c r="I294" s="136">
        <f t="shared" si="20"/>
        <v>0</v>
      </c>
      <c r="J294" s="134"/>
      <c r="K294" s="135"/>
      <c r="L294" s="136">
        <f t="shared" si="21"/>
        <v>0</v>
      </c>
      <c r="M294" s="284"/>
      <c r="N294" s="285"/>
      <c r="O294" s="136">
        <f t="shared" si="23"/>
        <v>0</v>
      </c>
      <c r="P294" s="85"/>
      <c r="R294" s="1001"/>
      <c r="S294" s="1001"/>
      <c r="T294" s="1001"/>
    </row>
    <row r="295" spans="1:20" hidden="1" x14ac:dyDescent="0.25">
      <c r="A295" s="346" t="s">
        <v>318</v>
      </c>
      <c r="B295" s="75" t="s">
        <v>319</v>
      </c>
      <c r="C295" s="128">
        <f t="shared" si="18"/>
        <v>0</v>
      </c>
      <c r="D295" s="134"/>
      <c r="E295" s="285"/>
      <c r="F295" s="136">
        <f t="shared" si="19"/>
        <v>0</v>
      </c>
      <c r="G295" s="134"/>
      <c r="H295" s="135"/>
      <c r="I295" s="136">
        <f t="shared" si="20"/>
        <v>0</v>
      </c>
      <c r="J295" s="134"/>
      <c r="K295" s="135"/>
      <c r="L295" s="136">
        <f t="shared" si="21"/>
        <v>0</v>
      </c>
      <c r="M295" s="284"/>
      <c r="N295" s="285"/>
      <c r="O295" s="136">
        <f t="shared" si="23"/>
        <v>0</v>
      </c>
      <c r="P295" s="85"/>
      <c r="R295" s="1001"/>
      <c r="S295" s="1001"/>
      <c r="T295" s="1001"/>
    </row>
    <row r="296" spans="1:20" hidden="1" x14ac:dyDescent="0.25">
      <c r="A296" s="346" t="s">
        <v>320</v>
      </c>
      <c r="B296" s="75" t="s">
        <v>321</v>
      </c>
      <c r="C296" s="128">
        <f t="shared" si="18"/>
        <v>0</v>
      </c>
      <c r="D296" s="134"/>
      <c r="E296" s="285"/>
      <c r="F296" s="136">
        <f t="shared" si="19"/>
        <v>0</v>
      </c>
      <c r="G296" s="134"/>
      <c r="H296" s="135"/>
      <c r="I296" s="136">
        <f t="shared" si="20"/>
        <v>0</v>
      </c>
      <c r="J296" s="134"/>
      <c r="K296" s="135"/>
      <c r="L296" s="136">
        <f t="shared" si="21"/>
        <v>0</v>
      </c>
      <c r="M296" s="284"/>
      <c r="N296" s="285"/>
      <c r="O296" s="136">
        <f t="shared" si="23"/>
        <v>0</v>
      </c>
      <c r="P296" s="85"/>
      <c r="R296" s="1001"/>
      <c r="S296" s="1001"/>
      <c r="T296" s="1001"/>
    </row>
    <row r="297" spans="1:20" hidden="1" x14ac:dyDescent="0.25">
      <c r="A297" s="389" t="s">
        <v>322</v>
      </c>
      <c r="B297" s="390" t="s">
        <v>323</v>
      </c>
      <c r="C297" s="327">
        <f t="shared" si="18"/>
        <v>0</v>
      </c>
      <c r="D297" s="328"/>
      <c r="E297" s="329"/>
      <c r="F297" s="324">
        <f t="shared" si="19"/>
        <v>0</v>
      </c>
      <c r="G297" s="328"/>
      <c r="H297" s="331"/>
      <c r="I297" s="324">
        <f t="shared" si="20"/>
        <v>0</v>
      </c>
      <c r="J297" s="328"/>
      <c r="K297" s="331"/>
      <c r="L297" s="324">
        <f t="shared" si="21"/>
        <v>0</v>
      </c>
      <c r="M297" s="332"/>
      <c r="N297" s="329"/>
      <c r="O297" s="324">
        <f t="shared" si="23"/>
        <v>0</v>
      </c>
      <c r="P297" s="325"/>
      <c r="R297" s="1001"/>
      <c r="S297" s="1001"/>
      <c r="T297" s="1001"/>
    </row>
    <row r="298" spans="1:20" hidden="1" x14ac:dyDescent="0.25">
      <c r="A298" s="387" t="s">
        <v>324</v>
      </c>
      <c r="B298" s="387" t="s">
        <v>325</v>
      </c>
      <c r="C298" s="391">
        <f t="shared" si="18"/>
        <v>0</v>
      </c>
      <c r="D298" s="392"/>
      <c r="E298" s="393"/>
      <c r="F298" s="383">
        <f t="shared" si="19"/>
        <v>0</v>
      </c>
      <c r="G298" s="392"/>
      <c r="H298" s="394"/>
      <c r="I298" s="383">
        <f t="shared" si="20"/>
        <v>0</v>
      </c>
      <c r="J298" s="392"/>
      <c r="K298" s="394"/>
      <c r="L298" s="383">
        <f t="shared" si="21"/>
        <v>0</v>
      </c>
      <c r="M298" s="395"/>
      <c r="N298" s="393"/>
      <c r="O298" s="383">
        <f t="shared" si="23"/>
        <v>0</v>
      </c>
      <c r="P298" s="385"/>
      <c r="R298" s="1001"/>
      <c r="S298" s="1001"/>
      <c r="T298" s="1001"/>
    </row>
    <row r="299" spans="1:20" ht="36" hidden="1" x14ac:dyDescent="0.25">
      <c r="A299" s="387" t="s">
        <v>326</v>
      </c>
      <c r="B299" s="396" t="s">
        <v>327</v>
      </c>
      <c r="C299" s="397">
        <f t="shared" si="18"/>
        <v>0</v>
      </c>
      <c r="D299" s="398"/>
      <c r="E299" s="399"/>
      <c r="F299" s="521">
        <f t="shared" si="19"/>
        <v>0</v>
      </c>
      <c r="G299" s="392"/>
      <c r="H299" s="394"/>
      <c r="I299" s="383">
        <f t="shared" si="20"/>
        <v>0</v>
      </c>
      <c r="J299" s="392"/>
      <c r="K299" s="394"/>
      <c r="L299" s="383">
        <f t="shared" si="21"/>
        <v>0</v>
      </c>
      <c r="M299" s="395"/>
      <c r="N299" s="393"/>
      <c r="O299" s="383">
        <f t="shared" si="23"/>
        <v>0</v>
      </c>
      <c r="P299" s="910"/>
      <c r="Q299" s="610"/>
      <c r="R299" s="1001"/>
      <c r="S299" s="1001"/>
      <c r="T299" s="1001"/>
    </row>
    <row r="300" spans="1:20" x14ac:dyDescent="0.25">
      <c r="A300" s="401" t="s">
        <v>328</v>
      </c>
      <c r="B300" s="402"/>
      <c r="C300" s="402"/>
      <c r="D300" s="402"/>
      <c r="E300" s="402"/>
      <c r="F300" s="402"/>
      <c r="G300" s="402"/>
      <c r="H300" s="402"/>
      <c r="I300" s="402"/>
      <c r="J300" s="402"/>
      <c r="K300" s="402"/>
      <c r="L300" s="402"/>
      <c r="M300" s="402"/>
      <c r="N300" s="402"/>
      <c r="O300" s="402"/>
      <c r="P300" s="402"/>
      <c r="Q300" s="610"/>
    </row>
    <row r="301" spans="1:20" ht="15.75" thickBot="1" x14ac:dyDescent="0.3">
      <c r="A301" s="404"/>
      <c r="B301" s="405"/>
      <c r="C301" s="405"/>
      <c r="D301" s="405"/>
      <c r="E301" s="405"/>
      <c r="F301" s="405"/>
      <c r="G301" s="405"/>
      <c r="H301" s="405"/>
      <c r="I301" s="405"/>
      <c r="J301" s="405"/>
      <c r="K301" s="405"/>
      <c r="L301" s="405"/>
      <c r="M301" s="405"/>
      <c r="N301" s="405"/>
      <c r="O301" s="405"/>
      <c r="P301" s="405"/>
      <c r="Q301" s="610"/>
    </row>
  </sheetData>
  <sheetProtection algorithmName="SHA-512" hashValue="bPxbyTSMm5Ioa4g8Hym2DODg94bIE1EzjOB/engOcfJlwVO/7HZqNAeW3qZ/cODbM4lnn/qApvw5cjlw0z/Vow==" saltValue="p9IFtIgvkVoh+JzxCQpJFQ==" spinCount="100000" sheet="1" objects="1" scenarios="1" selectLockedCells="1" selectUnlockedCells="1"/>
  <autoFilter ref="A22:P300">
    <filterColumn colId="2">
      <filters blank="1">
        <filter val="1 067"/>
        <filter val="1 068"/>
        <filter val="1 173"/>
        <filter val="1 243"/>
        <filter val="1 664"/>
        <filter val="1 699"/>
        <filter val="1 805"/>
        <filter val="105 346"/>
        <filter val="12 806"/>
        <filter val="13 281"/>
        <filter val="135 546"/>
        <filter val="143"/>
        <filter val="16 326"/>
        <filter val="166"/>
        <filter val="19 496"/>
        <filter val="2 000"/>
        <filter val="-2 000"/>
        <filter val="2 030"/>
        <filter val="2 241"/>
        <filter val="2 260"/>
        <filter val="2 460"/>
        <filter val="2 662"/>
        <filter val="2 815"/>
        <filter val="20 319"/>
        <filter val="21 003"/>
        <filter val="23 727"/>
        <filter val="285"/>
        <filter val="295"/>
        <filter val="3 446"/>
        <filter val="3 565"/>
        <filter val="3 591"/>
        <filter val="3 748"/>
        <filter val="30 200"/>
        <filter val="32 844"/>
        <filter val="349"/>
        <filter val="35"/>
        <filter val="36 269"/>
        <filter val="374 560"/>
        <filter val="38 832"/>
        <filter val="399"/>
        <filter val="4 529"/>
        <filter val="402"/>
        <filter val="41"/>
        <filter val="415 197"/>
        <filter val="44"/>
        <filter val="47 339"/>
        <filter val="5 075"/>
        <filter val="5 250"/>
        <filter val="5 361"/>
        <filter val="5 739"/>
        <filter val="5 880"/>
        <filter val="550 743"/>
        <filter val="576"/>
        <filter val="580"/>
        <filter val="59 733"/>
        <filter val="6 215"/>
        <filter val="630 259"/>
        <filter val="646 745"/>
        <filter val="65"/>
        <filter val="651 820"/>
        <filter val="7 583"/>
        <filter val="7 602"/>
        <filter val="742"/>
        <filter val="904"/>
        <filter val="922"/>
        <filter val="96 002"/>
      </filters>
    </filterColumn>
  </autoFilter>
  <mergeCells count="30">
    <mergeCell ref="B19:B21"/>
    <mergeCell ref="C19:O19"/>
    <mergeCell ref="P19:P21"/>
    <mergeCell ref="C20:C21"/>
    <mergeCell ref="D20:D21"/>
    <mergeCell ref="E20:E21"/>
    <mergeCell ref="F20:F21"/>
    <mergeCell ref="G20:G21"/>
    <mergeCell ref="N20:N21"/>
    <mergeCell ref="O20:O21"/>
    <mergeCell ref="H20:H21"/>
    <mergeCell ref="I20:I21"/>
    <mergeCell ref="J20:J21"/>
    <mergeCell ref="K20:K21"/>
    <mergeCell ref="L20:L21"/>
    <mergeCell ref="M20:M21"/>
    <mergeCell ref="C17:P17"/>
    <mergeCell ref="A3:P3"/>
    <mergeCell ref="A4:P4"/>
    <mergeCell ref="C6:P6"/>
    <mergeCell ref="C7:P7"/>
    <mergeCell ref="C8:P8"/>
    <mergeCell ref="C9:P9"/>
    <mergeCell ref="C10:P10"/>
    <mergeCell ref="C11:P11"/>
    <mergeCell ref="C13:P13"/>
    <mergeCell ref="C14:P14"/>
    <mergeCell ref="C16:P16"/>
    <mergeCell ref="C18:P18"/>
    <mergeCell ref="A19:A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106.pielikums Jūrmalas pilsētas domes
2017.gada 30.janvāra saistošajiem noteikumiem Nr.10
(Protokols Nr.4, 1.punkts)
 </firstHeader>
    <firstFooter>&amp;L&amp;9&amp;D; &amp;T&amp;R&amp;9&amp;P (&amp;N)</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1"/>
  <sheetViews>
    <sheetView view="pageLayout" zoomScaleNormal="90" workbookViewId="0">
      <selection activeCell="S13" sqref="S13"/>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8" x14ac:dyDescent="0.25">
      <c r="B1" s="2"/>
      <c r="C1" s="2"/>
      <c r="D1" s="2"/>
      <c r="E1" s="2"/>
      <c r="F1" s="2"/>
      <c r="G1" s="2"/>
      <c r="H1" s="2"/>
      <c r="I1" s="2"/>
      <c r="J1" s="2"/>
      <c r="K1" s="2"/>
      <c r="L1" s="2"/>
      <c r="M1" s="3"/>
      <c r="N1" s="3"/>
      <c r="O1" s="4" t="s">
        <v>1183</v>
      </c>
    </row>
    <row r="2" spans="1:18" x14ac:dyDescent="0.25">
      <c r="A2" s="6"/>
      <c r="B2" s="6"/>
      <c r="C2" s="6"/>
      <c r="D2" s="6"/>
      <c r="E2" s="6"/>
      <c r="F2" s="6"/>
      <c r="G2" s="6"/>
      <c r="H2" s="6"/>
      <c r="I2" s="6"/>
      <c r="J2" s="6"/>
      <c r="K2" s="6"/>
      <c r="L2" s="6"/>
      <c r="M2" s="6"/>
      <c r="N2" s="6"/>
      <c r="O2" s="6"/>
      <c r="P2" s="6"/>
      <c r="R2" s="358"/>
    </row>
    <row r="3" spans="1:18" x14ac:dyDescent="0.25">
      <c r="A3" s="1557"/>
      <c r="B3" s="1558"/>
      <c r="C3" s="1558"/>
      <c r="D3" s="1558"/>
      <c r="E3" s="1558"/>
      <c r="F3" s="1558"/>
      <c r="G3" s="1558"/>
      <c r="H3" s="1558"/>
      <c r="I3" s="1558"/>
      <c r="J3" s="1558"/>
      <c r="K3" s="1558"/>
      <c r="L3" s="1558"/>
      <c r="M3" s="1558"/>
      <c r="N3" s="1558"/>
      <c r="O3" s="1558"/>
      <c r="P3" s="1559"/>
      <c r="Q3" s="7"/>
      <c r="R3" s="358"/>
    </row>
    <row r="4" spans="1:18" ht="15.75" x14ac:dyDescent="0.25">
      <c r="A4" s="1560" t="s">
        <v>1</v>
      </c>
      <c r="B4" s="1561"/>
      <c r="C4" s="1561"/>
      <c r="D4" s="1561"/>
      <c r="E4" s="1561"/>
      <c r="F4" s="1561"/>
      <c r="G4" s="1561"/>
      <c r="H4" s="1561"/>
      <c r="I4" s="1561"/>
      <c r="J4" s="1561"/>
      <c r="K4" s="1561"/>
      <c r="L4" s="1561"/>
      <c r="M4" s="1561"/>
      <c r="N4" s="1561"/>
      <c r="O4" s="1561"/>
      <c r="P4" s="1562"/>
      <c r="Q4" s="7"/>
    </row>
    <row r="5" spans="1:18" x14ac:dyDescent="0.25">
      <c r="A5" s="8"/>
      <c r="B5" s="9"/>
      <c r="C5" s="10"/>
      <c r="D5" s="9"/>
      <c r="E5" s="9"/>
      <c r="F5" s="9"/>
      <c r="G5" s="9"/>
      <c r="H5" s="9"/>
      <c r="I5" s="9"/>
      <c r="J5" s="9"/>
      <c r="K5" s="9"/>
      <c r="L5" s="9"/>
      <c r="M5" s="9"/>
      <c r="N5" s="9"/>
      <c r="O5" s="11"/>
      <c r="P5" s="12"/>
      <c r="Q5" s="7"/>
    </row>
    <row r="6" spans="1:18" ht="12.75" x14ac:dyDescent="0.25">
      <c r="A6" s="13" t="s">
        <v>2</v>
      </c>
      <c r="B6" s="14"/>
      <c r="C6" s="1555" t="s">
        <v>1184</v>
      </c>
      <c r="D6" s="1555"/>
      <c r="E6" s="1555"/>
      <c r="F6" s="1555"/>
      <c r="G6" s="1555"/>
      <c r="H6" s="1555"/>
      <c r="I6" s="1555"/>
      <c r="J6" s="1555"/>
      <c r="K6" s="1555"/>
      <c r="L6" s="1555"/>
      <c r="M6" s="1555"/>
      <c r="N6" s="1555"/>
      <c r="O6" s="1555"/>
      <c r="P6" s="1556"/>
      <c r="Q6" s="7"/>
    </row>
    <row r="7" spans="1:18" ht="12.75" x14ac:dyDescent="0.25">
      <c r="A7" s="13" t="s">
        <v>4</v>
      </c>
      <c r="B7" s="14"/>
      <c r="C7" s="1555" t="s">
        <v>1185</v>
      </c>
      <c r="D7" s="1555"/>
      <c r="E7" s="1555"/>
      <c r="F7" s="1555"/>
      <c r="G7" s="1555"/>
      <c r="H7" s="1555"/>
      <c r="I7" s="1555"/>
      <c r="J7" s="1555"/>
      <c r="K7" s="1555"/>
      <c r="L7" s="1555"/>
      <c r="M7" s="1555"/>
      <c r="N7" s="1555"/>
      <c r="O7" s="1555"/>
      <c r="P7" s="1556"/>
      <c r="Q7" s="7"/>
    </row>
    <row r="8" spans="1:18" x14ac:dyDescent="0.25">
      <c r="A8" s="8" t="s">
        <v>6</v>
      </c>
      <c r="B8" s="9"/>
      <c r="C8" s="1553" t="s">
        <v>1186</v>
      </c>
      <c r="D8" s="1553"/>
      <c r="E8" s="1553"/>
      <c r="F8" s="1553"/>
      <c r="G8" s="1553"/>
      <c r="H8" s="1553"/>
      <c r="I8" s="1553"/>
      <c r="J8" s="1553"/>
      <c r="K8" s="1553"/>
      <c r="L8" s="1553"/>
      <c r="M8" s="1553"/>
      <c r="N8" s="1553"/>
      <c r="O8" s="1553"/>
      <c r="P8" s="1554"/>
      <c r="Q8" s="7"/>
    </row>
    <row r="9" spans="1:18" x14ac:dyDescent="0.25">
      <c r="A9" s="8" t="s">
        <v>8</v>
      </c>
      <c r="B9" s="9"/>
      <c r="C9" s="1553" t="s">
        <v>333</v>
      </c>
      <c r="D9" s="1553"/>
      <c r="E9" s="1553"/>
      <c r="F9" s="1553"/>
      <c r="G9" s="1553"/>
      <c r="H9" s="1553"/>
      <c r="I9" s="1553"/>
      <c r="J9" s="1553"/>
      <c r="K9" s="1553"/>
      <c r="L9" s="1553"/>
      <c r="M9" s="1553"/>
      <c r="N9" s="1553"/>
      <c r="O9" s="1553"/>
      <c r="P9" s="1554"/>
      <c r="Q9" s="7"/>
    </row>
    <row r="10" spans="1:18" ht="23.25" customHeight="1" x14ac:dyDescent="0.25">
      <c r="A10" s="8" t="s">
        <v>10</v>
      </c>
      <c r="B10" s="9"/>
      <c r="C10" s="1555" t="s">
        <v>334</v>
      </c>
      <c r="D10" s="1555"/>
      <c r="E10" s="1555"/>
      <c r="F10" s="1555"/>
      <c r="G10" s="1555"/>
      <c r="H10" s="1555"/>
      <c r="I10" s="1555"/>
      <c r="J10" s="1555"/>
      <c r="K10" s="1555"/>
      <c r="L10" s="1555"/>
      <c r="M10" s="1555"/>
      <c r="N10" s="1555"/>
      <c r="O10" s="1555"/>
      <c r="P10" s="1556"/>
      <c r="Q10" s="7"/>
    </row>
    <row r="11" spans="1:18" x14ac:dyDescent="0.25">
      <c r="A11" s="8" t="s">
        <v>12</v>
      </c>
      <c r="B11" s="9"/>
      <c r="C11" s="1555" t="s">
        <v>439</v>
      </c>
      <c r="D11" s="1555"/>
      <c r="E11" s="1555"/>
      <c r="F11" s="1555"/>
      <c r="G11" s="1555"/>
      <c r="H11" s="1555"/>
      <c r="I11" s="1555"/>
      <c r="J11" s="1555"/>
      <c r="K11" s="1555"/>
      <c r="L11" s="1555"/>
      <c r="M11" s="1555"/>
      <c r="N11" s="1555"/>
      <c r="O11" s="1555"/>
      <c r="P11" s="1556"/>
      <c r="Q11" s="7"/>
    </row>
    <row r="12" spans="1:18" x14ac:dyDescent="0.25">
      <c r="A12" s="15" t="s">
        <v>14</v>
      </c>
      <c r="B12" s="9"/>
      <c r="C12" s="16"/>
      <c r="D12" s="16"/>
      <c r="E12" s="16"/>
      <c r="F12" s="16"/>
      <c r="G12" s="16"/>
      <c r="H12" s="16"/>
      <c r="I12" s="16"/>
      <c r="J12" s="16"/>
      <c r="K12" s="16"/>
      <c r="L12" s="16"/>
      <c r="M12" s="16"/>
      <c r="N12" s="16"/>
      <c r="O12" s="16"/>
      <c r="P12" s="17"/>
      <c r="Q12" s="7"/>
    </row>
    <row r="13" spans="1:18" x14ac:dyDescent="0.25">
      <c r="A13" s="8"/>
      <c r="B13" s="9" t="s">
        <v>15</v>
      </c>
      <c r="C13" s="1553" t="s">
        <v>1187</v>
      </c>
      <c r="D13" s="1553"/>
      <c r="E13" s="1553"/>
      <c r="F13" s="1553"/>
      <c r="G13" s="1553"/>
      <c r="H13" s="1553"/>
      <c r="I13" s="1553"/>
      <c r="J13" s="1553"/>
      <c r="K13" s="1553"/>
      <c r="L13" s="1553"/>
      <c r="M13" s="1553"/>
      <c r="N13" s="1553"/>
      <c r="O13" s="1553"/>
      <c r="P13" s="1554"/>
      <c r="Q13" s="7"/>
    </row>
    <row r="14" spans="1:18" x14ac:dyDescent="0.25">
      <c r="A14" s="8"/>
      <c r="B14" s="9" t="s">
        <v>17</v>
      </c>
      <c r="C14" s="1553" t="s">
        <v>1188</v>
      </c>
      <c r="D14" s="1553"/>
      <c r="E14" s="1553"/>
      <c r="F14" s="1553"/>
      <c r="G14" s="1553"/>
      <c r="H14" s="1553"/>
      <c r="I14" s="1553"/>
      <c r="J14" s="1553"/>
      <c r="K14" s="1553"/>
      <c r="L14" s="1553"/>
      <c r="M14" s="1553"/>
      <c r="N14" s="1553"/>
      <c r="O14" s="1553"/>
      <c r="P14" s="1554"/>
      <c r="Q14" s="7"/>
    </row>
    <row r="15" spans="1:18" x14ac:dyDescent="0.25">
      <c r="A15" s="8"/>
      <c r="B15" s="9" t="s">
        <v>19</v>
      </c>
      <c r="C15" s="1553"/>
      <c r="D15" s="1553"/>
      <c r="E15" s="1553"/>
      <c r="F15" s="1553"/>
      <c r="G15" s="1553"/>
      <c r="H15" s="1553"/>
      <c r="I15" s="1553"/>
      <c r="J15" s="1553"/>
      <c r="K15" s="1553"/>
      <c r="L15" s="1553"/>
      <c r="M15" s="1553"/>
      <c r="N15" s="1553"/>
      <c r="O15" s="1553"/>
      <c r="P15" s="1554"/>
      <c r="Q15" s="7"/>
    </row>
    <row r="16" spans="1:18" x14ac:dyDescent="0.25">
      <c r="A16" s="8"/>
      <c r="B16" s="9" t="s">
        <v>20</v>
      </c>
      <c r="C16" s="1553" t="s">
        <v>1189</v>
      </c>
      <c r="D16" s="1553"/>
      <c r="E16" s="1553"/>
      <c r="F16" s="1553"/>
      <c r="G16" s="1553"/>
      <c r="H16" s="1553"/>
      <c r="I16" s="1553"/>
      <c r="J16" s="1553"/>
      <c r="K16" s="1553"/>
      <c r="L16" s="1553"/>
      <c r="M16" s="1553"/>
      <c r="N16" s="1553"/>
      <c r="O16" s="1553"/>
      <c r="P16" s="1554"/>
      <c r="Q16" s="7"/>
    </row>
    <row r="17" spans="1:20" x14ac:dyDescent="0.25">
      <c r="A17" s="8"/>
      <c r="B17" s="9" t="s">
        <v>22</v>
      </c>
      <c r="C17" s="1553"/>
      <c r="D17" s="1553"/>
      <c r="E17" s="1553"/>
      <c r="F17" s="1553"/>
      <c r="G17" s="1553"/>
      <c r="H17" s="1553"/>
      <c r="I17" s="1553"/>
      <c r="J17" s="1553"/>
      <c r="K17" s="1553"/>
      <c r="L17" s="1553"/>
      <c r="M17" s="1553"/>
      <c r="N17" s="1553"/>
      <c r="O17" s="1553"/>
      <c r="P17" s="1554"/>
      <c r="Q17" s="7"/>
    </row>
    <row r="18" spans="1:20" x14ac:dyDescent="0.25">
      <c r="A18" s="18"/>
      <c r="B18" s="19"/>
      <c r="C18" s="1569"/>
      <c r="D18" s="1569"/>
      <c r="E18" s="1569"/>
      <c r="F18" s="1569"/>
      <c r="G18" s="1569"/>
      <c r="H18" s="1569"/>
      <c r="I18" s="1569"/>
      <c r="J18" s="1569"/>
      <c r="K18" s="1569"/>
      <c r="L18" s="1569"/>
      <c r="M18" s="1569"/>
      <c r="N18" s="1569"/>
      <c r="O18" s="1569"/>
      <c r="P18" s="1570"/>
      <c r="Q18" s="7"/>
    </row>
    <row r="19" spans="1:20"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0"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20" s="21" customFormat="1" ht="70.5" customHeight="1" thickBot="1" x14ac:dyDescent="0.3">
      <c r="A21" s="1573"/>
      <c r="B21" s="1576"/>
      <c r="C21" s="1581"/>
      <c r="D21" s="1566"/>
      <c r="E21" s="1568"/>
      <c r="F21" s="1564"/>
      <c r="G21" s="1566"/>
      <c r="H21" s="1568"/>
      <c r="I21" s="1564"/>
      <c r="J21" s="1566"/>
      <c r="K21" s="1568"/>
      <c r="L21" s="1564"/>
      <c r="M21" s="1566"/>
      <c r="N21" s="1568"/>
      <c r="O21" s="1564"/>
      <c r="P21" s="1576"/>
    </row>
    <row r="22" spans="1:20"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0" s="41" customFormat="1" x14ac:dyDescent="0.25">
      <c r="A23" s="30"/>
      <c r="B23" s="31" t="s">
        <v>41</v>
      </c>
      <c r="C23" s="32"/>
      <c r="D23" s="33"/>
      <c r="E23" s="34"/>
      <c r="F23" s="35"/>
      <c r="G23" s="33"/>
      <c r="H23" s="36"/>
      <c r="I23" s="37"/>
      <c r="J23" s="33"/>
      <c r="K23" s="38"/>
      <c r="L23" s="37"/>
      <c r="M23" s="38"/>
      <c r="N23" s="39"/>
      <c r="O23" s="37"/>
      <c r="P23" s="40"/>
    </row>
    <row r="24" spans="1:20" s="41" customFormat="1" ht="12.75" thickBot="1" x14ac:dyDescent="0.3">
      <c r="A24" s="42"/>
      <c r="B24" s="43" t="s">
        <v>42</v>
      </c>
      <c r="C24" s="44">
        <f>F24+I24+L24+O24</f>
        <v>660591</v>
      </c>
      <c r="D24" s="45">
        <f>SUM(D25,D28,D29,D45,D46)</f>
        <v>426714</v>
      </c>
      <c r="E24" s="46">
        <f>SUM(E25,E28,E29,E45,E46)</f>
        <v>0</v>
      </c>
      <c r="F24" s="47">
        <f t="shared" ref="F24:F29" si="0">D24+E24</f>
        <v>426714</v>
      </c>
      <c r="G24" s="45">
        <f>SUM(G25,G28,G46)</f>
        <v>179035</v>
      </c>
      <c r="H24" s="48">
        <f>SUM(H25,H28,H46)</f>
        <v>0</v>
      </c>
      <c r="I24" s="49">
        <f>G24+H24</f>
        <v>179035</v>
      </c>
      <c r="J24" s="45">
        <f>SUM(J25,J30,J46)</f>
        <v>54842</v>
      </c>
      <c r="K24" s="48">
        <f>SUM(K25,K30,K46)</f>
        <v>0</v>
      </c>
      <c r="L24" s="49">
        <f>J24+K24</f>
        <v>54842</v>
      </c>
      <c r="M24" s="50">
        <f>SUM(M25,M48)</f>
        <v>0</v>
      </c>
      <c r="N24" s="51">
        <f>SUM(N25,N48)</f>
        <v>0</v>
      </c>
      <c r="O24" s="49">
        <f>M24+N24</f>
        <v>0</v>
      </c>
      <c r="P24" s="52"/>
      <c r="R24" s="53"/>
      <c r="S24" s="53"/>
      <c r="T24" s="53"/>
    </row>
    <row r="25" spans="1:20" ht="12.75" thickTop="1" x14ac:dyDescent="0.25">
      <c r="A25" s="54"/>
      <c r="B25" s="55" t="s">
        <v>43</v>
      </c>
      <c r="C25" s="56">
        <f>F25+I25+L25+O25</f>
        <v>7782</v>
      </c>
      <c r="D25" s="57">
        <f>SUM(D26:D27)</f>
        <v>0</v>
      </c>
      <c r="E25" s="58">
        <f>SUM(E26:E27)</f>
        <v>0</v>
      </c>
      <c r="F25" s="59">
        <f t="shared" si="0"/>
        <v>0</v>
      </c>
      <c r="G25" s="57">
        <f>SUM(G26:G27)</f>
        <v>0</v>
      </c>
      <c r="H25" s="60">
        <f>SUM(H26:H27)</f>
        <v>0</v>
      </c>
      <c r="I25" s="61">
        <f>G25+H25</f>
        <v>0</v>
      </c>
      <c r="J25" s="57">
        <f>SUM(J26:J27)</f>
        <v>7782</v>
      </c>
      <c r="K25" s="60">
        <f>SUM(K26:K27)</f>
        <v>0</v>
      </c>
      <c r="L25" s="61">
        <f>J25+K25</f>
        <v>7782</v>
      </c>
      <c r="M25" s="62">
        <f>SUM(M26:M27)</f>
        <v>0</v>
      </c>
      <c r="N25" s="63">
        <f>SUM(N26:N27)</f>
        <v>0</v>
      </c>
      <c r="O25" s="61">
        <f>M25+N25</f>
        <v>0</v>
      </c>
      <c r="P25" s="64"/>
      <c r="R25" s="53"/>
      <c r="S25" s="53"/>
      <c r="T25" s="53"/>
    </row>
    <row r="26" spans="1:20" hidden="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c r="R26" s="53"/>
      <c r="S26" s="53"/>
      <c r="T26" s="53"/>
    </row>
    <row r="27" spans="1:20" x14ac:dyDescent="0.25">
      <c r="A27" s="75"/>
      <c r="B27" s="76" t="s">
        <v>45</v>
      </c>
      <c r="C27" s="77">
        <f>F27+I27+L27+O27</f>
        <v>7782</v>
      </c>
      <c r="D27" s="78"/>
      <c r="E27" s="79"/>
      <c r="F27" s="80">
        <f t="shared" si="0"/>
        <v>0</v>
      </c>
      <c r="G27" s="78"/>
      <c r="H27" s="81"/>
      <c r="I27" s="82">
        <f>G27+H27</f>
        <v>0</v>
      </c>
      <c r="J27" s="78">
        <v>7782</v>
      </c>
      <c r="K27" s="81"/>
      <c r="L27" s="82">
        <f>J27+K27</f>
        <v>7782</v>
      </c>
      <c r="M27" s="83"/>
      <c r="N27" s="84"/>
      <c r="O27" s="82">
        <f>M27+N27</f>
        <v>0</v>
      </c>
      <c r="P27" s="85"/>
      <c r="R27" s="53"/>
      <c r="S27" s="53"/>
      <c r="T27" s="53"/>
    </row>
    <row r="28" spans="1:20" s="41" customFormat="1" ht="24.75" thickBot="1" x14ac:dyDescent="0.3">
      <c r="A28" s="86">
        <v>19300</v>
      </c>
      <c r="B28" s="86" t="s">
        <v>46</v>
      </c>
      <c r="C28" s="87">
        <f>SUM(F28,I28)</f>
        <v>605749</v>
      </c>
      <c r="D28" s="88">
        <f>416984+3300+6430</f>
        <v>426714</v>
      </c>
      <c r="E28" s="89"/>
      <c r="F28" s="90">
        <f t="shared" si="0"/>
        <v>426714</v>
      </c>
      <c r="G28" s="88">
        <f>182601-3566</f>
        <v>179035</v>
      </c>
      <c r="H28" s="91"/>
      <c r="I28" s="92">
        <f>G28+H28</f>
        <v>179035</v>
      </c>
      <c r="J28" s="93" t="s">
        <v>47</v>
      </c>
      <c r="K28" s="94" t="s">
        <v>47</v>
      </c>
      <c r="L28" s="95" t="s">
        <v>47</v>
      </c>
      <c r="M28" s="96" t="s">
        <v>47</v>
      </c>
      <c r="N28" s="97" t="s">
        <v>47</v>
      </c>
      <c r="O28" s="95" t="s">
        <v>47</v>
      </c>
      <c r="P28" s="98"/>
      <c r="R28" s="53"/>
      <c r="S28" s="53"/>
      <c r="T28" s="53"/>
    </row>
    <row r="29" spans="1:20" s="41" customFormat="1" ht="31.5" hidden="1" customHeight="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c r="R29" s="53"/>
      <c r="S29" s="53"/>
      <c r="T29" s="53"/>
    </row>
    <row r="30" spans="1:20" s="41" customFormat="1" ht="36.75" thickTop="1" x14ac:dyDescent="0.25">
      <c r="A30" s="99">
        <v>21300</v>
      </c>
      <c r="B30" s="99" t="s">
        <v>49</v>
      </c>
      <c r="C30" s="100">
        <f t="shared" ref="C30:C44" si="1">L30</f>
        <v>31319</v>
      </c>
      <c r="D30" s="104" t="s">
        <v>47</v>
      </c>
      <c r="E30" s="110" t="s">
        <v>47</v>
      </c>
      <c r="F30" s="111" t="s">
        <v>47</v>
      </c>
      <c r="G30" s="104" t="s">
        <v>47</v>
      </c>
      <c r="H30" s="105" t="s">
        <v>47</v>
      </c>
      <c r="I30" s="106" t="s">
        <v>47</v>
      </c>
      <c r="J30" s="112">
        <f>SUM(J31,J35,J37,J40)</f>
        <v>31319</v>
      </c>
      <c r="K30" s="113">
        <f>SUM(K31,K35,K37,K40)</f>
        <v>0</v>
      </c>
      <c r="L30" s="114">
        <f t="shared" ref="L30:L44" si="2">J30+K30</f>
        <v>31319</v>
      </c>
      <c r="M30" s="107" t="s">
        <v>47</v>
      </c>
      <c r="N30" s="108" t="s">
        <v>47</v>
      </c>
      <c r="O30" s="106" t="s">
        <v>47</v>
      </c>
      <c r="P30" s="109"/>
      <c r="R30" s="53"/>
      <c r="S30" s="53"/>
      <c r="T30" s="53"/>
    </row>
    <row r="31" spans="1:20" s="41" customFormat="1" ht="24" x14ac:dyDescent="0.25">
      <c r="A31" s="115">
        <v>21350</v>
      </c>
      <c r="B31" s="99" t="s">
        <v>50</v>
      </c>
      <c r="C31" s="100">
        <f t="shared" si="1"/>
        <v>29054</v>
      </c>
      <c r="D31" s="104" t="s">
        <v>47</v>
      </c>
      <c r="E31" s="110" t="s">
        <v>47</v>
      </c>
      <c r="F31" s="111" t="s">
        <v>47</v>
      </c>
      <c r="G31" s="104" t="s">
        <v>47</v>
      </c>
      <c r="H31" s="105" t="s">
        <v>47</v>
      </c>
      <c r="I31" s="106" t="s">
        <v>47</v>
      </c>
      <c r="J31" s="112">
        <f>SUM(J32:J34)</f>
        <v>29054</v>
      </c>
      <c r="K31" s="113">
        <f>SUM(K32:K34)</f>
        <v>0</v>
      </c>
      <c r="L31" s="114">
        <f t="shared" si="2"/>
        <v>29054</v>
      </c>
      <c r="M31" s="107" t="s">
        <v>47</v>
      </c>
      <c r="N31" s="108" t="s">
        <v>47</v>
      </c>
      <c r="O31" s="106" t="s">
        <v>47</v>
      </c>
      <c r="P31" s="109"/>
      <c r="R31" s="53"/>
      <c r="S31" s="53"/>
      <c r="T31" s="53"/>
    </row>
    <row r="32" spans="1:20" hidden="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c r="R32" s="53"/>
      <c r="S32" s="53"/>
      <c r="T32" s="53"/>
    </row>
    <row r="33" spans="1:20" x14ac:dyDescent="0.25">
      <c r="A33" s="75">
        <v>21352</v>
      </c>
      <c r="B33" s="127" t="s">
        <v>52</v>
      </c>
      <c r="C33" s="128">
        <f t="shared" si="1"/>
        <v>11124</v>
      </c>
      <c r="D33" s="129" t="s">
        <v>47</v>
      </c>
      <c r="E33" s="130" t="s">
        <v>47</v>
      </c>
      <c r="F33" s="131" t="s">
        <v>47</v>
      </c>
      <c r="G33" s="129" t="s">
        <v>47</v>
      </c>
      <c r="H33" s="132" t="s">
        <v>47</v>
      </c>
      <c r="I33" s="133" t="s">
        <v>47</v>
      </c>
      <c r="J33" s="134">
        <v>11124</v>
      </c>
      <c r="K33" s="135"/>
      <c r="L33" s="136">
        <f t="shared" si="2"/>
        <v>11124</v>
      </c>
      <c r="M33" s="137" t="s">
        <v>47</v>
      </c>
      <c r="N33" s="138" t="s">
        <v>47</v>
      </c>
      <c r="O33" s="133" t="s">
        <v>47</v>
      </c>
      <c r="P33" s="85"/>
      <c r="R33" s="53"/>
      <c r="S33" s="53"/>
      <c r="T33" s="53"/>
    </row>
    <row r="34" spans="1:20" ht="24" x14ac:dyDescent="0.25">
      <c r="A34" s="75">
        <v>21359</v>
      </c>
      <c r="B34" s="127" t="s">
        <v>53</v>
      </c>
      <c r="C34" s="128">
        <f t="shared" si="1"/>
        <v>17930</v>
      </c>
      <c r="D34" s="129" t="s">
        <v>47</v>
      </c>
      <c r="E34" s="130" t="s">
        <v>47</v>
      </c>
      <c r="F34" s="131" t="s">
        <v>47</v>
      </c>
      <c r="G34" s="129" t="s">
        <v>47</v>
      </c>
      <c r="H34" s="132" t="s">
        <v>47</v>
      </c>
      <c r="I34" s="133" t="s">
        <v>47</v>
      </c>
      <c r="J34" s="134">
        <v>17930</v>
      </c>
      <c r="K34" s="135"/>
      <c r="L34" s="136">
        <f t="shared" si="2"/>
        <v>17930</v>
      </c>
      <c r="M34" s="137" t="s">
        <v>47</v>
      </c>
      <c r="N34" s="138" t="s">
        <v>47</v>
      </c>
      <c r="O34" s="133" t="s">
        <v>47</v>
      </c>
      <c r="P34" s="85"/>
      <c r="R34" s="53"/>
      <c r="S34" s="53"/>
      <c r="T34" s="53"/>
    </row>
    <row r="35" spans="1:20" s="41" customFormat="1" ht="36" hidden="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c r="R35" s="53"/>
      <c r="S35" s="53"/>
      <c r="T35" s="53"/>
    </row>
    <row r="36" spans="1:20" ht="36" hidden="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c r="R36" s="53"/>
      <c r="S36" s="53"/>
      <c r="T36" s="53"/>
    </row>
    <row r="37" spans="1:20" s="41" customFormat="1" x14ac:dyDescent="0.25">
      <c r="A37" s="115">
        <v>21380</v>
      </c>
      <c r="B37" s="99" t="s">
        <v>56</v>
      </c>
      <c r="C37" s="100">
        <f t="shared" si="1"/>
        <v>1965</v>
      </c>
      <c r="D37" s="104" t="s">
        <v>47</v>
      </c>
      <c r="E37" s="110" t="s">
        <v>47</v>
      </c>
      <c r="F37" s="111" t="s">
        <v>47</v>
      </c>
      <c r="G37" s="104" t="s">
        <v>47</v>
      </c>
      <c r="H37" s="105" t="s">
        <v>47</v>
      </c>
      <c r="I37" s="106" t="s">
        <v>47</v>
      </c>
      <c r="J37" s="112">
        <f>SUM(J38:J39)</f>
        <v>1965</v>
      </c>
      <c r="K37" s="113">
        <f>SUM(K38:K39)</f>
        <v>0</v>
      </c>
      <c r="L37" s="114">
        <f t="shared" si="2"/>
        <v>1965</v>
      </c>
      <c r="M37" s="107" t="s">
        <v>47</v>
      </c>
      <c r="N37" s="108" t="s">
        <v>47</v>
      </c>
      <c r="O37" s="106" t="s">
        <v>47</v>
      </c>
      <c r="P37" s="109"/>
      <c r="R37" s="53"/>
      <c r="S37" s="53"/>
      <c r="T37" s="53"/>
    </row>
    <row r="38" spans="1:20" x14ac:dyDescent="0.25">
      <c r="A38" s="66">
        <v>21381</v>
      </c>
      <c r="B38" s="116" t="s">
        <v>57</v>
      </c>
      <c r="C38" s="117">
        <f t="shared" si="1"/>
        <v>1815</v>
      </c>
      <c r="D38" s="118" t="s">
        <v>47</v>
      </c>
      <c r="E38" s="154" t="s">
        <v>47</v>
      </c>
      <c r="F38" s="155" t="s">
        <v>47</v>
      </c>
      <c r="G38" s="118" t="s">
        <v>47</v>
      </c>
      <c r="H38" s="121" t="s">
        <v>47</v>
      </c>
      <c r="I38" s="122" t="s">
        <v>47</v>
      </c>
      <c r="J38" s="123">
        <v>1815</v>
      </c>
      <c r="K38" s="124"/>
      <c r="L38" s="125">
        <f t="shared" si="2"/>
        <v>1815</v>
      </c>
      <c r="M38" s="126" t="s">
        <v>47</v>
      </c>
      <c r="N38" s="119" t="s">
        <v>47</v>
      </c>
      <c r="O38" s="122" t="s">
        <v>47</v>
      </c>
      <c r="P38" s="74"/>
      <c r="R38" s="53"/>
      <c r="S38" s="53"/>
      <c r="T38" s="53"/>
    </row>
    <row r="39" spans="1:20" ht="24" x14ac:dyDescent="0.25">
      <c r="A39" s="76">
        <v>21383</v>
      </c>
      <c r="B39" s="127" t="s">
        <v>58</v>
      </c>
      <c r="C39" s="128">
        <f t="shared" si="1"/>
        <v>150</v>
      </c>
      <c r="D39" s="129" t="s">
        <v>47</v>
      </c>
      <c r="E39" s="130" t="s">
        <v>47</v>
      </c>
      <c r="F39" s="131" t="s">
        <v>47</v>
      </c>
      <c r="G39" s="129" t="s">
        <v>47</v>
      </c>
      <c r="H39" s="132" t="s">
        <v>47</v>
      </c>
      <c r="I39" s="133" t="s">
        <v>47</v>
      </c>
      <c r="J39" s="134">
        <v>150</v>
      </c>
      <c r="K39" s="135"/>
      <c r="L39" s="136">
        <f t="shared" si="2"/>
        <v>150</v>
      </c>
      <c r="M39" s="137" t="s">
        <v>47</v>
      </c>
      <c r="N39" s="138" t="s">
        <v>47</v>
      </c>
      <c r="O39" s="133" t="s">
        <v>47</v>
      </c>
      <c r="P39" s="85"/>
      <c r="R39" s="53"/>
      <c r="S39" s="53"/>
      <c r="T39" s="53"/>
    </row>
    <row r="40" spans="1:20" s="41" customFormat="1" ht="24" x14ac:dyDescent="0.25">
      <c r="A40" s="115">
        <v>21390</v>
      </c>
      <c r="B40" s="99" t="s">
        <v>59</v>
      </c>
      <c r="C40" s="100">
        <f t="shared" si="1"/>
        <v>300</v>
      </c>
      <c r="D40" s="104" t="s">
        <v>47</v>
      </c>
      <c r="E40" s="110" t="s">
        <v>47</v>
      </c>
      <c r="F40" s="111" t="s">
        <v>47</v>
      </c>
      <c r="G40" s="104" t="s">
        <v>47</v>
      </c>
      <c r="H40" s="105" t="s">
        <v>47</v>
      </c>
      <c r="I40" s="106" t="s">
        <v>47</v>
      </c>
      <c r="J40" s="112">
        <f>SUM(J41:J44)</f>
        <v>300</v>
      </c>
      <c r="K40" s="113">
        <f>SUM(K41:K44)</f>
        <v>0</v>
      </c>
      <c r="L40" s="114">
        <f t="shared" si="2"/>
        <v>300</v>
      </c>
      <c r="M40" s="107" t="s">
        <v>47</v>
      </c>
      <c r="N40" s="108" t="s">
        <v>47</v>
      </c>
      <c r="O40" s="106" t="s">
        <v>47</v>
      </c>
      <c r="P40" s="109"/>
      <c r="R40" s="53"/>
      <c r="S40" s="53"/>
      <c r="T40" s="53"/>
    </row>
    <row r="41" spans="1:20" ht="24" hidden="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c r="R41" s="53"/>
      <c r="S41" s="53"/>
      <c r="T41" s="53"/>
    </row>
    <row r="42" spans="1:20" hidden="1" x14ac:dyDescent="0.25">
      <c r="A42" s="76">
        <v>21393</v>
      </c>
      <c r="B42" s="127" t="s">
        <v>61</v>
      </c>
      <c r="C42" s="128">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c r="R42" s="53"/>
      <c r="S42" s="53"/>
      <c r="T42" s="53"/>
    </row>
    <row r="43" spans="1:20" hidden="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c r="R43" s="53"/>
      <c r="S43" s="53"/>
      <c r="T43" s="53"/>
    </row>
    <row r="44" spans="1:20" ht="24" x14ac:dyDescent="0.25">
      <c r="A44" s="76">
        <v>21399</v>
      </c>
      <c r="B44" s="127" t="s">
        <v>63</v>
      </c>
      <c r="C44" s="302">
        <f t="shared" si="1"/>
        <v>300</v>
      </c>
      <c r="D44" s="129" t="s">
        <v>47</v>
      </c>
      <c r="E44" s="130" t="s">
        <v>47</v>
      </c>
      <c r="F44" s="131" t="s">
        <v>47</v>
      </c>
      <c r="G44" s="129" t="s">
        <v>47</v>
      </c>
      <c r="H44" s="132" t="s">
        <v>47</v>
      </c>
      <c r="I44" s="133" t="s">
        <v>47</v>
      </c>
      <c r="J44" s="134">
        <v>300</v>
      </c>
      <c r="K44" s="135"/>
      <c r="L44" s="136">
        <f t="shared" si="2"/>
        <v>300</v>
      </c>
      <c r="M44" s="137" t="s">
        <v>47</v>
      </c>
      <c r="N44" s="138" t="s">
        <v>47</v>
      </c>
      <c r="O44" s="133" t="s">
        <v>47</v>
      </c>
      <c r="P44" s="85"/>
      <c r="R44" s="53"/>
      <c r="S44" s="53"/>
      <c r="T44" s="53"/>
    </row>
    <row r="45" spans="1:20" s="41" customFormat="1" ht="24" hidden="1" x14ac:dyDescent="0.25">
      <c r="A45" s="115">
        <v>21420</v>
      </c>
      <c r="B45" s="99" t="s">
        <v>64</v>
      </c>
      <c r="C45" s="156">
        <f>F45</f>
        <v>0</v>
      </c>
      <c r="D45" s="157"/>
      <c r="E45" s="158"/>
      <c r="F45" s="103">
        <f>D45+E45</f>
        <v>0</v>
      </c>
      <c r="G45" s="104" t="s">
        <v>47</v>
      </c>
      <c r="H45" s="105" t="s">
        <v>47</v>
      </c>
      <c r="I45" s="106" t="s">
        <v>47</v>
      </c>
      <c r="J45" s="104" t="s">
        <v>47</v>
      </c>
      <c r="K45" s="105" t="s">
        <v>47</v>
      </c>
      <c r="L45" s="106" t="s">
        <v>47</v>
      </c>
      <c r="M45" s="107" t="s">
        <v>47</v>
      </c>
      <c r="N45" s="108" t="s">
        <v>47</v>
      </c>
      <c r="O45" s="106" t="s">
        <v>47</v>
      </c>
      <c r="P45" s="109"/>
      <c r="R45" s="53"/>
      <c r="S45" s="53"/>
      <c r="T45" s="53"/>
    </row>
    <row r="46" spans="1:20" s="41" customFormat="1" ht="24" x14ac:dyDescent="0.25">
      <c r="A46" s="159">
        <v>21490</v>
      </c>
      <c r="B46" s="160" t="s">
        <v>65</v>
      </c>
      <c r="C46" s="156">
        <f>F46+I46+L46</f>
        <v>15741</v>
      </c>
      <c r="D46" s="161">
        <f>D47</f>
        <v>0</v>
      </c>
      <c r="E46" s="672">
        <f>E47</f>
        <v>0</v>
      </c>
      <c r="F46" s="774">
        <f>D46+E46</f>
        <v>0</v>
      </c>
      <c r="G46" s="161">
        <f>G47</f>
        <v>0</v>
      </c>
      <c r="H46" s="164">
        <f t="shared" ref="H46:K46" si="3">H47</f>
        <v>0</v>
      </c>
      <c r="I46" s="165">
        <f>G46+H46</f>
        <v>0</v>
      </c>
      <c r="J46" s="161">
        <f>J47</f>
        <v>15741</v>
      </c>
      <c r="K46" s="164">
        <f t="shared" si="3"/>
        <v>0</v>
      </c>
      <c r="L46" s="165">
        <f>J46+K46</f>
        <v>15741</v>
      </c>
      <c r="M46" s="107" t="s">
        <v>47</v>
      </c>
      <c r="N46" s="108" t="s">
        <v>47</v>
      </c>
      <c r="O46" s="106" t="s">
        <v>47</v>
      </c>
      <c r="P46" s="109"/>
      <c r="R46" s="53"/>
      <c r="S46" s="53"/>
      <c r="T46" s="53"/>
    </row>
    <row r="47" spans="1:20" s="41" customFormat="1" ht="24" x14ac:dyDescent="0.25">
      <c r="A47" s="76">
        <v>21499</v>
      </c>
      <c r="B47" s="127" t="s">
        <v>66</v>
      </c>
      <c r="C47" s="166">
        <f>F47+I47+L47</f>
        <v>15741</v>
      </c>
      <c r="D47" s="68"/>
      <c r="E47" s="673"/>
      <c r="F47" s="638">
        <f>D47+E47</f>
        <v>0</v>
      </c>
      <c r="G47" s="167"/>
      <c r="H47" s="71"/>
      <c r="I47" s="628">
        <f>G47+H47</f>
        <v>0</v>
      </c>
      <c r="J47" s="68">
        <v>15741</v>
      </c>
      <c r="K47" s="71"/>
      <c r="L47" s="628">
        <f>J47+K47</f>
        <v>15741</v>
      </c>
      <c r="M47" s="152" t="s">
        <v>47</v>
      </c>
      <c r="N47" s="145" t="s">
        <v>47</v>
      </c>
      <c r="O47" s="148" t="s">
        <v>47</v>
      </c>
      <c r="P47" s="153"/>
      <c r="R47" s="53"/>
      <c r="S47" s="53"/>
      <c r="T47" s="53"/>
    </row>
    <row r="48" spans="1:20" ht="24" hidden="1" x14ac:dyDescent="0.25">
      <c r="A48" s="168">
        <v>23000</v>
      </c>
      <c r="B48" s="169" t="s">
        <v>67</v>
      </c>
      <c r="C48" s="156">
        <f>O48</f>
        <v>0</v>
      </c>
      <c r="D48" s="170" t="s">
        <v>47</v>
      </c>
      <c r="E48" s="171" t="s">
        <v>47</v>
      </c>
      <c r="F48" s="172" t="s">
        <v>47</v>
      </c>
      <c r="G48" s="170" t="s">
        <v>47</v>
      </c>
      <c r="H48" s="173" t="s">
        <v>47</v>
      </c>
      <c r="I48" s="174" t="s">
        <v>47</v>
      </c>
      <c r="J48" s="170" t="s">
        <v>47</v>
      </c>
      <c r="K48" s="173" t="s">
        <v>47</v>
      </c>
      <c r="L48" s="174" t="s">
        <v>47</v>
      </c>
      <c r="M48" s="175">
        <f>SUM(M49:M50)</f>
        <v>0</v>
      </c>
      <c r="N48" s="176">
        <f>SUM(N49:N50)</f>
        <v>0</v>
      </c>
      <c r="O48" s="177">
        <f>M48+N48</f>
        <v>0</v>
      </c>
      <c r="P48" s="109"/>
      <c r="R48" s="53"/>
      <c r="S48" s="53"/>
      <c r="T48" s="53"/>
    </row>
    <row r="49" spans="1:20" ht="24" hidden="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c r="R49" s="53"/>
      <c r="S49" s="53"/>
      <c r="T49" s="53"/>
    </row>
    <row r="50" spans="1:20" ht="24" hidden="1" x14ac:dyDescent="0.25">
      <c r="A50" s="178">
        <v>23510</v>
      </c>
      <c r="B50" s="179" t="s">
        <v>69</v>
      </c>
      <c r="C50" s="180">
        <f>O50</f>
        <v>0</v>
      </c>
      <c r="D50" s="181" t="s">
        <v>47</v>
      </c>
      <c r="E50" s="182" t="s">
        <v>47</v>
      </c>
      <c r="F50" s="183" t="s">
        <v>47</v>
      </c>
      <c r="G50" s="181" t="s">
        <v>47</v>
      </c>
      <c r="H50" s="184" t="s">
        <v>47</v>
      </c>
      <c r="I50" s="185" t="s">
        <v>47</v>
      </c>
      <c r="J50" s="181" t="s">
        <v>47</v>
      </c>
      <c r="K50" s="184" t="s">
        <v>47</v>
      </c>
      <c r="L50" s="185" t="s">
        <v>47</v>
      </c>
      <c r="M50" s="186"/>
      <c r="N50" s="187"/>
      <c r="O50" s="188">
        <f>M50+N50</f>
        <v>0</v>
      </c>
      <c r="P50" s="189"/>
      <c r="R50" s="53"/>
      <c r="S50" s="53"/>
      <c r="T50" s="53"/>
    </row>
    <row r="51" spans="1:20" x14ac:dyDescent="0.25">
      <c r="A51" s="190"/>
      <c r="B51" s="179"/>
      <c r="C51" s="191"/>
      <c r="D51" s="192"/>
      <c r="E51" s="193"/>
      <c r="F51" s="194"/>
      <c r="G51" s="192"/>
      <c r="H51" s="195"/>
      <c r="I51" s="185"/>
      <c r="J51" s="196"/>
      <c r="K51" s="197"/>
      <c r="L51" s="188"/>
      <c r="M51" s="186"/>
      <c r="N51" s="187"/>
      <c r="O51" s="188"/>
      <c r="P51" s="189"/>
      <c r="R51" s="53"/>
      <c r="S51" s="53"/>
      <c r="T51" s="53"/>
    </row>
    <row r="52" spans="1:20" s="41" customFormat="1" x14ac:dyDescent="0.25">
      <c r="A52" s="198"/>
      <c r="B52" s="199" t="s">
        <v>70</v>
      </c>
      <c r="C52" s="200"/>
      <c r="D52" s="201"/>
      <c r="E52" s="202"/>
      <c r="F52" s="203"/>
      <c r="G52" s="201"/>
      <c r="H52" s="204"/>
      <c r="I52" s="205"/>
      <c r="J52" s="201"/>
      <c r="K52" s="204"/>
      <c r="L52" s="205"/>
      <c r="M52" s="206"/>
      <c r="N52" s="207"/>
      <c r="O52" s="205"/>
      <c r="P52" s="208"/>
      <c r="R52" s="53"/>
      <c r="S52" s="53"/>
      <c r="T52" s="53"/>
    </row>
    <row r="53" spans="1:20" s="41" customFormat="1" ht="12.75" thickBot="1" x14ac:dyDescent="0.3">
      <c r="A53" s="209"/>
      <c r="B53" s="42" t="s">
        <v>71</v>
      </c>
      <c r="C53" s="210">
        <f t="shared" ref="C53:C116" si="4">F53+I53+L53+O53</f>
        <v>660591</v>
      </c>
      <c r="D53" s="211">
        <f>SUM(D54,D284)</f>
        <v>426714</v>
      </c>
      <c r="E53" s="212">
        <f>SUM(E54,E284)</f>
        <v>0</v>
      </c>
      <c r="F53" s="213">
        <f t="shared" ref="F53:F117" si="5">D53+E53</f>
        <v>426714</v>
      </c>
      <c r="G53" s="211">
        <f>SUM(G54,G284)</f>
        <v>179035</v>
      </c>
      <c r="H53" s="214">
        <f>SUM(H54,H284)</f>
        <v>0</v>
      </c>
      <c r="I53" s="215">
        <f t="shared" ref="I53:I117" si="6">G53+H53</f>
        <v>179035</v>
      </c>
      <c r="J53" s="211">
        <f>SUM(J54,J284)</f>
        <v>54842</v>
      </c>
      <c r="K53" s="214">
        <f>SUM(K54,K284)</f>
        <v>0</v>
      </c>
      <c r="L53" s="215">
        <f t="shared" ref="L53:L117" si="7">J53+K53</f>
        <v>54842</v>
      </c>
      <c r="M53" s="216">
        <f>SUM(M54,M284)</f>
        <v>0</v>
      </c>
      <c r="N53" s="217">
        <f>SUM(N54,N284)</f>
        <v>0</v>
      </c>
      <c r="O53" s="215">
        <f t="shared" ref="O53:O117" si="8">M53+N53</f>
        <v>0</v>
      </c>
      <c r="P53" s="52"/>
      <c r="R53" s="53"/>
      <c r="S53" s="53"/>
      <c r="T53" s="53"/>
    </row>
    <row r="54" spans="1:20" s="41" customFormat="1" ht="36.75" thickTop="1" x14ac:dyDescent="0.25">
      <c r="A54" s="218"/>
      <c r="B54" s="219" t="s">
        <v>72</v>
      </c>
      <c r="C54" s="220">
        <f t="shared" si="4"/>
        <v>660591</v>
      </c>
      <c r="D54" s="221">
        <f>SUM(D55,D197)</f>
        <v>426714</v>
      </c>
      <c r="E54" s="222">
        <f>SUM(E55,E197)</f>
        <v>0</v>
      </c>
      <c r="F54" s="223">
        <f t="shared" si="5"/>
        <v>426714</v>
      </c>
      <c r="G54" s="221">
        <f>SUM(G55,G197)</f>
        <v>179035</v>
      </c>
      <c r="H54" s="224">
        <f>SUM(H55,H197)</f>
        <v>0</v>
      </c>
      <c r="I54" s="225">
        <f t="shared" si="6"/>
        <v>179035</v>
      </c>
      <c r="J54" s="221">
        <f>SUM(J55,J197)</f>
        <v>54842</v>
      </c>
      <c r="K54" s="224">
        <f>SUM(K55,K197)</f>
        <v>0</v>
      </c>
      <c r="L54" s="225">
        <f t="shared" si="7"/>
        <v>54842</v>
      </c>
      <c r="M54" s="226">
        <f>SUM(M55,M197)</f>
        <v>0</v>
      </c>
      <c r="N54" s="227">
        <f>SUM(N55,N197)</f>
        <v>0</v>
      </c>
      <c r="O54" s="225">
        <f t="shared" si="8"/>
        <v>0</v>
      </c>
      <c r="P54" s="228"/>
      <c r="R54" s="53"/>
      <c r="S54" s="53"/>
      <c r="T54" s="53"/>
    </row>
    <row r="55" spans="1:20" s="41" customFormat="1" ht="24" x14ac:dyDescent="0.25">
      <c r="A55" s="35"/>
      <c r="B55" s="30" t="s">
        <v>73</v>
      </c>
      <c r="C55" s="229">
        <f t="shared" si="4"/>
        <v>642318</v>
      </c>
      <c r="D55" s="230">
        <f>SUM(D56,D78,D176,D190)</f>
        <v>412204</v>
      </c>
      <c r="E55" s="231">
        <f>SUM(E56,E78,E176,E190)</f>
        <v>0</v>
      </c>
      <c r="F55" s="232">
        <f t="shared" si="5"/>
        <v>412204</v>
      </c>
      <c r="G55" s="230">
        <f>SUM(G56,G78,G176,G190)</f>
        <v>177872</v>
      </c>
      <c r="H55" s="233">
        <f>SUM(H56,H78,H176,H190)</f>
        <v>0</v>
      </c>
      <c r="I55" s="234">
        <f t="shared" si="6"/>
        <v>177872</v>
      </c>
      <c r="J55" s="230">
        <f>SUM(J56,J78,J176,J190)</f>
        <v>52242</v>
      </c>
      <c r="K55" s="233">
        <f>SUM(K56,K78,K176,K190)</f>
        <v>0</v>
      </c>
      <c r="L55" s="234">
        <f t="shared" si="7"/>
        <v>52242</v>
      </c>
      <c r="M55" s="53">
        <f>SUM(M56,M78,M176,M190)</f>
        <v>0</v>
      </c>
      <c r="N55" s="235">
        <f>SUM(N56,N78,N176,N190)</f>
        <v>0</v>
      </c>
      <c r="O55" s="234">
        <f t="shared" si="8"/>
        <v>0</v>
      </c>
      <c r="P55" s="236"/>
      <c r="R55" s="53"/>
      <c r="S55" s="53"/>
      <c r="T55" s="53"/>
    </row>
    <row r="56" spans="1:20" s="41" customFormat="1" x14ac:dyDescent="0.25">
      <c r="A56" s="237">
        <v>1000</v>
      </c>
      <c r="B56" s="237" t="s">
        <v>74</v>
      </c>
      <c r="C56" s="238">
        <f t="shared" si="4"/>
        <v>530439</v>
      </c>
      <c r="D56" s="239">
        <f>SUM(D57,D70)</f>
        <v>335934</v>
      </c>
      <c r="E56" s="240">
        <f>SUM(E57,E70)</f>
        <v>0</v>
      </c>
      <c r="F56" s="241">
        <f t="shared" si="5"/>
        <v>335934</v>
      </c>
      <c r="G56" s="239">
        <f>SUM(G57,G70)</f>
        <v>175572</v>
      </c>
      <c r="H56" s="242">
        <f>SUM(H57,H70)</f>
        <v>0</v>
      </c>
      <c r="I56" s="243">
        <f t="shared" si="6"/>
        <v>175572</v>
      </c>
      <c r="J56" s="239">
        <f>SUM(J57,J70)</f>
        <v>18933</v>
      </c>
      <c r="K56" s="242">
        <f>SUM(K57,K70)</f>
        <v>0</v>
      </c>
      <c r="L56" s="243">
        <f t="shared" si="7"/>
        <v>18933</v>
      </c>
      <c r="M56" s="244">
        <f>SUM(M57,M70)</f>
        <v>0</v>
      </c>
      <c r="N56" s="245">
        <f>SUM(N57,N70)</f>
        <v>0</v>
      </c>
      <c r="O56" s="243">
        <f t="shared" si="8"/>
        <v>0</v>
      </c>
      <c r="P56" s="246"/>
      <c r="R56" s="53"/>
      <c r="S56" s="53"/>
      <c r="T56" s="53"/>
    </row>
    <row r="57" spans="1:20" x14ac:dyDescent="0.25">
      <c r="A57" s="99">
        <v>1100</v>
      </c>
      <c r="B57" s="247" t="s">
        <v>75</v>
      </c>
      <c r="C57" s="100">
        <f t="shared" si="4"/>
        <v>402336</v>
      </c>
      <c r="D57" s="112">
        <f>SUM(D58,D61,D69)</f>
        <v>246768</v>
      </c>
      <c r="E57" s="248">
        <f>SUM(E58,E61,E69)</f>
        <v>0</v>
      </c>
      <c r="F57" s="249">
        <f t="shared" si="5"/>
        <v>246768</v>
      </c>
      <c r="G57" s="112">
        <f>SUM(G58,G61,G69)</f>
        <v>140389</v>
      </c>
      <c r="H57" s="113">
        <f>SUM(H58,H61,H69)</f>
        <v>-40</v>
      </c>
      <c r="I57" s="114">
        <f t="shared" si="6"/>
        <v>140349</v>
      </c>
      <c r="J57" s="112">
        <f>SUM(J58,J61,J69)</f>
        <v>15219</v>
      </c>
      <c r="K57" s="113">
        <f>SUM(K58,K61,K69)</f>
        <v>0</v>
      </c>
      <c r="L57" s="114">
        <f t="shared" si="7"/>
        <v>15219</v>
      </c>
      <c r="M57" s="250">
        <f>SUM(M58,M61,M69)</f>
        <v>0</v>
      </c>
      <c r="N57" s="251">
        <f>SUM(N58,N61,N69)</f>
        <v>0</v>
      </c>
      <c r="O57" s="252">
        <f t="shared" si="8"/>
        <v>0</v>
      </c>
      <c r="P57" s="253"/>
      <c r="R57" s="53"/>
      <c r="S57" s="53"/>
      <c r="T57" s="53"/>
    </row>
    <row r="58" spans="1:20" x14ac:dyDescent="0.25">
      <c r="A58" s="254">
        <v>1110</v>
      </c>
      <c r="B58" s="179" t="s">
        <v>76</v>
      </c>
      <c r="C58" s="191">
        <f t="shared" si="4"/>
        <v>375872</v>
      </c>
      <c r="D58" s="255">
        <f>SUM(D59:D60)</f>
        <v>221902</v>
      </c>
      <c r="E58" s="256">
        <f>SUM(E59:E60)</f>
        <v>0</v>
      </c>
      <c r="F58" s="257">
        <f t="shared" si="5"/>
        <v>221902</v>
      </c>
      <c r="G58" s="255">
        <f>SUM(G59:G60)</f>
        <v>138791</v>
      </c>
      <c r="H58" s="258">
        <f>SUM(H59:H60)</f>
        <v>-40</v>
      </c>
      <c r="I58" s="259">
        <f t="shared" si="6"/>
        <v>138751</v>
      </c>
      <c r="J58" s="255">
        <f>SUM(J59:J60)</f>
        <v>15219</v>
      </c>
      <c r="K58" s="258">
        <f>SUM(K59:K60)</f>
        <v>0</v>
      </c>
      <c r="L58" s="259">
        <f t="shared" si="7"/>
        <v>15219</v>
      </c>
      <c r="M58" s="260">
        <f>SUM(M59:M60)</f>
        <v>0</v>
      </c>
      <c r="N58" s="261">
        <f>SUM(N59:N60)</f>
        <v>0</v>
      </c>
      <c r="O58" s="259">
        <f t="shared" si="8"/>
        <v>0</v>
      </c>
      <c r="P58" s="189"/>
      <c r="R58" s="53"/>
      <c r="S58" s="53"/>
      <c r="T58" s="53"/>
    </row>
    <row r="59" spans="1:20" hidden="1" x14ac:dyDescent="0.25">
      <c r="A59" s="66">
        <v>1111</v>
      </c>
      <c r="B59" s="116" t="s">
        <v>77</v>
      </c>
      <c r="C59" s="117">
        <f t="shared" si="4"/>
        <v>0</v>
      </c>
      <c r="D59" s="123"/>
      <c r="E59" s="262"/>
      <c r="F59" s="263">
        <f t="shared" si="5"/>
        <v>0</v>
      </c>
      <c r="G59" s="123"/>
      <c r="H59" s="124"/>
      <c r="I59" s="125">
        <f t="shared" si="6"/>
        <v>0</v>
      </c>
      <c r="J59" s="123"/>
      <c r="K59" s="124"/>
      <c r="L59" s="125">
        <f t="shared" si="7"/>
        <v>0</v>
      </c>
      <c r="M59" s="264"/>
      <c r="N59" s="262"/>
      <c r="O59" s="125">
        <f t="shared" si="8"/>
        <v>0</v>
      </c>
      <c r="P59" s="74"/>
      <c r="R59" s="53"/>
      <c r="S59" s="53"/>
      <c r="T59" s="53"/>
    </row>
    <row r="60" spans="1:20" ht="24" x14ac:dyDescent="0.25">
      <c r="A60" s="76">
        <v>1119</v>
      </c>
      <c r="B60" s="127" t="s">
        <v>78</v>
      </c>
      <c r="C60" s="128">
        <f t="shared" si="4"/>
        <v>375872</v>
      </c>
      <c r="D60" s="134">
        <f>220556+1346</f>
        <v>221902</v>
      </c>
      <c r="E60" s="283"/>
      <c r="F60" s="279">
        <f t="shared" si="5"/>
        <v>221902</v>
      </c>
      <c r="G60" s="134">
        <f>141460+250-2919</f>
        <v>138791</v>
      </c>
      <c r="H60" s="135">
        <v>-40</v>
      </c>
      <c r="I60" s="136">
        <f t="shared" si="6"/>
        <v>138751</v>
      </c>
      <c r="J60" s="134">
        <v>15219</v>
      </c>
      <c r="K60" s="135"/>
      <c r="L60" s="136">
        <f t="shared" si="7"/>
        <v>15219</v>
      </c>
      <c r="M60" s="284"/>
      <c r="N60" s="285"/>
      <c r="O60" s="136">
        <f t="shared" si="8"/>
        <v>0</v>
      </c>
      <c r="P60" s="85" t="s">
        <v>1190</v>
      </c>
      <c r="R60" s="53"/>
      <c r="S60" s="53"/>
      <c r="T60" s="53"/>
    </row>
    <row r="61" spans="1:20" ht="24" x14ac:dyDescent="0.25">
      <c r="A61" s="276">
        <v>1140</v>
      </c>
      <c r="B61" s="127" t="s">
        <v>79</v>
      </c>
      <c r="C61" s="128">
        <f t="shared" si="4"/>
        <v>26464</v>
      </c>
      <c r="D61" s="277">
        <f>SUM(D62:D68)</f>
        <v>24866</v>
      </c>
      <c r="E61" s="278">
        <f>SUM(E62:E68)</f>
        <v>0</v>
      </c>
      <c r="F61" s="279">
        <f>D61+E61</f>
        <v>24866</v>
      </c>
      <c r="G61" s="277">
        <f>SUM(G62:G68)</f>
        <v>1598</v>
      </c>
      <c r="H61" s="280">
        <f>SUM(H62:H68)</f>
        <v>0</v>
      </c>
      <c r="I61" s="136">
        <f t="shared" si="6"/>
        <v>1598</v>
      </c>
      <c r="J61" s="277">
        <f>SUM(J62:J68)</f>
        <v>0</v>
      </c>
      <c r="K61" s="280">
        <f>SUM(K62:K68)</f>
        <v>0</v>
      </c>
      <c r="L61" s="136">
        <f t="shared" si="7"/>
        <v>0</v>
      </c>
      <c r="M61" s="281">
        <f>SUM(M62:M68)</f>
        <v>0</v>
      </c>
      <c r="N61" s="282">
        <f>SUM(N62:N68)</f>
        <v>0</v>
      </c>
      <c r="O61" s="136">
        <f t="shared" si="8"/>
        <v>0</v>
      </c>
      <c r="P61" s="85"/>
      <c r="R61" s="53"/>
      <c r="S61" s="53"/>
      <c r="T61" s="53"/>
    </row>
    <row r="62" spans="1:20" hidden="1" x14ac:dyDescent="0.25">
      <c r="A62" s="76">
        <v>1141</v>
      </c>
      <c r="B62" s="127" t="s">
        <v>80</v>
      </c>
      <c r="C62" s="128">
        <f t="shared" si="4"/>
        <v>0</v>
      </c>
      <c r="D62" s="134"/>
      <c r="E62" s="285"/>
      <c r="F62" s="286">
        <f t="shared" si="5"/>
        <v>0</v>
      </c>
      <c r="G62" s="134"/>
      <c r="H62" s="135"/>
      <c r="I62" s="136">
        <f t="shared" si="6"/>
        <v>0</v>
      </c>
      <c r="J62" s="134"/>
      <c r="K62" s="135"/>
      <c r="L62" s="136">
        <f t="shared" si="7"/>
        <v>0</v>
      </c>
      <c r="M62" s="284"/>
      <c r="N62" s="285"/>
      <c r="O62" s="136">
        <f t="shared" si="8"/>
        <v>0</v>
      </c>
      <c r="P62" s="85"/>
      <c r="R62" s="53"/>
      <c r="S62" s="53"/>
      <c r="T62" s="53"/>
    </row>
    <row r="63" spans="1:20" ht="24" hidden="1" x14ac:dyDescent="0.25">
      <c r="A63" s="76">
        <v>1142</v>
      </c>
      <c r="B63" s="127" t="s">
        <v>81</v>
      </c>
      <c r="C63" s="128">
        <f t="shared" si="4"/>
        <v>0</v>
      </c>
      <c r="D63" s="134"/>
      <c r="E63" s="285"/>
      <c r="F63" s="286">
        <f t="shared" si="5"/>
        <v>0</v>
      </c>
      <c r="G63" s="134"/>
      <c r="H63" s="135"/>
      <c r="I63" s="136">
        <f t="shared" si="6"/>
        <v>0</v>
      </c>
      <c r="J63" s="134"/>
      <c r="K63" s="135"/>
      <c r="L63" s="136">
        <f t="shared" si="7"/>
        <v>0</v>
      </c>
      <c r="M63" s="284"/>
      <c r="N63" s="285"/>
      <c r="O63" s="136">
        <f t="shared" si="8"/>
        <v>0</v>
      </c>
      <c r="P63" s="85"/>
      <c r="R63" s="53"/>
      <c r="S63" s="53"/>
      <c r="T63" s="53"/>
    </row>
    <row r="64" spans="1:20" ht="24" hidden="1" x14ac:dyDescent="0.25">
      <c r="A64" s="76">
        <v>1145</v>
      </c>
      <c r="B64" s="127" t="s">
        <v>82</v>
      </c>
      <c r="C64" s="128">
        <f t="shared" si="4"/>
        <v>0</v>
      </c>
      <c r="D64" s="134"/>
      <c r="E64" s="285"/>
      <c r="F64" s="286">
        <f t="shared" si="5"/>
        <v>0</v>
      </c>
      <c r="G64" s="134"/>
      <c r="H64" s="135"/>
      <c r="I64" s="136">
        <f t="shared" si="6"/>
        <v>0</v>
      </c>
      <c r="J64" s="134"/>
      <c r="K64" s="135"/>
      <c r="L64" s="136">
        <f t="shared" si="7"/>
        <v>0</v>
      </c>
      <c r="M64" s="284"/>
      <c r="N64" s="285"/>
      <c r="O64" s="136">
        <f t="shared" si="8"/>
        <v>0</v>
      </c>
      <c r="P64" s="85"/>
      <c r="R64" s="53"/>
      <c r="S64" s="53"/>
      <c r="T64" s="53"/>
    </row>
    <row r="65" spans="1:20" ht="24" hidden="1" x14ac:dyDescent="0.25">
      <c r="A65" s="76">
        <v>1146</v>
      </c>
      <c r="B65" s="127" t="s">
        <v>83</v>
      </c>
      <c r="C65" s="128">
        <f t="shared" si="4"/>
        <v>0</v>
      </c>
      <c r="D65" s="134"/>
      <c r="E65" s="285"/>
      <c r="F65" s="286">
        <f t="shared" si="5"/>
        <v>0</v>
      </c>
      <c r="G65" s="134"/>
      <c r="H65" s="135"/>
      <c r="I65" s="136">
        <f t="shared" si="6"/>
        <v>0</v>
      </c>
      <c r="J65" s="134"/>
      <c r="K65" s="135"/>
      <c r="L65" s="136">
        <f t="shared" si="7"/>
        <v>0</v>
      </c>
      <c r="M65" s="284"/>
      <c r="N65" s="285"/>
      <c r="O65" s="136">
        <f t="shared" si="8"/>
        <v>0</v>
      </c>
      <c r="P65" s="85"/>
      <c r="R65" s="53"/>
      <c r="S65" s="53"/>
      <c r="T65" s="53"/>
    </row>
    <row r="66" spans="1:20" x14ac:dyDescent="0.25">
      <c r="A66" s="76">
        <v>1147</v>
      </c>
      <c r="B66" s="127" t="s">
        <v>84</v>
      </c>
      <c r="C66" s="128">
        <f t="shared" si="4"/>
        <v>1682</v>
      </c>
      <c r="D66" s="134">
        <f>3174-1492</f>
        <v>1682</v>
      </c>
      <c r="E66" s="283"/>
      <c r="F66" s="279">
        <f t="shared" si="5"/>
        <v>1682</v>
      </c>
      <c r="G66" s="134"/>
      <c r="H66" s="135"/>
      <c r="I66" s="136">
        <f t="shared" si="6"/>
        <v>0</v>
      </c>
      <c r="J66" s="134"/>
      <c r="K66" s="135"/>
      <c r="L66" s="136">
        <f t="shared" si="7"/>
        <v>0</v>
      </c>
      <c r="M66" s="284"/>
      <c r="N66" s="285"/>
      <c r="O66" s="136">
        <f t="shared" si="8"/>
        <v>0</v>
      </c>
      <c r="P66" s="85"/>
      <c r="R66" s="53"/>
      <c r="S66" s="53"/>
      <c r="T66" s="53"/>
    </row>
    <row r="67" spans="1:20" ht="69.75" customHeight="1" x14ac:dyDescent="0.25">
      <c r="A67" s="76">
        <v>1148</v>
      </c>
      <c r="B67" s="127" t="s">
        <v>85</v>
      </c>
      <c r="C67" s="128">
        <f t="shared" si="4"/>
        <v>22130</v>
      </c>
      <c r="D67" s="134">
        <f>16567+5563</f>
        <v>22130</v>
      </c>
      <c r="E67" s="283"/>
      <c r="F67" s="279">
        <f t="shared" si="5"/>
        <v>22130</v>
      </c>
      <c r="G67" s="134"/>
      <c r="H67" s="135"/>
      <c r="I67" s="136">
        <f t="shared" si="6"/>
        <v>0</v>
      </c>
      <c r="J67" s="134"/>
      <c r="K67" s="135"/>
      <c r="L67" s="136">
        <f t="shared" si="7"/>
        <v>0</v>
      </c>
      <c r="M67" s="284"/>
      <c r="N67" s="285"/>
      <c r="O67" s="136">
        <f t="shared" si="8"/>
        <v>0</v>
      </c>
      <c r="P67" s="85"/>
      <c r="R67" s="53"/>
      <c r="S67" s="53"/>
      <c r="T67" s="53"/>
    </row>
    <row r="68" spans="1:20" ht="36" x14ac:dyDescent="0.25">
      <c r="A68" s="76">
        <v>1149</v>
      </c>
      <c r="B68" s="127" t="s">
        <v>86</v>
      </c>
      <c r="C68" s="128">
        <f t="shared" si="4"/>
        <v>2652</v>
      </c>
      <c r="D68" s="134">
        <f>1304-250</f>
        <v>1054</v>
      </c>
      <c r="E68" s="283"/>
      <c r="F68" s="279">
        <f t="shared" si="5"/>
        <v>1054</v>
      </c>
      <c r="G68" s="134">
        <f>1815-250+33</f>
        <v>1598</v>
      </c>
      <c r="H68" s="135"/>
      <c r="I68" s="136">
        <f t="shared" si="6"/>
        <v>1598</v>
      </c>
      <c r="J68" s="134"/>
      <c r="K68" s="135"/>
      <c r="L68" s="136">
        <f t="shared" si="7"/>
        <v>0</v>
      </c>
      <c r="M68" s="284"/>
      <c r="N68" s="285"/>
      <c r="O68" s="136">
        <f t="shared" si="8"/>
        <v>0</v>
      </c>
      <c r="P68" s="85"/>
      <c r="R68" s="53"/>
      <c r="S68" s="53"/>
      <c r="T68" s="53"/>
    </row>
    <row r="69" spans="1:20" ht="36" hidden="1" x14ac:dyDescent="0.25">
      <c r="A69" s="254">
        <v>1150</v>
      </c>
      <c r="B69" s="179" t="s">
        <v>87</v>
      </c>
      <c r="C69" s="128">
        <f t="shared" si="4"/>
        <v>0</v>
      </c>
      <c r="D69" s="287"/>
      <c r="E69" s="291"/>
      <c r="F69" s="310">
        <f t="shared" si="5"/>
        <v>0</v>
      </c>
      <c r="G69" s="287"/>
      <c r="H69" s="289"/>
      <c r="I69" s="259">
        <f t="shared" si="6"/>
        <v>0</v>
      </c>
      <c r="J69" s="287"/>
      <c r="K69" s="289"/>
      <c r="L69" s="259">
        <f t="shared" si="7"/>
        <v>0</v>
      </c>
      <c r="M69" s="290"/>
      <c r="N69" s="291"/>
      <c r="O69" s="259">
        <f t="shared" si="8"/>
        <v>0</v>
      </c>
      <c r="P69" s="189"/>
      <c r="R69" s="53"/>
      <c r="S69" s="53"/>
      <c r="T69" s="53"/>
    </row>
    <row r="70" spans="1:20" ht="36" x14ac:dyDescent="0.25">
      <c r="A70" s="99">
        <v>1200</v>
      </c>
      <c r="B70" s="247" t="s">
        <v>88</v>
      </c>
      <c r="C70" s="100">
        <f t="shared" si="4"/>
        <v>128103</v>
      </c>
      <c r="D70" s="112">
        <f>SUM(D71:D72)</f>
        <v>89166</v>
      </c>
      <c r="E70" s="248">
        <f>SUM(E71:E72)</f>
        <v>0</v>
      </c>
      <c r="F70" s="249">
        <f>D70+E70</f>
        <v>89166</v>
      </c>
      <c r="G70" s="112">
        <f>SUM(G71:G72)</f>
        <v>35183</v>
      </c>
      <c r="H70" s="113">
        <f>SUM(H71:H72)</f>
        <v>40</v>
      </c>
      <c r="I70" s="114">
        <f t="shared" si="6"/>
        <v>35223</v>
      </c>
      <c r="J70" s="112">
        <f>SUM(J71:J72)</f>
        <v>3714</v>
      </c>
      <c r="K70" s="113">
        <f>SUM(K71:K72)</f>
        <v>0</v>
      </c>
      <c r="L70" s="114">
        <f t="shared" si="7"/>
        <v>3714</v>
      </c>
      <c r="M70" s="292">
        <f>SUM(M71:M72)</f>
        <v>0</v>
      </c>
      <c r="N70" s="293">
        <f>SUM(N71:N72)</f>
        <v>0</v>
      </c>
      <c r="O70" s="114">
        <f t="shared" si="8"/>
        <v>0</v>
      </c>
      <c r="P70" s="109"/>
      <c r="R70" s="53"/>
      <c r="S70" s="53"/>
      <c r="T70" s="53"/>
    </row>
    <row r="71" spans="1:20" ht="24" x14ac:dyDescent="0.25">
      <c r="A71" s="656">
        <v>1210</v>
      </c>
      <c r="B71" s="116" t="s">
        <v>89</v>
      </c>
      <c r="C71" s="117">
        <f t="shared" si="4"/>
        <v>99443</v>
      </c>
      <c r="D71" s="123">
        <f>60606+1690</f>
        <v>62296</v>
      </c>
      <c r="E71" s="295"/>
      <c r="F71" s="296">
        <f t="shared" si="5"/>
        <v>62296</v>
      </c>
      <c r="G71" s="123">
        <f>34213-680</f>
        <v>33533</v>
      </c>
      <c r="H71" s="124"/>
      <c r="I71" s="125">
        <f t="shared" si="6"/>
        <v>33533</v>
      </c>
      <c r="J71" s="123">
        <v>3614</v>
      </c>
      <c r="K71" s="124"/>
      <c r="L71" s="125">
        <f t="shared" si="7"/>
        <v>3614</v>
      </c>
      <c r="M71" s="264"/>
      <c r="N71" s="262"/>
      <c r="O71" s="125">
        <f t="shared" si="8"/>
        <v>0</v>
      </c>
      <c r="P71" s="74"/>
      <c r="R71" s="53"/>
      <c r="S71" s="53"/>
      <c r="T71" s="53"/>
    </row>
    <row r="72" spans="1:20" ht="24" x14ac:dyDescent="0.25">
      <c r="A72" s="276">
        <v>1220</v>
      </c>
      <c r="B72" s="127" t="s">
        <v>90</v>
      </c>
      <c r="C72" s="128">
        <f t="shared" si="4"/>
        <v>28660</v>
      </c>
      <c r="D72" s="277">
        <f>SUM(D73:D77)</f>
        <v>26870</v>
      </c>
      <c r="E72" s="278">
        <f>SUM(E73:E77)</f>
        <v>0</v>
      </c>
      <c r="F72" s="279">
        <f t="shared" si="5"/>
        <v>26870</v>
      </c>
      <c r="G72" s="277">
        <f>SUM(G73:G77)</f>
        <v>1650</v>
      </c>
      <c r="H72" s="280">
        <f>SUM(H73:H77)</f>
        <v>40</v>
      </c>
      <c r="I72" s="136">
        <f t="shared" si="6"/>
        <v>1690</v>
      </c>
      <c r="J72" s="277">
        <f>SUM(J73:J77)</f>
        <v>100</v>
      </c>
      <c r="K72" s="280">
        <f>SUM(K73:K77)</f>
        <v>0</v>
      </c>
      <c r="L72" s="136">
        <f t="shared" si="7"/>
        <v>100</v>
      </c>
      <c r="M72" s="281">
        <f>SUM(M73:M77)</f>
        <v>0</v>
      </c>
      <c r="N72" s="282">
        <f>SUM(N73:N77)</f>
        <v>0</v>
      </c>
      <c r="O72" s="136">
        <f t="shared" si="8"/>
        <v>0</v>
      </c>
      <c r="P72" s="85"/>
      <c r="R72" s="53"/>
      <c r="S72" s="53"/>
      <c r="T72" s="53"/>
    </row>
    <row r="73" spans="1:20" ht="60" x14ac:dyDescent="0.25">
      <c r="A73" s="76">
        <v>1221</v>
      </c>
      <c r="B73" s="127" t="s">
        <v>91</v>
      </c>
      <c r="C73" s="128">
        <f t="shared" si="4"/>
        <v>17421</v>
      </c>
      <c r="D73" s="134">
        <f>15131+500</f>
        <v>15631</v>
      </c>
      <c r="E73" s="283"/>
      <c r="F73" s="279">
        <f t="shared" si="5"/>
        <v>15631</v>
      </c>
      <c r="G73" s="134">
        <v>1650</v>
      </c>
      <c r="H73" s="135">
        <v>40</v>
      </c>
      <c r="I73" s="136">
        <f t="shared" si="6"/>
        <v>1690</v>
      </c>
      <c r="J73" s="134">
        <v>100</v>
      </c>
      <c r="K73" s="135"/>
      <c r="L73" s="136">
        <f t="shared" si="7"/>
        <v>100</v>
      </c>
      <c r="M73" s="284"/>
      <c r="N73" s="285"/>
      <c r="O73" s="136">
        <f t="shared" si="8"/>
        <v>0</v>
      </c>
      <c r="P73" s="85" t="s">
        <v>1190</v>
      </c>
      <c r="R73" s="53"/>
      <c r="S73" s="53"/>
      <c r="T73" s="53"/>
    </row>
    <row r="74" spans="1:20" hidden="1" x14ac:dyDescent="0.25">
      <c r="A74" s="76">
        <v>1223</v>
      </c>
      <c r="B74" s="127" t="s">
        <v>92</v>
      </c>
      <c r="C74" s="128">
        <f t="shared" si="4"/>
        <v>0</v>
      </c>
      <c r="D74" s="134"/>
      <c r="E74" s="285"/>
      <c r="F74" s="286">
        <f t="shared" si="5"/>
        <v>0</v>
      </c>
      <c r="G74" s="134"/>
      <c r="H74" s="135"/>
      <c r="I74" s="136">
        <f t="shared" si="6"/>
        <v>0</v>
      </c>
      <c r="J74" s="134"/>
      <c r="K74" s="135"/>
      <c r="L74" s="136">
        <f t="shared" si="7"/>
        <v>0</v>
      </c>
      <c r="M74" s="284"/>
      <c r="N74" s="285"/>
      <c r="O74" s="136">
        <f t="shared" si="8"/>
        <v>0</v>
      </c>
      <c r="P74" s="85"/>
      <c r="R74" s="53"/>
      <c r="S74" s="53"/>
      <c r="T74" s="53"/>
    </row>
    <row r="75" spans="1:20" hidden="1" x14ac:dyDescent="0.25">
      <c r="A75" s="76">
        <v>1225</v>
      </c>
      <c r="B75" s="127" t="s">
        <v>93</v>
      </c>
      <c r="C75" s="128">
        <f t="shared" si="4"/>
        <v>0</v>
      </c>
      <c r="D75" s="134"/>
      <c r="E75" s="285"/>
      <c r="F75" s="286">
        <f t="shared" si="5"/>
        <v>0</v>
      </c>
      <c r="G75" s="134"/>
      <c r="H75" s="135"/>
      <c r="I75" s="136">
        <f t="shared" si="6"/>
        <v>0</v>
      </c>
      <c r="J75" s="134"/>
      <c r="K75" s="135"/>
      <c r="L75" s="136">
        <f t="shared" si="7"/>
        <v>0</v>
      </c>
      <c r="M75" s="284"/>
      <c r="N75" s="285"/>
      <c r="O75" s="136">
        <f t="shared" si="8"/>
        <v>0</v>
      </c>
      <c r="P75" s="85"/>
      <c r="R75" s="53"/>
      <c r="S75" s="53"/>
      <c r="T75" s="53"/>
    </row>
    <row r="76" spans="1:20" ht="36" x14ac:dyDescent="0.25">
      <c r="A76" s="76">
        <v>1227</v>
      </c>
      <c r="B76" s="127" t="s">
        <v>94</v>
      </c>
      <c r="C76" s="128">
        <f t="shared" si="4"/>
        <v>10812</v>
      </c>
      <c r="D76" s="134">
        <f>11739-927</f>
        <v>10812</v>
      </c>
      <c r="E76" s="283"/>
      <c r="F76" s="279">
        <f t="shared" si="5"/>
        <v>10812</v>
      </c>
      <c r="G76" s="134"/>
      <c r="H76" s="135"/>
      <c r="I76" s="136">
        <f t="shared" si="6"/>
        <v>0</v>
      </c>
      <c r="J76" s="134"/>
      <c r="K76" s="135"/>
      <c r="L76" s="136">
        <f t="shared" si="7"/>
        <v>0</v>
      </c>
      <c r="M76" s="284"/>
      <c r="N76" s="285"/>
      <c r="O76" s="136">
        <f t="shared" si="8"/>
        <v>0</v>
      </c>
      <c r="P76" s="85"/>
      <c r="R76" s="53"/>
      <c r="S76" s="53"/>
      <c r="T76" s="53"/>
    </row>
    <row r="77" spans="1:20" ht="60" x14ac:dyDescent="0.25">
      <c r="A77" s="76">
        <v>1228</v>
      </c>
      <c r="B77" s="127" t="s">
        <v>95</v>
      </c>
      <c r="C77" s="128">
        <f t="shared" si="4"/>
        <v>427</v>
      </c>
      <c r="D77" s="134">
        <v>427</v>
      </c>
      <c r="E77" s="283"/>
      <c r="F77" s="279">
        <f t="shared" si="5"/>
        <v>427</v>
      </c>
      <c r="G77" s="134"/>
      <c r="H77" s="135"/>
      <c r="I77" s="136">
        <f t="shared" si="6"/>
        <v>0</v>
      </c>
      <c r="J77" s="134"/>
      <c r="K77" s="135"/>
      <c r="L77" s="136">
        <f t="shared" si="7"/>
        <v>0</v>
      </c>
      <c r="M77" s="284"/>
      <c r="N77" s="285"/>
      <c r="O77" s="136">
        <f t="shared" si="8"/>
        <v>0</v>
      </c>
      <c r="P77" s="85"/>
      <c r="R77" s="53"/>
      <c r="S77" s="53"/>
      <c r="T77" s="53"/>
    </row>
    <row r="78" spans="1:20" x14ac:dyDescent="0.25">
      <c r="A78" s="237">
        <v>2000</v>
      </c>
      <c r="B78" s="237" t="s">
        <v>96</v>
      </c>
      <c r="C78" s="238">
        <f t="shared" si="4"/>
        <v>111879</v>
      </c>
      <c r="D78" s="239">
        <f>SUM(D79,D86,D133,D167,D168,D175)</f>
        <v>76270</v>
      </c>
      <c r="E78" s="240">
        <f>SUM(E79,E86,E133,E167,E168,E175)</f>
        <v>0</v>
      </c>
      <c r="F78" s="241">
        <f t="shared" si="5"/>
        <v>76270</v>
      </c>
      <c r="G78" s="239">
        <f>SUM(G79,G86,G133,G167,G168,G175)</f>
        <v>2300</v>
      </c>
      <c r="H78" s="242">
        <f>SUM(H79,H86,H133,H167,H168,H175)</f>
        <v>0</v>
      </c>
      <c r="I78" s="243">
        <f t="shared" si="6"/>
        <v>2300</v>
      </c>
      <c r="J78" s="239">
        <f>SUM(J79,J86,J133,J167,J168,J175)</f>
        <v>33309</v>
      </c>
      <c r="K78" s="242">
        <f>SUM(K79,K86,K133,K167,K168,K175)</f>
        <v>0</v>
      </c>
      <c r="L78" s="243">
        <f t="shared" si="7"/>
        <v>33309</v>
      </c>
      <c r="M78" s="244">
        <f>SUM(M79,M86,M133,M167,M168,M175)</f>
        <v>0</v>
      </c>
      <c r="N78" s="245">
        <f>SUM(N79,N86,N133,N167,N168,N175)</f>
        <v>0</v>
      </c>
      <c r="O78" s="243">
        <f t="shared" si="8"/>
        <v>0</v>
      </c>
      <c r="P78" s="246"/>
      <c r="R78" s="53"/>
      <c r="S78" s="53"/>
      <c r="T78" s="53"/>
    </row>
    <row r="79" spans="1:20" ht="24" hidden="1" x14ac:dyDescent="0.25">
      <c r="A79" s="99">
        <v>2100</v>
      </c>
      <c r="B79" s="247" t="s">
        <v>97</v>
      </c>
      <c r="C79" s="100">
        <f t="shared" si="4"/>
        <v>0</v>
      </c>
      <c r="D79" s="112">
        <f>SUM(D80,D83)</f>
        <v>0</v>
      </c>
      <c r="E79" s="293">
        <f>SUM(E80,E83)</f>
        <v>0</v>
      </c>
      <c r="F79" s="313">
        <f t="shared" si="5"/>
        <v>0</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c r="R79" s="53"/>
      <c r="S79" s="53"/>
      <c r="T79" s="53"/>
    </row>
    <row r="80" spans="1:20" ht="24" hidden="1" x14ac:dyDescent="0.25">
      <c r="A80" s="656">
        <v>2110</v>
      </c>
      <c r="B80" s="116" t="s">
        <v>98</v>
      </c>
      <c r="C80" s="117">
        <f t="shared" si="4"/>
        <v>0</v>
      </c>
      <c r="D80" s="297">
        <f>SUM(D81:D82)</f>
        <v>0</v>
      </c>
      <c r="E80" s="301">
        <f>SUM(E81:E82)</f>
        <v>0</v>
      </c>
      <c r="F80" s="263">
        <f t="shared" si="5"/>
        <v>0</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c r="R80" s="53"/>
      <c r="S80" s="53"/>
      <c r="T80" s="53"/>
    </row>
    <row r="81" spans="1:20" hidden="1" x14ac:dyDescent="0.25">
      <c r="A81" s="76">
        <v>2111</v>
      </c>
      <c r="B81" s="127" t="s">
        <v>99</v>
      </c>
      <c r="C81" s="128">
        <f t="shared" si="4"/>
        <v>0</v>
      </c>
      <c r="D81" s="134"/>
      <c r="E81" s="285"/>
      <c r="F81" s="286">
        <f t="shared" si="5"/>
        <v>0</v>
      </c>
      <c r="G81" s="134"/>
      <c r="H81" s="135"/>
      <c r="I81" s="136">
        <f t="shared" si="6"/>
        <v>0</v>
      </c>
      <c r="J81" s="134"/>
      <c r="K81" s="135"/>
      <c r="L81" s="136">
        <f t="shared" si="7"/>
        <v>0</v>
      </c>
      <c r="M81" s="284"/>
      <c r="N81" s="285"/>
      <c r="O81" s="136">
        <f t="shared" si="8"/>
        <v>0</v>
      </c>
      <c r="P81" s="85"/>
      <c r="R81" s="53"/>
      <c r="S81" s="53"/>
      <c r="T81" s="53"/>
    </row>
    <row r="82" spans="1:20" ht="24" hidden="1" x14ac:dyDescent="0.25">
      <c r="A82" s="76">
        <v>2112</v>
      </c>
      <c r="B82" s="127" t="s">
        <v>100</v>
      </c>
      <c r="C82" s="128">
        <f t="shared" si="4"/>
        <v>0</v>
      </c>
      <c r="D82" s="134"/>
      <c r="E82" s="285"/>
      <c r="F82" s="286">
        <f t="shared" si="5"/>
        <v>0</v>
      </c>
      <c r="G82" s="134"/>
      <c r="H82" s="135"/>
      <c r="I82" s="136">
        <f t="shared" si="6"/>
        <v>0</v>
      </c>
      <c r="J82" s="134"/>
      <c r="K82" s="135"/>
      <c r="L82" s="136">
        <f t="shared" si="7"/>
        <v>0</v>
      </c>
      <c r="M82" s="284"/>
      <c r="N82" s="285"/>
      <c r="O82" s="136">
        <f t="shared" si="8"/>
        <v>0</v>
      </c>
      <c r="P82" s="85"/>
      <c r="R82" s="53"/>
      <c r="S82" s="53"/>
      <c r="T82" s="53"/>
    </row>
    <row r="83" spans="1:20" ht="24" hidden="1" x14ac:dyDescent="0.25">
      <c r="A83" s="276">
        <v>2120</v>
      </c>
      <c r="B83" s="127" t="s">
        <v>101</v>
      </c>
      <c r="C83" s="128">
        <f t="shared" si="4"/>
        <v>0</v>
      </c>
      <c r="D83" s="277">
        <f>SUM(D84:D85)</f>
        <v>0</v>
      </c>
      <c r="E83" s="282">
        <f>SUM(E84:E85)</f>
        <v>0</v>
      </c>
      <c r="F83" s="28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c r="R83" s="53"/>
      <c r="S83" s="53"/>
      <c r="T83" s="53"/>
    </row>
    <row r="84" spans="1:20" hidden="1" x14ac:dyDescent="0.25">
      <c r="A84" s="76">
        <v>2121</v>
      </c>
      <c r="B84" s="127" t="s">
        <v>99</v>
      </c>
      <c r="C84" s="128">
        <f t="shared" si="4"/>
        <v>0</v>
      </c>
      <c r="D84" s="134"/>
      <c r="E84" s="285"/>
      <c r="F84" s="286">
        <f t="shared" si="5"/>
        <v>0</v>
      </c>
      <c r="G84" s="134"/>
      <c r="H84" s="135"/>
      <c r="I84" s="136">
        <f t="shared" si="6"/>
        <v>0</v>
      </c>
      <c r="J84" s="134"/>
      <c r="K84" s="135"/>
      <c r="L84" s="136">
        <f t="shared" si="7"/>
        <v>0</v>
      </c>
      <c r="M84" s="284"/>
      <c r="N84" s="285"/>
      <c r="O84" s="136">
        <f t="shared" si="8"/>
        <v>0</v>
      </c>
      <c r="P84" s="85"/>
      <c r="R84" s="53"/>
      <c r="S84" s="53"/>
      <c r="T84" s="53"/>
    </row>
    <row r="85" spans="1:20" ht="24" hidden="1" x14ac:dyDescent="0.25">
      <c r="A85" s="76">
        <v>2122</v>
      </c>
      <c r="B85" s="127" t="s">
        <v>100</v>
      </c>
      <c r="C85" s="128">
        <f t="shared" si="4"/>
        <v>0</v>
      </c>
      <c r="D85" s="134"/>
      <c r="E85" s="285"/>
      <c r="F85" s="286">
        <f t="shared" si="5"/>
        <v>0</v>
      </c>
      <c r="G85" s="134"/>
      <c r="H85" s="135"/>
      <c r="I85" s="136">
        <f t="shared" si="6"/>
        <v>0</v>
      </c>
      <c r="J85" s="134"/>
      <c r="K85" s="135"/>
      <c r="L85" s="136">
        <f t="shared" si="7"/>
        <v>0</v>
      </c>
      <c r="M85" s="284"/>
      <c r="N85" s="285"/>
      <c r="O85" s="136">
        <f t="shared" si="8"/>
        <v>0</v>
      </c>
      <c r="P85" s="85"/>
      <c r="R85" s="53"/>
      <c r="S85" s="53"/>
      <c r="T85" s="53"/>
    </row>
    <row r="86" spans="1:20" x14ac:dyDescent="0.25">
      <c r="A86" s="99">
        <v>2200</v>
      </c>
      <c r="B86" s="247" t="s">
        <v>102</v>
      </c>
      <c r="C86" s="302">
        <f t="shared" si="4"/>
        <v>75062</v>
      </c>
      <c r="D86" s="112">
        <f>SUM(D87,D92,D98,D106,D115,D119,D125,D131)</f>
        <v>54897</v>
      </c>
      <c r="E86" s="248">
        <f>SUM(E87,E92,E98,E106,E115,E119,E125,E131)</f>
        <v>0</v>
      </c>
      <c r="F86" s="249">
        <f t="shared" si="5"/>
        <v>54897</v>
      </c>
      <c r="G86" s="112">
        <f>SUM(G87,G92,G98,G106,G115,G119,G125,G131)</f>
        <v>0</v>
      </c>
      <c r="H86" s="113">
        <f>SUM(H87,H92,H98,H106,H115,H119,H125,H131)</f>
        <v>0</v>
      </c>
      <c r="I86" s="114">
        <f t="shared" si="6"/>
        <v>0</v>
      </c>
      <c r="J86" s="112">
        <f>SUM(J87,J92,J98,J106,J115,J119,J125,J131)</f>
        <v>20165</v>
      </c>
      <c r="K86" s="113">
        <f>SUM(K87,K92,K98,K106,K115,K119,K125,K131)</f>
        <v>0</v>
      </c>
      <c r="L86" s="114">
        <f t="shared" si="7"/>
        <v>20165</v>
      </c>
      <c r="M86" s="303">
        <f>SUM(M87,M92,M98,M106,M115,M119,M125,M131)</f>
        <v>0</v>
      </c>
      <c r="N86" s="304">
        <f>SUM(N87,N92,N98,N106,N115,N119,N125,N131)</f>
        <v>0</v>
      </c>
      <c r="O86" s="305">
        <f t="shared" si="8"/>
        <v>0</v>
      </c>
      <c r="P86" s="306"/>
      <c r="R86" s="53"/>
      <c r="S86" s="53"/>
      <c r="T86" s="53"/>
    </row>
    <row r="87" spans="1:20" ht="24" x14ac:dyDescent="0.25">
      <c r="A87" s="254">
        <v>2210</v>
      </c>
      <c r="B87" s="179" t="s">
        <v>103</v>
      </c>
      <c r="C87" s="191">
        <f t="shared" si="4"/>
        <v>2572</v>
      </c>
      <c r="D87" s="255">
        <f>SUM(D88:D91)</f>
        <v>1787</v>
      </c>
      <c r="E87" s="256">
        <f>SUM(E88:E91)</f>
        <v>0</v>
      </c>
      <c r="F87" s="257">
        <f t="shared" si="5"/>
        <v>1787</v>
      </c>
      <c r="G87" s="255">
        <f>SUM(G88:G91)</f>
        <v>0</v>
      </c>
      <c r="H87" s="258">
        <f>SUM(H88:H91)</f>
        <v>0</v>
      </c>
      <c r="I87" s="259">
        <f t="shared" si="6"/>
        <v>0</v>
      </c>
      <c r="J87" s="255">
        <f>SUM(J88:J91)</f>
        <v>785</v>
      </c>
      <c r="K87" s="258">
        <f>SUM(K88:K91)</f>
        <v>0</v>
      </c>
      <c r="L87" s="259">
        <f t="shared" si="7"/>
        <v>785</v>
      </c>
      <c r="M87" s="260">
        <f>SUM(M88:M91)</f>
        <v>0</v>
      </c>
      <c r="N87" s="261">
        <f>SUM(N88:N91)</f>
        <v>0</v>
      </c>
      <c r="O87" s="259">
        <f t="shared" si="8"/>
        <v>0</v>
      </c>
      <c r="P87" s="189"/>
      <c r="R87" s="53"/>
      <c r="S87" s="53"/>
      <c r="T87" s="53"/>
    </row>
    <row r="88" spans="1:20" ht="24" hidden="1" x14ac:dyDescent="0.25">
      <c r="A88" s="66">
        <v>2211</v>
      </c>
      <c r="B88" s="116" t="s">
        <v>104</v>
      </c>
      <c r="C88" s="128">
        <f t="shared" si="4"/>
        <v>0</v>
      </c>
      <c r="D88" s="123"/>
      <c r="E88" s="262"/>
      <c r="F88" s="263">
        <f t="shared" si="5"/>
        <v>0</v>
      </c>
      <c r="G88" s="123"/>
      <c r="H88" s="124"/>
      <c r="I88" s="125">
        <f t="shared" si="6"/>
        <v>0</v>
      </c>
      <c r="J88" s="123"/>
      <c r="K88" s="124"/>
      <c r="L88" s="125">
        <f t="shared" si="7"/>
        <v>0</v>
      </c>
      <c r="M88" s="264"/>
      <c r="N88" s="262"/>
      <c r="O88" s="125">
        <f t="shared" si="8"/>
        <v>0</v>
      </c>
      <c r="P88" s="74"/>
      <c r="R88" s="53"/>
      <c r="S88" s="53"/>
      <c r="T88" s="53"/>
    </row>
    <row r="89" spans="1:20" ht="36" x14ac:dyDescent="0.25">
      <c r="A89" s="76">
        <v>2212</v>
      </c>
      <c r="B89" s="127" t="s">
        <v>105</v>
      </c>
      <c r="C89" s="128">
        <f t="shared" si="4"/>
        <v>2006</v>
      </c>
      <c r="D89" s="134">
        <v>1221</v>
      </c>
      <c r="E89" s="283"/>
      <c r="F89" s="279">
        <f t="shared" si="5"/>
        <v>1221</v>
      </c>
      <c r="G89" s="134"/>
      <c r="H89" s="135"/>
      <c r="I89" s="136">
        <f t="shared" si="6"/>
        <v>0</v>
      </c>
      <c r="J89" s="134">
        <v>785</v>
      </c>
      <c r="K89" s="135"/>
      <c r="L89" s="136">
        <f t="shared" si="7"/>
        <v>785</v>
      </c>
      <c r="M89" s="284"/>
      <c r="N89" s="285"/>
      <c r="O89" s="136">
        <f t="shared" si="8"/>
        <v>0</v>
      </c>
      <c r="P89" s="85"/>
      <c r="R89" s="53"/>
      <c r="S89" s="53"/>
      <c r="T89" s="53"/>
    </row>
    <row r="90" spans="1:20" ht="24" x14ac:dyDescent="0.25">
      <c r="A90" s="76">
        <v>2214</v>
      </c>
      <c r="B90" s="127" t="s">
        <v>106</v>
      </c>
      <c r="C90" s="128">
        <f t="shared" si="4"/>
        <v>466</v>
      </c>
      <c r="D90" s="134">
        <v>466</v>
      </c>
      <c r="E90" s="283"/>
      <c r="F90" s="279">
        <f t="shared" si="5"/>
        <v>466</v>
      </c>
      <c r="G90" s="134"/>
      <c r="H90" s="135"/>
      <c r="I90" s="136">
        <f t="shared" si="6"/>
        <v>0</v>
      </c>
      <c r="J90" s="134"/>
      <c r="K90" s="135"/>
      <c r="L90" s="136">
        <f t="shared" si="7"/>
        <v>0</v>
      </c>
      <c r="M90" s="284"/>
      <c r="N90" s="285"/>
      <c r="O90" s="136">
        <f t="shared" si="8"/>
        <v>0</v>
      </c>
      <c r="P90" s="85"/>
      <c r="R90" s="53"/>
      <c r="S90" s="53"/>
      <c r="T90" s="53"/>
    </row>
    <row r="91" spans="1:20" x14ac:dyDescent="0.25">
      <c r="A91" s="76">
        <v>2219</v>
      </c>
      <c r="B91" s="127" t="s">
        <v>107</v>
      </c>
      <c r="C91" s="128">
        <f t="shared" si="4"/>
        <v>100</v>
      </c>
      <c r="D91" s="134">
        <v>100</v>
      </c>
      <c r="E91" s="283"/>
      <c r="F91" s="279">
        <f t="shared" si="5"/>
        <v>100</v>
      </c>
      <c r="G91" s="134"/>
      <c r="H91" s="135"/>
      <c r="I91" s="136">
        <f t="shared" si="6"/>
        <v>0</v>
      </c>
      <c r="J91" s="134"/>
      <c r="K91" s="135"/>
      <c r="L91" s="136">
        <f t="shared" si="7"/>
        <v>0</v>
      </c>
      <c r="M91" s="284"/>
      <c r="N91" s="285"/>
      <c r="O91" s="136">
        <f t="shared" si="8"/>
        <v>0</v>
      </c>
      <c r="P91" s="85"/>
      <c r="R91" s="53"/>
      <c r="S91" s="53"/>
      <c r="T91" s="53"/>
    </row>
    <row r="92" spans="1:20" ht="24" x14ac:dyDescent="0.25">
      <c r="A92" s="276">
        <v>2220</v>
      </c>
      <c r="B92" s="127" t="s">
        <v>108</v>
      </c>
      <c r="C92" s="128">
        <f t="shared" si="4"/>
        <v>61565</v>
      </c>
      <c r="D92" s="277">
        <f>SUM(D93:D97)</f>
        <v>44585</v>
      </c>
      <c r="E92" s="278">
        <f>SUM(E93:E97)</f>
        <v>0</v>
      </c>
      <c r="F92" s="279">
        <f t="shared" si="5"/>
        <v>44585</v>
      </c>
      <c r="G92" s="277">
        <f>SUM(G93:G97)</f>
        <v>0</v>
      </c>
      <c r="H92" s="280">
        <f>SUM(H93:H97)</f>
        <v>0</v>
      </c>
      <c r="I92" s="136">
        <f t="shared" si="6"/>
        <v>0</v>
      </c>
      <c r="J92" s="277">
        <f>SUM(J93:J97)</f>
        <v>16980</v>
      </c>
      <c r="K92" s="280">
        <f>SUM(K93:K97)</f>
        <v>0</v>
      </c>
      <c r="L92" s="136">
        <f t="shared" si="7"/>
        <v>16980</v>
      </c>
      <c r="M92" s="281">
        <f>SUM(M93:M97)</f>
        <v>0</v>
      </c>
      <c r="N92" s="282">
        <f>SUM(N93:N97)</f>
        <v>0</v>
      </c>
      <c r="O92" s="136">
        <f t="shared" si="8"/>
        <v>0</v>
      </c>
      <c r="P92" s="85"/>
      <c r="R92" s="53"/>
      <c r="S92" s="53"/>
      <c r="T92" s="53"/>
    </row>
    <row r="93" spans="1:20" x14ac:dyDescent="0.25">
      <c r="A93" s="76">
        <v>2221</v>
      </c>
      <c r="B93" s="127" t="s">
        <v>109</v>
      </c>
      <c r="C93" s="128">
        <f t="shared" si="4"/>
        <v>29800</v>
      </c>
      <c r="D93" s="134">
        <v>26300</v>
      </c>
      <c r="E93" s="283"/>
      <c r="F93" s="279">
        <f t="shared" si="5"/>
        <v>26300</v>
      </c>
      <c r="G93" s="134"/>
      <c r="H93" s="135"/>
      <c r="I93" s="136">
        <f t="shared" si="6"/>
        <v>0</v>
      </c>
      <c r="J93" s="134">
        <v>3500</v>
      </c>
      <c r="K93" s="135"/>
      <c r="L93" s="136">
        <f t="shared" si="7"/>
        <v>3500</v>
      </c>
      <c r="M93" s="284"/>
      <c r="N93" s="285"/>
      <c r="O93" s="136">
        <f t="shared" si="8"/>
        <v>0</v>
      </c>
      <c r="P93" s="85"/>
      <c r="R93" s="53"/>
      <c r="S93" s="53"/>
      <c r="T93" s="53"/>
    </row>
    <row r="94" spans="1:20" x14ac:dyDescent="0.25">
      <c r="A94" s="76">
        <v>2222</v>
      </c>
      <c r="B94" s="127" t="s">
        <v>110</v>
      </c>
      <c r="C94" s="128">
        <f t="shared" si="4"/>
        <v>5329</v>
      </c>
      <c r="D94" s="134">
        <v>4849</v>
      </c>
      <c r="E94" s="283"/>
      <c r="F94" s="279">
        <f t="shared" si="5"/>
        <v>4849</v>
      </c>
      <c r="G94" s="134"/>
      <c r="H94" s="135"/>
      <c r="I94" s="136">
        <f t="shared" si="6"/>
        <v>0</v>
      </c>
      <c r="J94" s="134">
        <v>480</v>
      </c>
      <c r="K94" s="135"/>
      <c r="L94" s="136">
        <f t="shared" si="7"/>
        <v>480</v>
      </c>
      <c r="M94" s="284"/>
      <c r="N94" s="285"/>
      <c r="O94" s="136">
        <f t="shared" si="8"/>
        <v>0</v>
      </c>
      <c r="P94" s="85"/>
      <c r="R94" s="53"/>
      <c r="S94" s="53"/>
      <c r="T94" s="53"/>
    </row>
    <row r="95" spans="1:20" x14ac:dyDescent="0.25">
      <c r="A95" s="76">
        <v>2223</v>
      </c>
      <c r="B95" s="127" t="s">
        <v>111</v>
      </c>
      <c r="C95" s="128">
        <f t="shared" si="4"/>
        <v>25500</v>
      </c>
      <c r="D95" s="134">
        <v>12500</v>
      </c>
      <c r="E95" s="283"/>
      <c r="F95" s="279">
        <f t="shared" si="5"/>
        <v>12500</v>
      </c>
      <c r="G95" s="134"/>
      <c r="H95" s="135"/>
      <c r="I95" s="136">
        <f t="shared" si="6"/>
        <v>0</v>
      </c>
      <c r="J95" s="134">
        <v>13000</v>
      </c>
      <c r="K95" s="135"/>
      <c r="L95" s="136">
        <f t="shared" si="7"/>
        <v>13000</v>
      </c>
      <c r="M95" s="284"/>
      <c r="N95" s="285"/>
      <c r="O95" s="136">
        <f t="shared" si="8"/>
        <v>0</v>
      </c>
      <c r="P95" s="85"/>
      <c r="R95" s="53"/>
      <c r="S95" s="53"/>
      <c r="T95" s="53"/>
    </row>
    <row r="96" spans="1:20" ht="48" x14ac:dyDescent="0.25">
      <c r="A96" s="76">
        <v>2224</v>
      </c>
      <c r="B96" s="127" t="s">
        <v>112</v>
      </c>
      <c r="C96" s="128">
        <f t="shared" si="4"/>
        <v>936</v>
      </c>
      <c r="D96" s="134">
        <v>936</v>
      </c>
      <c r="E96" s="283"/>
      <c r="F96" s="279">
        <f t="shared" si="5"/>
        <v>936</v>
      </c>
      <c r="G96" s="134"/>
      <c r="H96" s="135"/>
      <c r="I96" s="136">
        <f t="shared" si="6"/>
        <v>0</v>
      </c>
      <c r="J96" s="134"/>
      <c r="K96" s="135"/>
      <c r="L96" s="136">
        <f t="shared" si="7"/>
        <v>0</v>
      </c>
      <c r="M96" s="284"/>
      <c r="N96" s="285"/>
      <c r="O96" s="136">
        <f t="shared" si="8"/>
        <v>0</v>
      </c>
      <c r="P96" s="85"/>
      <c r="R96" s="53"/>
      <c r="S96" s="53"/>
      <c r="T96" s="53"/>
    </row>
    <row r="97" spans="1:20" ht="24" hidden="1" x14ac:dyDescent="0.25">
      <c r="A97" s="76">
        <v>2229</v>
      </c>
      <c r="B97" s="127" t="s">
        <v>113</v>
      </c>
      <c r="C97" s="128">
        <f t="shared" si="4"/>
        <v>0</v>
      </c>
      <c r="D97" s="134"/>
      <c r="E97" s="285"/>
      <c r="F97" s="286">
        <f t="shared" si="5"/>
        <v>0</v>
      </c>
      <c r="G97" s="134"/>
      <c r="H97" s="135"/>
      <c r="I97" s="136">
        <f t="shared" si="6"/>
        <v>0</v>
      </c>
      <c r="J97" s="134"/>
      <c r="K97" s="135"/>
      <c r="L97" s="136">
        <f t="shared" si="7"/>
        <v>0</v>
      </c>
      <c r="M97" s="284"/>
      <c r="N97" s="285"/>
      <c r="O97" s="136">
        <f t="shared" si="8"/>
        <v>0</v>
      </c>
      <c r="P97" s="85"/>
      <c r="R97" s="53"/>
      <c r="S97" s="53"/>
      <c r="T97" s="53"/>
    </row>
    <row r="98" spans="1:20" ht="36" x14ac:dyDescent="0.25">
      <c r="A98" s="276">
        <v>2230</v>
      </c>
      <c r="B98" s="127" t="s">
        <v>114</v>
      </c>
      <c r="C98" s="128">
        <f t="shared" si="4"/>
        <v>1770</v>
      </c>
      <c r="D98" s="277">
        <f>SUM(D99:D105)</f>
        <v>1770</v>
      </c>
      <c r="E98" s="278">
        <f>SUM(E99:E105)</f>
        <v>0</v>
      </c>
      <c r="F98" s="279">
        <f t="shared" si="5"/>
        <v>1770</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c r="R98" s="53"/>
      <c r="S98" s="53"/>
      <c r="T98" s="53"/>
    </row>
    <row r="99" spans="1:20" ht="24" hidden="1" x14ac:dyDescent="0.25">
      <c r="A99" s="76">
        <v>2231</v>
      </c>
      <c r="B99" s="127" t="s">
        <v>115</v>
      </c>
      <c r="C99" s="128">
        <f t="shared" si="4"/>
        <v>0</v>
      </c>
      <c r="D99" s="134"/>
      <c r="E99" s="285"/>
      <c r="F99" s="286">
        <f t="shared" si="5"/>
        <v>0</v>
      </c>
      <c r="G99" s="134"/>
      <c r="H99" s="135"/>
      <c r="I99" s="136">
        <f t="shared" si="6"/>
        <v>0</v>
      </c>
      <c r="J99" s="134"/>
      <c r="K99" s="135"/>
      <c r="L99" s="136">
        <f t="shared" si="7"/>
        <v>0</v>
      </c>
      <c r="M99" s="284"/>
      <c r="N99" s="285"/>
      <c r="O99" s="136">
        <f t="shared" si="8"/>
        <v>0</v>
      </c>
      <c r="P99" s="85"/>
      <c r="R99" s="53"/>
      <c r="S99" s="53"/>
      <c r="T99" s="53"/>
    </row>
    <row r="100" spans="1:20" ht="36" hidden="1" x14ac:dyDescent="0.25">
      <c r="A100" s="76">
        <v>2232</v>
      </c>
      <c r="B100" s="127" t="s">
        <v>116</v>
      </c>
      <c r="C100" s="128">
        <f t="shared" si="4"/>
        <v>0</v>
      </c>
      <c r="D100" s="134"/>
      <c r="E100" s="285"/>
      <c r="F100" s="286">
        <f t="shared" si="5"/>
        <v>0</v>
      </c>
      <c r="G100" s="134"/>
      <c r="H100" s="135"/>
      <c r="I100" s="136">
        <f t="shared" si="6"/>
        <v>0</v>
      </c>
      <c r="J100" s="134"/>
      <c r="K100" s="135"/>
      <c r="L100" s="136">
        <f t="shared" si="7"/>
        <v>0</v>
      </c>
      <c r="M100" s="284"/>
      <c r="N100" s="285"/>
      <c r="O100" s="136">
        <f t="shared" si="8"/>
        <v>0</v>
      </c>
      <c r="P100" s="85"/>
      <c r="R100" s="53"/>
      <c r="S100" s="53"/>
      <c r="T100" s="53"/>
    </row>
    <row r="101" spans="1:20" ht="24" hidden="1" x14ac:dyDescent="0.25">
      <c r="A101" s="66">
        <v>2233</v>
      </c>
      <c r="B101" s="116" t="s">
        <v>117</v>
      </c>
      <c r="C101" s="128">
        <f t="shared" si="4"/>
        <v>0</v>
      </c>
      <c r="D101" s="123"/>
      <c r="E101" s="262"/>
      <c r="F101" s="263">
        <f t="shared" si="5"/>
        <v>0</v>
      </c>
      <c r="G101" s="123"/>
      <c r="H101" s="124"/>
      <c r="I101" s="125">
        <f t="shared" si="6"/>
        <v>0</v>
      </c>
      <c r="J101" s="123"/>
      <c r="K101" s="124"/>
      <c r="L101" s="125">
        <f t="shared" si="7"/>
        <v>0</v>
      </c>
      <c r="M101" s="264"/>
      <c r="N101" s="262"/>
      <c r="O101" s="125">
        <f t="shared" si="8"/>
        <v>0</v>
      </c>
      <c r="P101" s="74"/>
      <c r="R101" s="53"/>
      <c r="S101" s="53"/>
      <c r="T101" s="53"/>
    </row>
    <row r="102" spans="1:20" ht="36" hidden="1" x14ac:dyDescent="0.25">
      <c r="A102" s="76">
        <v>2234</v>
      </c>
      <c r="B102" s="127" t="s">
        <v>118</v>
      </c>
      <c r="C102" s="128">
        <f t="shared" si="4"/>
        <v>0</v>
      </c>
      <c r="D102" s="134"/>
      <c r="E102" s="285"/>
      <c r="F102" s="286">
        <f t="shared" si="5"/>
        <v>0</v>
      </c>
      <c r="G102" s="134"/>
      <c r="H102" s="135"/>
      <c r="I102" s="136">
        <f t="shared" si="6"/>
        <v>0</v>
      </c>
      <c r="J102" s="134"/>
      <c r="K102" s="135"/>
      <c r="L102" s="136">
        <f t="shared" si="7"/>
        <v>0</v>
      </c>
      <c r="M102" s="284"/>
      <c r="N102" s="285"/>
      <c r="O102" s="136">
        <f t="shared" si="8"/>
        <v>0</v>
      </c>
      <c r="P102" s="85"/>
      <c r="R102" s="53"/>
      <c r="S102" s="53"/>
      <c r="T102" s="53"/>
    </row>
    <row r="103" spans="1:20" ht="24" x14ac:dyDescent="0.25">
      <c r="A103" s="76">
        <v>2235</v>
      </c>
      <c r="B103" s="127" t="s">
        <v>119</v>
      </c>
      <c r="C103" s="128">
        <f t="shared" si="4"/>
        <v>32</v>
      </c>
      <c r="D103" s="134">
        <v>32</v>
      </c>
      <c r="E103" s="283"/>
      <c r="F103" s="279">
        <f t="shared" si="5"/>
        <v>32</v>
      </c>
      <c r="G103" s="134"/>
      <c r="H103" s="135"/>
      <c r="I103" s="136">
        <f t="shared" si="6"/>
        <v>0</v>
      </c>
      <c r="J103" s="134"/>
      <c r="K103" s="135"/>
      <c r="L103" s="136">
        <f t="shared" si="7"/>
        <v>0</v>
      </c>
      <c r="M103" s="284"/>
      <c r="N103" s="285"/>
      <c r="O103" s="136">
        <f t="shared" si="8"/>
        <v>0</v>
      </c>
      <c r="P103" s="85"/>
      <c r="R103" s="53"/>
      <c r="S103" s="53"/>
      <c r="T103" s="53"/>
    </row>
    <row r="104" spans="1:20" hidden="1" x14ac:dyDescent="0.25">
      <c r="A104" s="76">
        <v>2236</v>
      </c>
      <c r="B104" s="127" t="s">
        <v>120</v>
      </c>
      <c r="C104" s="128">
        <f t="shared" si="4"/>
        <v>0</v>
      </c>
      <c r="D104" s="134"/>
      <c r="E104" s="285"/>
      <c r="F104" s="286">
        <f t="shared" si="5"/>
        <v>0</v>
      </c>
      <c r="G104" s="134"/>
      <c r="H104" s="135"/>
      <c r="I104" s="136">
        <f t="shared" si="6"/>
        <v>0</v>
      </c>
      <c r="J104" s="134"/>
      <c r="K104" s="135"/>
      <c r="L104" s="136">
        <f t="shared" si="7"/>
        <v>0</v>
      </c>
      <c r="M104" s="284"/>
      <c r="N104" s="285"/>
      <c r="O104" s="136">
        <f t="shared" si="8"/>
        <v>0</v>
      </c>
      <c r="P104" s="85"/>
      <c r="R104" s="53"/>
      <c r="S104" s="53"/>
      <c r="T104" s="53"/>
    </row>
    <row r="105" spans="1:20" ht="24" x14ac:dyDescent="0.25">
      <c r="A105" s="76">
        <v>2239</v>
      </c>
      <c r="B105" s="127" t="s">
        <v>121</v>
      </c>
      <c r="C105" s="128">
        <f t="shared" si="4"/>
        <v>1738</v>
      </c>
      <c r="D105" s="134">
        <v>1738</v>
      </c>
      <c r="E105" s="283"/>
      <c r="F105" s="279">
        <f t="shared" si="5"/>
        <v>1738</v>
      </c>
      <c r="G105" s="134"/>
      <c r="H105" s="135"/>
      <c r="I105" s="136">
        <f t="shared" si="6"/>
        <v>0</v>
      </c>
      <c r="J105" s="134"/>
      <c r="K105" s="135"/>
      <c r="L105" s="136">
        <f t="shared" si="7"/>
        <v>0</v>
      </c>
      <c r="M105" s="284"/>
      <c r="N105" s="285"/>
      <c r="O105" s="136">
        <f t="shared" si="8"/>
        <v>0</v>
      </c>
      <c r="P105" s="85"/>
      <c r="R105" s="53"/>
      <c r="S105" s="53"/>
      <c r="T105" s="53"/>
    </row>
    <row r="106" spans="1:20" ht="36" x14ac:dyDescent="0.25">
      <c r="A106" s="276">
        <v>2240</v>
      </c>
      <c r="B106" s="127" t="s">
        <v>122</v>
      </c>
      <c r="C106" s="128">
        <f t="shared" si="4"/>
        <v>8254</v>
      </c>
      <c r="D106" s="277">
        <f>SUM(D107:D114)</f>
        <v>6054</v>
      </c>
      <c r="E106" s="278">
        <f>SUM(E107:E114)</f>
        <v>0</v>
      </c>
      <c r="F106" s="279">
        <f t="shared" si="5"/>
        <v>6054</v>
      </c>
      <c r="G106" s="277">
        <f>SUM(G107:G114)</f>
        <v>0</v>
      </c>
      <c r="H106" s="280">
        <f>SUM(H107:H114)</f>
        <v>0</v>
      </c>
      <c r="I106" s="136">
        <f t="shared" si="6"/>
        <v>0</v>
      </c>
      <c r="J106" s="277">
        <f>SUM(J107:J114)</f>
        <v>2200</v>
      </c>
      <c r="K106" s="280">
        <f>SUM(K107:K114)</f>
        <v>0</v>
      </c>
      <c r="L106" s="136">
        <f t="shared" si="7"/>
        <v>2200</v>
      </c>
      <c r="M106" s="281">
        <f>SUM(M107:M114)</f>
        <v>0</v>
      </c>
      <c r="N106" s="282">
        <f>SUM(N107:N114)</f>
        <v>0</v>
      </c>
      <c r="O106" s="136">
        <f t="shared" si="8"/>
        <v>0</v>
      </c>
      <c r="P106" s="85"/>
      <c r="R106" s="53"/>
      <c r="S106" s="53"/>
      <c r="T106" s="53"/>
    </row>
    <row r="107" spans="1:20" hidden="1" x14ac:dyDescent="0.25">
      <c r="A107" s="76">
        <v>2241</v>
      </c>
      <c r="B107" s="127" t="s">
        <v>123</v>
      </c>
      <c r="C107" s="128">
        <f t="shared" si="4"/>
        <v>0</v>
      </c>
      <c r="D107" s="134"/>
      <c r="E107" s="285"/>
      <c r="F107" s="286">
        <f t="shared" si="5"/>
        <v>0</v>
      </c>
      <c r="G107" s="134"/>
      <c r="H107" s="135"/>
      <c r="I107" s="136">
        <f t="shared" si="6"/>
        <v>0</v>
      </c>
      <c r="J107" s="134"/>
      <c r="K107" s="135"/>
      <c r="L107" s="136">
        <f t="shared" si="7"/>
        <v>0</v>
      </c>
      <c r="M107" s="284"/>
      <c r="N107" s="285"/>
      <c r="O107" s="136">
        <f t="shared" si="8"/>
        <v>0</v>
      </c>
      <c r="P107" s="85"/>
      <c r="R107" s="53"/>
      <c r="S107" s="53"/>
      <c r="T107" s="53"/>
    </row>
    <row r="108" spans="1:20" ht="24" x14ac:dyDescent="0.25">
      <c r="A108" s="76">
        <v>2242</v>
      </c>
      <c r="B108" s="127" t="s">
        <v>124</v>
      </c>
      <c r="C108" s="128">
        <f t="shared" si="4"/>
        <v>1030</v>
      </c>
      <c r="D108" s="134">
        <v>730</v>
      </c>
      <c r="E108" s="283"/>
      <c r="F108" s="279">
        <f t="shared" si="5"/>
        <v>730</v>
      </c>
      <c r="G108" s="134"/>
      <c r="H108" s="135"/>
      <c r="I108" s="136">
        <f t="shared" si="6"/>
        <v>0</v>
      </c>
      <c r="J108" s="134">
        <v>300</v>
      </c>
      <c r="K108" s="135"/>
      <c r="L108" s="136">
        <f t="shared" si="7"/>
        <v>300</v>
      </c>
      <c r="M108" s="284"/>
      <c r="N108" s="285"/>
      <c r="O108" s="136">
        <f t="shared" si="8"/>
        <v>0</v>
      </c>
      <c r="P108" s="1013"/>
      <c r="R108" s="53"/>
      <c r="S108" s="53"/>
      <c r="T108" s="53"/>
    </row>
    <row r="109" spans="1:20" ht="24" x14ac:dyDescent="0.25">
      <c r="A109" s="76">
        <v>2243</v>
      </c>
      <c r="B109" s="127" t="s">
        <v>125</v>
      </c>
      <c r="C109" s="128">
        <f t="shared" si="4"/>
        <v>900</v>
      </c>
      <c r="D109" s="134">
        <v>900</v>
      </c>
      <c r="E109" s="283"/>
      <c r="F109" s="279">
        <f t="shared" si="5"/>
        <v>900</v>
      </c>
      <c r="G109" s="134"/>
      <c r="H109" s="135"/>
      <c r="I109" s="136">
        <f t="shared" si="6"/>
        <v>0</v>
      </c>
      <c r="J109" s="134"/>
      <c r="K109" s="135"/>
      <c r="L109" s="136">
        <f t="shared" si="7"/>
        <v>0</v>
      </c>
      <c r="M109" s="284"/>
      <c r="N109" s="285"/>
      <c r="O109" s="136">
        <f t="shared" si="8"/>
        <v>0</v>
      </c>
      <c r="P109" s="85"/>
      <c r="R109" s="53"/>
      <c r="S109" s="53"/>
      <c r="T109" s="53"/>
    </row>
    <row r="110" spans="1:20" x14ac:dyDescent="0.25">
      <c r="A110" s="76">
        <v>2244</v>
      </c>
      <c r="B110" s="127" t="s">
        <v>126</v>
      </c>
      <c r="C110" s="128">
        <f t="shared" si="4"/>
        <v>6301</v>
      </c>
      <c r="D110" s="134">
        <v>4401</v>
      </c>
      <c r="E110" s="283"/>
      <c r="F110" s="279">
        <f t="shared" si="5"/>
        <v>4401</v>
      </c>
      <c r="G110" s="134"/>
      <c r="H110" s="135"/>
      <c r="I110" s="136">
        <f t="shared" si="6"/>
        <v>0</v>
      </c>
      <c r="J110" s="134">
        <v>1900</v>
      </c>
      <c r="K110" s="135"/>
      <c r="L110" s="136">
        <f t="shared" si="7"/>
        <v>1900</v>
      </c>
      <c r="M110" s="284"/>
      <c r="N110" s="285"/>
      <c r="O110" s="136">
        <f t="shared" si="8"/>
        <v>0</v>
      </c>
      <c r="P110" s="1013"/>
      <c r="R110" s="53"/>
      <c r="S110" s="53"/>
      <c r="T110" s="53"/>
    </row>
    <row r="111" spans="1:20" ht="24" hidden="1" x14ac:dyDescent="0.25">
      <c r="A111" s="76">
        <v>2246</v>
      </c>
      <c r="B111" s="127" t="s">
        <v>127</v>
      </c>
      <c r="C111" s="128">
        <f t="shared" si="4"/>
        <v>0</v>
      </c>
      <c r="D111" s="134"/>
      <c r="E111" s="285"/>
      <c r="F111" s="286">
        <f t="shared" si="5"/>
        <v>0</v>
      </c>
      <c r="G111" s="134"/>
      <c r="H111" s="135"/>
      <c r="I111" s="136">
        <f t="shared" si="6"/>
        <v>0</v>
      </c>
      <c r="J111" s="134"/>
      <c r="K111" s="135"/>
      <c r="L111" s="136">
        <f t="shared" si="7"/>
        <v>0</v>
      </c>
      <c r="M111" s="284"/>
      <c r="N111" s="285"/>
      <c r="O111" s="136">
        <f t="shared" si="8"/>
        <v>0</v>
      </c>
      <c r="P111" s="85"/>
      <c r="R111" s="53"/>
      <c r="S111" s="53"/>
      <c r="T111" s="53"/>
    </row>
    <row r="112" spans="1:20" x14ac:dyDescent="0.25">
      <c r="A112" s="76">
        <v>2247</v>
      </c>
      <c r="B112" s="127" t="s">
        <v>128</v>
      </c>
      <c r="C112" s="128">
        <f t="shared" si="4"/>
        <v>23</v>
      </c>
      <c r="D112" s="134">
        <v>23</v>
      </c>
      <c r="E112" s="283"/>
      <c r="F112" s="279">
        <f t="shared" si="5"/>
        <v>23</v>
      </c>
      <c r="G112" s="134"/>
      <c r="H112" s="135"/>
      <c r="I112" s="136">
        <f t="shared" si="6"/>
        <v>0</v>
      </c>
      <c r="J112" s="134"/>
      <c r="K112" s="135"/>
      <c r="L112" s="136">
        <f t="shared" si="7"/>
        <v>0</v>
      </c>
      <c r="M112" s="284"/>
      <c r="N112" s="285"/>
      <c r="O112" s="136">
        <f t="shared" si="8"/>
        <v>0</v>
      </c>
      <c r="P112" s="85"/>
      <c r="R112" s="53"/>
      <c r="S112" s="53"/>
      <c r="T112" s="53"/>
    </row>
    <row r="113" spans="1:20" ht="24" hidden="1" x14ac:dyDescent="0.25">
      <c r="A113" s="76">
        <v>2248</v>
      </c>
      <c r="B113" s="127" t="s">
        <v>129</v>
      </c>
      <c r="C113" s="128">
        <f t="shared" si="4"/>
        <v>0</v>
      </c>
      <c r="D113" s="134"/>
      <c r="E113" s="285"/>
      <c r="F113" s="286">
        <f t="shared" si="5"/>
        <v>0</v>
      </c>
      <c r="G113" s="134"/>
      <c r="H113" s="135"/>
      <c r="I113" s="136">
        <f t="shared" si="6"/>
        <v>0</v>
      </c>
      <c r="J113" s="134"/>
      <c r="K113" s="135"/>
      <c r="L113" s="136">
        <f t="shared" si="7"/>
        <v>0</v>
      </c>
      <c r="M113" s="284"/>
      <c r="N113" s="285"/>
      <c r="O113" s="136">
        <f t="shared" si="8"/>
        <v>0</v>
      </c>
      <c r="P113" s="85"/>
      <c r="R113" s="53"/>
      <c r="S113" s="53"/>
      <c r="T113" s="53"/>
    </row>
    <row r="114" spans="1:20" ht="24" hidden="1" x14ac:dyDescent="0.25">
      <c r="A114" s="76">
        <v>2249</v>
      </c>
      <c r="B114" s="127" t="s">
        <v>130</v>
      </c>
      <c r="C114" s="128">
        <f t="shared" si="4"/>
        <v>0</v>
      </c>
      <c r="D114" s="134">
        <v>0</v>
      </c>
      <c r="E114" s="285"/>
      <c r="F114" s="286">
        <f t="shared" si="5"/>
        <v>0</v>
      </c>
      <c r="G114" s="134"/>
      <c r="H114" s="135"/>
      <c r="I114" s="136">
        <f t="shared" si="6"/>
        <v>0</v>
      </c>
      <c r="J114" s="134"/>
      <c r="K114" s="135"/>
      <c r="L114" s="136">
        <f t="shared" si="7"/>
        <v>0</v>
      </c>
      <c r="M114" s="284"/>
      <c r="N114" s="285"/>
      <c r="O114" s="136">
        <f t="shared" si="8"/>
        <v>0</v>
      </c>
      <c r="P114" s="1013"/>
      <c r="R114" s="53"/>
      <c r="S114" s="53"/>
      <c r="T114" s="53"/>
    </row>
    <row r="115" spans="1:20" x14ac:dyDescent="0.25">
      <c r="A115" s="276">
        <v>2250</v>
      </c>
      <c r="B115" s="127" t="s">
        <v>131</v>
      </c>
      <c r="C115" s="128">
        <f t="shared" si="4"/>
        <v>580</v>
      </c>
      <c r="D115" s="277">
        <f>SUM(D116:D118)</f>
        <v>580</v>
      </c>
      <c r="E115" s="278">
        <f>SUM(E116:E118)</f>
        <v>0</v>
      </c>
      <c r="F115" s="279">
        <f t="shared" si="5"/>
        <v>580</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c r="R115" s="53"/>
      <c r="S115" s="53"/>
      <c r="T115" s="53"/>
    </row>
    <row r="116" spans="1:20" x14ac:dyDescent="0.25">
      <c r="A116" s="76">
        <v>2251</v>
      </c>
      <c r="B116" s="127" t="s">
        <v>132</v>
      </c>
      <c r="C116" s="128">
        <f t="shared" si="4"/>
        <v>166</v>
      </c>
      <c r="D116" s="134">
        <v>166</v>
      </c>
      <c r="E116" s="283"/>
      <c r="F116" s="279">
        <f t="shared" si="5"/>
        <v>166</v>
      </c>
      <c r="G116" s="134"/>
      <c r="H116" s="135"/>
      <c r="I116" s="136">
        <f t="shared" si="6"/>
        <v>0</v>
      </c>
      <c r="J116" s="134"/>
      <c r="K116" s="135"/>
      <c r="L116" s="136">
        <f t="shared" si="7"/>
        <v>0</v>
      </c>
      <c r="M116" s="284"/>
      <c r="N116" s="285"/>
      <c r="O116" s="136">
        <f t="shared" si="8"/>
        <v>0</v>
      </c>
      <c r="P116" s="1013"/>
      <c r="R116" s="53"/>
      <c r="S116" s="53"/>
      <c r="T116" s="53"/>
    </row>
    <row r="117" spans="1:20" ht="24" hidden="1" x14ac:dyDescent="0.25">
      <c r="A117" s="76">
        <v>2252</v>
      </c>
      <c r="B117" s="127" t="s">
        <v>133</v>
      </c>
      <c r="C117" s="128">
        <f t="shared" ref="C117:C181" si="9">F117+I117+L117+O117</f>
        <v>0</v>
      </c>
      <c r="D117" s="134"/>
      <c r="E117" s="285"/>
      <c r="F117" s="286">
        <f t="shared" si="5"/>
        <v>0</v>
      </c>
      <c r="G117" s="134"/>
      <c r="H117" s="135"/>
      <c r="I117" s="136">
        <f t="shared" si="6"/>
        <v>0</v>
      </c>
      <c r="J117" s="134"/>
      <c r="K117" s="135"/>
      <c r="L117" s="136">
        <f t="shared" si="7"/>
        <v>0</v>
      </c>
      <c r="M117" s="284"/>
      <c r="N117" s="285"/>
      <c r="O117" s="136">
        <f t="shared" si="8"/>
        <v>0</v>
      </c>
      <c r="P117" s="85"/>
      <c r="R117" s="53"/>
      <c r="S117" s="53"/>
      <c r="T117" s="53"/>
    </row>
    <row r="118" spans="1:20" ht="24" x14ac:dyDescent="0.25">
      <c r="A118" s="76">
        <v>2259</v>
      </c>
      <c r="B118" s="127" t="s">
        <v>134</v>
      </c>
      <c r="C118" s="128">
        <f t="shared" si="9"/>
        <v>414</v>
      </c>
      <c r="D118" s="134">
        <v>414</v>
      </c>
      <c r="E118" s="283"/>
      <c r="F118" s="279">
        <f t="shared" ref="F118:F182" si="10">D118+E118</f>
        <v>414</v>
      </c>
      <c r="G118" s="134"/>
      <c r="H118" s="135"/>
      <c r="I118" s="136">
        <f t="shared" ref="I118:I182" si="11">G118+H118</f>
        <v>0</v>
      </c>
      <c r="J118" s="134"/>
      <c r="K118" s="135"/>
      <c r="L118" s="136">
        <f t="shared" ref="L118:L182" si="12">J118+K118</f>
        <v>0</v>
      </c>
      <c r="M118" s="284"/>
      <c r="N118" s="285"/>
      <c r="O118" s="136">
        <f t="shared" ref="O118:O182" si="13">M118+N118</f>
        <v>0</v>
      </c>
      <c r="P118" s="85"/>
      <c r="R118" s="53"/>
      <c r="S118" s="53"/>
      <c r="T118" s="53"/>
    </row>
    <row r="119" spans="1:20" x14ac:dyDescent="0.25">
      <c r="A119" s="276">
        <v>2260</v>
      </c>
      <c r="B119" s="127" t="s">
        <v>135</v>
      </c>
      <c r="C119" s="128">
        <f t="shared" si="9"/>
        <v>121</v>
      </c>
      <c r="D119" s="277">
        <f>SUM(D120:D124)</f>
        <v>121</v>
      </c>
      <c r="E119" s="278">
        <f>SUM(E120:E124)</f>
        <v>0</v>
      </c>
      <c r="F119" s="279">
        <f t="shared" si="10"/>
        <v>121</v>
      </c>
      <c r="G119" s="277">
        <f>SUM(G120:G124)</f>
        <v>0</v>
      </c>
      <c r="H119" s="280">
        <f>SUM(H120:H124)</f>
        <v>0</v>
      </c>
      <c r="I119" s="136">
        <f t="shared" si="11"/>
        <v>0</v>
      </c>
      <c r="J119" s="277">
        <f>SUM(J120:J124)</f>
        <v>0</v>
      </c>
      <c r="K119" s="280">
        <f>SUM(K120:K124)</f>
        <v>0</v>
      </c>
      <c r="L119" s="136">
        <f t="shared" si="12"/>
        <v>0</v>
      </c>
      <c r="M119" s="281">
        <f>SUM(M120:M124)</f>
        <v>0</v>
      </c>
      <c r="N119" s="282">
        <f>SUM(N120:N124)</f>
        <v>0</v>
      </c>
      <c r="O119" s="136">
        <f t="shared" si="13"/>
        <v>0</v>
      </c>
      <c r="P119" s="85"/>
      <c r="R119" s="53"/>
      <c r="S119" s="53"/>
      <c r="T119" s="53"/>
    </row>
    <row r="120" spans="1:20" hidden="1" x14ac:dyDescent="0.25">
      <c r="A120" s="76">
        <v>2261</v>
      </c>
      <c r="B120" s="127" t="s">
        <v>136</v>
      </c>
      <c r="C120" s="128">
        <f t="shared" si="9"/>
        <v>0</v>
      </c>
      <c r="D120" s="134"/>
      <c r="E120" s="285"/>
      <c r="F120" s="286">
        <f t="shared" si="10"/>
        <v>0</v>
      </c>
      <c r="G120" s="134"/>
      <c r="H120" s="135"/>
      <c r="I120" s="136">
        <f t="shared" si="11"/>
        <v>0</v>
      </c>
      <c r="J120" s="134"/>
      <c r="K120" s="135"/>
      <c r="L120" s="136">
        <f t="shared" si="12"/>
        <v>0</v>
      </c>
      <c r="M120" s="284"/>
      <c r="N120" s="285"/>
      <c r="O120" s="136">
        <f t="shared" si="13"/>
        <v>0</v>
      </c>
      <c r="P120" s="85"/>
      <c r="R120" s="53"/>
      <c r="S120" s="53"/>
      <c r="T120" s="53"/>
    </row>
    <row r="121" spans="1:20" hidden="1" x14ac:dyDescent="0.25">
      <c r="A121" s="76">
        <v>2262</v>
      </c>
      <c r="B121" s="127" t="s">
        <v>137</v>
      </c>
      <c r="C121" s="128">
        <f t="shared" si="9"/>
        <v>0</v>
      </c>
      <c r="D121" s="134"/>
      <c r="E121" s="285"/>
      <c r="F121" s="286">
        <f t="shared" si="10"/>
        <v>0</v>
      </c>
      <c r="G121" s="134"/>
      <c r="H121" s="135"/>
      <c r="I121" s="136">
        <f t="shared" si="11"/>
        <v>0</v>
      </c>
      <c r="J121" s="134"/>
      <c r="K121" s="135"/>
      <c r="L121" s="136">
        <f t="shared" si="12"/>
        <v>0</v>
      </c>
      <c r="M121" s="284"/>
      <c r="N121" s="285"/>
      <c r="O121" s="136">
        <f t="shared" si="13"/>
        <v>0</v>
      </c>
      <c r="P121" s="85"/>
      <c r="R121" s="53"/>
      <c r="S121" s="53"/>
      <c r="T121" s="53"/>
    </row>
    <row r="122" spans="1:20" hidden="1" x14ac:dyDescent="0.25">
      <c r="A122" s="76">
        <v>2263</v>
      </c>
      <c r="B122" s="127" t="s">
        <v>138</v>
      </c>
      <c r="C122" s="128">
        <f t="shared" si="9"/>
        <v>0</v>
      </c>
      <c r="D122" s="134"/>
      <c r="E122" s="285"/>
      <c r="F122" s="286">
        <f t="shared" si="10"/>
        <v>0</v>
      </c>
      <c r="G122" s="134"/>
      <c r="H122" s="135"/>
      <c r="I122" s="136">
        <f t="shared" si="11"/>
        <v>0</v>
      </c>
      <c r="J122" s="134"/>
      <c r="K122" s="135"/>
      <c r="L122" s="136">
        <f t="shared" si="12"/>
        <v>0</v>
      </c>
      <c r="M122" s="284"/>
      <c r="N122" s="285"/>
      <c r="O122" s="136">
        <f t="shared" si="13"/>
        <v>0</v>
      </c>
      <c r="P122" s="85"/>
      <c r="R122" s="53"/>
      <c r="S122" s="53"/>
      <c r="T122" s="53"/>
    </row>
    <row r="123" spans="1:20" ht="24" x14ac:dyDescent="0.25">
      <c r="A123" s="76">
        <v>2264</v>
      </c>
      <c r="B123" s="127" t="s">
        <v>139</v>
      </c>
      <c r="C123" s="128">
        <f t="shared" si="9"/>
        <v>100</v>
      </c>
      <c r="D123" s="134">
        <v>100</v>
      </c>
      <c r="E123" s="283"/>
      <c r="F123" s="279">
        <f t="shared" si="10"/>
        <v>100</v>
      </c>
      <c r="G123" s="134"/>
      <c r="H123" s="135"/>
      <c r="I123" s="136">
        <f t="shared" si="11"/>
        <v>0</v>
      </c>
      <c r="J123" s="134"/>
      <c r="K123" s="135"/>
      <c r="L123" s="136">
        <f t="shared" si="12"/>
        <v>0</v>
      </c>
      <c r="M123" s="284"/>
      <c r="N123" s="285"/>
      <c r="O123" s="136">
        <f t="shared" si="13"/>
        <v>0</v>
      </c>
      <c r="P123" s="85"/>
      <c r="R123" s="53"/>
      <c r="S123" s="53"/>
      <c r="T123" s="53"/>
    </row>
    <row r="124" spans="1:20" x14ac:dyDescent="0.25">
      <c r="A124" s="76">
        <v>2269</v>
      </c>
      <c r="B124" s="127" t="s">
        <v>140</v>
      </c>
      <c r="C124" s="128">
        <f t="shared" si="9"/>
        <v>21</v>
      </c>
      <c r="D124" s="134">
        <v>21</v>
      </c>
      <c r="E124" s="283"/>
      <c r="F124" s="279">
        <f t="shared" si="10"/>
        <v>21</v>
      </c>
      <c r="G124" s="134"/>
      <c r="H124" s="135"/>
      <c r="I124" s="136">
        <f t="shared" si="11"/>
        <v>0</v>
      </c>
      <c r="J124" s="134"/>
      <c r="K124" s="135"/>
      <c r="L124" s="136">
        <f t="shared" si="12"/>
        <v>0</v>
      </c>
      <c r="M124" s="284"/>
      <c r="N124" s="285"/>
      <c r="O124" s="136">
        <f t="shared" si="13"/>
        <v>0</v>
      </c>
      <c r="P124" s="85"/>
      <c r="R124" s="53"/>
      <c r="S124" s="53"/>
      <c r="T124" s="53"/>
    </row>
    <row r="125" spans="1:20" x14ac:dyDescent="0.25">
      <c r="A125" s="276">
        <v>2270</v>
      </c>
      <c r="B125" s="127" t="s">
        <v>141</v>
      </c>
      <c r="C125" s="128">
        <f t="shared" si="9"/>
        <v>200</v>
      </c>
      <c r="D125" s="277">
        <f>SUM(D126:D130)</f>
        <v>0</v>
      </c>
      <c r="E125" s="278">
        <f>SUM(E126:E130)</f>
        <v>0</v>
      </c>
      <c r="F125" s="279">
        <f t="shared" si="10"/>
        <v>0</v>
      </c>
      <c r="G125" s="277">
        <f>SUM(G126:G130)</f>
        <v>0</v>
      </c>
      <c r="H125" s="280">
        <f>SUM(H126:H130)</f>
        <v>0</v>
      </c>
      <c r="I125" s="136">
        <f t="shared" si="11"/>
        <v>0</v>
      </c>
      <c r="J125" s="277">
        <f>SUM(J126:J130)</f>
        <v>200</v>
      </c>
      <c r="K125" s="280">
        <f>SUM(K126:K130)</f>
        <v>0</v>
      </c>
      <c r="L125" s="136">
        <f t="shared" si="12"/>
        <v>200</v>
      </c>
      <c r="M125" s="281">
        <f>SUM(M126:M130)</f>
        <v>0</v>
      </c>
      <c r="N125" s="282">
        <f>SUM(N126:N130)</f>
        <v>0</v>
      </c>
      <c r="O125" s="136">
        <f t="shared" si="13"/>
        <v>0</v>
      </c>
      <c r="P125" s="85"/>
      <c r="R125" s="53"/>
      <c r="S125" s="53"/>
      <c r="T125" s="53"/>
    </row>
    <row r="126" spans="1:20" hidden="1" x14ac:dyDescent="0.25">
      <c r="A126" s="76">
        <v>2272</v>
      </c>
      <c r="B126" s="5" t="s">
        <v>142</v>
      </c>
      <c r="C126" s="128">
        <f t="shared" si="9"/>
        <v>0</v>
      </c>
      <c r="D126" s="134"/>
      <c r="E126" s="285"/>
      <c r="F126" s="286">
        <f t="shared" si="10"/>
        <v>0</v>
      </c>
      <c r="G126" s="134"/>
      <c r="H126" s="135"/>
      <c r="I126" s="136">
        <f t="shared" si="11"/>
        <v>0</v>
      </c>
      <c r="J126" s="134"/>
      <c r="K126" s="135"/>
      <c r="L126" s="136">
        <f t="shared" si="12"/>
        <v>0</v>
      </c>
      <c r="M126" s="284"/>
      <c r="N126" s="285"/>
      <c r="O126" s="136">
        <f t="shared" si="13"/>
        <v>0</v>
      </c>
      <c r="P126" s="85"/>
      <c r="R126" s="53"/>
      <c r="S126" s="53"/>
      <c r="T126" s="53"/>
    </row>
    <row r="127" spans="1:20" ht="24" hidden="1" x14ac:dyDescent="0.25">
      <c r="A127" s="76">
        <v>2275</v>
      </c>
      <c r="B127" s="127" t="s">
        <v>143</v>
      </c>
      <c r="C127" s="128">
        <f t="shared" si="9"/>
        <v>0</v>
      </c>
      <c r="D127" s="134"/>
      <c r="E127" s="285"/>
      <c r="F127" s="286">
        <f t="shared" si="10"/>
        <v>0</v>
      </c>
      <c r="G127" s="134"/>
      <c r="H127" s="135"/>
      <c r="I127" s="136">
        <f t="shared" si="11"/>
        <v>0</v>
      </c>
      <c r="J127" s="134"/>
      <c r="K127" s="135"/>
      <c r="L127" s="136">
        <f t="shared" si="12"/>
        <v>0</v>
      </c>
      <c r="M127" s="284"/>
      <c r="N127" s="285"/>
      <c r="O127" s="136">
        <f t="shared" si="13"/>
        <v>0</v>
      </c>
      <c r="P127" s="85"/>
      <c r="R127" s="53"/>
      <c r="S127" s="53"/>
      <c r="T127" s="53"/>
    </row>
    <row r="128" spans="1:20" ht="36" hidden="1" x14ac:dyDescent="0.25">
      <c r="A128" s="76">
        <v>2276</v>
      </c>
      <c r="B128" s="127" t="s">
        <v>144</v>
      </c>
      <c r="C128" s="128">
        <f t="shared" si="9"/>
        <v>0</v>
      </c>
      <c r="D128" s="134"/>
      <c r="E128" s="285"/>
      <c r="F128" s="286">
        <f t="shared" si="10"/>
        <v>0</v>
      </c>
      <c r="G128" s="134"/>
      <c r="H128" s="135"/>
      <c r="I128" s="136">
        <f t="shared" si="11"/>
        <v>0</v>
      </c>
      <c r="J128" s="134"/>
      <c r="K128" s="135"/>
      <c r="L128" s="136">
        <f t="shared" si="12"/>
        <v>0</v>
      </c>
      <c r="M128" s="284"/>
      <c r="N128" s="285"/>
      <c r="O128" s="136">
        <f t="shared" si="13"/>
        <v>0</v>
      </c>
      <c r="P128" s="85"/>
      <c r="R128" s="53"/>
      <c r="S128" s="53"/>
      <c r="T128" s="53"/>
    </row>
    <row r="129" spans="1:20" ht="24" hidden="1" x14ac:dyDescent="0.25">
      <c r="A129" s="76">
        <v>2278</v>
      </c>
      <c r="B129" s="127" t="s">
        <v>145</v>
      </c>
      <c r="C129" s="128">
        <f t="shared" si="9"/>
        <v>0</v>
      </c>
      <c r="D129" s="134"/>
      <c r="E129" s="285"/>
      <c r="F129" s="286">
        <f t="shared" si="10"/>
        <v>0</v>
      </c>
      <c r="G129" s="134"/>
      <c r="H129" s="135"/>
      <c r="I129" s="136">
        <f t="shared" si="11"/>
        <v>0</v>
      </c>
      <c r="J129" s="134"/>
      <c r="K129" s="135"/>
      <c r="L129" s="136">
        <f t="shared" si="12"/>
        <v>0</v>
      </c>
      <c r="M129" s="284"/>
      <c r="N129" s="285"/>
      <c r="O129" s="136">
        <f t="shared" si="13"/>
        <v>0</v>
      </c>
      <c r="P129" s="85"/>
      <c r="R129" s="53"/>
      <c r="S129" s="53"/>
      <c r="T129" s="53"/>
    </row>
    <row r="130" spans="1:20" ht="24" x14ac:dyDescent="0.25">
      <c r="A130" s="76">
        <v>2279</v>
      </c>
      <c r="B130" s="127" t="s">
        <v>146</v>
      </c>
      <c r="C130" s="128">
        <f t="shared" si="9"/>
        <v>200</v>
      </c>
      <c r="D130" s="134"/>
      <c r="E130" s="283"/>
      <c r="F130" s="279">
        <f t="shared" si="10"/>
        <v>0</v>
      </c>
      <c r="G130" s="134"/>
      <c r="H130" s="135"/>
      <c r="I130" s="136">
        <f t="shared" si="11"/>
        <v>0</v>
      </c>
      <c r="J130" s="134">
        <v>200</v>
      </c>
      <c r="K130" s="135"/>
      <c r="L130" s="136">
        <f t="shared" si="12"/>
        <v>200</v>
      </c>
      <c r="M130" s="284"/>
      <c r="N130" s="285"/>
      <c r="O130" s="136">
        <f t="shared" si="13"/>
        <v>0</v>
      </c>
      <c r="P130" s="85"/>
      <c r="R130" s="53"/>
      <c r="S130" s="53"/>
      <c r="T130" s="53"/>
    </row>
    <row r="131" spans="1:20" ht="24" hidden="1" x14ac:dyDescent="0.25">
      <c r="A131" s="656">
        <v>2280</v>
      </c>
      <c r="B131" s="116" t="s">
        <v>147</v>
      </c>
      <c r="C131" s="128">
        <f t="shared" si="9"/>
        <v>0</v>
      </c>
      <c r="D131" s="297">
        <f t="shared" ref="D131:N131" si="14">SUM(D132)</f>
        <v>0</v>
      </c>
      <c r="E131" s="301">
        <f t="shared" si="14"/>
        <v>0</v>
      </c>
      <c r="F131" s="263">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c r="R131" s="53"/>
      <c r="S131" s="53"/>
      <c r="T131" s="53"/>
    </row>
    <row r="132" spans="1:20" ht="24" hidden="1" x14ac:dyDescent="0.25">
      <c r="A132" s="76">
        <v>2283</v>
      </c>
      <c r="B132" s="127" t="s">
        <v>148</v>
      </c>
      <c r="C132" s="128">
        <f t="shared" si="9"/>
        <v>0</v>
      </c>
      <c r="D132" s="134"/>
      <c r="E132" s="285"/>
      <c r="F132" s="286">
        <f t="shared" si="10"/>
        <v>0</v>
      </c>
      <c r="G132" s="134"/>
      <c r="H132" s="135"/>
      <c r="I132" s="136">
        <f t="shared" si="11"/>
        <v>0</v>
      </c>
      <c r="J132" s="134"/>
      <c r="K132" s="135"/>
      <c r="L132" s="136">
        <f t="shared" si="12"/>
        <v>0</v>
      </c>
      <c r="M132" s="284"/>
      <c r="N132" s="285"/>
      <c r="O132" s="136">
        <f t="shared" si="13"/>
        <v>0</v>
      </c>
      <c r="P132" s="85"/>
      <c r="R132" s="53"/>
      <c r="S132" s="53"/>
      <c r="T132" s="53"/>
    </row>
    <row r="133" spans="1:20" ht="36" x14ac:dyDescent="0.25">
      <c r="A133" s="99">
        <v>2300</v>
      </c>
      <c r="B133" s="247" t="s">
        <v>149</v>
      </c>
      <c r="C133" s="100">
        <f t="shared" si="9"/>
        <v>36741</v>
      </c>
      <c r="D133" s="112">
        <f>SUM(D134,D139,D143,D144,D147,D154,D162,D163,D166)</f>
        <v>21297</v>
      </c>
      <c r="E133" s="248">
        <f>SUM(E134,E139,E143,E144,E147,E154,E162,E163,E166)</f>
        <v>0</v>
      </c>
      <c r="F133" s="249">
        <f t="shared" si="10"/>
        <v>21297</v>
      </c>
      <c r="G133" s="112">
        <f>SUM(G134,G139,G143,G144,G147,G154,G162,G163,G166)</f>
        <v>2300</v>
      </c>
      <c r="H133" s="113">
        <f>SUM(H134,H139,H143,H144,H147,H154,H162,H163,H166)</f>
        <v>0</v>
      </c>
      <c r="I133" s="114">
        <f t="shared" si="11"/>
        <v>2300</v>
      </c>
      <c r="J133" s="112">
        <f>SUM(J134,J139,J143,J144,J147,J154,J162,J163,J166)</f>
        <v>13144</v>
      </c>
      <c r="K133" s="113">
        <f>SUM(K134,K139,K143,K144,K147,K154,K162,K163,K166)</f>
        <v>0</v>
      </c>
      <c r="L133" s="114">
        <f t="shared" si="12"/>
        <v>13144</v>
      </c>
      <c r="M133" s="292">
        <f>SUM(M134,M139,M143,M144,M147,M154,M162,M163,M166)</f>
        <v>0</v>
      </c>
      <c r="N133" s="293">
        <f>SUM(N134,N139,N143,N144,N147,N154,N162,N163,N166)</f>
        <v>0</v>
      </c>
      <c r="O133" s="114">
        <f t="shared" si="13"/>
        <v>0</v>
      </c>
      <c r="P133" s="109"/>
      <c r="R133" s="53"/>
      <c r="S133" s="53"/>
      <c r="T133" s="53"/>
    </row>
    <row r="134" spans="1:20" ht="24" x14ac:dyDescent="0.25">
      <c r="A134" s="656">
        <v>2310</v>
      </c>
      <c r="B134" s="116" t="s">
        <v>150</v>
      </c>
      <c r="C134" s="117">
        <f t="shared" si="9"/>
        <v>9572</v>
      </c>
      <c r="D134" s="308">
        <f>SUM(D135:D138)</f>
        <v>9457</v>
      </c>
      <c r="E134" s="300">
        <f>SUM(E135:E138)</f>
        <v>0</v>
      </c>
      <c r="F134" s="296">
        <f t="shared" si="10"/>
        <v>9457</v>
      </c>
      <c r="G134" s="297">
        <f>SUM(G135:G138)</f>
        <v>0</v>
      </c>
      <c r="H134" s="299">
        <f>SUM(H135:H138)</f>
        <v>0</v>
      </c>
      <c r="I134" s="125">
        <f t="shared" si="11"/>
        <v>0</v>
      </c>
      <c r="J134" s="297">
        <f>SUM(J135:J138)</f>
        <v>115</v>
      </c>
      <c r="K134" s="299">
        <f>SUM(K135:K138)</f>
        <v>0</v>
      </c>
      <c r="L134" s="125">
        <f t="shared" si="12"/>
        <v>115</v>
      </c>
      <c r="M134" s="300">
        <f>SUM(M135:M138)</f>
        <v>0</v>
      </c>
      <c r="N134" s="301">
        <f>SUM(N135:N138)</f>
        <v>0</v>
      </c>
      <c r="O134" s="125">
        <f t="shared" si="13"/>
        <v>0</v>
      </c>
      <c r="P134" s="74"/>
      <c r="R134" s="53"/>
      <c r="S134" s="53"/>
      <c r="T134" s="53"/>
    </row>
    <row r="135" spans="1:20" x14ac:dyDescent="0.25">
      <c r="A135" s="76">
        <v>2311</v>
      </c>
      <c r="B135" s="127" t="s">
        <v>151</v>
      </c>
      <c r="C135" s="128">
        <f t="shared" si="9"/>
        <v>1000</v>
      </c>
      <c r="D135" s="134">
        <v>1000</v>
      </c>
      <c r="E135" s="283"/>
      <c r="F135" s="279">
        <f t="shared" si="10"/>
        <v>1000</v>
      </c>
      <c r="G135" s="134"/>
      <c r="H135" s="135"/>
      <c r="I135" s="136">
        <f t="shared" si="11"/>
        <v>0</v>
      </c>
      <c r="J135" s="134"/>
      <c r="K135" s="135"/>
      <c r="L135" s="136">
        <f t="shared" si="12"/>
        <v>0</v>
      </c>
      <c r="M135" s="284"/>
      <c r="N135" s="285"/>
      <c r="O135" s="136">
        <f t="shared" si="13"/>
        <v>0</v>
      </c>
      <c r="P135" s="85"/>
      <c r="R135" s="53"/>
      <c r="S135" s="53"/>
      <c r="T135" s="53"/>
    </row>
    <row r="136" spans="1:20" x14ac:dyDescent="0.25">
      <c r="A136" s="76">
        <v>2312</v>
      </c>
      <c r="B136" s="127" t="s">
        <v>152</v>
      </c>
      <c r="C136" s="128">
        <f t="shared" si="9"/>
        <v>8057</v>
      </c>
      <c r="D136" s="134">
        <v>8057</v>
      </c>
      <c r="E136" s="283"/>
      <c r="F136" s="279">
        <f t="shared" si="10"/>
        <v>8057</v>
      </c>
      <c r="G136" s="134"/>
      <c r="H136" s="135"/>
      <c r="I136" s="136">
        <f t="shared" si="11"/>
        <v>0</v>
      </c>
      <c r="J136" s="134"/>
      <c r="K136" s="135"/>
      <c r="L136" s="136">
        <f t="shared" si="12"/>
        <v>0</v>
      </c>
      <c r="M136" s="284"/>
      <c r="N136" s="285"/>
      <c r="O136" s="136">
        <f t="shared" si="13"/>
        <v>0</v>
      </c>
      <c r="P136" s="85"/>
      <c r="R136" s="53"/>
      <c r="S136" s="53"/>
      <c r="T136" s="53"/>
    </row>
    <row r="137" spans="1:20" x14ac:dyDescent="0.25">
      <c r="A137" s="76">
        <v>2313</v>
      </c>
      <c r="B137" s="127" t="s">
        <v>153</v>
      </c>
      <c r="C137" s="128">
        <f t="shared" si="9"/>
        <v>415</v>
      </c>
      <c r="D137" s="134">
        <v>300</v>
      </c>
      <c r="E137" s="283"/>
      <c r="F137" s="279">
        <f t="shared" si="10"/>
        <v>300</v>
      </c>
      <c r="G137" s="134"/>
      <c r="H137" s="135"/>
      <c r="I137" s="136">
        <f t="shared" si="11"/>
        <v>0</v>
      </c>
      <c r="J137" s="134">
        <v>115</v>
      </c>
      <c r="K137" s="135"/>
      <c r="L137" s="136">
        <f t="shared" si="12"/>
        <v>115</v>
      </c>
      <c r="M137" s="284"/>
      <c r="N137" s="285"/>
      <c r="O137" s="136">
        <f t="shared" si="13"/>
        <v>0</v>
      </c>
      <c r="P137" s="1013"/>
      <c r="R137" s="53"/>
      <c r="S137" s="53"/>
      <c r="T137" s="53"/>
    </row>
    <row r="138" spans="1:20" ht="36" x14ac:dyDescent="0.25">
      <c r="A138" s="76">
        <v>2314</v>
      </c>
      <c r="B138" s="127" t="s">
        <v>154</v>
      </c>
      <c r="C138" s="128">
        <f t="shared" si="9"/>
        <v>100</v>
      </c>
      <c r="D138" s="134">
        <v>100</v>
      </c>
      <c r="E138" s="283"/>
      <c r="F138" s="279">
        <f t="shared" si="10"/>
        <v>100</v>
      </c>
      <c r="G138" s="134"/>
      <c r="H138" s="135"/>
      <c r="I138" s="136">
        <f t="shared" si="11"/>
        <v>0</v>
      </c>
      <c r="J138" s="134"/>
      <c r="K138" s="135"/>
      <c r="L138" s="136">
        <f t="shared" si="12"/>
        <v>0</v>
      </c>
      <c r="M138" s="284"/>
      <c r="N138" s="285"/>
      <c r="O138" s="136">
        <f t="shared" si="13"/>
        <v>0</v>
      </c>
      <c r="P138" s="85"/>
      <c r="R138" s="53"/>
      <c r="S138" s="53"/>
      <c r="T138" s="53"/>
    </row>
    <row r="139" spans="1:20" x14ac:dyDescent="0.25">
      <c r="A139" s="276">
        <v>2320</v>
      </c>
      <c r="B139" s="127" t="s">
        <v>155</v>
      </c>
      <c r="C139" s="128">
        <f t="shared" si="9"/>
        <v>1050</v>
      </c>
      <c r="D139" s="277">
        <f>SUM(D140:D142)</f>
        <v>700</v>
      </c>
      <c r="E139" s="278">
        <f>SUM(E140:E142)</f>
        <v>0</v>
      </c>
      <c r="F139" s="279">
        <f t="shared" si="10"/>
        <v>700</v>
      </c>
      <c r="G139" s="277">
        <f>SUM(G140:G142)</f>
        <v>0</v>
      </c>
      <c r="H139" s="280">
        <f>SUM(H140:H142)</f>
        <v>0</v>
      </c>
      <c r="I139" s="136">
        <f t="shared" si="11"/>
        <v>0</v>
      </c>
      <c r="J139" s="277">
        <f>SUM(J140:J142)</f>
        <v>350</v>
      </c>
      <c r="K139" s="280">
        <f>SUM(K140:K142)</f>
        <v>0</v>
      </c>
      <c r="L139" s="136">
        <f t="shared" si="12"/>
        <v>350</v>
      </c>
      <c r="M139" s="281">
        <f>SUM(M140:M142)</f>
        <v>0</v>
      </c>
      <c r="N139" s="282">
        <f>SUM(N140:N142)</f>
        <v>0</v>
      </c>
      <c r="O139" s="136">
        <f t="shared" si="13"/>
        <v>0</v>
      </c>
      <c r="P139" s="85"/>
      <c r="R139" s="53"/>
      <c r="S139" s="53"/>
      <c r="T139" s="53"/>
    </row>
    <row r="140" spans="1:20" hidden="1" x14ac:dyDescent="0.25">
      <c r="A140" s="76">
        <v>2321</v>
      </c>
      <c r="B140" s="127" t="s">
        <v>156</v>
      </c>
      <c r="C140" s="128">
        <f t="shared" si="9"/>
        <v>0</v>
      </c>
      <c r="D140" s="134"/>
      <c r="E140" s="285"/>
      <c r="F140" s="286">
        <f t="shared" si="10"/>
        <v>0</v>
      </c>
      <c r="G140" s="134"/>
      <c r="H140" s="135"/>
      <c r="I140" s="136">
        <f t="shared" si="11"/>
        <v>0</v>
      </c>
      <c r="J140" s="134"/>
      <c r="K140" s="135"/>
      <c r="L140" s="136">
        <f t="shared" si="12"/>
        <v>0</v>
      </c>
      <c r="M140" s="284"/>
      <c r="N140" s="285"/>
      <c r="O140" s="136">
        <f t="shared" si="13"/>
        <v>0</v>
      </c>
      <c r="P140" s="85"/>
      <c r="R140" s="53"/>
      <c r="S140" s="53"/>
      <c r="T140" s="53"/>
    </row>
    <row r="141" spans="1:20" x14ac:dyDescent="0.25">
      <c r="A141" s="76">
        <v>2322</v>
      </c>
      <c r="B141" s="127" t="s">
        <v>157</v>
      </c>
      <c r="C141" s="128">
        <f t="shared" si="9"/>
        <v>1050</v>
      </c>
      <c r="D141" s="134">
        <v>700</v>
      </c>
      <c r="E141" s="283"/>
      <c r="F141" s="279">
        <f t="shared" si="10"/>
        <v>700</v>
      </c>
      <c r="G141" s="134"/>
      <c r="H141" s="135"/>
      <c r="I141" s="136">
        <f t="shared" si="11"/>
        <v>0</v>
      </c>
      <c r="J141" s="134">
        <v>350</v>
      </c>
      <c r="K141" s="135"/>
      <c r="L141" s="136">
        <f t="shared" si="12"/>
        <v>350</v>
      </c>
      <c r="M141" s="284"/>
      <c r="N141" s="285"/>
      <c r="O141" s="136">
        <f t="shared" si="13"/>
        <v>0</v>
      </c>
      <c r="P141" s="85"/>
      <c r="R141" s="53"/>
      <c r="S141" s="53"/>
      <c r="T141" s="53"/>
    </row>
    <row r="142" spans="1:20" hidden="1" x14ac:dyDescent="0.25">
      <c r="A142" s="76">
        <v>2329</v>
      </c>
      <c r="B142" s="127" t="s">
        <v>158</v>
      </c>
      <c r="C142" s="128">
        <f t="shared" si="9"/>
        <v>0</v>
      </c>
      <c r="D142" s="134"/>
      <c r="E142" s="285"/>
      <c r="F142" s="286">
        <f t="shared" si="10"/>
        <v>0</v>
      </c>
      <c r="G142" s="134"/>
      <c r="H142" s="135"/>
      <c r="I142" s="136">
        <f t="shared" si="11"/>
        <v>0</v>
      </c>
      <c r="J142" s="134"/>
      <c r="K142" s="135"/>
      <c r="L142" s="136">
        <f t="shared" si="12"/>
        <v>0</v>
      </c>
      <c r="M142" s="284"/>
      <c r="N142" s="285"/>
      <c r="O142" s="136">
        <f t="shared" si="13"/>
        <v>0</v>
      </c>
      <c r="P142" s="85"/>
      <c r="R142" s="53"/>
      <c r="S142" s="53"/>
      <c r="T142" s="53"/>
    </row>
    <row r="143" spans="1:20" hidden="1" x14ac:dyDescent="0.25">
      <c r="A143" s="276">
        <v>2330</v>
      </c>
      <c r="B143" s="127" t="s">
        <v>159</v>
      </c>
      <c r="C143" s="128">
        <f t="shared" si="9"/>
        <v>0</v>
      </c>
      <c r="D143" s="134"/>
      <c r="E143" s="285"/>
      <c r="F143" s="286">
        <f t="shared" si="10"/>
        <v>0</v>
      </c>
      <c r="G143" s="134"/>
      <c r="H143" s="135"/>
      <c r="I143" s="136">
        <f t="shared" si="11"/>
        <v>0</v>
      </c>
      <c r="J143" s="134"/>
      <c r="K143" s="135"/>
      <c r="L143" s="136">
        <f t="shared" si="12"/>
        <v>0</v>
      </c>
      <c r="M143" s="284"/>
      <c r="N143" s="285"/>
      <c r="O143" s="136">
        <f t="shared" si="13"/>
        <v>0</v>
      </c>
      <c r="P143" s="85"/>
      <c r="R143" s="53"/>
      <c r="S143" s="53"/>
      <c r="T143" s="53"/>
    </row>
    <row r="144" spans="1:20" ht="48" x14ac:dyDescent="0.25">
      <c r="A144" s="276">
        <v>2340</v>
      </c>
      <c r="B144" s="127" t="s">
        <v>160</v>
      </c>
      <c r="C144" s="128">
        <f t="shared" si="9"/>
        <v>300</v>
      </c>
      <c r="D144" s="277">
        <f>SUM(D145:D146)</f>
        <v>300</v>
      </c>
      <c r="E144" s="278">
        <f>SUM(E145:E146)</f>
        <v>0</v>
      </c>
      <c r="F144" s="279">
        <f t="shared" si="10"/>
        <v>300</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c r="R144" s="53"/>
      <c r="S144" s="53"/>
      <c r="T144" s="53"/>
    </row>
    <row r="145" spans="1:20" x14ac:dyDescent="0.25">
      <c r="A145" s="76">
        <v>2341</v>
      </c>
      <c r="B145" s="127" t="s">
        <v>161</v>
      </c>
      <c r="C145" s="128">
        <f t="shared" si="9"/>
        <v>300</v>
      </c>
      <c r="D145" s="134">
        <v>300</v>
      </c>
      <c r="E145" s="283"/>
      <c r="F145" s="279">
        <f t="shared" si="10"/>
        <v>300</v>
      </c>
      <c r="G145" s="134"/>
      <c r="H145" s="135"/>
      <c r="I145" s="136">
        <f t="shared" si="11"/>
        <v>0</v>
      </c>
      <c r="J145" s="134"/>
      <c r="K145" s="135"/>
      <c r="L145" s="136">
        <f t="shared" si="12"/>
        <v>0</v>
      </c>
      <c r="M145" s="284"/>
      <c r="N145" s="285"/>
      <c r="O145" s="136">
        <f t="shared" si="13"/>
        <v>0</v>
      </c>
      <c r="P145" s="85"/>
      <c r="R145" s="53"/>
      <c r="S145" s="53"/>
      <c r="T145" s="53"/>
    </row>
    <row r="146" spans="1:20" ht="24" hidden="1" x14ac:dyDescent="0.25">
      <c r="A146" s="76">
        <v>2344</v>
      </c>
      <c r="B146" s="127" t="s">
        <v>162</v>
      </c>
      <c r="C146" s="128">
        <f t="shared" si="9"/>
        <v>0</v>
      </c>
      <c r="D146" s="134"/>
      <c r="E146" s="285"/>
      <c r="F146" s="286">
        <f t="shared" si="10"/>
        <v>0</v>
      </c>
      <c r="G146" s="134"/>
      <c r="H146" s="135"/>
      <c r="I146" s="136">
        <f t="shared" si="11"/>
        <v>0</v>
      </c>
      <c r="J146" s="134"/>
      <c r="K146" s="135"/>
      <c r="L146" s="136">
        <f t="shared" si="12"/>
        <v>0</v>
      </c>
      <c r="M146" s="284"/>
      <c r="N146" s="285"/>
      <c r="O146" s="136">
        <f t="shared" si="13"/>
        <v>0</v>
      </c>
      <c r="P146" s="85"/>
      <c r="R146" s="53"/>
      <c r="S146" s="53"/>
      <c r="T146" s="53"/>
    </row>
    <row r="147" spans="1:20" ht="24" x14ac:dyDescent="0.25">
      <c r="A147" s="254">
        <v>2350</v>
      </c>
      <c r="B147" s="179" t="s">
        <v>163</v>
      </c>
      <c r="C147" s="128">
        <f t="shared" si="9"/>
        <v>4829</v>
      </c>
      <c r="D147" s="255">
        <f>SUM(D148:D153)</f>
        <v>4150</v>
      </c>
      <c r="E147" s="256">
        <f>SUM(E148:E153)</f>
        <v>0</v>
      </c>
      <c r="F147" s="257">
        <f t="shared" si="10"/>
        <v>4150</v>
      </c>
      <c r="G147" s="255">
        <f>SUM(G148:G153)</f>
        <v>0</v>
      </c>
      <c r="H147" s="258">
        <f>SUM(H148:H153)</f>
        <v>0</v>
      </c>
      <c r="I147" s="259">
        <f t="shared" si="11"/>
        <v>0</v>
      </c>
      <c r="J147" s="255">
        <f>SUM(J148:J153)</f>
        <v>679</v>
      </c>
      <c r="K147" s="258">
        <f>SUM(K148:K153)</f>
        <v>0</v>
      </c>
      <c r="L147" s="259">
        <f t="shared" si="12"/>
        <v>679</v>
      </c>
      <c r="M147" s="260">
        <f>SUM(M148:M153)</f>
        <v>0</v>
      </c>
      <c r="N147" s="261">
        <f>SUM(N148:N153)</f>
        <v>0</v>
      </c>
      <c r="O147" s="259">
        <f t="shared" si="13"/>
        <v>0</v>
      </c>
      <c r="P147" s="189"/>
      <c r="R147" s="53"/>
      <c r="S147" s="53"/>
      <c r="T147" s="53"/>
    </row>
    <row r="148" spans="1:20" x14ac:dyDescent="0.25">
      <c r="A148" s="66">
        <v>2351</v>
      </c>
      <c r="B148" s="116" t="s">
        <v>164</v>
      </c>
      <c r="C148" s="128">
        <f t="shared" si="9"/>
        <v>1750</v>
      </c>
      <c r="D148" s="123">
        <v>1450</v>
      </c>
      <c r="E148" s="295"/>
      <c r="F148" s="296">
        <f t="shared" si="10"/>
        <v>1450</v>
      </c>
      <c r="G148" s="123"/>
      <c r="H148" s="124"/>
      <c r="I148" s="125">
        <f t="shared" si="11"/>
        <v>0</v>
      </c>
      <c r="J148" s="123">
        <v>300</v>
      </c>
      <c r="K148" s="124"/>
      <c r="L148" s="125">
        <f t="shared" si="12"/>
        <v>300</v>
      </c>
      <c r="M148" s="264"/>
      <c r="N148" s="262"/>
      <c r="O148" s="125">
        <f t="shared" si="13"/>
        <v>0</v>
      </c>
      <c r="P148" s="1013"/>
      <c r="R148" s="53"/>
      <c r="S148" s="53"/>
      <c r="T148" s="53"/>
    </row>
    <row r="149" spans="1:20" x14ac:dyDescent="0.25">
      <c r="A149" s="76">
        <v>2352</v>
      </c>
      <c r="B149" s="127" t="s">
        <v>165</v>
      </c>
      <c r="C149" s="128">
        <f t="shared" si="9"/>
        <v>2979</v>
      </c>
      <c r="D149" s="134">
        <v>2600</v>
      </c>
      <c r="E149" s="283"/>
      <c r="F149" s="279">
        <f t="shared" si="10"/>
        <v>2600</v>
      </c>
      <c r="G149" s="134"/>
      <c r="H149" s="135"/>
      <c r="I149" s="136">
        <f t="shared" si="11"/>
        <v>0</v>
      </c>
      <c r="J149" s="134">
        <v>379</v>
      </c>
      <c r="K149" s="135"/>
      <c r="L149" s="136">
        <f t="shared" si="12"/>
        <v>379</v>
      </c>
      <c r="M149" s="284"/>
      <c r="N149" s="285"/>
      <c r="O149" s="136">
        <f t="shared" si="13"/>
        <v>0</v>
      </c>
      <c r="P149" s="1013"/>
      <c r="R149" s="53"/>
      <c r="S149" s="53"/>
      <c r="T149" s="53"/>
    </row>
    <row r="150" spans="1:20" ht="24" hidden="1" x14ac:dyDescent="0.25">
      <c r="A150" s="76">
        <v>2353</v>
      </c>
      <c r="B150" s="127" t="s">
        <v>166</v>
      </c>
      <c r="C150" s="128">
        <f t="shared" si="9"/>
        <v>0</v>
      </c>
      <c r="D150" s="134"/>
      <c r="E150" s="285"/>
      <c r="F150" s="286">
        <f t="shared" si="10"/>
        <v>0</v>
      </c>
      <c r="G150" s="134"/>
      <c r="H150" s="135"/>
      <c r="I150" s="136">
        <f t="shared" si="11"/>
        <v>0</v>
      </c>
      <c r="J150" s="134"/>
      <c r="K150" s="135"/>
      <c r="L150" s="136">
        <f t="shared" si="12"/>
        <v>0</v>
      </c>
      <c r="M150" s="284"/>
      <c r="N150" s="285"/>
      <c r="O150" s="136">
        <f t="shared" si="13"/>
        <v>0</v>
      </c>
      <c r="P150" s="85"/>
      <c r="R150" s="53"/>
      <c r="S150" s="53"/>
      <c r="T150" s="53"/>
    </row>
    <row r="151" spans="1:20" ht="24" hidden="1" x14ac:dyDescent="0.25">
      <c r="A151" s="76">
        <v>2354</v>
      </c>
      <c r="B151" s="127" t="s">
        <v>167</v>
      </c>
      <c r="C151" s="128">
        <f t="shared" si="9"/>
        <v>0</v>
      </c>
      <c r="D151" s="134"/>
      <c r="E151" s="285"/>
      <c r="F151" s="286">
        <f t="shared" si="10"/>
        <v>0</v>
      </c>
      <c r="G151" s="134"/>
      <c r="H151" s="135"/>
      <c r="I151" s="136">
        <f t="shared" si="11"/>
        <v>0</v>
      </c>
      <c r="J151" s="134"/>
      <c r="K151" s="135"/>
      <c r="L151" s="136">
        <f t="shared" si="12"/>
        <v>0</v>
      </c>
      <c r="M151" s="284"/>
      <c r="N151" s="285"/>
      <c r="O151" s="136">
        <f t="shared" si="13"/>
        <v>0</v>
      </c>
      <c r="P151" s="85"/>
      <c r="R151" s="53"/>
      <c r="S151" s="53"/>
      <c r="T151" s="53"/>
    </row>
    <row r="152" spans="1:20" ht="24" x14ac:dyDescent="0.25">
      <c r="A152" s="76">
        <v>2355</v>
      </c>
      <c r="B152" s="127" t="s">
        <v>168</v>
      </c>
      <c r="C152" s="128">
        <f t="shared" si="9"/>
        <v>100</v>
      </c>
      <c r="D152" s="134">
        <v>100</v>
      </c>
      <c r="E152" s="283"/>
      <c r="F152" s="279">
        <f t="shared" si="10"/>
        <v>100</v>
      </c>
      <c r="G152" s="134"/>
      <c r="H152" s="135"/>
      <c r="I152" s="136">
        <f t="shared" si="11"/>
        <v>0</v>
      </c>
      <c r="J152" s="134"/>
      <c r="K152" s="135"/>
      <c r="L152" s="136">
        <f t="shared" si="12"/>
        <v>0</v>
      </c>
      <c r="M152" s="284"/>
      <c r="N152" s="285"/>
      <c r="O152" s="136">
        <f t="shared" si="13"/>
        <v>0</v>
      </c>
      <c r="P152" s="85"/>
      <c r="R152" s="53"/>
      <c r="S152" s="53"/>
      <c r="T152" s="53"/>
    </row>
    <row r="153" spans="1:20" ht="24" hidden="1" x14ac:dyDescent="0.25">
      <c r="A153" s="76">
        <v>2359</v>
      </c>
      <c r="B153" s="127" t="s">
        <v>169</v>
      </c>
      <c r="C153" s="128">
        <f t="shared" si="9"/>
        <v>0</v>
      </c>
      <c r="D153" s="134"/>
      <c r="E153" s="285"/>
      <c r="F153" s="286">
        <f t="shared" si="10"/>
        <v>0</v>
      </c>
      <c r="G153" s="134"/>
      <c r="H153" s="135"/>
      <c r="I153" s="136">
        <f t="shared" si="11"/>
        <v>0</v>
      </c>
      <c r="J153" s="134"/>
      <c r="K153" s="135"/>
      <c r="L153" s="136">
        <f t="shared" si="12"/>
        <v>0</v>
      </c>
      <c r="M153" s="284"/>
      <c r="N153" s="285"/>
      <c r="O153" s="136">
        <f t="shared" si="13"/>
        <v>0</v>
      </c>
      <c r="P153" s="85"/>
      <c r="R153" s="53"/>
      <c r="S153" s="53"/>
      <c r="T153" s="53"/>
    </row>
    <row r="154" spans="1:20" ht="24" x14ac:dyDescent="0.25">
      <c r="A154" s="276">
        <v>2360</v>
      </c>
      <c r="B154" s="127" t="s">
        <v>170</v>
      </c>
      <c r="C154" s="128">
        <f t="shared" si="9"/>
        <v>13900</v>
      </c>
      <c r="D154" s="277">
        <f>SUM(D155:D161)</f>
        <v>1900</v>
      </c>
      <c r="E154" s="278">
        <f>SUM(E155:E161)</f>
        <v>0</v>
      </c>
      <c r="F154" s="279">
        <f t="shared" si="10"/>
        <v>1900</v>
      </c>
      <c r="G154" s="277">
        <f>SUM(G155:G161)</f>
        <v>0</v>
      </c>
      <c r="H154" s="280">
        <f>SUM(H155:H161)</f>
        <v>0</v>
      </c>
      <c r="I154" s="136">
        <f t="shared" si="11"/>
        <v>0</v>
      </c>
      <c r="J154" s="277">
        <f>SUM(J155:J161)</f>
        <v>12000</v>
      </c>
      <c r="K154" s="280">
        <f>SUM(K155:K161)</f>
        <v>0</v>
      </c>
      <c r="L154" s="136">
        <f t="shared" si="12"/>
        <v>12000</v>
      </c>
      <c r="M154" s="281">
        <f>SUM(M155:M161)</f>
        <v>0</v>
      </c>
      <c r="N154" s="282">
        <f>SUM(N155:N161)</f>
        <v>0</v>
      </c>
      <c r="O154" s="136">
        <f t="shared" si="13"/>
        <v>0</v>
      </c>
      <c r="P154" s="85"/>
      <c r="R154" s="53"/>
      <c r="S154" s="53"/>
      <c r="T154" s="53"/>
    </row>
    <row r="155" spans="1:20" x14ac:dyDescent="0.25">
      <c r="A155" s="75">
        <v>2361</v>
      </c>
      <c r="B155" s="127" t="s">
        <v>171</v>
      </c>
      <c r="C155" s="128">
        <f t="shared" si="9"/>
        <v>1000</v>
      </c>
      <c r="D155" s="134">
        <v>1000</v>
      </c>
      <c r="E155" s="283"/>
      <c r="F155" s="279">
        <f t="shared" si="10"/>
        <v>1000</v>
      </c>
      <c r="G155" s="134"/>
      <c r="H155" s="135"/>
      <c r="I155" s="136">
        <f t="shared" si="11"/>
        <v>0</v>
      </c>
      <c r="J155" s="134"/>
      <c r="K155" s="135"/>
      <c r="L155" s="136">
        <f t="shared" si="12"/>
        <v>0</v>
      </c>
      <c r="M155" s="284"/>
      <c r="N155" s="285"/>
      <c r="O155" s="136">
        <f t="shared" si="13"/>
        <v>0</v>
      </c>
      <c r="P155" s="85"/>
      <c r="R155" s="53"/>
      <c r="S155" s="53"/>
      <c r="T155" s="53"/>
    </row>
    <row r="156" spans="1:20" ht="24" x14ac:dyDescent="0.25">
      <c r="A156" s="75">
        <v>2362</v>
      </c>
      <c r="B156" s="127" t="s">
        <v>172</v>
      </c>
      <c r="C156" s="128">
        <f t="shared" si="9"/>
        <v>900</v>
      </c>
      <c r="D156" s="134">
        <v>900</v>
      </c>
      <c r="E156" s="283"/>
      <c r="F156" s="279">
        <f t="shared" si="10"/>
        <v>900</v>
      </c>
      <c r="G156" s="134"/>
      <c r="H156" s="135"/>
      <c r="I156" s="136">
        <f t="shared" si="11"/>
        <v>0</v>
      </c>
      <c r="J156" s="134"/>
      <c r="K156" s="135"/>
      <c r="L156" s="136">
        <f t="shared" si="12"/>
        <v>0</v>
      </c>
      <c r="M156" s="284"/>
      <c r="N156" s="285"/>
      <c r="O156" s="136">
        <f t="shared" si="13"/>
        <v>0</v>
      </c>
      <c r="P156" s="85"/>
      <c r="R156" s="53"/>
      <c r="S156" s="53"/>
      <c r="T156" s="53"/>
    </row>
    <row r="157" spans="1:20" x14ac:dyDescent="0.25">
      <c r="A157" s="75">
        <v>2363</v>
      </c>
      <c r="B157" s="127" t="s">
        <v>173</v>
      </c>
      <c r="C157" s="128">
        <f t="shared" si="9"/>
        <v>12000</v>
      </c>
      <c r="D157" s="134"/>
      <c r="E157" s="283"/>
      <c r="F157" s="279">
        <f t="shared" si="10"/>
        <v>0</v>
      </c>
      <c r="G157" s="134"/>
      <c r="H157" s="135"/>
      <c r="I157" s="136">
        <f t="shared" si="11"/>
        <v>0</v>
      </c>
      <c r="J157" s="134">
        <v>12000</v>
      </c>
      <c r="K157" s="135"/>
      <c r="L157" s="136">
        <f t="shared" si="12"/>
        <v>12000</v>
      </c>
      <c r="M157" s="284"/>
      <c r="N157" s="285"/>
      <c r="O157" s="136">
        <f t="shared" si="13"/>
        <v>0</v>
      </c>
      <c r="P157" s="85"/>
      <c r="R157" s="53"/>
      <c r="S157" s="53"/>
      <c r="T157" s="53"/>
    </row>
    <row r="158" spans="1:20" hidden="1" x14ac:dyDescent="0.25">
      <c r="A158" s="75">
        <v>2364</v>
      </c>
      <c r="B158" s="127" t="s">
        <v>174</v>
      </c>
      <c r="C158" s="128">
        <f t="shared" si="9"/>
        <v>0</v>
      </c>
      <c r="D158" s="134"/>
      <c r="E158" s="285"/>
      <c r="F158" s="286">
        <f t="shared" si="10"/>
        <v>0</v>
      </c>
      <c r="G158" s="134"/>
      <c r="H158" s="135"/>
      <c r="I158" s="136">
        <f t="shared" si="11"/>
        <v>0</v>
      </c>
      <c r="J158" s="134"/>
      <c r="K158" s="135"/>
      <c r="L158" s="136">
        <f t="shared" si="12"/>
        <v>0</v>
      </c>
      <c r="M158" s="284"/>
      <c r="N158" s="285"/>
      <c r="O158" s="136">
        <f t="shared" si="13"/>
        <v>0</v>
      </c>
      <c r="P158" s="85"/>
      <c r="R158" s="53"/>
      <c r="S158" s="53"/>
      <c r="T158" s="53"/>
    </row>
    <row r="159" spans="1:20" hidden="1" x14ac:dyDescent="0.25">
      <c r="A159" s="75">
        <v>2365</v>
      </c>
      <c r="B159" s="127" t="s">
        <v>175</v>
      </c>
      <c r="C159" s="128">
        <f t="shared" si="9"/>
        <v>0</v>
      </c>
      <c r="D159" s="134"/>
      <c r="E159" s="285"/>
      <c r="F159" s="286">
        <f t="shared" si="10"/>
        <v>0</v>
      </c>
      <c r="G159" s="134"/>
      <c r="H159" s="135"/>
      <c r="I159" s="136">
        <f t="shared" si="11"/>
        <v>0</v>
      </c>
      <c r="J159" s="134"/>
      <c r="K159" s="135"/>
      <c r="L159" s="136">
        <f t="shared" si="12"/>
        <v>0</v>
      </c>
      <c r="M159" s="284"/>
      <c r="N159" s="285"/>
      <c r="O159" s="136">
        <f t="shared" si="13"/>
        <v>0</v>
      </c>
      <c r="P159" s="85"/>
      <c r="R159" s="53"/>
      <c r="S159" s="53"/>
      <c r="T159" s="53"/>
    </row>
    <row r="160" spans="1:20" ht="36" hidden="1" x14ac:dyDescent="0.25">
      <c r="A160" s="75">
        <v>2366</v>
      </c>
      <c r="B160" s="127" t="s">
        <v>176</v>
      </c>
      <c r="C160" s="128">
        <f t="shared" si="9"/>
        <v>0</v>
      </c>
      <c r="D160" s="134"/>
      <c r="E160" s="285"/>
      <c r="F160" s="286">
        <f t="shared" si="10"/>
        <v>0</v>
      </c>
      <c r="G160" s="134"/>
      <c r="H160" s="135"/>
      <c r="I160" s="136">
        <f t="shared" si="11"/>
        <v>0</v>
      </c>
      <c r="J160" s="134"/>
      <c r="K160" s="135"/>
      <c r="L160" s="136">
        <f t="shared" si="12"/>
        <v>0</v>
      </c>
      <c r="M160" s="284"/>
      <c r="N160" s="285"/>
      <c r="O160" s="136">
        <f t="shared" si="13"/>
        <v>0</v>
      </c>
      <c r="P160" s="85"/>
      <c r="R160" s="53"/>
      <c r="S160" s="53"/>
      <c r="T160" s="53"/>
    </row>
    <row r="161" spans="1:20" ht="48" hidden="1" x14ac:dyDescent="0.25">
      <c r="A161" s="75">
        <v>2369</v>
      </c>
      <c r="B161" s="127" t="s">
        <v>177</v>
      </c>
      <c r="C161" s="128">
        <f t="shared" si="9"/>
        <v>0</v>
      </c>
      <c r="D161" s="134"/>
      <c r="E161" s="285"/>
      <c r="F161" s="286">
        <f t="shared" si="10"/>
        <v>0</v>
      </c>
      <c r="G161" s="134"/>
      <c r="H161" s="135"/>
      <c r="I161" s="136">
        <f t="shared" si="11"/>
        <v>0</v>
      </c>
      <c r="J161" s="134"/>
      <c r="K161" s="135"/>
      <c r="L161" s="136">
        <f t="shared" si="12"/>
        <v>0</v>
      </c>
      <c r="M161" s="284"/>
      <c r="N161" s="285"/>
      <c r="O161" s="136">
        <f t="shared" si="13"/>
        <v>0</v>
      </c>
      <c r="P161" s="85"/>
      <c r="R161" s="53"/>
      <c r="S161" s="53"/>
      <c r="T161" s="53"/>
    </row>
    <row r="162" spans="1:20" x14ac:dyDescent="0.25">
      <c r="A162" s="254">
        <v>2370</v>
      </c>
      <c r="B162" s="179" t="s">
        <v>178</v>
      </c>
      <c r="C162" s="128">
        <f t="shared" si="9"/>
        <v>6970</v>
      </c>
      <c r="D162" s="287">
        <v>4670</v>
      </c>
      <c r="E162" s="288"/>
      <c r="F162" s="257">
        <f t="shared" si="10"/>
        <v>4670</v>
      </c>
      <c r="G162" s="287">
        <v>2300</v>
      </c>
      <c r="H162" s="289"/>
      <c r="I162" s="259">
        <f t="shared" si="11"/>
        <v>2300</v>
      </c>
      <c r="J162" s="287"/>
      <c r="K162" s="289"/>
      <c r="L162" s="259">
        <f t="shared" si="12"/>
        <v>0</v>
      </c>
      <c r="M162" s="290"/>
      <c r="N162" s="291"/>
      <c r="O162" s="259">
        <f t="shared" si="13"/>
        <v>0</v>
      </c>
      <c r="P162" s="189"/>
      <c r="R162" s="53"/>
      <c r="S162" s="53"/>
      <c r="T162" s="53"/>
    </row>
    <row r="163" spans="1:20" x14ac:dyDescent="0.25">
      <c r="A163" s="254">
        <v>2380</v>
      </c>
      <c r="B163" s="179" t="s">
        <v>179</v>
      </c>
      <c r="C163" s="128">
        <f t="shared" si="9"/>
        <v>120</v>
      </c>
      <c r="D163" s="255">
        <f>SUM(D164:D165)</f>
        <v>120</v>
      </c>
      <c r="E163" s="256">
        <f>SUM(E164:E165)</f>
        <v>0</v>
      </c>
      <c r="F163" s="257">
        <f t="shared" si="10"/>
        <v>120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c r="S163" s="53"/>
      <c r="T163" s="53"/>
    </row>
    <row r="164" spans="1:20" hidden="1" x14ac:dyDescent="0.25">
      <c r="A164" s="65">
        <v>2381</v>
      </c>
      <c r="B164" s="116" t="s">
        <v>180</v>
      </c>
      <c r="C164" s="128">
        <f t="shared" si="9"/>
        <v>0</v>
      </c>
      <c r="D164" s="123"/>
      <c r="E164" s="262"/>
      <c r="F164" s="263">
        <f t="shared" si="10"/>
        <v>0</v>
      </c>
      <c r="G164" s="123"/>
      <c r="H164" s="124"/>
      <c r="I164" s="125">
        <f t="shared" si="11"/>
        <v>0</v>
      </c>
      <c r="J164" s="123"/>
      <c r="K164" s="124"/>
      <c r="L164" s="125">
        <f t="shared" si="12"/>
        <v>0</v>
      </c>
      <c r="M164" s="264"/>
      <c r="N164" s="262"/>
      <c r="O164" s="125">
        <f t="shared" si="13"/>
        <v>0</v>
      </c>
      <c r="P164" s="74"/>
      <c r="R164" s="53"/>
      <c r="S164" s="53"/>
      <c r="T164" s="53"/>
    </row>
    <row r="165" spans="1:20" ht="24" x14ac:dyDescent="0.25">
      <c r="A165" s="75">
        <v>2389</v>
      </c>
      <c r="B165" s="127" t="s">
        <v>181</v>
      </c>
      <c r="C165" s="128">
        <f t="shared" si="9"/>
        <v>120</v>
      </c>
      <c r="D165" s="134">
        <v>120</v>
      </c>
      <c r="E165" s="283"/>
      <c r="F165" s="279">
        <f t="shared" si="10"/>
        <v>120</v>
      </c>
      <c r="G165" s="134"/>
      <c r="H165" s="135"/>
      <c r="I165" s="136">
        <f t="shared" si="11"/>
        <v>0</v>
      </c>
      <c r="J165" s="134"/>
      <c r="K165" s="135"/>
      <c r="L165" s="136">
        <f t="shared" si="12"/>
        <v>0</v>
      </c>
      <c r="M165" s="284"/>
      <c r="N165" s="285"/>
      <c r="O165" s="136">
        <f t="shared" si="13"/>
        <v>0</v>
      </c>
      <c r="P165" s="85"/>
      <c r="R165" s="53"/>
      <c r="S165" s="53"/>
      <c r="T165" s="53"/>
    </row>
    <row r="166" spans="1:20" hidden="1" x14ac:dyDescent="0.25">
      <c r="A166" s="254">
        <v>2390</v>
      </c>
      <c r="B166" s="179" t="s">
        <v>182</v>
      </c>
      <c r="C166" s="128">
        <f t="shared" si="9"/>
        <v>0</v>
      </c>
      <c r="D166" s="287"/>
      <c r="E166" s="291"/>
      <c r="F166" s="310">
        <f t="shared" si="10"/>
        <v>0</v>
      </c>
      <c r="G166" s="287"/>
      <c r="H166" s="289"/>
      <c r="I166" s="259">
        <f t="shared" si="11"/>
        <v>0</v>
      </c>
      <c r="J166" s="287"/>
      <c r="K166" s="289"/>
      <c r="L166" s="259">
        <f t="shared" si="12"/>
        <v>0</v>
      </c>
      <c r="M166" s="290"/>
      <c r="N166" s="291"/>
      <c r="O166" s="259">
        <f t="shared" si="13"/>
        <v>0</v>
      </c>
      <c r="P166" s="189"/>
      <c r="R166" s="53"/>
      <c r="S166" s="53"/>
      <c r="T166" s="53"/>
    </row>
    <row r="167" spans="1:20" hidden="1" x14ac:dyDescent="0.25">
      <c r="A167" s="99">
        <v>2400</v>
      </c>
      <c r="B167" s="247" t="s">
        <v>183</v>
      </c>
      <c r="C167" s="100">
        <f t="shared" si="9"/>
        <v>0</v>
      </c>
      <c r="D167" s="311"/>
      <c r="E167" s="312"/>
      <c r="F167" s="313">
        <f t="shared" si="10"/>
        <v>0</v>
      </c>
      <c r="G167" s="311"/>
      <c r="H167" s="314"/>
      <c r="I167" s="114">
        <f t="shared" si="11"/>
        <v>0</v>
      </c>
      <c r="J167" s="311"/>
      <c r="K167" s="314"/>
      <c r="L167" s="114">
        <f t="shared" si="12"/>
        <v>0</v>
      </c>
      <c r="M167" s="315"/>
      <c r="N167" s="312"/>
      <c r="O167" s="114">
        <f t="shared" si="13"/>
        <v>0</v>
      </c>
      <c r="P167" s="109"/>
      <c r="R167" s="53"/>
      <c r="S167" s="53"/>
      <c r="T167" s="53"/>
    </row>
    <row r="168" spans="1:20" ht="24" x14ac:dyDescent="0.25">
      <c r="A168" s="99">
        <v>2500</v>
      </c>
      <c r="B168" s="247" t="s">
        <v>184</v>
      </c>
      <c r="C168" s="100">
        <f t="shared" si="9"/>
        <v>76</v>
      </c>
      <c r="D168" s="112">
        <f>SUM(D169,D174)</f>
        <v>76</v>
      </c>
      <c r="E168" s="248">
        <f>SUM(E169,E174)</f>
        <v>0</v>
      </c>
      <c r="F168" s="249">
        <f t="shared" si="10"/>
        <v>76</v>
      </c>
      <c r="G168" s="112">
        <f>SUM(G169,G174)</f>
        <v>0</v>
      </c>
      <c r="H168" s="113">
        <f t="shared" ref="H168" si="17">SUM(H169,H174)</f>
        <v>0</v>
      </c>
      <c r="I168" s="114">
        <f t="shared" si="11"/>
        <v>0</v>
      </c>
      <c r="J168" s="112">
        <f>SUM(J169,J174)</f>
        <v>0</v>
      </c>
      <c r="K168" s="113">
        <f t="shared" ref="K168" si="18">SUM(K169,K174)</f>
        <v>0</v>
      </c>
      <c r="L168" s="114">
        <f t="shared" si="12"/>
        <v>0</v>
      </c>
      <c r="M168" s="250">
        <f t="shared" ref="M168:N168" si="19">SUM(M169,M174)</f>
        <v>0</v>
      </c>
      <c r="N168" s="251">
        <f t="shared" si="19"/>
        <v>0</v>
      </c>
      <c r="O168" s="252">
        <f t="shared" si="13"/>
        <v>0</v>
      </c>
      <c r="P168" s="253"/>
      <c r="R168" s="53"/>
      <c r="S168" s="53"/>
      <c r="T168" s="53"/>
    </row>
    <row r="169" spans="1:20" x14ac:dyDescent="0.25">
      <c r="A169" s="656">
        <v>2510</v>
      </c>
      <c r="B169" s="116" t="s">
        <v>185</v>
      </c>
      <c r="C169" s="117">
        <f t="shared" si="9"/>
        <v>76</v>
      </c>
      <c r="D169" s="297">
        <f>SUM(D170:D173)</f>
        <v>76</v>
      </c>
      <c r="E169" s="298">
        <f>SUM(E170:E173)</f>
        <v>0</v>
      </c>
      <c r="F169" s="296">
        <f t="shared" si="10"/>
        <v>76</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c r="R169" s="53"/>
      <c r="S169" s="53"/>
      <c r="T169" s="53"/>
    </row>
    <row r="170" spans="1:20" ht="24" hidden="1" x14ac:dyDescent="0.25">
      <c r="A170" s="76">
        <v>2512</v>
      </c>
      <c r="B170" s="127" t="s">
        <v>186</v>
      </c>
      <c r="C170" s="128">
        <f t="shared" si="9"/>
        <v>0</v>
      </c>
      <c r="D170" s="134"/>
      <c r="E170" s="285"/>
      <c r="F170" s="286">
        <f t="shared" si="10"/>
        <v>0</v>
      </c>
      <c r="G170" s="134"/>
      <c r="H170" s="135"/>
      <c r="I170" s="136">
        <f t="shared" si="11"/>
        <v>0</v>
      </c>
      <c r="J170" s="134"/>
      <c r="K170" s="135"/>
      <c r="L170" s="136">
        <f t="shared" si="12"/>
        <v>0</v>
      </c>
      <c r="M170" s="284"/>
      <c r="N170" s="285"/>
      <c r="O170" s="136">
        <f t="shared" si="13"/>
        <v>0</v>
      </c>
      <c r="P170" s="85"/>
      <c r="R170" s="53"/>
      <c r="S170" s="53"/>
      <c r="T170" s="53"/>
    </row>
    <row r="171" spans="1:20" ht="36" hidden="1" x14ac:dyDescent="0.25">
      <c r="A171" s="76">
        <v>2513</v>
      </c>
      <c r="B171" s="127" t="s">
        <v>187</v>
      </c>
      <c r="C171" s="128">
        <f t="shared" si="9"/>
        <v>0</v>
      </c>
      <c r="D171" s="134"/>
      <c r="E171" s="285"/>
      <c r="F171" s="286">
        <f t="shared" si="10"/>
        <v>0</v>
      </c>
      <c r="G171" s="134"/>
      <c r="H171" s="135"/>
      <c r="I171" s="136">
        <f t="shared" si="11"/>
        <v>0</v>
      </c>
      <c r="J171" s="134"/>
      <c r="K171" s="135"/>
      <c r="L171" s="136">
        <f t="shared" si="12"/>
        <v>0</v>
      </c>
      <c r="M171" s="284"/>
      <c r="N171" s="285"/>
      <c r="O171" s="136">
        <f t="shared" si="13"/>
        <v>0</v>
      </c>
      <c r="P171" s="85"/>
      <c r="R171" s="53"/>
      <c r="S171" s="53"/>
      <c r="T171" s="53"/>
    </row>
    <row r="172" spans="1:20" ht="24" hidden="1" x14ac:dyDescent="0.25">
      <c r="A172" s="76">
        <v>2515</v>
      </c>
      <c r="B172" s="127" t="s">
        <v>188</v>
      </c>
      <c r="C172" s="128">
        <f t="shared" si="9"/>
        <v>0</v>
      </c>
      <c r="D172" s="134"/>
      <c r="E172" s="285"/>
      <c r="F172" s="286">
        <f t="shared" si="10"/>
        <v>0</v>
      </c>
      <c r="G172" s="134"/>
      <c r="H172" s="135"/>
      <c r="I172" s="136">
        <f t="shared" si="11"/>
        <v>0</v>
      </c>
      <c r="J172" s="134"/>
      <c r="K172" s="135"/>
      <c r="L172" s="136">
        <f t="shared" si="12"/>
        <v>0</v>
      </c>
      <c r="M172" s="284"/>
      <c r="N172" s="285"/>
      <c r="O172" s="136">
        <f t="shared" si="13"/>
        <v>0</v>
      </c>
      <c r="P172" s="85"/>
      <c r="R172" s="53"/>
      <c r="S172" s="53"/>
      <c r="T172" s="53"/>
    </row>
    <row r="173" spans="1:20" ht="24" x14ac:dyDescent="0.25">
      <c r="A173" s="76">
        <v>2519</v>
      </c>
      <c r="B173" s="127" t="s">
        <v>189</v>
      </c>
      <c r="C173" s="128">
        <f t="shared" si="9"/>
        <v>76</v>
      </c>
      <c r="D173" s="134">
        <v>76</v>
      </c>
      <c r="E173" s="283"/>
      <c r="F173" s="279">
        <f t="shared" si="10"/>
        <v>76</v>
      </c>
      <c r="G173" s="134"/>
      <c r="H173" s="135"/>
      <c r="I173" s="136">
        <f t="shared" si="11"/>
        <v>0</v>
      </c>
      <c r="J173" s="134"/>
      <c r="K173" s="135"/>
      <c r="L173" s="136">
        <f t="shared" si="12"/>
        <v>0</v>
      </c>
      <c r="M173" s="284"/>
      <c r="N173" s="285"/>
      <c r="O173" s="136">
        <f t="shared" si="13"/>
        <v>0</v>
      </c>
      <c r="P173" s="85"/>
      <c r="R173" s="53"/>
      <c r="S173" s="53"/>
      <c r="T173" s="53"/>
    </row>
    <row r="174" spans="1:20" ht="24" hidden="1" x14ac:dyDescent="0.25">
      <c r="A174" s="276">
        <v>2520</v>
      </c>
      <c r="B174" s="127" t="s">
        <v>190</v>
      </c>
      <c r="C174" s="128">
        <f t="shared" si="9"/>
        <v>0</v>
      </c>
      <c r="D174" s="134"/>
      <c r="E174" s="285"/>
      <c r="F174" s="286">
        <f t="shared" si="10"/>
        <v>0</v>
      </c>
      <c r="G174" s="134"/>
      <c r="H174" s="135"/>
      <c r="I174" s="136">
        <f t="shared" si="11"/>
        <v>0</v>
      </c>
      <c r="J174" s="134"/>
      <c r="K174" s="135"/>
      <c r="L174" s="136">
        <f t="shared" si="12"/>
        <v>0</v>
      </c>
      <c r="M174" s="284"/>
      <c r="N174" s="285"/>
      <c r="O174" s="136">
        <f t="shared" si="13"/>
        <v>0</v>
      </c>
      <c r="P174" s="85"/>
      <c r="R174" s="53"/>
      <c r="S174" s="53"/>
      <c r="T174" s="53"/>
    </row>
    <row r="175" spans="1:20" s="319" customFormat="1" ht="48" hidden="1" x14ac:dyDescent="0.25">
      <c r="A175" s="31">
        <v>2800</v>
      </c>
      <c r="B175" s="116" t="s">
        <v>191</v>
      </c>
      <c r="C175" s="117">
        <f t="shared" si="9"/>
        <v>0</v>
      </c>
      <c r="D175" s="68"/>
      <c r="E175" s="69"/>
      <c r="F175" s="70">
        <f t="shared" si="10"/>
        <v>0</v>
      </c>
      <c r="G175" s="68"/>
      <c r="H175" s="71"/>
      <c r="I175" s="72">
        <f t="shared" si="11"/>
        <v>0</v>
      </c>
      <c r="J175" s="68"/>
      <c r="K175" s="71"/>
      <c r="L175" s="72">
        <f t="shared" si="12"/>
        <v>0</v>
      </c>
      <c r="M175" s="73"/>
      <c r="N175" s="69"/>
      <c r="O175" s="72">
        <f t="shared" si="13"/>
        <v>0</v>
      </c>
      <c r="P175" s="74"/>
      <c r="R175" s="53"/>
      <c r="S175" s="53"/>
      <c r="T175" s="53"/>
    </row>
    <row r="176" spans="1:20" hidden="1" x14ac:dyDescent="0.25">
      <c r="A176" s="237">
        <v>3000</v>
      </c>
      <c r="B176" s="237" t="s">
        <v>192</v>
      </c>
      <c r="C176" s="238">
        <f t="shared" si="9"/>
        <v>0</v>
      </c>
      <c r="D176" s="239">
        <f>SUM(D177,D187)</f>
        <v>0</v>
      </c>
      <c r="E176" s="245">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c r="S176" s="53"/>
      <c r="T176" s="53"/>
    </row>
    <row r="177" spans="1:20" ht="24" hidden="1" x14ac:dyDescent="0.25">
      <c r="A177" s="99">
        <v>3200</v>
      </c>
      <c r="B177" s="321" t="s">
        <v>193</v>
      </c>
      <c r="C177" s="100">
        <f t="shared" si="9"/>
        <v>0</v>
      </c>
      <c r="D177" s="112">
        <f>SUM(D178,D182)</f>
        <v>0</v>
      </c>
      <c r="E177" s="293">
        <f>SUM(E178,E182)</f>
        <v>0</v>
      </c>
      <c r="F177" s="313">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c r="R177" s="53"/>
      <c r="S177" s="53"/>
      <c r="T177" s="53"/>
    </row>
    <row r="178" spans="1:20" ht="36" hidden="1" x14ac:dyDescent="0.25">
      <c r="A178" s="656">
        <v>3260</v>
      </c>
      <c r="B178" s="116" t="s">
        <v>194</v>
      </c>
      <c r="C178" s="117">
        <f t="shared" si="9"/>
        <v>0</v>
      </c>
      <c r="D178" s="297">
        <f>SUM(D179:D181)</f>
        <v>0</v>
      </c>
      <c r="E178" s="301">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c r="S178" s="53"/>
      <c r="T178" s="53"/>
    </row>
    <row r="179" spans="1:20" ht="24" hidden="1" x14ac:dyDescent="0.25">
      <c r="A179" s="76">
        <v>3261</v>
      </c>
      <c r="B179" s="127" t="s">
        <v>195</v>
      </c>
      <c r="C179" s="128">
        <f t="shared" si="9"/>
        <v>0</v>
      </c>
      <c r="D179" s="134"/>
      <c r="E179" s="285"/>
      <c r="F179" s="286">
        <f t="shared" si="10"/>
        <v>0</v>
      </c>
      <c r="G179" s="134"/>
      <c r="H179" s="135"/>
      <c r="I179" s="136">
        <f t="shared" si="11"/>
        <v>0</v>
      </c>
      <c r="J179" s="134"/>
      <c r="K179" s="135"/>
      <c r="L179" s="136">
        <f t="shared" si="12"/>
        <v>0</v>
      </c>
      <c r="M179" s="284"/>
      <c r="N179" s="285"/>
      <c r="O179" s="136">
        <f t="shared" si="13"/>
        <v>0</v>
      </c>
      <c r="P179" s="85"/>
      <c r="R179" s="53"/>
      <c r="S179" s="53"/>
      <c r="T179" s="53"/>
    </row>
    <row r="180" spans="1:20" ht="36" hidden="1" x14ac:dyDescent="0.25">
      <c r="A180" s="76">
        <v>3262</v>
      </c>
      <c r="B180" s="127" t="s">
        <v>196</v>
      </c>
      <c r="C180" s="128">
        <f t="shared" si="9"/>
        <v>0</v>
      </c>
      <c r="D180" s="134"/>
      <c r="E180" s="285"/>
      <c r="F180" s="286">
        <f t="shared" si="10"/>
        <v>0</v>
      </c>
      <c r="G180" s="134"/>
      <c r="H180" s="135"/>
      <c r="I180" s="136">
        <f t="shared" si="11"/>
        <v>0</v>
      </c>
      <c r="J180" s="134"/>
      <c r="K180" s="135"/>
      <c r="L180" s="136">
        <f t="shared" si="12"/>
        <v>0</v>
      </c>
      <c r="M180" s="284"/>
      <c r="N180" s="285"/>
      <c r="O180" s="136">
        <f t="shared" si="13"/>
        <v>0</v>
      </c>
      <c r="P180" s="85"/>
      <c r="R180" s="53"/>
      <c r="S180" s="53"/>
      <c r="T180" s="53"/>
    </row>
    <row r="181" spans="1:20" ht="24" hidden="1" x14ac:dyDescent="0.25">
      <c r="A181" s="76">
        <v>3263</v>
      </c>
      <c r="B181" s="127" t="s">
        <v>197</v>
      </c>
      <c r="C181" s="128">
        <f t="shared" si="9"/>
        <v>0</v>
      </c>
      <c r="D181" s="134"/>
      <c r="E181" s="285"/>
      <c r="F181" s="286">
        <f t="shared" si="10"/>
        <v>0</v>
      </c>
      <c r="G181" s="134"/>
      <c r="H181" s="135"/>
      <c r="I181" s="136">
        <f t="shared" si="11"/>
        <v>0</v>
      </c>
      <c r="J181" s="134"/>
      <c r="K181" s="135"/>
      <c r="L181" s="136">
        <f t="shared" si="12"/>
        <v>0</v>
      </c>
      <c r="M181" s="284"/>
      <c r="N181" s="285"/>
      <c r="O181" s="136">
        <f t="shared" si="13"/>
        <v>0</v>
      </c>
      <c r="P181" s="85"/>
      <c r="R181" s="53"/>
      <c r="S181" s="53"/>
      <c r="T181" s="53"/>
    </row>
    <row r="182" spans="1:20" ht="84" hidden="1" x14ac:dyDescent="0.25">
      <c r="A182" s="656">
        <v>3290</v>
      </c>
      <c r="B182" s="116" t="s">
        <v>198</v>
      </c>
      <c r="C182" s="128">
        <f t="shared" ref="C182:C258" si="26">F182+I182+L182+O182</f>
        <v>0</v>
      </c>
      <c r="D182" s="297">
        <f>SUM(D183:D186)</f>
        <v>0</v>
      </c>
      <c r="E182" s="301">
        <f>SUM(E183:E186)</f>
        <v>0</v>
      </c>
      <c r="F182" s="263">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c r="R182" s="53"/>
      <c r="S182" s="53"/>
      <c r="T182" s="53"/>
    </row>
    <row r="183" spans="1:20" ht="72" hidden="1" x14ac:dyDescent="0.25">
      <c r="A183" s="76">
        <v>3291</v>
      </c>
      <c r="B183" s="127" t="s">
        <v>199</v>
      </c>
      <c r="C183" s="128">
        <f t="shared" si="26"/>
        <v>0</v>
      </c>
      <c r="D183" s="134"/>
      <c r="E183" s="285"/>
      <c r="F183" s="286">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c r="R183" s="53"/>
      <c r="S183" s="53"/>
      <c r="T183" s="53"/>
    </row>
    <row r="184" spans="1:20" ht="72" hidden="1" x14ac:dyDescent="0.25">
      <c r="A184" s="76">
        <v>3292</v>
      </c>
      <c r="B184" s="127" t="s">
        <v>200</v>
      </c>
      <c r="C184" s="128">
        <f t="shared" si="26"/>
        <v>0</v>
      </c>
      <c r="D184" s="134"/>
      <c r="E184" s="285"/>
      <c r="F184" s="286">
        <f t="shared" si="30"/>
        <v>0</v>
      </c>
      <c r="G184" s="134"/>
      <c r="H184" s="135"/>
      <c r="I184" s="136">
        <f t="shared" si="31"/>
        <v>0</v>
      </c>
      <c r="J184" s="134"/>
      <c r="K184" s="135"/>
      <c r="L184" s="136">
        <f t="shared" si="32"/>
        <v>0</v>
      </c>
      <c r="M184" s="284"/>
      <c r="N184" s="285"/>
      <c r="O184" s="136">
        <f t="shared" si="33"/>
        <v>0</v>
      </c>
      <c r="P184" s="85"/>
      <c r="R184" s="53"/>
      <c r="S184" s="53"/>
      <c r="T184" s="53"/>
    </row>
    <row r="185" spans="1:20" ht="72" hidden="1" x14ac:dyDescent="0.25">
      <c r="A185" s="76">
        <v>3293</v>
      </c>
      <c r="B185" s="127" t="s">
        <v>201</v>
      </c>
      <c r="C185" s="128">
        <f t="shared" si="26"/>
        <v>0</v>
      </c>
      <c r="D185" s="134"/>
      <c r="E185" s="285"/>
      <c r="F185" s="286">
        <f t="shared" si="30"/>
        <v>0</v>
      </c>
      <c r="G185" s="134"/>
      <c r="H185" s="135"/>
      <c r="I185" s="136">
        <f t="shared" si="31"/>
        <v>0</v>
      </c>
      <c r="J185" s="134"/>
      <c r="K185" s="135"/>
      <c r="L185" s="136">
        <f t="shared" si="32"/>
        <v>0</v>
      </c>
      <c r="M185" s="284"/>
      <c r="N185" s="285"/>
      <c r="O185" s="136">
        <f t="shared" si="33"/>
        <v>0</v>
      </c>
      <c r="P185" s="85"/>
      <c r="R185" s="53"/>
      <c r="S185" s="53"/>
      <c r="T185" s="53"/>
    </row>
    <row r="186" spans="1:20" ht="60" hidden="1" x14ac:dyDescent="0.25">
      <c r="A186" s="326">
        <v>3294</v>
      </c>
      <c r="B186" s="127" t="s">
        <v>202</v>
      </c>
      <c r="C186" s="327">
        <f t="shared" si="26"/>
        <v>0</v>
      </c>
      <c r="D186" s="328"/>
      <c r="E186" s="329"/>
      <c r="F186" s="330">
        <f t="shared" si="30"/>
        <v>0</v>
      </c>
      <c r="G186" s="328"/>
      <c r="H186" s="331"/>
      <c r="I186" s="324">
        <f t="shared" si="31"/>
        <v>0</v>
      </c>
      <c r="J186" s="328"/>
      <c r="K186" s="331"/>
      <c r="L186" s="324">
        <f t="shared" si="32"/>
        <v>0</v>
      </c>
      <c r="M186" s="332"/>
      <c r="N186" s="329"/>
      <c r="O186" s="324">
        <f t="shared" si="33"/>
        <v>0</v>
      </c>
      <c r="P186" s="325"/>
      <c r="R186" s="53"/>
      <c r="S186" s="53"/>
      <c r="T186" s="53"/>
    </row>
    <row r="187" spans="1:20" ht="48" hidden="1" x14ac:dyDescent="0.25">
      <c r="A187" s="160">
        <v>3300</v>
      </c>
      <c r="B187" s="321" t="s">
        <v>203</v>
      </c>
      <c r="C187" s="333">
        <f t="shared" si="26"/>
        <v>0</v>
      </c>
      <c r="D187" s="334">
        <f>SUM(D188:D189)</f>
        <v>0</v>
      </c>
      <c r="E187" s="251">
        <f>SUM(E188:E189)</f>
        <v>0</v>
      </c>
      <c r="F187" s="335">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c r="R187" s="53"/>
      <c r="S187" s="53"/>
      <c r="T187" s="53"/>
    </row>
    <row r="188" spans="1:20" ht="48" hidden="1" x14ac:dyDescent="0.25">
      <c r="A188" s="178">
        <v>3310</v>
      </c>
      <c r="B188" s="179" t="s">
        <v>204</v>
      </c>
      <c r="C188" s="191">
        <f t="shared" si="26"/>
        <v>0</v>
      </c>
      <c r="D188" s="287"/>
      <c r="E188" s="291"/>
      <c r="F188" s="310">
        <f t="shared" si="30"/>
        <v>0</v>
      </c>
      <c r="G188" s="287"/>
      <c r="H188" s="289"/>
      <c r="I188" s="259">
        <f t="shared" si="31"/>
        <v>0</v>
      </c>
      <c r="J188" s="287"/>
      <c r="K188" s="289"/>
      <c r="L188" s="259">
        <f t="shared" si="32"/>
        <v>0</v>
      </c>
      <c r="M188" s="290"/>
      <c r="N188" s="291"/>
      <c r="O188" s="259">
        <f t="shared" si="33"/>
        <v>0</v>
      </c>
      <c r="P188" s="189"/>
      <c r="R188" s="53"/>
      <c r="S188" s="53"/>
      <c r="T188" s="53"/>
    </row>
    <row r="189" spans="1:20" ht="60" hidden="1" x14ac:dyDescent="0.25">
      <c r="A189" s="66">
        <v>3320</v>
      </c>
      <c r="B189" s="116" t="s">
        <v>205</v>
      </c>
      <c r="C189" s="117">
        <f t="shared" si="26"/>
        <v>0</v>
      </c>
      <c r="D189" s="123"/>
      <c r="E189" s="262"/>
      <c r="F189" s="263">
        <f t="shared" si="30"/>
        <v>0</v>
      </c>
      <c r="G189" s="123"/>
      <c r="H189" s="124"/>
      <c r="I189" s="125">
        <f t="shared" si="31"/>
        <v>0</v>
      </c>
      <c r="J189" s="123"/>
      <c r="K189" s="124"/>
      <c r="L189" s="125">
        <f t="shared" si="32"/>
        <v>0</v>
      </c>
      <c r="M189" s="264"/>
      <c r="N189" s="262"/>
      <c r="O189" s="125">
        <f t="shared" si="33"/>
        <v>0</v>
      </c>
      <c r="P189" s="74"/>
      <c r="R189" s="53"/>
      <c r="S189" s="53"/>
      <c r="T189" s="53"/>
    </row>
    <row r="190" spans="1:20" hidden="1" x14ac:dyDescent="0.25">
      <c r="A190" s="337">
        <v>4000</v>
      </c>
      <c r="B190" s="237" t="s">
        <v>206</v>
      </c>
      <c r="C190" s="238">
        <f t="shared" si="26"/>
        <v>0</v>
      </c>
      <c r="D190" s="239">
        <f>SUM(D191,D194)</f>
        <v>0</v>
      </c>
      <c r="E190" s="245">
        <f>SUM(E191,E194)</f>
        <v>0</v>
      </c>
      <c r="F190" s="320">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c r="R190" s="53"/>
      <c r="S190" s="53"/>
      <c r="T190" s="53"/>
    </row>
    <row r="191" spans="1:20" ht="24" hidden="1" x14ac:dyDescent="0.25">
      <c r="A191" s="338">
        <v>4200</v>
      </c>
      <c r="B191" s="247" t="s">
        <v>207</v>
      </c>
      <c r="C191" s="100">
        <f t="shared" si="26"/>
        <v>0</v>
      </c>
      <c r="D191" s="112">
        <f>SUM(D192,D193)</f>
        <v>0</v>
      </c>
      <c r="E191" s="293">
        <f>SUM(E192,E193)</f>
        <v>0</v>
      </c>
      <c r="F191" s="313">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c r="R191" s="53"/>
      <c r="S191" s="53"/>
      <c r="T191" s="53"/>
    </row>
    <row r="192" spans="1:20" ht="36" hidden="1" x14ac:dyDescent="0.25">
      <c r="A192" s="656">
        <v>4240</v>
      </c>
      <c r="B192" s="116" t="s">
        <v>208</v>
      </c>
      <c r="C192" s="117">
        <f t="shared" si="26"/>
        <v>0</v>
      </c>
      <c r="D192" s="123"/>
      <c r="E192" s="262"/>
      <c r="F192" s="263">
        <f t="shared" si="30"/>
        <v>0</v>
      </c>
      <c r="G192" s="123"/>
      <c r="H192" s="124"/>
      <c r="I192" s="125">
        <f t="shared" si="31"/>
        <v>0</v>
      </c>
      <c r="J192" s="123"/>
      <c r="K192" s="124"/>
      <c r="L192" s="125">
        <f t="shared" si="32"/>
        <v>0</v>
      </c>
      <c r="M192" s="264"/>
      <c r="N192" s="262"/>
      <c r="O192" s="125">
        <f t="shared" si="33"/>
        <v>0</v>
      </c>
      <c r="P192" s="74"/>
      <c r="R192" s="53"/>
      <c r="S192" s="53"/>
      <c r="T192" s="53"/>
    </row>
    <row r="193" spans="1:20" ht="24" hidden="1" x14ac:dyDescent="0.25">
      <c r="A193" s="276">
        <v>4250</v>
      </c>
      <c r="B193" s="127" t="s">
        <v>209</v>
      </c>
      <c r="C193" s="128">
        <f t="shared" si="26"/>
        <v>0</v>
      </c>
      <c r="D193" s="134"/>
      <c r="E193" s="285"/>
      <c r="F193" s="286">
        <f t="shared" si="30"/>
        <v>0</v>
      </c>
      <c r="G193" s="134"/>
      <c r="H193" s="135"/>
      <c r="I193" s="136">
        <f t="shared" si="31"/>
        <v>0</v>
      </c>
      <c r="J193" s="134"/>
      <c r="K193" s="135"/>
      <c r="L193" s="136">
        <f t="shared" si="32"/>
        <v>0</v>
      </c>
      <c r="M193" s="284"/>
      <c r="N193" s="285"/>
      <c r="O193" s="136">
        <f t="shared" si="33"/>
        <v>0</v>
      </c>
      <c r="P193" s="85"/>
      <c r="R193" s="53"/>
      <c r="S193" s="53"/>
      <c r="T193" s="53"/>
    </row>
    <row r="194" spans="1:20" hidden="1" x14ac:dyDescent="0.25">
      <c r="A194" s="99">
        <v>4300</v>
      </c>
      <c r="B194" s="247" t="s">
        <v>210</v>
      </c>
      <c r="C194" s="100">
        <f t="shared" si="26"/>
        <v>0</v>
      </c>
      <c r="D194" s="112">
        <f>SUM(D195)</f>
        <v>0</v>
      </c>
      <c r="E194" s="293">
        <f>SUM(E195)</f>
        <v>0</v>
      </c>
      <c r="F194" s="313">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c r="R194" s="53"/>
      <c r="S194" s="53"/>
      <c r="T194" s="53"/>
    </row>
    <row r="195" spans="1:20" ht="24" hidden="1" x14ac:dyDescent="0.25">
      <c r="A195" s="656">
        <v>4310</v>
      </c>
      <c r="B195" s="116" t="s">
        <v>211</v>
      </c>
      <c r="C195" s="117">
        <f t="shared" si="26"/>
        <v>0</v>
      </c>
      <c r="D195" s="297">
        <f>SUM(D196:D196)</f>
        <v>0</v>
      </c>
      <c r="E195" s="301">
        <f>SUM(E196:E196)</f>
        <v>0</v>
      </c>
      <c r="F195" s="263">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c r="R195" s="53"/>
      <c r="S195" s="53"/>
      <c r="T195" s="53"/>
    </row>
    <row r="196" spans="1:20" ht="36" hidden="1" x14ac:dyDescent="0.25">
      <c r="A196" s="76">
        <v>4311</v>
      </c>
      <c r="B196" s="127" t="s">
        <v>212</v>
      </c>
      <c r="C196" s="128">
        <f t="shared" si="26"/>
        <v>0</v>
      </c>
      <c r="D196" s="134"/>
      <c r="E196" s="285"/>
      <c r="F196" s="286">
        <f t="shared" si="30"/>
        <v>0</v>
      </c>
      <c r="G196" s="134"/>
      <c r="H196" s="135"/>
      <c r="I196" s="136">
        <f t="shared" si="31"/>
        <v>0</v>
      </c>
      <c r="J196" s="134"/>
      <c r="K196" s="135"/>
      <c r="L196" s="136">
        <f t="shared" si="32"/>
        <v>0</v>
      </c>
      <c r="M196" s="284"/>
      <c r="N196" s="285"/>
      <c r="O196" s="136">
        <f t="shared" si="33"/>
        <v>0</v>
      </c>
      <c r="P196" s="85"/>
      <c r="R196" s="53"/>
      <c r="S196" s="53"/>
      <c r="T196" s="53"/>
    </row>
    <row r="197" spans="1:20" s="41" customFormat="1" ht="24" x14ac:dyDescent="0.25">
      <c r="A197" s="339"/>
      <c r="B197" s="31" t="s">
        <v>213</v>
      </c>
      <c r="C197" s="229">
        <f t="shared" si="26"/>
        <v>18273</v>
      </c>
      <c r="D197" s="230">
        <f>SUM(D198,D233,D271)</f>
        <v>14510</v>
      </c>
      <c r="E197" s="231">
        <f>SUM(E198,E233,E271)</f>
        <v>0</v>
      </c>
      <c r="F197" s="232">
        <f t="shared" si="30"/>
        <v>14510</v>
      </c>
      <c r="G197" s="230">
        <f>SUM(G198,G233,G271)</f>
        <v>1163</v>
      </c>
      <c r="H197" s="233">
        <f>SUM(H198,H233,H271)</f>
        <v>0</v>
      </c>
      <c r="I197" s="234">
        <f t="shared" si="31"/>
        <v>1163</v>
      </c>
      <c r="J197" s="230">
        <f>SUM(J198,J233,J271)</f>
        <v>2600</v>
      </c>
      <c r="K197" s="233">
        <f>SUM(K198,K233,K271)</f>
        <v>0</v>
      </c>
      <c r="L197" s="234">
        <f t="shared" si="32"/>
        <v>2600</v>
      </c>
      <c r="M197" s="340">
        <f>SUM(M198,M233,M271)</f>
        <v>0</v>
      </c>
      <c r="N197" s="341">
        <f>SUM(N198,N233,N271)</f>
        <v>0</v>
      </c>
      <c r="O197" s="342">
        <f t="shared" si="33"/>
        <v>0</v>
      </c>
      <c r="P197" s="343"/>
      <c r="R197" s="53"/>
      <c r="S197" s="53"/>
      <c r="T197" s="53"/>
    </row>
    <row r="198" spans="1:20" x14ac:dyDescent="0.25">
      <c r="A198" s="237">
        <v>5000</v>
      </c>
      <c r="B198" s="237" t="s">
        <v>214</v>
      </c>
      <c r="C198" s="238">
        <f>F198+I198+L198+O198</f>
        <v>18273</v>
      </c>
      <c r="D198" s="239">
        <f>D199+D207</f>
        <v>14510</v>
      </c>
      <c r="E198" s="240">
        <f>E199+E207</f>
        <v>0</v>
      </c>
      <c r="F198" s="241">
        <f t="shared" si="30"/>
        <v>14510</v>
      </c>
      <c r="G198" s="239">
        <f>G199+G207</f>
        <v>1163</v>
      </c>
      <c r="H198" s="242">
        <f>H199+H207</f>
        <v>0</v>
      </c>
      <c r="I198" s="243">
        <f t="shared" si="31"/>
        <v>1163</v>
      </c>
      <c r="J198" s="239">
        <f>J199+J207</f>
        <v>2600</v>
      </c>
      <c r="K198" s="242">
        <f>K199+K207</f>
        <v>0</v>
      </c>
      <c r="L198" s="243">
        <f t="shared" si="32"/>
        <v>2600</v>
      </c>
      <c r="M198" s="244">
        <f>M199+M207</f>
        <v>0</v>
      </c>
      <c r="N198" s="245">
        <f>N199+N207</f>
        <v>0</v>
      </c>
      <c r="O198" s="243">
        <f t="shared" si="33"/>
        <v>0</v>
      </c>
      <c r="P198" s="246"/>
      <c r="R198" s="53"/>
      <c r="S198" s="53"/>
      <c r="T198" s="53"/>
    </row>
    <row r="199" spans="1:20" hidden="1" x14ac:dyDescent="0.25">
      <c r="A199" s="99">
        <v>5100</v>
      </c>
      <c r="B199" s="247" t="s">
        <v>215</v>
      </c>
      <c r="C199" s="100">
        <f t="shared" si="26"/>
        <v>0</v>
      </c>
      <c r="D199" s="112">
        <f>D200+D201+D204+D205+D206</f>
        <v>0</v>
      </c>
      <c r="E199" s="293">
        <f>E200+E201+E204+E205+E206</f>
        <v>0</v>
      </c>
      <c r="F199" s="313">
        <f t="shared" si="30"/>
        <v>0</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c r="R199" s="53"/>
      <c r="S199" s="53"/>
      <c r="T199" s="53"/>
    </row>
    <row r="200" spans="1:20" hidden="1" x14ac:dyDescent="0.25">
      <c r="A200" s="656">
        <v>5110</v>
      </c>
      <c r="B200" s="116" t="s">
        <v>216</v>
      </c>
      <c r="C200" s="117">
        <f t="shared" si="26"/>
        <v>0</v>
      </c>
      <c r="D200" s="123"/>
      <c r="E200" s="262"/>
      <c r="F200" s="263">
        <f t="shared" si="30"/>
        <v>0</v>
      </c>
      <c r="G200" s="123"/>
      <c r="H200" s="124"/>
      <c r="I200" s="125">
        <f t="shared" si="31"/>
        <v>0</v>
      </c>
      <c r="J200" s="123"/>
      <c r="K200" s="124"/>
      <c r="L200" s="125">
        <f t="shared" si="32"/>
        <v>0</v>
      </c>
      <c r="M200" s="264"/>
      <c r="N200" s="262"/>
      <c r="O200" s="125">
        <f t="shared" si="33"/>
        <v>0</v>
      </c>
      <c r="P200" s="74"/>
      <c r="R200" s="53"/>
      <c r="S200" s="53"/>
      <c r="T200" s="53"/>
    </row>
    <row r="201" spans="1:20" ht="24" hidden="1" x14ac:dyDescent="0.25">
      <c r="A201" s="276">
        <v>5120</v>
      </c>
      <c r="B201" s="127" t="s">
        <v>217</v>
      </c>
      <c r="C201" s="128">
        <f t="shared" si="26"/>
        <v>0</v>
      </c>
      <c r="D201" s="277">
        <f>D202+D203</f>
        <v>0</v>
      </c>
      <c r="E201" s="282">
        <f>E202+E203</f>
        <v>0</v>
      </c>
      <c r="F201" s="286">
        <f t="shared" si="30"/>
        <v>0</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c r="R201" s="53"/>
      <c r="S201" s="53"/>
      <c r="T201" s="53"/>
    </row>
    <row r="202" spans="1:20" hidden="1" x14ac:dyDescent="0.25">
      <c r="A202" s="76">
        <v>5121</v>
      </c>
      <c r="B202" s="127" t="s">
        <v>218</v>
      </c>
      <c r="C202" s="128">
        <f t="shared" si="26"/>
        <v>0</v>
      </c>
      <c r="D202" s="134"/>
      <c r="E202" s="285"/>
      <c r="F202" s="286">
        <f t="shared" si="30"/>
        <v>0</v>
      </c>
      <c r="G202" s="134"/>
      <c r="H202" s="135"/>
      <c r="I202" s="136">
        <f t="shared" si="31"/>
        <v>0</v>
      </c>
      <c r="J202" s="134"/>
      <c r="K202" s="135"/>
      <c r="L202" s="136">
        <f t="shared" si="32"/>
        <v>0</v>
      </c>
      <c r="M202" s="284"/>
      <c r="N202" s="285"/>
      <c r="O202" s="136">
        <f t="shared" si="33"/>
        <v>0</v>
      </c>
      <c r="P202" s="1013"/>
      <c r="R202" s="53"/>
      <c r="S202" s="53"/>
      <c r="T202" s="53"/>
    </row>
    <row r="203" spans="1:20" ht="24" hidden="1" x14ac:dyDescent="0.25">
      <c r="A203" s="76">
        <v>5129</v>
      </c>
      <c r="B203" s="127" t="s">
        <v>219</v>
      </c>
      <c r="C203" s="128">
        <f t="shared" si="26"/>
        <v>0</v>
      </c>
      <c r="D203" s="134"/>
      <c r="E203" s="285"/>
      <c r="F203" s="286">
        <f t="shared" si="30"/>
        <v>0</v>
      </c>
      <c r="G203" s="134"/>
      <c r="H203" s="135"/>
      <c r="I203" s="136">
        <f t="shared" si="31"/>
        <v>0</v>
      </c>
      <c r="J203" s="134"/>
      <c r="K203" s="135"/>
      <c r="L203" s="136">
        <f t="shared" si="32"/>
        <v>0</v>
      </c>
      <c r="M203" s="284"/>
      <c r="N203" s="285"/>
      <c r="O203" s="136">
        <f t="shared" si="33"/>
        <v>0</v>
      </c>
      <c r="P203" s="85"/>
      <c r="R203" s="53"/>
      <c r="S203" s="53"/>
      <c r="T203" s="53"/>
    </row>
    <row r="204" spans="1:20" hidden="1" x14ac:dyDescent="0.25">
      <c r="A204" s="276">
        <v>5130</v>
      </c>
      <c r="B204" s="127" t="s">
        <v>220</v>
      </c>
      <c r="C204" s="128">
        <f t="shared" si="26"/>
        <v>0</v>
      </c>
      <c r="D204" s="134"/>
      <c r="E204" s="285"/>
      <c r="F204" s="286">
        <f t="shared" si="30"/>
        <v>0</v>
      </c>
      <c r="G204" s="134"/>
      <c r="H204" s="135"/>
      <c r="I204" s="136">
        <f t="shared" si="31"/>
        <v>0</v>
      </c>
      <c r="J204" s="134"/>
      <c r="K204" s="135"/>
      <c r="L204" s="136">
        <f t="shared" si="32"/>
        <v>0</v>
      </c>
      <c r="M204" s="284"/>
      <c r="N204" s="285"/>
      <c r="O204" s="136">
        <f t="shared" si="33"/>
        <v>0</v>
      </c>
      <c r="P204" s="85"/>
      <c r="R204" s="53"/>
      <c r="S204" s="53"/>
      <c r="T204" s="53"/>
    </row>
    <row r="205" spans="1:20" hidden="1" x14ac:dyDescent="0.25">
      <c r="A205" s="276">
        <v>5140</v>
      </c>
      <c r="B205" s="127" t="s">
        <v>221</v>
      </c>
      <c r="C205" s="128">
        <f t="shared" si="26"/>
        <v>0</v>
      </c>
      <c r="D205" s="134"/>
      <c r="E205" s="285"/>
      <c r="F205" s="286">
        <f t="shared" si="30"/>
        <v>0</v>
      </c>
      <c r="G205" s="134"/>
      <c r="H205" s="135"/>
      <c r="I205" s="136">
        <f t="shared" si="31"/>
        <v>0</v>
      </c>
      <c r="J205" s="134"/>
      <c r="K205" s="135"/>
      <c r="L205" s="136">
        <f t="shared" si="32"/>
        <v>0</v>
      </c>
      <c r="M205" s="284"/>
      <c r="N205" s="285"/>
      <c r="O205" s="136">
        <f t="shared" si="33"/>
        <v>0</v>
      </c>
      <c r="P205" s="85"/>
      <c r="R205" s="53"/>
      <c r="S205" s="53"/>
      <c r="T205" s="53"/>
    </row>
    <row r="206" spans="1:20" ht="24" hidden="1" x14ac:dyDescent="0.25">
      <c r="A206" s="276">
        <v>5170</v>
      </c>
      <c r="B206" s="127" t="s">
        <v>222</v>
      </c>
      <c r="C206" s="128">
        <f t="shared" si="26"/>
        <v>0</v>
      </c>
      <c r="D206" s="134"/>
      <c r="E206" s="285"/>
      <c r="F206" s="286">
        <f t="shared" si="30"/>
        <v>0</v>
      </c>
      <c r="G206" s="134"/>
      <c r="H206" s="135"/>
      <c r="I206" s="136">
        <f t="shared" si="31"/>
        <v>0</v>
      </c>
      <c r="J206" s="134"/>
      <c r="K206" s="135"/>
      <c r="L206" s="136">
        <f t="shared" si="32"/>
        <v>0</v>
      </c>
      <c r="M206" s="284"/>
      <c r="N206" s="285"/>
      <c r="O206" s="136">
        <f t="shared" si="33"/>
        <v>0</v>
      </c>
      <c r="P206" s="85"/>
      <c r="R206" s="53"/>
      <c r="S206" s="53"/>
      <c r="T206" s="53"/>
    </row>
    <row r="207" spans="1:20" x14ac:dyDescent="0.25">
      <c r="A207" s="99">
        <v>5200</v>
      </c>
      <c r="B207" s="247" t="s">
        <v>223</v>
      </c>
      <c r="C207" s="100">
        <f t="shared" si="26"/>
        <v>18273</v>
      </c>
      <c r="D207" s="112">
        <f>D208+D218+D219+D228+D229+D230+D232</f>
        <v>14510</v>
      </c>
      <c r="E207" s="248">
        <f>E208+E218+E219+E228+E229+E230+E232</f>
        <v>0</v>
      </c>
      <c r="F207" s="249">
        <f t="shared" si="30"/>
        <v>14510</v>
      </c>
      <c r="G207" s="112">
        <f>G208+G218+G219+G228+G229+G230+G232</f>
        <v>1163</v>
      </c>
      <c r="H207" s="113">
        <f>H208+H218+H219+H228+H229+H230+H232</f>
        <v>0</v>
      </c>
      <c r="I207" s="114">
        <f t="shared" si="31"/>
        <v>1163</v>
      </c>
      <c r="J207" s="112">
        <f>J208+J218+J219+J228+J229+J230+J232</f>
        <v>2600</v>
      </c>
      <c r="K207" s="113">
        <f>K208+K218+K219+K228+K229+K230+K232</f>
        <v>0</v>
      </c>
      <c r="L207" s="114">
        <f t="shared" si="32"/>
        <v>2600</v>
      </c>
      <c r="M207" s="292">
        <f>M208+M218+M219+M228+M229+M230+M232</f>
        <v>0</v>
      </c>
      <c r="N207" s="293">
        <f>N208+N218+N219+N228+N229+N230+N232</f>
        <v>0</v>
      </c>
      <c r="O207" s="114">
        <f t="shared" si="33"/>
        <v>0</v>
      </c>
      <c r="P207" s="109"/>
      <c r="R207" s="53"/>
      <c r="S207" s="53"/>
      <c r="T207" s="53"/>
    </row>
    <row r="208" spans="1:20" hidden="1" x14ac:dyDescent="0.25">
      <c r="A208" s="254">
        <v>5210</v>
      </c>
      <c r="B208" s="179" t="s">
        <v>224</v>
      </c>
      <c r="C208" s="191">
        <f t="shared" si="26"/>
        <v>0</v>
      </c>
      <c r="D208" s="255">
        <f>SUM(D209:D217)</f>
        <v>0</v>
      </c>
      <c r="E208" s="261">
        <f>SUM(E209:E217)</f>
        <v>0</v>
      </c>
      <c r="F208" s="310">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c r="R208" s="53"/>
      <c r="S208" s="53"/>
      <c r="T208" s="53"/>
    </row>
    <row r="209" spans="1:20" hidden="1" x14ac:dyDescent="0.25">
      <c r="A209" s="66">
        <v>5211</v>
      </c>
      <c r="B209" s="116" t="s">
        <v>225</v>
      </c>
      <c r="C209" s="279">
        <f t="shared" si="26"/>
        <v>0</v>
      </c>
      <c r="D209" s="123"/>
      <c r="E209" s="262"/>
      <c r="F209" s="263">
        <f t="shared" si="30"/>
        <v>0</v>
      </c>
      <c r="G209" s="123"/>
      <c r="H209" s="124"/>
      <c r="I209" s="125">
        <f t="shared" si="31"/>
        <v>0</v>
      </c>
      <c r="J209" s="123"/>
      <c r="K209" s="124"/>
      <c r="L209" s="125">
        <f t="shared" si="32"/>
        <v>0</v>
      </c>
      <c r="M209" s="264"/>
      <c r="N209" s="262"/>
      <c r="O209" s="125">
        <f t="shared" si="33"/>
        <v>0</v>
      </c>
      <c r="P209" s="74"/>
      <c r="R209" s="53"/>
      <c r="S209" s="53"/>
      <c r="T209" s="53"/>
    </row>
    <row r="210" spans="1:20" hidden="1" x14ac:dyDescent="0.25">
      <c r="A210" s="76">
        <v>5212</v>
      </c>
      <c r="B210" s="127" t="s">
        <v>226</v>
      </c>
      <c r="C210" s="279">
        <f t="shared" si="26"/>
        <v>0</v>
      </c>
      <c r="D210" s="134"/>
      <c r="E210" s="285"/>
      <c r="F210" s="286">
        <f t="shared" si="30"/>
        <v>0</v>
      </c>
      <c r="G210" s="134"/>
      <c r="H210" s="135"/>
      <c r="I210" s="136">
        <f t="shared" si="31"/>
        <v>0</v>
      </c>
      <c r="J210" s="134"/>
      <c r="K210" s="135"/>
      <c r="L210" s="136">
        <f t="shared" si="32"/>
        <v>0</v>
      </c>
      <c r="M210" s="284"/>
      <c r="N210" s="285"/>
      <c r="O210" s="136">
        <f t="shared" si="33"/>
        <v>0</v>
      </c>
      <c r="P210" s="85"/>
      <c r="R210" s="53"/>
      <c r="S210" s="53"/>
      <c r="T210" s="53"/>
    </row>
    <row r="211" spans="1:20" hidden="1" x14ac:dyDescent="0.25">
      <c r="A211" s="76">
        <v>5213</v>
      </c>
      <c r="B211" s="127" t="s">
        <v>227</v>
      </c>
      <c r="C211" s="279">
        <f t="shared" si="26"/>
        <v>0</v>
      </c>
      <c r="D211" s="134"/>
      <c r="E211" s="285"/>
      <c r="F211" s="286">
        <f t="shared" si="30"/>
        <v>0</v>
      </c>
      <c r="G211" s="134"/>
      <c r="H211" s="135"/>
      <c r="I211" s="136">
        <f t="shared" si="31"/>
        <v>0</v>
      </c>
      <c r="J211" s="134"/>
      <c r="K211" s="135"/>
      <c r="L211" s="136">
        <f t="shared" si="32"/>
        <v>0</v>
      </c>
      <c r="M211" s="284"/>
      <c r="N211" s="285"/>
      <c r="O211" s="136">
        <f t="shared" si="33"/>
        <v>0</v>
      </c>
      <c r="P211" s="85"/>
      <c r="R211" s="53"/>
      <c r="S211" s="53"/>
      <c r="T211" s="53"/>
    </row>
    <row r="212" spans="1:20" hidden="1" x14ac:dyDescent="0.25">
      <c r="A212" s="76">
        <v>5214</v>
      </c>
      <c r="B212" s="127" t="s">
        <v>228</v>
      </c>
      <c r="C212" s="279">
        <f t="shared" si="26"/>
        <v>0</v>
      </c>
      <c r="D212" s="134"/>
      <c r="E212" s="285"/>
      <c r="F212" s="286">
        <f t="shared" si="30"/>
        <v>0</v>
      </c>
      <c r="G212" s="134"/>
      <c r="H212" s="135"/>
      <c r="I212" s="136">
        <f t="shared" si="31"/>
        <v>0</v>
      </c>
      <c r="J212" s="134"/>
      <c r="K212" s="135"/>
      <c r="L212" s="136">
        <f t="shared" si="32"/>
        <v>0</v>
      </c>
      <c r="M212" s="284"/>
      <c r="N212" s="285"/>
      <c r="O212" s="136">
        <f t="shared" si="33"/>
        <v>0</v>
      </c>
      <c r="P212" s="85"/>
      <c r="R212" s="53"/>
      <c r="S212" s="53"/>
      <c r="T212" s="53"/>
    </row>
    <row r="213" spans="1:20" hidden="1" x14ac:dyDescent="0.25">
      <c r="A213" s="76">
        <v>5215</v>
      </c>
      <c r="B213" s="127" t="s">
        <v>229</v>
      </c>
      <c r="C213" s="279">
        <f t="shared" si="26"/>
        <v>0</v>
      </c>
      <c r="D213" s="134"/>
      <c r="E213" s="285"/>
      <c r="F213" s="286">
        <f t="shared" si="30"/>
        <v>0</v>
      </c>
      <c r="G213" s="134"/>
      <c r="H213" s="135"/>
      <c r="I213" s="136">
        <f t="shared" si="31"/>
        <v>0</v>
      </c>
      <c r="J213" s="134"/>
      <c r="K213" s="135"/>
      <c r="L213" s="136">
        <f t="shared" si="32"/>
        <v>0</v>
      </c>
      <c r="M213" s="284"/>
      <c r="N213" s="285"/>
      <c r="O213" s="136">
        <f t="shared" si="33"/>
        <v>0</v>
      </c>
      <c r="P213" s="85"/>
      <c r="R213" s="53"/>
      <c r="S213" s="53"/>
      <c r="T213" s="53"/>
    </row>
    <row r="214" spans="1:20" ht="24" hidden="1" x14ac:dyDescent="0.25">
      <c r="A214" s="76">
        <v>5216</v>
      </c>
      <c r="B214" s="127" t="s">
        <v>230</v>
      </c>
      <c r="C214" s="279">
        <f t="shared" si="26"/>
        <v>0</v>
      </c>
      <c r="D214" s="134"/>
      <c r="E214" s="285"/>
      <c r="F214" s="286">
        <f t="shared" si="30"/>
        <v>0</v>
      </c>
      <c r="G214" s="134"/>
      <c r="H214" s="135"/>
      <c r="I214" s="136">
        <f t="shared" si="31"/>
        <v>0</v>
      </c>
      <c r="J214" s="134"/>
      <c r="K214" s="135"/>
      <c r="L214" s="136">
        <f t="shared" si="32"/>
        <v>0</v>
      </c>
      <c r="M214" s="284"/>
      <c r="N214" s="285"/>
      <c r="O214" s="136">
        <f t="shared" si="33"/>
        <v>0</v>
      </c>
      <c r="P214" s="85"/>
      <c r="R214" s="53"/>
      <c r="S214" s="53"/>
      <c r="T214" s="53"/>
    </row>
    <row r="215" spans="1:20" hidden="1" x14ac:dyDescent="0.25">
      <c r="A215" s="76">
        <v>5217</v>
      </c>
      <c r="B215" s="127" t="s">
        <v>231</v>
      </c>
      <c r="C215" s="279">
        <f t="shared" si="26"/>
        <v>0</v>
      </c>
      <c r="D215" s="134"/>
      <c r="E215" s="285"/>
      <c r="F215" s="286">
        <f t="shared" si="30"/>
        <v>0</v>
      </c>
      <c r="G215" s="134"/>
      <c r="H215" s="135"/>
      <c r="I215" s="136">
        <f t="shared" si="31"/>
        <v>0</v>
      </c>
      <c r="J215" s="134"/>
      <c r="K215" s="135"/>
      <c r="L215" s="136">
        <f t="shared" si="32"/>
        <v>0</v>
      </c>
      <c r="M215" s="284"/>
      <c r="N215" s="285"/>
      <c r="O215" s="136">
        <f t="shared" si="33"/>
        <v>0</v>
      </c>
      <c r="P215" s="85"/>
      <c r="R215" s="53"/>
      <c r="S215" s="53"/>
      <c r="T215" s="53"/>
    </row>
    <row r="216" spans="1:20" hidden="1" x14ac:dyDescent="0.25">
      <c r="A216" s="76">
        <v>5218</v>
      </c>
      <c r="B216" s="127" t="s">
        <v>232</v>
      </c>
      <c r="C216" s="279">
        <f t="shared" si="26"/>
        <v>0</v>
      </c>
      <c r="D216" s="134"/>
      <c r="E216" s="285"/>
      <c r="F216" s="286">
        <f t="shared" si="30"/>
        <v>0</v>
      </c>
      <c r="G216" s="134"/>
      <c r="H216" s="135"/>
      <c r="I216" s="136">
        <f t="shared" si="31"/>
        <v>0</v>
      </c>
      <c r="J216" s="134"/>
      <c r="K216" s="135"/>
      <c r="L216" s="136">
        <f t="shared" si="32"/>
        <v>0</v>
      </c>
      <c r="M216" s="284"/>
      <c r="N216" s="285"/>
      <c r="O216" s="136">
        <f t="shared" si="33"/>
        <v>0</v>
      </c>
      <c r="P216" s="85"/>
      <c r="R216" s="53"/>
      <c r="S216" s="53"/>
      <c r="T216" s="53"/>
    </row>
    <row r="217" spans="1:20" hidden="1" x14ac:dyDescent="0.25">
      <c r="A217" s="76">
        <v>5219</v>
      </c>
      <c r="B217" s="127" t="s">
        <v>233</v>
      </c>
      <c r="C217" s="279">
        <f t="shared" si="26"/>
        <v>0</v>
      </c>
      <c r="D217" s="134"/>
      <c r="E217" s="285"/>
      <c r="F217" s="286">
        <f t="shared" si="30"/>
        <v>0</v>
      </c>
      <c r="G217" s="134"/>
      <c r="H217" s="135"/>
      <c r="I217" s="136">
        <f t="shared" si="31"/>
        <v>0</v>
      </c>
      <c r="J217" s="134"/>
      <c r="K217" s="135"/>
      <c r="L217" s="136">
        <f t="shared" si="32"/>
        <v>0</v>
      </c>
      <c r="M217" s="284"/>
      <c r="N217" s="285"/>
      <c r="O217" s="136">
        <f t="shared" si="33"/>
        <v>0</v>
      </c>
      <c r="P217" s="85"/>
      <c r="R217" s="53"/>
      <c r="S217" s="53"/>
      <c r="T217" s="53"/>
    </row>
    <row r="218" spans="1:20" hidden="1" x14ac:dyDescent="0.25">
      <c r="A218" s="276">
        <v>5220</v>
      </c>
      <c r="B218" s="127" t="s">
        <v>234</v>
      </c>
      <c r="C218" s="279">
        <f t="shared" si="26"/>
        <v>0</v>
      </c>
      <c r="D218" s="134"/>
      <c r="E218" s="285"/>
      <c r="F218" s="286">
        <f t="shared" si="30"/>
        <v>0</v>
      </c>
      <c r="G218" s="134"/>
      <c r="H218" s="135"/>
      <c r="I218" s="136">
        <f t="shared" si="31"/>
        <v>0</v>
      </c>
      <c r="J218" s="134"/>
      <c r="K218" s="135"/>
      <c r="L218" s="136">
        <f t="shared" si="32"/>
        <v>0</v>
      </c>
      <c r="M218" s="284"/>
      <c r="N218" s="285"/>
      <c r="O218" s="136">
        <f t="shared" si="33"/>
        <v>0</v>
      </c>
      <c r="P218" s="85"/>
      <c r="R218" s="53"/>
      <c r="S218" s="53"/>
      <c r="T218" s="53"/>
    </row>
    <row r="219" spans="1:20" x14ac:dyDescent="0.25">
      <c r="A219" s="276">
        <v>5230</v>
      </c>
      <c r="B219" s="127" t="s">
        <v>235</v>
      </c>
      <c r="C219" s="279">
        <f t="shared" si="26"/>
        <v>16773</v>
      </c>
      <c r="D219" s="277">
        <f>SUM(D220:D227)</f>
        <v>13010</v>
      </c>
      <c r="E219" s="278">
        <f>SUM(E220:E227)</f>
        <v>0</v>
      </c>
      <c r="F219" s="279">
        <f t="shared" si="30"/>
        <v>13010</v>
      </c>
      <c r="G219" s="277">
        <f>SUM(G220:G227)</f>
        <v>1163</v>
      </c>
      <c r="H219" s="280">
        <f>SUM(H220:H227)</f>
        <v>0</v>
      </c>
      <c r="I219" s="136">
        <f t="shared" si="31"/>
        <v>1163</v>
      </c>
      <c r="J219" s="277">
        <f>SUM(J220:J227)</f>
        <v>2600</v>
      </c>
      <c r="K219" s="280">
        <f>SUM(K220:K227)</f>
        <v>0</v>
      </c>
      <c r="L219" s="136">
        <f t="shared" si="32"/>
        <v>2600</v>
      </c>
      <c r="M219" s="281">
        <f>SUM(M220:M227)</f>
        <v>0</v>
      </c>
      <c r="N219" s="282">
        <f>SUM(N220:N227)</f>
        <v>0</v>
      </c>
      <c r="O219" s="136">
        <f t="shared" si="33"/>
        <v>0</v>
      </c>
      <c r="P219" s="85"/>
      <c r="R219" s="53"/>
      <c r="S219" s="53"/>
      <c r="T219" s="53"/>
    </row>
    <row r="220" spans="1:20" hidden="1" x14ac:dyDescent="0.25">
      <c r="A220" s="76">
        <v>5231</v>
      </c>
      <c r="B220" s="127" t="s">
        <v>236</v>
      </c>
      <c r="C220" s="279">
        <f t="shared" si="26"/>
        <v>0</v>
      </c>
      <c r="D220" s="134"/>
      <c r="E220" s="285"/>
      <c r="F220" s="286">
        <f t="shared" si="30"/>
        <v>0</v>
      </c>
      <c r="G220" s="134"/>
      <c r="H220" s="135"/>
      <c r="I220" s="136">
        <f t="shared" si="31"/>
        <v>0</v>
      </c>
      <c r="J220" s="134"/>
      <c r="K220" s="135"/>
      <c r="L220" s="136">
        <f t="shared" si="32"/>
        <v>0</v>
      </c>
      <c r="M220" s="284"/>
      <c r="N220" s="285"/>
      <c r="O220" s="136">
        <f t="shared" si="33"/>
        <v>0</v>
      </c>
      <c r="P220" s="85"/>
      <c r="R220" s="53"/>
      <c r="S220" s="53"/>
      <c r="T220" s="53"/>
    </row>
    <row r="221" spans="1:20" x14ac:dyDescent="0.25">
      <c r="A221" s="76">
        <v>5232</v>
      </c>
      <c r="B221" s="127" t="s">
        <v>237</v>
      </c>
      <c r="C221" s="279">
        <f t="shared" si="26"/>
        <v>4815</v>
      </c>
      <c r="D221" s="134">
        <f>315+3300</f>
        <v>3615</v>
      </c>
      <c r="E221" s="283"/>
      <c r="F221" s="279">
        <f t="shared" si="30"/>
        <v>3615</v>
      </c>
      <c r="G221" s="134"/>
      <c r="H221" s="135"/>
      <c r="I221" s="136">
        <f t="shared" si="31"/>
        <v>0</v>
      </c>
      <c r="J221" s="134">
        <v>1200</v>
      </c>
      <c r="K221" s="135"/>
      <c r="L221" s="136">
        <f t="shared" si="32"/>
        <v>1200</v>
      </c>
      <c r="M221" s="284"/>
      <c r="N221" s="285"/>
      <c r="O221" s="136">
        <f t="shared" si="33"/>
        <v>0</v>
      </c>
      <c r="P221" s="85"/>
      <c r="R221" s="53"/>
      <c r="S221" s="53"/>
      <c r="T221" s="53"/>
    </row>
    <row r="222" spans="1:20" x14ac:dyDescent="0.25">
      <c r="A222" s="76">
        <v>5233</v>
      </c>
      <c r="B222" s="127" t="s">
        <v>238</v>
      </c>
      <c r="C222" s="279">
        <f t="shared" si="26"/>
        <v>2088</v>
      </c>
      <c r="D222" s="134">
        <v>925</v>
      </c>
      <c r="E222" s="283"/>
      <c r="F222" s="279">
        <f t="shared" si="30"/>
        <v>925</v>
      </c>
      <c r="G222" s="134">
        <v>1163</v>
      </c>
      <c r="H222" s="135"/>
      <c r="I222" s="136">
        <f t="shared" si="31"/>
        <v>1163</v>
      </c>
      <c r="J222" s="134"/>
      <c r="K222" s="135"/>
      <c r="L222" s="136">
        <f t="shared" si="32"/>
        <v>0</v>
      </c>
      <c r="M222" s="284"/>
      <c r="N222" s="285"/>
      <c r="O222" s="136">
        <f t="shared" si="33"/>
        <v>0</v>
      </c>
      <c r="P222" s="85"/>
      <c r="R222" s="53"/>
      <c r="S222" s="53"/>
      <c r="T222" s="53"/>
    </row>
    <row r="223" spans="1:20" ht="24" hidden="1" x14ac:dyDescent="0.25">
      <c r="A223" s="76">
        <v>5234</v>
      </c>
      <c r="B223" s="127" t="s">
        <v>239</v>
      </c>
      <c r="C223" s="279">
        <f t="shared" si="26"/>
        <v>0</v>
      </c>
      <c r="D223" s="134"/>
      <c r="E223" s="285"/>
      <c r="F223" s="286">
        <f t="shared" si="30"/>
        <v>0</v>
      </c>
      <c r="G223" s="134"/>
      <c r="H223" s="135"/>
      <c r="I223" s="136">
        <f t="shared" si="31"/>
        <v>0</v>
      </c>
      <c r="J223" s="134"/>
      <c r="K223" s="135"/>
      <c r="L223" s="136">
        <f t="shared" si="32"/>
        <v>0</v>
      </c>
      <c r="M223" s="284"/>
      <c r="N223" s="285"/>
      <c r="O223" s="136">
        <f t="shared" si="33"/>
        <v>0</v>
      </c>
      <c r="P223" s="85"/>
      <c r="R223" s="53"/>
      <c r="S223" s="53"/>
      <c r="T223" s="53"/>
    </row>
    <row r="224" spans="1:20" hidden="1" x14ac:dyDescent="0.25">
      <c r="A224" s="76">
        <v>5236</v>
      </c>
      <c r="B224" s="127" t="s">
        <v>240</v>
      </c>
      <c r="C224" s="279">
        <f t="shared" si="26"/>
        <v>0</v>
      </c>
      <c r="D224" s="134"/>
      <c r="E224" s="285"/>
      <c r="F224" s="286">
        <f t="shared" si="30"/>
        <v>0</v>
      </c>
      <c r="G224" s="134"/>
      <c r="H224" s="135"/>
      <c r="I224" s="136">
        <f t="shared" si="31"/>
        <v>0</v>
      </c>
      <c r="J224" s="134"/>
      <c r="K224" s="135"/>
      <c r="L224" s="136">
        <f t="shared" si="32"/>
        <v>0</v>
      </c>
      <c r="M224" s="284"/>
      <c r="N224" s="285"/>
      <c r="O224" s="136">
        <f t="shared" si="33"/>
        <v>0</v>
      </c>
      <c r="P224" s="85"/>
      <c r="R224" s="53"/>
      <c r="S224" s="53"/>
      <c r="T224" s="53"/>
    </row>
    <row r="225" spans="1:20" hidden="1" x14ac:dyDescent="0.25">
      <c r="A225" s="76">
        <v>5237</v>
      </c>
      <c r="B225" s="127" t="s">
        <v>241</v>
      </c>
      <c r="C225" s="279">
        <f t="shared" si="26"/>
        <v>0</v>
      </c>
      <c r="D225" s="134"/>
      <c r="E225" s="285"/>
      <c r="F225" s="286">
        <f t="shared" si="30"/>
        <v>0</v>
      </c>
      <c r="G225" s="134"/>
      <c r="H225" s="135"/>
      <c r="I225" s="136">
        <f t="shared" si="31"/>
        <v>0</v>
      </c>
      <c r="J225" s="134"/>
      <c r="K225" s="135"/>
      <c r="L225" s="136">
        <f t="shared" si="32"/>
        <v>0</v>
      </c>
      <c r="M225" s="284"/>
      <c r="N225" s="285"/>
      <c r="O225" s="136">
        <f t="shared" si="33"/>
        <v>0</v>
      </c>
      <c r="P225" s="85"/>
      <c r="R225" s="53"/>
      <c r="S225" s="53"/>
      <c r="T225" s="53"/>
    </row>
    <row r="226" spans="1:20" ht="24" x14ac:dyDescent="0.25">
      <c r="A226" s="76">
        <v>5238</v>
      </c>
      <c r="B226" s="127" t="s">
        <v>242</v>
      </c>
      <c r="C226" s="279">
        <f t="shared" si="26"/>
        <v>5870</v>
      </c>
      <c r="D226" s="134">
        <v>5870</v>
      </c>
      <c r="E226" s="283"/>
      <c r="F226" s="279">
        <f t="shared" si="30"/>
        <v>5870</v>
      </c>
      <c r="G226" s="134"/>
      <c r="H226" s="135"/>
      <c r="I226" s="136">
        <f t="shared" si="31"/>
        <v>0</v>
      </c>
      <c r="J226" s="134"/>
      <c r="K226" s="135"/>
      <c r="L226" s="136">
        <f t="shared" si="32"/>
        <v>0</v>
      </c>
      <c r="M226" s="284"/>
      <c r="N226" s="285"/>
      <c r="O226" s="136">
        <f t="shared" si="33"/>
        <v>0</v>
      </c>
      <c r="P226" s="1013"/>
      <c r="R226" s="53"/>
      <c r="S226" s="53"/>
      <c r="T226" s="53"/>
    </row>
    <row r="227" spans="1:20" ht="24" x14ac:dyDescent="0.25">
      <c r="A227" s="76">
        <v>5239</v>
      </c>
      <c r="B227" s="127" t="s">
        <v>243</v>
      </c>
      <c r="C227" s="279">
        <f t="shared" si="26"/>
        <v>4000</v>
      </c>
      <c r="D227" s="134">
        <v>2600</v>
      </c>
      <c r="E227" s="283"/>
      <c r="F227" s="279">
        <f t="shared" si="30"/>
        <v>2600</v>
      </c>
      <c r="G227" s="134"/>
      <c r="H227" s="135"/>
      <c r="I227" s="136">
        <f t="shared" si="31"/>
        <v>0</v>
      </c>
      <c r="J227" s="134">
        <v>1400</v>
      </c>
      <c r="K227" s="135"/>
      <c r="L227" s="136">
        <f t="shared" si="32"/>
        <v>1400</v>
      </c>
      <c r="M227" s="284"/>
      <c r="N227" s="285"/>
      <c r="O227" s="136">
        <f t="shared" si="33"/>
        <v>0</v>
      </c>
      <c r="P227" s="85"/>
      <c r="R227" s="53"/>
      <c r="S227" s="53"/>
      <c r="T227" s="53"/>
    </row>
    <row r="228" spans="1:20" ht="24" hidden="1" x14ac:dyDescent="0.25">
      <c r="A228" s="276">
        <v>5240</v>
      </c>
      <c r="B228" s="127" t="s">
        <v>244</v>
      </c>
      <c r="C228" s="279">
        <f t="shared" si="26"/>
        <v>0</v>
      </c>
      <c r="D228" s="134"/>
      <c r="E228" s="285"/>
      <c r="F228" s="286">
        <f t="shared" si="30"/>
        <v>0</v>
      </c>
      <c r="G228" s="134"/>
      <c r="H228" s="135"/>
      <c r="I228" s="136">
        <f t="shared" si="31"/>
        <v>0</v>
      </c>
      <c r="J228" s="134"/>
      <c r="K228" s="135"/>
      <c r="L228" s="136">
        <f t="shared" si="32"/>
        <v>0</v>
      </c>
      <c r="M228" s="284"/>
      <c r="N228" s="285"/>
      <c r="O228" s="136">
        <f t="shared" si="33"/>
        <v>0</v>
      </c>
      <c r="P228" s="85"/>
      <c r="R228" s="53"/>
      <c r="S228" s="53"/>
      <c r="T228" s="53"/>
    </row>
    <row r="229" spans="1:20" hidden="1" x14ac:dyDescent="0.25">
      <c r="A229" s="276">
        <v>5250</v>
      </c>
      <c r="B229" s="127" t="s">
        <v>245</v>
      </c>
      <c r="C229" s="279">
        <f t="shared" si="26"/>
        <v>0</v>
      </c>
      <c r="D229" s="134"/>
      <c r="E229" s="285"/>
      <c r="F229" s="286">
        <f t="shared" si="30"/>
        <v>0</v>
      </c>
      <c r="G229" s="134"/>
      <c r="H229" s="135"/>
      <c r="I229" s="136">
        <f t="shared" si="31"/>
        <v>0</v>
      </c>
      <c r="J229" s="134"/>
      <c r="K229" s="135"/>
      <c r="L229" s="136">
        <f t="shared" si="32"/>
        <v>0</v>
      </c>
      <c r="M229" s="284"/>
      <c r="N229" s="285"/>
      <c r="O229" s="136">
        <f t="shared" si="33"/>
        <v>0</v>
      </c>
      <c r="P229" s="85"/>
      <c r="R229" s="53"/>
      <c r="S229" s="53"/>
      <c r="T229" s="53"/>
    </row>
    <row r="230" spans="1:20" x14ac:dyDescent="0.25">
      <c r="A230" s="276">
        <v>5260</v>
      </c>
      <c r="B230" s="127" t="s">
        <v>246</v>
      </c>
      <c r="C230" s="279">
        <f t="shared" si="26"/>
        <v>1500</v>
      </c>
      <c r="D230" s="277">
        <f>SUM(D231)</f>
        <v>1500</v>
      </c>
      <c r="E230" s="278">
        <f>SUM(E231)</f>
        <v>0</v>
      </c>
      <c r="F230" s="279">
        <f t="shared" si="30"/>
        <v>1500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c r="R230" s="53"/>
      <c r="S230" s="53"/>
      <c r="T230" s="53"/>
    </row>
    <row r="231" spans="1:20" ht="24" x14ac:dyDescent="0.25">
      <c r="A231" s="76">
        <v>5269</v>
      </c>
      <c r="B231" s="127" t="s">
        <v>247</v>
      </c>
      <c r="C231" s="279">
        <f t="shared" si="26"/>
        <v>1500</v>
      </c>
      <c r="D231" s="134">
        <v>1500</v>
      </c>
      <c r="E231" s="283"/>
      <c r="F231" s="279">
        <f t="shared" si="30"/>
        <v>1500</v>
      </c>
      <c r="G231" s="134"/>
      <c r="H231" s="135"/>
      <c r="I231" s="136">
        <f t="shared" si="31"/>
        <v>0</v>
      </c>
      <c r="J231" s="134"/>
      <c r="K231" s="135"/>
      <c r="L231" s="136">
        <f t="shared" si="32"/>
        <v>0</v>
      </c>
      <c r="M231" s="284"/>
      <c r="N231" s="285"/>
      <c r="O231" s="136">
        <f t="shared" si="33"/>
        <v>0</v>
      </c>
      <c r="P231" s="1013"/>
      <c r="R231" s="53"/>
      <c r="S231" s="53"/>
      <c r="T231" s="53"/>
    </row>
    <row r="232" spans="1:20" ht="24" hidden="1" x14ac:dyDescent="0.25">
      <c r="A232" s="254">
        <v>5270</v>
      </c>
      <c r="B232" s="179" t="s">
        <v>248</v>
      </c>
      <c r="C232" s="302">
        <f t="shared" si="26"/>
        <v>0</v>
      </c>
      <c r="D232" s="287"/>
      <c r="E232" s="291"/>
      <c r="F232" s="310">
        <f t="shared" si="30"/>
        <v>0</v>
      </c>
      <c r="G232" s="287"/>
      <c r="H232" s="289"/>
      <c r="I232" s="259">
        <f t="shared" si="31"/>
        <v>0</v>
      </c>
      <c r="J232" s="287"/>
      <c r="K232" s="289"/>
      <c r="L232" s="259">
        <f t="shared" si="32"/>
        <v>0</v>
      </c>
      <c r="M232" s="290"/>
      <c r="N232" s="291"/>
      <c r="O232" s="259">
        <f t="shared" si="33"/>
        <v>0</v>
      </c>
      <c r="P232" s="189"/>
      <c r="R232" s="53"/>
      <c r="S232" s="53"/>
      <c r="T232" s="53"/>
    </row>
    <row r="233" spans="1:20" hidden="1" x14ac:dyDescent="0.25">
      <c r="A233" s="237">
        <v>6000</v>
      </c>
      <c r="B233" s="237" t="s">
        <v>249</v>
      </c>
      <c r="C233" s="238">
        <f t="shared" si="26"/>
        <v>0</v>
      </c>
      <c r="D233" s="239">
        <f>D234+D254+D261</f>
        <v>0</v>
      </c>
      <c r="E233" s="245">
        <f>E234+E254+E261</f>
        <v>0</v>
      </c>
      <c r="F233" s="320">
        <f t="shared" si="30"/>
        <v>0</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c r="R233" s="53"/>
      <c r="S233" s="53"/>
      <c r="T233" s="53"/>
    </row>
    <row r="234" spans="1:20"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c r="R234" s="53"/>
      <c r="S234" s="53"/>
      <c r="T234" s="53"/>
    </row>
    <row r="235" spans="1:20" ht="24" hidden="1" x14ac:dyDescent="0.25">
      <c r="A235" s="656">
        <v>6220</v>
      </c>
      <c r="B235" s="116" t="s">
        <v>251</v>
      </c>
      <c r="C235" s="298">
        <f t="shared" si="26"/>
        <v>0</v>
      </c>
      <c r="D235" s="123"/>
      <c r="E235" s="262"/>
      <c r="F235" s="263">
        <f t="shared" si="30"/>
        <v>0</v>
      </c>
      <c r="G235" s="123"/>
      <c r="H235" s="124"/>
      <c r="I235" s="125">
        <f t="shared" si="31"/>
        <v>0</v>
      </c>
      <c r="J235" s="123"/>
      <c r="K235" s="124"/>
      <c r="L235" s="125">
        <f t="shared" si="32"/>
        <v>0</v>
      </c>
      <c r="M235" s="264"/>
      <c r="N235" s="262"/>
      <c r="O235" s="125">
        <f t="shared" si="33"/>
        <v>0</v>
      </c>
      <c r="P235" s="74"/>
      <c r="R235" s="53"/>
      <c r="S235" s="53"/>
      <c r="T235" s="53"/>
    </row>
    <row r="236" spans="1:20" hidden="1" x14ac:dyDescent="0.25">
      <c r="A236" s="276">
        <v>6230</v>
      </c>
      <c r="B236" s="127" t="s">
        <v>252</v>
      </c>
      <c r="C236" s="278">
        <f t="shared" si="26"/>
        <v>0</v>
      </c>
      <c r="D236" s="277">
        <f>SUM(D237)</f>
        <v>0</v>
      </c>
      <c r="E236" s="280">
        <f>SUM(E237)</f>
        <v>0</v>
      </c>
      <c r="F236" s="28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c r="R236" s="53"/>
      <c r="S236" s="53"/>
      <c r="T236" s="53"/>
    </row>
    <row r="237" spans="1:20" ht="24" hidden="1" x14ac:dyDescent="0.25">
      <c r="A237" s="76">
        <v>6239</v>
      </c>
      <c r="B237" s="116" t="s">
        <v>253</v>
      </c>
      <c r="C237" s="278">
        <f t="shared" si="26"/>
        <v>0</v>
      </c>
      <c r="D237" s="134"/>
      <c r="E237" s="285"/>
      <c r="F237" s="286">
        <f t="shared" si="30"/>
        <v>0</v>
      </c>
      <c r="G237" s="134"/>
      <c r="H237" s="135"/>
      <c r="I237" s="136">
        <f t="shared" si="31"/>
        <v>0</v>
      </c>
      <c r="J237" s="134"/>
      <c r="K237" s="135"/>
      <c r="L237" s="136">
        <f t="shared" si="32"/>
        <v>0</v>
      </c>
      <c r="M237" s="284"/>
      <c r="N237" s="285"/>
      <c r="O237" s="136">
        <f t="shared" si="33"/>
        <v>0</v>
      </c>
      <c r="P237" s="85"/>
      <c r="R237" s="53"/>
      <c r="S237" s="53"/>
      <c r="T237" s="53"/>
    </row>
    <row r="238" spans="1:20" ht="24" hidden="1" x14ac:dyDescent="0.25">
      <c r="A238" s="276">
        <v>6240</v>
      </c>
      <c r="B238" s="127" t="s">
        <v>254</v>
      </c>
      <c r="C238" s="278">
        <f t="shared" si="26"/>
        <v>0</v>
      </c>
      <c r="D238" s="277">
        <f>SUM(D239:D240)</f>
        <v>0</v>
      </c>
      <c r="E238" s="282">
        <f>SUM(E239:E240)</f>
        <v>0</v>
      </c>
      <c r="F238" s="28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c r="R238" s="53"/>
      <c r="S238" s="53"/>
      <c r="T238" s="53"/>
    </row>
    <row r="239" spans="1:20" hidden="1" x14ac:dyDescent="0.25">
      <c r="A239" s="76">
        <v>6241</v>
      </c>
      <c r="B239" s="127" t="s">
        <v>255</v>
      </c>
      <c r="C239" s="278">
        <f t="shared" si="26"/>
        <v>0</v>
      </c>
      <c r="D239" s="134"/>
      <c r="E239" s="285"/>
      <c r="F239" s="286">
        <f t="shared" si="30"/>
        <v>0</v>
      </c>
      <c r="G239" s="134"/>
      <c r="H239" s="135"/>
      <c r="I239" s="136">
        <f t="shared" si="31"/>
        <v>0</v>
      </c>
      <c r="J239" s="134"/>
      <c r="K239" s="135"/>
      <c r="L239" s="136">
        <f t="shared" si="32"/>
        <v>0</v>
      </c>
      <c r="M239" s="284"/>
      <c r="N239" s="285"/>
      <c r="O239" s="136">
        <f t="shared" si="33"/>
        <v>0</v>
      </c>
      <c r="P239" s="85"/>
      <c r="R239" s="53"/>
      <c r="S239" s="53"/>
      <c r="T239" s="53"/>
    </row>
    <row r="240" spans="1:20" hidden="1" x14ac:dyDescent="0.25">
      <c r="A240" s="76">
        <v>6242</v>
      </c>
      <c r="B240" s="127" t="s">
        <v>256</v>
      </c>
      <c r="C240" s="278">
        <f t="shared" si="26"/>
        <v>0</v>
      </c>
      <c r="D240" s="134"/>
      <c r="E240" s="285"/>
      <c r="F240" s="286">
        <f t="shared" si="30"/>
        <v>0</v>
      </c>
      <c r="G240" s="134"/>
      <c r="H240" s="135"/>
      <c r="I240" s="136">
        <f t="shared" si="31"/>
        <v>0</v>
      </c>
      <c r="J240" s="134"/>
      <c r="K240" s="135"/>
      <c r="L240" s="136">
        <f t="shared" si="32"/>
        <v>0</v>
      </c>
      <c r="M240" s="284"/>
      <c r="N240" s="285"/>
      <c r="O240" s="136">
        <f t="shared" si="33"/>
        <v>0</v>
      </c>
      <c r="P240" s="85"/>
      <c r="R240" s="53"/>
      <c r="S240" s="53"/>
      <c r="T240" s="53"/>
    </row>
    <row r="241" spans="1:20" ht="24" hidden="1" x14ac:dyDescent="0.25">
      <c r="A241" s="276">
        <v>6250</v>
      </c>
      <c r="B241" s="127" t="s">
        <v>257</v>
      </c>
      <c r="C241" s="278">
        <f t="shared" si="26"/>
        <v>0</v>
      </c>
      <c r="D241" s="277">
        <f>SUM(D242:D246)</f>
        <v>0</v>
      </c>
      <c r="E241" s="282">
        <f>SUM(E242:E246)</f>
        <v>0</v>
      </c>
      <c r="F241" s="28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c r="R241" s="53"/>
      <c r="S241" s="53"/>
      <c r="T241" s="53"/>
    </row>
    <row r="242" spans="1:20" hidden="1" x14ac:dyDescent="0.25">
      <c r="A242" s="76">
        <v>6252</v>
      </c>
      <c r="B242" s="127" t="s">
        <v>258</v>
      </c>
      <c r="C242" s="278">
        <f t="shared" si="26"/>
        <v>0</v>
      </c>
      <c r="D242" s="134"/>
      <c r="E242" s="285"/>
      <c r="F242" s="286">
        <f t="shared" si="30"/>
        <v>0</v>
      </c>
      <c r="G242" s="134"/>
      <c r="H242" s="135"/>
      <c r="I242" s="136">
        <f t="shared" si="31"/>
        <v>0</v>
      </c>
      <c r="J242" s="134"/>
      <c r="K242" s="135"/>
      <c r="L242" s="136">
        <f t="shared" si="32"/>
        <v>0</v>
      </c>
      <c r="M242" s="284"/>
      <c r="N242" s="285"/>
      <c r="O242" s="136">
        <f t="shared" si="33"/>
        <v>0</v>
      </c>
      <c r="P242" s="85"/>
      <c r="R242" s="53"/>
      <c r="S242" s="53"/>
      <c r="T242" s="53"/>
    </row>
    <row r="243" spans="1:20" hidden="1" x14ac:dyDescent="0.25">
      <c r="A243" s="76">
        <v>6253</v>
      </c>
      <c r="B243" s="127" t="s">
        <v>259</v>
      </c>
      <c r="C243" s="278">
        <f t="shared" si="26"/>
        <v>0</v>
      </c>
      <c r="D243" s="134"/>
      <c r="E243" s="285"/>
      <c r="F243" s="286">
        <f t="shared" si="30"/>
        <v>0</v>
      </c>
      <c r="G243" s="134"/>
      <c r="H243" s="135"/>
      <c r="I243" s="136">
        <f t="shared" si="31"/>
        <v>0</v>
      </c>
      <c r="J243" s="134"/>
      <c r="K243" s="135"/>
      <c r="L243" s="136">
        <f t="shared" si="32"/>
        <v>0</v>
      </c>
      <c r="M243" s="284"/>
      <c r="N243" s="285"/>
      <c r="O243" s="136">
        <f t="shared" si="33"/>
        <v>0</v>
      </c>
      <c r="P243" s="85"/>
      <c r="R243" s="53"/>
      <c r="S243" s="53"/>
      <c r="T243" s="53"/>
    </row>
    <row r="244" spans="1:20" ht="24" hidden="1" x14ac:dyDescent="0.25">
      <c r="A244" s="76">
        <v>6254</v>
      </c>
      <c r="B244" s="127" t="s">
        <v>260</v>
      </c>
      <c r="C244" s="278">
        <f t="shared" si="26"/>
        <v>0</v>
      </c>
      <c r="D244" s="134"/>
      <c r="E244" s="285"/>
      <c r="F244" s="286">
        <f t="shared" si="30"/>
        <v>0</v>
      </c>
      <c r="G244" s="134"/>
      <c r="H244" s="135"/>
      <c r="I244" s="136">
        <f t="shared" si="31"/>
        <v>0</v>
      </c>
      <c r="J244" s="134"/>
      <c r="K244" s="135"/>
      <c r="L244" s="136">
        <f t="shared" si="32"/>
        <v>0</v>
      </c>
      <c r="M244" s="284"/>
      <c r="N244" s="285"/>
      <c r="O244" s="136">
        <f t="shared" si="33"/>
        <v>0</v>
      </c>
      <c r="P244" s="85"/>
      <c r="R244" s="53"/>
      <c r="S244" s="53"/>
      <c r="T244" s="53"/>
    </row>
    <row r="245" spans="1:20" ht="24" hidden="1" x14ac:dyDescent="0.25">
      <c r="A245" s="76">
        <v>6255</v>
      </c>
      <c r="B245" s="127" t="s">
        <v>261</v>
      </c>
      <c r="C245" s="278">
        <f t="shared" si="26"/>
        <v>0</v>
      </c>
      <c r="D245" s="134"/>
      <c r="E245" s="285"/>
      <c r="F245" s="286">
        <f t="shared" si="30"/>
        <v>0</v>
      </c>
      <c r="G245" s="134"/>
      <c r="H245" s="135"/>
      <c r="I245" s="136">
        <f t="shared" si="31"/>
        <v>0</v>
      </c>
      <c r="J245" s="134"/>
      <c r="K245" s="135"/>
      <c r="L245" s="136">
        <f t="shared" si="32"/>
        <v>0</v>
      </c>
      <c r="M245" s="284"/>
      <c r="N245" s="285"/>
      <c r="O245" s="136">
        <f t="shared" si="33"/>
        <v>0</v>
      </c>
      <c r="P245" s="85"/>
      <c r="R245" s="53"/>
      <c r="S245" s="53"/>
      <c r="T245" s="53"/>
    </row>
    <row r="246" spans="1:20" hidden="1" x14ac:dyDescent="0.25">
      <c r="A246" s="76">
        <v>6259</v>
      </c>
      <c r="B246" s="127" t="s">
        <v>262</v>
      </c>
      <c r="C246" s="278">
        <f t="shared" si="26"/>
        <v>0</v>
      </c>
      <c r="D246" s="134"/>
      <c r="E246" s="285"/>
      <c r="F246" s="286">
        <f t="shared" si="30"/>
        <v>0</v>
      </c>
      <c r="G246" s="134"/>
      <c r="H246" s="135"/>
      <c r="I246" s="136">
        <f t="shared" si="31"/>
        <v>0</v>
      </c>
      <c r="J246" s="134"/>
      <c r="K246" s="135"/>
      <c r="L246" s="136">
        <f t="shared" si="32"/>
        <v>0</v>
      </c>
      <c r="M246" s="284"/>
      <c r="N246" s="285"/>
      <c r="O246" s="136">
        <f t="shared" si="33"/>
        <v>0</v>
      </c>
      <c r="P246" s="85"/>
      <c r="R246" s="53"/>
      <c r="S246" s="53"/>
      <c r="T246" s="53"/>
    </row>
    <row r="247" spans="1:20" ht="24" hidden="1" x14ac:dyDescent="0.25">
      <c r="A247" s="276">
        <v>6260</v>
      </c>
      <c r="B247" s="127" t="s">
        <v>263</v>
      </c>
      <c r="C247" s="278">
        <f t="shared" si="26"/>
        <v>0</v>
      </c>
      <c r="D247" s="134"/>
      <c r="E247" s="285"/>
      <c r="F247" s="286">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c r="R247" s="53"/>
      <c r="S247" s="53"/>
      <c r="T247" s="53"/>
    </row>
    <row r="248" spans="1:20" hidden="1" x14ac:dyDescent="0.25">
      <c r="A248" s="276">
        <v>6270</v>
      </c>
      <c r="B248" s="127" t="s">
        <v>264</v>
      </c>
      <c r="C248" s="278">
        <f t="shared" si="26"/>
        <v>0</v>
      </c>
      <c r="D248" s="134"/>
      <c r="E248" s="285"/>
      <c r="F248" s="286">
        <f t="shared" si="37"/>
        <v>0</v>
      </c>
      <c r="G248" s="134"/>
      <c r="H248" s="135"/>
      <c r="I248" s="136">
        <f t="shared" si="38"/>
        <v>0</v>
      </c>
      <c r="J248" s="134"/>
      <c r="K248" s="135"/>
      <c r="L248" s="136">
        <f t="shared" si="39"/>
        <v>0</v>
      </c>
      <c r="M248" s="284"/>
      <c r="N248" s="285"/>
      <c r="O248" s="136">
        <f t="shared" si="40"/>
        <v>0</v>
      </c>
      <c r="P248" s="85"/>
      <c r="R248" s="53"/>
      <c r="S248" s="53"/>
      <c r="T248" s="53"/>
    </row>
    <row r="249" spans="1:20" ht="24" hidden="1" x14ac:dyDescent="0.25">
      <c r="A249" s="656">
        <v>6290</v>
      </c>
      <c r="B249" s="116" t="s">
        <v>265</v>
      </c>
      <c r="C249" s="278">
        <f t="shared" si="26"/>
        <v>0</v>
      </c>
      <c r="D249" s="297">
        <f>SUM(D250:D253)</f>
        <v>0</v>
      </c>
      <c r="E249" s="301">
        <f>SUM(E250:E253)</f>
        <v>0</v>
      </c>
      <c r="F249" s="263">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c r="R249" s="53"/>
      <c r="S249" s="53"/>
      <c r="T249" s="53"/>
    </row>
    <row r="250" spans="1:20" hidden="1" x14ac:dyDescent="0.25">
      <c r="A250" s="76">
        <v>6291</v>
      </c>
      <c r="B250" s="127" t="s">
        <v>266</v>
      </c>
      <c r="C250" s="278">
        <f t="shared" si="26"/>
        <v>0</v>
      </c>
      <c r="D250" s="134"/>
      <c r="E250" s="285"/>
      <c r="F250" s="286">
        <f t="shared" si="37"/>
        <v>0</v>
      </c>
      <c r="G250" s="134"/>
      <c r="H250" s="135"/>
      <c r="I250" s="136">
        <f t="shared" si="38"/>
        <v>0</v>
      </c>
      <c r="J250" s="134"/>
      <c r="K250" s="135"/>
      <c r="L250" s="136">
        <f t="shared" si="39"/>
        <v>0</v>
      </c>
      <c r="M250" s="284"/>
      <c r="N250" s="285"/>
      <c r="O250" s="136">
        <f t="shared" si="40"/>
        <v>0</v>
      </c>
      <c r="P250" s="85"/>
      <c r="R250" s="53"/>
      <c r="S250" s="53"/>
      <c r="T250" s="53"/>
    </row>
    <row r="251" spans="1:20" hidden="1" x14ac:dyDescent="0.25">
      <c r="A251" s="76">
        <v>6292</v>
      </c>
      <c r="B251" s="127" t="s">
        <v>267</v>
      </c>
      <c r="C251" s="278">
        <f t="shared" si="26"/>
        <v>0</v>
      </c>
      <c r="D251" s="134"/>
      <c r="E251" s="285"/>
      <c r="F251" s="286">
        <f t="shared" si="37"/>
        <v>0</v>
      </c>
      <c r="G251" s="134"/>
      <c r="H251" s="135"/>
      <c r="I251" s="136">
        <f t="shared" si="38"/>
        <v>0</v>
      </c>
      <c r="J251" s="134"/>
      <c r="K251" s="135"/>
      <c r="L251" s="136">
        <f t="shared" si="39"/>
        <v>0</v>
      </c>
      <c r="M251" s="284"/>
      <c r="N251" s="285"/>
      <c r="O251" s="136">
        <f t="shared" si="40"/>
        <v>0</v>
      </c>
      <c r="P251" s="85"/>
      <c r="R251" s="53"/>
      <c r="S251" s="53"/>
      <c r="T251" s="53"/>
    </row>
    <row r="252" spans="1:20" ht="72" hidden="1" x14ac:dyDescent="0.25">
      <c r="A252" s="76">
        <v>6296</v>
      </c>
      <c r="B252" s="127" t="s">
        <v>268</v>
      </c>
      <c r="C252" s="278">
        <f t="shared" si="26"/>
        <v>0</v>
      </c>
      <c r="D252" s="134"/>
      <c r="E252" s="285"/>
      <c r="F252" s="286">
        <f t="shared" si="37"/>
        <v>0</v>
      </c>
      <c r="G252" s="134"/>
      <c r="H252" s="135"/>
      <c r="I252" s="136">
        <f t="shared" si="38"/>
        <v>0</v>
      </c>
      <c r="J252" s="134"/>
      <c r="K252" s="135"/>
      <c r="L252" s="136">
        <f t="shared" si="39"/>
        <v>0</v>
      </c>
      <c r="M252" s="284"/>
      <c r="N252" s="285"/>
      <c r="O252" s="136">
        <f t="shared" si="40"/>
        <v>0</v>
      </c>
      <c r="P252" s="85"/>
      <c r="R252" s="53"/>
      <c r="S252" s="53"/>
      <c r="T252" s="53"/>
    </row>
    <row r="253" spans="1:20" ht="36" hidden="1" x14ac:dyDescent="0.25">
      <c r="A253" s="76">
        <v>6299</v>
      </c>
      <c r="B253" s="127" t="s">
        <v>269</v>
      </c>
      <c r="C253" s="278">
        <f t="shared" si="26"/>
        <v>0</v>
      </c>
      <c r="D253" s="134"/>
      <c r="E253" s="285"/>
      <c r="F253" s="286">
        <f t="shared" si="37"/>
        <v>0</v>
      </c>
      <c r="G253" s="134"/>
      <c r="H253" s="135"/>
      <c r="I253" s="136">
        <f t="shared" si="38"/>
        <v>0</v>
      </c>
      <c r="J253" s="134"/>
      <c r="K253" s="135"/>
      <c r="L253" s="136">
        <f t="shared" si="39"/>
        <v>0</v>
      </c>
      <c r="M253" s="284"/>
      <c r="N253" s="285"/>
      <c r="O253" s="136">
        <f t="shared" si="40"/>
        <v>0</v>
      </c>
      <c r="P253" s="85"/>
      <c r="R253" s="53"/>
      <c r="S253" s="53"/>
      <c r="T253" s="53"/>
    </row>
    <row r="254" spans="1:20" hidden="1" x14ac:dyDescent="0.25">
      <c r="A254" s="99">
        <v>6300</v>
      </c>
      <c r="B254" s="247" t="s">
        <v>270</v>
      </c>
      <c r="C254" s="100">
        <f t="shared" si="26"/>
        <v>0</v>
      </c>
      <c r="D254" s="112">
        <f>SUM(D255,D259,D260)</f>
        <v>0</v>
      </c>
      <c r="E254" s="293">
        <f>SUM(E255,E259,E260)</f>
        <v>0</v>
      </c>
      <c r="F254" s="313">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c r="R254" s="53"/>
      <c r="S254" s="53"/>
      <c r="T254" s="53"/>
    </row>
    <row r="255" spans="1:20" ht="24" hidden="1" x14ac:dyDescent="0.25">
      <c r="A255" s="656">
        <v>6320</v>
      </c>
      <c r="B255" s="116" t="s">
        <v>271</v>
      </c>
      <c r="C255" s="322">
        <f t="shared" si="26"/>
        <v>0</v>
      </c>
      <c r="D255" s="297">
        <f>SUM(D256:D258)</f>
        <v>0</v>
      </c>
      <c r="E255" s="301">
        <f>SUM(E256:E258)</f>
        <v>0</v>
      </c>
      <c r="F255" s="263">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c r="R255" s="53"/>
      <c r="S255" s="53"/>
      <c r="T255" s="53"/>
    </row>
    <row r="256" spans="1:20" hidden="1" x14ac:dyDescent="0.25">
      <c r="A256" s="76">
        <v>6322</v>
      </c>
      <c r="B256" s="127" t="s">
        <v>272</v>
      </c>
      <c r="C256" s="281">
        <f t="shared" si="26"/>
        <v>0</v>
      </c>
      <c r="D256" s="134"/>
      <c r="E256" s="285"/>
      <c r="F256" s="286">
        <f t="shared" si="37"/>
        <v>0</v>
      </c>
      <c r="G256" s="134"/>
      <c r="H256" s="135"/>
      <c r="I256" s="136">
        <f t="shared" si="38"/>
        <v>0</v>
      </c>
      <c r="J256" s="134"/>
      <c r="K256" s="135"/>
      <c r="L256" s="136">
        <f t="shared" si="39"/>
        <v>0</v>
      </c>
      <c r="M256" s="284"/>
      <c r="N256" s="285"/>
      <c r="O256" s="136">
        <f t="shared" si="40"/>
        <v>0</v>
      </c>
      <c r="P256" s="85"/>
      <c r="R256" s="53"/>
      <c r="S256" s="53"/>
      <c r="T256" s="53"/>
    </row>
    <row r="257" spans="1:20" ht="24" hidden="1" x14ac:dyDescent="0.25">
      <c r="A257" s="76">
        <v>6323</v>
      </c>
      <c r="B257" s="127" t="s">
        <v>273</v>
      </c>
      <c r="C257" s="281">
        <f t="shared" si="26"/>
        <v>0</v>
      </c>
      <c r="D257" s="134"/>
      <c r="E257" s="285"/>
      <c r="F257" s="286">
        <f t="shared" si="37"/>
        <v>0</v>
      </c>
      <c r="G257" s="134"/>
      <c r="H257" s="135"/>
      <c r="I257" s="136">
        <f t="shared" si="38"/>
        <v>0</v>
      </c>
      <c r="J257" s="134"/>
      <c r="K257" s="135"/>
      <c r="L257" s="136">
        <f t="shared" si="39"/>
        <v>0</v>
      </c>
      <c r="M257" s="284"/>
      <c r="N257" s="285"/>
      <c r="O257" s="136">
        <f t="shared" si="40"/>
        <v>0</v>
      </c>
      <c r="P257" s="85"/>
      <c r="R257" s="53"/>
      <c r="S257" s="53"/>
      <c r="T257" s="53"/>
    </row>
    <row r="258" spans="1:20" ht="24" hidden="1" x14ac:dyDescent="0.25">
      <c r="A258" s="66">
        <v>6324</v>
      </c>
      <c r="B258" s="116" t="s">
        <v>274</v>
      </c>
      <c r="C258" s="281">
        <f t="shared" si="26"/>
        <v>0</v>
      </c>
      <c r="D258" s="123"/>
      <c r="E258" s="262"/>
      <c r="F258" s="263">
        <f t="shared" si="37"/>
        <v>0</v>
      </c>
      <c r="G258" s="123"/>
      <c r="H258" s="124"/>
      <c r="I258" s="125">
        <f t="shared" si="38"/>
        <v>0</v>
      </c>
      <c r="J258" s="123"/>
      <c r="K258" s="124"/>
      <c r="L258" s="125">
        <f t="shared" si="39"/>
        <v>0</v>
      </c>
      <c r="M258" s="264"/>
      <c r="N258" s="262"/>
      <c r="O258" s="125">
        <f t="shared" si="40"/>
        <v>0</v>
      </c>
      <c r="P258" s="74"/>
      <c r="R258" s="53"/>
      <c r="S258" s="53"/>
      <c r="T258" s="53"/>
    </row>
    <row r="259" spans="1:20" ht="24" hidden="1" x14ac:dyDescent="0.25">
      <c r="A259" s="344">
        <v>6330</v>
      </c>
      <c r="B259" s="345" t="s">
        <v>275</v>
      </c>
      <c r="C259" s="281">
        <f t="shared" ref="C259:C286" si="50">F259+I259+L259+O259</f>
        <v>0</v>
      </c>
      <c r="D259" s="328"/>
      <c r="E259" s="329"/>
      <c r="F259" s="330">
        <f t="shared" si="37"/>
        <v>0</v>
      </c>
      <c r="G259" s="328"/>
      <c r="H259" s="331"/>
      <c r="I259" s="324">
        <f t="shared" si="38"/>
        <v>0</v>
      </c>
      <c r="J259" s="328"/>
      <c r="K259" s="331"/>
      <c r="L259" s="324">
        <f t="shared" si="39"/>
        <v>0</v>
      </c>
      <c r="M259" s="332"/>
      <c r="N259" s="329"/>
      <c r="O259" s="324">
        <f t="shared" si="40"/>
        <v>0</v>
      </c>
      <c r="P259" s="325"/>
      <c r="R259" s="53"/>
      <c r="S259" s="53"/>
      <c r="T259" s="53"/>
    </row>
    <row r="260" spans="1:20" hidden="1" x14ac:dyDescent="0.25">
      <c r="A260" s="276">
        <v>6360</v>
      </c>
      <c r="B260" s="127" t="s">
        <v>276</v>
      </c>
      <c r="C260" s="281">
        <f t="shared" si="50"/>
        <v>0</v>
      </c>
      <c r="D260" s="134"/>
      <c r="E260" s="285"/>
      <c r="F260" s="286">
        <f t="shared" si="37"/>
        <v>0</v>
      </c>
      <c r="G260" s="134"/>
      <c r="H260" s="135"/>
      <c r="I260" s="136">
        <f t="shared" si="38"/>
        <v>0</v>
      </c>
      <c r="J260" s="134"/>
      <c r="K260" s="135"/>
      <c r="L260" s="136">
        <f t="shared" si="39"/>
        <v>0</v>
      </c>
      <c r="M260" s="284"/>
      <c r="N260" s="285"/>
      <c r="O260" s="136">
        <f t="shared" si="40"/>
        <v>0</v>
      </c>
      <c r="P260" s="85"/>
      <c r="R260" s="53"/>
      <c r="S260" s="53"/>
      <c r="T260" s="53"/>
    </row>
    <row r="261" spans="1:20" ht="36" hidden="1" x14ac:dyDescent="0.25">
      <c r="A261" s="99">
        <v>6400</v>
      </c>
      <c r="B261" s="247" t="s">
        <v>277</v>
      </c>
      <c r="C261" s="100">
        <f t="shared" si="50"/>
        <v>0</v>
      </c>
      <c r="D261" s="112">
        <f>SUM(D262,D266)</f>
        <v>0</v>
      </c>
      <c r="E261" s="293">
        <f>SUM(E262,E266)</f>
        <v>0</v>
      </c>
      <c r="F261" s="313">
        <f t="shared" si="37"/>
        <v>0</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c r="R261" s="53"/>
      <c r="S261" s="53"/>
      <c r="T261" s="53"/>
    </row>
    <row r="262" spans="1:20" ht="24" hidden="1" x14ac:dyDescent="0.25">
      <c r="A262" s="656">
        <v>6410</v>
      </c>
      <c r="B262" s="116" t="s">
        <v>278</v>
      </c>
      <c r="C262" s="300">
        <f t="shared" si="50"/>
        <v>0</v>
      </c>
      <c r="D262" s="297">
        <f>SUM(D263:D265)</f>
        <v>0</v>
      </c>
      <c r="E262" s="301">
        <f>SUM(E263:E265)</f>
        <v>0</v>
      </c>
      <c r="F262" s="263">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c r="R262" s="53"/>
      <c r="S262" s="53"/>
      <c r="T262" s="53"/>
    </row>
    <row r="263" spans="1:20" hidden="1" x14ac:dyDescent="0.25">
      <c r="A263" s="76">
        <v>6411</v>
      </c>
      <c r="B263" s="346" t="s">
        <v>279</v>
      </c>
      <c r="C263" s="278">
        <f t="shared" si="50"/>
        <v>0</v>
      </c>
      <c r="D263" s="134"/>
      <c r="E263" s="285"/>
      <c r="F263" s="286">
        <f t="shared" si="37"/>
        <v>0</v>
      </c>
      <c r="G263" s="134"/>
      <c r="H263" s="135"/>
      <c r="I263" s="136">
        <f t="shared" si="38"/>
        <v>0</v>
      </c>
      <c r="J263" s="134"/>
      <c r="K263" s="135"/>
      <c r="L263" s="136">
        <f t="shared" si="39"/>
        <v>0</v>
      </c>
      <c r="M263" s="284"/>
      <c r="N263" s="285"/>
      <c r="O263" s="136">
        <f t="shared" si="40"/>
        <v>0</v>
      </c>
      <c r="P263" s="85"/>
      <c r="R263" s="53"/>
      <c r="S263" s="53"/>
      <c r="T263" s="53"/>
    </row>
    <row r="264" spans="1:20" ht="36" hidden="1" x14ac:dyDescent="0.25">
      <c r="A264" s="76">
        <v>6412</v>
      </c>
      <c r="B264" s="127" t="s">
        <v>280</v>
      </c>
      <c r="C264" s="278">
        <f t="shared" si="50"/>
        <v>0</v>
      </c>
      <c r="D264" s="134"/>
      <c r="E264" s="285"/>
      <c r="F264" s="286">
        <f t="shared" si="37"/>
        <v>0</v>
      </c>
      <c r="G264" s="134"/>
      <c r="H264" s="135"/>
      <c r="I264" s="136">
        <f t="shared" si="38"/>
        <v>0</v>
      </c>
      <c r="J264" s="134"/>
      <c r="K264" s="135"/>
      <c r="L264" s="136">
        <f t="shared" si="39"/>
        <v>0</v>
      </c>
      <c r="M264" s="284"/>
      <c r="N264" s="285"/>
      <c r="O264" s="136">
        <f t="shared" si="40"/>
        <v>0</v>
      </c>
      <c r="P264" s="85"/>
      <c r="R264" s="53"/>
      <c r="S264" s="53"/>
      <c r="T264" s="53"/>
    </row>
    <row r="265" spans="1:20" ht="36" hidden="1" x14ac:dyDescent="0.25">
      <c r="A265" s="76">
        <v>6419</v>
      </c>
      <c r="B265" s="127" t="s">
        <v>281</v>
      </c>
      <c r="C265" s="278">
        <f t="shared" si="50"/>
        <v>0</v>
      </c>
      <c r="D265" s="134"/>
      <c r="E265" s="285"/>
      <c r="F265" s="286">
        <f t="shared" si="37"/>
        <v>0</v>
      </c>
      <c r="G265" s="134"/>
      <c r="H265" s="135"/>
      <c r="I265" s="136">
        <f t="shared" si="38"/>
        <v>0</v>
      </c>
      <c r="J265" s="134"/>
      <c r="K265" s="135"/>
      <c r="L265" s="136">
        <f t="shared" si="39"/>
        <v>0</v>
      </c>
      <c r="M265" s="284"/>
      <c r="N265" s="285"/>
      <c r="O265" s="136">
        <f t="shared" si="40"/>
        <v>0</v>
      </c>
      <c r="P265" s="85"/>
      <c r="R265" s="53"/>
      <c r="S265" s="53"/>
      <c r="T265" s="53"/>
    </row>
    <row r="266" spans="1:20" ht="36" hidden="1" x14ac:dyDescent="0.25">
      <c r="A266" s="276">
        <v>6420</v>
      </c>
      <c r="B266" s="127" t="s">
        <v>282</v>
      </c>
      <c r="C266" s="278">
        <f t="shared" si="50"/>
        <v>0</v>
      </c>
      <c r="D266" s="277">
        <f>SUM(D267:D270)</f>
        <v>0</v>
      </c>
      <c r="E266" s="282">
        <f>SUM(E267:E270)</f>
        <v>0</v>
      </c>
      <c r="F266" s="286">
        <f t="shared" si="37"/>
        <v>0</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c r="R266" s="53"/>
      <c r="S266" s="53"/>
      <c r="T266" s="53"/>
    </row>
    <row r="267" spans="1:20" hidden="1" x14ac:dyDescent="0.25">
      <c r="A267" s="76">
        <v>6421</v>
      </c>
      <c r="B267" s="127" t="s">
        <v>283</v>
      </c>
      <c r="C267" s="278">
        <f t="shared" si="50"/>
        <v>0</v>
      </c>
      <c r="D267" s="134"/>
      <c r="E267" s="285"/>
      <c r="F267" s="286">
        <f t="shared" si="37"/>
        <v>0</v>
      </c>
      <c r="G267" s="134"/>
      <c r="H267" s="135"/>
      <c r="I267" s="136">
        <f t="shared" si="38"/>
        <v>0</v>
      </c>
      <c r="J267" s="134"/>
      <c r="K267" s="135"/>
      <c r="L267" s="136">
        <f t="shared" si="39"/>
        <v>0</v>
      </c>
      <c r="M267" s="284"/>
      <c r="N267" s="285"/>
      <c r="O267" s="136">
        <f t="shared" si="40"/>
        <v>0</v>
      </c>
      <c r="P267" s="85"/>
      <c r="R267" s="53"/>
      <c r="S267" s="53"/>
      <c r="T267" s="53"/>
    </row>
    <row r="268" spans="1:20" hidden="1" x14ac:dyDescent="0.25">
      <c r="A268" s="76">
        <v>6422</v>
      </c>
      <c r="B268" s="127" t="s">
        <v>284</v>
      </c>
      <c r="C268" s="278">
        <f t="shared" si="50"/>
        <v>0</v>
      </c>
      <c r="D268" s="134"/>
      <c r="E268" s="285"/>
      <c r="F268" s="286">
        <f t="shared" si="37"/>
        <v>0</v>
      </c>
      <c r="G268" s="134"/>
      <c r="H268" s="135"/>
      <c r="I268" s="136">
        <f t="shared" si="38"/>
        <v>0</v>
      </c>
      <c r="J268" s="134"/>
      <c r="K268" s="135"/>
      <c r="L268" s="136">
        <f t="shared" si="39"/>
        <v>0</v>
      </c>
      <c r="M268" s="284"/>
      <c r="N268" s="285"/>
      <c r="O268" s="136">
        <f t="shared" si="40"/>
        <v>0</v>
      </c>
      <c r="P268" s="85"/>
      <c r="R268" s="53"/>
      <c r="S268" s="53"/>
      <c r="T268" s="53"/>
    </row>
    <row r="269" spans="1:20" ht="24" hidden="1" x14ac:dyDescent="0.25">
      <c r="A269" s="76">
        <v>6423</v>
      </c>
      <c r="B269" s="127" t="s">
        <v>285</v>
      </c>
      <c r="C269" s="278">
        <f t="shared" si="50"/>
        <v>0</v>
      </c>
      <c r="D269" s="134"/>
      <c r="E269" s="285"/>
      <c r="F269" s="286">
        <f t="shared" si="37"/>
        <v>0</v>
      </c>
      <c r="G269" s="134"/>
      <c r="H269" s="135"/>
      <c r="I269" s="136">
        <f t="shared" si="38"/>
        <v>0</v>
      </c>
      <c r="J269" s="134"/>
      <c r="K269" s="135"/>
      <c r="L269" s="136">
        <f t="shared" si="39"/>
        <v>0</v>
      </c>
      <c r="M269" s="284"/>
      <c r="N269" s="285"/>
      <c r="O269" s="136">
        <f t="shared" si="40"/>
        <v>0</v>
      </c>
      <c r="P269" s="85"/>
      <c r="R269" s="53"/>
      <c r="S269" s="53"/>
      <c r="T269" s="53"/>
    </row>
    <row r="270" spans="1:20" ht="36" hidden="1" x14ac:dyDescent="0.25">
      <c r="A270" s="76">
        <v>6424</v>
      </c>
      <c r="B270" s="127" t="s">
        <v>286</v>
      </c>
      <c r="C270" s="278">
        <f t="shared" si="50"/>
        <v>0</v>
      </c>
      <c r="D270" s="134"/>
      <c r="E270" s="285"/>
      <c r="F270" s="286">
        <f t="shared" si="37"/>
        <v>0</v>
      </c>
      <c r="G270" s="134"/>
      <c r="H270" s="135"/>
      <c r="I270" s="136">
        <f t="shared" si="38"/>
        <v>0</v>
      </c>
      <c r="J270" s="134"/>
      <c r="K270" s="135"/>
      <c r="L270" s="136">
        <f t="shared" si="39"/>
        <v>0</v>
      </c>
      <c r="M270" s="284"/>
      <c r="N270" s="285"/>
      <c r="O270" s="136">
        <f t="shared" si="40"/>
        <v>0</v>
      </c>
      <c r="P270" s="85"/>
      <c r="R270" s="53"/>
      <c r="S270" s="53"/>
      <c r="T270" s="53"/>
    </row>
    <row r="271" spans="1:20" ht="36" hidden="1" x14ac:dyDescent="0.25">
      <c r="A271" s="347">
        <v>7000</v>
      </c>
      <c r="B271" s="347" t="s">
        <v>287</v>
      </c>
      <c r="C271" s="348">
        <f t="shared" si="50"/>
        <v>0</v>
      </c>
      <c r="D271" s="349">
        <f>SUM(D272,D282)</f>
        <v>0</v>
      </c>
      <c r="E271" s="407">
        <f>SUM(E272,E282)</f>
        <v>0</v>
      </c>
      <c r="F271" s="408">
        <f t="shared" si="37"/>
        <v>0</v>
      </c>
      <c r="G271" s="349">
        <f>SUM(G272,G282)</f>
        <v>0</v>
      </c>
      <c r="H271" s="352">
        <f>SUM(H272,H282)</f>
        <v>0</v>
      </c>
      <c r="I271" s="353">
        <f t="shared" si="38"/>
        <v>0</v>
      </c>
      <c r="J271" s="349">
        <f>SUM(J272,J282)</f>
        <v>0</v>
      </c>
      <c r="K271" s="352">
        <f>SUM(K272,K282)</f>
        <v>0</v>
      </c>
      <c r="L271" s="353">
        <f t="shared" si="39"/>
        <v>0</v>
      </c>
      <c r="M271" s="354">
        <f>SUM(M272,M282)</f>
        <v>0</v>
      </c>
      <c r="N271" s="355">
        <f>SUM(N272,N282)</f>
        <v>0</v>
      </c>
      <c r="O271" s="356">
        <f t="shared" si="40"/>
        <v>0</v>
      </c>
      <c r="P271" s="357"/>
      <c r="R271" s="53"/>
      <c r="S271" s="53"/>
      <c r="T271" s="53"/>
    </row>
    <row r="272" spans="1:20" ht="24" hidden="1" x14ac:dyDescent="0.25">
      <c r="A272" s="99">
        <v>7200</v>
      </c>
      <c r="B272" s="247" t="s">
        <v>288</v>
      </c>
      <c r="C272" s="100">
        <f t="shared" si="50"/>
        <v>0</v>
      </c>
      <c r="D272" s="112">
        <f>SUM(D273,D274,D277,D278,D281)</f>
        <v>0</v>
      </c>
      <c r="E272" s="293">
        <f>SUM(E273,E274,E277,E278,E281)</f>
        <v>0</v>
      </c>
      <c r="F272" s="313">
        <f t="shared" si="37"/>
        <v>0</v>
      </c>
      <c r="G272" s="112">
        <f>SUM(G273,G274,G277,G278,G281)</f>
        <v>0</v>
      </c>
      <c r="H272" s="113">
        <f>SUM(H273,H274,H277,H278,H281)</f>
        <v>0</v>
      </c>
      <c r="I272" s="114">
        <f t="shared" si="38"/>
        <v>0</v>
      </c>
      <c r="J272" s="112">
        <f>SUM(J273,J274,J277,J278,J281)</f>
        <v>0</v>
      </c>
      <c r="K272" s="113">
        <f>SUM(K273,K274,K277,K278,K281)</f>
        <v>0</v>
      </c>
      <c r="L272" s="114">
        <f t="shared" si="39"/>
        <v>0</v>
      </c>
      <c r="M272" s="250">
        <f>SUM(M273,M274,M277,M278,M281)</f>
        <v>0</v>
      </c>
      <c r="N272" s="251">
        <f>SUM(N273,N274,N277,N278,N281)</f>
        <v>0</v>
      </c>
      <c r="O272" s="252">
        <f t="shared" si="40"/>
        <v>0</v>
      </c>
      <c r="P272" s="253"/>
      <c r="R272" s="53"/>
      <c r="S272" s="53"/>
      <c r="T272" s="53"/>
    </row>
    <row r="273" spans="1:20" ht="24" hidden="1" x14ac:dyDescent="0.25">
      <c r="A273" s="656">
        <v>7210</v>
      </c>
      <c r="B273" s="116" t="s">
        <v>289</v>
      </c>
      <c r="C273" s="117">
        <f t="shared" si="50"/>
        <v>0</v>
      </c>
      <c r="D273" s="123"/>
      <c r="E273" s="262"/>
      <c r="F273" s="263">
        <f t="shared" si="37"/>
        <v>0</v>
      </c>
      <c r="G273" s="123"/>
      <c r="H273" s="124"/>
      <c r="I273" s="125">
        <f t="shared" si="38"/>
        <v>0</v>
      </c>
      <c r="J273" s="123"/>
      <c r="K273" s="124"/>
      <c r="L273" s="125">
        <f t="shared" si="39"/>
        <v>0</v>
      </c>
      <c r="M273" s="264"/>
      <c r="N273" s="262"/>
      <c r="O273" s="125">
        <f t="shared" si="40"/>
        <v>0</v>
      </c>
      <c r="P273" s="74"/>
      <c r="R273" s="53"/>
      <c r="S273" s="53"/>
      <c r="T273" s="53"/>
    </row>
    <row r="274" spans="1:20" s="358" customFormat="1" ht="36" hidden="1" x14ac:dyDescent="0.25">
      <c r="A274" s="276">
        <v>7220</v>
      </c>
      <c r="B274" s="127" t="s">
        <v>290</v>
      </c>
      <c r="C274" s="128">
        <f t="shared" si="50"/>
        <v>0</v>
      </c>
      <c r="D274" s="277">
        <f>SUM(D275:D276)</f>
        <v>0</v>
      </c>
      <c r="E274" s="282">
        <f>SUM(E275:E276)</f>
        <v>0</v>
      </c>
      <c r="F274" s="28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c r="R274" s="53"/>
      <c r="S274" s="53"/>
      <c r="T274" s="53"/>
    </row>
    <row r="275" spans="1:20" s="358" customFormat="1" ht="36" hidden="1" x14ac:dyDescent="0.25">
      <c r="A275" s="76">
        <v>7221</v>
      </c>
      <c r="B275" s="127" t="s">
        <v>291</v>
      </c>
      <c r="C275" s="128">
        <f t="shared" si="50"/>
        <v>0</v>
      </c>
      <c r="D275" s="134"/>
      <c r="E275" s="285"/>
      <c r="F275" s="286">
        <f t="shared" si="37"/>
        <v>0</v>
      </c>
      <c r="G275" s="134"/>
      <c r="H275" s="135"/>
      <c r="I275" s="136">
        <f t="shared" si="38"/>
        <v>0</v>
      </c>
      <c r="J275" s="134"/>
      <c r="K275" s="135"/>
      <c r="L275" s="136">
        <f t="shared" si="39"/>
        <v>0</v>
      </c>
      <c r="M275" s="284"/>
      <c r="N275" s="285"/>
      <c r="O275" s="136">
        <f t="shared" si="40"/>
        <v>0</v>
      </c>
      <c r="P275" s="85"/>
      <c r="R275" s="53"/>
      <c r="S275" s="53"/>
      <c r="T275" s="53"/>
    </row>
    <row r="276" spans="1:20" s="358" customFormat="1" ht="36" hidden="1" x14ac:dyDescent="0.25">
      <c r="A276" s="76">
        <v>7222</v>
      </c>
      <c r="B276" s="127" t="s">
        <v>292</v>
      </c>
      <c r="C276" s="128">
        <f t="shared" si="50"/>
        <v>0</v>
      </c>
      <c r="D276" s="134"/>
      <c r="E276" s="285"/>
      <c r="F276" s="286">
        <f t="shared" si="37"/>
        <v>0</v>
      </c>
      <c r="G276" s="134"/>
      <c r="H276" s="135"/>
      <c r="I276" s="136">
        <f t="shared" si="38"/>
        <v>0</v>
      </c>
      <c r="J276" s="134"/>
      <c r="K276" s="135"/>
      <c r="L276" s="136">
        <f t="shared" si="39"/>
        <v>0</v>
      </c>
      <c r="M276" s="284"/>
      <c r="N276" s="285"/>
      <c r="O276" s="136">
        <f t="shared" si="40"/>
        <v>0</v>
      </c>
      <c r="P276" s="85"/>
      <c r="R276" s="53"/>
      <c r="S276" s="53"/>
      <c r="T276" s="53"/>
    </row>
    <row r="277" spans="1:20" s="358" customFormat="1" ht="24" hidden="1" x14ac:dyDescent="0.25">
      <c r="A277" s="276">
        <v>7230</v>
      </c>
      <c r="B277" s="127" t="s">
        <v>293</v>
      </c>
      <c r="C277" s="128">
        <f t="shared" si="50"/>
        <v>0</v>
      </c>
      <c r="D277" s="134"/>
      <c r="E277" s="285"/>
      <c r="F277" s="286">
        <f t="shared" si="37"/>
        <v>0</v>
      </c>
      <c r="G277" s="134"/>
      <c r="H277" s="135"/>
      <c r="I277" s="136">
        <f t="shared" si="38"/>
        <v>0</v>
      </c>
      <c r="J277" s="134"/>
      <c r="K277" s="135"/>
      <c r="L277" s="136">
        <f t="shared" si="39"/>
        <v>0</v>
      </c>
      <c r="M277" s="284"/>
      <c r="N277" s="285"/>
      <c r="O277" s="136">
        <f>M277+N277</f>
        <v>0</v>
      </c>
      <c r="P277" s="85"/>
      <c r="R277" s="53"/>
      <c r="S277" s="53"/>
      <c r="T277" s="53"/>
    </row>
    <row r="278" spans="1:20" ht="24" hidden="1" x14ac:dyDescent="0.25">
      <c r="A278" s="276">
        <v>7240</v>
      </c>
      <c r="B278" s="127" t="s">
        <v>294</v>
      </c>
      <c r="C278" s="128">
        <f t="shared" si="50"/>
        <v>0</v>
      </c>
      <c r="D278" s="277">
        <f>SUM(D279:D280)</f>
        <v>0</v>
      </c>
      <c r="E278" s="282">
        <f>SUM(E279:E280)</f>
        <v>0</v>
      </c>
      <c r="F278" s="28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c r="R278" s="53"/>
      <c r="S278" s="53"/>
      <c r="T278" s="53"/>
    </row>
    <row r="279" spans="1:20" ht="48" hidden="1" x14ac:dyDescent="0.25">
      <c r="A279" s="76">
        <v>7245</v>
      </c>
      <c r="B279" s="127" t="s">
        <v>295</v>
      </c>
      <c r="C279" s="128">
        <f t="shared" si="50"/>
        <v>0</v>
      </c>
      <c r="D279" s="134"/>
      <c r="E279" s="285"/>
      <c r="F279" s="286">
        <f t="shared" si="37"/>
        <v>0</v>
      </c>
      <c r="G279" s="134"/>
      <c r="H279" s="135"/>
      <c r="I279" s="136">
        <f t="shared" si="38"/>
        <v>0</v>
      </c>
      <c r="J279" s="134"/>
      <c r="K279" s="135"/>
      <c r="L279" s="136">
        <f t="shared" si="39"/>
        <v>0</v>
      </c>
      <c r="M279" s="284"/>
      <c r="N279" s="285"/>
      <c r="O279" s="136">
        <f t="shared" ref="O279:O282" si="57">M279+N279</f>
        <v>0</v>
      </c>
      <c r="P279" s="85"/>
      <c r="R279" s="53"/>
      <c r="S279" s="53"/>
      <c r="T279" s="53"/>
    </row>
    <row r="280" spans="1:20" ht="96" hidden="1" x14ac:dyDescent="0.25">
      <c r="A280" s="76">
        <v>7246</v>
      </c>
      <c r="B280" s="127" t="s">
        <v>296</v>
      </c>
      <c r="C280" s="128">
        <f t="shared" si="50"/>
        <v>0</v>
      </c>
      <c r="D280" s="134"/>
      <c r="E280" s="285"/>
      <c r="F280" s="286">
        <f t="shared" si="37"/>
        <v>0</v>
      </c>
      <c r="G280" s="134"/>
      <c r="H280" s="135"/>
      <c r="I280" s="136">
        <f t="shared" si="38"/>
        <v>0</v>
      </c>
      <c r="J280" s="134"/>
      <c r="K280" s="135"/>
      <c r="L280" s="136">
        <f t="shared" si="39"/>
        <v>0</v>
      </c>
      <c r="M280" s="284"/>
      <c r="N280" s="285"/>
      <c r="O280" s="136">
        <f t="shared" si="57"/>
        <v>0</v>
      </c>
      <c r="P280" s="85"/>
      <c r="R280" s="53"/>
      <c r="S280" s="53"/>
      <c r="T280" s="53"/>
    </row>
    <row r="281" spans="1:20" ht="24" hidden="1" x14ac:dyDescent="0.25">
      <c r="A281" s="276">
        <v>7260</v>
      </c>
      <c r="B281" s="127" t="s">
        <v>297</v>
      </c>
      <c r="C281" s="128">
        <f t="shared" si="50"/>
        <v>0</v>
      </c>
      <c r="D281" s="123"/>
      <c r="E281" s="262"/>
      <c r="F281" s="263">
        <f t="shared" si="37"/>
        <v>0</v>
      </c>
      <c r="G281" s="123"/>
      <c r="H281" s="124"/>
      <c r="I281" s="125">
        <f t="shared" si="38"/>
        <v>0</v>
      </c>
      <c r="J281" s="123"/>
      <c r="K281" s="124"/>
      <c r="L281" s="125">
        <f t="shared" si="39"/>
        <v>0</v>
      </c>
      <c r="M281" s="264"/>
      <c r="N281" s="262"/>
      <c r="O281" s="125">
        <f t="shared" si="57"/>
        <v>0</v>
      </c>
      <c r="P281" s="74"/>
      <c r="R281" s="53"/>
      <c r="S281" s="53"/>
      <c r="T281" s="53"/>
    </row>
    <row r="282" spans="1:20" hidden="1" x14ac:dyDescent="0.25">
      <c r="A282" s="99">
        <v>7700</v>
      </c>
      <c r="B282" s="247" t="s">
        <v>298</v>
      </c>
      <c r="C282" s="359">
        <f t="shared" si="50"/>
        <v>0</v>
      </c>
      <c r="D282" s="360">
        <f>D283</f>
        <v>0</v>
      </c>
      <c r="E282" s="304">
        <f>SUM(E283)</f>
        <v>0</v>
      </c>
      <c r="F282" s="316">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c r="R282" s="53"/>
      <c r="S282" s="53"/>
      <c r="T282" s="53"/>
    </row>
    <row r="283" spans="1:20" hidden="1" x14ac:dyDescent="0.25">
      <c r="A283" s="141">
        <v>7720</v>
      </c>
      <c r="B283" s="142" t="s">
        <v>299</v>
      </c>
      <c r="C283" s="362">
        <f t="shared" si="50"/>
        <v>0</v>
      </c>
      <c r="D283" s="149"/>
      <c r="E283" s="363"/>
      <c r="F283" s="364">
        <f t="shared" si="37"/>
        <v>0</v>
      </c>
      <c r="G283" s="149"/>
      <c r="H283" s="150"/>
      <c r="I283" s="151">
        <f t="shared" si="38"/>
        <v>0</v>
      </c>
      <c r="J283" s="149"/>
      <c r="K283" s="150"/>
      <c r="L283" s="151">
        <f t="shared" si="39"/>
        <v>0</v>
      </c>
      <c r="M283" s="365"/>
      <c r="N283" s="363"/>
      <c r="O283" s="151">
        <f>M283+N283</f>
        <v>0</v>
      </c>
      <c r="P283" s="153"/>
      <c r="R283" s="53"/>
      <c r="S283" s="53"/>
      <c r="T283" s="53"/>
    </row>
    <row r="284" spans="1:20" hidden="1" x14ac:dyDescent="0.25">
      <c r="A284" s="366"/>
      <c r="B284" s="179" t="s">
        <v>300</v>
      </c>
      <c r="C284" s="117">
        <f t="shared" si="50"/>
        <v>0</v>
      </c>
      <c r="D284" s="255">
        <f>SUM(D285:D286)</f>
        <v>0</v>
      </c>
      <c r="E284" s="261">
        <f>SUM(E285:E286)</f>
        <v>0</v>
      </c>
      <c r="F284" s="310">
        <f t="shared" si="37"/>
        <v>0</v>
      </c>
      <c r="G284" s="255">
        <f>SUM(G285:G286)</f>
        <v>0</v>
      </c>
      <c r="H284" s="258">
        <f>SUM(H285:H286)</f>
        <v>0</v>
      </c>
      <c r="I284" s="259">
        <f t="shared" si="38"/>
        <v>0</v>
      </c>
      <c r="J284" s="255">
        <f>SUM(J285:J286)</f>
        <v>0</v>
      </c>
      <c r="K284" s="258">
        <f>SUM(K285:K286)</f>
        <v>0</v>
      </c>
      <c r="L284" s="259">
        <f t="shared" si="39"/>
        <v>0</v>
      </c>
      <c r="M284" s="260">
        <f>SUM(M285:M286)</f>
        <v>0</v>
      </c>
      <c r="N284" s="261">
        <f>SUM(N285:N286)</f>
        <v>0</v>
      </c>
      <c r="O284" s="259">
        <f t="shared" ref="O284:O299" si="58">M284+N284</f>
        <v>0</v>
      </c>
      <c r="P284" s="189"/>
      <c r="R284" s="53"/>
      <c r="S284" s="53"/>
      <c r="T284" s="53"/>
    </row>
    <row r="285" spans="1:20" hidden="1" x14ac:dyDescent="0.25">
      <c r="A285" s="346" t="s">
        <v>301</v>
      </c>
      <c r="B285" s="76" t="s">
        <v>302</v>
      </c>
      <c r="C285" s="279">
        <f t="shared" si="50"/>
        <v>0</v>
      </c>
      <c r="D285" s="134"/>
      <c r="E285" s="285"/>
      <c r="F285" s="286">
        <f t="shared" si="37"/>
        <v>0</v>
      </c>
      <c r="G285" s="134"/>
      <c r="H285" s="135"/>
      <c r="I285" s="136">
        <f t="shared" si="38"/>
        <v>0</v>
      </c>
      <c r="J285" s="134"/>
      <c r="K285" s="135"/>
      <c r="L285" s="136">
        <f t="shared" si="39"/>
        <v>0</v>
      </c>
      <c r="M285" s="284"/>
      <c r="N285" s="285"/>
      <c r="O285" s="136">
        <f t="shared" si="58"/>
        <v>0</v>
      </c>
      <c r="P285" s="85"/>
      <c r="R285" s="53"/>
      <c r="S285" s="53"/>
      <c r="T285" s="53"/>
    </row>
    <row r="286" spans="1:20" ht="24" hidden="1" x14ac:dyDescent="0.25">
      <c r="A286" s="346" t="s">
        <v>303</v>
      </c>
      <c r="B286" s="367" t="s">
        <v>304</v>
      </c>
      <c r="C286" s="117">
        <f t="shared" si="50"/>
        <v>0</v>
      </c>
      <c r="D286" s="123"/>
      <c r="E286" s="262"/>
      <c r="F286" s="263">
        <f t="shared" si="37"/>
        <v>0</v>
      </c>
      <c r="G286" s="123"/>
      <c r="H286" s="124"/>
      <c r="I286" s="125">
        <f t="shared" si="38"/>
        <v>0</v>
      </c>
      <c r="J286" s="123"/>
      <c r="K286" s="124"/>
      <c r="L286" s="125">
        <f t="shared" si="39"/>
        <v>0</v>
      </c>
      <c r="M286" s="264"/>
      <c r="N286" s="262"/>
      <c r="O286" s="125">
        <f t="shared" si="58"/>
        <v>0</v>
      </c>
      <c r="P286" s="74"/>
      <c r="R286" s="53"/>
      <c r="S286" s="53"/>
      <c r="T286" s="53"/>
    </row>
    <row r="287" spans="1:20" x14ac:dyDescent="0.25">
      <c r="A287" s="368"/>
      <c r="B287" s="369" t="s">
        <v>305</v>
      </c>
      <c r="C287" s="370">
        <f>SUM(C284,C271,C233,C198,C190,C176,C78,C56)</f>
        <v>660591</v>
      </c>
      <c r="D287" s="371">
        <f>SUM(D284,D271,D233,D198,D190,D176,D78,D56)</f>
        <v>426714</v>
      </c>
      <c r="E287" s="372">
        <f>SUM(E284,E271,E233,E198,E190,E176,E78,E56)</f>
        <v>0</v>
      </c>
      <c r="F287" s="373">
        <f t="shared" si="37"/>
        <v>426714</v>
      </c>
      <c r="G287" s="371">
        <f>SUM(G284,G271,G233,G198,G190,G176,G78,G56)</f>
        <v>179035</v>
      </c>
      <c r="H287" s="374">
        <f>SUM(H284,H271,H233,H198,H190,H176,H78,H56)</f>
        <v>0</v>
      </c>
      <c r="I287" s="375">
        <f t="shared" si="38"/>
        <v>179035</v>
      </c>
      <c r="J287" s="371">
        <f>SUM(J284,J271,J233,J198,J190,J176,J78,J56)</f>
        <v>54842</v>
      </c>
      <c r="K287" s="374">
        <f>SUM(K284,K271,K233,K198,K190,K176,K78,K56)</f>
        <v>0</v>
      </c>
      <c r="L287" s="375">
        <f t="shared" si="39"/>
        <v>54842</v>
      </c>
      <c r="M287" s="250">
        <f>SUM(M284,M271,M233,M198,M190,M176,M78,M56)</f>
        <v>0</v>
      </c>
      <c r="N287" s="251">
        <f>SUM(N284,N271,N233,N198,N190,N176,N78,N56)</f>
        <v>0</v>
      </c>
      <c r="O287" s="252">
        <f t="shared" si="58"/>
        <v>0</v>
      </c>
      <c r="P287" s="253"/>
      <c r="R287" s="53"/>
      <c r="S287" s="53"/>
      <c r="T287" s="53"/>
    </row>
    <row r="288" spans="1:20" x14ac:dyDescent="0.25">
      <c r="A288" s="376" t="s">
        <v>306</v>
      </c>
      <c r="B288" s="377"/>
      <c r="C288" s="378">
        <f t="shared" ref="C288" si="59">F288+I288+L288+O288</f>
        <v>-7782</v>
      </c>
      <c r="D288" s="379">
        <f>SUM(D28,D29,D45)-D54</f>
        <v>0</v>
      </c>
      <c r="E288" s="380">
        <f>SUM(E28,E29,E45)-E54</f>
        <v>0</v>
      </c>
      <c r="F288" s="381">
        <f t="shared" si="37"/>
        <v>0</v>
      </c>
      <c r="G288" s="379">
        <f>SUM(G28,G29,G45)-G54</f>
        <v>0</v>
      </c>
      <c r="H288" s="382">
        <f>SUM(H28,H29,H45)-H54</f>
        <v>0</v>
      </c>
      <c r="I288" s="383">
        <f t="shared" si="38"/>
        <v>0</v>
      </c>
      <c r="J288" s="379">
        <f>(J30+J46)-J54</f>
        <v>-7782</v>
      </c>
      <c r="K288" s="382">
        <f>(K30+K46)-K54</f>
        <v>0</v>
      </c>
      <c r="L288" s="383">
        <f t="shared" si="39"/>
        <v>-7782</v>
      </c>
      <c r="M288" s="378">
        <f>M48-M54</f>
        <v>0</v>
      </c>
      <c r="N288" s="384">
        <f>N48-N54</f>
        <v>0</v>
      </c>
      <c r="O288" s="383">
        <f t="shared" si="58"/>
        <v>0</v>
      </c>
      <c r="P288" s="385"/>
      <c r="R288" s="53"/>
      <c r="S288" s="53"/>
      <c r="T288" s="53"/>
    </row>
    <row r="289" spans="1:20" s="41" customFormat="1" x14ac:dyDescent="0.25">
      <c r="A289" s="376" t="s">
        <v>307</v>
      </c>
      <c r="B289" s="377"/>
      <c r="C289" s="380">
        <f>SUM(C290,C291)-C298+C299</f>
        <v>7782</v>
      </c>
      <c r="D289" s="379">
        <f>SUM(D290,D291)-D298+D299</f>
        <v>0</v>
      </c>
      <c r="E289" s="380">
        <f>SUM(E290,E291)-E298+E299</f>
        <v>0</v>
      </c>
      <c r="F289" s="381">
        <f t="shared" si="37"/>
        <v>0</v>
      </c>
      <c r="G289" s="379">
        <f>SUM(G290,G291)-G298+G299</f>
        <v>0</v>
      </c>
      <c r="H289" s="382">
        <f>SUM(H290,H291)-H298+H299</f>
        <v>0</v>
      </c>
      <c r="I289" s="383">
        <f t="shared" si="38"/>
        <v>0</v>
      </c>
      <c r="J289" s="379">
        <f>SUM(J290,J291)-J298+J299</f>
        <v>7782</v>
      </c>
      <c r="K289" s="382">
        <f>SUM(K290,K291)-K298+K299</f>
        <v>0</v>
      </c>
      <c r="L289" s="383">
        <f t="shared" si="39"/>
        <v>7782</v>
      </c>
      <c r="M289" s="378">
        <f>SUM(M290,M291)-M298+M299</f>
        <v>0</v>
      </c>
      <c r="N289" s="384">
        <f>SUM(N290,N291)-N298+N299</f>
        <v>0</v>
      </c>
      <c r="O289" s="383">
        <f t="shared" si="58"/>
        <v>0</v>
      </c>
      <c r="P289" s="385"/>
      <c r="R289" s="53"/>
      <c r="S289" s="53"/>
      <c r="T289" s="53"/>
    </row>
    <row r="290" spans="1:20" s="41" customFormat="1" x14ac:dyDescent="0.25">
      <c r="A290" s="386" t="s">
        <v>308</v>
      </c>
      <c r="B290" s="386" t="s">
        <v>309</v>
      </c>
      <c r="C290" s="380">
        <f>C25-C284</f>
        <v>7782</v>
      </c>
      <c r="D290" s="379">
        <f>D25-D284</f>
        <v>0</v>
      </c>
      <c r="E290" s="380">
        <f>E25-E284</f>
        <v>0</v>
      </c>
      <c r="F290" s="381">
        <f t="shared" si="37"/>
        <v>0</v>
      </c>
      <c r="G290" s="379">
        <f>G25-G284</f>
        <v>0</v>
      </c>
      <c r="H290" s="382">
        <f>H25-H284</f>
        <v>0</v>
      </c>
      <c r="I290" s="383">
        <f t="shared" si="38"/>
        <v>0</v>
      </c>
      <c r="J290" s="379">
        <f>J25-J284</f>
        <v>7782</v>
      </c>
      <c r="K290" s="382">
        <f>K25-K284</f>
        <v>0</v>
      </c>
      <c r="L290" s="383">
        <f t="shared" si="39"/>
        <v>7782</v>
      </c>
      <c r="M290" s="378">
        <f>M25-M284</f>
        <v>0</v>
      </c>
      <c r="N290" s="384">
        <f>N25-N284</f>
        <v>0</v>
      </c>
      <c r="O290" s="383">
        <f t="shared" si="58"/>
        <v>0</v>
      </c>
      <c r="P290" s="385"/>
      <c r="R290" s="53"/>
      <c r="S290" s="53"/>
      <c r="T290" s="53"/>
    </row>
    <row r="291" spans="1:20" s="41" customFormat="1" hidden="1" x14ac:dyDescent="0.25">
      <c r="A291" s="387" t="s">
        <v>310</v>
      </c>
      <c r="B291" s="387" t="s">
        <v>311</v>
      </c>
      <c r="C291" s="380">
        <f>SUM(C292,C294,C296)-SUM(C293,C295,C297)</f>
        <v>0</v>
      </c>
      <c r="D291" s="379">
        <f t="shared" ref="D291:E291" si="60">SUM(D292,D294,D296)-SUM(D293,D295,D297)</f>
        <v>0</v>
      </c>
      <c r="E291" s="384">
        <f t="shared" si="60"/>
        <v>0</v>
      </c>
      <c r="F291" s="388">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c r="R291" s="53"/>
      <c r="S291" s="53"/>
      <c r="T291" s="53"/>
    </row>
    <row r="292" spans="1:20" s="41" customFormat="1" hidden="1" x14ac:dyDescent="0.25">
      <c r="A292" s="366" t="s">
        <v>312</v>
      </c>
      <c r="B292" s="190" t="s">
        <v>313</v>
      </c>
      <c r="C292" s="143">
        <f t="shared" ref="C292:C299" si="64">F292+I292+L292+O292</f>
        <v>0</v>
      </c>
      <c r="D292" s="149"/>
      <c r="E292" s="363"/>
      <c r="F292" s="364">
        <f t="shared" si="37"/>
        <v>0</v>
      </c>
      <c r="G292" s="149"/>
      <c r="H292" s="150"/>
      <c r="I292" s="151">
        <f t="shared" si="38"/>
        <v>0</v>
      </c>
      <c r="J292" s="149"/>
      <c r="K292" s="150"/>
      <c r="L292" s="151">
        <f t="shared" si="39"/>
        <v>0</v>
      </c>
      <c r="M292" s="365"/>
      <c r="N292" s="363"/>
      <c r="O292" s="151">
        <f t="shared" si="58"/>
        <v>0</v>
      </c>
      <c r="P292" s="153"/>
      <c r="R292" s="53"/>
      <c r="S292" s="53"/>
      <c r="T292" s="53"/>
    </row>
    <row r="293" spans="1:20" ht="24" hidden="1" x14ac:dyDescent="0.25">
      <c r="A293" s="346" t="s">
        <v>314</v>
      </c>
      <c r="B293" s="75" t="s">
        <v>315</v>
      </c>
      <c r="C293" s="128">
        <f t="shared" si="64"/>
        <v>0</v>
      </c>
      <c r="D293" s="134"/>
      <c r="E293" s="285"/>
      <c r="F293" s="286">
        <f t="shared" si="37"/>
        <v>0</v>
      </c>
      <c r="G293" s="134"/>
      <c r="H293" s="135"/>
      <c r="I293" s="136">
        <f t="shared" si="38"/>
        <v>0</v>
      </c>
      <c r="J293" s="134"/>
      <c r="K293" s="135"/>
      <c r="L293" s="136">
        <f t="shared" si="39"/>
        <v>0</v>
      </c>
      <c r="M293" s="284"/>
      <c r="N293" s="285"/>
      <c r="O293" s="136">
        <f t="shared" si="58"/>
        <v>0</v>
      </c>
      <c r="P293" s="85"/>
      <c r="R293" s="53"/>
      <c r="S293" s="53"/>
      <c r="T293" s="53"/>
    </row>
    <row r="294" spans="1:20" hidden="1" x14ac:dyDescent="0.25">
      <c r="A294" s="346" t="s">
        <v>316</v>
      </c>
      <c r="B294" s="75" t="s">
        <v>317</v>
      </c>
      <c r="C294" s="128">
        <f t="shared" si="64"/>
        <v>0</v>
      </c>
      <c r="D294" s="134"/>
      <c r="E294" s="285"/>
      <c r="F294" s="286">
        <f t="shared" si="37"/>
        <v>0</v>
      </c>
      <c r="G294" s="134"/>
      <c r="H294" s="135"/>
      <c r="I294" s="136">
        <f t="shared" si="38"/>
        <v>0</v>
      </c>
      <c r="J294" s="134"/>
      <c r="K294" s="135"/>
      <c r="L294" s="136">
        <f t="shared" si="39"/>
        <v>0</v>
      </c>
      <c r="M294" s="284"/>
      <c r="N294" s="285"/>
      <c r="O294" s="136">
        <f t="shared" si="58"/>
        <v>0</v>
      </c>
      <c r="P294" s="85"/>
      <c r="R294" s="53"/>
      <c r="S294" s="53"/>
      <c r="T294" s="53"/>
    </row>
    <row r="295" spans="1:20" ht="24" hidden="1" x14ac:dyDescent="0.25">
      <c r="A295" s="346" t="s">
        <v>318</v>
      </c>
      <c r="B295" s="75" t="s">
        <v>319</v>
      </c>
      <c r="C295" s="128">
        <f t="shared" si="64"/>
        <v>0</v>
      </c>
      <c r="D295" s="134"/>
      <c r="E295" s="285"/>
      <c r="F295" s="286">
        <f t="shared" si="37"/>
        <v>0</v>
      </c>
      <c r="G295" s="134"/>
      <c r="H295" s="135"/>
      <c r="I295" s="136">
        <f t="shared" si="38"/>
        <v>0</v>
      </c>
      <c r="J295" s="134"/>
      <c r="K295" s="135"/>
      <c r="L295" s="136">
        <f t="shared" si="39"/>
        <v>0</v>
      </c>
      <c r="M295" s="284"/>
      <c r="N295" s="285"/>
      <c r="O295" s="136">
        <f t="shared" si="58"/>
        <v>0</v>
      </c>
      <c r="P295" s="85"/>
      <c r="R295" s="53"/>
      <c r="S295" s="53"/>
      <c r="T295" s="53"/>
    </row>
    <row r="296" spans="1:20" hidden="1" x14ac:dyDescent="0.25">
      <c r="A296" s="346" t="s">
        <v>320</v>
      </c>
      <c r="B296" s="75" t="s">
        <v>321</v>
      </c>
      <c r="C296" s="128">
        <f t="shared" si="64"/>
        <v>0</v>
      </c>
      <c r="D296" s="134"/>
      <c r="E296" s="285"/>
      <c r="F296" s="286">
        <f t="shared" si="37"/>
        <v>0</v>
      </c>
      <c r="G296" s="134"/>
      <c r="H296" s="135"/>
      <c r="I296" s="136">
        <f t="shared" si="38"/>
        <v>0</v>
      </c>
      <c r="J296" s="134"/>
      <c r="K296" s="135"/>
      <c r="L296" s="136">
        <f t="shared" si="39"/>
        <v>0</v>
      </c>
      <c r="M296" s="284"/>
      <c r="N296" s="285"/>
      <c r="O296" s="136">
        <f t="shared" si="58"/>
        <v>0</v>
      </c>
      <c r="P296" s="85"/>
      <c r="R296" s="53"/>
      <c r="S296" s="53"/>
      <c r="T296" s="53"/>
    </row>
    <row r="297" spans="1:20" ht="24" hidden="1" x14ac:dyDescent="0.25">
      <c r="A297" s="389" t="s">
        <v>322</v>
      </c>
      <c r="B297" s="390" t="s">
        <v>323</v>
      </c>
      <c r="C297" s="327">
        <f t="shared" si="64"/>
        <v>0</v>
      </c>
      <c r="D297" s="328"/>
      <c r="E297" s="329"/>
      <c r="F297" s="330">
        <f t="shared" si="37"/>
        <v>0</v>
      </c>
      <c r="G297" s="328"/>
      <c r="H297" s="331"/>
      <c r="I297" s="324">
        <f t="shared" si="38"/>
        <v>0</v>
      </c>
      <c r="J297" s="328"/>
      <c r="K297" s="331"/>
      <c r="L297" s="324">
        <f t="shared" si="39"/>
        <v>0</v>
      </c>
      <c r="M297" s="332"/>
      <c r="N297" s="329"/>
      <c r="O297" s="324">
        <f t="shared" si="58"/>
        <v>0</v>
      </c>
      <c r="P297" s="325"/>
      <c r="R297" s="53"/>
      <c r="S297" s="53"/>
      <c r="T297" s="53"/>
    </row>
    <row r="298" spans="1:20" hidden="1" x14ac:dyDescent="0.25">
      <c r="A298" s="387" t="s">
        <v>324</v>
      </c>
      <c r="B298" s="387" t="s">
        <v>325</v>
      </c>
      <c r="C298" s="391">
        <f t="shared" si="64"/>
        <v>0</v>
      </c>
      <c r="D298" s="392"/>
      <c r="E298" s="393"/>
      <c r="F298" s="388">
        <f t="shared" si="37"/>
        <v>0</v>
      </c>
      <c r="G298" s="392"/>
      <c r="H298" s="394"/>
      <c r="I298" s="383">
        <f t="shared" si="38"/>
        <v>0</v>
      </c>
      <c r="J298" s="392"/>
      <c r="K298" s="394"/>
      <c r="L298" s="383">
        <f t="shared" si="39"/>
        <v>0</v>
      </c>
      <c r="M298" s="395"/>
      <c r="N298" s="393"/>
      <c r="O298" s="383">
        <f t="shared" si="58"/>
        <v>0</v>
      </c>
      <c r="P298" s="385"/>
      <c r="R298" s="53"/>
      <c r="S298" s="53"/>
      <c r="T298" s="53"/>
    </row>
    <row r="299" spans="1:20" s="41" customFormat="1" ht="48" hidden="1" x14ac:dyDescent="0.25">
      <c r="A299" s="387" t="s">
        <v>326</v>
      </c>
      <c r="B299" s="396" t="s">
        <v>327</v>
      </c>
      <c r="C299" s="397">
        <f t="shared" si="64"/>
        <v>0</v>
      </c>
      <c r="D299" s="398"/>
      <c r="E299" s="399"/>
      <c r="F299" s="400">
        <f t="shared" si="37"/>
        <v>0</v>
      </c>
      <c r="G299" s="392"/>
      <c r="H299" s="394"/>
      <c r="I299" s="383">
        <f t="shared" si="38"/>
        <v>0</v>
      </c>
      <c r="J299" s="392"/>
      <c r="K299" s="394"/>
      <c r="L299" s="383">
        <f t="shared" si="39"/>
        <v>0</v>
      </c>
      <c r="M299" s="395"/>
      <c r="N299" s="393"/>
      <c r="O299" s="383">
        <f t="shared" si="58"/>
        <v>0</v>
      </c>
      <c r="P299" s="385"/>
      <c r="R299" s="53"/>
      <c r="S299" s="53"/>
      <c r="T299" s="53"/>
    </row>
    <row r="300" spans="1:20"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20" ht="12.75" thickBot="1" x14ac:dyDescent="0.3">
      <c r="A301" s="404"/>
      <c r="B301" s="405"/>
      <c r="C301" s="405"/>
      <c r="D301" s="405"/>
      <c r="E301" s="405"/>
      <c r="F301" s="405"/>
      <c r="G301" s="405"/>
      <c r="H301" s="405"/>
      <c r="I301" s="405"/>
      <c r="J301" s="405"/>
      <c r="K301" s="405"/>
      <c r="L301" s="405"/>
      <c r="M301" s="405"/>
      <c r="N301" s="405"/>
      <c r="O301" s="405"/>
      <c r="P301" s="406"/>
      <c r="Q301" s="7"/>
    </row>
    <row r="302" spans="1:20" x14ac:dyDescent="0.25">
      <c r="A302" s="5"/>
      <c r="B302" s="5"/>
      <c r="C302" s="5"/>
      <c r="D302" s="5"/>
      <c r="E302" s="5"/>
      <c r="F302" s="5"/>
      <c r="G302" s="5"/>
      <c r="H302" s="5"/>
      <c r="I302" s="5"/>
      <c r="J302" s="5"/>
      <c r="K302" s="5"/>
      <c r="L302" s="5"/>
      <c r="M302" s="5"/>
      <c r="N302" s="5"/>
      <c r="O302" s="5"/>
    </row>
    <row r="303" spans="1:20" x14ac:dyDescent="0.25">
      <c r="A303" s="5"/>
      <c r="B303" s="5"/>
      <c r="C303" s="5"/>
      <c r="D303" s="5"/>
      <c r="E303" s="5"/>
      <c r="F303" s="5"/>
      <c r="G303" s="5"/>
      <c r="H303" s="5"/>
      <c r="I303" s="5"/>
      <c r="J303" s="5"/>
      <c r="K303" s="5"/>
      <c r="L303" s="5"/>
      <c r="M303" s="5"/>
      <c r="N303" s="5"/>
      <c r="O303" s="5"/>
    </row>
    <row r="304" spans="1:20"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KX0sO1Tm/wqCWjvxcBHWuzvSQHlVObLwZnMc/hghNV6NZZjo71Z1XCPwpzD9dIzbmI7pYxKjtxRcI/5p+T16Jg==" saltValue="n6vQcvINyW58TWhthtoFMg==" spinCount="100000" sheet="1" objects="1" scenarios="1" selectLockedCells="1" selectUnlockedCells="1"/>
  <autoFilter ref="A22:P300">
    <filterColumn colId="2">
      <filters blank="1">
        <filter val="1 000"/>
        <filter val="1 030"/>
        <filter val="1 050"/>
        <filter val="1 500"/>
        <filter val="1 682"/>
        <filter val="1 738"/>
        <filter val="1 750"/>
        <filter val="1 770"/>
        <filter val="1 815"/>
        <filter val="1 965"/>
        <filter val="10 812"/>
        <filter val="100"/>
        <filter val="11 124"/>
        <filter val="111 879"/>
        <filter val="12 000"/>
        <filter val="120"/>
        <filter val="121"/>
        <filter val="128 103"/>
        <filter val="13 900"/>
        <filter val="15 741"/>
        <filter val="150"/>
        <filter val="16 773"/>
        <filter val="166"/>
        <filter val="17 421"/>
        <filter val="17 930"/>
        <filter val="18 273"/>
        <filter val="2 006"/>
        <filter val="2 088"/>
        <filter val="2 572"/>
        <filter val="2 652"/>
        <filter val="2 979"/>
        <filter val="200"/>
        <filter val="21"/>
        <filter val="22 130"/>
        <filter val="23"/>
        <filter val="25 500"/>
        <filter val="26 464"/>
        <filter val="28 660"/>
        <filter val="29 054"/>
        <filter val="29 800"/>
        <filter val="300"/>
        <filter val="31 319"/>
        <filter val="32"/>
        <filter val="36 741"/>
        <filter val="375 872"/>
        <filter val="4 000"/>
        <filter val="4 815"/>
        <filter val="4 829"/>
        <filter val="402 336"/>
        <filter val="414"/>
        <filter val="415"/>
        <filter val="427"/>
        <filter val="466"/>
        <filter val="5 329"/>
        <filter val="5 870"/>
        <filter val="530 439"/>
        <filter val="580"/>
        <filter val="6 301"/>
        <filter val="6 970"/>
        <filter val="605 749"/>
        <filter val="61 565"/>
        <filter val="642 318"/>
        <filter val="660 591"/>
        <filter val="7 782"/>
        <filter val="-7 782"/>
        <filter val="75 062"/>
        <filter val="76"/>
        <filter val="8 057"/>
        <filter val="8 254"/>
        <filter val="9 572"/>
        <filter val="900"/>
        <filter val="936"/>
        <filter val="99 443"/>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107.pielikums Jūrmalas pilsētas domes
2017.gada 30.janvāra saistošajiem noteikumiem Nr.10
(Protokols Nr.4, 1.punkts)
 </firstHeader>
    <firstFooter>&amp;L&amp;9&amp;D; &amp;T&amp;R&amp;9&amp;P (&amp;N)</first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1"/>
  <sheetViews>
    <sheetView view="pageLayout" zoomScaleNormal="90" workbookViewId="0">
      <selection activeCell="R10" sqref="R10"/>
    </sheetView>
  </sheetViews>
  <sheetFormatPr defaultRowHeight="12" outlineLevelCol="1" x14ac:dyDescent="0.25"/>
  <cols>
    <col min="1" max="1" width="10.85546875" style="1" customWidth="1"/>
    <col min="2" max="2" width="30.5703125"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8" x14ac:dyDescent="0.25">
      <c r="B1" s="2"/>
      <c r="C1" s="2"/>
      <c r="D1" s="2"/>
      <c r="E1" s="2"/>
      <c r="F1" s="2"/>
      <c r="G1" s="2"/>
      <c r="H1" s="2"/>
      <c r="I1" s="2"/>
      <c r="J1" s="2"/>
      <c r="K1" s="2"/>
      <c r="L1" s="2"/>
      <c r="M1" s="3"/>
      <c r="N1" s="3"/>
      <c r="O1" s="4" t="s">
        <v>1183</v>
      </c>
    </row>
    <row r="2" spans="1:18" x14ac:dyDescent="0.25">
      <c r="A2" s="6"/>
      <c r="B2" s="6"/>
      <c r="C2" s="6"/>
      <c r="D2" s="6"/>
      <c r="E2" s="6"/>
      <c r="F2" s="6"/>
      <c r="G2" s="6"/>
      <c r="H2" s="6"/>
      <c r="I2" s="6"/>
      <c r="J2" s="6"/>
      <c r="K2" s="6"/>
      <c r="L2" s="6"/>
      <c r="M2" s="6"/>
      <c r="N2" s="6"/>
      <c r="O2" s="6"/>
      <c r="P2" s="6"/>
      <c r="R2" s="358"/>
    </row>
    <row r="3" spans="1:18" x14ac:dyDescent="0.25">
      <c r="A3" s="1557"/>
      <c r="B3" s="1558"/>
      <c r="C3" s="1558"/>
      <c r="D3" s="1558"/>
      <c r="E3" s="1558"/>
      <c r="F3" s="1558"/>
      <c r="G3" s="1558"/>
      <c r="H3" s="1558"/>
      <c r="I3" s="1558"/>
      <c r="J3" s="1558"/>
      <c r="K3" s="1558"/>
      <c r="L3" s="1558"/>
      <c r="M3" s="1558"/>
      <c r="N3" s="1558"/>
      <c r="O3" s="1558"/>
      <c r="P3" s="1559"/>
      <c r="Q3" s="7"/>
      <c r="R3" s="358"/>
    </row>
    <row r="4" spans="1:18" ht="15.75" x14ac:dyDescent="0.25">
      <c r="A4" s="1560" t="s">
        <v>1</v>
      </c>
      <c r="B4" s="1561"/>
      <c r="C4" s="1561"/>
      <c r="D4" s="1561"/>
      <c r="E4" s="1561"/>
      <c r="F4" s="1561"/>
      <c r="G4" s="1561"/>
      <c r="H4" s="1561"/>
      <c r="I4" s="1561"/>
      <c r="J4" s="1561"/>
      <c r="K4" s="1561"/>
      <c r="L4" s="1561"/>
      <c r="M4" s="1561"/>
      <c r="N4" s="1561"/>
      <c r="O4" s="1561"/>
      <c r="P4" s="1562"/>
      <c r="Q4" s="7"/>
    </row>
    <row r="5" spans="1:18" x14ac:dyDescent="0.25">
      <c r="A5" s="8"/>
      <c r="B5" s="9"/>
      <c r="C5" s="10"/>
      <c r="D5" s="9"/>
      <c r="E5" s="9"/>
      <c r="F5" s="9"/>
      <c r="G5" s="9"/>
      <c r="H5" s="9"/>
      <c r="I5" s="9"/>
      <c r="J5" s="9"/>
      <c r="K5" s="9"/>
      <c r="L5" s="9"/>
      <c r="M5" s="9"/>
      <c r="N5" s="9"/>
      <c r="O5" s="11"/>
      <c r="P5" s="12"/>
      <c r="Q5" s="7"/>
    </row>
    <row r="6" spans="1:18" ht="12.75" x14ac:dyDescent="0.25">
      <c r="A6" s="13" t="s">
        <v>2</v>
      </c>
      <c r="B6" s="14"/>
      <c r="C6" s="1555" t="s">
        <v>1184</v>
      </c>
      <c r="D6" s="1555"/>
      <c r="E6" s="1555"/>
      <c r="F6" s="1555"/>
      <c r="G6" s="1555"/>
      <c r="H6" s="1555"/>
      <c r="I6" s="1555"/>
      <c r="J6" s="1555"/>
      <c r="K6" s="1555"/>
      <c r="L6" s="1555"/>
      <c r="M6" s="1555"/>
      <c r="N6" s="1555"/>
      <c r="O6" s="1555"/>
      <c r="P6" s="1556"/>
      <c r="Q6" s="7"/>
    </row>
    <row r="7" spans="1:18" ht="12.75" x14ac:dyDescent="0.25">
      <c r="A7" s="13" t="s">
        <v>4</v>
      </c>
      <c r="B7" s="14"/>
      <c r="C7" s="1555" t="s">
        <v>1185</v>
      </c>
      <c r="D7" s="1555"/>
      <c r="E7" s="1555"/>
      <c r="F7" s="1555"/>
      <c r="G7" s="1555"/>
      <c r="H7" s="1555"/>
      <c r="I7" s="1555"/>
      <c r="J7" s="1555"/>
      <c r="K7" s="1555"/>
      <c r="L7" s="1555"/>
      <c r="M7" s="1555"/>
      <c r="N7" s="1555"/>
      <c r="O7" s="1555"/>
      <c r="P7" s="1556"/>
      <c r="Q7" s="7"/>
    </row>
    <row r="8" spans="1:18" x14ac:dyDescent="0.25">
      <c r="A8" s="8" t="s">
        <v>6</v>
      </c>
      <c r="B8" s="9"/>
      <c r="C8" s="1553" t="s">
        <v>1186</v>
      </c>
      <c r="D8" s="1553"/>
      <c r="E8" s="1553"/>
      <c r="F8" s="1553"/>
      <c r="G8" s="1553"/>
      <c r="H8" s="1553"/>
      <c r="I8" s="1553"/>
      <c r="J8" s="1553"/>
      <c r="K8" s="1553"/>
      <c r="L8" s="1553"/>
      <c r="M8" s="1553"/>
      <c r="N8" s="1553"/>
      <c r="O8" s="1553"/>
      <c r="P8" s="1554"/>
      <c r="Q8" s="7"/>
    </row>
    <row r="9" spans="1:18" x14ac:dyDescent="0.25">
      <c r="A9" s="8" t="s">
        <v>8</v>
      </c>
      <c r="B9" s="9"/>
      <c r="C9" s="1553" t="s">
        <v>333</v>
      </c>
      <c r="D9" s="1553"/>
      <c r="E9" s="1553"/>
      <c r="F9" s="1553"/>
      <c r="G9" s="1553"/>
      <c r="H9" s="1553"/>
      <c r="I9" s="1553"/>
      <c r="J9" s="1553"/>
      <c r="K9" s="1553"/>
      <c r="L9" s="1553"/>
      <c r="M9" s="1553"/>
      <c r="N9" s="1553"/>
      <c r="O9" s="1553"/>
      <c r="P9" s="1554"/>
      <c r="Q9" s="7"/>
    </row>
    <row r="10" spans="1:18" ht="23.25" customHeight="1" x14ac:dyDescent="0.25">
      <c r="A10" s="8" t="s">
        <v>10</v>
      </c>
      <c r="B10" s="9"/>
      <c r="C10" s="1555" t="s">
        <v>334</v>
      </c>
      <c r="D10" s="1555"/>
      <c r="E10" s="1555"/>
      <c r="F10" s="1555"/>
      <c r="G10" s="1555"/>
      <c r="H10" s="1555"/>
      <c r="I10" s="1555"/>
      <c r="J10" s="1555"/>
      <c r="K10" s="1555"/>
      <c r="L10" s="1555"/>
      <c r="M10" s="1555"/>
      <c r="N10" s="1555"/>
      <c r="O10" s="1555"/>
      <c r="P10" s="1556"/>
      <c r="Q10" s="7"/>
    </row>
    <row r="11" spans="1:18" x14ac:dyDescent="0.25">
      <c r="A11" s="8" t="s">
        <v>12</v>
      </c>
      <c r="B11" s="9"/>
      <c r="C11" s="1555" t="s">
        <v>439</v>
      </c>
      <c r="D11" s="1555"/>
      <c r="E11" s="1555"/>
      <c r="F11" s="1555"/>
      <c r="G11" s="1555"/>
      <c r="H11" s="1555"/>
      <c r="I11" s="1555"/>
      <c r="J11" s="1555"/>
      <c r="K11" s="1555"/>
      <c r="L11" s="1555"/>
      <c r="M11" s="1555"/>
      <c r="N11" s="1555"/>
      <c r="O11" s="1555"/>
      <c r="P11" s="1556"/>
      <c r="Q11" s="7"/>
    </row>
    <row r="12" spans="1:18" x14ac:dyDescent="0.25">
      <c r="A12" s="15" t="s">
        <v>14</v>
      </c>
      <c r="B12" s="9"/>
      <c r="C12" s="16"/>
      <c r="D12" s="16"/>
      <c r="E12" s="16"/>
      <c r="F12" s="16"/>
      <c r="G12" s="16"/>
      <c r="H12" s="16"/>
      <c r="I12" s="16"/>
      <c r="J12" s="16"/>
      <c r="K12" s="16"/>
      <c r="L12" s="16"/>
      <c r="M12" s="16"/>
      <c r="N12" s="16"/>
      <c r="O12" s="16"/>
      <c r="P12" s="17"/>
      <c r="Q12" s="7"/>
    </row>
    <row r="13" spans="1:18" x14ac:dyDescent="0.25">
      <c r="A13" s="8"/>
      <c r="B13" s="9" t="s">
        <v>15</v>
      </c>
      <c r="C13" s="1553" t="s">
        <v>1187</v>
      </c>
      <c r="D13" s="1553"/>
      <c r="E13" s="1553"/>
      <c r="F13" s="1553"/>
      <c r="G13" s="1553"/>
      <c r="H13" s="1553"/>
      <c r="I13" s="1553"/>
      <c r="J13" s="1553"/>
      <c r="K13" s="1553"/>
      <c r="L13" s="1553"/>
      <c r="M13" s="1553"/>
      <c r="N13" s="1553"/>
      <c r="O13" s="1553"/>
      <c r="P13" s="1554"/>
      <c r="Q13" s="7"/>
    </row>
    <row r="14" spans="1:18" x14ac:dyDescent="0.25">
      <c r="A14" s="8"/>
      <c r="B14" s="9" t="s">
        <v>17</v>
      </c>
      <c r="C14" s="1553" t="s">
        <v>1188</v>
      </c>
      <c r="D14" s="1553"/>
      <c r="E14" s="1553"/>
      <c r="F14" s="1553"/>
      <c r="G14" s="1553"/>
      <c r="H14" s="1553"/>
      <c r="I14" s="1553"/>
      <c r="J14" s="1553"/>
      <c r="K14" s="1553"/>
      <c r="L14" s="1553"/>
      <c r="M14" s="1553"/>
      <c r="N14" s="1553"/>
      <c r="O14" s="1553"/>
      <c r="P14" s="1554"/>
      <c r="Q14" s="7"/>
    </row>
    <row r="15" spans="1:18" x14ac:dyDescent="0.25">
      <c r="A15" s="8"/>
      <c r="B15" s="9" t="s">
        <v>19</v>
      </c>
      <c r="C15" s="1553"/>
      <c r="D15" s="1553"/>
      <c r="E15" s="1553"/>
      <c r="F15" s="1553"/>
      <c r="G15" s="1553"/>
      <c r="H15" s="1553"/>
      <c r="I15" s="1553"/>
      <c r="J15" s="1553"/>
      <c r="K15" s="1553"/>
      <c r="L15" s="1553"/>
      <c r="M15" s="1553"/>
      <c r="N15" s="1553"/>
      <c r="O15" s="1553"/>
      <c r="P15" s="1554"/>
      <c r="Q15" s="7"/>
    </row>
    <row r="16" spans="1:18" x14ac:dyDescent="0.25">
      <c r="A16" s="8"/>
      <c r="B16" s="9" t="s">
        <v>20</v>
      </c>
      <c r="C16" s="1553" t="s">
        <v>1189</v>
      </c>
      <c r="D16" s="1553"/>
      <c r="E16" s="1553"/>
      <c r="F16" s="1553"/>
      <c r="G16" s="1553"/>
      <c r="H16" s="1553"/>
      <c r="I16" s="1553"/>
      <c r="J16" s="1553"/>
      <c r="K16" s="1553"/>
      <c r="L16" s="1553"/>
      <c r="M16" s="1553"/>
      <c r="N16" s="1553"/>
      <c r="O16" s="1553"/>
      <c r="P16" s="1554"/>
      <c r="Q16" s="7"/>
    </row>
    <row r="17" spans="1:20" x14ac:dyDescent="0.25">
      <c r="A17" s="8"/>
      <c r="B17" s="9" t="s">
        <v>22</v>
      </c>
      <c r="C17" s="1553"/>
      <c r="D17" s="1553"/>
      <c r="E17" s="1553"/>
      <c r="F17" s="1553"/>
      <c r="G17" s="1553"/>
      <c r="H17" s="1553"/>
      <c r="I17" s="1553"/>
      <c r="J17" s="1553"/>
      <c r="K17" s="1553"/>
      <c r="L17" s="1553"/>
      <c r="M17" s="1553"/>
      <c r="N17" s="1553"/>
      <c r="O17" s="1553"/>
      <c r="P17" s="1554"/>
      <c r="Q17" s="7"/>
    </row>
    <row r="18" spans="1:20" x14ac:dyDescent="0.25">
      <c r="A18" s="18"/>
      <c r="B18" s="19"/>
      <c r="C18" s="1569"/>
      <c r="D18" s="1569"/>
      <c r="E18" s="1569"/>
      <c r="F18" s="1569"/>
      <c r="G18" s="1569"/>
      <c r="H18" s="1569"/>
      <c r="I18" s="1569"/>
      <c r="J18" s="1569"/>
      <c r="K18" s="1569"/>
      <c r="L18" s="1569"/>
      <c r="M18" s="1569"/>
      <c r="N18" s="1569"/>
      <c r="O18" s="1569"/>
      <c r="P18" s="1570"/>
      <c r="Q18" s="7"/>
    </row>
    <row r="19" spans="1:20"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0"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20" s="21" customFormat="1" ht="57" customHeight="1" thickBot="1" x14ac:dyDescent="0.3">
      <c r="A21" s="1573"/>
      <c r="B21" s="1576"/>
      <c r="C21" s="1581"/>
      <c r="D21" s="1566"/>
      <c r="E21" s="1568"/>
      <c r="F21" s="1564"/>
      <c r="G21" s="1566"/>
      <c r="H21" s="1568"/>
      <c r="I21" s="1564"/>
      <c r="J21" s="1566"/>
      <c r="K21" s="1568"/>
      <c r="L21" s="1564"/>
      <c r="M21" s="1566"/>
      <c r="N21" s="1568"/>
      <c r="O21" s="1564"/>
      <c r="P21" s="1576"/>
    </row>
    <row r="22" spans="1:20"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0" s="41" customFormat="1" x14ac:dyDescent="0.25">
      <c r="A23" s="30"/>
      <c r="B23" s="31" t="s">
        <v>41</v>
      </c>
      <c r="C23" s="32"/>
      <c r="D23" s="33"/>
      <c r="E23" s="34"/>
      <c r="F23" s="35"/>
      <c r="G23" s="33"/>
      <c r="H23" s="36"/>
      <c r="I23" s="37"/>
      <c r="J23" s="33"/>
      <c r="K23" s="38"/>
      <c r="L23" s="37"/>
      <c r="M23" s="38"/>
      <c r="N23" s="39"/>
      <c r="O23" s="37"/>
      <c r="P23" s="40"/>
    </row>
    <row r="24" spans="1:20" s="41" customFormat="1" ht="12.75" thickBot="1" x14ac:dyDescent="0.3">
      <c r="A24" s="42"/>
      <c r="B24" s="43" t="s">
        <v>42</v>
      </c>
      <c r="C24" s="44">
        <f>F24+I24+L24+O24</f>
        <v>660591</v>
      </c>
      <c r="D24" s="45">
        <f>SUM(D25,D28,D29,D45,D46)</f>
        <v>426714</v>
      </c>
      <c r="E24" s="46">
        <f>SUM(E25,E28,E29,E45,E46)</f>
        <v>0</v>
      </c>
      <c r="F24" s="47">
        <f t="shared" ref="F24:F29" si="0">D24+E24</f>
        <v>426714</v>
      </c>
      <c r="G24" s="45">
        <f>SUM(G25,G28,G46)</f>
        <v>179035</v>
      </c>
      <c r="H24" s="48">
        <f>SUM(H25,H28,H46)</f>
        <v>0</v>
      </c>
      <c r="I24" s="49">
        <f>G24+H24</f>
        <v>179035</v>
      </c>
      <c r="J24" s="45">
        <f>SUM(J25,J30,J46)</f>
        <v>54842</v>
      </c>
      <c r="K24" s="48">
        <f>SUM(K25,K30,K46)</f>
        <v>0</v>
      </c>
      <c r="L24" s="49">
        <f>J24+K24</f>
        <v>54842</v>
      </c>
      <c r="M24" s="50">
        <f>SUM(M25,M48)</f>
        <v>0</v>
      </c>
      <c r="N24" s="51">
        <f>SUM(N25,N48)</f>
        <v>0</v>
      </c>
      <c r="O24" s="49">
        <f>M24+N24</f>
        <v>0</v>
      </c>
      <c r="P24" s="52"/>
      <c r="R24" s="53"/>
      <c r="S24" s="53"/>
      <c r="T24" s="53"/>
    </row>
    <row r="25" spans="1:20" ht="12.75" thickTop="1" x14ac:dyDescent="0.25">
      <c r="A25" s="54"/>
      <c r="B25" s="55" t="s">
        <v>43</v>
      </c>
      <c r="C25" s="56">
        <f>F25+I25+L25+O25</f>
        <v>7782</v>
      </c>
      <c r="D25" s="57">
        <f>SUM(D26:D27)</f>
        <v>0</v>
      </c>
      <c r="E25" s="58">
        <f>SUM(E26:E27)</f>
        <v>0</v>
      </c>
      <c r="F25" s="59">
        <f t="shared" si="0"/>
        <v>0</v>
      </c>
      <c r="G25" s="57">
        <f>SUM(G26:G27)</f>
        <v>0</v>
      </c>
      <c r="H25" s="60">
        <f>SUM(H26:H27)</f>
        <v>0</v>
      </c>
      <c r="I25" s="61">
        <f>G25+H25</f>
        <v>0</v>
      </c>
      <c r="J25" s="57">
        <f>SUM(J26:J27)</f>
        <v>7782</v>
      </c>
      <c r="K25" s="60">
        <f>SUM(K26:K27)</f>
        <v>0</v>
      </c>
      <c r="L25" s="61">
        <f>J25+K25</f>
        <v>7782</v>
      </c>
      <c r="M25" s="62">
        <f>SUM(M26:M27)</f>
        <v>0</v>
      </c>
      <c r="N25" s="63">
        <f>SUM(N26:N27)</f>
        <v>0</v>
      </c>
      <c r="O25" s="61">
        <f>M25+N25</f>
        <v>0</v>
      </c>
      <c r="P25" s="64"/>
      <c r="R25" s="53"/>
      <c r="S25" s="53"/>
      <c r="T25" s="53"/>
    </row>
    <row r="26" spans="1:20" hidden="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c r="R26" s="53"/>
      <c r="S26" s="53"/>
      <c r="T26" s="53"/>
    </row>
    <row r="27" spans="1:20" x14ac:dyDescent="0.25">
      <c r="A27" s="75"/>
      <c r="B27" s="76" t="s">
        <v>45</v>
      </c>
      <c r="C27" s="77">
        <f>F27+I27+L27+O27</f>
        <v>7782</v>
      </c>
      <c r="D27" s="78"/>
      <c r="E27" s="79"/>
      <c r="F27" s="80">
        <f t="shared" si="0"/>
        <v>0</v>
      </c>
      <c r="G27" s="78"/>
      <c r="H27" s="81"/>
      <c r="I27" s="82">
        <f>G27+H27</f>
        <v>0</v>
      </c>
      <c r="J27" s="78">
        <v>7782</v>
      </c>
      <c r="K27" s="81"/>
      <c r="L27" s="82">
        <f>J27+K27</f>
        <v>7782</v>
      </c>
      <c r="M27" s="83"/>
      <c r="N27" s="84"/>
      <c r="O27" s="82">
        <f>M27+N27</f>
        <v>0</v>
      </c>
      <c r="P27" s="85"/>
      <c r="R27" s="53"/>
      <c r="S27" s="53"/>
      <c r="T27" s="53"/>
    </row>
    <row r="28" spans="1:20" s="41" customFormat="1" ht="24.75" thickBot="1" x14ac:dyDescent="0.3">
      <c r="A28" s="86">
        <v>19300</v>
      </c>
      <c r="B28" s="86" t="s">
        <v>46</v>
      </c>
      <c r="C28" s="87">
        <f>SUM(F28,I28)</f>
        <v>605749</v>
      </c>
      <c r="D28" s="88">
        <f>416984+3300+6430</f>
        <v>426714</v>
      </c>
      <c r="E28" s="89"/>
      <c r="F28" s="90">
        <f t="shared" si="0"/>
        <v>426714</v>
      </c>
      <c r="G28" s="88">
        <f>182601-3566</f>
        <v>179035</v>
      </c>
      <c r="H28" s="91"/>
      <c r="I28" s="92">
        <f>G28+H28</f>
        <v>179035</v>
      </c>
      <c r="J28" s="93" t="s">
        <v>47</v>
      </c>
      <c r="K28" s="94" t="s">
        <v>47</v>
      </c>
      <c r="L28" s="95" t="s">
        <v>47</v>
      </c>
      <c r="M28" s="96" t="s">
        <v>47</v>
      </c>
      <c r="N28" s="97" t="s">
        <v>47</v>
      </c>
      <c r="O28" s="95" t="s">
        <v>47</v>
      </c>
      <c r="P28" s="98"/>
      <c r="R28" s="53"/>
      <c r="S28" s="53"/>
      <c r="T28" s="53"/>
    </row>
    <row r="29" spans="1:20" s="41" customFormat="1" ht="31.5" hidden="1" customHeight="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c r="R29" s="53"/>
      <c r="S29" s="53"/>
      <c r="T29" s="53"/>
    </row>
    <row r="30" spans="1:20" s="41" customFormat="1" ht="26.25" customHeight="1" thickTop="1" x14ac:dyDescent="0.25">
      <c r="A30" s="99">
        <v>21300</v>
      </c>
      <c r="B30" s="99" t="s">
        <v>49</v>
      </c>
      <c r="C30" s="100">
        <f t="shared" ref="C30:C44" si="1">L30</f>
        <v>31319</v>
      </c>
      <c r="D30" s="104" t="s">
        <v>47</v>
      </c>
      <c r="E30" s="110" t="s">
        <v>47</v>
      </c>
      <c r="F30" s="111" t="s">
        <v>47</v>
      </c>
      <c r="G30" s="104" t="s">
        <v>47</v>
      </c>
      <c r="H30" s="105" t="s">
        <v>47</v>
      </c>
      <c r="I30" s="106" t="s">
        <v>47</v>
      </c>
      <c r="J30" s="112">
        <f>SUM(J31,J35,J37,J40)</f>
        <v>31319</v>
      </c>
      <c r="K30" s="113">
        <f>SUM(K31,K35,K37,K40)</f>
        <v>0</v>
      </c>
      <c r="L30" s="114">
        <f t="shared" ref="L30:L44" si="2">J30+K30</f>
        <v>31319</v>
      </c>
      <c r="M30" s="107" t="s">
        <v>47</v>
      </c>
      <c r="N30" s="108" t="s">
        <v>47</v>
      </c>
      <c r="O30" s="106" t="s">
        <v>47</v>
      </c>
      <c r="P30" s="109"/>
      <c r="R30" s="53"/>
      <c r="S30" s="53"/>
      <c r="T30" s="53"/>
    </row>
    <row r="31" spans="1:20" s="41" customFormat="1" x14ac:dyDescent="0.25">
      <c r="A31" s="115">
        <v>21350</v>
      </c>
      <c r="B31" s="99" t="s">
        <v>50</v>
      </c>
      <c r="C31" s="100">
        <f t="shared" si="1"/>
        <v>29054</v>
      </c>
      <c r="D31" s="104" t="s">
        <v>47</v>
      </c>
      <c r="E31" s="110" t="s">
        <v>47</v>
      </c>
      <c r="F31" s="111" t="s">
        <v>47</v>
      </c>
      <c r="G31" s="104" t="s">
        <v>47</v>
      </c>
      <c r="H31" s="105" t="s">
        <v>47</v>
      </c>
      <c r="I31" s="106" t="s">
        <v>47</v>
      </c>
      <c r="J31" s="112">
        <f>SUM(J32:J34)</f>
        <v>29054</v>
      </c>
      <c r="K31" s="113">
        <f>SUM(K32:K34)</f>
        <v>0</v>
      </c>
      <c r="L31" s="114">
        <f t="shared" si="2"/>
        <v>29054</v>
      </c>
      <c r="M31" s="107" t="s">
        <v>47</v>
      </c>
      <c r="N31" s="108" t="s">
        <v>47</v>
      </c>
      <c r="O31" s="106" t="s">
        <v>47</v>
      </c>
      <c r="P31" s="109"/>
      <c r="R31" s="53"/>
      <c r="S31" s="53"/>
      <c r="T31" s="53"/>
    </row>
    <row r="32" spans="1:20" hidden="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c r="R32" s="53"/>
      <c r="S32" s="53"/>
      <c r="T32" s="53"/>
    </row>
    <row r="33" spans="1:20" x14ac:dyDescent="0.25">
      <c r="A33" s="75">
        <v>21352</v>
      </c>
      <c r="B33" s="127" t="s">
        <v>52</v>
      </c>
      <c r="C33" s="128">
        <f t="shared" si="1"/>
        <v>11124</v>
      </c>
      <c r="D33" s="129" t="s">
        <v>47</v>
      </c>
      <c r="E33" s="130" t="s">
        <v>47</v>
      </c>
      <c r="F33" s="131" t="s">
        <v>47</v>
      </c>
      <c r="G33" s="129" t="s">
        <v>47</v>
      </c>
      <c r="H33" s="132" t="s">
        <v>47</v>
      </c>
      <c r="I33" s="133" t="s">
        <v>47</v>
      </c>
      <c r="J33" s="134">
        <v>11124</v>
      </c>
      <c r="K33" s="135"/>
      <c r="L33" s="136">
        <f t="shared" si="2"/>
        <v>11124</v>
      </c>
      <c r="M33" s="137" t="s">
        <v>47</v>
      </c>
      <c r="N33" s="138" t="s">
        <v>47</v>
      </c>
      <c r="O33" s="133" t="s">
        <v>47</v>
      </c>
      <c r="P33" s="85"/>
      <c r="R33" s="53"/>
      <c r="S33" s="53"/>
      <c r="T33" s="53"/>
    </row>
    <row r="34" spans="1:20" ht="24" x14ac:dyDescent="0.25">
      <c r="A34" s="75">
        <v>21359</v>
      </c>
      <c r="B34" s="127" t="s">
        <v>53</v>
      </c>
      <c r="C34" s="128">
        <f t="shared" si="1"/>
        <v>17930</v>
      </c>
      <c r="D34" s="129" t="s">
        <v>47</v>
      </c>
      <c r="E34" s="130" t="s">
        <v>47</v>
      </c>
      <c r="F34" s="131" t="s">
        <v>47</v>
      </c>
      <c r="G34" s="129" t="s">
        <v>47</v>
      </c>
      <c r="H34" s="132" t="s">
        <v>47</v>
      </c>
      <c r="I34" s="133" t="s">
        <v>47</v>
      </c>
      <c r="J34" s="134">
        <v>17930</v>
      </c>
      <c r="K34" s="135"/>
      <c r="L34" s="136">
        <f t="shared" si="2"/>
        <v>17930</v>
      </c>
      <c r="M34" s="137" t="s">
        <v>47</v>
      </c>
      <c r="N34" s="138" t="s">
        <v>47</v>
      </c>
      <c r="O34" s="133" t="s">
        <v>47</v>
      </c>
      <c r="P34" s="85"/>
      <c r="R34" s="53"/>
      <c r="S34" s="53"/>
      <c r="T34" s="53"/>
    </row>
    <row r="35" spans="1:20" s="41" customFormat="1" ht="36" hidden="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c r="R35" s="53"/>
      <c r="S35" s="53"/>
      <c r="T35" s="53"/>
    </row>
    <row r="36" spans="1:20" ht="36" hidden="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c r="R36" s="53"/>
      <c r="S36" s="53"/>
      <c r="T36" s="53"/>
    </row>
    <row r="37" spans="1:20" s="41" customFormat="1" x14ac:dyDescent="0.25">
      <c r="A37" s="115">
        <v>21380</v>
      </c>
      <c r="B37" s="99" t="s">
        <v>56</v>
      </c>
      <c r="C37" s="100">
        <f t="shared" si="1"/>
        <v>1965</v>
      </c>
      <c r="D37" s="104" t="s">
        <v>47</v>
      </c>
      <c r="E37" s="110" t="s">
        <v>47</v>
      </c>
      <c r="F37" s="111" t="s">
        <v>47</v>
      </c>
      <c r="G37" s="104" t="s">
        <v>47</v>
      </c>
      <c r="H37" s="105" t="s">
        <v>47</v>
      </c>
      <c r="I37" s="106" t="s">
        <v>47</v>
      </c>
      <c r="J37" s="112">
        <f>SUM(J38:J39)</f>
        <v>1965</v>
      </c>
      <c r="K37" s="113">
        <f>SUM(K38:K39)</f>
        <v>0</v>
      </c>
      <c r="L37" s="114">
        <f t="shared" si="2"/>
        <v>1965</v>
      </c>
      <c r="M37" s="107" t="s">
        <v>47</v>
      </c>
      <c r="N37" s="108" t="s">
        <v>47</v>
      </c>
      <c r="O37" s="106" t="s">
        <v>47</v>
      </c>
      <c r="P37" s="109"/>
      <c r="R37" s="53"/>
      <c r="S37" s="53"/>
      <c r="T37" s="53"/>
    </row>
    <row r="38" spans="1:20" x14ac:dyDescent="0.25">
      <c r="A38" s="66">
        <v>21381</v>
      </c>
      <c r="B38" s="116" t="s">
        <v>57</v>
      </c>
      <c r="C38" s="117">
        <f t="shared" si="1"/>
        <v>1815</v>
      </c>
      <c r="D38" s="118" t="s">
        <v>47</v>
      </c>
      <c r="E38" s="154" t="s">
        <v>47</v>
      </c>
      <c r="F38" s="155" t="s">
        <v>47</v>
      </c>
      <c r="G38" s="118" t="s">
        <v>47</v>
      </c>
      <c r="H38" s="121" t="s">
        <v>47</v>
      </c>
      <c r="I38" s="122" t="s">
        <v>47</v>
      </c>
      <c r="J38" s="123">
        <v>1815</v>
      </c>
      <c r="K38" s="124"/>
      <c r="L38" s="125">
        <f t="shared" si="2"/>
        <v>1815</v>
      </c>
      <c r="M38" s="126" t="s">
        <v>47</v>
      </c>
      <c r="N38" s="119" t="s">
        <v>47</v>
      </c>
      <c r="O38" s="122" t="s">
        <v>47</v>
      </c>
      <c r="P38" s="74"/>
      <c r="R38" s="53"/>
      <c r="S38" s="53"/>
      <c r="T38" s="53"/>
    </row>
    <row r="39" spans="1:20" ht="24" x14ac:dyDescent="0.25">
      <c r="A39" s="76">
        <v>21383</v>
      </c>
      <c r="B39" s="127" t="s">
        <v>58</v>
      </c>
      <c r="C39" s="128">
        <f t="shared" si="1"/>
        <v>150</v>
      </c>
      <c r="D39" s="129" t="s">
        <v>47</v>
      </c>
      <c r="E39" s="130" t="s">
        <v>47</v>
      </c>
      <c r="F39" s="131" t="s">
        <v>47</v>
      </c>
      <c r="G39" s="129" t="s">
        <v>47</v>
      </c>
      <c r="H39" s="132" t="s">
        <v>47</v>
      </c>
      <c r="I39" s="133" t="s">
        <v>47</v>
      </c>
      <c r="J39" s="134">
        <v>150</v>
      </c>
      <c r="K39" s="135"/>
      <c r="L39" s="136">
        <f t="shared" si="2"/>
        <v>150</v>
      </c>
      <c r="M39" s="137" t="s">
        <v>47</v>
      </c>
      <c r="N39" s="138" t="s">
        <v>47</v>
      </c>
      <c r="O39" s="133" t="s">
        <v>47</v>
      </c>
      <c r="P39" s="85"/>
      <c r="R39" s="53"/>
      <c r="S39" s="53"/>
      <c r="T39" s="53"/>
    </row>
    <row r="40" spans="1:20" s="41" customFormat="1" ht="24" x14ac:dyDescent="0.25">
      <c r="A40" s="115">
        <v>21390</v>
      </c>
      <c r="B40" s="99" t="s">
        <v>59</v>
      </c>
      <c r="C40" s="100">
        <f t="shared" si="1"/>
        <v>300</v>
      </c>
      <c r="D40" s="104" t="s">
        <v>47</v>
      </c>
      <c r="E40" s="110" t="s">
        <v>47</v>
      </c>
      <c r="F40" s="111" t="s">
        <v>47</v>
      </c>
      <c r="G40" s="104" t="s">
        <v>47</v>
      </c>
      <c r="H40" s="105" t="s">
        <v>47</v>
      </c>
      <c r="I40" s="106" t="s">
        <v>47</v>
      </c>
      <c r="J40" s="112">
        <f>SUM(J41:J44)</f>
        <v>300</v>
      </c>
      <c r="K40" s="113">
        <f>SUM(K41:K44)</f>
        <v>0</v>
      </c>
      <c r="L40" s="114">
        <f t="shared" si="2"/>
        <v>300</v>
      </c>
      <c r="M40" s="107" t="s">
        <v>47</v>
      </c>
      <c r="N40" s="108" t="s">
        <v>47</v>
      </c>
      <c r="O40" s="106" t="s">
        <v>47</v>
      </c>
      <c r="P40" s="109"/>
      <c r="R40" s="53"/>
      <c r="S40" s="53"/>
      <c r="T40" s="53"/>
    </row>
    <row r="41" spans="1:20" ht="24" hidden="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c r="R41" s="53"/>
      <c r="S41" s="53"/>
      <c r="T41" s="53"/>
    </row>
    <row r="42" spans="1:20" hidden="1" x14ac:dyDescent="0.25">
      <c r="A42" s="76">
        <v>21393</v>
      </c>
      <c r="B42" s="127" t="s">
        <v>61</v>
      </c>
      <c r="C42" s="128">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c r="R42" s="53"/>
      <c r="S42" s="53"/>
      <c r="T42" s="53"/>
    </row>
    <row r="43" spans="1:20" hidden="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c r="R43" s="53"/>
      <c r="S43" s="53"/>
      <c r="T43" s="53"/>
    </row>
    <row r="44" spans="1:20" x14ac:dyDescent="0.25">
      <c r="A44" s="76">
        <v>21399</v>
      </c>
      <c r="B44" s="127" t="s">
        <v>63</v>
      </c>
      <c r="C44" s="302">
        <f t="shared" si="1"/>
        <v>300</v>
      </c>
      <c r="D44" s="129" t="s">
        <v>47</v>
      </c>
      <c r="E44" s="130" t="s">
        <v>47</v>
      </c>
      <c r="F44" s="131" t="s">
        <v>47</v>
      </c>
      <c r="G44" s="129" t="s">
        <v>47</v>
      </c>
      <c r="H44" s="132" t="s">
        <v>47</v>
      </c>
      <c r="I44" s="133" t="s">
        <v>47</v>
      </c>
      <c r="J44" s="134">
        <v>300</v>
      </c>
      <c r="K44" s="135"/>
      <c r="L44" s="136">
        <f t="shared" si="2"/>
        <v>300</v>
      </c>
      <c r="M44" s="137" t="s">
        <v>47</v>
      </c>
      <c r="N44" s="138" t="s">
        <v>47</v>
      </c>
      <c r="O44" s="133" t="s">
        <v>47</v>
      </c>
      <c r="P44" s="85"/>
      <c r="R44" s="53"/>
      <c r="S44" s="53"/>
      <c r="T44" s="53"/>
    </row>
    <row r="45" spans="1:20" s="41" customFormat="1" ht="24" hidden="1" x14ac:dyDescent="0.25">
      <c r="A45" s="115">
        <v>21420</v>
      </c>
      <c r="B45" s="99" t="s">
        <v>64</v>
      </c>
      <c r="C45" s="156">
        <f>F45</f>
        <v>0</v>
      </c>
      <c r="D45" s="157"/>
      <c r="E45" s="158"/>
      <c r="F45" s="103">
        <f>D45+E45</f>
        <v>0</v>
      </c>
      <c r="G45" s="104" t="s">
        <v>47</v>
      </c>
      <c r="H45" s="105" t="s">
        <v>47</v>
      </c>
      <c r="I45" s="106" t="s">
        <v>47</v>
      </c>
      <c r="J45" s="104" t="s">
        <v>47</v>
      </c>
      <c r="K45" s="105" t="s">
        <v>47</v>
      </c>
      <c r="L45" s="106" t="s">
        <v>47</v>
      </c>
      <c r="M45" s="107" t="s">
        <v>47</v>
      </c>
      <c r="N45" s="108" t="s">
        <v>47</v>
      </c>
      <c r="O45" s="106" t="s">
        <v>47</v>
      </c>
      <c r="P45" s="109"/>
      <c r="R45" s="53"/>
      <c r="S45" s="53"/>
      <c r="T45" s="53"/>
    </row>
    <row r="46" spans="1:20" s="41" customFormat="1" ht="24" x14ac:dyDescent="0.25">
      <c r="A46" s="159">
        <v>21490</v>
      </c>
      <c r="B46" s="160" t="s">
        <v>65</v>
      </c>
      <c r="C46" s="156">
        <f>F46+I46+L46</f>
        <v>15741</v>
      </c>
      <c r="D46" s="161">
        <f>D47</f>
        <v>0</v>
      </c>
      <c r="E46" s="672">
        <f>E47</f>
        <v>0</v>
      </c>
      <c r="F46" s="774">
        <f>D46+E46</f>
        <v>0</v>
      </c>
      <c r="G46" s="161">
        <f>G47</f>
        <v>0</v>
      </c>
      <c r="H46" s="164">
        <f t="shared" ref="H46:K46" si="3">H47</f>
        <v>0</v>
      </c>
      <c r="I46" s="165">
        <f>G46+H46</f>
        <v>0</v>
      </c>
      <c r="J46" s="161">
        <f>J47</f>
        <v>15741</v>
      </c>
      <c r="K46" s="164">
        <f t="shared" si="3"/>
        <v>0</v>
      </c>
      <c r="L46" s="165">
        <f>J46+K46</f>
        <v>15741</v>
      </c>
      <c r="M46" s="107" t="s">
        <v>47</v>
      </c>
      <c r="N46" s="108" t="s">
        <v>47</v>
      </c>
      <c r="O46" s="106" t="s">
        <v>47</v>
      </c>
      <c r="P46" s="109"/>
      <c r="R46" s="53"/>
      <c r="S46" s="53"/>
      <c r="T46" s="53"/>
    </row>
    <row r="47" spans="1:20" s="41" customFormat="1" ht="24" x14ac:dyDescent="0.25">
      <c r="A47" s="76">
        <v>21499</v>
      </c>
      <c r="B47" s="127" t="s">
        <v>66</v>
      </c>
      <c r="C47" s="166">
        <f>F47+I47+L47</f>
        <v>15741</v>
      </c>
      <c r="D47" s="68"/>
      <c r="E47" s="673"/>
      <c r="F47" s="638">
        <f>D47+E47</f>
        <v>0</v>
      </c>
      <c r="G47" s="167"/>
      <c r="H47" s="71"/>
      <c r="I47" s="628">
        <f>G47+H47</f>
        <v>0</v>
      </c>
      <c r="J47" s="68">
        <v>15741</v>
      </c>
      <c r="K47" s="71"/>
      <c r="L47" s="628">
        <f>J47+K47</f>
        <v>15741</v>
      </c>
      <c r="M47" s="152" t="s">
        <v>47</v>
      </c>
      <c r="N47" s="145" t="s">
        <v>47</v>
      </c>
      <c r="O47" s="148" t="s">
        <v>47</v>
      </c>
      <c r="P47" s="153"/>
      <c r="R47" s="53"/>
      <c r="S47" s="53"/>
      <c r="T47" s="53"/>
    </row>
    <row r="48" spans="1:20" hidden="1" x14ac:dyDescent="0.25">
      <c r="A48" s="168">
        <v>23000</v>
      </c>
      <c r="B48" s="169" t="s">
        <v>67</v>
      </c>
      <c r="C48" s="156">
        <f>O48</f>
        <v>0</v>
      </c>
      <c r="D48" s="170" t="s">
        <v>47</v>
      </c>
      <c r="E48" s="171" t="s">
        <v>47</v>
      </c>
      <c r="F48" s="172" t="s">
        <v>47</v>
      </c>
      <c r="G48" s="170" t="s">
        <v>47</v>
      </c>
      <c r="H48" s="173" t="s">
        <v>47</v>
      </c>
      <c r="I48" s="174" t="s">
        <v>47</v>
      </c>
      <c r="J48" s="170" t="s">
        <v>47</v>
      </c>
      <c r="K48" s="173" t="s">
        <v>47</v>
      </c>
      <c r="L48" s="174" t="s">
        <v>47</v>
      </c>
      <c r="M48" s="175">
        <f>SUM(M49:M50)</f>
        <v>0</v>
      </c>
      <c r="N48" s="176">
        <f>SUM(N49:N50)</f>
        <v>0</v>
      </c>
      <c r="O48" s="177">
        <f>M48+N48</f>
        <v>0</v>
      </c>
      <c r="P48" s="109"/>
      <c r="R48" s="53"/>
      <c r="S48" s="53"/>
      <c r="T48" s="53"/>
    </row>
    <row r="49" spans="1:20" ht="24" hidden="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c r="R49" s="53"/>
      <c r="S49" s="53"/>
      <c r="T49" s="53"/>
    </row>
    <row r="50" spans="1:20" ht="24" hidden="1" x14ac:dyDescent="0.25">
      <c r="A50" s="178">
        <v>23510</v>
      </c>
      <c r="B50" s="179" t="s">
        <v>69</v>
      </c>
      <c r="C50" s="180">
        <f>O50</f>
        <v>0</v>
      </c>
      <c r="D50" s="181" t="s">
        <v>47</v>
      </c>
      <c r="E50" s="182" t="s">
        <v>47</v>
      </c>
      <c r="F50" s="183" t="s">
        <v>47</v>
      </c>
      <c r="G50" s="181" t="s">
        <v>47</v>
      </c>
      <c r="H50" s="184" t="s">
        <v>47</v>
      </c>
      <c r="I50" s="185" t="s">
        <v>47</v>
      </c>
      <c r="J50" s="181" t="s">
        <v>47</v>
      </c>
      <c r="K50" s="184" t="s">
        <v>47</v>
      </c>
      <c r="L50" s="185" t="s">
        <v>47</v>
      </c>
      <c r="M50" s="186"/>
      <c r="N50" s="187"/>
      <c r="O50" s="188">
        <f>M50+N50</f>
        <v>0</v>
      </c>
      <c r="P50" s="189"/>
      <c r="R50" s="53"/>
      <c r="S50" s="53"/>
      <c r="T50" s="53"/>
    </row>
    <row r="51" spans="1:20" x14ac:dyDescent="0.25">
      <c r="A51" s="190"/>
      <c r="B51" s="179"/>
      <c r="C51" s="191"/>
      <c r="D51" s="192"/>
      <c r="E51" s="193"/>
      <c r="F51" s="194"/>
      <c r="G51" s="192"/>
      <c r="H51" s="195"/>
      <c r="I51" s="185"/>
      <c r="J51" s="196"/>
      <c r="K51" s="197"/>
      <c r="L51" s="188"/>
      <c r="M51" s="186"/>
      <c r="N51" s="187"/>
      <c r="O51" s="188"/>
      <c r="P51" s="189"/>
      <c r="R51" s="53"/>
      <c r="S51" s="53"/>
      <c r="T51" s="53"/>
    </row>
    <row r="52" spans="1:20" s="41" customFormat="1" x14ac:dyDescent="0.25">
      <c r="A52" s="198"/>
      <c r="B52" s="199" t="s">
        <v>70</v>
      </c>
      <c r="C52" s="200"/>
      <c r="D52" s="201"/>
      <c r="E52" s="202"/>
      <c r="F52" s="203"/>
      <c r="G52" s="201"/>
      <c r="H52" s="204"/>
      <c r="I52" s="205"/>
      <c r="J52" s="201"/>
      <c r="K52" s="204"/>
      <c r="L52" s="205"/>
      <c r="M52" s="206"/>
      <c r="N52" s="207"/>
      <c r="O52" s="205"/>
      <c r="P52" s="208"/>
      <c r="R52" s="53"/>
      <c r="S52" s="53"/>
      <c r="T52" s="53"/>
    </row>
    <row r="53" spans="1:20" s="41" customFormat="1" ht="12.75" thickBot="1" x14ac:dyDescent="0.3">
      <c r="A53" s="209"/>
      <c r="B53" s="42" t="s">
        <v>71</v>
      </c>
      <c r="C53" s="210">
        <f t="shared" ref="C53:C116" si="4">F53+I53+L53+O53</f>
        <v>660591</v>
      </c>
      <c r="D53" s="211">
        <f>SUM(D54,D284)</f>
        <v>426714</v>
      </c>
      <c r="E53" s="212">
        <f>SUM(E54,E284)</f>
        <v>0</v>
      </c>
      <c r="F53" s="213">
        <f t="shared" ref="F53:F117" si="5">D53+E53</f>
        <v>426714</v>
      </c>
      <c r="G53" s="211">
        <f>SUM(G54,G284)</f>
        <v>179035</v>
      </c>
      <c r="H53" s="214">
        <f>SUM(H54,H284)</f>
        <v>0</v>
      </c>
      <c r="I53" s="215">
        <f t="shared" ref="I53:I117" si="6">G53+H53</f>
        <v>179035</v>
      </c>
      <c r="J53" s="211">
        <f>SUM(J54,J284)</f>
        <v>54842</v>
      </c>
      <c r="K53" s="214">
        <f>SUM(K54,K284)</f>
        <v>0</v>
      </c>
      <c r="L53" s="215">
        <f t="shared" ref="L53:L117" si="7">J53+K53</f>
        <v>54842</v>
      </c>
      <c r="M53" s="216">
        <f>SUM(M54,M284)</f>
        <v>0</v>
      </c>
      <c r="N53" s="217">
        <f>SUM(N54,N284)</f>
        <v>0</v>
      </c>
      <c r="O53" s="215">
        <f t="shared" ref="O53:O117" si="8">M53+N53</f>
        <v>0</v>
      </c>
      <c r="P53" s="52"/>
      <c r="R53" s="53"/>
      <c r="S53" s="53"/>
      <c r="T53" s="53"/>
    </row>
    <row r="54" spans="1:20" s="41" customFormat="1" ht="36.75" thickTop="1" x14ac:dyDescent="0.25">
      <c r="A54" s="218"/>
      <c r="B54" s="219" t="s">
        <v>72</v>
      </c>
      <c r="C54" s="220">
        <f t="shared" si="4"/>
        <v>660591</v>
      </c>
      <c r="D54" s="221">
        <f>SUM(D55,D197)</f>
        <v>426714</v>
      </c>
      <c r="E54" s="222">
        <f>SUM(E55,E197)</f>
        <v>0</v>
      </c>
      <c r="F54" s="223">
        <f t="shared" si="5"/>
        <v>426714</v>
      </c>
      <c r="G54" s="221">
        <f>SUM(G55,G197)</f>
        <v>179035</v>
      </c>
      <c r="H54" s="224">
        <f>SUM(H55,H197)</f>
        <v>0</v>
      </c>
      <c r="I54" s="225">
        <f t="shared" si="6"/>
        <v>179035</v>
      </c>
      <c r="J54" s="221">
        <f>SUM(J55,J197)</f>
        <v>54842</v>
      </c>
      <c r="K54" s="224">
        <f>SUM(K55,K197)</f>
        <v>0</v>
      </c>
      <c r="L54" s="225">
        <f t="shared" si="7"/>
        <v>54842</v>
      </c>
      <c r="M54" s="226">
        <f>SUM(M55,M197)</f>
        <v>0</v>
      </c>
      <c r="N54" s="227">
        <f>SUM(N55,N197)</f>
        <v>0</v>
      </c>
      <c r="O54" s="225">
        <f t="shared" si="8"/>
        <v>0</v>
      </c>
      <c r="P54" s="228"/>
      <c r="R54" s="53"/>
      <c r="S54" s="53"/>
      <c r="T54" s="53"/>
    </row>
    <row r="55" spans="1:20" s="41" customFormat="1" ht="24" x14ac:dyDescent="0.25">
      <c r="A55" s="35"/>
      <c r="B55" s="30" t="s">
        <v>73</v>
      </c>
      <c r="C55" s="229">
        <f t="shared" si="4"/>
        <v>642318</v>
      </c>
      <c r="D55" s="230">
        <f>SUM(D56,D78,D176,D190)</f>
        <v>412204</v>
      </c>
      <c r="E55" s="231">
        <f>SUM(E56,E78,E176,E190)</f>
        <v>0</v>
      </c>
      <c r="F55" s="232">
        <f t="shared" si="5"/>
        <v>412204</v>
      </c>
      <c r="G55" s="230">
        <f>SUM(G56,G78,G176,G190)</f>
        <v>177872</v>
      </c>
      <c r="H55" s="233">
        <f>SUM(H56,H78,H176,H190)</f>
        <v>0</v>
      </c>
      <c r="I55" s="234">
        <f t="shared" si="6"/>
        <v>177872</v>
      </c>
      <c r="J55" s="230">
        <f>SUM(J56,J78,J176,J190)</f>
        <v>52242</v>
      </c>
      <c r="K55" s="233">
        <f>SUM(K56,K78,K176,K190)</f>
        <v>0</v>
      </c>
      <c r="L55" s="234">
        <f t="shared" si="7"/>
        <v>52242</v>
      </c>
      <c r="M55" s="53">
        <f>SUM(M56,M78,M176,M190)</f>
        <v>0</v>
      </c>
      <c r="N55" s="235">
        <f>SUM(N56,N78,N176,N190)</f>
        <v>0</v>
      </c>
      <c r="O55" s="234">
        <f t="shared" si="8"/>
        <v>0</v>
      </c>
      <c r="P55" s="236"/>
      <c r="R55" s="53"/>
      <c r="S55" s="53"/>
      <c r="T55" s="53"/>
    </row>
    <row r="56" spans="1:20" s="41" customFormat="1" x14ac:dyDescent="0.25">
      <c r="A56" s="237">
        <v>1000</v>
      </c>
      <c r="B56" s="237" t="s">
        <v>74</v>
      </c>
      <c r="C56" s="238">
        <f t="shared" si="4"/>
        <v>530439</v>
      </c>
      <c r="D56" s="239">
        <f>SUM(D57,D70)</f>
        <v>335934</v>
      </c>
      <c r="E56" s="240">
        <f>SUM(E57,E70)</f>
        <v>0</v>
      </c>
      <c r="F56" s="241">
        <f t="shared" si="5"/>
        <v>335934</v>
      </c>
      <c r="G56" s="239">
        <f>SUM(G57,G70)</f>
        <v>175572</v>
      </c>
      <c r="H56" s="242">
        <f>SUM(H57,H70)</f>
        <v>0</v>
      </c>
      <c r="I56" s="243">
        <f t="shared" si="6"/>
        <v>175572</v>
      </c>
      <c r="J56" s="239">
        <f>SUM(J57,J70)</f>
        <v>18933</v>
      </c>
      <c r="K56" s="242">
        <f>SUM(K57,K70)</f>
        <v>0</v>
      </c>
      <c r="L56" s="243">
        <f t="shared" si="7"/>
        <v>18933</v>
      </c>
      <c r="M56" s="244">
        <f>SUM(M57,M70)</f>
        <v>0</v>
      </c>
      <c r="N56" s="245">
        <f>SUM(N57,N70)</f>
        <v>0</v>
      </c>
      <c r="O56" s="243">
        <f t="shared" si="8"/>
        <v>0</v>
      </c>
      <c r="P56" s="246"/>
      <c r="R56" s="53"/>
      <c r="S56" s="53"/>
      <c r="T56" s="53"/>
    </row>
    <row r="57" spans="1:20" x14ac:dyDescent="0.25">
      <c r="A57" s="99">
        <v>1100</v>
      </c>
      <c r="B57" s="247" t="s">
        <v>75</v>
      </c>
      <c r="C57" s="100">
        <f t="shared" si="4"/>
        <v>402336</v>
      </c>
      <c r="D57" s="112">
        <f>SUM(D58,D61,D69)</f>
        <v>246768</v>
      </c>
      <c r="E57" s="248">
        <f>SUM(E58,E61,E69)</f>
        <v>0</v>
      </c>
      <c r="F57" s="249">
        <f t="shared" si="5"/>
        <v>246768</v>
      </c>
      <c r="G57" s="112">
        <f>SUM(G58,G61,G69)</f>
        <v>140349</v>
      </c>
      <c r="H57" s="113">
        <f>SUM(H58,H61,H69)</f>
        <v>0</v>
      </c>
      <c r="I57" s="114">
        <f t="shared" si="6"/>
        <v>140349</v>
      </c>
      <c r="J57" s="112">
        <f>SUM(J58,J61,J69)</f>
        <v>15219</v>
      </c>
      <c r="K57" s="113">
        <f>SUM(K58,K61,K69)</f>
        <v>0</v>
      </c>
      <c r="L57" s="114">
        <f t="shared" si="7"/>
        <v>15219</v>
      </c>
      <c r="M57" s="250">
        <f>SUM(M58,M61,M69)</f>
        <v>0</v>
      </c>
      <c r="N57" s="251">
        <f>SUM(N58,N61,N69)</f>
        <v>0</v>
      </c>
      <c r="O57" s="252">
        <f t="shared" si="8"/>
        <v>0</v>
      </c>
      <c r="P57" s="253"/>
      <c r="R57" s="53"/>
      <c r="S57" s="53"/>
      <c r="T57" s="53"/>
    </row>
    <row r="58" spans="1:20" x14ac:dyDescent="0.25">
      <c r="A58" s="254">
        <v>1110</v>
      </c>
      <c r="B58" s="179" t="s">
        <v>76</v>
      </c>
      <c r="C58" s="191">
        <f t="shared" si="4"/>
        <v>375872</v>
      </c>
      <c r="D58" s="255">
        <f>SUM(D59:D60)</f>
        <v>221902</v>
      </c>
      <c r="E58" s="256">
        <f>SUM(E59:E60)</f>
        <v>0</v>
      </c>
      <c r="F58" s="257">
        <f t="shared" si="5"/>
        <v>221902</v>
      </c>
      <c r="G58" s="255">
        <f>SUM(G59:G60)</f>
        <v>138751</v>
      </c>
      <c r="H58" s="258">
        <f>SUM(H59:H60)</f>
        <v>0</v>
      </c>
      <c r="I58" s="259">
        <f t="shared" si="6"/>
        <v>138751</v>
      </c>
      <c r="J58" s="255">
        <f>SUM(J59:J60)</f>
        <v>15219</v>
      </c>
      <c r="K58" s="258">
        <f>SUM(K59:K60)</f>
        <v>0</v>
      </c>
      <c r="L58" s="259">
        <f t="shared" si="7"/>
        <v>15219</v>
      </c>
      <c r="M58" s="260">
        <f>SUM(M59:M60)</f>
        <v>0</v>
      </c>
      <c r="N58" s="261">
        <f>SUM(N59:N60)</f>
        <v>0</v>
      </c>
      <c r="O58" s="259">
        <f t="shared" si="8"/>
        <v>0</v>
      </c>
      <c r="P58" s="189"/>
      <c r="R58" s="53"/>
      <c r="S58" s="53"/>
      <c r="T58" s="53"/>
    </row>
    <row r="59" spans="1:20" hidden="1" x14ac:dyDescent="0.25">
      <c r="A59" s="66">
        <v>1111</v>
      </c>
      <c r="B59" s="116" t="s">
        <v>77</v>
      </c>
      <c r="C59" s="117">
        <f t="shared" si="4"/>
        <v>0</v>
      </c>
      <c r="D59" s="123"/>
      <c r="E59" s="262"/>
      <c r="F59" s="263">
        <f t="shared" si="5"/>
        <v>0</v>
      </c>
      <c r="G59" s="123"/>
      <c r="H59" s="124"/>
      <c r="I59" s="125">
        <f t="shared" si="6"/>
        <v>0</v>
      </c>
      <c r="J59" s="123"/>
      <c r="K59" s="124"/>
      <c r="L59" s="125">
        <f t="shared" si="7"/>
        <v>0</v>
      </c>
      <c r="M59" s="264"/>
      <c r="N59" s="262"/>
      <c r="O59" s="125">
        <f t="shared" si="8"/>
        <v>0</v>
      </c>
      <c r="P59" s="74"/>
      <c r="R59" s="53"/>
      <c r="S59" s="53"/>
      <c r="T59" s="53"/>
    </row>
    <row r="60" spans="1:20" x14ac:dyDescent="0.25">
      <c r="A60" s="76">
        <v>1119</v>
      </c>
      <c r="B60" s="127" t="s">
        <v>78</v>
      </c>
      <c r="C60" s="128">
        <f t="shared" si="4"/>
        <v>375872</v>
      </c>
      <c r="D60" s="134">
        <f>220556+1346</f>
        <v>221902</v>
      </c>
      <c r="E60" s="283"/>
      <c r="F60" s="279">
        <f t="shared" si="5"/>
        <v>221902</v>
      </c>
      <c r="G60" s="134">
        <f>141460+250-2919-40</f>
        <v>138751</v>
      </c>
      <c r="H60" s="135"/>
      <c r="I60" s="136">
        <f t="shared" si="6"/>
        <v>138751</v>
      </c>
      <c r="J60" s="134">
        <v>15219</v>
      </c>
      <c r="K60" s="135"/>
      <c r="L60" s="136">
        <f t="shared" si="7"/>
        <v>15219</v>
      </c>
      <c r="M60" s="284"/>
      <c r="N60" s="285"/>
      <c r="O60" s="136">
        <f t="shared" si="8"/>
        <v>0</v>
      </c>
      <c r="P60" s="85"/>
      <c r="R60" s="53"/>
      <c r="S60" s="53"/>
      <c r="T60" s="53"/>
    </row>
    <row r="61" spans="1:20" x14ac:dyDescent="0.25">
      <c r="A61" s="276">
        <v>1140</v>
      </c>
      <c r="B61" s="127" t="s">
        <v>79</v>
      </c>
      <c r="C61" s="128">
        <f t="shared" si="4"/>
        <v>26464</v>
      </c>
      <c r="D61" s="277">
        <f>SUM(D62:D68)</f>
        <v>24866</v>
      </c>
      <c r="E61" s="278">
        <f>SUM(E62:E68)</f>
        <v>0</v>
      </c>
      <c r="F61" s="279">
        <f>D61+E61</f>
        <v>24866</v>
      </c>
      <c r="G61" s="277">
        <f>SUM(G62:G68)</f>
        <v>1598</v>
      </c>
      <c r="H61" s="280">
        <f>SUM(H62:H68)</f>
        <v>0</v>
      </c>
      <c r="I61" s="136">
        <f t="shared" si="6"/>
        <v>1598</v>
      </c>
      <c r="J61" s="277">
        <f>SUM(J62:J68)</f>
        <v>0</v>
      </c>
      <c r="K61" s="280">
        <f>SUM(K62:K68)</f>
        <v>0</v>
      </c>
      <c r="L61" s="136">
        <f t="shared" si="7"/>
        <v>0</v>
      </c>
      <c r="M61" s="281">
        <f>SUM(M62:M68)</f>
        <v>0</v>
      </c>
      <c r="N61" s="282">
        <f>SUM(N62:N68)</f>
        <v>0</v>
      </c>
      <c r="O61" s="136">
        <f t="shared" si="8"/>
        <v>0</v>
      </c>
      <c r="P61" s="85"/>
      <c r="R61" s="53"/>
      <c r="S61" s="53"/>
      <c r="T61" s="53"/>
    </row>
    <row r="62" spans="1:20" hidden="1" x14ac:dyDescent="0.25">
      <c r="A62" s="76">
        <v>1141</v>
      </c>
      <c r="B62" s="127" t="s">
        <v>80</v>
      </c>
      <c r="C62" s="128">
        <f t="shared" si="4"/>
        <v>0</v>
      </c>
      <c r="D62" s="134"/>
      <c r="E62" s="285"/>
      <c r="F62" s="286">
        <f t="shared" si="5"/>
        <v>0</v>
      </c>
      <c r="G62" s="134"/>
      <c r="H62" s="135"/>
      <c r="I62" s="136">
        <f t="shared" si="6"/>
        <v>0</v>
      </c>
      <c r="J62" s="134"/>
      <c r="K62" s="135"/>
      <c r="L62" s="136">
        <f t="shared" si="7"/>
        <v>0</v>
      </c>
      <c r="M62" s="284"/>
      <c r="N62" s="285"/>
      <c r="O62" s="136">
        <f t="shared" si="8"/>
        <v>0</v>
      </c>
      <c r="P62" s="85"/>
      <c r="R62" s="53"/>
      <c r="S62" s="53"/>
      <c r="T62" s="53"/>
    </row>
    <row r="63" spans="1:20" ht="24" hidden="1" x14ac:dyDescent="0.25">
      <c r="A63" s="76">
        <v>1142</v>
      </c>
      <c r="B63" s="127" t="s">
        <v>81</v>
      </c>
      <c r="C63" s="128">
        <f t="shared" si="4"/>
        <v>0</v>
      </c>
      <c r="D63" s="134"/>
      <c r="E63" s="285"/>
      <c r="F63" s="286">
        <f t="shared" si="5"/>
        <v>0</v>
      </c>
      <c r="G63" s="134"/>
      <c r="H63" s="135"/>
      <c r="I63" s="136">
        <f t="shared" si="6"/>
        <v>0</v>
      </c>
      <c r="J63" s="134"/>
      <c r="K63" s="135"/>
      <c r="L63" s="136">
        <f t="shared" si="7"/>
        <v>0</v>
      </c>
      <c r="M63" s="284"/>
      <c r="N63" s="285"/>
      <c r="O63" s="136">
        <f t="shared" si="8"/>
        <v>0</v>
      </c>
      <c r="P63" s="85"/>
      <c r="R63" s="53"/>
      <c r="S63" s="53"/>
      <c r="T63" s="53"/>
    </row>
    <row r="64" spans="1:20" ht="24" hidden="1" x14ac:dyDescent="0.25">
      <c r="A64" s="76">
        <v>1145</v>
      </c>
      <c r="B64" s="127" t="s">
        <v>82</v>
      </c>
      <c r="C64" s="128">
        <f t="shared" si="4"/>
        <v>0</v>
      </c>
      <c r="D64" s="134"/>
      <c r="E64" s="285"/>
      <c r="F64" s="286">
        <f t="shared" si="5"/>
        <v>0</v>
      </c>
      <c r="G64" s="134"/>
      <c r="H64" s="135"/>
      <c r="I64" s="136">
        <f t="shared" si="6"/>
        <v>0</v>
      </c>
      <c r="J64" s="134"/>
      <c r="K64" s="135"/>
      <c r="L64" s="136">
        <f t="shared" si="7"/>
        <v>0</v>
      </c>
      <c r="M64" s="284"/>
      <c r="N64" s="285"/>
      <c r="O64" s="136">
        <f t="shared" si="8"/>
        <v>0</v>
      </c>
      <c r="P64" s="85"/>
      <c r="R64" s="53"/>
      <c r="S64" s="53"/>
      <c r="T64" s="53"/>
    </row>
    <row r="65" spans="1:20" ht="24" hidden="1" x14ac:dyDescent="0.25">
      <c r="A65" s="76">
        <v>1146</v>
      </c>
      <c r="B65" s="127" t="s">
        <v>83</v>
      </c>
      <c r="C65" s="128">
        <f t="shared" si="4"/>
        <v>0</v>
      </c>
      <c r="D65" s="134"/>
      <c r="E65" s="285"/>
      <c r="F65" s="286">
        <f t="shared" si="5"/>
        <v>0</v>
      </c>
      <c r="G65" s="134"/>
      <c r="H65" s="135"/>
      <c r="I65" s="136">
        <f t="shared" si="6"/>
        <v>0</v>
      </c>
      <c r="J65" s="134"/>
      <c r="K65" s="135"/>
      <c r="L65" s="136">
        <f t="shared" si="7"/>
        <v>0</v>
      </c>
      <c r="M65" s="284"/>
      <c r="N65" s="285"/>
      <c r="O65" s="136">
        <f t="shared" si="8"/>
        <v>0</v>
      </c>
      <c r="P65" s="85"/>
      <c r="R65" s="53"/>
      <c r="S65" s="53"/>
      <c r="T65" s="53"/>
    </row>
    <row r="66" spans="1:20" x14ac:dyDescent="0.25">
      <c r="A66" s="76">
        <v>1147</v>
      </c>
      <c r="B66" s="127" t="s">
        <v>84</v>
      </c>
      <c r="C66" s="128">
        <f t="shared" si="4"/>
        <v>1682</v>
      </c>
      <c r="D66" s="134">
        <f>3174-1492</f>
        <v>1682</v>
      </c>
      <c r="E66" s="283"/>
      <c r="F66" s="279">
        <f t="shared" si="5"/>
        <v>1682</v>
      </c>
      <c r="G66" s="134"/>
      <c r="H66" s="135"/>
      <c r="I66" s="136">
        <f t="shared" si="6"/>
        <v>0</v>
      </c>
      <c r="J66" s="134"/>
      <c r="K66" s="135"/>
      <c r="L66" s="136">
        <f t="shared" si="7"/>
        <v>0</v>
      </c>
      <c r="M66" s="284"/>
      <c r="N66" s="285"/>
      <c r="O66" s="136">
        <f t="shared" si="8"/>
        <v>0</v>
      </c>
      <c r="P66" s="85"/>
      <c r="R66" s="53"/>
      <c r="S66" s="53"/>
      <c r="T66" s="53"/>
    </row>
    <row r="67" spans="1:20" x14ac:dyDescent="0.25">
      <c r="A67" s="76">
        <v>1148</v>
      </c>
      <c r="B67" s="127" t="s">
        <v>85</v>
      </c>
      <c r="C67" s="128">
        <f t="shared" si="4"/>
        <v>22130</v>
      </c>
      <c r="D67" s="134">
        <f>16567+5563</f>
        <v>22130</v>
      </c>
      <c r="E67" s="283"/>
      <c r="F67" s="279">
        <f t="shared" si="5"/>
        <v>22130</v>
      </c>
      <c r="G67" s="134"/>
      <c r="H67" s="135"/>
      <c r="I67" s="136">
        <f t="shared" si="6"/>
        <v>0</v>
      </c>
      <c r="J67" s="134"/>
      <c r="K67" s="135"/>
      <c r="L67" s="136">
        <f t="shared" si="7"/>
        <v>0</v>
      </c>
      <c r="M67" s="284"/>
      <c r="N67" s="285"/>
      <c r="O67" s="136">
        <f t="shared" si="8"/>
        <v>0</v>
      </c>
      <c r="P67" s="85"/>
      <c r="R67" s="53"/>
      <c r="S67" s="53"/>
      <c r="T67" s="53"/>
    </row>
    <row r="68" spans="1:20" ht="27.75" customHeight="1" x14ac:dyDescent="0.25">
      <c r="A68" s="76">
        <v>1149</v>
      </c>
      <c r="B68" s="127" t="s">
        <v>86</v>
      </c>
      <c r="C68" s="128">
        <f t="shared" si="4"/>
        <v>2652</v>
      </c>
      <c r="D68" s="134">
        <f>1304-250</f>
        <v>1054</v>
      </c>
      <c r="E68" s="283"/>
      <c r="F68" s="279">
        <f t="shared" si="5"/>
        <v>1054</v>
      </c>
      <c r="G68" s="134">
        <f>1815-250+33</f>
        <v>1598</v>
      </c>
      <c r="H68" s="135"/>
      <c r="I68" s="136">
        <f t="shared" si="6"/>
        <v>1598</v>
      </c>
      <c r="J68" s="134"/>
      <c r="K68" s="135"/>
      <c r="L68" s="136">
        <f t="shared" si="7"/>
        <v>0</v>
      </c>
      <c r="M68" s="284"/>
      <c r="N68" s="285"/>
      <c r="O68" s="136">
        <f t="shared" si="8"/>
        <v>0</v>
      </c>
      <c r="P68" s="85"/>
      <c r="R68" s="53"/>
      <c r="S68" s="53"/>
      <c r="T68" s="53"/>
    </row>
    <row r="69" spans="1:20" ht="36" hidden="1" x14ac:dyDescent="0.25">
      <c r="A69" s="254">
        <v>1150</v>
      </c>
      <c r="B69" s="179" t="s">
        <v>87</v>
      </c>
      <c r="C69" s="128">
        <f t="shared" si="4"/>
        <v>0</v>
      </c>
      <c r="D69" s="287"/>
      <c r="E69" s="291"/>
      <c r="F69" s="310">
        <f t="shared" si="5"/>
        <v>0</v>
      </c>
      <c r="G69" s="287"/>
      <c r="H69" s="289"/>
      <c r="I69" s="259">
        <f t="shared" si="6"/>
        <v>0</v>
      </c>
      <c r="J69" s="287"/>
      <c r="K69" s="289"/>
      <c r="L69" s="259">
        <f t="shared" si="7"/>
        <v>0</v>
      </c>
      <c r="M69" s="290"/>
      <c r="N69" s="291"/>
      <c r="O69" s="259">
        <f t="shared" si="8"/>
        <v>0</v>
      </c>
      <c r="P69" s="189"/>
      <c r="R69" s="53"/>
      <c r="S69" s="53"/>
      <c r="T69" s="53"/>
    </row>
    <row r="70" spans="1:20" ht="36" x14ac:dyDescent="0.25">
      <c r="A70" s="99">
        <v>1200</v>
      </c>
      <c r="B70" s="247" t="s">
        <v>88</v>
      </c>
      <c r="C70" s="100">
        <f t="shared" si="4"/>
        <v>128103</v>
      </c>
      <c r="D70" s="112">
        <f>SUM(D71:D72)</f>
        <v>89166</v>
      </c>
      <c r="E70" s="248">
        <f>SUM(E71:E72)</f>
        <v>0</v>
      </c>
      <c r="F70" s="249">
        <f>D70+E70</f>
        <v>89166</v>
      </c>
      <c r="G70" s="112">
        <f>SUM(G71:G72)</f>
        <v>35223</v>
      </c>
      <c r="H70" s="113">
        <f>SUM(H71:H72)</f>
        <v>0</v>
      </c>
      <c r="I70" s="114">
        <f t="shared" si="6"/>
        <v>35223</v>
      </c>
      <c r="J70" s="112">
        <f>SUM(J71:J72)</f>
        <v>3714</v>
      </c>
      <c r="K70" s="113">
        <f>SUM(K71:K72)</f>
        <v>0</v>
      </c>
      <c r="L70" s="114">
        <f t="shared" si="7"/>
        <v>3714</v>
      </c>
      <c r="M70" s="292">
        <f>SUM(M71:M72)</f>
        <v>0</v>
      </c>
      <c r="N70" s="293">
        <f>SUM(N71:N72)</f>
        <v>0</v>
      </c>
      <c r="O70" s="114">
        <f t="shared" si="8"/>
        <v>0</v>
      </c>
      <c r="P70" s="109"/>
      <c r="R70" s="53"/>
      <c r="S70" s="53"/>
      <c r="T70" s="53"/>
    </row>
    <row r="71" spans="1:20" ht="24" x14ac:dyDescent="0.25">
      <c r="A71" s="656">
        <v>1210</v>
      </c>
      <c r="B71" s="116" t="s">
        <v>89</v>
      </c>
      <c r="C71" s="117">
        <f t="shared" si="4"/>
        <v>99443</v>
      </c>
      <c r="D71" s="123">
        <f>60606+1690</f>
        <v>62296</v>
      </c>
      <c r="E71" s="295"/>
      <c r="F71" s="296">
        <f t="shared" si="5"/>
        <v>62296</v>
      </c>
      <c r="G71" s="123">
        <f>34213-680</f>
        <v>33533</v>
      </c>
      <c r="H71" s="124"/>
      <c r="I71" s="125">
        <f t="shared" si="6"/>
        <v>33533</v>
      </c>
      <c r="J71" s="123">
        <v>3614</v>
      </c>
      <c r="K71" s="124"/>
      <c r="L71" s="125">
        <f t="shared" si="7"/>
        <v>3614</v>
      </c>
      <c r="M71" s="264"/>
      <c r="N71" s="262"/>
      <c r="O71" s="125">
        <f t="shared" si="8"/>
        <v>0</v>
      </c>
      <c r="P71" s="74"/>
      <c r="R71" s="53"/>
      <c r="S71" s="53"/>
      <c r="T71" s="53"/>
    </row>
    <row r="72" spans="1:20" ht="24" x14ac:dyDescent="0.25">
      <c r="A72" s="276">
        <v>1220</v>
      </c>
      <c r="B72" s="127" t="s">
        <v>90</v>
      </c>
      <c r="C72" s="128">
        <f t="shared" si="4"/>
        <v>28660</v>
      </c>
      <c r="D72" s="277">
        <f>SUM(D73:D77)</f>
        <v>26870</v>
      </c>
      <c r="E72" s="278">
        <f>SUM(E73:E77)</f>
        <v>0</v>
      </c>
      <c r="F72" s="279">
        <f t="shared" si="5"/>
        <v>26870</v>
      </c>
      <c r="G72" s="277">
        <f>SUM(G73:G77)</f>
        <v>1690</v>
      </c>
      <c r="H72" s="280">
        <f>SUM(H73:H77)</f>
        <v>0</v>
      </c>
      <c r="I72" s="136">
        <f t="shared" si="6"/>
        <v>1690</v>
      </c>
      <c r="J72" s="277">
        <f>SUM(J73:J77)</f>
        <v>100</v>
      </c>
      <c r="K72" s="280">
        <f>SUM(K73:K77)</f>
        <v>0</v>
      </c>
      <c r="L72" s="136">
        <f t="shared" si="7"/>
        <v>100</v>
      </c>
      <c r="M72" s="281">
        <f>SUM(M73:M77)</f>
        <v>0</v>
      </c>
      <c r="N72" s="282">
        <f>SUM(N73:N77)</f>
        <v>0</v>
      </c>
      <c r="O72" s="136">
        <f t="shared" si="8"/>
        <v>0</v>
      </c>
      <c r="P72" s="85"/>
      <c r="R72" s="53"/>
      <c r="S72" s="53"/>
      <c r="T72" s="53"/>
    </row>
    <row r="73" spans="1:20" ht="48" x14ac:dyDescent="0.25">
      <c r="A73" s="76">
        <v>1221</v>
      </c>
      <c r="B73" s="127" t="s">
        <v>91</v>
      </c>
      <c r="C73" s="128">
        <f t="shared" si="4"/>
        <v>17421</v>
      </c>
      <c r="D73" s="134">
        <f>15131+500</f>
        <v>15631</v>
      </c>
      <c r="E73" s="283"/>
      <c r="F73" s="279">
        <f t="shared" si="5"/>
        <v>15631</v>
      </c>
      <c r="G73" s="134">
        <f>1650+40</f>
        <v>1690</v>
      </c>
      <c r="H73" s="135"/>
      <c r="I73" s="136">
        <f t="shared" si="6"/>
        <v>1690</v>
      </c>
      <c r="J73" s="134">
        <v>100</v>
      </c>
      <c r="K73" s="135"/>
      <c r="L73" s="136">
        <f t="shared" si="7"/>
        <v>100</v>
      </c>
      <c r="M73" s="284"/>
      <c r="N73" s="285"/>
      <c r="O73" s="136">
        <f t="shared" si="8"/>
        <v>0</v>
      </c>
      <c r="P73" s="85"/>
      <c r="R73" s="53"/>
      <c r="S73" s="53"/>
      <c r="T73" s="53"/>
    </row>
    <row r="74" spans="1:20" hidden="1" x14ac:dyDescent="0.25">
      <c r="A74" s="76">
        <v>1223</v>
      </c>
      <c r="B74" s="127" t="s">
        <v>92</v>
      </c>
      <c r="C74" s="128">
        <f t="shared" si="4"/>
        <v>0</v>
      </c>
      <c r="D74" s="134"/>
      <c r="E74" s="285"/>
      <c r="F74" s="286">
        <f t="shared" si="5"/>
        <v>0</v>
      </c>
      <c r="G74" s="134"/>
      <c r="H74" s="135"/>
      <c r="I74" s="136">
        <f t="shared" si="6"/>
        <v>0</v>
      </c>
      <c r="J74" s="134"/>
      <c r="K74" s="135"/>
      <c r="L74" s="136">
        <f t="shared" si="7"/>
        <v>0</v>
      </c>
      <c r="M74" s="284"/>
      <c r="N74" s="285"/>
      <c r="O74" s="136">
        <f t="shared" si="8"/>
        <v>0</v>
      </c>
      <c r="P74" s="85"/>
      <c r="R74" s="53"/>
      <c r="S74" s="53"/>
      <c r="T74" s="53"/>
    </row>
    <row r="75" spans="1:20" hidden="1" x14ac:dyDescent="0.25">
      <c r="A75" s="76">
        <v>1225</v>
      </c>
      <c r="B75" s="127" t="s">
        <v>93</v>
      </c>
      <c r="C75" s="128">
        <f t="shared" si="4"/>
        <v>0</v>
      </c>
      <c r="D75" s="134"/>
      <c r="E75" s="285"/>
      <c r="F75" s="286">
        <f t="shared" si="5"/>
        <v>0</v>
      </c>
      <c r="G75" s="134"/>
      <c r="H75" s="135"/>
      <c r="I75" s="136">
        <f t="shared" si="6"/>
        <v>0</v>
      </c>
      <c r="J75" s="134"/>
      <c r="K75" s="135"/>
      <c r="L75" s="136">
        <f t="shared" si="7"/>
        <v>0</v>
      </c>
      <c r="M75" s="284"/>
      <c r="N75" s="285"/>
      <c r="O75" s="136">
        <f t="shared" si="8"/>
        <v>0</v>
      </c>
      <c r="P75" s="85"/>
      <c r="R75" s="53"/>
      <c r="S75" s="53"/>
      <c r="T75" s="53"/>
    </row>
    <row r="76" spans="1:20" ht="24" x14ac:dyDescent="0.25">
      <c r="A76" s="76">
        <v>1227</v>
      </c>
      <c r="B76" s="127" t="s">
        <v>94</v>
      </c>
      <c r="C76" s="128">
        <f t="shared" si="4"/>
        <v>10812</v>
      </c>
      <c r="D76" s="134">
        <f>11739-927</f>
        <v>10812</v>
      </c>
      <c r="E76" s="283"/>
      <c r="F76" s="279">
        <f t="shared" si="5"/>
        <v>10812</v>
      </c>
      <c r="G76" s="134"/>
      <c r="H76" s="135"/>
      <c r="I76" s="136">
        <f t="shared" si="6"/>
        <v>0</v>
      </c>
      <c r="J76" s="134"/>
      <c r="K76" s="135"/>
      <c r="L76" s="136">
        <f t="shared" si="7"/>
        <v>0</v>
      </c>
      <c r="M76" s="284"/>
      <c r="N76" s="285"/>
      <c r="O76" s="136">
        <f t="shared" si="8"/>
        <v>0</v>
      </c>
      <c r="P76" s="85"/>
      <c r="R76" s="53"/>
      <c r="S76" s="53"/>
      <c r="T76" s="53"/>
    </row>
    <row r="77" spans="1:20" ht="48" x14ac:dyDescent="0.25">
      <c r="A77" s="76">
        <v>1228</v>
      </c>
      <c r="B77" s="127" t="s">
        <v>95</v>
      </c>
      <c r="C77" s="128">
        <f t="shared" si="4"/>
        <v>427</v>
      </c>
      <c r="D77" s="134">
        <v>427</v>
      </c>
      <c r="E77" s="283"/>
      <c r="F77" s="279">
        <f t="shared" si="5"/>
        <v>427</v>
      </c>
      <c r="G77" s="134"/>
      <c r="H77" s="135"/>
      <c r="I77" s="136">
        <f t="shared" si="6"/>
        <v>0</v>
      </c>
      <c r="J77" s="134"/>
      <c r="K77" s="135"/>
      <c r="L77" s="136">
        <f t="shared" si="7"/>
        <v>0</v>
      </c>
      <c r="M77" s="284"/>
      <c r="N77" s="285"/>
      <c r="O77" s="136">
        <f t="shared" si="8"/>
        <v>0</v>
      </c>
      <c r="P77" s="85"/>
      <c r="R77" s="53"/>
      <c r="S77" s="53"/>
      <c r="T77" s="53"/>
    </row>
    <row r="78" spans="1:20" x14ac:dyDescent="0.25">
      <c r="A78" s="237">
        <v>2000</v>
      </c>
      <c r="B78" s="237" t="s">
        <v>96</v>
      </c>
      <c r="C78" s="238">
        <f t="shared" si="4"/>
        <v>111879</v>
      </c>
      <c r="D78" s="239">
        <f>SUM(D79,D86,D133,D167,D168,D175)</f>
        <v>76270</v>
      </c>
      <c r="E78" s="240">
        <f>SUM(E79,E86,E133,E167,E168,E175)</f>
        <v>0</v>
      </c>
      <c r="F78" s="241">
        <f t="shared" si="5"/>
        <v>76270</v>
      </c>
      <c r="G78" s="239">
        <f>SUM(G79,G86,G133,G167,G168,G175)</f>
        <v>2300</v>
      </c>
      <c r="H78" s="242">
        <f>SUM(H79,H86,H133,H167,H168,H175)</f>
        <v>0</v>
      </c>
      <c r="I78" s="243">
        <f t="shared" si="6"/>
        <v>2300</v>
      </c>
      <c r="J78" s="239">
        <f>SUM(J79,J86,J133,J167,J168,J175)</f>
        <v>33309</v>
      </c>
      <c r="K78" s="242">
        <f>SUM(K79,K86,K133,K167,K168,K175)</f>
        <v>0</v>
      </c>
      <c r="L78" s="243">
        <f t="shared" si="7"/>
        <v>33309</v>
      </c>
      <c r="M78" s="244">
        <f>SUM(M79,M86,M133,M167,M168,M175)</f>
        <v>0</v>
      </c>
      <c r="N78" s="245">
        <f>SUM(N79,N86,N133,N167,N168,N175)</f>
        <v>0</v>
      </c>
      <c r="O78" s="243">
        <f t="shared" si="8"/>
        <v>0</v>
      </c>
      <c r="P78" s="246"/>
      <c r="R78" s="53"/>
      <c r="S78" s="53"/>
      <c r="T78" s="53"/>
    </row>
    <row r="79" spans="1:20" ht="24" hidden="1" x14ac:dyDescent="0.25">
      <c r="A79" s="99">
        <v>2100</v>
      </c>
      <c r="B79" s="247" t="s">
        <v>97</v>
      </c>
      <c r="C79" s="100">
        <f t="shared" si="4"/>
        <v>0</v>
      </c>
      <c r="D79" s="112">
        <f>SUM(D80,D83)</f>
        <v>0</v>
      </c>
      <c r="E79" s="293">
        <f>SUM(E80,E83)</f>
        <v>0</v>
      </c>
      <c r="F79" s="313">
        <f t="shared" si="5"/>
        <v>0</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c r="R79" s="53"/>
      <c r="S79" s="53"/>
      <c r="T79" s="53"/>
    </row>
    <row r="80" spans="1:20" ht="24" hidden="1" x14ac:dyDescent="0.25">
      <c r="A80" s="656">
        <v>2110</v>
      </c>
      <c r="B80" s="116" t="s">
        <v>98</v>
      </c>
      <c r="C80" s="117">
        <f t="shared" si="4"/>
        <v>0</v>
      </c>
      <c r="D80" s="297">
        <f>SUM(D81:D82)</f>
        <v>0</v>
      </c>
      <c r="E80" s="301">
        <f>SUM(E81:E82)</f>
        <v>0</v>
      </c>
      <c r="F80" s="263">
        <f t="shared" si="5"/>
        <v>0</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c r="R80" s="53"/>
      <c r="S80" s="53"/>
      <c r="T80" s="53"/>
    </row>
    <row r="81" spans="1:20" hidden="1" x14ac:dyDescent="0.25">
      <c r="A81" s="76">
        <v>2111</v>
      </c>
      <c r="B81" s="127" t="s">
        <v>99</v>
      </c>
      <c r="C81" s="128">
        <f t="shared" si="4"/>
        <v>0</v>
      </c>
      <c r="D81" s="134"/>
      <c r="E81" s="285"/>
      <c r="F81" s="286">
        <f t="shared" si="5"/>
        <v>0</v>
      </c>
      <c r="G81" s="134"/>
      <c r="H81" s="135"/>
      <c r="I81" s="136">
        <f t="shared" si="6"/>
        <v>0</v>
      </c>
      <c r="J81" s="134"/>
      <c r="K81" s="135"/>
      <c r="L81" s="136">
        <f t="shared" si="7"/>
        <v>0</v>
      </c>
      <c r="M81" s="284"/>
      <c r="N81" s="285"/>
      <c r="O81" s="136">
        <f t="shared" si="8"/>
        <v>0</v>
      </c>
      <c r="P81" s="85"/>
      <c r="R81" s="53"/>
      <c r="S81" s="53"/>
      <c r="T81" s="53"/>
    </row>
    <row r="82" spans="1:20" ht="24" hidden="1" x14ac:dyDescent="0.25">
      <c r="A82" s="76">
        <v>2112</v>
      </c>
      <c r="B82" s="127" t="s">
        <v>100</v>
      </c>
      <c r="C82" s="128">
        <f t="shared" si="4"/>
        <v>0</v>
      </c>
      <c r="D82" s="134"/>
      <c r="E82" s="285"/>
      <c r="F82" s="286">
        <f t="shared" si="5"/>
        <v>0</v>
      </c>
      <c r="G82" s="134"/>
      <c r="H82" s="135"/>
      <c r="I82" s="136">
        <f t="shared" si="6"/>
        <v>0</v>
      </c>
      <c r="J82" s="134"/>
      <c r="K82" s="135"/>
      <c r="L82" s="136">
        <f t="shared" si="7"/>
        <v>0</v>
      </c>
      <c r="M82" s="284"/>
      <c r="N82" s="285"/>
      <c r="O82" s="136">
        <f t="shared" si="8"/>
        <v>0</v>
      </c>
      <c r="P82" s="85"/>
      <c r="R82" s="53"/>
      <c r="S82" s="53"/>
      <c r="T82" s="53"/>
    </row>
    <row r="83" spans="1:20" ht="24" hidden="1" x14ac:dyDescent="0.25">
      <c r="A83" s="276">
        <v>2120</v>
      </c>
      <c r="B83" s="127" t="s">
        <v>101</v>
      </c>
      <c r="C83" s="128">
        <f t="shared" si="4"/>
        <v>0</v>
      </c>
      <c r="D83" s="277">
        <f>SUM(D84:D85)</f>
        <v>0</v>
      </c>
      <c r="E83" s="282">
        <f>SUM(E84:E85)</f>
        <v>0</v>
      </c>
      <c r="F83" s="28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c r="R83" s="53"/>
      <c r="S83" s="53"/>
      <c r="T83" s="53"/>
    </row>
    <row r="84" spans="1:20" hidden="1" x14ac:dyDescent="0.25">
      <c r="A84" s="76">
        <v>2121</v>
      </c>
      <c r="B84" s="127" t="s">
        <v>99</v>
      </c>
      <c r="C84" s="128">
        <f t="shared" si="4"/>
        <v>0</v>
      </c>
      <c r="D84" s="134"/>
      <c r="E84" s="285"/>
      <c r="F84" s="286">
        <f t="shared" si="5"/>
        <v>0</v>
      </c>
      <c r="G84" s="134"/>
      <c r="H84" s="135"/>
      <c r="I84" s="136">
        <f t="shared" si="6"/>
        <v>0</v>
      </c>
      <c r="J84" s="134"/>
      <c r="K84" s="135"/>
      <c r="L84" s="136">
        <f t="shared" si="7"/>
        <v>0</v>
      </c>
      <c r="M84" s="284"/>
      <c r="N84" s="285"/>
      <c r="O84" s="136">
        <f t="shared" si="8"/>
        <v>0</v>
      </c>
      <c r="P84" s="85"/>
      <c r="R84" s="53"/>
      <c r="S84" s="53"/>
      <c r="T84" s="53"/>
    </row>
    <row r="85" spans="1:20" ht="24" hidden="1" x14ac:dyDescent="0.25">
      <c r="A85" s="76">
        <v>2122</v>
      </c>
      <c r="B85" s="127" t="s">
        <v>100</v>
      </c>
      <c r="C85" s="128">
        <f t="shared" si="4"/>
        <v>0</v>
      </c>
      <c r="D85" s="134"/>
      <c r="E85" s="285"/>
      <c r="F85" s="286">
        <f t="shared" si="5"/>
        <v>0</v>
      </c>
      <c r="G85" s="134"/>
      <c r="H85" s="135"/>
      <c r="I85" s="136">
        <f t="shared" si="6"/>
        <v>0</v>
      </c>
      <c r="J85" s="134"/>
      <c r="K85" s="135"/>
      <c r="L85" s="136">
        <f t="shared" si="7"/>
        <v>0</v>
      </c>
      <c r="M85" s="284"/>
      <c r="N85" s="285"/>
      <c r="O85" s="136">
        <f t="shared" si="8"/>
        <v>0</v>
      </c>
      <c r="P85" s="85"/>
      <c r="R85" s="53"/>
      <c r="S85" s="53"/>
      <c r="T85" s="53"/>
    </row>
    <row r="86" spans="1:20" x14ac:dyDescent="0.25">
      <c r="A86" s="99">
        <v>2200</v>
      </c>
      <c r="B86" s="247" t="s">
        <v>102</v>
      </c>
      <c r="C86" s="302">
        <f t="shared" si="4"/>
        <v>75036</v>
      </c>
      <c r="D86" s="112">
        <f>SUM(D87,D92,D98,D106,D115,D119,D125,D131)</f>
        <v>54897</v>
      </c>
      <c r="E86" s="248">
        <f>SUM(E87,E92,E98,E106,E115,E119,E125,E131)</f>
        <v>0</v>
      </c>
      <c r="F86" s="249">
        <f t="shared" si="5"/>
        <v>54897</v>
      </c>
      <c r="G86" s="112">
        <f>SUM(G87,G92,G98,G106,G115,G119,G125,G131)</f>
        <v>0</v>
      </c>
      <c r="H86" s="113">
        <f>SUM(H87,H92,H98,H106,H115,H119,H125,H131)</f>
        <v>0</v>
      </c>
      <c r="I86" s="114">
        <f t="shared" si="6"/>
        <v>0</v>
      </c>
      <c r="J86" s="112">
        <f>SUM(J87,J92,J98,J106,J115,J119,J125,J131)</f>
        <v>20165</v>
      </c>
      <c r="K86" s="113">
        <f>SUM(K87,K92,K98,K106,K115,K119,K125,K131)</f>
        <v>-26</v>
      </c>
      <c r="L86" s="114">
        <f t="shared" si="7"/>
        <v>20139</v>
      </c>
      <c r="M86" s="303">
        <f>SUM(M87,M92,M98,M106,M115,M119,M125,M131)</f>
        <v>0</v>
      </c>
      <c r="N86" s="304">
        <f>SUM(N87,N92,N98,N106,N115,N119,N125,N131)</f>
        <v>0</v>
      </c>
      <c r="O86" s="305">
        <f t="shared" si="8"/>
        <v>0</v>
      </c>
      <c r="P86" s="306"/>
      <c r="R86" s="53"/>
      <c r="S86" s="53"/>
      <c r="T86" s="53"/>
    </row>
    <row r="87" spans="1:20" x14ac:dyDescent="0.25">
      <c r="A87" s="254">
        <v>2210</v>
      </c>
      <c r="B87" s="179" t="s">
        <v>103</v>
      </c>
      <c r="C87" s="191">
        <f t="shared" si="4"/>
        <v>2572</v>
      </c>
      <c r="D87" s="255">
        <f>SUM(D88:D91)</f>
        <v>1787</v>
      </c>
      <c r="E87" s="256">
        <f>SUM(E88:E91)</f>
        <v>0</v>
      </c>
      <c r="F87" s="257">
        <f t="shared" si="5"/>
        <v>1787</v>
      </c>
      <c r="G87" s="255">
        <f>SUM(G88:G91)</f>
        <v>0</v>
      </c>
      <c r="H87" s="258">
        <f>SUM(H88:H91)</f>
        <v>0</v>
      </c>
      <c r="I87" s="259">
        <f t="shared" si="6"/>
        <v>0</v>
      </c>
      <c r="J87" s="255">
        <f>SUM(J88:J91)</f>
        <v>785</v>
      </c>
      <c r="K87" s="258">
        <f>SUM(K88:K91)</f>
        <v>0</v>
      </c>
      <c r="L87" s="259">
        <f t="shared" si="7"/>
        <v>785</v>
      </c>
      <c r="M87" s="260">
        <f>SUM(M88:M91)</f>
        <v>0</v>
      </c>
      <c r="N87" s="261">
        <f>SUM(N88:N91)</f>
        <v>0</v>
      </c>
      <c r="O87" s="259">
        <f t="shared" si="8"/>
        <v>0</v>
      </c>
      <c r="P87" s="189"/>
      <c r="R87" s="53"/>
      <c r="S87" s="53"/>
      <c r="T87" s="53"/>
    </row>
    <row r="88" spans="1:20" ht="24" hidden="1" x14ac:dyDescent="0.25">
      <c r="A88" s="66">
        <v>2211</v>
      </c>
      <c r="B88" s="116" t="s">
        <v>104</v>
      </c>
      <c r="C88" s="128">
        <f t="shared" si="4"/>
        <v>0</v>
      </c>
      <c r="D88" s="123"/>
      <c r="E88" s="262"/>
      <c r="F88" s="263">
        <f t="shared" si="5"/>
        <v>0</v>
      </c>
      <c r="G88" s="123"/>
      <c r="H88" s="124"/>
      <c r="I88" s="125">
        <f t="shared" si="6"/>
        <v>0</v>
      </c>
      <c r="J88" s="123"/>
      <c r="K88" s="124"/>
      <c r="L88" s="125">
        <f t="shared" si="7"/>
        <v>0</v>
      </c>
      <c r="M88" s="264"/>
      <c r="N88" s="262"/>
      <c r="O88" s="125">
        <f t="shared" si="8"/>
        <v>0</v>
      </c>
      <c r="P88" s="74"/>
      <c r="R88" s="53"/>
      <c r="S88" s="53"/>
      <c r="T88" s="53"/>
    </row>
    <row r="89" spans="1:20" ht="36" x14ac:dyDescent="0.25">
      <c r="A89" s="76">
        <v>2212</v>
      </c>
      <c r="B89" s="127" t="s">
        <v>105</v>
      </c>
      <c r="C89" s="128">
        <f t="shared" si="4"/>
        <v>2006</v>
      </c>
      <c r="D89" s="134">
        <v>1221</v>
      </c>
      <c r="E89" s="283"/>
      <c r="F89" s="279">
        <f t="shared" si="5"/>
        <v>1221</v>
      </c>
      <c r="G89" s="134"/>
      <c r="H89" s="135"/>
      <c r="I89" s="136">
        <f t="shared" si="6"/>
        <v>0</v>
      </c>
      <c r="J89" s="134">
        <v>785</v>
      </c>
      <c r="K89" s="135"/>
      <c r="L89" s="136">
        <f t="shared" si="7"/>
        <v>785</v>
      </c>
      <c r="M89" s="284"/>
      <c r="N89" s="285"/>
      <c r="O89" s="136">
        <f t="shared" si="8"/>
        <v>0</v>
      </c>
      <c r="P89" s="85"/>
      <c r="R89" s="53"/>
      <c r="S89" s="53"/>
      <c r="T89" s="53"/>
    </row>
    <row r="90" spans="1:20" ht="24" x14ac:dyDescent="0.25">
      <c r="A90" s="76">
        <v>2214</v>
      </c>
      <c r="B90" s="127" t="s">
        <v>106</v>
      </c>
      <c r="C90" s="128">
        <f t="shared" si="4"/>
        <v>466</v>
      </c>
      <c r="D90" s="134">
        <v>466</v>
      </c>
      <c r="E90" s="283"/>
      <c r="F90" s="279">
        <f t="shared" si="5"/>
        <v>466</v>
      </c>
      <c r="G90" s="134"/>
      <c r="H90" s="135"/>
      <c r="I90" s="136">
        <f t="shared" si="6"/>
        <v>0</v>
      </c>
      <c r="J90" s="134"/>
      <c r="K90" s="135"/>
      <c r="L90" s="136">
        <f t="shared" si="7"/>
        <v>0</v>
      </c>
      <c r="M90" s="284"/>
      <c r="N90" s="285"/>
      <c r="O90" s="136">
        <f t="shared" si="8"/>
        <v>0</v>
      </c>
      <c r="P90" s="85"/>
      <c r="R90" s="53"/>
      <c r="S90" s="53"/>
      <c r="T90" s="53"/>
    </row>
    <row r="91" spans="1:20" x14ac:dyDescent="0.25">
      <c r="A91" s="76">
        <v>2219</v>
      </c>
      <c r="B91" s="127" t="s">
        <v>107</v>
      </c>
      <c r="C91" s="128">
        <f t="shared" si="4"/>
        <v>100</v>
      </c>
      <c r="D91" s="134">
        <v>100</v>
      </c>
      <c r="E91" s="283"/>
      <c r="F91" s="279">
        <f t="shared" si="5"/>
        <v>100</v>
      </c>
      <c r="G91" s="134"/>
      <c r="H91" s="135"/>
      <c r="I91" s="136">
        <f t="shared" si="6"/>
        <v>0</v>
      </c>
      <c r="J91" s="134"/>
      <c r="K91" s="135"/>
      <c r="L91" s="136">
        <f t="shared" si="7"/>
        <v>0</v>
      </c>
      <c r="M91" s="284"/>
      <c r="N91" s="285"/>
      <c r="O91" s="136">
        <f t="shared" si="8"/>
        <v>0</v>
      </c>
      <c r="P91" s="85"/>
      <c r="R91" s="53"/>
      <c r="S91" s="53"/>
      <c r="T91" s="53"/>
    </row>
    <row r="92" spans="1:20" ht="24" x14ac:dyDescent="0.25">
      <c r="A92" s="276">
        <v>2220</v>
      </c>
      <c r="B92" s="127" t="s">
        <v>108</v>
      </c>
      <c r="C92" s="128">
        <f t="shared" si="4"/>
        <v>61565</v>
      </c>
      <c r="D92" s="277">
        <f>SUM(D93:D97)</f>
        <v>44585</v>
      </c>
      <c r="E92" s="278">
        <f>SUM(E93:E97)</f>
        <v>0</v>
      </c>
      <c r="F92" s="279">
        <f t="shared" si="5"/>
        <v>44585</v>
      </c>
      <c r="G92" s="277">
        <f>SUM(G93:G97)</f>
        <v>0</v>
      </c>
      <c r="H92" s="280">
        <f>SUM(H93:H97)</f>
        <v>0</v>
      </c>
      <c r="I92" s="136">
        <f t="shared" si="6"/>
        <v>0</v>
      </c>
      <c r="J92" s="277">
        <f>SUM(J93:J97)</f>
        <v>16980</v>
      </c>
      <c r="K92" s="280">
        <f>SUM(K93:K97)</f>
        <v>0</v>
      </c>
      <c r="L92" s="136">
        <f t="shared" si="7"/>
        <v>16980</v>
      </c>
      <c r="M92" s="281">
        <f>SUM(M93:M97)</f>
        <v>0</v>
      </c>
      <c r="N92" s="282">
        <f>SUM(N93:N97)</f>
        <v>0</v>
      </c>
      <c r="O92" s="136">
        <f t="shared" si="8"/>
        <v>0</v>
      </c>
      <c r="P92" s="85"/>
      <c r="R92" s="53"/>
      <c r="S92" s="53"/>
      <c r="T92" s="53"/>
    </row>
    <row r="93" spans="1:20" x14ac:dyDescent="0.25">
      <c r="A93" s="76">
        <v>2221</v>
      </c>
      <c r="B93" s="127" t="s">
        <v>109</v>
      </c>
      <c r="C93" s="128">
        <f t="shared" si="4"/>
        <v>29800</v>
      </c>
      <c r="D93" s="134">
        <v>26300</v>
      </c>
      <c r="E93" s="283"/>
      <c r="F93" s="279">
        <f t="shared" si="5"/>
        <v>26300</v>
      </c>
      <c r="G93" s="134"/>
      <c r="H93" s="135"/>
      <c r="I93" s="136">
        <f t="shared" si="6"/>
        <v>0</v>
      </c>
      <c r="J93" s="134">
        <v>3500</v>
      </c>
      <c r="K93" s="135"/>
      <c r="L93" s="136">
        <f t="shared" si="7"/>
        <v>3500</v>
      </c>
      <c r="M93" s="284"/>
      <c r="N93" s="285"/>
      <c r="O93" s="136">
        <f t="shared" si="8"/>
        <v>0</v>
      </c>
      <c r="P93" s="85"/>
      <c r="R93" s="53"/>
      <c r="S93" s="53"/>
      <c r="T93" s="53"/>
    </row>
    <row r="94" spans="1:20" x14ac:dyDescent="0.25">
      <c r="A94" s="76">
        <v>2222</v>
      </c>
      <c r="B94" s="127" t="s">
        <v>110</v>
      </c>
      <c r="C94" s="128">
        <f t="shared" si="4"/>
        <v>5329</v>
      </c>
      <c r="D94" s="134">
        <v>4849</v>
      </c>
      <c r="E94" s="283"/>
      <c r="F94" s="279">
        <f t="shared" si="5"/>
        <v>4849</v>
      </c>
      <c r="G94" s="134"/>
      <c r="H94" s="135"/>
      <c r="I94" s="136">
        <f t="shared" si="6"/>
        <v>0</v>
      </c>
      <c r="J94" s="134">
        <v>480</v>
      </c>
      <c r="K94" s="135"/>
      <c r="L94" s="136">
        <f t="shared" si="7"/>
        <v>480</v>
      </c>
      <c r="M94" s="284"/>
      <c r="N94" s="285"/>
      <c r="O94" s="136">
        <f t="shared" si="8"/>
        <v>0</v>
      </c>
      <c r="P94" s="85"/>
      <c r="R94" s="53"/>
      <c r="S94" s="53"/>
      <c r="T94" s="53"/>
    </row>
    <row r="95" spans="1:20" x14ac:dyDescent="0.25">
      <c r="A95" s="76">
        <v>2223</v>
      </c>
      <c r="B95" s="127" t="s">
        <v>111</v>
      </c>
      <c r="C95" s="128">
        <f t="shared" si="4"/>
        <v>25500</v>
      </c>
      <c r="D95" s="134">
        <v>12500</v>
      </c>
      <c r="E95" s="283"/>
      <c r="F95" s="279">
        <f t="shared" si="5"/>
        <v>12500</v>
      </c>
      <c r="G95" s="134"/>
      <c r="H95" s="135"/>
      <c r="I95" s="136">
        <f t="shared" si="6"/>
        <v>0</v>
      </c>
      <c r="J95" s="134">
        <v>13000</v>
      </c>
      <c r="K95" s="135"/>
      <c r="L95" s="136">
        <f t="shared" si="7"/>
        <v>13000</v>
      </c>
      <c r="M95" s="284"/>
      <c r="N95" s="285"/>
      <c r="O95" s="136">
        <f t="shared" si="8"/>
        <v>0</v>
      </c>
      <c r="P95" s="85"/>
      <c r="R95" s="53"/>
      <c r="S95" s="53"/>
      <c r="T95" s="53"/>
    </row>
    <row r="96" spans="1:20" ht="48" x14ac:dyDescent="0.25">
      <c r="A96" s="76">
        <v>2224</v>
      </c>
      <c r="B96" s="127" t="s">
        <v>112</v>
      </c>
      <c r="C96" s="128">
        <f t="shared" si="4"/>
        <v>936</v>
      </c>
      <c r="D96" s="134">
        <v>936</v>
      </c>
      <c r="E96" s="283"/>
      <c r="F96" s="279">
        <f t="shared" si="5"/>
        <v>936</v>
      </c>
      <c r="G96" s="134"/>
      <c r="H96" s="135"/>
      <c r="I96" s="136">
        <f t="shared" si="6"/>
        <v>0</v>
      </c>
      <c r="J96" s="134"/>
      <c r="K96" s="135"/>
      <c r="L96" s="136">
        <f t="shared" si="7"/>
        <v>0</v>
      </c>
      <c r="M96" s="284"/>
      <c r="N96" s="285"/>
      <c r="O96" s="136">
        <f t="shared" si="8"/>
        <v>0</v>
      </c>
      <c r="P96" s="85"/>
      <c r="R96" s="53"/>
      <c r="S96" s="53"/>
      <c r="T96" s="53"/>
    </row>
    <row r="97" spans="1:20" ht="24" hidden="1" x14ac:dyDescent="0.25">
      <c r="A97" s="76">
        <v>2229</v>
      </c>
      <c r="B97" s="127" t="s">
        <v>113</v>
      </c>
      <c r="C97" s="128">
        <f t="shared" si="4"/>
        <v>0</v>
      </c>
      <c r="D97" s="134"/>
      <c r="E97" s="285"/>
      <c r="F97" s="286">
        <f t="shared" si="5"/>
        <v>0</v>
      </c>
      <c r="G97" s="134"/>
      <c r="H97" s="135"/>
      <c r="I97" s="136">
        <f t="shared" si="6"/>
        <v>0</v>
      </c>
      <c r="J97" s="134"/>
      <c r="K97" s="135"/>
      <c r="L97" s="136">
        <f t="shared" si="7"/>
        <v>0</v>
      </c>
      <c r="M97" s="284"/>
      <c r="N97" s="285"/>
      <c r="O97" s="136">
        <f t="shared" si="8"/>
        <v>0</v>
      </c>
      <c r="P97" s="85"/>
      <c r="R97" s="53"/>
      <c r="S97" s="53"/>
      <c r="T97" s="53"/>
    </row>
    <row r="98" spans="1:20" ht="36" x14ac:dyDescent="0.25">
      <c r="A98" s="276">
        <v>2230</v>
      </c>
      <c r="B98" s="127" t="s">
        <v>114</v>
      </c>
      <c r="C98" s="128">
        <f t="shared" si="4"/>
        <v>1770</v>
      </c>
      <c r="D98" s="277">
        <f>SUM(D99:D105)</f>
        <v>1770</v>
      </c>
      <c r="E98" s="278">
        <f>SUM(E99:E105)</f>
        <v>0</v>
      </c>
      <c r="F98" s="279">
        <f t="shared" si="5"/>
        <v>1770</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c r="R98" s="53"/>
      <c r="S98" s="53"/>
      <c r="T98" s="53"/>
    </row>
    <row r="99" spans="1:20" ht="24" hidden="1" x14ac:dyDescent="0.25">
      <c r="A99" s="76">
        <v>2231</v>
      </c>
      <c r="B99" s="127" t="s">
        <v>115</v>
      </c>
      <c r="C99" s="128">
        <f t="shared" si="4"/>
        <v>0</v>
      </c>
      <c r="D99" s="134"/>
      <c r="E99" s="285"/>
      <c r="F99" s="286">
        <f t="shared" si="5"/>
        <v>0</v>
      </c>
      <c r="G99" s="134"/>
      <c r="H99" s="135"/>
      <c r="I99" s="136">
        <f t="shared" si="6"/>
        <v>0</v>
      </c>
      <c r="J99" s="134"/>
      <c r="K99" s="135"/>
      <c r="L99" s="136">
        <f t="shared" si="7"/>
        <v>0</v>
      </c>
      <c r="M99" s="284"/>
      <c r="N99" s="285"/>
      <c r="O99" s="136">
        <f t="shared" si="8"/>
        <v>0</v>
      </c>
      <c r="P99" s="85"/>
      <c r="R99" s="53"/>
      <c r="S99" s="53"/>
      <c r="T99" s="53"/>
    </row>
    <row r="100" spans="1:20" ht="24" hidden="1" x14ac:dyDescent="0.25">
      <c r="A100" s="76">
        <v>2232</v>
      </c>
      <c r="B100" s="127" t="s">
        <v>116</v>
      </c>
      <c r="C100" s="128">
        <f t="shared" si="4"/>
        <v>0</v>
      </c>
      <c r="D100" s="134"/>
      <c r="E100" s="285"/>
      <c r="F100" s="286">
        <f t="shared" si="5"/>
        <v>0</v>
      </c>
      <c r="G100" s="134"/>
      <c r="H100" s="135"/>
      <c r="I100" s="136">
        <f t="shared" si="6"/>
        <v>0</v>
      </c>
      <c r="J100" s="134"/>
      <c r="K100" s="135"/>
      <c r="L100" s="136">
        <f t="shared" si="7"/>
        <v>0</v>
      </c>
      <c r="M100" s="284"/>
      <c r="N100" s="285"/>
      <c r="O100" s="136">
        <f t="shared" si="8"/>
        <v>0</v>
      </c>
      <c r="P100" s="85"/>
      <c r="R100" s="53"/>
      <c r="S100" s="53"/>
      <c r="T100" s="53"/>
    </row>
    <row r="101" spans="1:20" hidden="1" x14ac:dyDescent="0.25">
      <c r="A101" s="66">
        <v>2233</v>
      </c>
      <c r="B101" s="116" t="s">
        <v>117</v>
      </c>
      <c r="C101" s="128">
        <f t="shared" si="4"/>
        <v>0</v>
      </c>
      <c r="D101" s="123"/>
      <c r="E101" s="262"/>
      <c r="F101" s="263">
        <f t="shared" si="5"/>
        <v>0</v>
      </c>
      <c r="G101" s="123"/>
      <c r="H101" s="124"/>
      <c r="I101" s="125">
        <f t="shared" si="6"/>
        <v>0</v>
      </c>
      <c r="J101" s="123"/>
      <c r="K101" s="124"/>
      <c r="L101" s="125">
        <f t="shared" si="7"/>
        <v>0</v>
      </c>
      <c r="M101" s="264"/>
      <c r="N101" s="262"/>
      <c r="O101" s="125">
        <f t="shared" si="8"/>
        <v>0</v>
      </c>
      <c r="P101" s="74"/>
      <c r="R101" s="53"/>
      <c r="S101" s="53"/>
      <c r="T101" s="53"/>
    </row>
    <row r="102" spans="1:20" ht="24" hidden="1" x14ac:dyDescent="0.25">
      <c r="A102" s="76">
        <v>2234</v>
      </c>
      <c r="B102" s="127" t="s">
        <v>118</v>
      </c>
      <c r="C102" s="128">
        <f t="shared" si="4"/>
        <v>0</v>
      </c>
      <c r="D102" s="134"/>
      <c r="E102" s="285"/>
      <c r="F102" s="286">
        <f t="shared" si="5"/>
        <v>0</v>
      </c>
      <c r="G102" s="134"/>
      <c r="H102" s="135"/>
      <c r="I102" s="136">
        <f t="shared" si="6"/>
        <v>0</v>
      </c>
      <c r="J102" s="134"/>
      <c r="K102" s="135"/>
      <c r="L102" s="136">
        <f t="shared" si="7"/>
        <v>0</v>
      </c>
      <c r="M102" s="284"/>
      <c r="N102" s="285"/>
      <c r="O102" s="136">
        <f t="shared" si="8"/>
        <v>0</v>
      </c>
      <c r="P102" s="85"/>
      <c r="R102" s="53"/>
      <c r="S102" s="53"/>
      <c r="T102" s="53"/>
    </row>
    <row r="103" spans="1:20" ht="24" x14ac:dyDescent="0.25">
      <c r="A103" s="76">
        <v>2235</v>
      </c>
      <c r="B103" s="127" t="s">
        <v>119</v>
      </c>
      <c r="C103" s="128">
        <f t="shared" si="4"/>
        <v>32</v>
      </c>
      <c r="D103" s="134">
        <v>32</v>
      </c>
      <c r="E103" s="283"/>
      <c r="F103" s="279">
        <f t="shared" si="5"/>
        <v>32</v>
      </c>
      <c r="G103" s="134"/>
      <c r="H103" s="135"/>
      <c r="I103" s="136">
        <f t="shared" si="6"/>
        <v>0</v>
      </c>
      <c r="J103" s="134"/>
      <c r="K103" s="135"/>
      <c r="L103" s="136">
        <f t="shared" si="7"/>
        <v>0</v>
      </c>
      <c r="M103" s="284"/>
      <c r="N103" s="285"/>
      <c r="O103" s="136">
        <f t="shared" si="8"/>
        <v>0</v>
      </c>
      <c r="P103" s="85"/>
      <c r="R103" s="53"/>
      <c r="S103" s="53"/>
      <c r="T103" s="53"/>
    </row>
    <row r="104" spans="1:20" hidden="1" x14ac:dyDescent="0.25">
      <c r="A104" s="76">
        <v>2236</v>
      </c>
      <c r="B104" s="127" t="s">
        <v>120</v>
      </c>
      <c r="C104" s="128">
        <f t="shared" si="4"/>
        <v>0</v>
      </c>
      <c r="D104" s="134"/>
      <c r="E104" s="285"/>
      <c r="F104" s="286">
        <f t="shared" si="5"/>
        <v>0</v>
      </c>
      <c r="G104" s="134"/>
      <c r="H104" s="135"/>
      <c r="I104" s="136">
        <f t="shared" si="6"/>
        <v>0</v>
      </c>
      <c r="J104" s="134"/>
      <c r="K104" s="135"/>
      <c r="L104" s="136">
        <f t="shared" si="7"/>
        <v>0</v>
      </c>
      <c r="M104" s="284"/>
      <c r="N104" s="285"/>
      <c r="O104" s="136">
        <f t="shared" si="8"/>
        <v>0</v>
      </c>
      <c r="P104" s="85"/>
      <c r="R104" s="53"/>
      <c r="S104" s="53"/>
      <c r="T104" s="53"/>
    </row>
    <row r="105" spans="1:20" x14ac:dyDescent="0.25">
      <c r="A105" s="76">
        <v>2239</v>
      </c>
      <c r="B105" s="127" t="s">
        <v>121</v>
      </c>
      <c r="C105" s="128">
        <f t="shared" si="4"/>
        <v>1738</v>
      </c>
      <c r="D105" s="134">
        <v>1738</v>
      </c>
      <c r="E105" s="283"/>
      <c r="F105" s="279">
        <f t="shared" si="5"/>
        <v>1738</v>
      </c>
      <c r="G105" s="134"/>
      <c r="H105" s="135"/>
      <c r="I105" s="136">
        <f t="shared" si="6"/>
        <v>0</v>
      </c>
      <c r="J105" s="134"/>
      <c r="K105" s="135"/>
      <c r="L105" s="136">
        <f t="shared" si="7"/>
        <v>0</v>
      </c>
      <c r="M105" s="284"/>
      <c r="N105" s="285"/>
      <c r="O105" s="136">
        <f t="shared" si="8"/>
        <v>0</v>
      </c>
      <c r="P105" s="85"/>
      <c r="R105" s="53"/>
      <c r="S105" s="53"/>
      <c r="T105" s="53"/>
    </row>
    <row r="106" spans="1:20" ht="24" x14ac:dyDescent="0.25">
      <c r="A106" s="276">
        <v>2240</v>
      </c>
      <c r="B106" s="127" t="s">
        <v>122</v>
      </c>
      <c r="C106" s="128">
        <f t="shared" si="4"/>
        <v>8254</v>
      </c>
      <c r="D106" s="277">
        <f>SUM(D107:D114)</f>
        <v>6054</v>
      </c>
      <c r="E106" s="278">
        <f>SUM(E107:E114)</f>
        <v>0</v>
      </c>
      <c r="F106" s="279">
        <f t="shared" si="5"/>
        <v>6054</v>
      </c>
      <c r="G106" s="277">
        <f>SUM(G107:G114)</f>
        <v>0</v>
      </c>
      <c r="H106" s="280">
        <f>SUM(H107:H114)</f>
        <v>0</v>
      </c>
      <c r="I106" s="136">
        <f t="shared" si="6"/>
        <v>0</v>
      </c>
      <c r="J106" s="277">
        <f>SUM(J107:J114)</f>
        <v>2200</v>
      </c>
      <c r="K106" s="280">
        <f>SUM(K107:K114)</f>
        <v>0</v>
      </c>
      <c r="L106" s="136">
        <f t="shared" si="7"/>
        <v>2200</v>
      </c>
      <c r="M106" s="281">
        <f>SUM(M107:M114)</f>
        <v>0</v>
      </c>
      <c r="N106" s="282">
        <f>SUM(N107:N114)</f>
        <v>0</v>
      </c>
      <c r="O106" s="136">
        <f t="shared" si="8"/>
        <v>0</v>
      </c>
      <c r="P106" s="85"/>
      <c r="R106" s="53"/>
      <c r="S106" s="53"/>
      <c r="T106" s="53"/>
    </row>
    <row r="107" spans="1:20" hidden="1" x14ac:dyDescent="0.25">
      <c r="A107" s="76">
        <v>2241</v>
      </c>
      <c r="B107" s="127" t="s">
        <v>123</v>
      </c>
      <c r="C107" s="128">
        <f t="shared" si="4"/>
        <v>0</v>
      </c>
      <c r="D107" s="134"/>
      <c r="E107" s="285"/>
      <c r="F107" s="286">
        <f t="shared" si="5"/>
        <v>0</v>
      </c>
      <c r="G107" s="134"/>
      <c r="H107" s="135"/>
      <c r="I107" s="136">
        <f t="shared" si="6"/>
        <v>0</v>
      </c>
      <c r="J107" s="134"/>
      <c r="K107" s="135"/>
      <c r="L107" s="136">
        <f t="shared" si="7"/>
        <v>0</v>
      </c>
      <c r="M107" s="284"/>
      <c r="N107" s="285"/>
      <c r="O107" s="136">
        <f t="shared" si="8"/>
        <v>0</v>
      </c>
      <c r="P107" s="85"/>
      <c r="R107" s="53"/>
      <c r="S107" s="53"/>
      <c r="T107" s="53"/>
    </row>
    <row r="108" spans="1:20" x14ac:dyDescent="0.25">
      <c r="A108" s="76">
        <v>2242</v>
      </c>
      <c r="B108" s="127" t="s">
        <v>124</v>
      </c>
      <c r="C108" s="128">
        <f t="shared" si="4"/>
        <v>1030</v>
      </c>
      <c r="D108" s="134">
        <v>730</v>
      </c>
      <c r="E108" s="283"/>
      <c r="F108" s="279">
        <f t="shared" si="5"/>
        <v>730</v>
      </c>
      <c r="G108" s="134"/>
      <c r="H108" s="135"/>
      <c r="I108" s="136">
        <f t="shared" si="6"/>
        <v>0</v>
      </c>
      <c r="J108" s="134">
        <v>300</v>
      </c>
      <c r="K108" s="135"/>
      <c r="L108" s="136">
        <f t="shared" si="7"/>
        <v>300</v>
      </c>
      <c r="M108" s="284"/>
      <c r="N108" s="285"/>
      <c r="O108" s="136">
        <f t="shared" si="8"/>
        <v>0</v>
      </c>
      <c r="P108" s="1013"/>
      <c r="R108" s="53"/>
      <c r="S108" s="53"/>
      <c r="T108" s="53"/>
    </row>
    <row r="109" spans="1:20" ht="24" x14ac:dyDescent="0.25">
      <c r="A109" s="76">
        <v>2243</v>
      </c>
      <c r="B109" s="127" t="s">
        <v>125</v>
      </c>
      <c r="C109" s="128">
        <f t="shared" si="4"/>
        <v>900</v>
      </c>
      <c r="D109" s="134">
        <v>900</v>
      </c>
      <c r="E109" s="283"/>
      <c r="F109" s="279">
        <f t="shared" si="5"/>
        <v>900</v>
      </c>
      <c r="G109" s="134"/>
      <c r="H109" s="135"/>
      <c r="I109" s="136">
        <f t="shared" si="6"/>
        <v>0</v>
      </c>
      <c r="J109" s="134"/>
      <c r="K109" s="135"/>
      <c r="L109" s="136">
        <f t="shared" si="7"/>
        <v>0</v>
      </c>
      <c r="M109" s="284"/>
      <c r="N109" s="285"/>
      <c r="O109" s="136">
        <f t="shared" si="8"/>
        <v>0</v>
      </c>
      <c r="P109" s="85"/>
      <c r="R109" s="53"/>
      <c r="S109" s="53"/>
      <c r="T109" s="53"/>
    </row>
    <row r="110" spans="1:20" x14ac:dyDescent="0.25">
      <c r="A110" s="76">
        <v>2244</v>
      </c>
      <c r="B110" s="127" t="s">
        <v>126</v>
      </c>
      <c r="C110" s="128">
        <f t="shared" si="4"/>
        <v>6301</v>
      </c>
      <c r="D110" s="134">
        <v>4401</v>
      </c>
      <c r="E110" s="283"/>
      <c r="F110" s="279">
        <f t="shared" si="5"/>
        <v>4401</v>
      </c>
      <c r="G110" s="134"/>
      <c r="H110" s="135"/>
      <c r="I110" s="136">
        <f t="shared" si="6"/>
        <v>0</v>
      </c>
      <c r="J110" s="134">
        <v>1900</v>
      </c>
      <c r="K110" s="135"/>
      <c r="L110" s="136">
        <f t="shared" si="7"/>
        <v>1900</v>
      </c>
      <c r="M110" s="284"/>
      <c r="N110" s="285"/>
      <c r="O110" s="136">
        <f t="shared" si="8"/>
        <v>0</v>
      </c>
      <c r="P110" s="1013"/>
      <c r="R110" s="53"/>
      <c r="S110" s="53"/>
      <c r="T110" s="53"/>
    </row>
    <row r="111" spans="1:20" ht="24" hidden="1" x14ac:dyDescent="0.25">
      <c r="A111" s="76">
        <v>2246</v>
      </c>
      <c r="B111" s="127" t="s">
        <v>127</v>
      </c>
      <c r="C111" s="128">
        <f t="shared" si="4"/>
        <v>0</v>
      </c>
      <c r="D111" s="134"/>
      <c r="E111" s="285"/>
      <c r="F111" s="286">
        <f t="shared" si="5"/>
        <v>0</v>
      </c>
      <c r="G111" s="134"/>
      <c r="H111" s="135"/>
      <c r="I111" s="136">
        <f t="shared" si="6"/>
        <v>0</v>
      </c>
      <c r="J111" s="134"/>
      <c r="K111" s="135"/>
      <c r="L111" s="136">
        <f t="shared" si="7"/>
        <v>0</v>
      </c>
      <c r="M111" s="284"/>
      <c r="N111" s="285"/>
      <c r="O111" s="136">
        <f t="shared" si="8"/>
        <v>0</v>
      </c>
      <c r="P111" s="85"/>
      <c r="R111" s="53"/>
      <c r="S111" s="53"/>
      <c r="T111" s="53"/>
    </row>
    <row r="112" spans="1:20" x14ac:dyDescent="0.25">
      <c r="A112" s="76">
        <v>2247</v>
      </c>
      <c r="B112" s="127" t="s">
        <v>128</v>
      </c>
      <c r="C112" s="128">
        <f t="shared" si="4"/>
        <v>23</v>
      </c>
      <c r="D112" s="134">
        <v>23</v>
      </c>
      <c r="E112" s="283"/>
      <c r="F112" s="279">
        <f t="shared" si="5"/>
        <v>23</v>
      </c>
      <c r="G112" s="134"/>
      <c r="H112" s="135"/>
      <c r="I112" s="136">
        <f t="shared" si="6"/>
        <v>0</v>
      </c>
      <c r="J112" s="134"/>
      <c r="K112" s="135"/>
      <c r="L112" s="136">
        <f t="shared" si="7"/>
        <v>0</v>
      </c>
      <c r="M112" s="284"/>
      <c r="N112" s="285"/>
      <c r="O112" s="136">
        <f t="shared" si="8"/>
        <v>0</v>
      </c>
      <c r="P112" s="85"/>
      <c r="R112" s="53"/>
      <c r="S112" s="53"/>
      <c r="T112" s="53"/>
    </row>
    <row r="113" spans="1:20" ht="24" hidden="1" x14ac:dyDescent="0.25">
      <c r="A113" s="76">
        <v>2248</v>
      </c>
      <c r="B113" s="127" t="s">
        <v>129</v>
      </c>
      <c r="C113" s="128">
        <f t="shared" si="4"/>
        <v>0</v>
      </c>
      <c r="D113" s="134"/>
      <c r="E113" s="285"/>
      <c r="F113" s="286">
        <f t="shared" si="5"/>
        <v>0</v>
      </c>
      <c r="G113" s="134"/>
      <c r="H113" s="135"/>
      <c r="I113" s="136">
        <f t="shared" si="6"/>
        <v>0</v>
      </c>
      <c r="J113" s="134"/>
      <c r="K113" s="135"/>
      <c r="L113" s="136">
        <f t="shared" si="7"/>
        <v>0</v>
      </c>
      <c r="M113" s="284"/>
      <c r="N113" s="285"/>
      <c r="O113" s="136">
        <f t="shared" si="8"/>
        <v>0</v>
      </c>
      <c r="P113" s="85"/>
      <c r="R113" s="53"/>
      <c r="S113" s="53"/>
      <c r="T113" s="53"/>
    </row>
    <row r="114" spans="1:20" ht="24" hidden="1" x14ac:dyDescent="0.25">
      <c r="A114" s="76">
        <v>2249</v>
      </c>
      <c r="B114" s="127" t="s">
        <v>130</v>
      </c>
      <c r="C114" s="128">
        <f t="shared" si="4"/>
        <v>0</v>
      </c>
      <c r="D114" s="134">
        <v>0</v>
      </c>
      <c r="E114" s="285"/>
      <c r="F114" s="286">
        <f t="shared" si="5"/>
        <v>0</v>
      </c>
      <c r="G114" s="134"/>
      <c r="H114" s="135"/>
      <c r="I114" s="136">
        <f t="shared" si="6"/>
        <v>0</v>
      </c>
      <c r="J114" s="134"/>
      <c r="K114" s="135"/>
      <c r="L114" s="136">
        <f t="shared" si="7"/>
        <v>0</v>
      </c>
      <c r="M114" s="284"/>
      <c r="N114" s="285"/>
      <c r="O114" s="136">
        <f t="shared" si="8"/>
        <v>0</v>
      </c>
      <c r="P114" s="1013"/>
      <c r="R114" s="53"/>
      <c r="S114" s="53"/>
      <c r="T114" s="53"/>
    </row>
    <row r="115" spans="1:20" x14ac:dyDescent="0.25">
      <c r="A115" s="276">
        <v>2250</v>
      </c>
      <c r="B115" s="127" t="s">
        <v>131</v>
      </c>
      <c r="C115" s="128">
        <f t="shared" si="4"/>
        <v>580</v>
      </c>
      <c r="D115" s="277">
        <f>SUM(D116:D118)</f>
        <v>580</v>
      </c>
      <c r="E115" s="278">
        <f>SUM(E116:E118)</f>
        <v>0</v>
      </c>
      <c r="F115" s="279">
        <f t="shared" si="5"/>
        <v>580</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c r="R115" s="53"/>
      <c r="S115" s="53"/>
      <c r="T115" s="53"/>
    </row>
    <row r="116" spans="1:20" x14ac:dyDescent="0.25">
      <c r="A116" s="76">
        <v>2251</v>
      </c>
      <c r="B116" s="127" t="s">
        <v>132</v>
      </c>
      <c r="C116" s="128">
        <f t="shared" si="4"/>
        <v>166</v>
      </c>
      <c r="D116" s="134">
        <v>166</v>
      </c>
      <c r="E116" s="283"/>
      <c r="F116" s="279">
        <f t="shared" si="5"/>
        <v>166</v>
      </c>
      <c r="G116" s="134"/>
      <c r="H116" s="135"/>
      <c r="I116" s="136">
        <f t="shared" si="6"/>
        <v>0</v>
      </c>
      <c r="J116" s="134"/>
      <c r="K116" s="135"/>
      <c r="L116" s="136">
        <f t="shared" si="7"/>
        <v>0</v>
      </c>
      <c r="M116" s="284"/>
      <c r="N116" s="285"/>
      <c r="O116" s="136">
        <f t="shared" si="8"/>
        <v>0</v>
      </c>
      <c r="P116" s="1013"/>
      <c r="R116" s="53"/>
      <c r="S116" s="53"/>
      <c r="T116" s="53"/>
    </row>
    <row r="117" spans="1:20" ht="24" hidden="1" x14ac:dyDescent="0.25">
      <c r="A117" s="76">
        <v>2252</v>
      </c>
      <c r="B117" s="127" t="s">
        <v>133</v>
      </c>
      <c r="C117" s="128">
        <f t="shared" ref="C117:C181" si="9">F117+I117+L117+O117</f>
        <v>0</v>
      </c>
      <c r="D117" s="134"/>
      <c r="E117" s="285"/>
      <c r="F117" s="286">
        <f t="shared" si="5"/>
        <v>0</v>
      </c>
      <c r="G117" s="134"/>
      <c r="H117" s="135"/>
      <c r="I117" s="136">
        <f t="shared" si="6"/>
        <v>0</v>
      </c>
      <c r="J117" s="134"/>
      <c r="K117" s="135"/>
      <c r="L117" s="136">
        <f t="shared" si="7"/>
        <v>0</v>
      </c>
      <c r="M117" s="284"/>
      <c r="N117" s="285"/>
      <c r="O117" s="136">
        <f t="shared" si="8"/>
        <v>0</v>
      </c>
      <c r="P117" s="85"/>
      <c r="R117" s="53"/>
      <c r="S117" s="53"/>
      <c r="T117" s="53"/>
    </row>
    <row r="118" spans="1:20" ht="24" x14ac:dyDescent="0.25">
      <c r="A118" s="76">
        <v>2259</v>
      </c>
      <c r="B118" s="127" t="s">
        <v>134</v>
      </c>
      <c r="C118" s="128">
        <f t="shared" si="9"/>
        <v>414</v>
      </c>
      <c r="D118" s="134">
        <v>414</v>
      </c>
      <c r="E118" s="283"/>
      <c r="F118" s="279">
        <f t="shared" ref="F118:F182" si="10">D118+E118</f>
        <v>414</v>
      </c>
      <c r="G118" s="134"/>
      <c r="H118" s="135"/>
      <c r="I118" s="136">
        <f t="shared" ref="I118:I182" si="11">G118+H118</f>
        <v>0</v>
      </c>
      <c r="J118" s="134"/>
      <c r="K118" s="135"/>
      <c r="L118" s="136">
        <f t="shared" ref="L118:L182" si="12">J118+K118</f>
        <v>0</v>
      </c>
      <c r="M118" s="284"/>
      <c r="N118" s="285"/>
      <c r="O118" s="136">
        <f t="shared" ref="O118:O182" si="13">M118+N118</f>
        <v>0</v>
      </c>
      <c r="P118" s="85"/>
      <c r="R118" s="53"/>
      <c r="S118" s="53"/>
      <c r="T118" s="53"/>
    </row>
    <row r="119" spans="1:20" x14ac:dyDescent="0.25">
      <c r="A119" s="276">
        <v>2260</v>
      </c>
      <c r="B119" s="127" t="s">
        <v>135</v>
      </c>
      <c r="C119" s="128">
        <f t="shared" si="9"/>
        <v>121</v>
      </c>
      <c r="D119" s="277">
        <f>SUM(D120:D124)</f>
        <v>121</v>
      </c>
      <c r="E119" s="278">
        <f>SUM(E120:E124)</f>
        <v>0</v>
      </c>
      <c r="F119" s="279">
        <f t="shared" si="10"/>
        <v>121</v>
      </c>
      <c r="G119" s="277">
        <f>SUM(G120:G124)</f>
        <v>0</v>
      </c>
      <c r="H119" s="280">
        <f>SUM(H120:H124)</f>
        <v>0</v>
      </c>
      <c r="I119" s="136">
        <f t="shared" si="11"/>
        <v>0</v>
      </c>
      <c r="J119" s="277">
        <f>SUM(J120:J124)</f>
        <v>0</v>
      </c>
      <c r="K119" s="280">
        <f>SUM(K120:K124)</f>
        <v>0</v>
      </c>
      <c r="L119" s="136">
        <f t="shared" si="12"/>
        <v>0</v>
      </c>
      <c r="M119" s="281">
        <f>SUM(M120:M124)</f>
        <v>0</v>
      </c>
      <c r="N119" s="282">
        <f>SUM(N120:N124)</f>
        <v>0</v>
      </c>
      <c r="O119" s="136">
        <f t="shared" si="13"/>
        <v>0</v>
      </c>
      <c r="P119" s="85"/>
      <c r="R119" s="53"/>
      <c r="S119" s="53"/>
      <c r="T119" s="53"/>
    </row>
    <row r="120" spans="1:20" hidden="1" x14ac:dyDescent="0.25">
      <c r="A120" s="76">
        <v>2261</v>
      </c>
      <c r="B120" s="127" t="s">
        <v>136</v>
      </c>
      <c r="C120" s="128">
        <f t="shared" si="9"/>
        <v>0</v>
      </c>
      <c r="D120" s="134"/>
      <c r="E120" s="285"/>
      <c r="F120" s="286">
        <f t="shared" si="10"/>
        <v>0</v>
      </c>
      <c r="G120" s="134"/>
      <c r="H120" s="135"/>
      <c r="I120" s="136">
        <f t="shared" si="11"/>
        <v>0</v>
      </c>
      <c r="J120" s="134"/>
      <c r="K120" s="135"/>
      <c r="L120" s="136">
        <f t="shared" si="12"/>
        <v>0</v>
      </c>
      <c r="M120" s="284"/>
      <c r="N120" s="285"/>
      <c r="O120" s="136">
        <f t="shared" si="13"/>
        <v>0</v>
      </c>
      <c r="P120" s="85"/>
      <c r="R120" s="53"/>
      <c r="S120" s="53"/>
      <c r="T120" s="53"/>
    </row>
    <row r="121" spans="1:20" hidden="1" x14ac:dyDescent="0.25">
      <c r="A121" s="76">
        <v>2262</v>
      </c>
      <c r="B121" s="127" t="s">
        <v>137</v>
      </c>
      <c r="C121" s="128">
        <f t="shared" si="9"/>
        <v>0</v>
      </c>
      <c r="D121" s="134"/>
      <c r="E121" s="285"/>
      <c r="F121" s="286">
        <f t="shared" si="10"/>
        <v>0</v>
      </c>
      <c r="G121" s="134"/>
      <c r="H121" s="135"/>
      <c r="I121" s="136">
        <f t="shared" si="11"/>
        <v>0</v>
      </c>
      <c r="J121" s="134"/>
      <c r="K121" s="135"/>
      <c r="L121" s="136">
        <f t="shared" si="12"/>
        <v>0</v>
      </c>
      <c r="M121" s="284"/>
      <c r="N121" s="285"/>
      <c r="O121" s="136">
        <f t="shared" si="13"/>
        <v>0</v>
      </c>
      <c r="P121" s="85"/>
      <c r="R121" s="53"/>
      <c r="S121" s="53"/>
      <c r="T121" s="53"/>
    </row>
    <row r="122" spans="1:20" hidden="1" x14ac:dyDescent="0.25">
      <c r="A122" s="76">
        <v>2263</v>
      </c>
      <c r="B122" s="127" t="s">
        <v>138</v>
      </c>
      <c r="C122" s="128">
        <f t="shared" si="9"/>
        <v>0</v>
      </c>
      <c r="D122" s="134"/>
      <c r="E122" s="285"/>
      <c r="F122" s="286">
        <f t="shared" si="10"/>
        <v>0</v>
      </c>
      <c r="G122" s="134"/>
      <c r="H122" s="135"/>
      <c r="I122" s="136">
        <f t="shared" si="11"/>
        <v>0</v>
      </c>
      <c r="J122" s="134"/>
      <c r="K122" s="135"/>
      <c r="L122" s="136">
        <f t="shared" si="12"/>
        <v>0</v>
      </c>
      <c r="M122" s="284"/>
      <c r="N122" s="285"/>
      <c r="O122" s="136">
        <f t="shared" si="13"/>
        <v>0</v>
      </c>
      <c r="P122" s="85"/>
      <c r="R122" s="53"/>
      <c r="S122" s="53"/>
      <c r="T122" s="53"/>
    </row>
    <row r="123" spans="1:20" ht="24" x14ac:dyDescent="0.25">
      <c r="A123" s="76">
        <v>2264</v>
      </c>
      <c r="B123" s="127" t="s">
        <v>139</v>
      </c>
      <c r="C123" s="128">
        <f t="shared" si="9"/>
        <v>100</v>
      </c>
      <c r="D123" s="134">
        <v>100</v>
      </c>
      <c r="E123" s="283"/>
      <c r="F123" s="279">
        <f t="shared" si="10"/>
        <v>100</v>
      </c>
      <c r="G123" s="134"/>
      <c r="H123" s="135"/>
      <c r="I123" s="136">
        <f t="shared" si="11"/>
        <v>0</v>
      </c>
      <c r="J123" s="134"/>
      <c r="K123" s="135"/>
      <c r="L123" s="136">
        <f t="shared" si="12"/>
        <v>0</v>
      </c>
      <c r="M123" s="284"/>
      <c r="N123" s="285"/>
      <c r="O123" s="136">
        <f t="shared" si="13"/>
        <v>0</v>
      </c>
      <c r="P123" s="85"/>
      <c r="R123" s="53"/>
      <c r="S123" s="53"/>
      <c r="T123" s="53"/>
    </row>
    <row r="124" spans="1:20" x14ac:dyDescent="0.25">
      <c r="A124" s="76">
        <v>2269</v>
      </c>
      <c r="B124" s="127" t="s">
        <v>140</v>
      </c>
      <c r="C124" s="128">
        <f t="shared" si="9"/>
        <v>21</v>
      </c>
      <c r="D124" s="134">
        <v>21</v>
      </c>
      <c r="E124" s="283"/>
      <c r="F124" s="279">
        <f t="shared" si="10"/>
        <v>21</v>
      </c>
      <c r="G124" s="134"/>
      <c r="H124" s="135"/>
      <c r="I124" s="136">
        <f t="shared" si="11"/>
        <v>0</v>
      </c>
      <c r="J124" s="134"/>
      <c r="K124" s="135"/>
      <c r="L124" s="136">
        <f t="shared" si="12"/>
        <v>0</v>
      </c>
      <c r="M124" s="284"/>
      <c r="N124" s="285"/>
      <c r="O124" s="136">
        <f t="shared" si="13"/>
        <v>0</v>
      </c>
      <c r="P124" s="85"/>
      <c r="R124" s="53"/>
      <c r="S124" s="53"/>
      <c r="T124" s="53"/>
    </row>
    <row r="125" spans="1:20" x14ac:dyDescent="0.25">
      <c r="A125" s="276">
        <v>2270</v>
      </c>
      <c r="B125" s="127" t="s">
        <v>141</v>
      </c>
      <c r="C125" s="128">
        <f t="shared" si="9"/>
        <v>174</v>
      </c>
      <c r="D125" s="277">
        <f>SUM(D126:D130)</f>
        <v>0</v>
      </c>
      <c r="E125" s="278">
        <f>SUM(E126:E130)</f>
        <v>0</v>
      </c>
      <c r="F125" s="279">
        <f t="shared" si="10"/>
        <v>0</v>
      </c>
      <c r="G125" s="277">
        <f>SUM(G126:G130)</f>
        <v>0</v>
      </c>
      <c r="H125" s="280">
        <f>SUM(H126:H130)</f>
        <v>0</v>
      </c>
      <c r="I125" s="136">
        <f t="shared" si="11"/>
        <v>0</v>
      </c>
      <c r="J125" s="277">
        <f>SUM(J126:J130)</f>
        <v>200</v>
      </c>
      <c r="K125" s="280">
        <f>SUM(K126:K130)</f>
        <v>-26</v>
      </c>
      <c r="L125" s="136">
        <f t="shared" si="12"/>
        <v>174</v>
      </c>
      <c r="M125" s="281">
        <f>SUM(M126:M130)</f>
        <v>0</v>
      </c>
      <c r="N125" s="282">
        <f>SUM(N126:N130)</f>
        <v>0</v>
      </c>
      <c r="O125" s="136">
        <f t="shared" si="13"/>
        <v>0</v>
      </c>
      <c r="P125" s="85"/>
      <c r="R125" s="53"/>
      <c r="S125" s="53"/>
      <c r="T125" s="53"/>
    </row>
    <row r="126" spans="1:20" hidden="1" x14ac:dyDescent="0.25">
      <c r="A126" s="76">
        <v>2272</v>
      </c>
      <c r="B126" s="5" t="s">
        <v>142</v>
      </c>
      <c r="C126" s="128">
        <f t="shared" si="9"/>
        <v>0</v>
      </c>
      <c r="D126" s="134"/>
      <c r="E126" s="285"/>
      <c r="F126" s="286">
        <f t="shared" si="10"/>
        <v>0</v>
      </c>
      <c r="G126" s="134"/>
      <c r="H126" s="135"/>
      <c r="I126" s="136">
        <f t="shared" si="11"/>
        <v>0</v>
      </c>
      <c r="J126" s="134"/>
      <c r="K126" s="135"/>
      <c r="L126" s="136">
        <f t="shared" si="12"/>
        <v>0</v>
      </c>
      <c r="M126" s="284"/>
      <c r="N126" s="285"/>
      <c r="O126" s="136">
        <f t="shared" si="13"/>
        <v>0</v>
      </c>
      <c r="P126" s="85"/>
      <c r="R126" s="53"/>
      <c r="S126" s="53"/>
      <c r="T126" s="53"/>
    </row>
    <row r="127" spans="1:20" ht="24" hidden="1" x14ac:dyDescent="0.25">
      <c r="A127" s="76">
        <v>2275</v>
      </c>
      <c r="B127" s="127" t="s">
        <v>143</v>
      </c>
      <c r="C127" s="128">
        <f t="shared" si="9"/>
        <v>0</v>
      </c>
      <c r="D127" s="134"/>
      <c r="E127" s="285"/>
      <c r="F127" s="286">
        <f t="shared" si="10"/>
        <v>0</v>
      </c>
      <c r="G127" s="134"/>
      <c r="H127" s="135"/>
      <c r="I127" s="136">
        <f t="shared" si="11"/>
        <v>0</v>
      </c>
      <c r="J127" s="134"/>
      <c r="K127" s="135"/>
      <c r="L127" s="136">
        <f t="shared" si="12"/>
        <v>0</v>
      </c>
      <c r="M127" s="284"/>
      <c r="N127" s="285"/>
      <c r="O127" s="136">
        <f t="shared" si="13"/>
        <v>0</v>
      </c>
      <c r="P127" s="85"/>
      <c r="R127" s="53"/>
      <c r="S127" s="53"/>
      <c r="T127" s="53"/>
    </row>
    <row r="128" spans="1:20" ht="36" hidden="1" x14ac:dyDescent="0.25">
      <c r="A128" s="76">
        <v>2276</v>
      </c>
      <c r="B128" s="127" t="s">
        <v>144</v>
      </c>
      <c r="C128" s="128">
        <f t="shared" si="9"/>
        <v>0</v>
      </c>
      <c r="D128" s="134"/>
      <c r="E128" s="285"/>
      <c r="F128" s="286">
        <f t="shared" si="10"/>
        <v>0</v>
      </c>
      <c r="G128" s="134"/>
      <c r="H128" s="135"/>
      <c r="I128" s="136">
        <f t="shared" si="11"/>
        <v>0</v>
      </c>
      <c r="J128" s="134"/>
      <c r="K128" s="135"/>
      <c r="L128" s="136">
        <f t="shared" si="12"/>
        <v>0</v>
      </c>
      <c r="M128" s="284"/>
      <c r="N128" s="285"/>
      <c r="O128" s="136">
        <f t="shared" si="13"/>
        <v>0</v>
      </c>
      <c r="P128" s="85"/>
      <c r="R128" s="53"/>
      <c r="S128" s="53"/>
      <c r="T128" s="53"/>
    </row>
    <row r="129" spans="1:20" ht="24" hidden="1" x14ac:dyDescent="0.25">
      <c r="A129" s="76">
        <v>2278</v>
      </c>
      <c r="B129" s="127" t="s">
        <v>145</v>
      </c>
      <c r="C129" s="128">
        <f t="shared" si="9"/>
        <v>0</v>
      </c>
      <c r="D129" s="134"/>
      <c r="E129" s="285"/>
      <c r="F129" s="286">
        <f t="shared" si="10"/>
        <v>0</v>
      </c>
      <c r="G129" s="134"/>
      <c r="H129" s="135"/>
      <c r="I129" s="136">
        <f t="shared" si="11"/>
        <v>0</v>
      </c>
      <c r="J129" s="134"/>
      <c r="K129" s="135"/>
      <c r="L129" s="136">
        <f t="shared" si="12"/>
        <v>0</v>
      </c>
      <c r="M129" s="284"/>
      <c r="N129" s="285"/>
      <c r="O129" s="136">
        <f t="shared" si="13"/>
        <v>0</v>
      </c>
      <c r="P129" s="85"/>
      <c r="R129" s="53"/>
      <c r="S129" s="53"/>
      <c r="T129" s="53"/>
    </row>
    <row r="130" spans="1:20" ht="24" x14ac:dyDescent="0.25">
      <c r="A130" s="76">
        <v>2279</v>
      </c>
      <c r="B130" s="127" t="s">
        <v>146</v>
      </c>
      <c r="C130" s="128">
        <f t="shared" si="9"/>
        <v>174</v>
      </c>
      <c r="D130" s="134"/>
      <c r="E130" s="283"/>
      <c r="F130" s="279">
        <f t="shared" si="10"/>
        <v>0</v>
      </c>
      <c r="G130" s="134"/>
      <c r="H130" s="135"/>
      <c r="I130" s="136">
        <f t="shared" si="11"/>
        <v>0</v>
      </c>
      <c r="J130" s="134">
        <v>200</v>
      </c>
      <c r="K130" s="135">
        <v>-26</v>
      </c>
      <c r="L130" s="136">
        <f t="shared" si="12"/>
        <v>174</v>
      </c>
      <c r="M130" s="284"/>
      <c r="N130" s="285"/>
      <c r="O130" s="136">
        <f t="shared" si="13"/>
        <v>0</v>
      </c>
      <c r="P130" s="85"/>
      <c r="R130" s="53"/>
      <c r="S130" s="53"/>
      <c r="T130" s="53"/>
    </row>
    <row r="131" spans="1:20" ht="24" hidden="1" x14ac:dyDescent="0.25">
      <c r="A131" s="656">
        <v>2280</v>
      </c>
      <c r="B131" s="116" t="s">
        <v>147</v>
      </c>
      <c r="C131" s="128">
        <f t="shared" si="9"/>
        <v>0</v>
      </c>
      <c r="D131" s="297">
        <f t="shared" ref="D131:N131" si="14">SUM(D132)</f>
        <v>0</v>
      </c>
      <c r="E131" s="301">
        <f t="shared" si="14"/>
        <v>0</v>
      </c>
      <c r="F131" s="263">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c r="R131" s="53"/>
      <c r="S131" s="53"/>
      <c r="T131" s="53"/>
    </row>
    <row r="132" spans="1:20" ht="24" hidden="1" x14ac:dyDescent="0.25">
      <c r="A132" s="76">
        <v>2283</v>
      </c>
      <c r="B132" s="127" t="s">
        <v>148</v>
      </c>
      <c r="C132" s="128">
        <f t="shared" si="9"/>
        <v>0</v>
      </c>
      <c r="D132" s="134"/>
      <c r="E132" s="285"/>
      <c r="F132" s="286">
        <f t="shared" si="10"/>
        <v>0</v>
      </c>
      <c r="G132" s="134"/>
      <c r="H132" s="135"/>
      <c r="I132" s="136">
        <f t="shared" si="11"/>
        <v>0</v>
      </c>
      <c r="J132" s="134"/>
      <c r="K132" s="135"/>
      <c r="L132" s="136">
        <f t="shared" si="12"/>
        <v>0</v>
      </c>
      <c r="M132" s="284"/>
      <c r="N132" s="285"/>
      <c r="O132" s="136">
        <f t="shared" si="13"/>
        <v>0</v>
      </c>
      <c r="P132" s="85"/>
      <c r="R132" s="53"/>
      <c r="S132" s="53"/>
      <c r="T132" s="53"/>
    </row>
    <row r="133" spans="1:20" ht="36" x14ac:dyDescent="0.25">
      <c r="A133" s="99">
        <v>2300</v>
      </c>
      <c r="B133" s="247" t="s">
        <v>149</v>
      </c>
      <c r="C133" s="100">
        <f t="shared" si="9"/>
        <v>36767</v>
      </c>
      <c r="D133" s="112">
        <f>SUM(D134,D139,D143,D144,D147,D154,D162,D163,D166)</f>
        <v>21297</v>
      </c>
      <c r="E133" s="248">
        <f>SUM(E134,E139,E143,E144,E147,E154,E162,E163,E166)</f>
        <v>0</v>
      </c>
      <c r="F133" s="249">
        <f t="shared" si="10"/>
        <v>21297</v>
      </c>
      <c r="G133" s="112">
        <f>SUM(G134,G139,G143,G144,G147,G154,G162,G163,G166)</f>
        <v>2300</v>
      </c>
      <c r="H133" s="113">
        <f>SUM(H134,H139,H143,H144,H147,H154,H162,H163,H166)</f>
        <v>0</v>
      </c>
      <c r="I133" s="114">
        <f t="shared" si="11"/>
        <v>2300</v>
      </c>
      <c r="J133" s="112">
        <f>SUM(J134,J139,J143,J144,J147,J154,J162,J163,J166)</f>
        <v>13144</v>
      </c>
      <c r="K133" s="113">
        <f>SUM(K134,K139,K143,K144,K147,K154,K162,K163,K166)</f>
        <v>26</v>
      </c>
      <c r="L133" s="114">
        <f t="shared" si="12"/>
        <v>13170</v>
      </c>
      <c r="M133" s="292">
        <f>SUM(M134,M139,M143,M144,M147,M154,M162,M163,M166)</f>
        <v>0</v>
      </c>
      <c r="N133" s="293">
        <f>SUM(N134,N139,N143,N144,N147,N154,N162,N163,N166)</f>
        <v>0</v>
      </c>
      <c r="O133" s="114">
        <f t="shared" si="13"/>
        <v>0</v>
      </c>
      <c r="P133" s="109"/>
      <c r="R133" s="53"/>
      <c r="S133" s="53"/>
      <c r="T133" s="53"/>
    </row>
    <row r="134" spans="1:20" ht="24" x14ac:dyDescent="0.25">
      <c r="A134" s="656">
        <v>2310</v>
      </c>
      <c r="B134" s="116" t="s">
        <v>150</v>
      </c>
      <c r="C134" s="117">
        <f t="shared" si="9"/>
        <v>9572</v>
      </c>
      <c r="D134" s="308">
        <f>SUM(D135:D138)</f>
        <v>9457</v>
      </c>
      <c r="E134" s="300">
        <f>SUM(E135:E138)</f>
        <v>0</v>
      </c>
      <c r="F134" s="296">
        <f t="shared" si="10"/>
        <v>9457</v>
      </c>
      <c r="G134" s="297">
        <f>SUM(G135:G138)</f>
        <v>0</v>
      </c>
      <c r="H134" s="299">
        <f>SUM(H135:H138)</f>
        <v>0</v>
      </c>
      <c r="I134" s="125">
        <f t="shared" si="11"/>
        <v>0</v>
      </c>
      <c r="J134" s="297">
        <f>SUM(J135:J138)</f>
        <v>115</v>
      </c>
      <c r="K134" s="299">
        <f>SUM(K135:K138)</f>
        <v>0</v>
      </c>
      <c r="L134" s="125">
        <f t="shared" si="12"/>
        <v>115</v>
      </c>
      <c r="M134" s="300">
        <f>SUM(M135:M138)</f>
        <v>0</v>
      </c>
      <c r="N134" s="301">
        <f>SUM(N135:N138)</f>
        <v>0</v>
      </c>
      <c r="O134" s="125">
        <f t="shared" si="13"/>
        <v>0</v>
      </c>
      <c r="P134" s="74"/>
      <c r="R134" s="53"/>
      <c r="S134" s="53"/>
      <c r="T134" s="53"/>
    </row>
    <row r="135" spans="1:20" x14ac:dyDescent="0.25">
      <c r="A135" s="76">
        <v>2311</v>
      </c>
      <c r="B135" s="127" t="s">
        <v>151</v>
      </c>
      <c r="C135" s="128">
        <f t="shared" si="9"/>
        <v>1000</v>
      </c>
      <c r="D135" s="134">
        <v>1000</v>
      </c>
      <c r="E135" s="283"/>
      <c r="F135" s="279">
        <f t="shared" si="10"/>
        <v>1000</v>
      </c>
      <c r="G135" s="134"/>
      <c r="H135" s="135"/>
      <c r="I135" s="136">
        <f t="shared" si="11"/>
        <v>0</v>
      </c>
      <c r="J135" s="134"/>
      <c r="K135" s="135"/>
      <c r="L135" s="136">
        <f t="shared" si="12"/>
        <v>0</v>
      </c>
      <c r="M135" s="284"/>
      <c r="N135" s="285"/>
      <c r="O135" s="136">
        <f t="shared" si="13"/>
        <v>0</v>
      </c>
      <c r="P135" s="85"/>
      <c r="R135" s="53"/>
      <c r="S135" s="53"/>
      <c r="T135" s="53"/>
    </row>
    <row r="136" spans="1:20" x14ac:dyDescent="0.25">
      <c r="A136" s="76">
        <v>2312</v>
      </c>
      <c r="B136" s="127" t="s">
        <v>152</v>
      </c>
      <c r="C136" s="128">
        <f t="shared" si="9"/>
        <v>8057</v>
      </c>
      <c r="D136" s="134">
        <v>8057</v>
      </c>
      <c r="E136" s="283"/>
      <c r="F136" s="279">
        <f t="shared" si="10"/>
        <v>8057</v>
      </c>
      <c r="G136" s="134"/>
      <c r="H136" s="135"/>
      <c r="I136" s="136">
        <f t="shared" si="11"/>
        <v>0</v>
      </c>
      <c r="J136" s="134"/>
      <c r="K136" s="135"/>
      <c r="L136" s="136">
        <f t="shared" si="12"/>
        <v>0</v>
      </c>
      <c r="M136" s="284"/>
      <c r="N136" s="285"/>
      <c r="O136" s="136">
        <f t="shared" si="13"/>
        <v>0</v>
      </c>
      <c r="P136" s="85"/>
      <c r="R136" s="53"/>
      <c r="S136" s="53"/>
      <c r="T136" s="53"/>
    </row>
    <row r="137" spans="1:20" x14ac:dyDescent="0.25">
      <c r="A137" s="76">
        <v>2313</v>
      </c>
      <c r="B137" s="127" t="s">
        <v>153</v>
      </c>
      <c r="C137" s="128">
        <f t="shared" si="9"/>
        <v>415</v>
      </c>
      <c r="D137" s="134">
        <v>300</v>
      </c>
      <c r="E137" s="283"/>
      <c r="F137" s="279">
        <f t="shared" si="10"/>
        <v>300</v>
      </c>
      <c r="G137" s="134"/>
      <c r="H137" s="135"/>
      <c r="I137" s="136">
        <f t="shared" si="11"/>
        <v>0</v>
      </c>
      <c r="J137" s="134">
        <v>115</v>
      </c>
      <c r="K137" s="135"/>
      <c r="L137" s="136">
        <f t="shared" si="12"/>
        <v>115</v>
      </c>
      <c r="M137" s="284"/>
      <c r="N137" s="285"/>
      <c r="O137" s="136">
        <f t="shared" si="13"/>
        <v>0</v>
      </c>
      <c r="P137" s="1013"/>
      <c r="R137" s="53"/>
      <c r="S137" s="53"/>
      <c r="T137" s="53"/>
    </row>
    <row r="138" spans="1:20" ht="26.25" customHeight="1" x14ac:dyDescent="0.25">
      <c r="A138" s="76">
        <v>2314</v>
      </c>
      <c r="B138" s="127" t="s">
        <v>154</v>
      </c>
      <c r="C138" s="128">
        <f t="shared" si="9"/>
        <v>100</v>
      </c>
      <c r="D138" s="134">
        <v>100</v>
      </c>
      <c r="E138" s="283"/>
      <c r="F138" s="279">
        <f t="shared" si="10"/>
        <v>100</v>
      </c>
      <c r="G138" s="134"/>
      <c r="H138" s="135"/>
      <c r="I138" s="136">
        <f t="shared" si="11"/>
        <v>0</v>
      </c>
      <c r="J138" s="134"/>
      <c r="K138" s="135"/>
      <c r="L138" s="136">
        <f t="shared" si="12"/>
        <v>0</v>
      </c>
      <c r="M138" s="284"/>
      <c r="N138" s="285"/>
      <c r="O138" s="136">
        <f t="shared" si="13"/>
        <v>0</v>
      </c>
      <c r="P138" s="85"/>
      <c r="R138" s="53"/>
      <c r="S138" s="53"/>
      <c r="T138" s="53"/>
    </row>
    <row r="139" spans="1:20" x14ac:dyDescent="0.25">
      <c r="A139" s="276">
        <v>2320</v>
      </c>
      <c r="B139" s="127" t="s">
        <v>155</v>
      </c>
      <c r="C139" s="128">
        <f t="shared" si="9"/>
        <v>1076</v>
      </c>
      <c r="D139" s="277">
        <f>SUM(D140:D142)</f>
        <v>700</v>
      </c>
      <c r="E139" s="278">
        <f>SUM(E140:E142)</f>
        <v>0</v>
      </c>
      <c r="F139" s="279">
        <f t="shared" si="10"/>
        <v>700</v>
      </c>
      <c r="G139" s="277">
        <f>SUM(G140:G142)</f>
        <v>0</v>
      </c>
      <c r="H139" s="280">
        <f>SUM(H140:H142)</f>
        <v>0</v>
      </c>
      <c r="I139" s="136">
        <f t="shared" si="11"/>
        <v>0</v>
      </c>
      <c r="J139" s="277">
        <f>SUM(J140:J142)</f>
        <v>350</v>
      </c>
      <c r="K139" s="280">
        <f>SUM(K140:K142)</f>
        <v>26</v>
      </c>
      <c r="L139" s="136">
        <f t="shared" si="12"/>
        <v>376</v>
      </c>
      <c r="M139" s="281">
        <f>SUM(M140:M142)</f>
        <v>0</v>
      </c>
      <c r="N139" s="282">
        <f>SUM(N140:N142)</f>
        <v>0</v>
      </c>
      <c r="O139" s="136">
        <f t="shared" si="13"/>
        <v>0</v>
      </c>
      <c r="P139" s="85"/>
      <c r="R139" s="53"/>
      <c r="S139" s="53"/>
      <c r="T139" s="53"/>
    </row>
    <row r="140" spans="1:20" hidden="1" x14ac:dyDescent="0.25">
      <c r="A140" s="76">
        <v>2321</v>
      </c>
      <c r="B140" s="127" t="s">
        <v>156</v>
      </c>
      <c r="C140" s="128">
        <f t="shared" si="9"/>
        <v>0</v>
      </c>
      <c r="D140" s="134"/>
      <c r="E140" s="285"/>
      <c r="F140" s="286">
        <f t="shared" si="10"/>
        <v>0</v>
      </c>
      <c r="G140" s="134"/>
      <c r="H140" s="135"/>
      <c r="I140" s="136">
        <f t="shared" si="11"/>
        <v>0</v>
      </c>
      <c r="J140" s="134"/>
      <c r="K140" s="135"/>
      <c r="L140" s="136">
        <f t="shared" si="12"/>
        <v>0</v>
      </c>
      <c r="M140" s="284"/>
      <c r="N140" s="285"/>
      <c r="O140" s="136">
        <f t="shared" si="13"/>
        <v>0</v>
      </c>
      <c r="P140" s="85"/>
      <c r="R140" s="53"/>
      <c r="S140" s="53"/>
      <c r="T140" s="53"/>
    </row>
    <row r="141" spans="1:20" x14ac:dyDescent="0.25">
      <c r="A141" s="76">
        <v>2322</v>
      </c>
      <c r="B141" s="127" t="s">
        <v>157</v>
      </c>
      <c r="C141" s="128">
        <f t="shared" si="9"/>
        <v>1076</v>
      </c>
      <c r="D141" s="134">
        <v>700</v>
      </c>
      <c r="E141" s="283"/>
      <c r="F141" s="279">
        <f t="shared" si="10"/>
        <v>700</v>
      </c>
      <c r="G141" s="134"/>
      <c r="H141" s="135"/>
      <c r="I141" s="136">
        <f t="shared" si="11"/>
        <v>0</v>
      </c>
      <c r="J141" s="134">
        <v>350</v>
      </c>
      <c r="K141" s="135">
        <v>26</v>
      </c>
      <c r="L141" s="136">
        <f t="shared" si="12"/>
        <v>376</v>
      </c>
      <c r="M141" s="284"/>
      <c r="N141" s="285"/>
      <c r="O141" s="136">
        <f t="shared" si="13"/>
        <v>0</v>
      </c>
      <c r="P141" s="85"/>
      <c r="R141" s="53"/>
      <c r="S141" s="53"/>
      <c r="T141" s="53"/>
    </row>
    <row r="142" spans="1:20" hidden="1" x14ac:dyDescent="0.25">
      <c r="A142" s="76">
        <v>2329</v>
      </c>
      <c r="B142" s="127" t="s">
        <v>158</v>
      </c>
      <c r="C142" s="128">
        <f t="shared" si="9"/>
        <v>0</v>
      </c>
      <c r="D142" s="134"/>
      <c r="E142" s="285"/>
      <c r="F142" s="286">
        <f t="shared" si="10"/>
        <v>0</v>
      </c>
      <c r="G142" s="134"/>
      <c r="H142" s="135"/>
      <c r="I142" s="136">
        <f t="shared" si="11"/>
        <v>0</v>
      </c>
      <c r="J142" s="134"/>
      <c r="K142" s="135"/>
      <c r="L142" s="136">
        <f t="shared" si="12"/>
        <v>0</v>
      </c>
      <c r="M142" s="284"/>
      <c r="N142" s="285"/>
      <c r="O142" s="136">
        <f t="shared" si="13"/>
        <v>0</v>
      </c>
      <c r="P142" s="85"/>
      <c r="R142" s="53"/>
      <c r="S142" s="53"/>
      <c r="T142" s="53"/>
    </row>
    <row r="143" spans="1:20" hidden="1" x14ac:dyDescent="0.25">
      <c r="A143" s="276">
        <v>2330</v>
      </c>
      <c r="B143" s="127" t="s">
        <v>159</v>
      </c>
      <c r="C143" s="128">
        <f t="shared" si="9"/>
        <v>0</v>
      </c>
      <c r="D143" s="134"/>
      <c r="E143" s="285"/>
      <c r="F143" s="286">
        <f t="shared" si="10"/>
        <v>0</v>
      </c>
      <c r="G143" s="134"/>
      <c r="H143" s="135"/>
      <c r="I143" s="136">
        <f t="shared" si="11"/>
        <v>0</v>
      </c>
      <c r="J143" s="134"/>
      <c r="K143" s="135"/>
      <c r="L143" s="136">
        <f t="shared" si="12"/>
        <v>0</v>
      </c>
      <c r="M143" s="284"/>
      <c r="N143" s="285"/>
      <c r="O143" s="136">
        <f t="shared" si="13"/>
        <v>0</v>
      </c>
      <c r="P143" s="85"/>
      <c r="R143" s="53"/>
      <c r="S143" s="53"/>
      <c r="T143" s="53"/>
    </row>
    <row r="144" spans="1:20" ht="38.25" customHeight="1" x14ac:dyDescent="0.25">
      <c r="A144" s="276">
        <v>2340</v>
      </c>
      <c r="B144" s="127" t="s">
        <v>160</v>
      </c>
      <c r="C144" s="128">
        <f t="shared" si="9"/>
        <v>300</v>
      </c>
      <c r="D144" s="277">
        <f>SUM(D145:D146)</f>
        <v>300</v>
      </c>
      <c r="E144" s="278">
        <f>SUM(E145:E146)</f>
        <v>0</v>
      </c>
      <c r="F144" s="279">
        <f t="shared" si="10"/>
        <v>300</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c r="R144" s="53"/>
      <c r="S144" s="53"/>
      <c r="T144" s="53"/>
    </row>
    <row r="145" spans="1:20" x14ac:dyDescent="0.25">
      <c r="A145" s="76">
        <v>2341</v>
      </c>
      <c r="B145" s="127" t="s">
        <v>161</v>
      </c>
      <c r="C145" s="128">
        <f t="shared" si="9"/>
        <v>300</v>
      </c>
      <c r="D145" s="134">
        <v>300</v>
      </c>
      <c r="E145" s="283"/>
      <c r="F145" s="279">
        <f t="shared" si="10"/>
        <v>300</v>
      </c>
      <c r="G145" s="134"/>
      <c r="H145" s="135"/>
      <c r="I145" s="136">
        <f t="shared" si="11"/>
        <v>0</v>
      </c>
      <c r="J145" s="134"/>
      <c r="K145" s="135"/>
      <c r="L145" s="136">
        <f t="shared" si="12"/>
        <v>0</v>
      </c>
      <c r="M145" s="284"/>
      <c r="N145" s="285"/>
      <c r="O145" s="136">
        <f t="shared" si="13"/>
        <v>0</v>
      </c>
      <c r="P145" s="85"/>
      <c r="R145" s="53"/>
      <c r="S145" s="53"/>
      <c r="T145" s="53"/>
    </row>
    <row r="146" spans="1:20" ht="24" hidden="1" x14ac:dyDescent="0.25">
      <c r="A146" s="76">
        <v>2344</v>
      </c>
      <c r="B146" s="127" t="s">
        <v>162</v>
      </c>
      <c r="C146" s="128">
        <f t="shared" si="9"/>
        <v>0</v>
      </c>
      <c r="D146" s="134"/>
      <c r="E146" s="285"/>
      <c r="F146" s="286">
        <f t="shared" si="10"/>
        <v>0</v>
      </c>
      <c r="G146" s="134"/>
      <c r="H146" s="135"/>
      <c r="I146" s="136">
        <f t="shared" si="11"/>
        <v>0</v>
      </c>
      <c r="J146" s="134"/>
      <c r="K146" s="135"/>
      <c r="L146" s="136">
        <f t="shared" si="12"/>
        <v>0</v>
      </c>
      <c r="M146" s="284"/>
      <c r="N146" s="285"/>
      <c r="O146" s="136">
        <f t="shared" si="13"/>
        <v>0</v>
      </c>
      <c r="P146" s="85"/>
      <c r="R146" s="53"/>
      <c r="S146" s="53"/>
      <c r="T146" s="53"/>
    </row>
    <row r="147" spans="1:20" ht="24" x14ac:dyDescent="0.25">
      <c r="A147" s="254">
        <v>2350</v>
      </c>
      <c r="B147" s="179" t="s">
        <v>163</v>
      </c>
      <c r="C147" s="128">
        <f t="shared" si="9"/>
        <v>4829</v>
      </c>
      <c r="D147" s="255">
        <f>SUM(D148:D153)</f>
        <v>4150</v>
      </c>
      <c r="E147" s="256">
        <f>SUM(E148:E153)</f>
        <v>0</v>
      </c>
      <c r="F147" s="257">
        <f t="shared" si="10"/>
        <v>4150</v>
      </c>
      <c r="G147" s="255">
        <f>SUM(G148:G153)</f>
        <v>0</v>
      </c>
      <c r="H147" s="258">
        <f>SUM(H148:H153)</f>
        <v>0</v>
      </c>
      <c r="I147" s="259">
        <f t="shared" si="11"/>
        <v>0</v>
      </c>
      <c r="J147" s="255">
        <f>SUM(J148:J153)</f>
        <v>679</v>
      </c>
      <c r="K147" s="258">
        <f>SUM(K148:K153)</f>
        <v>0</v>
      </c>
      <c r="L147" s="259">
        <f t="shared" si="12"/>
        <v>679</v>
      </c>
      <c r="M147" s="260">
        <f>SUM(M148:M153)</f>
        <v>0</v>
      </c>
      <c r="N147" s="261">
        <f>SUM(N148:N153)</f>
        <v>0</v>
      </c>
      <c r="O147" s="259">
        <f t="shared" si="13"/>
        <v>0</v>
      </c>
      <c r="P147" s="189"/>
      <c r="R147" s="53"/>
      <c r="S147" s="53"/>
      <c r="T147" s="53"/>
    </row>
    <row r="148" spans="1:20" x14ac:dyDescent="0.25">
      <c r="A148" s="66">
        <v>2351</v>
      </c>
      <c r="B148" s="116" t="s">
        <v>164</v>
      </c>
      <c r="C148" s="128">
        <f t="shared" si="9"/>
        <v>1750</v>
      </c>
      <c r="D148" s="123">
        <v>1450</v>
      </c>
      <c r="E148" s="295"/>
      <c r="F148" s="296">
        <f t="shared" si="10"/>
        <v>1450</v>
      </c>
      <c r="G148" s="123"/>
      <c r="H148" s="124"/>
      <c r="I148" s="125">
        <f t="shared" si="11"/>
        <v>0</v>
      </c>
      <c r="J148" s="123">
        <v>300</v>
      </c>
      <c r="K148" s="124"/>
      <c r="L148" s="125">
        <f t="shared" si="12"/>
        <v>300</v>
      </c>
      <c r="M148" s="264"/>
      <c r="N148" s="262"/>
      <c r="O148" s="125">
        <f t="shared" si="13"/>
        <v>0</v>
      </c>
      <c r="P148" s="1013"/>
      <c r="R148" s="53"/>
      <c r="S148" s="53"/>
      <c r="T148" s="53"/>
    </row>
    <row r="149" spans="1:20" x14ac:dyDescent="0.25">
      <c r="A149" s="76">
        <v>2352</v>
      </c>
      <c r="B149" s="127" t="s">
        <v>165</v>
      </c>
      <c r="C149" s="128">
        <f t="shared" si="9"/>
        <v>2979</v>
      </c>
      <c r="D149" s="134">
        <v>2600</v>
      </c>
      <c r="E149" s="283"/>
      <c r="F149" s="279">
        <f t="shared" si="10"/>
        <v>2600</v>
      </c>
      <c r="G149" s="134"/>
      <c r="H149" s="135"/>
      <c r="I149" s="136">
        <f t="shared" si="11"/>
        <v>0</v>
      </c>
      <c r="J149" s="134">
        <v>379</v>
      </c>
      <c r="K149" s="135"/>
      <c r="L149" s="136">
        <f t="shared" si="12"/>
        <v>379</v>
      </c>
      <c r="M149" s="284"/>
      <c r="N149" s="285"/>
      <c r="O149" s="136">
        <f t="shared" si="13"/>
        <v>0</v>
      </c>
      <c r="P149" s="1013"/>
      <c r="R149" s="53"/>
      <c r="S149" s="53"/>
      <c r="T149" s="53"/>
    </row>
    <row r="150" spans="1:20" ht="24" hidden="1" x14ac:dyDescent="0.25">
      <c r="A150" s="76">
        <v>2353</v>
      </c>
      <c r="B150" s="127" t="s">
        <v>166</v>
      </c>
      <c r="C150" s="128">
        <f t="shared" si="9"/>
        <v>0</v>
      </c>
      <c r="D150" s="134"/>
      <c r="E150" s="285"/>
      <c r="F150" s="286">
        <f t="shared" si="10"/>
        <v>0</v>
      </c>
      <c r="G150" s="134"/>
      <c r="H150" s="135"/>
      <c r="I150" s="136">
        <f t="shared" si="11"/>
        <v>0</v>
      </c>
      <c r="J150" s="134"/>
      <c r="K150" s="135"/>
      <c r="L150" s="136">
        <f t="shared" si="12"/>
        <v>0</v>
      </c>
      <c r="M150" s="284"/>
      <c r="N150" s="285"/>
      <c r="O150" s="136">
        <f t="shared" si="13"/>
        <v>0</v>
      </c>
      <c r="P150" s="85"/>
      <c r="R150" s="53"/>
      <c r="S150" s="53"/>
      <c r="T150" s="53"/>
    </row>
    <row r="151" spans="1:20" ht="24" hidden="1" x14ac:dyDescent="0.25">
      <c r="A151" s="76">
        <v>2354</v>
      </c>
      <c r="B151" s="127" t="s">
        <v>167</v>
      </c>
      <c r="C151" s="128">
        <f t="shared" si="9"/>
        <v>0</v>
      </c>
      <c r="D151" s="134"/>
      <c r="E151" s="285"/>
      <c r="F151" s="286">
        <f t="shared" si="10"/>
        <v>0</v>
      </c>
      <c r="G151" s="134"/>
      <c r="H151" s="135"/>
      <c r="I151" s="136">
        <f t="shared" si="11"/>
        <v>0</v>
      </c>
      <c r="J151" s="134"/>
      <c r="K151" s="135"/>
      <c r="L151" s="136">
        <f t="shared" si="12"/>
        <v>0</v>
      </c>
      <c r="M151" s="284"/>
      <c r="N151" s="285"/>
      <c r="O151" s="136">
        <f t="shared" si="13"/>
        <v>0</v>
      </c>
      <c r="P151" s="85"/>
      <c r="R151" s="53"/>
      <c r="S151" s="53"/>
      <c r="T151" s="53"/>
    </row>
    <row r="152" spans="1:20" ht="24" x14ac:dyDescent="0.25">
      <c r="A152" s="76">
        <v>2355</v>
      </c>
      <c r="B152" s="127" t="s">
        <v>168</v>
      </c>
      <c r="C152" s="128">
        <f t="shared" si="9"/>
        <v>100</v>
      </c>
      <c r="D152" s="134">
        <v>100</v>
      </c>
      <c r="E152" s="283"/>
      <c r="F152" s="279">
        <f t="shared" si="10"/>
        <v>100</v>
      </c>
      <c r="G152" s="134"/>
      <c r="H152" s="135"/>
      <c r="I152" s="136">
        <f t="shared" si="11"/>
        <v>0</v>
      </c>
      <c r="J152" s="134"/>
      <c r="K152" s="135"/>
      <c r="L152" s="136">
        <f t="shared" si="12"/>
        <v>0</v>
      </c>
      <c r="M152" s="284"/>
      <c r="N152" s="285"/>
      <c r="O152" s="136">
        <f t="shared" si="13"/>
        <v>0</v>
      </c>
      <c r="P152" s="85"/>
      <c r="R152" s="53"/>
      <c r="S152" s="53"/>
      <c r="T152" s="53"/>
    </row>
    <row r="153" spans="1:20" ht="24" hidden="1" x14ac:dyDescent="0.25">
      <c r="A153" s="76">
        <v>2359</v>
      </c>
      <c r="B153" s="127" t="s">
        <v>169</v>
      </c>
      <c r="C153" s="128">
        <f t="shared" si="9"/>
        <v>0</v>
      </c>
      <c r="D153" s="134"/>
      <c r="E153" s="285"/>
      <c r="F153" s="286">
        <f t="shared" si="10"/>
        <v>0</v>
      </c>
      <c r="G153" s="134"/>
      <c r="H153" s="135"/>
      <c r="I153" s="136">
        <f t="shared" si="11"/>
        <v>0</v>
      </c>
      <c r="J153" s="134"/>
      <c r="K153" s="135"/>
      <c r="L153" s="136">
        <f t="shared" si="12"/>
        <v>0</v>
      </c>
      <c r="M153" s="284"/>
      <c r="N153" s="285"/>
      <c r="O153" s="136">
        <f t="shared" si="13"/>
        <v>0</v>
      </c>
      <c r="P153" s="85"/>
      <c r="R153" s="53"/>
      <c r="S153" s="53"/>
      <c r="T153" s="53"/>
    </row>
    <row r="154" spans="1:20" ht="24" x14ac:dyDescent="0.25">
      <c r="A154" s="276">
        <v>2360</v>
      </c>
      <c r="B154" s="127" t="s">
        <v>170</v>
      </c>
      <c r="C154" s="128">
        <f t="shared" si="9"/>
        <v>13900</v>
      </c>
      <c r="D154" s="277">
        <f>SUM(D155:D161)</f>
        <v>1900</v>
      </c>
      <c r="E154" s="278">
        <f>SUM(E155:E161)</f>
        <v>0</v>
      </c>
      <c r="F154" s="279">
        <f t="shared" si="10"/>
        <v>1900</v>
      </c>
      <c r="G154" s="277">
        <f>SUM(G155:G161)</f>
        <v>0</v>
      </c>
      <c r="H154" s="280">
        <f>SUM(H155:H161)</f>
        <v>0</v>
      </c>
      <c r="I154" s="136">
        <f t="shared" si="11"/>
        <v>0</v>
      </c>
      <c r="J154" s="277">
        <f>SUM(J155:J161)</f>
        <v>12000</v>
      </c>
      <c r="K154" s="280">
        <f>SUM(K155:K161)</f>
        <v>0</v>
      </c>
      <c r="L154" s="136">
        <f t="shared" si="12"/>
        <v>12000</v>
      </c>
      <c r="M154" s="281">
        <f>SUM(M155:M161)</f>
        <v>0</v>
      </c>
      <c r="N154" s="282">
        <f>SUM(N155:N161)</f>
        <v>0</v>
      </c>
      <c r="O154" s="136">
        <f t="shared" si="13"/>
        <v>0</v>
      </c>
      <c r="P154" s="85"/>
      <c r="R154" s="53"/>
      <c r="S154" s="53"/>
      <c r="T154" s="53"/>
    </row>
    <row r="155" spans="1:20" x14ac:dyDescent="0.25">
      <c r="A155" s="75">
        <v>2361</v>
      </c>
      <c r="B155" s="127" t="s">
        <v>171</v>
      </c>
      <c r="C155" s="128">
        <f t="shared" si="9"/>
        <v>1000</v>
      </c>
      <c r="D155" s="134">
        <v>1000</v>
      </c>
      <c r="E155" s="283"/>
      <c r="F155" s="279">
        <f t="shared" si="10"/>
        <v>1000</v>
      </c>
      <c r="G155" s="134"/>
      <c r="H155" s="135"/>
      <c r="I155" s="136">
        <f t="shared" si="11"/>
        <v>0</v>
      </c>
      <c r="J155" s="134"/>
      <c r="K155" s="135"/>
      <c r="L155" s="136">
        <f t="shared" si="12"/>
        <v>0</v>
      </c>
      <c r="M155" s="284"/>
      <c r="N155" s="285"/>
      <c r="O155" s="136">
        <f t="shared" si="13"/>
        <v>0</v>
      </c>
      <c r="P155" s="85"/>
      <c r="R155" s="53"/>
      <c r="S155" s="53"/>
      <c r="T155" s="53"/>
    </row>
    <row r="156" spans="1:20" ht="24" x14ac:dyDescent="0.25">
      <c r="A156" s="75">
        <v>2362</v>
      </c>
      <c r="B156" s="127" t="s">
        <v>172</v>
      </c>
      <c r="C156" s="128">
        <f t="shared" si="9"/>
        <v>900</v>
      </c>
      <c r="D156" s="134">
        <v>900</v>
      </c>
      <c r="E156" s="283"/>
      <c r="F156" s="279">
        <f t="shared" si="10"/>
        <v>900</v>
      </c>
      <c r="G156" s="134"/>
      <c r="H156" s="135"/>
      <c r="I156" s="136">
        <f t="shared" si="11"/>
        <v>0</v>
      </c>
      <c r="J156" s="134"/>
      <c r="K156" s="135"/>
      <c r="L156" s="136">
        <f t="shared" si="12"/>
        <v>0</v>
      </c>
      <c r="M156" s="284"/>
      <c r="N156" s="285"/>
      <c r="O156" s="136">
        <f t="shared" si="13"/>
        <v>0</v>
      </c>
      <c r="P156" s="85"/>
      <c r="R156" s="53"/>
      <c r="S156" s="53"/>
      <c r="T156" s="53"/>
    </row>
    <row r="157" spans="1:20" x14ac:dyDescent="0.25">
      <c r="A157" s="75">
        <v>2363</v>
      </c>
      <c r="B157" s="127" t="s">
        <v>173</v>
      </c>
      <c r="C157" s="128">
        <f t="shared" si="9"/>
        <v>12000</v>
      </c>
      <c r="D157" s="134"/>
      <c r="E157" s="283"/>
      <c r="F157" s="279">
        <f t="shared" si="10"/>
        <v>0</v>
      </c>
      <c r="G157" s="134"/>
      <c r="H157" s="135"/>
      <c r="I157" s="136">
        <f t="shared" si="11"/>
        <v>0</v>
      </c>
      <c r="J157" s="134">
        <v>12000</v>
      </c>
      <c r="K157" s="135"/>
      <c r="L157" s="136">
        <f t="shared" si="12"/>
        <v>12000</v>
      </c>
      <c r="M157" s="284"/>
      <c r="N157" s="285"/>
      <c r="O157" s="136">
        <f t="shared" si="13"/>
        <v>0</v>
      </c>
      <c r="P157" s="85"/>
      <c r="R157" s="53"/>
      <c r="S157" s="53"/>
      <c r="T157" s="53"/>
    </row>
    <row r="158" spans="1:20" hidden="1" x14ac:dyDescent="0.25">
      <c r="A158" s="75">
        <v>2364</v>
      </c>
      <c r="B158" s="127" t="s">
        <v>174</v>
      </c>
      <c r="C158" s="128">
        <f t="shared" si="9"/>
        <v>0</v>
      </c>
      <c r="D158" s="134"/>
      <c r="E158" s="285"/>
      <c r="F158" s="286">
        <f t="shared" si="10"/>
        <v>0</v>
      </c>
      <c r="G158" s="134"/>
      <c r="H158" s="135"/>
      <c r="I158" s="136">
        <f t="shared" si="11"/>
        <v>0</v>
      </c>
      <c r="J158" s="134"/>
      <c r="K158" s="135"/>
      <c r="L158" s="136">
        <f t="shared" si="12"/>
        <v>0</v>
      </c>
      <c r="M158" s="284"/>
      <c r="N158" s="285"/>
      <c r="O158" s="136">
        <f t="shared" si="13"/>
        <v>0</v>
      </c>
      <c r="P158" s="85"/>
      <c r="R158" s="53"/>
      <c r="S158" s="53"/>
      <c r="T158" s="53"/>
    </row>
    <row r="159" spans="1:20" hidden="1" x14ac:dyDescent="0.25">
      <c r="A159" s="75">
        <v>2365</v>
      </c>
      <c r="B159" s="127" t="s">
        <v>175</v>
      </c>
      <c r="C159" s="128">
        <f t="shared" si="9"/>
        <v>0</v>
      </c>
      <c r="D159" s="134"/>
      <c r="E159" s="285"/>
      <c r="F159" s="286">
        <f t="shared" si="10"/>
        <v>0</v>
      </c>
      <c r="G159" s="134"/>
      <c r="H159" s="135"/>
      <c r="I159" s="136">
        <f t="shared" si="11"/>
        <v>0</v>
      </c>
      <c r="J159" s="134"/>
      <c r="K159" s="135"/>
      <c r="L159" s="136">
        <f t="shared" si="12"/>
        <v>0</v>
      </c>
      <c r="M159" s="284"/>
      <c r="N159" s="285"/>
      <c r="O159" s="136">
        <f t="shared" si="13"/>
        <v>0</v>
      </c>
      <c r="P159" s="85"/>
      <c r="R159" s="53"/>
      <c r="S159" s="53"/>
      <c r="T159" s="53"/>
    </row>
    <row r="160" spans="1:20" ht="36" hidden="1" x14ac:dyDescent="0.25">
      <c r="A160" s="75">
        <v>2366</v>
      </c>
      <c r="B160" s="127" t="s">
        <v>176</v>
      </c>
      <c r="C160" s="128">
        <f t="shared" si="9"/>
        <v>0</v>
      </c>
      <c r="D160" s="134"/>
      <c r="E160" s="285"/>
      <c r="F160" s="286">
        <f t="shared" si="10"/>
        <v>0</v>
      </c>
      <c r="G160" s="134"/>
      <c r="H160" s="135"/>
      <c r="I160" s="136">
        <f t="shared" si="11"/>
        <v>0</v>
      </c>
      <c r="J160" s="134"/>
      <c r="K160" s="135"/>
      <c r="L160" s="136">
        <f t="shared" si="12"/>
        <v>0</v>
      </c>
      <c r="M160" s="284"/>
      <c r="N160" s="285"/>
      <c r="O160" s="136">
        <f t="shared" si="13"/>
        <v>0</v>
      </c>
      <c r="P160" s="85"/>
      <c r="R160" s="53"/>
      <c r="S160" s="53"/>
      <c r="T160" s="53"/>
    </row>
    <row r="161" spans="1:20" ht="48" hidden="1" x14ac:dyDescent="0.25">
      <c r="A161" s="75">
        <v>2369</v>
      </c>
      <c r="B161" s="127" t="s">
        <v>177</v>
      </c>
      <c r="C161" s="128">
        <f t="shared" si="9"/>
        <v>0</v>
      </c>
      <c r="D161" s="134"/>
      <c r="E161" s="285"/>
      <c r="F161" s="286">
        <f t="shared" si="10"/>
        <v>0</v>
      </c>
      <c r="G161" s="134"/>
      <c r="H161" s="135"/>
      <c r="I161" s="136">
        <f t="shared" si="11"/>
        <v>0</v>
      </c>
      <c r="J161" s="134"/>
      <c r="K161" s="135"/>
      <c r="L161" s="136">
        <f t="shared" si="12"/>
        <v>0</v>
      </c>
      <c r="M161" s="284"/>
      <c r="N161" s="285"/>
      <c r="O161" s="136">
        <f t="shared" si="13"/>
        <v>0</v>
      </c>
      <c r="P161" s="85"/>
      <c r="R161" s="53"/>
      <c r="S161" s="53"/>
      <c r="T161" s="53"/>
    </row>
    <row r="162" spans="1:20" x14ac:dyDescent="0.25">
      <c r="A162" s="254">
        <v>2370</v>
      </c>
      <c r="B162" s="179" t="s">
        <v>178</v>
      </c>
      <c r="C162" s="128">
        <f t="shared" si="9"/>
        <v>6970</v>
      </c>
      <c r="D162" s="287">
        <v>4670</v>
      </c>
      <c r="E162" s="288"/>
      <c r="F162" s="257">
        <f t="shared" si="10"/>
        <v>4670</v>
      </c>
      <c r="G162" s="287">
        <v>2300</v>
      </c>
      <c r="H162" s="289"/>
      <c r="I162" s="259">
        <f t="shared" si="11"/>
        <v>2300</v>
      </c>
      <c r="J162" s="287"/>
      <c r="K162" s="289"/>
      <c r="L162" s="259">
        <f t="shared" si="12"/>
        <v>0</v>
      </c>
      <c r="M162" s="290"/>
      <c r="N162" s="291"/>
      <c r="O162" s="259">
        <f t="shared" si="13"/>
        <v>0</v>
      </c>
      <c r="P162" s="189"/>
      <c r="R162" s="53"/>
      <c r="S162" s="53"/>
      <c r="T162" s="53"/>
    </row>
    <row r="163" spans="1:20" x14ac:dyDescent="0.25">
      <c r="A163" s="254">
        <v>2380</v>
      </c>
      <c r="B163" s="179" t="s">
        <v>179</v>
      </c>
      <c r="C163" s="128">
        <f t="shared" si="9"/>
        <v>120</v>
      </c>
      <c r="D163" s="255">
        <f>SUM(D164:D165)</f>
        <v>120</v>
      </c>
      <c r="E163" s="256">
        <f>SUM(E164:E165)</f>
        <v>0</v>
      </c>
      <c r="F163" s="257">
        <f t="shared" si="10"/>
        <v>120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c r="S163" s="53"/>
      <c r="T163" s="53"/>
    </row>
    <row r="164" spans="1:20" hidden="1" x14ac:dyDescent="0.25">
      <c r="A164" s="65">
        <v>2381</v>
      </c>
      <c r="B164" s="116" t="s">
        <v>180</v>
      </c>
      <c r="C164" s="128">
        <f t="shared" si="9"/>
        <v>0</v>
      </c>
      <c r="D164" s="123"/>
      <c r="E164" s="262"/>
      <c r="F164" s="263">
        <f t="shared" si="10"/>
        <v>0</v>
      </c>
      <c r="G164" s="123"/>
      <c r="H164" s="124"/>
      <c r="I164" s="125">
        <f t="shared" si="11"/>
        <v>0</v>
      </c>
      <c r="J164" s="123"/>
      <c r="K164" s="124"/>
      <c r="L164" s="125">
        <f t="shared" si="12"/>
        <v>0</v>
      </c>
      <c r="M164" s="264"/>
      <c r="N164" s="262"/>
      <c r="O164" s="125">
        <f t="shared" si="13"/>
        <v>0</v>
      </c>
      <c r="P164" s="74"/>
      <c r="R164" s="53"/>
      <c r="S164" s="53"/>
      <c r="T164" s="53"/>
    </row>
    <row r="165" spans="1:20" ht="24" x14ac:dyDescent="0.25">
      <c r="A165" s="75">
        <v>2389</v>
      </c>
      <c r="B165" s="127" t="s">
        <v>181</v>
      </c>
      <c r="C165" s="128">
        <f t="shared" si="9"/>
        <v>120</v>
      </c>
      <c r="D165" s="134">
        <v>120</v>
      </c>
      <c r="E165" s="283"/>
      <c r="F165" s="279">
        <f t="shared" si="10"/>
        <v>120</v>
      </c>
      <c r="G165" s="134"/>
      <c r="H165" s="135"/>
      <c r="I165" s="136">
        <f t="shared" si="11"/>
        <v>0</v>
      </c>
      <c r="J165" s="134"/>
      <c r="K165" s="135"/>
      <c r="L165" s="136">
        <f t="shared" si="12"/>
        <v>0</v>
      </c>
      <c r="M165" s="284"/>
      <c r="N165" s="285"/>
      <c r="O165" s="136">
        <f t="shared" si="13"/>
        <v>0</v>
      </c>
      <c r="P165" s="85"/>
      <c r="R165" s="53"/>
      <c r="S165" s="53"/>
      <c r="T165" s="53"/>
    </row>
    <row r="166" spans="1:20" hidden="1" x14ac:dyDescent="0.25">
      <c r="A166" s="254">
        <v>2390</v>
      </c>
      <c r="B166" s="179" t="s">
        <v>182</v>
      </c>
      <c r="C166" s="128">
        <f t="shared" si="9"/>
        <v>0</v>
      </c>
      <c r="D166" s="287"/>
      <c r="E166" s="291"/>
      <c r="F166" s="310">
        <f t="shared" si="10"/>
        <v>0</v>
      </c>
      <c r="G166" s="287"/>
      <c r="H166" s="289"/>
      <c r="I166" s="259">
        <f t="shared" si="11"/>
        <v>0</v>
      </c>
      <c r="J166" s="287"/>
      <c r="K166" s="289"/>
      <c r="L166" s="259">
        <f t="shared" si="12"/>
        <v>0</v>
      </c>
      <c r="M166" s="290"/>
      <c r="N166" s="291"/>
      <c r="O166" s="259">
        <f t="shared" si="13"/>
        <v>0</v>
      </c>
      <c r="P166" s="189"/>
      <c r="R166" s="53"/>
      <c r="S166" s="53"/>
      <c r="T166" s="53"/>
    </row>
    <row r="167" spans="1:20" hidden="1" x14ac:dyDescent="0.25">
      <c r="A167" s="99">
        <v>2400</v>
      </c>
      <c r="B167" s="247" t="s">
        <v>183</v>
      </c>
      <c r="C167" s="100">
        <f t="shared" si="9"/>
        <v>0</v>
      </c>
      <c r="D167" s="311"/>
      <c r="E167" s="312"/>
      <c r="F167" s="313">
        <f t="shared" si="10"/>
        <v>0</v>
      </c>
      <c r="G167" s="311"/>
      <c r="H167" s="314"/>
      <c r="I167" s="114">
        <f t="shared" si="11"/>
        <v>0</v>
      </c>
      <c r="J167" s="311"/>
      <c r="K167" s="314"/>
      <c r="L167" s="114">
        <f t="shared" si="12"/>
        <v>0</v>
      </c>
      <c r="M167" s="315"/>
      <c r="N167" s="312"/>
      <c r="O167" s="114">
        <f t="shared" si="13"/>
        <v>0</v>
      </c>
      <c r="P167" s="109"/>
      <c r="R167" s="53"/>
      <c r="S167" s="53"/>
      <c r="T167" s="53"/>
    </row>
    <row r="168" spans="1:20" ht="24" x14ac:dyDescent="0.25">
      <c r="A168" s="99">
        <v>2500</v>
      </c>
      <c r="B168" s="247" t="s">
        <v>184</v>
      </c>
      <c r="C168" s="100">
        <f t="shared" si="9"/>
        <v>76</v>
      </c>
      <c r="D168" s="112">
        <f>SUM(D169,D174)</f>
        <v>76</v>
      </c>
      <c r="E168" s="248">
        <f>SUM(E169,E174)</f>
        <v>0</v>
      </c>
      <c r="F168" s="249">
        <f t="shared" si="10"/>
        <v>76</v>
      </c>
      <c r="G168" s="112">
        <f>SUM(G169,G174)</f>
        <v>0</v>
      </c>
      <c r="H168" s="113">
        <f t="shared" ref="H168" si="17">SUM(H169,H174)</f>
        <v>0</v>
      </c>
      <c r="I168" s="114">
        <f t="shared" si="11"/>
        <v>0</v>
      </c>
      <c r="J168" s="112">
        <f>SUM(J169,J174)</f>
        <v>0</v>
      </c>
      <c r="K168" s="113">
        <f t="shared" ref="K168" si="18">SUM(K169,K174)</f>
        <v>0</v>
      </c>
      <c r="L168" s="114">
        <f t="shared" si="12"/>
        <v>0</v>
      </c>
      <c r="M168" s="250">
        <f t="shared" ref="M168:N168" si="19">SUM(M169,M174)</f>
        <v>0</v>
      </c>
      <c r="N168" s="251">
        <f t="shared" si="19"/>
        <v>0</v>
      </c>
      <c r="O168" s="252">
        <f t="shared" si="13"/>
        <v>0</v>
      </c>
      <c r="P168" s="253"/>
      <c r="R168" s="53"/>
      <c r="S168" s="53"/>
      <c r="T168" s="53"/>
    </row>
    <row r="169" spans="1:20" x14ac:dyDescent="0.25">
      <c r="A169" s="656">
        <v>2510</v>
      </c>
      <c r="B169" s="116" t="s">
        <v>185</v>
      </c>
      <c r="C169" s="117">
        <f t="shared" si="9"/>
        <v>76</v>
      </c>
      <c r="D169" s="297">
        <f>SUM(D170:D173)</f>
        <v>76</v>
      </c>
      <c r="E169" s="298">
        <f>SUM(E170:E173)</f>
        <v>0</v>
      </c>
      <c r="F169" s="296">
        <f t="shared" si="10"/>
        <v>76</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c r="R169" s="53"/>
      <c r="S169" s="53"/>
      <c r="T169" s="53"/>
    </row>
    <row r="170" spans="1:20" ht="24" hidden="1" x14ac:dyDescent="0.25">
      <c r="A170" s="76">
        <v>2512</v>
      </c>
      <c r="B170" s="127" t="s">
        <v>186</v>
      </c>
      <c r="C170" s="128">
        <f t="shared" si="9"/>
        <v>0</v>
      </c>
      <c r="D170" s="134"/>
      <c r="E170" s="285"/>
      <c r="F170" s="286">
        <f t="shared" si="10"/>
        <v>0</v>
      </c>
      <c r="G170" s="134"/>
      <c r="H170" s="135"/>
      <c r="I170" s="136">
        <f t="shared" si="11"/>
        <v>0</v>
      </c>
      <c r="J170" s="134"/>
      <c r="K170" s="135"/>
      <c r="L170" s="136">
        <f t="shared" si="12"/>
        <v>0</v>
      </c>
      <c r="M170" s="284"/>
      <c r="N170" s="285"/>
      <c r="O170" s="136">
        <f t="shared" si="13"/>
        <v>0</v>
      </c>
      <c r="P170" s="85"/>
      <c r="R170" s="53"/>
      <c r="S170" s="53"/>
      <c r="T170" s="53"/>
    </row>
    <row r="171" spans="1:20" ht="36" hidden="1" x14ac:dyDescent="0.25">
      <c r="A171" s="76">
        <v>2513</v>
      </c>
      <c r="B171" s="127" t="s">
        <v>187</v>
      </c>
      <c r="C171" s="128">
        <f t="shared" si="9"/>
        <v>0</v>
      </c>
      <c r="D171" s="134"/>
      <c r="E171" s="285"/>
      <c r="F171" s="286">
        <f t="shared" si="10"/>
        <v>0</v>
      </c>
      <c r="G171" s="134"/>
      <c r="H171" s="135"/>
      <c r="I171" s="136">
        <f t="shared" si="11"/>
        <v>0</v>
      </c>
      <c r="J171" s="134"/>
      <c r="K171" s="135"/>
      <c r="L171" s="136">
        <f t="shared" si="12"/>
        <v>0</v>
      </c>
      <c r="M171" s="284"/>
      <c r="N171" s="285"/>
      <c r="O171" s="136">
        <f t="shared" si="13"/>
        <v>0</v>
      </c>
      <c r="P171" s="85"/>
      <c r="R171" s="53"/>
      <c r="S171" s="53"/>
      <c r="T171" s="53"/>
    </row>
    <row r="172" spans="1:20" ht="24" hidden="1" x14ac:dyDescent="0.25">
      <c r="A172" s="76">
        <v>2515</v>
      </c>
      <c r="B172" s="127" t="s">
        <v>188</v>
      </c>
      <c r="C172" s="128">
        <f t="shared" si="9"/>
        <v>0</v>
      </c>
      <c r="D172" s="134"/>
      <c r="E172" s="285"/>
      <c r="F172" s="286">
        <f t="shared" si="10"/>
        <v>0</v>
      </c>
      <c r="G172" s="134"/>
      <c r="H172" s="135"/>
      <c r="I172" s="136">
        <f t="shared" si="11"/>
        <v>0</v>
      </c>
      <c r="J172" s="134"/>
      <c r="K172" s="135"/>
      <c r="L172" s="136">
        <f t="shared" si="12"/>
        <v>0</v>
      </c>
      <c r="M172" s="284"/>
      <c r="N172" s="285"/>
      <c r="O172" s="136">
        <f t="shared" si="13"/>
        <v>0</v>
      </c>
      <c r="P172" s="85"/>
      <c r="R172" s="53"/>
      <c r="S172" s="53"/>
      <c r="T172" s="53"/>
    </row>
    <row r="173" spans="1:20" ht="24" x14ac:dyDescent="0.25">
      <c r="A173" s="76">
        <v>2519</v>
      </c>
      <c r="B173" s="127" t="s">
        <v>189</v>
      </c>
      <c r="C173" s="128">
        <f t="shared" si="9"/>
        <v>76</v>
      </c>
      <c r="D173" s="134">
        <v>76</v>
      </c>
      <c r="E173" s="283"/>
      <c r="F173" s="279">
        <f t="shared" si="10"/>
        <v>76</v>
      </c>
      <c r="G173" s="134"/>
      <c r="H173" s="135"/>
      <c r="I173" s="136">
        <f t="shared" si="11"/>
        <v>0</v>
      </c>
      <c r="J173" s="134"/>
      <c r="K173" s="135"/>
      <c r="L173" s="136">
        <f t="shared" si="12"/>
        <v>0</v>
      </c>
      <c r="M173" s="284"/>
      <c r="N173" s="285"/>
      <c r="O173" s="136">
        <f t="shared" si="13"/>
        <v>0</v>
      </c>
      <c r="P173" s="85"/>
      <c r="R173" s="53"/>
      <c r="S173" s="53"/>
      <c r="T173" s="53"/>
    </row>
    <row r="174" spans="1:20" hidden="1" x14ac:dyDescent="0.25">
      <c r="A174" s="276">
        <v>2520</v>
      </c>
      <c r="B174" s="127" t="s">
        <v>190</v>
      </c>
      <c r="C174" s="128">
        <f t="shared" si="9"/>
        <v>0</v>
      </c>
      <c r="D174" s="134"/>
      <c r="E174" s="285"/>
      <c r="F174" s="286">
        <f t="shared" si="10"/>
        <v>0</v>
      </c>
      <c r="G174" s="134"/>
      <c r="H174" s="135"/>
      <c r="I174" s="136">
        <f t="shared" si="11"/>
        <v>0</v>
      </c>
      <c r="J174" s="134"/>
      <c r="K174" s="135"/>
      <c r="L174" s="136">
        <f t="shared" si="12"/>
        <v>0</v>
      </c>
      <c r="M174" s="284"/>
      <c r="N174" s="285"/>
      <c r="O174" s="136">
        <f t="shared" si="13"/>
        <v>0</v>
      </c>
      <c r="P174" s="85"/>
      <c r="R174" s="53"/>
      <c r="S174" s="53"/>
      <c r="T174" s="53"/>
    </row>
    <row r="175" spans="1:20" s="319" customFormat="1" ht="36" hidden="1" x14ac:dyDescent="0.25">
      <c r="A175" s="31">
        <v>2800</v>
      </c>
      <c r="B175" s="116" t="s">
        <v>191</v>
      </c>
      <c r="C175" s="117">
        <f t="shared" si="9"/>
        <v>0</v>
      </c>
      <c r="D175" s="68"/>
      <c r="E175" s="69"/>
      <c r="F175" s="70">
        <f t="shared" si="10"/>
        <v>0</v>
      </c>
      <c r="G175" s="68"/>
      <c r="H175" s="71"/>
      <c r="I175" s="72">
        <f t="shared" si="11"/>
        <v>0</v>
      </c>
      <c r="J175" s="68"/>
      <c r="K175" s="71"/>
      <c r="L175" s="72">
        <f t="shared" si="12"/>
        <v>0</v>
      </c>
      <c r="M175" s="73"/>
      <c r="N175" s="69"/>
      <c r="O175" s="72">
        <f t="shared" si="13"/>
        <v>0</v>
      </c>
      <c r="P175" s="74"/>
      <c r="R175" s="53"/>
      <c r="S175" s="53"/>
      <c r="T175" s="53"/>
    </row>
    <row r="176" spans="1:20" hidden="1" x14ac:dyDescent="0.25">
      <c r="A176" s="237">
        <v>3000</v>
      </c>
      <c r="B176" s="237" t="s">
        <v>192</v>
      </c>
      <c r="C176" s="238">
        <f t="shared" si="9"/>
        <v>0</v>
      </c>
      <c r="D176" s="239">
        <f>SUM(D177,D187)</f>
        <v>0</v>
      </c>
      <c r="E176" s="245">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c r="S176" s="53"/>
      <c r="T176" s="53"/>
    </row>
    <row r="177" spans="1:20" ht="24" hidden="1" x14ac:dyDescent="0.25">
      <c r="A177" s="99">
        <v>3200</v>
      </c>
      <c r="B177" s="321" t="s">
        <v>193</v>
      </c>
      <c r="C177" s="100">
        <f t="shared" si="9"/>
        <v>0</v>
      </c>
      <c r="D177" s="112">
        <f>SUM(D178,D182)</f>
        <v>0</v>
      </c>
      <c r="E177" s="293">
        <f>SUM(E178,E182)</f>
        <v>0</v>
      </c>
      <c r="F177" s="313">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c r="R177" s="53"/>
      <c r="S177" s="53"/>
      <c r="T177" s="53"/>
    </row>
    <row r="178" spans="1:20" ht="36" hidden="1" x14ac:dyDescent="0.25">
      <c r="A178" s="656">
        <v>3260</v>
      </c>
      <c r="B178" s="116" t="s">
        <v>194</v>
      </c>
      <c r="C178" s="117">
        <f t="shared" si="9"/>
        <v>0</v>
      </c>
      <c r="D178" s="297">
        <f>SUM(D179:D181)</f>
        <v>0</v>
      </c>
      <c r="E178" s="301">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c r="S178" s="53"/>
      <c r="T178" s="53"/>
    </row>
    <row r="179" spans="1:20" ht="24" hidden="1" x14ac:dyDescent="0.25">
      <c r="A179" s="76">
        <v>3261</v>
      </c>
      <c r="B179" s="127" t="s">
        <v>195</v>
      </c>
      <c r="C179" s="128">
        <f t="shared" si="9"/>
        <v>0</v>
      </c>
      <c r="D179" s="134"/>
      <c r="E179" s="285"/>
      <c r="F179" s="286">
        <f t="shared" si="10"/>
        <v>0</v>
      </c>
      <c r="G179" s="134"/>
      <c r="H179" s="135"/>
      <c r="I179" s="136">
        <f t="shared" si="11"/>
        <v>0</v>
      </c>
      <c r="J179" s="134"/>
      <c r="K179" s="135"/>
      <c r="L179" s="136">
        <f t="shared" si="12"/>
        <v>0</v>
      </c>
      <c r="M179" s="284"/>
      <c r="N179" s="285"/>
      <c r="O179" s="136">
        <f t="shared" si="13"/>
        <v>0</v>
      </c>
      <c r="P179" s="85"/>
      <c r="R179" s="53"/>
      <c r="S179" s="53"/>
      <c r="T179" s="53"/>
    </row>
    <row r="180" spans="1:20" ht="36" hidden="1" x14ac:dyDescent="0.25">
      <c r="A180" s="76">
        <v>3262</v>
      </c>
      <c r="B180" s="127" t="s">
        <v>196</v>
      </c>
      <c r="C180" s="128">
        <f t="shared" si="9"/>
        <v>0</v>
      </c>
      <c r="D180" s="134"/>
      <c r="E180" s="285"/>
      <c r="F180" s="286">
        <f t="shared" si="10"/>
        <v>0</v>
      </c>
      <c r="G180" s="134"/>
      <c r="H180" s="135"/>
      <c r="I180" s="136">
        <f t="shared" si="11"/>
        <v>0</v>
      </c>
      <c r="J180" s="134"/>
      <c r="K180" s="135"/>
      <c r="L180" s="136">
        <f t="shared" si="12"/>
        <v>0</v>
      </c>
      <c r="M180" s="284"/>
      <c r="N180" s="285"/>
      <c r="O180" s="136">
        <f t="shared" si="13"/>
        <v>0</v>
      </c>
      <c r="P180" s="85"/>
      <c r="R180" s="53"/>
      <c r="S180" s="53"/>
      <c r="T180" s="53"/>
    </row>
    <row r="181" spans="1:20" ht="24" hidden="1" x14ac:dyDescent="0.25">
      <c r="A181" s="76">
        <v>3263</v>
      </c>
      <c r="B181" s="127" t="s">
        <v>197</v>
      </c>
      <c r="C181" s="128">
        <f t="shared" si="9"/>
        <v>0</v>
      </c>
      <c r="D181" s="134"/>
      <c r="E181" s="285"/>
      <c r="F181" s="286">
        <f t="shared" si="10"/>
        <v>0</v>
      </c>
      <c r="G181" s="134"/>
      <c r="H181" s="135"/>
      <c r="I181" s="136">
        <f t="shared" si="11"/>
        <v>0</v>
      </c>
      <c r="J181" s="134"/>
      <c r="K181" s="135"/>
      <c r="L181" s="136">
        <f t="shared" si="12"/>
        <v>0</v>
      </c>
      <c r="M181" s="284"/>
      <c r="N181" s="285"/>
      <c r="O181" s="136">
        <f t="shared" si="13"/>
        <v>0</v>
      </c>
      <c r="P181" s="85"/>
      <c r="R181" s="53"/>
      <c r="S181" s="53"/>
      <c r="T181" s="53"/>
    </row>
    <row r="182" spans="1:20" ht="84" hidden="1" x14ac:dyDescent="0.25">
      <c r="A182" s="656">
        <v>3290</v>
      </c>
      <c r="B182" s="116" t="s">
        <v>198</v>
      </c>
      <c r="C182" s="128">
        <f t="shared" ref="C182:C258" si="26">F182+I182+L182+O182</f>
        <v>0</v>
      </c>
      <c r="D182" s="297">
        <f>SUM(D183:D186)</f>
        <v>0</v>
      </c>
      <c r="E182" s="301">
        <f>SUM(E183:E186)</f>
        <v>0</v>
      </c>
      <c r="F182" s="263">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c r="R182" s="53"/>
      <c r="S182" s="53"/>
      <c r="T182" s="53"/>
    </row>
    <row r="183" spans="1:20" ht="60" hidden="1" x14ac:dyDescent="0.25">
      <c r="A183" s="76">
        <v>3291</v>
      </c>
      <c r="B183" s="127" t="s">
        <v>199</v>
      </c>
      <c r="C183" s="128">
        <f t="shared" si="26"/>
        <v>0</v>
      </c>
      <c r="D183" s="134"/>
      <c r="E183" s="285"/>
      <c r="F183" s="286">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c r="R183" s="53"/>
      <c r="S183" s="53"/>
      <c r="T183" s="53"/>
    </row>
    <row r="184" spans="1:20" ht="72" hidden="1" x14ac:dyDescent="0.25">
      <c r="A184" s="76">
        <v>3292</v>
      </c>
      <c r="B184" s="127" t="s">
        <v>200</v>
      </c>
      <c r="C184" s="128">
        <f t="shared" si="26"/>
        <v>0</v>
      </c>
      <c r="D184" s="134"/>
      <c r="E184" s="285"/>
      <c r="F184" s="286">
        <f t="shared" si="30"/>
        <v>0</v>
      </c>
      <c r="G184" s="134"/>
      <c r="H184" s="135"/>
      <c r="I184" s="136">
        <f t="shared" si="31"/>
        <v>0</v>
      </c>
      <c r="J184" s="134"/>
      <c r="K184" s="135"/>
      <c r="L184" s="136">
        <f t="shared" si="32"/>
        <v>0</v>
      </c>
      <c r="M184" s="284"/>
      <c r="N184" s="285"/>
      <c r="O184" s="136">
        <f t="shared" si="33"/>
        <v>0</v>
      </c>
      <c r="P184" s="85"/>
      <c r="R184" s="53"/>
      <c r="S184" s="53"/>
      <c r="T184" s="53"/>
    </row>
    <row r="185" spans="1:20" ht="60" hidden="1" x14ac:dyDescent="0.25">
      <c r="A185" s="76">
        <v>3293</v>
      </c>
      <c r="B185" s="127" t="s">
        <v>201</v>
      </c>
      <c r="C185" s="128">
        <f t="shared" si="26"/>
        <v>0</v>
      </c>
      <c r="D185" s="134"/>
      <c r="E185" s="285"/>
      <c r="F185" s="286">
        <f t="shared" si="30"/>
        <v>0</v>
      </c>
      <c r="G185" s="134"/>
      <c r="H185" s="135"/>
      <c r="I185" s="136">
        <f t="shared" si="31"/>
        <v>0</v>
      </c>
      <c r="J185" s="134"/>
      <c r="K185" s="135"/>
      <c r="L185" s="136">
        <f t="shared" si="32"/>
        <v>0</v>
      </c>
      <c r="M185" s="284"/>
      <c r="N185" s="285"/>
      <c r="O185" s="136">
        <f t="shared" si="33"/>
        <v>0</v>
      </c>
      <c r="P185" s="85"/>
      <c r="R185" s="53"/>
      <c r="S185" s="53"/>
      <c r="T185" s="53"/>
    </row>
    <row r="186" spans="1:20" ht="60" hidden="1" x14ac:dyDescent="0.25">
      <c r="A186" s="326">
        <v>3294</v>
      </c>
      <c r="B186" s="127" t="s">
        <v>202</v>
      </c>
      <c r="C186" s="327">
        <f t="shared" si="26"/>
        <v>0</v>
      </c>
      <c r="D186" s="328"/>
      <c r="E186" s="329"/>
      <c r="F186" s="330">
        <f t="shared" si="30"/>
        <v>0</v>
      </c>
      <c r="G186" s="328"/>
      <c r="H186" s="331"/>
      <c r="I186" s="324">
        <f t="shared" si="31"/>
        <v>0</v>
      </c>
      <c r="J186" s="328"/>
      <c r="K186" s="331"/>
      <c r="L186" s="324">
        <f t="shared" si="32"/>
        <v>0</v>
      </c>
      <c r="M186" s="332"/>
      <c r="N186" s="329"/>
      <c r="O186" s="324">
        <f t="shared" si="33"/>
        <v>0</v>
      </c>
      <c r="P186" s="325"/>
      <c r="R186" s="53"/>
      <c r="S186" s="53"/>
      <c r="T186" s="53"/>
    </row>
    <row r="187" spans="1:20" ht="48" hidden="1" x14ac:dyDescent="0.25">
      <c r="A187" s="160">
        <v>3300</v>
      </c>
      <c r="B187" s="321" t="s">
        <v>203</v>
      </c>
      <c r="C187" s="333">
        <f t="shared" si="26"/>
        <v>0</v>
      </c>
      <c r="D187" s="334">
        <f>SUM(D188:D189)</f>
        <v>0</v>
      </c>
      <c r="E187" s="251">
        <f>SUM(E188:E189)</f>
        <v>0</v>
      </c>
      <c r="F187" s="335">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c r="R187" s="53"/>
      <c r="S187" s="53"/>
      <c r="T187" s="53"/>
    </row>
    <row r="188" spans="1:20" ht="48" hidden="1" x14ac:dyDescent="0.25">
      <c r="A188" s="178">
        <v>3310</v>
      </c>
      <c r="B188" s="179" t="s">
        <v>204</v>
      </c>
      <c r="C188" s="191">
        <f t="shared" si="26"/>
        <v>0</v>
      </c>
      <c r="D188" s="287"/>
      <c r="E188" s="291"/>
      <c r="F188" s="310">
        <f t="shared" si="30"/>
        <v>0</v>
      </c>
      <c r="G188" s="287"/>
      <c r="H188" s="289"/>
      <c r="I188" s="259">
        <f t="shared" si="31"/>
        <v>0</v>
      </c>
      <c r="J188" s="287"/>
      <c r="K188" s="289"/>
      <c r="L188" s="259">
        <f t="shared" si="32"/>
        <v>0</v>
      </c>
      <c r="M188" s="290"/>
      <c r="N188" s="291"/>
      <c r="O188" s="259">
        <f t="shared" si="33"/>
        <v>0</v>
      </c>
      <c r="P188" s="189"/>
      <c r="R188" s="53"/>
      <c r="S188" s="53"/>
      <c r="T188" s="53"/>
    </row>
    <row r="189" spans="1:20" ht="48" hidden="1" x14ac:dyDescent="0.25">
      <c r="A189" s="66">
        <v>3320</v>
      </c>
      <c r="B189" s="116" t="s">
        <v>205</v>
      </c>
      <c r="C189" s="117">
        <f t="shared" si="26"/>
        <v>0</v>
      </c>
      <c r="D189" s="123"/>
      <c r="E189" s="262"/>
      <c r="F189" s="263">
        <f t="shared" si="30"/>
        <v>0</v>
      </c>
      <c r="G189" s="123"/>
      <c r="H189" s="124"/>
      <c r="I189" s="125">
        <f t="shared" si="31"/>
        <v>0</v>
      </c>
      <c r="J189" s="123"/>
      <c r="K189" s="124"/>
      <c r="L189" s="125">
        <f t="shared" si="32"/>
        <v>0</v>
      </c>
      <c r="M189" s="264"/>
      <c r="N189" s="262"/>
      <c r="O189" s="125">
        <f t="shared" si="33"/>
        <v>0</v>
      </c>
      <c r="P189" s="74"/>
      <c r="R189" s="53"/>
      <c r="S189" s="53"/>
      <c r="T189" s="53"/>
    </row>
    <row r="190" spans="1:20" hidden="1" x14ac:dyDescent="0.25">
      <c r="A190" s="337">
        <v>4000</v>
      </c>
      <c r="B190" s="237" t="s">
        <v>206</v>
      </c>
      <c r="C190" s="238">
        <f t="shared" si="26"/>
        <v>0</v>
      </c>
      <c r="D190" s="239">
        <f>SUM(D191,D194)</f>
        <v>0</v>
      </c>
      <c r="E190" s="245">
        <f>SUM(E191,E194)</f>
        <v>0</v>
      </c>
      <c r="F190" s="320">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c r="R190" s="53"/>
      <c r="S190" s="53"/>
      <c r="T190" s="53"/>
    </row>
    <row r="191" spans="1:20" ht="24" hidden="1" x14ac:dyDescent="0.25">
      <c r="A191" s="338">
        <v>4200</v>
      </c>
      <c r="B191" s="247" t="s">
        <v>207</v>
      </c>
      <c r="C191" s="100">
        <f t="shared" si="26"/>
        <v>0</v>
      </c>
      <c r="D191" s="112">
        <f>SUM(D192,D193)</f>
        <v>0</v>
      </c>
      <c r="E191" s="293">
        <f>SUM(E192,E193)</f>
        <v>0</v>
      </c>
      <c r="F191" s="313">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c r="R191" s="53"/>
      <c r="S191" s="53"/>
      <c r="T191" s="53"/>
    </row>
    <row r="192" spans="1:20" ht="36" hidden="1" x14ac:dyDescent="0.25">
      <c r="A192" s="656">
        <v>4240</v>
      </c>
      <c r="B192" s="116" t="s">
        <v>208</v>
      </c>
      <c r="C192" s="117">
        <f t="shared" si="26"/>
        <v>0</v>
      </c>
      <c r="D192" s="123"/>
      <c r="E192" s="262"/>
      <c r="F192" s="263">
        <f t="shared" si="30"/>
        <v>0</v>
      </c>
      <c r="G192" s="123"/>
      <c r="H192" s="124"/>
      <c r="I192" s="125">
        <f t="shared" si="31"/>
        <v>0</v>
      </c>
      <c r="J192" s="123"/>
      <c r="K192" s="124"/>
      <c r="L192" s="125">
        <f t="shared" si="32"/>
        <v>0</v>
      </c>
      <c r="M192" s="264"/>
      <c r="N192" s="262"/>
      <c r="O192" s="125">
        <f t="shared" si="33"/>
        <v>0</v>
      </c>
      <c r="P192" s="74"/>
      <c r="R192" s="53"/>
      <c r="S192" s="53"/>
      <c r="T192" s="53"/>
    </row>
    <row r="193" spans="1:20" ht="24" hidden="1" x14ac:dyDescent="0.25">
      <c r="A193" s="276">
        <v>4250</v>
      </c>
      <c r="B193" s="127" t="s">
        <v>209</v>
      </c>
      <c r="C193" s="128">
        <f t="shared" si="26"/>
        <v>0</v>
      </c>
      <c r="D193" s="134"/>
      <c r="E193" s="285"/>
      <c r="F193" s="286">
        <f t="shared" si="30"/>
        <v>0</v>
      </c>
      <c r="G193" s="134"/>
      <c r="H193" s="135"/>
      <c r="I193" s="136">
        <f t="shared" si="31"/>
        <v>0</v>
      </c>
      <c r="J193" s="134"/>
      <c r="K193" s="135"/>
      <c r="L193" s="136">
        <f t="shared" si="32"/>
        <v>0</v>
      </c>
      <c r="M193" s="284"/>
      <c r="N193" s="285"/>
      <c r="O193" s="136">
        <f t="shared" si="33"/>
        <v>0</v>
      </c>
      <c r="P193" s="85"/>
      <c r="R193" s="53"/>
      <c r="S193" s="53"/>
      <c r="T193" s="53"/>
    </row>
    <row r="194" spans="1:20" hidden="1" x14ac:dyDescent="0.25">
      <c r="A194" s="99">
        <v>4300</v>
      </c>
      <c r="B194" s="247" t="s">
        <v>210</v>
      </c>
      <c r="C194" s="100">
        <f t="shared" si="26"/>
        <v>0</v>
      </c>
      <c r="D194" s="112">
        <f>SUM(D195)</f>
        <v>0</v>
      </c>
      <c r="E194" s="293">
        <f>SUM(E195)</f>
        <v>0</v>
      </c>
      <c r="F194" s="313">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c r="R194" s="53"/>
      <c r="S194" s="53"/>
      <c r="T194" s="53"/>
    </row>
    <row r="195" spans="1:20" ht="24" hidden="1" x14ac:dyDescent="0.25">
      <c r="A195" s="656">
        <v>4310</v>
      </c>
      <c r="B195" s="116" t="s">
        <v>211</v>
      </c>
      <c r="C195" s="117">
        <f t="shared" si="26"/>
        <v>0</v>
      </c>
      <c r="D195" s="297">
        <f>SUM(D196:D196)</f>
        <v>0</v>
      </c>
      <c r="E195" s="301">
        <f>SUM(E196:E196)</f>
        <v>0</v>
      </c>
      <c r="F195" s="263">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c r="R195" s="53"/>
      <c r="S195" s="53"/>
      <c r="T195" s="53"/>
    </row>
    <row r="196" spans="1:20" ht="36" hidden="1" x14ac:dyDescent="0.25">
      <c r="A196" s="76">
        <v>4311</v>
      </c>
      <c r="B196" s="127" t="s">
        <v>212</v>
      </c>
      <c r="C196" s="128">
        <f t="shared" si="26"/>
        <v>0</v>
      </c>
      <c r="D196" s="134"/>
      <c r="E196" s="285"/>
      <c r="F196" s="286">
        <f t="shared" si="30"/>
        <v>0</v>
      </c>
      <c r="G196" s="134"/>
      <c r="H196" s="135"/>
      <c r="I196" s="136">
        <f t="shared" si="31"/>
        <v>0</v>
      </c>
      <c r="J196" s="134"/>
      <c r="K196" s="135"/>
      <c r="L196" s="136">
        <f t="shared" si="32"/>
        <v>0</v>
      </c>
      <c r="M196" s="284"/>
      <c r="N196" s="285"/>
      <c r="O196" s="136">
        <f t="shared" si="33"/>
        <v>0</v>
      </c>
      <c r="P196" s="85"/>
      <c r="R196" s="53"/>
      <c r="S196" s="53"/>
      <c r="T196" s="53"/>
    </row>
    <row r="197" spans="1:20" s="41" customFormat="1" x14ac:dyDescent="0.25">
      <c r="A197" s="339"/>
      <c r="B197" s="31" t="s">
        <v>213</v>
      </c>
      <c r="C197" s="229">
        <f t="shared" si="26"/>
        <v>18273</v>
      </c>
      <c r="D197" s="230">
        <f>SUM(D198,D233,D271)</f>
        <v>14510</v>
      </c>
      <c r="E197" s="231">
        <f>SUM(E198,E233,E271)</f>
        <v>0</v>
      </c>
      <c r="F197" s="232">
        <f t="shared" si="30"/>
        <v>14510</v>
      </c>
      <c r="G197" s="230">
        <f>SUM(G198,G233,G271)</f>
        <v>1163</v>
      </c>
      <c r="H197" s="233">
        <f>SUM(H198,H233,H271)</f>
        <v>0</v>
      </c>
      <c r="I197" s="234">
        <f t="shared" si="31"/>
        <v>1163</v>
      </c>
      <c r="J197" s="230">
        <f>SUM(J198,J233,J271)</f>
        <v>2600</v>
      </c>
      <c r="K197" s="233">
        <f>SUM(K198,K233,K271)</f>
        <v>0</v>
      </c>
      <c r="L197" s="234">
        <f t="shared" si="32"/>
        <v>2600</v>
      </c>
      <c r="M197" s="340">
        <f>SUM(M198,M233,M271)</f>
        <v>0</v>
      </c>
      <c r="N197" s="341">
        <f>SUM(N198,N233,N271)</f>
        <v>0</v>
      </c>
      <c r="O197" s="342">
        <f t="shared" si="33"/>
        <v>0</v>
      </c>
      <c r="P197" s="343"/>
      <c r="R197" s="53"/>
      <c r="S197" s="53"/>
      <c r="T197" s="53"/>
    </row>
    <row r="198" spans="1:20" x14ac:dyDescent="0.25">
      <c r="A198" s="237">
        <v>5000</v>
      </c>
      <c r="B198" s="237" t="s">
        <v>214</v>
      </c>
      <c r="C198" s="238">
        <f>F198+I198+L198+O198</f>
        <v>18273</v>
      </c>
      <c r="D198" s="239">
        <f>D199+D207</f>
        <v>14510</v>
      </c>
      <c r="E198" s="240">
        <f>E199+E207</f>
        <v>0</v>
      </c>
      <c r="F198" s="241">
        <f t="shared" si="30"/>
        <v>14510</v>
      </c>
      <c r="G198" s="239">
        <f>G199+G207</f>
        <v>1163</v>
      </c>
      <c r="H198" s="242">
        <f>H199+H207</f>
        <v>0</v>
      </c>
      <c r="I198" s="243">
        <f t="shared" si="31"/>
        <v>1163</v>
      </c>
      <c r="J198" s="239">
        <f>J199+J207</f>
        <v>2600</v>
      </c>
      <c r="K198" s="242">
        <f>K199+K207</f>
        <v>0</v>
      </c>
      <c r="L198" s="243">
        <f t="shared" si="32"/>
        <v>2600</v>
      </c>
      <c r="M198" s="244">
        <f>M199+M207</f>
        <v>0</v>
      </c>
      <c r="N198" s="245">
        <f>N199+N207</f>
        <v>0</v>
      </c>
      <c r="O198" s="243">
        <f t="shared" si="33"/>
        <v>0</v>
      </c>
      <c r="P198" s="246"/>
      <c r="R198" s="53"/>
      <c r="S198" s="53"/>
      <c r="T198" s="53"/>
    </row>
    <row r="199" spans="1:20" hidden="1" x14ac:dyDescent="0.25">
      <c r="A199" s="99">
        <v>5100</v>
      </c>
      <c r="B199" s="247" t="s">
        <v>215</v>
      </c>
      <c r="C199" s="100">
        <f t="shared" si="26"/>
        <v>0</v>
      </c>
      <c r="D199" s="112">
        <f>D200+D201+D204+D205+D206</f>
        <v>0</v>
      </c>
      <c r="E199" s="293">
        <f>E200+E201+E204+E205+E206</f>
        <v>0</v>
      </c>
      <c r="F199" s="313">
        <f t="shared" si="30"/>
        <v>0</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c r="R199" s="53"/>
      <c r="S199" s="53"/>
      <c r="T199" s="53"/>
    </row>
    <row r="200" spans="1:20" hidden="1" x14ac:dyDescent="0.25">
      <c r="A200" s="656">
        <v>5110</v>
      </c>
      <c r="B200" s="116" t="s">
        <v>216</v>
      </c>
      <c r="C200" s="117">
        <f t="shared" si="26"/>
        <v>0</v>
      </c>
      <c r="D200" s="123"/>
      <c r="E200" s="262"/>
      <c r="F200" s="263">
        <f t="shared" si="30"/>
        <v>0</v>
      </c>
      <c r="G200" s="123"/>
      <c r="H200" s="124"/>
      <c r="I200" s="125">
        <f t="shared" si="31"/>
        <v>0</v>
      </c>
      <c r="J200" s="123"/>
      <c r="K200" s="124"/>
      <c r="L200" s="125">
        <f t="shared" si="32"/>
        <v>0</v>
      </c>
      <c r="M200" s="264"/>
      <c r="N200" s="262"/>
      <c r="O200" s="125">
        <f t="shared" si="33"/>
        <v>0</v>
      </c>
      <c r="P200" s="74"/>
      <c r="R200" s="53"/>
      <c r="S200" s="53"/>
      <c r="T200" s="53"/>
    </row>
    <row r="201" spans="1:20" ht="24" hidden="1" x14ac:dyDescent="0.25">
      <c r="A201" s="276">
        <v>5120</v>
      </c>
      <c r="B201" s="127" t="s">
        <v>217</v>
      </c>
      <c r="C201" s="128">
        <f t="shared" si="26"/>
        <v>0</v>
      </c>
      <c r="D201" s="277">
        <f>D202+D203</f>
        <v>0</v>
      </c>
      <c r="E201" s="282">
        <f>E202+E203</f>
        <v>0</v>
      </c>
      <c r="F201" s="286">
        <f t="shared" si="30"/>
        <v>0</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c r="R201" s="53"/>
      <c r="S201" s="53"/>
      <c r="T201" s="53"/>
    </row>
    <row r="202" spans="1:20" hidden="1" x14ac:dyDescent="0.25">
      <c r="A202" s="76">
        <v>5121</v>
      </c>
      <c r="B202" s="127" t="s">
        <v>218</v>
      </c>
      <c r="C202" s="128">
        <f t="shared" si="26"/>
        <v>0</v>
      </c>
      <c r="D202" s="134"/>
      <c r="E202" s="285"/>
      <c r="F202" s="286">
        <f t="shared" si="30"/>
        <v>0</v>
      </c>
      <c r="G202" s="134"/>
      <c r="H202" s="135"/>
      <c r="I202" s="136">
        <f t="shared" si="31"/>
        <v>0</v>
      </c>
      <c r="J202" s="134"/>
      <c r="K202" s="135"/>
      <c r="L202" s="136">
        <f t="shared" si="32"/>
        <v>0</v>
      </c>
      <c r="M202" s="284"/>
      <c r="N202" s="285"/>
      <c r="O202" s="136">
        <f t="shared" si="33"/>
        <v>0</v>
      </c>
      <c r="P202" s="1013"/>
      <c r="R202" s="53"/>
      <c r="S202" s="53"/>
      <c r="T202" s="53"/>
    </row>
    <row r="203" spans="1:20" ht="24" hidden="1" x14ac:dyDescent="0.25">
      <c r="A203" s="76">
        <v>5129</v>
      </c>
      <c r="B203" s="127" t="s">
        <v>219</v>
      </c>
      <c r="C203" s="128">
        <f t="shared" si="26"/>
        <v>0</v>
      </c>
      <c r="D203" s="134"/>
      <c r="E203" s="285"/>
      <c r="F203" s="286">
        <f t="shared" si="30"/>
        <v>0</v>
      </c>
      <c r="G203" s="134"/>
      <c r="H203" s="135"/>
      <c r="I203" s="136">
        <f t="shared" si="31"/>
        <v>0</v>
      </c>
      <c r="J203" s="134"/>
      <c r="K203" s="135"/>
      <c r="L203" s="136">
        <f t="shared" si="32"/>
        <v>0</v>
      </c>
      <c r="M203" s="284"/>
      <c r="N203" s="285"/>
      <c r="O203" s="136">
        <f t="shared" si="33"/>
        <v>0</v>
      </c>
      <c r="P203" s="85"/>
      <c r="R203" s="53"/>
      <c r="S203" s="53"/>
      <c r="T203" s="53"/>
    </row>
    <row r="204" spans="1:20" hidden="1" x14ac:dyDescent="0.25">
      <c r="A204" s="276">
        <v>5130</v>
      </c>
      <c r="B204" s="127" t="s">
        <v>220</v>
      </c>
      <c r="C204" s="128">
        <f t="shared" si="26"/>
        <v>0</v>
      </c>
      <c r="D204" s="134"/>
      <c r="E204" s="285"/>
      <c r="F204" s="286">
        <f t="shared" si="30"/>
        <v>0</v>
      </c>
      <c r="G204" s="134"/>
      <c r="H204" s="135"/>
      <c r="I204" s="136">
        <f t="shared" si="31"/>
        <v>0</v>
      </c>
      <c r="J204" s="134"/>
      <c r="K204" s="135"/>
      <c r="L204" s="136">
        <f t="shared" si="32"/>
        <v>0</v>
      </c>
      <c r="M204" s="284"/>
      <c r="N204" s="285"/>
      <c r="O204" s="136">
        <f t="shared" si="33"/>
        <v>0</v>
      </c>
      <c r="P204" s="85"/>
      <c r="R204" s="53"/>
      <c r="S204" s="53"/>
      <c r="T204" s="53"/>
    </row>
    <row r="205" spans="1:20" hidden="1" x14ac:dyDescent="0.25">
      <c r="A205" s="276">
        <v>5140</v>
      </c>
      <c r="B205" s="127" t="s">
        <v>221</v>
      </c>
      <c r="C205" s="128">
        <f t="shared" si="26"/>
        <v>0</v>
      </c>
      <c r="D205" s="134"/>
      <c r="E205" s="285"/>
      <c r="F205" s="286">
        <f t="shared" si="30"/>
        <v>0</v>
      </c>
      <c r="G205" s="134"/>
      <c r="H205" s="135"/>
      <c r="I205" s="136">
        <f t="shared" si="31"/>
        <v>0</v>
      </c>
      <c r="J205" s="134"/>
      <c r="K205" s="135"/>
      <c r="L205" s="136">
        <f t="shared" si="32"/>
        <v>0</v>
      </c>
      <c r="M205" s="284"/>
      <c r="N205" s="285"/>
      <c r="O205" s="136">
        <f t="shared" si="33"/>
        <v>0</v>
      </c>
      <c r="P205" s="85"/>
      <c r="R205" s="53"/>
      <c r="S205" s="53"/>
      <c r="T205" s="53"/>
    </row>
    <row r="206" spans="1:20" ht="24" hidden="1" x14ac:dyDescent="0.25">
      <c r="A206" s="276">
        <v>5170</v>
      </c>
      <c r="B206" s="127" t="s">
        <v>222</v>
      </c>
      <c r="C206" s="128">
        <f t="shared" si="26"/>
        <v>0</v>
      </c>
      <c r="D206" s="134"/>
      <c r="E206" s="285"/>
      <c r="F206" s="286">
        <f t="shared" si="30"/>
        <v>0</v>
      </c>
      <c r="G206" s="134"/>
      <c r="H206" s="135"/>
      <c r="I206" s="136">
        <f t="shared" si="31"/>
        <v>0</v>
      </c>
      <c r="J206" s="134"/>
      <c r="K206" s="135"/>
      <c r="L206" s="136">
        <f t="shared" si="32"/>
        <v>0</v>
      </c>
      <c r="M206" s="284"/>
      <c r="N206" s="285"/>
      <c r="O206" s="136">
        <f t="shared" si="33"/>
        <v>0</v>
      </c>
      <c r="P206" s="85"/>
      <c r="R206" s="53"/>
      <c r="S206" s="53"/>
      <c r="T206" s="53"/>
    </row>
    <row r="207" spans="1:20" x14ac:dyDescent="0.25">
      <c r="A207" s="99">
        <v>5200</v>
      </c>
      <c r="B207" s="247" t="s">
        <v>223</v>
      </c>
      <c r="C207" s="100">
        <f t="shared" si="26"/>
        <v>18273</v>
      </c>
      <c r="D207" s="112">
        <f>D208+D218+D219+D228+D229+D230+D232</f>
        <v>14510</v>
      </c>
      <c r="E207" s="248">
        <f>E208+E218+E219+E228+E229+E230+E232</f>
        <v>0</v>
      </c>
      <c r="F207" s="249">
        <f t="shared" si="30"/>
        <v>14510</v>
      </c>
      <c r="G207" s="112">
        <f>G208+G218+G219+G228+G229+G230+G232</f>
        <v>1163</v>
      </c>
      <c r="H207" s="113">
        <f>H208+H218+H219+H228+H229+H230+H232</f>
        <v>0</v>
      </c>
      <c r="I207" s="114">
        <f t="shared" si="31"/>
        <v>1163</v>
      </c>
      <c r="J207" s="112">
        <f>J208+J218+J219+J228+J229+J230+J232</f>
        <v>2600</v>
      </c>
      <c r="K207" s="113">
        <f>K208+K218+K219+K228+K229+K230+K232</f>
        <v>0</v>
      </c>
      <c r="L207" s="114">
        <f t="shared" si="32"/>
        <v>2600</v>
      </c>
      <c r="M207" s="292">
        <f>M208+M218+M219+M228+M229+M230+M232</f>
        <v>0</v>
      </c>
      <c r="N207" s="293">
        <f>N208+N218+N219+N228+N229+N230+N232</f>
        <v>0</v>
      </c>
      <c r="O207" s="114">
        <f t="shared" si="33"/>
        <v>0</v>
      </c>
      <c r="P207" s="109"/>
      <c r="R207" s="53"/>
      <c r="S207" s="53"/>
      <c r="T207" s="53"/>
    </row>
    <row r="208" spans="1:20" hidden="1" x14ac:dyDescent="0.25">
      <c r="A208" s="254">
        <v>5210</v>
      </c>
      <c r="B208" s="179" t="s">
        <v>224</v>
      </c>
      <c r="C208" s="191">
        <f t="shared" si="26"/>
        <v>0</v>
      </c>
      <c r="D208" s="255">
        <f>SUM(D209:D217)</f>
        <v>0</v>
      </c>
      <c r="E208" s="261">
        <f>SUM(E209:E217)</f>
        <v>0</v>
      </c>
      <c r="F208" s="310">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c r="R208" s="53"/>
      <c r="S208" s="53"/>
      <c r="T208" s="53"/>
    </row>
    <row r="209" spans="1:20" hidden="1" x14ac:dyDescent="0.25">
      <c r="A209" s="66">
        <v>5211</v>
      </c>
      <c r="B209" s="116" t="s">
        <v>225</v>
      </c>
      <c r="C209" s="279">
        <f t="shared" si="26"/>
        <v>0</v>
      </c>
      <c r="D209" s="123"/>
      <c r="E209" s="262"/>
      <c r="F209" s="263">
        <f t="shared" si="30"/>
        <v>0</v>
      </c>
      <c r="G209" s="123"/>
      <c r="H209" s="124"/>
      <c r="I209" s="125">
        <f t="shared" si="31"/>
        <v>0</v>
      </c>
      <c r="J209" s="123"/>
      <c r="K209" s="124"/>
      <c r="L209" s="125">
        <f t="shared" si="32"/>
        <v>0</v>
      </c>
      <c r="M209" s="264"/>
      <c r="N209" s="262"/>
      <c r="O209" s="125">
        <f t="shared" si="33"/>
        <v>0</v>
      </c>
      <c r="P209" s="74"/>
      <c r="R209" s="53"/>
      <c r="S209" s="53"/>
      <c r="T209" s="53"/>
    </row>
    <row r="210" spans="1:20" hidden="1" x14ac:dyDescent="0.25">
      <c r="A210" s="76">
        <v>5212</v>
      </c>
      <c r="B210" s="127" t="s">
        <v>226</v>
      </c>
      <c r="C210" s="279">
        <f t="shared" si="26"/>
        <v>0</v>
      </c>
      <c r="D210" s="134"/>
      <c r="E210" s="285"/>
      <c r="F210" s="286">
        <f t="shared" si="30"/>
        <v>0</v>
      </c>
      <c r="G210" s="134"/>
      <c r="H210" s="135"/>
      <c r="I210" s="136">
        <f t="shared" si="31"/>
        <v>0</v>
      </c>
      <c r="J210" s="134"/>
      <c r="K210" s="135"/>
      <c r="L210" s="136">
        <f t="shared" si="32"/>
        <v>0</v>
      </c>
      <c r="M210" s="284"/>
      <c r="N210" s="285"/>
      <c r="O210" s="136">
        <f t="shared" si="33"/>
        <v>0</v>
      </c>
      <c r="P210" s="85"/>
      <c r="R210" s="53"/>
      <c r="S210" s="53"/>
      <c r="T210" s="53"/>
    </row>
    <row r="211" spans="1:20" hidden="1" x14ac:dyDescent="0.25">
      <c r="A211" s="76">
        <v>5213</v>
      </c>
      <c r="B211" s="127" t="s">
        <v>227</v>
      </c>
      <c r="C211" s="279">
        <f t="shared" si="26"/>
        <v>0</v>
      </c>
      <c r="D211" s="134"/>
      <c r="E211" s="285"/>
      <c r="F211" s="286">
        <f t="shared" si="30"/>
        <v>0</v>
      </c>
      <c r="G211" s="134"/>
      <c r="H211" s="135"/>
      <c r="I211" s="136">
        <f t="shared" si="31"/>
        <v>0</v>
      </c>
      <c r="J211" s="134"/>
      <c r="K211" s="135"/>
      <c r="L211" s="136">
        <f t="shared" si="32"/>
        <v>0</v>
      </c>
      <c r="M211" s="284"/>
      <c r="N211" s="285"/>
      <c r="O211" s="136">
        <f t="shared" si="33"/>
        <v>0</v>
      </c>
      <c r="P211" s="85"/>
      <c r="R211" s="53"/>
      <c r="S211" s="53"/>
      <c r="T211" s="53"/>
    </row>
    <row r="212" spans="1:20" hidden="1" x14ac:dyDescent="0.25">
      <c r="A212" s="76">
        <v>5214</v>
      </c>
      <c r="B212" s="127" t="s">
        <v>228</v>
      </c>
      <c r="C212" s="279">
        <f t="shared" si="26"/>
        <v>0</v>
      </c>
      <c r="D212" s="134"/>
      <c r="E212" s="285"/>
      <c r="F212" s="286">
        <f t="shared" si="30"/>
        <v>0</v>
      </c>
      <c r="G212" s="134"/>
      <c r="H212" s="135"/>
      <c r="I212" s="136">
        <f t="shared" si="31"/>
        <v>0</v>
      </c>
      <c r="J212" s="134"/>
      <c r="K212" s="135"/>
      <c r="L212" s="136">
        <f t="shared" si="32"/>
        <v>0</v>
      </c>
      <c r="M212" s="284"/>
      <c r="N212" s="285"/>
      <c r="O212" s="136">
        <f t="shared" si="33"/>
        <v>0</v>
      </c>
      <c r="P212" s="85"/>
      <c r="R212" s="53"/>
      <c r="S212" s="53"/>
      <c r="T212" s="53"/>
    </row>
    <row r="213" spans="1:20" hidden="1" x14ac:dyDescent="0.25">
      <c r="A213" s="76">
        <v>5215</v>
      </c>
      <c r="B213" s="127" t="s">
        <v>229</v>
      </c>
      <c r="C213" s="279">
        <f t="shared" si="26"/>
        <v>0</v>
      </c>
      <c r="D213" s="134"/>
      <c r="E213" s="285"/>
      <c r="F213" s="286">
        <f t="shared" si="30"/>
        <v>0</v>
      </c>
      <c r="G213" s="134"/>
      <c r="H213" s="135"/>
      <c r="I213" s="136">
        <f t="shared" si="31"/>
        <v>0</v>
      </c>
      <c r="J213" s="134"/>
      <c r="K213" s="135"/>
      <c r="L213" s="136">
        <f t="shared" si="32"/>
        <v>0</v>
      </c>
      <c r="M213" s="284"/>
      <c r="N213" s="285"/>
      <c r="O213" s="136">
        <f t="shared" si="33"/>
        <v>0</v>
      </c>
      <c r="P213" s="85"/>
      <c r="R213" s="53"/>
      <c r="S213" s="53"/>
      <c r="T213" s="53"/>
    </row>
    <row r="214" spans="1:20" hidden="1" x14ac:dyDescent="0.25">
      <c r="A214" s="76">
        <v>5216</v>
      </c>
      <c r="B214" s="127" t="s">
        <v>230</v>
      </c>
      <c r="C214" s="279">
        <f t="shared" si="26"/>
        <v>0</v>
      </c>
      <c r="D214" s="134"/>
      <c r="E214" s="285"/>
      <c r="F214" s="286">
        <f t="shared" si="30"/>
        <v>0</v>
      </c>
      <c r="G214" s="134"/>
      <c r="H214" s="135"/>
      <c r="I214" s="136">
        <f t="shared" si="31"/>
        <v>0</v>
      </c>
      <c r="J214" s="134"/>
      <c r="K214" s="135"/>
      <c r="L214" s="136">
        <f t="shared" si="32"/>
        <v>0</v>
      </c>
      <c r="M214" s="284"/>
      <c r="N214" s="285"/>
      <c r="O214" s="136">
        <f t="shared" si="33"/>
        <v>0</v>
      </c>
      <c r="P214" s="85"/>
      <c r="R214" s="53"/>
      <c r="S214" s="53"/>
      <c r="T214" s="53"/>
    </row>
    <row r="215" spans="1:20" hidden="1" x14ac:dyDescent="0.25">
      <c r="A215" s="76">
        <v>5217</v>
      </c>
      <c r="B215" s="127" t="s">
        <v>231</v>
      </c>
      <c r="C215" s="279">
        <f t="shared" si="26"/>
        <v>0</v>
      </c>
      <c r="D215" s="134"/>
      <c r="E215" s="285"/>
      <c r="F215" s="286">
        <f t="shared" si="30"/>
        <v>0</v>
      </c>
      <c r="G215" s="134"/>
      <c r="H215" s="135"/>
      <c r="I215" s="136">
        <f t="shared" si="31"/>
        <v>0</v>
      </c>
      <c r="J215" s="134"/>
      <c r="K215" s="135"/>
      <c r="L215" s="136">
        <f t="shared" si="32"/>
        <v>0</v>
      </c>
      <c r="M215" s="284"/>
      <c r="N215" s="285"/>
      <c r="O215" s="136">
        <f t="shared" si="33"/>
        <v>0</v>
      </c>
      <c r="P215" s="85"/>
      <c r="R215" s="53"/>
      <c r="S215" s="53"/>
      <c r="T215" s="53"/>
    </row>
    <row r="216" spans="1:20" hidden="1" x14ac:dyDescent="0.25">
      <c r="A216" s="76">
        <v>5218</v>
      </c>
      <c r="B216" s="127" t="s">
        <v>232</v>
      </c>
      <c r="C216" s="279">
        <f t="shared" si="26"/>
        <v>0</v>
      </c>
      <c r="D216" s="134"/>
      <c r="E216" s="285"/>
      <c r="F216" s="286">
        <f t="shared" si="30"/>
        <v>0</v>
      </c>
      <c r="G216" s="134"/>
      <c r="H216" s="135"/>
      <c r="I216" s="136">
        <f t="shared" si="31"/>
        <v>0</v>
      </c>
      <c r="J216" s="134"/>
      <c r="K216" s="135"/>
      <c r="L216" s="136">
        <f t="shared" si="32"/>
        <v>0</v>
      </c>
      <c r="M216" s="284"/>
      <c r="N216" s="285"/>
      <c r="O216" s="136">
        <f t="shared" si="33"/>
        <v>0</v>
      </c>
      <c r="P216" s="85"/>
      <c r="R216" s="53"/>
      <c r="S216" s="53"/>
      <c r="T216" s="53"/>
    </row>
    <row r="217" spans="1:20" hidden="1" x14ac:dyDescent="0.25">
      <c r="A217" s="76">
        <v>5219</v>
      </c>
      <c r="B217" s="127" t="s">
        <v>233</v>
      </c>
      <c r="C217" s="279">
        <f t="shared" si="26"/>
        <v>0</v>
      </c>
      <c r="D217" s="134"/>
      <c r="E217" s="285"/>
      <c r="F217" s="286">
        <f t="shared" si="30"/>
        <v>0</v>
      </c>
      <c r="G217" s="134"/>
      <c r="H217" s="135"/>
      <c r="I217" s="136">
        <f t="shared" si="31"/>
        <v>0</v>
      </c>
      <c r="J217" s="134"/>
      <c r="K217" s="135"/>
      <c r="L217" s="136">
        <f t="shared" si="32"/>
        <v>0</v>
      </c>
      <c r="M217" s="284"/>
      <c r="N217" s="285"/>
      <c r="O217" s="136">
        <f t="shared" si="33"/>
        <v>0</v>
      </c>
      <c r="P217" s="85"/>
      <c r="R217" s="53"/>
      <c r="S217" s="53"/>
      <c r="T217" s="53"/>
    </row>
    <row r="218" spans="1:20" hidden="1" x14ac:dyDescent="0.25">
      <c r="A218" s="276">
        <v>5220</v>
      </c>
      <c r="B218" s="127" t="s">
        <v>234</v>
      </c>
      <c r="C218" s="279">
        <f t="shared" si="26"/>
        <v>0</v>
      </c>
      <c r="D218" s="134"/>
      <c r="E218" s="285"/>
      <c r="F218" s="286">
        <f t="shared" si="30"/>
        <v>0</v>
      </c>
      <c r="G218" s="134"/>
      <c r="H218" s="135"/>
      <c r="I218" s="136">
        <f t="shared" si="31"/>
        <v>0</v>
      </c>
      <c r="J218" s="134"/>
      <c r="K218" s="135"/>
      <c r="L218" s="136">
        <f t="shared" si="32"/>
        <v>0</v>
      </c>
      <c r="M218" s="284"/>
      <c r="N218" s="285"/>
      <c r="O218" s="136">
        <f t="shared" si="33"/>
        <v>0</v>
      </c>
      <c r="P218" s="85"/>
      <c r="R218" s="53"/>
      <c r="S218" s="53"/>
      <c r="T218" s="53"/>
    </row>
    <row r="219" spans="1:20" x14ac:dyDescent="0.25">
      <c r="A219" s="276">
        <v>5230</v>
      </c>
      <c r="B219" s="127" t="s">
        <v>235</v>
      </c>
      <c r="C219" s="279">
        <f t="shared" si="26"/>
        <v>16773</v>
      </c>
      <c r="D219" s="277">
        <f>SUM(D220:D227)</f>
        <v>13010</v>
      </c>
      <c r="E219" s="278">
        <f>SUM(E220:E227)</f>
        <v>0</v>
      </c>
      <c r="F219" s="279">
        <f t="shared" si="30"/>
        <v>13010</v>
      </c>
      <c r="G219" s="277">
        <f>SUM(G220:G227)</f>
        <v>1163</v>
      </c>
      <c r="H219" s="280">
        <f>SUM(H220:H227)</f>
        <v>0</v>
      </c>
      <c r="I219" s="136">
        <f t="shared" si="31"/>
        <v>1163</v>
      </c>
      <c r="J219" s="277">
        <f>SUM(J220:J227)</f>
        <v>2600</v>
      </c>
      <c r="K219" s="280">
        <f>SUM(K220:K227)</f>
        <v>0</v>
      </c>
      <c r="L219" s="136">
        <f t="shared" si="32"/>
        <v>2600</v>
      </c>
      <c r="M219" s="281">
        <f>SUM(M220:M227)</f>
        <v>0</v>
      </c>
      <c r="N219" s="282">
        <f>SUM(N220:N227)</f>
        <v>0</v>
      </c>
      <c r="O219" s="136">
        <f t="shared" si="33"/>
        <v>0</v>
      </c>
      <c r="P219" s="85"/>
      <c r="R219" s="53"/>
      <c r="S219" s="53"/>
      <c r="T219" s="53"/>
    </row>
    <row r="220" spans="1:20" hidden="1" x14ac:dyDescent="0.25">
      <c r="A220" s="76">
        <v>5231</v>
      </c>
      <c r="B220" s="127" t="s">
        <v>236</v>
      </c>
      <c r="C220" s="279">
        <f t="shared" si="26"/>
        <v>0</v>
      </c>
      <c r="D220" s="134"/>
      <c r="E220" s="285"/>
      <c r="F220" s="286">
        <f t="shared" si="30"/>
        <v>0</v>
      </c>
      <c r="G220" s="134"/>
      <c r="H220" s="135"/>
      <c r="I220" s="136">
        <f t="shared" si="31"/>
        <v>0</v>
      </c>
      <c r="J220" s="134"/>
      <c r="K220" s="135"/>
      <c r="L220" s="136">
        <f t="shared" si="32"/>
        <v>0</v>
      </c>
      <c r="M220" s="284"/>
      <c r="N220" s="285"/>
      <c r="O220" s="136">
        <f t="shared" si="33"/>
        <v>0</v>
      </c>
      <c r="P220" s="85"/>
      <c r="R220" s="53"/>
      <c r="S220" s="53"/>
      <c r="T220" s="53"/>
    </row>
    <row r="221" spans="1:20" x14ac:dyDescent="0.25">
      <c r="A221" s="76">
        <v>5232</v>
      </c>
      <c r="B221" s="127" t="s">
        <v>237</v>
      </c>
      <c r="C221" s="279">
        <f t="shared" si="26"/>
        <v>4815</v>
      </c>
      <c r="D221" s="134">
        <f>315+3300</f>
        <v>3615</v>
      </c>
      <c r="E221" s="283"/>
      <c r="F221" s="279">
        <f t="shared" si="30"/>
        <v>3615</v>
      </c>
      <c r="G221" s="134"/>
      <c r="H221" s="135"/>
      <c r="I221" s="136">
        <f t="shared" si="31"/>
        <v>0</v>
      </c>
      <c r="J221" s="134">
        <v>1200</v>
      </c>
      <c r="K221" s="135"/>
      <c r="L221" s="136">
        <f t="shared" si="32"/>
        <v>1200</v>
      </c>
      <c r="M221" s="284"/>
      <c r="N221" s="285"/>
      <c r="O221" s="136">
        <f t="shared" si="33"/>
        <v>0</v>
      </c>
      <c r="P221" s="85"/>
      <c r="R221" s="53"/>
      <c r="S221" s="53"/>
      <c r="T221" s="53"/>
    </row>
    <row r="222" spans="1:20" x14ac:dyDescent="0.25">
      <c r="A222" s="76">
        <v>5233</v>
      </c>
      <c r="B222" s="127" t="s">
        <v>238</v>
      </c>
      <c r="C222" s="279">
        <f t="shared" si="26"/>
        <v>2088</v>
      </c>
      <c r="D222" s="134">
        <v>925</v>
      </c>
      <c r="E222" s="283"/>
      <c r="F222" s="279">
        <f t="shared" si="30"/>
        <v>925</v>
      </c>
      <c r="G222" s="134">
        <v>1163</v>
      </c>
      <c r="H222" s="135"/>
      <c r="I222" s="136">
        <f t="shared" si="31"/>
        <v>1163</v>
      </c>
      <c r="J222" s="134"/>
      <c r="K222" s="135"/>
      <c r="L222" s="136">
        <f t="shared" si="32"/>
        <v>0</v>
      </c>
      <c r="M222" s="284"/>
      <c r="N222" s="285"/>
      <c r="O222" s="136">
        <f t="shared" si="33"/>
        <v>0</v>
      </c>
      <c r="P222" s="85"/>
      <c r="R222" s="53"/>
      <c r="S222" s="53"/>
      <c r="T222" s="53"/>
    </row>
    <row r="223" spans="1:20" ht="24" hidden="1" x14ac:dyDescent="0.25">
      <c r="A223" s="76">
        <v>5234</v>
      </c>
      <c r="B223" s="127" t="s">
        <v>239</v>
      </c>
      <c r="C223" s="279">
        <f t="shared" si="26"/>
        <v>0</v>
      </c>
      <c r="D223" s="134"/>
      <c r="E223" s="285"/>
      <c r="F223" s="286">
        <f t="shared" si="30"/>
        <v>0</v>
      </c>
      <c r="G223" s="134"/>
      <c r="H223" s="135"/>
      <c r="I223" s="136">
        <f t="shared" si="31"/>
        <v>0</v>
      </c>
      <c r="J223" s="134"/>
      <c r="K223" s="135"/>
      <c r="L223" s="136">
        <f t="shared" si="32"/>
        <v>0</v>
      </c>
      <c r="M223" s="284"/>
      <c r="N223" s="285"/>
      <c r="O223" s="136">
        <f t="shared" si="33"/>
        <v>0</v>
      </c>
      <c r="P223" s="85"/>
      <c r="R223" s="53"/>
      <c r="S223" s="53"/>
      <c r="T223" s="53"/>
    </row>
    <row r="224" spans="1:20" hidden="1" x14ac:dyDescent="0.25">
      <c r="A224" s="76">
        <v>5236</v>
      </c>
      <c r="B224" s="127" t="s">
        <v>240</v>
      </c>
      <c r="C224" s="279">
        <f t="shared" si="26"/>
        <v>0</v>
      </c>
      <c r="D224" s="134"/>
      <c r="E224" s="285"/>
      <c r="F224" s="286">
        <f t="shared" si="30"/>
        <v>0</v>
      </c>
      <c r="G224" s="134"/>
      <c r="H224" s="135"/>
      <c r="I224" s="136">
        <f t="shared" si="31"/>
        <v>0</v>
      </c>
      <c r="J224" s="134"/>
      <c r="K224" s="135"/>
      <c r="L224" s="136">
        <f t="shared" si="32"/>
        <v>0</v>
      </c>
      <c r="M224" s="284"/>
      <c r="N224" s="285"/>
      <c r="O224" s="136">
        <f t="shared" si="33"/>
        <v>0</v>
      </c>
      <c r="P224" s="85"/>
      <c r="R224" s="53"/>
      <c r="S224" s="53"/>
      <c r="T224" s="53"/>
    </row>
    <row r="225" spans="1:20" hidden="1" x14ac:dyDescent="0.25">
      <c r="A225" s="76">
        <v>5237</v>
      </c>
      <c r="B225" s="127" t="s">
        <v>241</v>
      </c>
      <c r="C225" s="279">
        <f t="shared" si="26"/>
        <v>0</v>
      </c>
      <c r="D225" s="134"/>
      <c r="E225" s="285"/>
      <c r="F225" s="286">
        <f t="shared" si="30"/>
        <v>0</v>
      </c>
      <c r="G225" s="134"/>
      <c r="H225" s="135"/>
      <c r="I225" s="136">
        <f t="shared" si="31"/>
        <v>0</v>
      </c>
      <c r="J225" s="134"/>
      <c r="K225" s="135"/>
      <c r="L225" s="136">
        <f t="shared" si="32"/>
        <v>0</v>
      </c>
      <c r="M225" s="284"/>
      <c r="N225" s="285"/>
      <c r="O225" s="136">
        <f t="shared" si="33"/>
        <v>0</v>
      </c>
      <c r="P225" s="85"/>
      <c r="R225" s="53"/>
      <c r="S225" s="53"/>
      <c r="T225" s="53"/>
    </row>
    <row r="226" spans="1:20" ht="15" customHeight="1" x14ac:dyDescent="0.25">
      <c r="A226" s="76">
        <v>5238</v>
      </c>
      <c r="B226" s="127" t="s">
        <v>242</v>
      </c>
      <c r="C226" s="279">
        <f t="shared" si="26"/>
        <v>5870</v>
      </c>
      <c r="D226" s="134">
        <v>5870</v>
      </c>
      <c r="E226" s="283"/>
      <c r="F226" s="279">
        <f t="shared" si="30"/>
        <v>5870</v>
      </c>
      <c r="G226" s="134"/>
      <c r="H226" s="135"/>
      <c r="I226" s="136">
        <f t="shared" si="31"/>
        <v>0</v>
      </c>
      <c r="J226" s="134"/>
      <c r="K226" s="135"/>
      <c r="L226" s="136">
        <f t="shared" si="32"/>
        <v>0</v>
      </c>
      <c r="M226" s="284"/>
      <c r="N226" s="285"/>
      <c r="O226" s="136">
        <f t="shared" si="33"/>
        <v>0</v>
      </c>
      <c r="P226" s="1013"/>
      <c r="R226" s="53"/>
      <c r="S226" s="53"/>
      <c r="T226" s="53"/>
    </row>
    <row r="227" spans="1:20" ht="16.5" customHeight="1" x14ac:dyDescent="0.25">
      <c r="A227" s="76">
        <v>5239</v>
      </c>
      <c r="B227" s="127" t="s">
        <v>243</v>
      </c>
      <c r="C227" s="279">
        <f t="shared" si="26"/>
        <v>4000</v>
      </c>
      <c r="D227" s="134">
        <v>2600</v>
      </c>
      <c r="E227" s="283"/>
      <c r="F227" s="279">
        <f t="shared" si="30"/>
        <v>2600</v>
      </c>
      <c r="G227" s="134"/>
      <c r="H227" s="135"/>
      <c r="I227" s="136">
        <f t="shared" si="31"/>
        <v>0</v>
      </c>
      <c r="J227" s="134">
        <v>1400</v>
      </c>
      <c r="K227" s="135"/>
      <c r="L227" s="136">
        <f t="shared" si="32"/>
        <v>1400</v>
      </c>
      <c r="M227" s="284"/>
      <c r="N227" s="285"/>
      <c r="O227" s="136">
        <f t="shared" si="33"/>
        <v>0</v>
      </c>
      <c r="P227" s="85"/>
      <c r="R227" s="53"/>
      <c r="S227" s="53"/>
      <c r="T227" s="53"/>
    </row>
    <row r="228" spans="1:20" ht="24" hidden="1" x14ac:dyDescent="0.25">
      <c r="A228" s="276">
        <v>5240</v>
      </c>
      <c r="B228" s="127" t="s">
        <v>244</v>
      </c>
      <c r="C228" s="279">
        <f t="shared" si="26"/>
        <v>0</v>
      </c>
      <c r="D228" s="134"/>
      <c r="E228" s="285"/>
      <c r="F228" s="286">
        <f t="shared" si="30"/>
        <v>0</v>
      </c>
      <c r="G228" s="134"/>
      <c r="H228" s="135"/>
      <c r="I228" s="136">
        <f t="shared" si="31"/>
        <v>0</v>
      </c>
      <c r="J228" s="134"/>
      <c r="K228" s="135"/>
      <c r="L228" s="136">
        <f t="shared" si="32"/>
        <v>0</v>
      </c>
      <c r="M228" s="284"/>
      <c r="N228" s="285"/>
      <c r="O228" s="136">
        <f t="shared" si="33"/>
        <v>0</v>
      </c>
      <c r="P228" s="85"/>
      <c r="R228" s="53"/>
      <c r="S228" s="53"/>
      <c r="T228" s="53"/>
    </row>
    <row r="229" spans="1:20" hidden="1" x14ac:dyDescent="0.25">
      <c r="A229" s="276">
        <v>5250</v>
      </c>
      <c r="B229" s="127" t="s">
        <v>245</v>
      </c>
      <c r="C229" s="279">
        <f t="shared" si="26"/>
        <v>0</v>
      </c>
      <c r="D229" s="134"/>
      <c r="E229" s="285"/>
      <c r="F229" s="286">
        <f t="shared" si="30"/>
        <v>0</v>
      </c>
      <c r="G229" s="134"/>
      <c r="H229" s="135"/>
      <c r="I229" s="136">
        <f t="shared" si="31"/>
        <v>0</v>
      </c>
      <c r="J229" s="134"/>
      <c r="K229" s="135"/>
      <c r="L229" s="136">
        <f t="shared" si="32"/>
        <v>0</v>
      </c>
      <c r="M229" s="284"/>
      <c r="N229" s="285"/>
      <c r="O229" s="136">
        <f t="shared" si="33"/>
        <v>0</v>
      </c>
      <c r="P229" s="85"/>
      <c r="R229" s="53"/>
      <c r="S229" s="53"/>
      <c r="T229" s="53"/>
    </row>
    <row r="230" spans="1:20" x14ac:dyDescent="0.25">
      <c r="A230" s="276">
        <v>5260</v>
      </c>
      <c r="B230" s="127" t="s">
        <v>246</v>
      </c>
      <c r="C230" s="279">
        <f t="shared" si="26"/>
        <v>1500</v>
      </c>
      <c r="D230" s="277">
        <f>SUM(D231)</f>
        <v>1500</v>
      </c>
      <c r="E230" s="278">
        <f>SUM(E231)</f>
        <v>0</v>
      </c>
      <c r="F230" s="279">
        <f t="shared" si="30"/>
        <v>1500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c r="R230" s="53"/>
      <c r="S230" s="53"/>
      <c r="T230" s="53"/>
    </row>
    <row r="231" spans="1:20" ht="24" x14ac:dyDescent="0.25">
      <c r="A231" s="76">
        <v>5269</v>
      </c>
      <c r="B231" s="127" t="s">
        <v>247</v>
      </c>
      <c r="C231" s="279">
        <f t="shared" si="26"/>
        <v>1500</v>
      </c>
      <c r="D231" s="134">
        <v>1500</v>
      </c>
      <c r="E231" s="283"/>
      <c r="F231" s="279">
        <f t="shared" si="30"/>
        <v>1500</v>
      </c>
      <c r="G231" s="134"/>
      <c r="H231" s="135"/>
      <c r="I231" s="136">
        <f t="shared" si="31"/>
        <v>0</v>
      </c>
      <c r="J231" s="134"/>
      <c r="K231" s="135"/>
      <c r="L231" s="136">
        <f t="shared" si="32"/>
        <v>0</v>
      </c>
      <c r="M231" s="284"/>
      <c r="N231" s="285"/>
      <c r="O231" s="136">
        <f t="shared" si="33"/>
        <v>0</v>
      </c>
      <c r="P231" s="1013"/>
      <c r="R231" s="53"/>
      <c r="S231" s="53"/>
      <c r="T231" s="53"/>
    </row>
    <row r="232" spans="1:20" ht="24" hidden="1" x14ac:dyDescent="0.25">
      <c r="A232" s="254">
        <v>5270</v>
      </c>
      <c r="B232" s="179" t="s">
        <v>248</v>
      </c>
      <c r="C232" s="302">
        <f t="shared" si="26"/>
        <v>0</v>
      </c>
      <c r="D232" s="287"/>
      <c r="E232" s="291"/>
      <c r="F232" s="310">
        <f t="shared" si="30"/>
        <v>0</v>
      </c>
      <c r="G232" s="287"/>
      <c r="H232" s="289"/>
      <c r="I232" s="259">
        <f t="shared" si="31"/>
        <v>0</v>
      </c>
      <c r="J232" s="287"/>
      <c r="K232" s="289"/>
      <c r="L232" s="259">
        <f t="shared" si="32"/>
        <v>0</v>
      </c>
      <c r="M232" s="290"/>
      <c r="N232" s="291"/>
      <c r="O232" s="259">
        <f t="shared" si="33"/>
        <v>0</v>
      </c>
      <c r="P232" s="189"/>
      <c r="R232" s="53"/>
      <c r="S232" s="53"/>
      <c r="T232" s="53"/>
    </row>
    <row r="233" spans="1:20" hidden="1" x14ac:dyDescent="0.25">
      <c r="A233" s="237">
        <v>6000</v>
      </c>
      <c r="B233" s="237" t="s">
        <v>249</v>
      </c>
      <c r="C233" s="238">
        <f t="shared" si="26"/>
        <v>0</v>
      </c>
      <c r="D233" s="239">
        <f>D234+D254+D261</f>
        <v>0</v>
      </c>
      <c r="E233" s="245">
        <f>E234+E254+E261</f>
        <v>0</v>
      </c>
      <c r="F233" s="320">
        <f t="shared" si="30"/>
        <v>0</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c r="R233" s="53"/>
      <c r="S233" s="53"/>
      <c r="T233" s="53"/>
    </row>
    <row r="234" spans="1:20"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c r="R234" s="53"/>
      <c r="S234" s="53"/>
      <c r="T234" s="53"/>
    </row>
    <row r="235" spans="1:20" ht="24" hidden="1" x14ac:dyDescent="0.25">
      <c r="A235" s="656">
        <v>6220</v>
      </c>
      <c r="B235" s="116" t="s">
        <v>251</v>
      </c>
      <c r="C235" s="298">
        <f t="shared" si="26"/>
        <v>0</v>
      </c>
      <c r="D235" s="123"/>
      <c r="E235" s="262"/>
      <c r="F235" s="263">
        <f t="shared" si="30"/>
        <v>0</v>
      </c>
      <c r="G235" s="123"/>
      <c r="H235" s="124"/>
      <c r="I235" s="125">
        <f t="shared" si="31"/>
        <v>0</v>
      </c>
      <c r="J235" s="123"/>
      <c r="K235" s="124"/>
      <c r="L235" s="125">
        <f t="shared" si="32"/>
        <v>0</v>
      </c>
      <c r="M235" s="264"/>
      <c r="N235" s="262"/>
      <c r="O235" s="125">
        <f t="shared" si="33"/>
        <v>0</v>
      </c>
      <c r="P235" s="74"/>
      <c r="R235" s="53"/>
      <c r="S235" s="53"/>
      <c r="T235" s="53"/>
    </row>
    <row r="236" spans="1:20" hidden="1" x14ac:dyDescent="0.25">
      <c r="A236" s="276">
        <v>6230</v>
      </c>
      <c r="B236" s="127" t="s">
        <v>252</v>
      </c>
      <c r="C236" s="278">
        <f t="shared" si="26"/>
        <v>0</v>
      </c>
      <c r="D236" s="277">
        <f>SUM(D237)</f>
        <v>0</v>
      </c>
      <c r="E236" s="280">
        <f>SUM(E237)</f>
        <v>0</v>
      </c>
      <c r="F236" s="28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c r="R236" s="53"/>
      <c r="S236" s="53"/>
      <c r="T236" s="53"/>
    </row>
    <row r="237" spans="1:20" hidden="1" x14ac:dyDescent="0.25">
      <c r="A237" s="76">
        <v>6239</v>
      </c>
      <c r="B237" s="116" t="s">
        <v>253</v>
      </c>
      <c r="C237" s="278">
        <f t="shared" si="26"/>
        <v>0</v>
      </c>
      <c r="D237" s="134"/>
      <c r="E237" s="285"/>
      <c r="F237" s="286">
        <f t="shared" si="30"/>
        <v>0</v>
      </c>
      <c r="G237" s="134"/>
      <c r="H237" s="135"/>
      <c r="I237" s="136">
        <f t="shared" si="31"/>
        <v>0</v>
      </c>
      <c r="J237" s="134"/>
      <c r="K237" s="135"/>
      <c r="L237" s="136">
        <f t="shared" si="32"/>
        <v>0</v>
      </c>
      <c r="M237" s="284"/>
      <c r="N237" s="285"/>
      <c r="O237" s="136">
        <f t="shared" si="33"/>
        <v>0</v>
      </c>
      <c r="P237" s="85"/>
      <c r="R237" s="53"/>
      <c r="S237" s="53"/>
      <c r="T237" s="53"/>
    </row>
    <row r="238" spans="1:20" ht="24" hidden="1" x14ac:dyDescent="0.25">
      <c r="A238" s="276">
        <v>6240</v>
      </c>
      <c r="B238" s="127" t="s">
        <v>254</v>
      </c>
      <c r="C238" s="278">
        <f t="shared" si="26"/>
        <v>0</v>
      </c>
      <c r="D238" s="277">
        <f>SUM(D239:D240)</f>
        <v>0</v>
      </c>
      <c r="E238" s="282">
        <f>SUM(E239:E240)</f>
        <v>0</v>
      </c>
      <c r="F238" s="28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c r="R238" s="53"/>
      <c r="S238" s="53"/>
      <c r="T238" s="53"/>
    </row>
    <row r="239" spans="1:20" hidden="1" x14ac:dyDescent="0.25">
      <c r="A239" s="76">
        <v>6241</v>
      </c>
      <c r="B239" s="127" t="s">
        <v>255</v>
      </c>
      <c r="C239" s="278">
        <f t="shared" si="26"/>
        <v>0</v>
      </c>
      <c r="D239" s="134"/>
      <c r="E239" s="285"/>
      <c r="F239" s="286">
        <f t="shared" si="30"/>
        <v>0</v>
      </c>
      <c r="G239" s="134"/>
      <c r="H239" s="135"/>
      <c r="I239" s="136">
        <f t="shared" si="31"/>
        <v>0</v>
      </c>
      <c r="J239" s="134"/>
      <c r="K239" s="135"/>
      <c r="L239" s="136">
        <f t="shared" si="32"/>
        <v>0</v>
      </c>
      <c r="M239" s="284"/>
      <c r="N239" s="285"/>
      <c r="O239" s="136">
        <f t="shared" si="33"/>
        <v>0</v>
      </c>
      <c r="P239" s="85"/>
      <c r="R239" s="53"/>
      <c r="S239" s="53"/>
      <c r="T239" s="53"/>
    </row>
    <row r="240" spans="1:20" hidden="1" x14ac:dyDescent="0.25">
      <c r="A240" s="76">
        <v>6242</v>
      </c>
      <c r="B240" s="127" t="s">
        <v>256</v>
      </c>
      <c r="C240" s="278">
        <f t="shared" si="26"/>
        <v>0</v>
      </c>
      <c r="D240" s="134"/>
      <c r="E240" s="285"/>
      <c r="F240" s="286">
        <f t="shared" si="30"/>
        <v>0</v>
      </c>
      <c r="G240" s="134"/>
      <c r="H240" s="135"/>
      <c r="I240" s="136">
        <f t="shared" si="31"/>
        <v>0</v>
      </c>
      <c r="J240" s="134"/>
      <c r="K240" s="135"/>
      <c r="L240" s="136">
        <f t="shared" si="32"/>
        <v>0</v>
      </c>
      <c r="M240" s="284"/>
      <c r="N240" s="285"/>
      <c r="O240" s="136">
        <f t="shared" si="33"/>
        <v>0</v>
      </c>
      <c r="P240" s="85"/>
      <c r="R240" s="53"/>
      <c r="S240" s="53"/>
      <c r="T240" s="53"/>
    </row>
    <row r="241" spans="1:20" ht="24" hidden="1" x14ac:dyDescent="0.25">
      <c r="A241" s="276">
        <v>6250</v>
      </c>
      <c r="B241" s="127" t="s">
        <v>257</v>
      </c>
      <c r="C241" s="278">
        <f t="shared" si="26"/>
        <v>0</v>
      </c>
      <c r="D241" s="277">
        <f>SUM(D242:D246)</f>
        <v>0</v>
      </c>
      <c r="E241" s="282">
        <f>SUM(E242:E246)</f>
        <v>0</v>
      </c>
      <c r="F241" s="28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c r="R241" s="53"/>
      <c r="S241" s="53"/>
      <c r="T241" s="53"/>
    </row>
    <row r="242" spans="1:20" hidden="1" x14ac:dyDescent="0.25">
      <c r="A242" s="76">
        <v>6252</v>
      </c>
      <c r="B242" s="127" t="s">
        <v>258</v>
      </c>
      <c r="C242" s="278">
        <f t="shared" si="26"/>
        <v>0</v>
      </c>
      <c r="D242" s="134"/>
      <c r="E242" s="285"/>
      <c r="F242" s="286">
        <f t="shared" si="30"/>
        <v>0</v>
      </c>
      <c r="G242" s="134"/>
      <c r="H242" s="135"/>
      <c r="I242" s="136">
        <f t="shared" si="31"/>
        <v>0</v>
      </c>
      <c r="J242" s="134"/>
      <c r="K242" s="135"/>
      <c r="L242" s="136">
        <f t="shared" si="32"/>
        <v>0</v>
      </c>
      <c r="M242" s="284"/>
      <c r="N242" s="285"/>
      <c r="O242" s="136">
        <f t="shared" si="33"/>
        <v>0</v>
      </c>
      <c r="P242" s="85"/>
      <c r="R242" s="53"/>
      <c r="S242" s="53"/>
      <c r="T242" s="53"/>
    </row>
    <row r="243" spans="1:20" hidden="1" x14ac:dyDescent="0.25">
      <c r="A243" s="76">
        <v>6253</v>
      </c>
      <c r="B243" s="127" t="s">
        <v>259</v>
      </c>
      <c r="C243" s="278">
        <f t="shared" si="26"/>
        <v>0</v>
      </c>
      <c r="D243" s="134"/>
      <c r="E243" s="285"/>
      <c r="F243" s="286">
        <f t="shared" si="30"/>
        <v>0</v>
      </c>
      <c r="G243" s="134"/>
      <c r="H243" s="135"/>
      <c r="I243" s="136">
        <f t="shared" si="31"/>
        <v>0</v>
      </c>
      <c r="J243" s="134"/>
      <c r="K243" s="135"/>
      <c r="L243" s="136">
        <f t="shared" si="32"/>
        <v>0</v>
      </c>
      <c r="M243" s="284"/>
      <c r="N243" s="285"/>
      <c r="O243" s="136">
        <f t="shared" si="33"/>
        <v>0</v>
      </c>
      <c r="P243" s="85"/>
      <c r="R243" s="53"/>
      <c r="S243" s="53"/>
      <c r="T243" s="53"/>
    </row>
    <row r="244" spans="1:20" ht="24" hidden="1" x14ac:dyDescent="0.25">
      <c r="A244" s="76">
        <v>6254</v>
      </c>
      <c r="B244" s="127" t="s">
        <v>260</v>
      </c>
      <c r="C244" s="278">
        <f t="shared" si="26"/>
        <v>0</v>
      </c>
      <c r="D244" s="134"/>
      <c r="E244" s="285"/>
      <c r="F244" s="286">
        <f t="shared" si="30"/>
        <v>0</v>
      </c>
      <c r="G244" s="134"/>
      <c r="H244" s="135"/>
      <c r="I244" s="136">
        <f t="shared" si="31"/>
        <v>0</v>
      </c>
      <c r="J244" s="134"/>
      <c r="K244" s="135"/>
      <c r="L244" s="136">
        <f t="shared" si="32"/>
        <v>0</v>
      </c>
      <c r="M244" s="284"/>
      <c r="N244" s="285"/>
      <c r="O244" s="136">
        <f t="shared" si="33"/>
        <v>0</v>
      </c>
      <c r="P244" s="85"/>
      <c r="R244" s="53"/>
      <c r="S244" s="53"/>
      <c r="T244" s="53"/>
    </row>
    <row r="245" spans="1:20" ht="24" hidden="1" x14ac:dyDescent="0.25">
      <c r="A245" s="76">
        <v>6255</v>
      </c>
      <c r="B245" s="127" t="s">
        <v>261</v>
      </c>
      <c r="C245" s="278">
        <f t="shared" si="26"/>
        <v>0</v>
      </c>
      <c r="D245" s="134"/>
      <c r="E245" s="285"/>
      <c r="F245" s="286">
        <f t="shared" si="30"/>
        <v>0</v>
      </c>
      <c r="G245" s="134"/>
      <c r="H245" s="135"/>
      <c r="I245" s="136">
        <f t="shared" si="31"/>
        <v>0</v>
      </c>
      <c r="J245" s="134"/>
      <c r="K245" s="135"/>
      <c r="L245" s="136">
        <f t="shared" si="32"/>
        <v>0</v>
      </c>
      <c r="M245" s="284"/>
      <c r="N245" s="285"/>
      <c r="O245" s="136">
        <f t="shared" si="33"/>
        <v>0</v>
      </c>
      <c r="P245" s="85"/>
      <c r="R245" s="53"/>
      <c r="S245" s="53"/>
      <c r="T245" s="53"/>
    </row>
    <row r="246" spans="1:20" hidden="1" x14ac:dyDescent="0.25">
      <c r="A246" s="76">
        <v>6259</v>
      </c>
      <c r="B246" s="127" t="s">
        <v>262</v>
      </c>
      <c r="C246" s="278">
        <f t="shared" si="26"/>
        <v>0</v>
      </c>
      <c r="D246" s="134"/>
      <c r="E246" s="285"/>
      <c r="F246" s="286">
        <f t="shared" si="30"/>
        <v>0</v>
      </c>
      <c r="G246" s="134"/>
      <c r="H246" s="135"/>
      <c r="I246" s="136">
        <f t="shared" si="31"/>
        <v>0</v>
      </c>
      <c r="J246" s="134"/>
      <c r="K246" s="135"/>
      <c r="L246" s="136">
        <f t="shared" si="32"/>
        <v>0</v>
      </c>
      <c r="M246" s="284"/>
      <c r="N246" s="285"/>
      <c r="O246" s="136">
        <f t="shared" si="33"/>
        <v>0</v>
      </c>
      <c r="P246" s="85"/>
      <c r="R246" s="53"/>
      <c r="S246" s="53"/>
      <c r="T246" s="53"/>
    </row>
    <row r="247" spans="1:20" ht="24" hidden="1" x14ac:dyDescent="0.25">
      <c r="A247" s="276">
        <v>6260</v>
      </c>
      <c r="B247" s="127" t="s">
        <v>263</v>
      </c>
      <c r="C247" s="278">
        <f t="shared" si="26"/>
        <v>0</v>
      </c>
      <c r="D247" s="134"/>
      <c r="E247" s="285"/>
      <c r="F247" s="286">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c r="R247" s="53"/>
      <c r="S247" s="53"/>
      <c r="T247" s="53"/>
    </row>
    <row r="248" spans="1:20" hidden="1" x14ac:dyDescent="0.25">
      <c r="A248" s="276">
        <v>6270</v>
      </c>
      <c r="B248" s="127" t="s">
        <v>264</v>
      </c>
      <c r="C248" s="278">
        <f t="shared" si="26"/>
        <v>0</v>
      </c>
      <c r="D248" s="134"/>
      <c r="E248" s="285"/>
      <c r="F248" s="286">
        <f t="shared" si="37"/>
        <v>0</v>
      </c>
      <c r="G248" s="134"/>
      <c r="H248" s="135"/>
      <c r="I248" s="136">
        <f t="shared" si="38"/>
        <v>0</v>
      </c>
      <c r="J248" s="134"/>
      <c r="K248" s="135"/>
      <c r="L248" s="136">
        <f t="shared" si="39"/>
        <v>0</v>
      </c>
      <c r="M248" s="284"/>
      <c r="N248" s="285"/>
      <c r="O248" s="136">
        <f t="shared" si="40"/>
        <v>0</v>
      </c>
      <c r="P248" s="85"/>
      <c r="R248" s="53"/>
      <c r="S248" s="53"/>
      <c r="T248" s="53"/>
    </row>
    <row r="249" spans="1:20" hidden="1" x14ac:dyDescent="0.25">
      <c r="A249" s="656">
        <v>6290</v>
      </c>
      <c r="B249" s="116" t="s">
        <v>265</v>
      </c>
      <c r="C249" s="278">
        <f t="shared" si="26"/>
        <v>0</v>
      </c>
      <c r="D249" s="297">
        <f>SUM(D250:D253)</f>
        <v>0</v>
      </c>
      <c r="E249" s="301">
        <f>SUM(E250:E253)</f>
        <v>0</v>
      </c>
      <c r="F249" s="263">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c r="R249" s="53"/>
      <c r="S249" s="53"/>
      <c r="T249" s="53"/>
    </row>
    <row r="250" spans="1:20" hidden="1" x14ac:dyDescent="0.25">
      <c r="A250" s="76">
        <v>6291</v>
      </c>
      <c r="B250" s="127" t="s">
        <v>266</v>
      </c>
      <c r="C250" s="278">
        <f t="shared" si="26"/>
        <v>0</v>
      </c>
      <c r="D250" s="134"/>
      <c r="E250" s="285"/>
      <c r="F250" s="286">
        <f t="shared" si="37"/>
        <v>0</v>
      </c>
      <c r="G250" s="134"/>
      <c r="H250" s="135"/>
      <c r="I250" s="136">
        <f t="shared" si="38"/>
        <v>0</v>
      </c>
      <c r="J250" s="134"/>
      <c r="K250" s="135"/>
      <c r="L250" s="136">
        <f t="shared" si="39"/>
        <v>0</v>
      </c>
      <c r="M250" s="284"/>
      <c r="N250" s="285"/>
      <c r="O250" s="136">
        <f t="shared" si="40"/>
        <v>0</v>
      </c>
      <c r="P250" s="85"/>
      <c r="R250" s="53"/>
      <c r="S250" s="53"/>
      <c r="T250" s="53"/>
    </row>
    <row r="251" spans="1:20" hidden="1" x14ac:dyDescent="0.25">
      <c r="A251" s="76">
        <v>6292</v>
      </c>
      <c r="B251" s="127" t="s">
        <v>267</v>
      </c>
      <c r="C251" s="278">
        <f t="shared" si="26"/>
        <v>0</v>
      </c>
      <c r="D251" s="134"/>
      <c r="E251" s="285"/>
      <c r="F251" s="286">
        <f t="shared" si="37"/>
        <v>0</v>
      </c>
      <c r="G251" s="134"/>
      <c r="H251" s="135"/>
      <c r="I251" s="136">
        <f t="shared" si="38"/>
        <v>0</v>
      </c>
      <c r="J251" s="134"/>
      <c r="K251" s="135"/>
      <c r="L251" s="136">
        <f t="shared" si="39"/>
        <v>0</v>
      </c>
      <c r="M251" s="284"/>
      <c r="N251" s="285"/>
      <c r="O251" s="136">
        <f t="shared" si="40"/>
        <v>0</v>
      </c>
      <c r="P251" s="85"/>
      <c r="R251" s="53"/>
      <c r="S251" s="53"/>
      <c r="T251" s="53"/>
    </row>
    <row r="252" spans="1:20" ht="72" hidden="1" x14ac:dyDescent="0.25">
      <c r="A252" s="76">
        <v>6296</v>
      </c>
      <c r="B252" s="127" t="s">
        <v>268</v>
      </c>
      <c r="C252" s="278">
        <f t="shared" si="26"/>
        <v>0</v>
      </c>
      <c r="D252" s="134"/>
      <c r="E252" s="285"/>
      <c r="F252" s="286">
        <f t="shared" si="37"/>
        <v>0</v>
      </c>
      <c r="G252" s="134"/>
      <c r="H252" s="135"/>
      <c r="I252" s="136">
        <f t="shared" si="38"/>
        <v>0</v>
      </c>
      <c r="J252" s="134"/>
      <c r="K252" s="135"/>
      <c r="L252" s="136">
        <f t="shared" si="39"/>
        <v>0</v>
      </c>
      <c r="M252" s="284"/>
      <c r="N252" s="285"/>
      <c r="O252" s="136">
        <f t="shared" si="40"/>
        <v>0</v>
      </c>
      <c r="P252" s="85"/>
      <c r="R252" s="53"/>
      <c r="S252" s="53"/>
      <c r="T252" s="53"/>
    </row>
    <row r="253" spans="1:20" ht="36" hidden="1" x14ac:dyDescent="0.25">
      <c r="A253" s="76">
        <v>6299</v>
      </c>
      <c r="B253" s="127" t="s">
        <v>269</v>
      </c>
      <c r="C253" s="278">
        <f t="shared" si="26"/>
        <v>0</v>
      </c>
      <c r="D253" s="134"/>
      <c r="E253" s="285"/>
      <c r="F253" s="286">
        <f t="shared" si="37"/>
        <v>0</v>
      </c>
      <c r="G253" s="134"/>
      <c r="H253" s="135"/>
      <c r="I253" s="136">
        <f t="shared" si="38"/>
        <v>0</v>
      </c>
      <c r="J253" s="134"/>
      <c r="K253" s="135"/>
      <c r="L253" s="136">
        <f t="shared" si="39"/>
        <v>0</v>
      </c>
      <c r="M253" s="284"/>
      <c r="N253" s="285"/>
      <c r="O253" s="136">
        <f t="shared" si="40"/>
        <v>0</v>
      </c>
      <c r="P253" s="85"/>
      <c r="R253" s="53"/>
      <c r="S253" s="53"/>
      <c r="T253" s="53"/>
    </row>
    <row r="254" spans="1:20" hidden="1" x14ac:dyDescent="0.25">
      <c r="A254" s="99">
        <v>6300</v>
      </c>
      <c r="B254" s="247" t="s">
        <v>270</v>
      </c>
      <c r="C254" s="100">
        <f t="shared" si="26"/>
        <v>0</v>
      </c>
      <c r="D254" s="112">
        <f>SUM(D255,D259,D260)</f>
        <v>0</v>
      </c>
      <c r="E254" s="293">
        <f>SUM(E255,E259,E260)</f>
        <v>0</v>
      </c>
      <c r="F254" s="313">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c r="R254" s="53"/>
      <c r="S254" s="53"/>
      <c r="T254" s="53"/>
    </row>
    <row r="255" spans="1:20" ht="24" hidden="1" x14ac:dyDescent="0.25">
      <c r="A255" s="656">
        <v>6320</v>
      </c>
      <c r="B255" s="116" t="s">
        <v>271</v>
      </c>
      <c r="C255" s="322">
        <f t="shared" si="26"/>
        <v>0</v>
      </c>
      <c r="D255" s="297">
        <f>SUM(D256:D258)</f>
        <v>0</v>
      </c>
      <c r="E255" s="301">
        <f>SUM(E256:E258)</f>
        <v>0</v>
      </c>
      <c r="F255" s="263">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c r="R255" s="53"/>
      <c r="S255" s="53"/>
      <c r="T255" s="53"/>
    </row>
    <row r="256" spans="1:20" hidden="1" x14ac:dyDescent="0.25">
      <c r="A256" s="76">
        <v>6322</v>
      </c>
      <c r="B256" s="127" t="s">
        <v>272</v>
      </c>
      <c r="C256" s="281">
        <f t="shared" si="26"/>
        <v>0</v>
      </c>
      <c r="D256" s="134"/>
      <c r="E256" s="285"/>
      <c r="F256" s="286">
        <f t="shared" si="37"/>
        <v>0</v>
      </c>
      <c r="G256" s="134"/>
      <c r="H256" s="135"/>
      <c r="I256" s="136">
        <f t="shared" si="38"/>
        <v>0</v>
      </c>
      <c r="J256" s="134"/>
      <c r="K256" s="135"/>
      <c r="L256" s="136">
        <f t="shared" si="39"/>
        <v>0</v>
      </c>
      <c r="M256" s="284"/>
      <c r="N256" s="285"/>
      <c r="O256" s="136">
        <f t="shared" si="40"/>
        <v>0</v>
      </c>
      <c r="P256" s="85"/>
      <c r="R256" s="53"/>
      <c r="S256" s="53"/>
      <c r="T256" s="53"/>
    </row>
    <row r="257" spans="1:20" ht="24" hidden="1" x14ac:dyDescent="0.25">
      <c r="A257" s="76">
        <v>6323</v>
      </c>
      <c r="B257" s="127" t="s">
        <v>273</v>
      </c>
      <c r="C257" s="281">
        <f t="shared" si="26"/>
        <v>0</v>
      </c>
      <c r="D257" s="134"/>
      <c r="E257" s="285"/>
      <c r="F257" s="286">
        <f t="shared" si="37"/>
        <v>0</v>
      </c>
      <c r="G257" s="134"/>
      <c r="H257" s="135"/>
      <c r="I257" s="136">
        <f t="shared" si="38"/>
        <v>0</v>
      </c>
      <c r="J257" s="134"/>
      <c r="K257" s="135"/>
      <c r="L257" s="136">
        <f t="shared" si="39"/>
        <v>0</v>
      </c>
      <c r="M257" s="284"/>
      <c r="N257" s="285"/>
      <c r="O257" s="136">
        <f t="shared" si="40"/>
        <v>0</v>
      </c>
      <c r="P257" s="85"/>
      <c r="R257" s="53"/>
      <c r="S257" s="53"/>
      <c r="T257" s="53"/>
    </row>
    <row r="258" spans="1:20" ht="24" hidden="1" x14ac:dyDescent="0.25">
      <c r="A258" s="66">
        <v>6324</v>
      </c>
      <c r="B258" s="116" t="s">
        <v>274</v>
      </c>
      <c r="C258" s="281">
        <f t="shared" si="26"/>
        <v>0</v>
      </c>
      <c r="D258" s="123"/>
      <c r="E258" s="262"/>
      <c r="F258" s="263">
        <f t="shared" si="37"/>
        <v>0</v>
      </c>
      <c r="G258" s="123"/>
      <c r="H258" s="124"/>
      <c r="I258" s="125">
        <f t="shared" si="38"/>
        <v>0</v>
      </c>
      <c r="J258" s="123"/>
      <c r="K258" s="124"/>
      <c r="L258" s="125">
        <f t="shared" si="39"/>
        <v>0</v>
      </c>
      <c r="M258" s="264"/>
      <c r="N258" s="262"/>
      <c r="O258" s="125">
        <f t="shared" si="40"/>
        <v>0</v>
      </c>
      <c r="P258" s="74"/>
      <c r="R258" s="53"/>
      <c r="S258" s="53"/>
      <c r="T258" s="53"/>
    </row>
    <row r="259" spans="1:20" ht="24" hidden="1" x14ac:dyDescent="0.25">
      <c r="A259" s="344">
        <v>6330</v>
      </c>
      <c r="B259" s="345" t="s">
        <v>275</v>
      </c>
      <c r="C259" s="281">
        <f t="shared" ref="C259:C286" si="50">F259+I259+L259+O259</f>
        <v>0</v>
      </c>
      <c r="D259" s="328"/>
      <c r="E259" s="329"/>
      <c r="F259" s="330">
        <f t="shared" si="37"/>
        <v>0</v>
      </c>
      <c r="G259" s="328"/>
      <c r="H259" s="331"/>
      <c r="I259" s="324">
        <f t="shared" si="38"/>
        <v>0</v>
      </c>
      <c r="J259" s="328"/>
      <c r="K259" s="331"/>
      <c r="L259" s="324">
        <f t="shared" si="39"/>
        <v>0</v>
      </c>
      <c r="M259" s="332"/>
      <c r="N259" s="329"/>
      <c r="O259" s="324">
        <f t="shared" si="40"/>
        <v>0</v>
      </c>
      <c r="P259" s="325"/>
      <c r="R259" s="53"/>
      <c r="S259" s="53"/>
      <c r="T259" s="53"/>
    </row>
    <row r="260" spans="1:20" hidden="1" x14ac:dyDescent="0.25">
      <c r="A260" s="276">
        <v>6360</v>
      </c>
      <c r="B260" s="127" t="s">
        <v>276</v>
      </c>
      <c r="C260" s="281">
        <f t="shared" si="50"/>
        <v>0</v>
      </c>
      <c r="D260" s="134"/>
      <c r="E260" s="285"/>
      <c r="F260" s="286">
        <f t="shared" si="37"/>
        <v>0</v>
      </c>
      <c r="G260" s="134"/>
      <c r="H260" s="135"/>
      <c r="I260" s="136">
        <f t="shared" si="38"/>
        <v>0</v>
      </c>
      <c r="J260" s="134"/>
      <c r="K260" s="135"/>
      <c r="L260" s="136">
        <f t="shared" si="39"/>
        <v>0</v>
      </c>
      <c r="M260" s="284"/>
      <c r="N260" s="285"/>
      <c r="O260" s="136">
        <f t="shared" si="40"/>
        <v>0</v>
      </c>
      <c r="P260" s="85"/>
      <c r="R260" s="53"/>
      <c r="S260" s="53"/>
      <c r="T260" s="53"/>
    </row>
    <row r="261" spans="1:20" ht="24" hidden="1" x14ac:dyDescent="0.25">
      <c r="A261" s="99">
        <v>6400</v>
      </c>
      <c r="B261" s="247" t="s">
        <v>277</v>
      </c>
      <c r="C261" s="100">
        <f t="shared" si="50"/>
        <v>0</v>
      </c>
      <c r="D261" s="112">
        <f>SUM(D262,D266)</f>
        <v>0</v>
      </c>
      <c r="E261" s="293">
        <f>SUM(E262,E266)</f>
        <v>0</v>
      </c>
      <c r="F261" s="313">
        <f t="shared" si="37"/>
        <v>0</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c r="R261" s="53"/>
      <c r="S261" s="53"/>
      <c r="T261" s="53"/>
    </row>
    <row r="262" spans="1:20" ht="24" hidden="1" x14ac:dyDescent="0.25">
      <c r="A262" s="656">
        <v>6410</v>
      </c>
      <c r="B262" s="116" t="s">
        <v>278</v>
      </c>
      <c r="C262" s="300">
        <f t="shared" si="50"/>
        <v>0</v>
      </c>
      <c r="D262" s="297">
        <f>SUM(D263:D265)</f>
        <v>0</v>
      </c>
      <c r="E262" s="301">
        <f>SUM(E263:E265)</f>
        <v>0</v>
      </c>
      <c r="F262" s="263">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c r="R262" s="53"/>
      <c r="S262" s="53"/>
      <c r="T262" s="53"/>
    </row>
    <row r="263" spans="1:20" hidden="1" x14ac:dyDescent="0.25">
      <c r="A263" s="76">
        <v>6411</v>
      </c>
      <c r="B263" s="346" t="s">
        <v>279</v>
      </c>
      <c r="C263" s="278">
        <f t="shared" si="50"/>
        <v>0</v>
      </c>
      <c r="D263" s="134"/>
      <c r="E263" s="285"/>
      <c r="F263" s="286">
        <f t="shared" si="37"/>
        <v>0</v>
      </c>
      <c r="G263" s="134"/>
      <c r="H263" s="135"/>
      <c r="I263" s="136">
        <f t="shared" si="38"/>
        <v>0</v>
      </c>
      <c r="J263" s="134"/>
      <c r="K263" s="135"/>
      <c r="L263" s="136">
        <f t="shared" si="39"/>
        <v>0</v>
      </c>
      <c r="M263" s="284"/>
      <c r="N263" s="285"/>
      <c r="O263" s="136">
        <f t="shared" si="40"/>
        <v>0</v>
      </c>
      <c r="P263" s="85"/>
      <c r="R263" s="53"/>
      <c r="S263" s="53"/>
      <c r="T263" s="53"/>
    </row>
    <row r="264" spans="1:20" ht="36" hidden="1" x14ac:dyDescent="0.25">
      <c r="A264" s="76">
        <v>6412</v>
      </c>
      <c r="B264" s="127" t="s">
        <v>280</v>
      </c>
      <c r="C264" s="278">
        <f t="shared" si="50"/>
        <v>0</v>
      </c>
      <c r="D264" s="134"/>
      <c r="E264" s="285"/>
      <c r="F264" s="286">
        <f t="shared" si="37"/>
        <v>0</v>
      </c>
      <c r="G264" s="134"/>
      <c r="H264" s="135"/>
      <c r="I264" s="136">
        <f t="shared" si="38"/>
        <v>0</v>
      </c>
      <c r="J264" s="134"/>
      <c r="K264" s="135"/>
      <c r="L264" s="136">
        <f t="shared" si="39"/>
        <v>0</v>
      </c>
      <c r="M264" s="284"/>
      <c r="N264" s="285"/>
      <c r="O264" s="136">
        <f t="shared" si="40"/>
        <v>0</v>
      </c>
      <c r="P264" s="85"/>
      <c r="R264" s="53"/>
      <c r="S264" s="53"/>
      <c r="T264" s="53"/>
    </row>
    <row r="265" spans="1:20" ht="36" hidden="1" x14ac:dyDescent="0.25">
      <c r="A265" s="76">
        <v>6419</v>
      </c>
      <c r="B265" s="127" t="s">
        <v>281</v>
      </c>
      <c r="C265" s="278">
        <f t="shared" si="50"/>
        <v>0</v>
      </c>
      <c r="D265" s="134"/>
      <c r="E265" s="285"/>
      <c r="F265" s="286">
        <f t="shared" si="37"/>
        <v>0</v>
      </c>
      <c r="G265" s="134"/>
      <c r="H265" s="135"/>
      <c r="I265" s="136">
        <f t="shared" si="38"/>
        <v>0</v>
      </c>
      <c r="J265" s="134"/>
      <c r="K265" s="135"/>
      <c r="L265" s="136">
        <f t="shared" si="39"/>
        <v>0</v>
      </c>
      <c r="M265" s="284"/>
      <c r="N265" s="285"/>
      <c r="O265" s="136">
        <f t="shared" si="40"/>
        <v>0</v>
      </c>
      <c r="P265" s="85"/>
      <c r="R265" s="53"/>
      <c r="S265" s="53"/>
      <c r="T265" s="53"/>
    </row>
    <row r="266" spans="1:20" ht="36" hidden="1" x14ac:dyDescent="0.25">
      <c r="A266" s="276">
        <v>6420</v>
      </c>
      <c r="B266" s="127" t="s">
        <v>282</v>
      </c>
      <c r="C266" s="278">
        <f t="shared" si="50"/>
        <v>0</v>
      </c>
      <c r="D266" s="277">
        <f>SUM(D267:D270)</f>
        <v>0</v>
      </c>
      <c r="E266" s="282">
        <f>SUM(E267:E270)</f>
        <v>0</v>
      </c>
      <c r="F266" s="286">
        <f t="shared" si="37"/>
        <v>0</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c r="R266" s="53"/>
      <c r="S266" s="53"/>
      <c r="T266" s="53"/>
    </row>
    <row r="267" spans="1:20" hidden="1" x14ac:dyDescent="0.25">
      <c r="A267" s="76">
        <v>6421</v>
      </c>
      <c r="B267" s="127" t="s">
        <v>283</v>
      </c>
      <c r="C267" s="278">
        <f t="shared" si="50"/>
        <v>0</v>
      </c>
      <c r="D267" s="134"/>
      <c r="E267" s="285"/>
      <c r="F267" s="286">
        <f t="shared" si="37"/>
        <v>0</v>
      </c>
      <c r="G267" s="134"/>
      <c r="H267" s="135"/>
      <c r="I267" s="136">
        <f t="shared" si="38"/>
        <v>0</v>
      </c>
      <c r="J267" s="134"/>
      <c r="K267" s="135"/>
      <c r="L267" s="136">
        <f t="shared" si="39"/>
        <v>0</v>
      </c>
      <c r="M267" s="284"/>
      <c r="N267" s="285"/>
      <c r="O267" s="136">
        <f t="shared" si="40"/>
        <v>0</v>
      </c>
      <c r="P267" s="85"/>
      <c r="R267" s="53"/>
      <c r="S267" s="53"/>
      <c r="T267" s="53"/>
    </row>
    <row r="268" spans="1:20" hidden="1" x14ac:dyDescent="0.25">
      <c r="A268" s="76">
        <v>6422</v>
      </c>
      <c r="B268" s="127" t="s">
        <v>284</v>
      </c>
      <c r="C268" s="278">
        <f t="shared" si="50"/>
        <v>0</v>
      </c>
      <c r="D268" s="134"/>
      <c r="E268" s="285"/>
      <c r="F268" s="286">
        <f t="shared" si="37"/>
        <v>0</v>
      </c>
      <c r="G268" s="134"/>
      <c r="H268" s="135"/>
      <c r="I268" s="136">
        <f t="shared" si="38"/>
        <v>0</v>
      </c>
      <c r="J268" s="134"/>
      <c r="K268" s="135"/>
      <c r="L268" s="136">
        <f t="shared" si="39"/>
        <v>0</v>
      </c>
      <c r="M268" s="284"/>
      <c r="N268" s="285"/>
      <c r="O268" s="136">
        <f t="shared" si="40"/>
        <v>0</v>
      </c>
      <c r="P268" s="85"/>
      <c r="R268" s="53"/>
      <c r="S268" s="53"/>
      <c r="T268" s="53"/>
    </row>
    <row r="269" spans="1:20" hidden="1" x14ac:dyDescent="0.25">
      <c r="A269" s="76">
        <v>6423</v>
      </c>
      <c r="B269" s="127" t="s">
        <v>285</v>
      </c>
      <c r="C269" s="278">
        <f t="shared" si="50"/>
        <v>0</v>
      </c>
      <c r="D269" s="134"/>
      <c r="E269" s="285"/>
      <c r="F269" s="286">
        <f t="shared" si="37"/>
        <v>0</v>
      </c>
      <c r="G269" s="134"/>
      <c r="H269" s="135"/>
      <c r="I269" s="136">
        <f t="shared" si="38"/>
        <v>0</v>
      </c>
      <c r="J269" s="134"/>
      <c r="K269" s="135"/>
      <c r="L269" s="136">
        <f t="shared" si="39"/>
        <v>0</v>
      </c>
      <c r="M269" s="284"/>
      <c r="N269" s="285"/>
      <c r="O269" s="136">
        <f t="shared" si="40"/>
        <v>0</v>
      </c>
      <c r="P269" s="85"/>
      <c r="R269" s="53"/>
      <c r="S269" s="53"/>
      <c r="T269" s="53"/>
    </row>
    <row r="270" spans="1:20" ht="36" hidden="1" x14ac:dyDescent="0.25">
      <c r="A270" s="76">
        <v>6424</v>
      </c>
      <c r="B270" s="127" t="s">
        <v>286</v>
      </c>
      <c r="C270" s="278">
        <f t="shared" si="50"/>
        <v>0</v>
      </c>
      <c r="D270" s="134"/>
      <c r="E270" s="285"/>
      <c r="F270" s="286">
        <f t="shared" si="37"/>
        <v>0</v>
      </c>
      <c r="G270" s="134"/>
      <c r="H270" s="135"/>
      <c r="I270" s="136">
        <f t="shared" si="38"/>
        <v>0</v>
      </c>
      <c r="J270" s="134"/>
      <c r="K270" s="135"/>
      <c r="L270" s="136">
        <f t="shared" si="39"/>
        <v>0</v>
      </c>
      <c r="M270" s="284"/>
      <c r="N270" s="285"/>
      <c r="O270" s="136">
        <f t="shared" si="40"/>
        <v>0</v>
      </c>
      <c r="P270" s="85"/>
      <c r="R270" s="53"/>
      <c r="S270" s="53"/>
      <c r="T270" s="53"/>
    </row>
    <row r="271" spans="1:20" ht="36" hidden="1" x14ac:dyDescent="0.25">
      <c r="A271" s="347">
        <v>7000</v>
      </c>
      <c r="B271" s="347" t="s">
        <v>287</v>
      </c>
      <c r="C271" s="348">
        <f t="shared" si="50"/>
        <v>0</v>
      </c>
      <c r="D271" s="349">
        <f>SUM(D272,D282)</f>
        <v>0</v>
      </c>
      <c r="E271" s="407">
        <f>SUM(E272,E282)</f>
        <v>0</v>
      </c>
      <c r="F271" s="408">
        <f t="shared" si="37"/>
        <v>0</v>
      </c>
      <c r="G271" s="349">
        <f>SUM(G272,G282)</f>
        <v>0</v>
      </c>
      <c r="H271" s="352">
        <f>SUM(H272,H282)</f>
        <v>0</v>
      </c>
      <c r="I271" s="353">
        <f t="shared" si="38"/>
        <v>0</v>
      </c>
      <c r="J271" s="349">
        <f>SUM(J272,J282)</f>
        <v>0</v>
      </c>
      <c r="K271" s="352">
        <f>SUM(K272,K282)</f>
        <v>0</v>
      </c>
      <c r="L271" s="353">
        <f t="shared" si="39"/>
        <v>0</v>
      </c>
      <c r="M271" s="354">
        <f>SUM(M272,M282)</f>
        <v>0</v>
      </c>
      <c r="N271" s="355">
        <f>SUM(N272,N282)</f>
        <v>0</v>
      </c>
      <c r="O271" s="356">
        <f t="shared" si="40"/>
        <v>0</v>
      </c>
      <c r="P271" s="357"/>
      <c r="R271" s="53"/>
      <c r="S271" s="53"/>
      <c r="T271" s="53"/>
    </row>
    <row r="272" spans="1:20" ht="24" hidden="1" x14ac:dyDescent="0.25">
      <c r="A272" s="99">
        <v>7200</v>
      </c>
      <c r="B272" s="247" t="s">
        <v>288</v>
      </c>
      <c r="C272" s="100">
        <f t="shared" si="50"/>
        <v>0</v>
      </c>
      <c r="D272" s="112">
        <f>SUM(D273,D274,D277,D278,D281)</f>
        <v>0</v>
      </c>
      <c r="E272" s="293">
        <f>SUM(E273,E274,E277,E278,E281)</f>
        <v>0</v>
      </c>
      <c r="F272" s="313">
        <f t="shared" si="37"/>
        <v>0</v>
      </c>
      <c r="G272" s="112">
        <f>SUM(G273,G274,G277,G278,G281)</f>
        <v>0</v>
      </c>
      <c r="H272" s="113">
        <f>SUM(H273,H274,H277,H278,H281)</f>
        <v>0</v>
      </c>
      <c r="I272" s="114">
        <f t="shared" si="38"/>
        <v>0</v>
      </c>
      <c r="J272" s="112">
        <f>SUM(J273,J274,J277,J278,J281)</f>
        <v>0</v>
      </c>
      <c r="K272" s="113">
        <f>SUM(K273,K274,K277,K278,K281)</f>
        <v>0</v>
      </c>
      <c r="L272" s="114">
        <f t="shared" si="39"/>
        <v>0</v>
      </c>
      <c r="M272" s="250">
        <f>SUM(M273,M274,M277,M278,M281)</f>
        <v>0</v>
      </c>
      <c r="N272" s="251">
        <f>SUM(N273,N274,N277,N278,N281)</f>
        <v>0</v>
      </c>
      <c r="O272" s="252">
        <f t="shared" si="40"/>
        <v>0</v>
      </c>
      <c r="P272" s="253"/>
      <c r="R272" s="53"/>
      <c r="S272" s="53"/>
      <c r="T272" s="53"/>
    </row>
    <row r="273" spans="1:20" ht="24" hidden="1" x14ac:dyDescent="0.25">
      <c r="A273" s="656">
        <v>7210</v>
      </c>
      <c r="B273" s="116" t="s">
        <v>289</v>
      </c>
      <c r="C273" s="117">
        <f t="shared" si="50"/>
        <v>0</v>
      </c>
      <c r="D273" s="123"/>
      <c r="E273" s="262"/>
      <c r="F273" s="263">
        <f t="shared" si="37"/>
        <v>0</v>
      </c>
      <c r="G273" s="123"/>
      <c r="H273" s="124"/>
      <c r="I273" s="125">
        <f t="shared" si="38"/>
        <v>0</v>
      </c>
      <c r="J273" s="123"/>
      <c r="K273" s="124"/>
      <c r="L273" s="125">
        <f t="shared" si="39"/>
        <v>0</v>
      </c>
      <c r="M273" s="264"/>
      <c r="N273" s="262"/>
      <c r="O273" s="125">
        <f t="shared" si="40"/>
        <v>0</v>
      </c>
      <c r="P273" s="74"/>
      <c r="R273" s="53"/>
      <c r="S273" s="53"/>
      <c r="T273" s="53"/>
    </row>
    <row r="274" spans="1:20" s="358" customFormat="1" ht="36" hidden="1" x14ac:dyDescent="0.25">
      <c r="A274" s="276">
        <v>7220</v>
      </c>
      <c r="B274" s="127" t="s">
        <v>290</v>
      </c>
      <c r="C274" s="128">
        <f t="shared" si="50"/>
        <v>0</v>
      </c>
      <c r="D274" s="277">
        <f>SUM(D275:D276)</f>
        <v>0</v>
      </c>
      <c r="E274" s="282">
        <f>SUM(E275:E276)</f>
        <v>0</v>
      </c>
      <c r="F274" s="28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c r="R274" s="53"/>
      <c r="S274" s="53"/>
      <c r="T274" s="53"/>
    </row>
    <row r="275" spans="1:20" s="358" customFormat="1" ht="36" hidden="1" x14ac:dyDescent="0.25">
      <c r="A275" s="76">
        <v>7221</v>
      </c>
      <c r="B275" s="127" t="s">
        <v>291</v>
      </c>
      <c r="C275" s="128">
        <f t="shared" si="50"/>
        <v>0</v>
      </c>
      <c r="D275" s="134"/>
      <c r="E275" s="285"/>
      <c r="F275" s="286">
        <f t="shared" si="37"/>
        <v>0</v>
      </c>
      <c r="G275" s="134"/>
      <c r="H275" s="135"/>
      <c r="I275" s="136">
        <f t="shared" si="38"/>
        <v>0</v>
      </c>
      <c r="J275" s="134"/>
      <c r="K275" s="135"/>
      <c r="L275" s="136">
        <f t="shared" si="39"/>
        <v>0</v>
      </c>
      <c r="M275" s="284"/>
      <c r="N275" s="285"/>
      <c r="O275" s="136">
        <f t="shared" si="40"/>
        <v>0</v>
      </c>
      <c r="P275" s="85"/>
      <c r="R275" s="53"/>
      <c r="S275" s="53"/>
      <c r="T275" s="53"/>
    </row>
    <row r="276" spans="1:20" s="358" customFormat="1" ht="36" hidden="1" x14ac:dyDescent="0.25">
      <c r="A276" s="76">
        <v>7222</v>
      </c>
      <c r="B276" s="127" t="s">
        <v>292</v>
      </c>
      <c r="C276" s="128">
        <f t="shared" si="50"/>
        <v>0</v>
      </c>
      <c r="D276" s="134"/>
      <c r="E276" s="285"/>
      <c r="F276" s="286">
        <f t="shared" si="37"/>
        <v>0</v>
      </c>
      <c r="G276" s="134"/>
      <c r="H276" s="135"/>
      <c r="I276" s="136">
        <f t="shared" si="38"/>
        <v>0</v>
      </c>
      <c r="J276" s="134"/>
      <c r="K276" s="135"/>
      <c r="L276" s="136">
        <f t="shared" si="39"/>
        <v>0</v>
      </c>
      <c r="M276" s="284"/>
      <c r="N276" s="285"/>
      <c r="O276" s="136">
        <f t="shared" si="40"/>
        <v>0</v>
      </c>
      <c r="P276" s="85"/>
      <c r="R276" s="53"/>
      <c r="S276" s="53"/>
      <c r="T276" s="53"/>
    </row>
    <row r="277" spans="1:20" s="358" customFormat="1" ht="24" hidden="1" x14ac:dyDescent="0.25">
      <c r="A277" s="276">
        <v>7230</v>
      </c>
      <c r="B277" s="127" t="s">
        <v>293</v>
      </c>
      <c r="C277" s="128">
        <f t="shared" si="50"/>
        <v>0</v>
      </c>
      <c r="D277" s="134"/>
      <c r="E277" s="285"/>
      <c r="F277" s="286">
        <f t="shared" si="37"/>
        <v>0</v>
      </c>
      <c r="G277" s="134"/>
      <c r="H277" s="135"/>
      <c r="I277" s="136">
        <f t="shared" si="38"/>
        <v>0</v>
      </c>
      <c r="J277" s="134"/>
      <c r="K277" s="135"/>
      <c r="L277" s="136">
        <f t="shared" si="39"/>
        <v>0</v>
      </c>
      <c r="M277" s="284"/>
      <c r="N277" s="285"/>
      <c r="O277" s="136">
        <f>M277+N277</f>
        <v>0</v>
      </c>
      <c r="P277" s="85"/>
      <c r="R277" s="53"/>
      <c r="S277" s="53"/>
      <c r="T277" s="53"/>
    </row>
    <row r="278" spans="1:20" ht="24" hidden="1" x14ac:dyDescent="0.25">
      <c r="A278" s="276">
        <v>7240</v>
      </c>
      <c r="B278" s="127" t="s">
        <v>294</v>
      </c>
      <c r="C278" s="128">
        <f t="shared" si="50"/>
        <v>0</v>
      </c>
      <c r="D278" s="277">
        <f>SUM(D279:D280)</f>
        <v>0</v>
      </c>
      <c r="E278" s="282">
        <f>SUM(E279:E280)</f>
        <v>0</v>
      </c>
      <c r="F278" s="28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c r="R278" s="53"/>
      <c r="S278" s="53"/>
      <c r="T278" s="53"/>
    </row>
    <row r="279" spans="1:20" ht="48" hidden="1" x14ac:dyDescent="0.25">
      <c r="A279" s="76">
        <v>7245</v>
      </c>
      <c r="B279" s="127" t="s">
        <v>295</v>
      </c>
      <c r="C279" s="128">
        <f t="shared" si="50"/>
        <v>0</v>
      </c>
      <c r="D279" s="134"/>
      <c r="E279" s="285"/>
      <c r="F279" s="286">
        <f t="shared" si="37"/>
        <v>0</v>
      </c>
      <c r="G279" s="134"/>
      <c r="H279" s="135"/>
      <c r="I279" s="136">
        <f t="shared" si="38"/>
        <v>0</v>
      </c>
      <c r="J279" s="134"/>
      <c r="K279" s="135"/>
      <c r="L279" s="136">
        <f t="shared" si="39"/>
        <v>0</v>
      </c>
      <c r="M279" s="284"/>
      <c r="N279" s="285"/>
      <c r="O279" s="136">
        <f t="shared" ref="O279:O282" si="57">M279+N279</f>
        <v>0</v>
      </c>
      <c r="P279" s="85"/>
      <c r="R279" s="53"/>
      <c r="S279" s="53"/>
      <c r="T279" s="53"/>
    </row>
    <row r="280" spans="1:20" ht="84" hidden="1" x14ac:dyDescent="0.25">
      <c r="A280" s="76">
        <v>7246</v>
      </c>
      <c r="B280" s="127" t="s">
        <v>296</v>
      </c>
      <c r="C280" s="128">
        <f t="shared" si="50"/>
        <v>0</v>
      </c>
      <c r="D280" s="134"/>
      <c r="E280" s="285"/>
      <c r="F280" s="286">
        <f t="shared" si="37"/>
        <v>0</v>
      </c>
      <c r="G280" s="134"/>
      <c r="H280" s="135"/>
      <c r="I280" s="136">
        <f t="shared" si="38"/>
        <v>0</v>
      </c>
      <c r="J280" s="134"/>
      <c r="K280" s="135"/>
      <c r="L280" s="136">
        <f t="shared" si="39"/>
        <v>0</v>
      </c>
      <c r="M280" s="284"/>
      <c r="N280" s="285"/>
      <c r="O280" s="136">
        <f t="shared" si="57"/>
        <v>0</v>
      </c>
      <c r="P280" s="85"/>
      <c r="R280" s="53"/>
      <c r="S280" s="53"/>
      <c r="T280" s="53"/>
    </row>
    <row r="281" spans="1:20" ht="24" hidden="1" x14ac:dyDescent="0.25">
      <c r="A281" s="276">
        <v>7260</v>
      </c>
      <c r="B281" s="127" t="s">
        <v>297</v>
      </c>
      <c r="C281" s="128">
        <f t="shared" si="50"/>
        <v>0</v>
      </c>
      <c r="D281" s="123"/>
      <c r="E281" s="262"/>
      <c r="F281" s="263">
        <f t="shared" si="37"/>
        <v>0</v>
      </c>
      <c r="G281" s="123"/>
      <c r="H281" s="124"/>
      <c r="I281" s="125">
        <f t="shared" si="38"/>
        <v>0</v>
      </c>
      <c r="J281" s="123"/>
      <c r="K281" s="124"/>
      <c r="L281" s="125">
        <f t="shared" si="39"/>
        <v>0</v>
      </c>
      <c r="M281" s="264"/>
      <c r="N281" s="262"/>
      <c r="O281" s="125">
        <f t="shared" si="57"/>
        <v>0</v>
      </c>
      <c r="P281" s="74"/>
      <c r="R281" s="53"/>
      <c r="S281" s="53"/>
      <c r="T281" s="53"/>
    </row>
    <row r="282" spans="1:20" hidden="1" x14ac:dyDescent="0.25">
      <c r="A282" s="99">
        <v>7700</v>
      </c>
      <c r="B282" s="247" t="s">
        <v>298</v>
      </c>
      <c r="C282" s="359">
        <f t="shared" si="50"/>
        <v>0</v>
      </c>
      <c r="D282" s="360">
        <f>D283</f>
        <v>0</v>
      </c>
      <c r="E282" s="304">
        <f>SUM(E283)</f>
        <v>0</v>
      </c>
      <c r="F282" s="316">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c r="R282" s="53"/>
      <c r="S282" s="53"/>
      <c r="T282" s="53"/>
    </row>
    <row r="283" spans="1:20" hidden="1" x14ac:dyDescent="0.25">
      <c r="A283" s="141">
        <v>7720</v>
      </c>
      <c r="B283" s="142" t="s">
        <v>299</v>
      </c>
      <c r="C283" s="362">
        <f t="shared" si="50"/>
        <v>0</v>
      </c>
      <c r="D283" s="149"/>
      <c r="E283" s="363"/>
      <c r="F283" s="364">
        <f t="shared" si="37"/>
        <v>0</v>
      </c>
      <c r="G283" s="149"/>
      <c r="H283" s="150"/>
      <c r="I283" s="151">
        <f t="shared" si="38"/>
        <v>0</v>
      </c>
      <c r="J283" s="149"/>
      <c r="K283" s="150"/>
      <c r="L283" s="151">
        <f t="shared" si="39"/>
        <v>0</v>
      </c>
      <c r="M283" s="365"/>
      <c r="N283" s="363"/>
      <c r="O283" s="151">
        <f>M283+N283</f>
        <v>0</v>
      </c>
      <c r="P283" s="153"/>
      <c r="R283" s="53"/>
      <c r="S283" s="53"/>
      <c r="T283" s="53"/>
    </row>
    <row r="284" spans="1:20" hidden="1" x14ac:dyDescent="0.25">
      <c r="A284" s="366"/>
      <c r="B284" s="179" t="s">
        <v>300</v>
      </c>
      <c r="C284" s="117">
        <f t="shared" si="50"/>
        <v>0</v>
      </c>
      <c r="D284" s="255">
        <f>SUM(D285:D286)</f>
        <v>0</v>
      </c>
      <c r="E284" s="261">
        <f>SUM(E285:E286)</f>
        <v>0</v>
      </c>
      <c r="F284" s="310">
        <f t="shared" si="37"/>
        <v>0</v>
      </c>
      <c r="G284" s="255">
        <f>SUM(G285:G286)</f>
        <v>0</v>
      </c>
      <c r="H284" s="258">
        <f>SUM(H285:H286)</f>
        <v>0</v>
      </c>
      <c r="I284" s="259">
        <f t="shared" si="38"/>
        <v>0</v>
      </c>
      <c r="J284" s="255">
        <f>SUM(J285:J286)</f>
        <v>0</v>
      </c>
      <c r="K284" s="258">
        <f>SUM(K285:K286)</f>
        <v>0</v>
      </c>
      <c r="L284" s="259">
        <f t="shared" si="39"/>
        <v>0</v>
      </c>
      <c r="M284" s="260">
        <f>SUM(M285:M286)</f>
        <v>0</v>
      </c>
      <c r="N284" s="261">
        <f>SUM(N285:N286)</f>
        <v>0</v>
      </c>
      <c r="O284" s="259">
        <f t="shared" ref="O284:O299" si="58">M284+N284</f>
        <v>0</v>
      </c>
      <c r="P284" s="189"/>
      <c r="R284" s="53"/>
      <c r="S284" s="53"/>
      <c r="T284" s="53"/>
    </row>
    <row r="285" spans="1:20" hidden="1" x14ac:dyDescent="0.25">
      <c r="A285" s="346" t="s">
        <v>301</v>
      </c>
      <c r="B285" s="76" t="s">
        <v>302</v>
      </c>
      <c r="C285" s="279">
        <f t="shared" si="50"/>
        <v>0</v>
      </c>
      <c r="D285" s="134"/>
      <c r="E285" s="285"/>
      <c r="F285" s="286">
        <f t="shared" si="37"/>
        <v>0</v>
      </c>
      <c r="G285" s="134"/>
      <c r="H285" s="135"/>
      <c r="I285" s="136">
        <f t="shared" si="38"/>
        <v>0</v>
      </c>
      <c r="J285" s="134"/>
      <c r="K285" s="135"/>
      <c r="L285" s="136">
        <f t="shared" si="39"/>
        <v>0</v>
      </c>
      <c r="M285" s="284"/>
      <c r="N285" s="285"/>
      <c r="O285" s="136">
        <f t="shared" si="58"/>
        <v>0</v>
      </c>
      <c r="P285" s="85"/>
      <c r="R285" s="53"/>
      <c r="S285" s="53"/>
      <c r="T285" s="53"/>
    </row>
    <row r="286" spans="1:20" hidden="1" x14ac:dyDescent="0.25">
      <c r="A286" s="346" t="s">
        <v>303</v>
      </c>
      <c r="B286" s="367" t="s">
        <v>304</v>
      </c>
      <c r="C286" s="117">
        <f t="shared" si="50"/>
        <v>0</v>
      </c>
      <c r="D286" s="123"/>
      <c r="E286" s="262"/>
      <c r="F286" s="263">
        <f t="shared" si="37"/>
        <v>0</v>
      </c>
      <c r="G286" s="123"/>
      <c r="H286" s="124"/>
      <c r="I286" s="125">
        <f t="shared" si="38"/>
        <v>0</v>
      </c>
      <c r="J286" s="123"/>
      <c r="K286" s="124"/>
      <c r="L286" s="125">
        <f t="shared" si="39"/>
        <v>0</v>
      </c>
      <c r="M286" s="264"/>
      <c r="N286" s="262"/>
      <c r="O286" s="125">
        <f t="shared" si="58"/>
        <v>0</v>
      </c>
      <c r="P286" s="74"/>
      <c r="R286" s="53"/>
      <c r="S286" s="53"/>
      <c r="T286" s="53"/>
    </row>
    <row r="287" spans="1:20" x14ac:dyDescent="0.25">
      <c r="A287" s="368"/>
      <c r="B287" s="369" t="s">
        <v>305</v>
      </c>
      <c r="C287" s="370">
        <f>SUM(C284,C271,C233,C198,C190,C176,C78,C56)</f>
        <v>660591</v>
      </c>
      <c r="D287" s="371">
        <f>SUM(D284,D271,D233,D198,D190,D176,D78,D56)</f>
        <v>426714</v>
      </c>
      <c r="E287" s="372">
        <f>SUM(E284,E271,E233,E198,E190,E176,E78,E56)</f>
        <v>0</v>
      </c>
      <c r="F287" s="373">
        <f t="shared" si="37"/>
        <v>426714</v>
      </c>
      <c r="G287" s="371">
        <f>SUM(G284,G271,G233,G198,G190,G176,G78,G56)</f>
        <v>179035</v>
      </c>
      <c r="H287" s="374">
        <f>SUM(H284,H271,H233,H198,H190,H176,H78,H56)</f>
        <v>0</v>
      </c>
      <c r="I287" s="375">
        <f t="shared" si="38"/>
        <v>179035</v>
      </c>
      <c r="J287" s="371">
        <f>SUM(J284,J271,J233,J198,J190,J176,J78,J56)</f>
        <v>54842</v>
      </c>
      <c r="K287" s="374">
        <f>SUM(K284,K271,K233,K198,K190,K176,K78,K56)</f>
        <v>0</v>
      </c>
      <c r="L287" s="375">
        <f t="shared" si="39"/>
        <v>54842</v>
      </c>
      <c r="M287" s="250">
        <f>SUM(M284,M271,M233,M198,M190,M176,M78,M56)</f>
        <v>0</v>
      </c>
      <c r="N287" s="251">
        <f>SUM(N284,N271,N233,N198,N190,N176,N78,N56)</f>
        <v>0</v>
      </c>
      <c r="O287" s="252">
        <f t="shared" si="58"/>
        <v>0</v>
      </c>
      <c r="P287" s="253"/>
      <c r="R287" s="53"/>
      <c r="S287" s="53"/>
      <c r="T287" s="53"/>
    </row>
    <row r="288" spans="1:20" x14ac:dyDescent="0.25">
      <c r="A288" s="376" t="s">
        <v>306</v>
      </c>
      <c r="B288" s="377"/>
      <c r="C288" s="378">
        <f t="shared" ref="C288" si="59">F288+I288+L288+O288</f>
        <v>-7782</v>
      </c>
      <c r="D288" s="379">
        <f>SUM(D28,D29,D45)-D54</f>
        <v>0</v>
      </c>
      <c r="E288" s="380">
        <f>SUM(E28,E29,E45)-E54</f>
        <v>0</v>
      </c>
      <c r="F288" s="381">
        <f t="shared" si="37"/>
        <v>0</v>
      </c>
      <c r="G288" s="379">
        <f>SUM(G28,G29,G45)-G54</f>
        <v>0</v>
      </c>
      <c r="H288" s="382">
        <f>SUM(H28,H29,H45)-H54</f>
        <v>0</v>
      </c>
      <c r="I288" s="383">
        <f t="shared" si="38"/>
        <v>0</v>
      </c>
      <c r="J288" s="379">
        <f>(J30+J46)-J54</f>
        <v>-7782</v>
      </c>
      <c r="K288" s="382">
        <f>(K30+K46)-K54</f>
        <v>0</v>
      </c>
      <c r="L288" s="383">
        <f t="shared" si="39"/>
        <v>-7782</v>
      </c>
      <c r="M288" s="378">
        <f>M48-M54</f>
        <v>0</v>
      </c>
      <c r="N288" s="384">
        <f>N48-N54</f>
        <v>0</v>
      </c>
      <c r="O288" s="383">
        <f t="shared" si="58"/>
        <v>0</v>
      </c>
      <c r="P288" s="385"/>
      <c r="R288" s="53"/>
      <c r="S288" s="53"/>
      <c r="T288" s="53"/>
    </row>
    <row r="289" spans="1:20" s="41" customFormat="1" x14ac:dyDescent="0.25">
      <c r="A289" s="376" t="s">
        <v>307</v>
      </c>
      <c r="B289" s="377"/>
      <c r="C289" s="380">
        <f>SUM(C290,C291)-C298+C299</f>
        <v>7782</v>
      </c>
      <c r="D289" s="379">
        <f>SUM(D290,D291)-D298+D299</f>
        <v>0</v>
      </c>
      <c r="E289" s="380">
        <f>SUM(E290,E291)-E298+E299</f>
        <v>0</v>
      </c>
      <c r="F289" s="381">
        <f t="shared" si="37"/>
        <v>0</v>
      </c>
      <c r="G289" s="379">
        <f>SUM(G290,G291)-G298+G299</f>
        <v>0</v>
      </c>
      <c r="H289" s="382">
        <f>SUM(H290,H291)-H298+H299</f>
        <v>0</v>
      </c>
      <c r="I289" s="383">
        <f t="shared" si="38"/>
        <v>0</v>
      </c>
      <c r="J289" s="379">
        <f>SUM(J290,J291)-J298+J299</f>
        <v>7782</v>
      </c>
      <c r="K289" s="382">
        <f>SUM(K290,K291)-K298+K299</f>
        <v>0</v>
      </c>
      <c r="L289" s="383">
        <f t="shared" si="39"/>
        <v>7782</v>
      </c>
      <c r="M289" s="378">
        <f>SUM(M290,M291)-M298+M299</f>
        <v>0</v>
      </c>
      <c r="N289" s="384">
        <f>SUM(N290,N291)-N298+N299</f>
        <v>0</v>
      </c>
      <c r="O289" s="383">
        <f t="shared" si="58"/>
        <v>0</v>
      </c>
      <c r="P289" s="385"/>
      <c r="R289" s="53"/>
      <c r="S289" s="53"/>
      <c r="T289" s="53"/>
    </row>
    <row r="290" spans="1:20" s="41" customFormat="1" x14ac:dyDescent="0.25">
      <c r="A290" s="386" t="s">
        <v>308</v>
      </c>
      <c r="B290" s="386" t="s">
        <v>309</v>
      </c>
      <c r="C290" s="380">
        <f>C25-C284</f>
        <v>7782</v>
      </c>
      <c r="D290" s="379">
        <f>D25-D284</f>
        <v>0</v>
      </c>
      <c r="E290" s="380">
        <f>E25-E284</f>
        <v>0</v>
      </c>
      <c r="F290" s="381">
        <f t="shared" si="37"/>
        <v>0</v>
      </c>
      <c r="G290" s="379">
        <f>G25-G284</f>
        <v>0</v>
      </c>
      <c r="H290" s="382">
        <f>H25-H284</f>
        <v>0</v>
      </c>
      <c r="I290" s="383">
        <f t="shared" si="38"/>
        <v>0</v>
      </c>
      <c r="J290" s="379">
        <f>J25-J284</f>
        <v>7782</v>
      </c>
      <c r="K290" s="382">
        <f>K25-K284</f>
        <v>0</v>
      </c>
      <c r="L290" s="383">
        <f t="shared" si="39"/>
        <v>7782</v>
      </c>
      <c r="M290" s="378">
        <f>M25-M284</f>
        <v>0</v>
      </c>
      <c r="N290" s="384">
        <f>N25-N284</f>
        <v>0</v>
      </c>
      <c r="O290" s="383">
        <f t="shared" si="58"/>
        <v>0</v>
      </c>
      <c r="P290" s="385"/>
      <c r="R290" s="53"/>
      <c r="S290" s="53"/>
      <c r="T290" s="53"/>
    </row>
    <row r="291" spans="1:20" s="41" customFormat="1" hidden="1" x14ac:dyDescent="0.25">
      <c r="A291" s="387" t="s">
        <v>310</v>
      </c>
      <c r="B291" s="387" t="s">
        <v>311</v>
      </c>
      <c r="C291" s="380">
        <f>SUM(C292,C294,C296)-SUM(C293,C295,C297)</f>
        <v>0</v>
      </c>
      <c r="D291" s="379">
        <f t="shared" ref="D291:E291" si="60">SUM(D292,D294,D296)-SUM(D293,D295,D297)</f>
        <v>0</v>
      </c>
      <c r="E291" s="384">
        <f t="shared" si="60"/>
        <v>0</v>
      </c>
      <c r="F291" s="388">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c r="R291" s="53"/>
      <c r="S291" s="53"/>
      <c r="T291" s="53"/>
    </row>
    <row r="292" spans="1:20" s="41" customFormat="1" hidden="1" x14ac:dyDescent="0.25">
      <c r="A292" s="366" t="s">
        <v>312</v>
      </c>
      <c r="B292" s="190" t="s">
        <v>313</v>
      </c>
      <c r="C292" s="143">
        <f t="shared" ref="C292:C299" si="64">F292+I292+L292+O292</f>
        <v>0</v>
      </c>
      <c r="D292" s="149"/>
      <c r="E292" s="363"/>
      <c r="F292" s="364">
        <f t="shared" si="37"/>
        <v>0</v>
      </c>
      <c r="G292" s="149"/>
      <c r="H292" s="150"/>
      <c r="I292" s="151">
        <f t="shared" si="38"/>
        <v>0</v>
      </c>
      <c r="J292" s="149"/>
      <c r="K292" s="150"/>
      <c r="L292" s="151">
        <f t="shared" si="39"/>
        <v>0</v>
      </c>
      <c r="M292" s="365"/>
      <c r="N292" s="363"/>
      <c r="O292" s="151">
        <f t="shared" si="58"/>
        <v>0</v>
      </c>
      <c r="P292" s="153"/>
      <c r="R292" s="53"/>
      <c r="S292" s="53"/>
      <c r="T292" s="53"/>
    </row>
    <row r="293" spans="1:20" hidden="1" x14ac:dyDescent="0.25">
      <c r="A293" s="346" t="s">
        <v>314</v>
      </c>
      <c r="B293" s="75" t="s">
        <v>315</v>
      </c>
      <c r="C293" s="128">
        <f t="shared" si="64"/>
        <v>0</v>
      </c>
      <c r="D293" s="134"/>
      <c r="E293" s="285"/>
      <c r="F293" s="286">
        <f t="shared" si="37"/>
        <v>0</v>
      </c>
      <c r="G293" s="134"/>
      <c r="H293" s="135"/>
      <c r="I293" s="136">
        <f t="shared" si="38"/>
        <v>0</v>
      </c>
      <c r="J293" s="134"/>
      <c r="K293" s="135"/>
      <c r="L293" s="136">
        <f t="shared" si="39"/>
        <v>0</v>
      </c>
      <c r="M293" s="284"/>
      <c r="N293" s="285"/>
      <c r="O293" s="136">
        <f t="shared" si="58"/>
        <v>0</v>
      </c>
      <c r="P293" s="85"/>
      <c r="R293" s="53"/>
      <c r="S293" s="53"/>
      <c r="T293" s="53"/>
    </row>
    <row r="294" spans="1:20" hidden="1" x14ac:dyDescent="0.25">
      <c r="A294" s="346" t="s">
        <v>316</v>
      </c>
      <c r="B294" s="75" t="s">
        <v>317</v>
      </c>
      <c r="C294" s="128">
        <f t="shared" si="64"/>
        <v>0</v>
      </c>
      <c r="D294" s="134"/>
      <c r="E294" s="285"/>
      <c r="F294" s="286">
        <f t="shared" si="37"/>
        <v>0</v>
      </c>
      <c r="G294" s="134"/>
      <c r="H294" s="135"/>
      <c r="I294" s="136">
        <f t="shared" si="38"/>
        <v>0</v>
      </c>
      <c r="J294" s="134"/>
      <c r="K294" s="135"/>
      <c r="L294" s="136">
        <f t="shared" si="39"/>
        <v>0</v>
      </c>
      <c r="M294" s="284"/>
      <c r="N294" s="285"/>
      <c r="O294" s="136">
        <f t="shared" si="58"/>
        <v>0</v>
      </c>
      <c r="P294" s="85"/>
      <c r="R294" s="53"/>
      <c r="S294" s="53"/>
      <c r="T294" s="53"/>
    </row>
    <row r="295" spans="1:20" ht="24" hidden="1" x14ac:dyDescent="0.25">
      <c r="A295" s="346" t="s">
        <v>318</v>
      </c>
      <c r="B295" s="75" t="s">
        <v>319</v>
      </c>
      <c r="C295" s="128">
        <f t="shared" si="64"/>
        <v>0</v>
      </c>
      <c r="D295" s="134"/>
      <c r="E295" s="285"/>
      <c r="F295" s="286">
        <f t="shared" si="37"/>
        <v>0</v>
      </c>
      <c r="G295" s="134"/>
      <c r="H295" s="135"/>
      <c r="I295" s="136">
        <f t="shared" si="38"/>
        <v>0</v>
      </c>
      <c r="J295" s="134"/>
      <c r="K295" s="135"/>
      <c r="L295" s="136">
        <f t="shared" si="39"/>
        <v>0</v>
      </c>
      <c r="M295" s="284"/>
      <c r="N295" s="285"/>
      <c r="O295" s="136">
        <f t="shared" si="58"/>
        <v>0</v>
      </c>
      <c r="P295" s="85"/>
      <c r="R295" s="53"/>
      <c r="S295" s="53"/>
      <c r="T295" s="53"/>
    </row>
    <row r="296" spans="1:20" hidden="1" x14ac:dyDescent="0.25">
      <c r="A296" s="346" t="s">
        <v>320</v>
      </c>
      <c r="B296" s="75" t="s">
        <v>321</v>
      </c>
      <c r="C296" s="128">
        <f t="shared" si="64"/>
        <v>0</v>
      </c>
      <c r="D296" s="134"/>
      <c r="E296" s="285"/>
      <c r="F296" s="286">
        <f t="shared" si="37"/>
        <v>0</v>
      </c>
      <c r="G296" s="134"/>
      <c r="H296" s="135"/>
      <c r="I296" s="136">
        <f t="shared" si="38"/>
        <v>0</v>
      </c>
      <c r="J296" s="134"/>
      <c r="K296" s="135"/>
      <c r="L296" s="136">
        <f t="shared" si="39"/>
        <v>0</v>
      </c>
      <c r="M296" s="284"/>
      <c r="N296" s="285"/>
      <c r="O296" s="136">
        <f t="shared" si="58"/>
        <v>0</v>
      </c>
      <c r="P296" s="85"/>
      <c r="R296" s="53"/>
      <c r="S296" s="53"/>
      <c r="T296" s="53"/>
    </row>
    <row r="297" spans="1:20" hidden="1" x14ac:dyDescent="0.25">
      <c r="A297" s="389" t="s">
        <v>322</v>
      </c>
      <c r="B297" s="390" t="s">
        <v>323</v>
      </c>
      <c r="C297" s="327">
        <f t="shared" si="64"/>
        <v>0</v>
      </c>
      <c r="D297" s="328"/>
      <c r="E297" s="329"/>
      <c r="F297" s="330">
        <f t="shared" si="37"/>
        <v>0</v>
      </c>
      <c r="G297" s="328"/>
      <c r="H297" s="331"/>
      <c r="I297" s="324">
        <f t="shared" si="38"/>
        <v>0</v>
      </c>
      <c r="J297" s="328"/>
      <c r="K297" s="331"/>
      <c r="L297" s="324">
        <f t="shared" si="39"/>
        <v>0</v>
      </c>
      <c r="M297" s="332"/>
      <c r="N297" s="329"/>
      <c r="O297" s="324">
        <f t="shared" si="58"/>
        <v>0</v>
      </c>
      <c r="P297" s="325"/>
      <c r="R297" s="53"/>
      <c r="S297" s="53"/>
      <c r="T297" s="53"/>
    </row>
    <row r="298" spans="1:20" hidden="1" x14ac:dyDescent="0.25">
      <c r="A298" s="387" t="s">
        <v>324</v>
      </c>
      <c r="B298" s="387" t="s">
        <v>325</v>
      </c>
      <c r="C298" s="391">
        <f t="shared" si="64"/>
        <v>0</v>
      </c>
      <c r="D298" s="392"/>
      <c r="E298" s="393"/>
      <c r="F298" s="388">
        <f t="shared" si="37"/>
        <v>0</v>
      </c>
      <c r="G298" s="392"/>
      <c r="H298" s="394"/>
      <c r="I298" s="383">
        <f t="shared" si="38"/>
        <v>0</v>
      </c>
      <c r="J298" s="392"/>
      <c r="K298" s="394"/>
      <c r="L298" s="383">
        <f t="shared" si="39"/>
        <v>0</v>
      </c>
      <c r="M298" s="395"/>
      <c r="N298" s="393"/>
      <c r="O298" s="383">
        <f t="shared" si="58"/>
        <v>0</v>
      </c>
      <c r="P298" s="385"/>
      <c r="R298" s="53"/>
      <c r="S298" s="53"/>
      <c r="T298" s="53"/>
    </row>
    <row r="299" spans="1:20" s="41" customFormat="1" ht="36" hidden="1" x14ac:dyDescent="0.25">
      <c r="A299" s="387" t="s">
        <v>326</v>
      </c>
      <c r="B299" s="396" t="s">
        <v>327</v>
      </c>
      <c r="C299" s="397">
        <f t="shared" si="64"/>
        <v>0</v>
      </c>
      <c r="D299" s="398"/>
      <c r="E299" s="399"/>
      <c r="F299" s="400">
        <f t="shared" si="37"/>
        <v>0</v>
      </c>
      <c r="G299" s="392"/>
      <c r="H299" s="394"/>
      <c r="I299" s="383">
        <f t="shared" si="38"/>
        <v>0</v>
      </c>
      <c r="J299" s="392"/>
      <c r="K299" s="394"/>
      <c r="L299" s="383">
        <f t="shared" si="39"/>
        <v>0</v>
      </c>
      <c r="M299" s="395"/>
      <c r="N299" s="393"/>
      <c r="O299" s="383">
        <f t="shared" si="58"/>
        <v>0</v>
      </c>
      <c r="P299" s="385"/>
      <c r="R299" s="53"/>
      <c r="S299" s="53"/>
      <c r="T299" s="53"/>
    </row>
    <row r="300" spans="1:20"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20" ht="12.75" thickBot="1" x14ac:dyDescent="0.3">
      <c r="A301" s="404"/>
      <c r="B301" s="405"/>
      <c r="C301" s="405"/>
      <c r="D301" s="405"/>
      <c r="E301" s="405"/>
      <c r="F301" s="405"/>
      <c r="G301" s="405"/>
      <c r="H301" s="405"/>
      <c r="I301" s="405"/>
      <c r="J301" s="405"/>
      <c r="K301" s="405"/>
      <c r="L301" s="405"/>
      <c r="M301" s="405"/>
      <c r="N301" s="405"/>
      <c r="O301" s="405"/>
      <c r="P301" s="406"/>
      <c r="Q301" s="7"/>
    </row>
    <row r="302" spans="1:20" x14ac:dyDescent="0.25">
      <c r="A302" s="5"/>
      <c r="B302" s="5"/>
      <c r="C302" s="5"/>
      <c r="D302" s="5"/>
      <c r="E302" s="5"/>
      <c r="F302" s="5"/>
      <c r="G302" s="5"/>
      <c r="H302" s="5"/>
      <c r="I302" s="5"/>
      <c r="J302" s="5"/>
      <c r="K302" s="5"/>
      <c r="L302" s="5"/>
      <c r="M302" s="5"/>
      <c r="N302" s="5"/>
      <c r="O302" s="5"/>
    </row>
    <row r="303" spans="1:20" x14ac:dyDescent="0.25">
      <c r="A303" s="5"/>
      <c r="B303" s="5"/>
      <c r="C303" s="5"/>
      <c r="D303" s="5"/>
      <c r="E303" s="5"/>
      <c r="F303" s="5"/>
      <c r="G303" s="5"/>
      <c r="H303" s="5"/>
      <c r="I303" s="5"/>
      <c r="J303" s="5"/>
      <c r="K303" s="5"/>
      <c r="L303" s="5"/>
      <c r="M303" s="5"/>
      <c r="N303" s="5"/>
      <c r="O303" s="5"/>
    </row>
    <row r="304" spans="1:20"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GkMFZDfRsLG93UrBKiDB16IBlMwkuhQJT/FcDVt4iLd6yoBOXj/KarmKAsvbBVD+rciyjr+/JCrjwx0oxqYReg==" saltValue="k6UQC95IvBhKJRcGvAru1w==" spinCount="100000" sheet="1" objects="1" scenarios="1" selectLockedCells="1" selectUnlockedCells="1"/>
  <autoFilter ref="A22:P300">
    <filterColumn colId="2">
      <filters blank="1">
        <filter val="1 000"/>
        <filter val="1 030"/>
        <filter val="1 076"/>
        <filter val="1 500"/>
        <filter val="1 682"/>
        <filter val="1 738"/>
        <filter val="1 750"/>
        <filter val="1 770"/>
        <filter val="1 815"/>
        <filter val="1 965"/>
        <filter val="10 812"/>
        <filter val="100"/>
        <filter val="11 124"/>
        <filter val="111 879"/>
        <filter val="12 000"/>
        <filter val="120"/>
        <filter val="121"/>
        <filter val="128 103"/>
        <filter val="13 900"/>
        <filter val="15 741"/>
        <filter val="150"/>
        <filter val="16 773"/>
        <filter val="166"/>
        <filter val="17 421"/>
        <filter val="17 930"/>
        <filter val="174"/>
        <filter val="18 273"/>
        <filter val="2 006"/>
        <filter val="2 088"/>
        <filter val="2 572"/>
        <filter val="2 652"/>
        <filter val="2 979"/>
        <filter val="21"/>
        <filter val="22 130"/>
        <filter val="23"/>
        <filter val="25 500"/>
        <filter val="26 464"/>
        <filter val="28 660"/>
        <filter val="29 054"/>
        <filter val="29 800"/>
        <filter val="300"/>
        <filter val="31 319"/>
        <filter val="32"/>
        <filter val="36 767"/>
        <filter val="375 872"/>
        <filter val="4 000"/>
        <filter val="4 815"/>
        <filter val="4 829"/>
        <filter val="402 336"/>
        <filter val="414"/>
        <filter val="415"/>
        <filter val="427"/>
        <filter val="466"/>
        <filter val="5 329"/>
        <filter val="5 870"/>
        <filter val="530 439"/>
        <filter val="580"/>
        <filter val="6 301"/>
        <filter val="6 970"/>
        <filter val="605 749"/>
        <filter val="61 565"/>
        <filter val="642 318"/>
        <filter val="660 591"/>
        <filter val="7 782"/>
        <filter val="-7 782"/>
        <filter val="75 036"/>
        <filter val="76"/>
        <filter val="8 057"/>
        <filter val="8 254"/>
        <filter val="9 572"/>
        <filter val="900"/>
        <filter val="936"/>
        <filter val="99 443"/>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108.pielikums Jūrmalas pilsētas domes
2017.gada 30.janvāra saistošajiem noteikumiem Nr.10
(Protokols Nr.4, 1.punkts)
 </firstHeader>
    <firstFooter>&amp;L&amp;9&amp;D; &amp;T&amp;R&amp;9&amp;P (&amp;N)</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4"/>
  <sheetViews>
    <sheetView view="pageLayout" zoomScaleNormal="90" workbookViewId="0">
      <selection activeCell="S16" sqref="S16"/>
    </sheetView>
  </sheetViews>
  <sheetFormatPr defaultRowHeight="12" outlineLevelCol="1" x14ac:dyDescent="0.25"/>
  <cols>
    <col min="1" max="1" width="10.85546875" style="1" customWidth="1"/>
    <col min="2" max="2" width="32.42578125"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10.2851562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1234</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7"/>
    </row>
    <row r="4" spans="1:17" ht="15.75"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1235</v>
      </c>
      <c r="D6" s="1555"/>
      <c r="E6" s="1555"/>
      <c r="F6" s="1555"/>
      <c r="G6" s="1555"/>
      <c r="H6" s="1555"/>
      <c r="I6" s="1555"/>
      <c r="J6" s="1555"/>
      <c r="K6" s="1555"/>
      <c r="L6" s="1555"/>
      <c r="M6" s="1555"/>
      <c r="N6" s="1555"/>
      <c r="O6" s="1555"/>
      <c r="P6" s="1556"/>
      <c r="Q6" s="7"/>
    </row>
    <row r="7" spans="1:17" ht="12.75" x14ac:dyDescent="0.25">
      <c r="A7" s="13" t="s">
        <v>4</v>
      </c>
      <c r="B7" s="14"/>
      <c r="C7" s="1555" t="s">
        <v>1236</v>
      </c>
      <c r="D7" s="1555"/>
      <c r="E7" s="1555"/>
      <c r="F7" s="1555"/>
      <c r="G7" s="1555"/>
      <c r="H7" s="1555"/>
      <c r="I7" s="1555"/>
      <c r="J7" s="1555"/>
      <c r="K7" s="1555"/>
      <c r="L7" s="1555"/>
      <c r="M7" s="1555"/>
      <c r="N7" s="1555"/>
      <c r="O7" s="1555"/>
      <c r="P7" s="1556"/>
      <c r="Q7" s="7"/>
    </row>
    <row r="8" spans="1:17" x14ac:dyDescent="0.25">
      <c r="A8" s="8" t="s">
        <v>6</v>
      </c>
      <c r="B8" s="9"/>
      <c r="C8" s="1553" t="s">
        <v>1237</v>
      </c>
      <c r="D8" s="1553"/>
      <c r="E8" s="1553"/>
      <c r="F8" s="1553"/>
      <c r="G8" s="1553"/>
      <c r="H8" s="1553"/>
      <c r="I8" s="1553"/>
      <c r="J8" s="1553"/>
      <c r="K8" s="1553"/>
      <c r="L8" s="1553"/>
      <c r="M8" s="1553"/>
      <c r="N8" s="1553"/>
      <c r="O8" s="1553"/>
      <c r="P8" s="1554"/>
      <c r="Q8" s="7"/>
    </row>
    <row r="9" spans="1:17" x14ac:dyDescent="0.25">
      <c r="A9" s="8" t="s">
        <v>8</v>
      </c>
      <c r="B9" s="9"/>
      <c r="C9" s="1553" t="s">
        <v>333</v>
      </c>
      <c r="D9" s="1553"/>
      <c r="E9" s="1553"/>
      <c r="F9" s="1553"/>
      <c r="G9" s="1553"/>
      <c r="H9" s="1553"/>
      <c r="I9" s="1553"/>
      <c r="J9" s="1553"/>
      <c r="K9" s="1553"/>
      <c r="L9" s="1553"/>
      <c r="M9" s="1553"/>
      <c r="N9" s="1553"/>
      <c r="O9" s="1553"/>
      <c r="P9" s="1554"/>
      <c r="Q9" s="7"/>
    </row>
    <row r="10" spans="1:17" x14ac:dyDescent="0.25">
      <c r="A10" s="8" t="s">
        <v>10</v>
      </c>
      <c r="B10" s="9"/>
      <c r="C10" s="1555" t="s">
        <v>334</v>
      </c>
      <c r="D10" s="1555"/>
      <c r="E10" s="1555"/>
      <c r="F10" s="1555"/>
      <c r="G10" s="1555"/>
      <c r="H10" s="1555"/>
      <c r="I10" s="1555"/>
      <c r="J10" s="1555"/>
      <c r="K10" s="1555"/>
      <c r="L10" s="1555"/>
      <c r="M10" s="1555"/>
      <c r="N10" s="1555"/>
      <c r="O10" s="1555"/>
      <c r="P10" s="1556"/>
      <c r="Q10" s="7"/>
    </row>
    <row r="11" spans="1:17" x14ac:dyDescent="0.25">
      <c r="A11" s="8" t="s">
        <v>12</v>
      </c>
      <c r="B11" s="9"/>
      <c r="C11" s="1555" t="s">
        <v>934</v>
      </c>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1238</v>
      </c>
      <c r="D13" s="1553"/>
      <c r="E13" s="1553"/>
      <c r="F13" s="1553"/>
      <c r="G13" s="1553"/>
      <c r="H13" s="1553"/>
      <c r="I13" s="1553"/>
      <c r="J13" s="1553"/>
      <c r="K13" s="1553"/>
      <c r="L13" s="1553"/>
      <c r="M13" s="1553"/>
      <c r="N13" s="1553"/>
      <c r="O13" s="1553"/>
      <c r="P13" s="1554"/>
      <c r="Q13" s="7"/>
    </row>
    <row r="14" spans="1:17" x14ac:dyDescent="0.25">
      <c r="A14" s="8"/>
      <c r="B14" s="9" t="s">
        <v>17</v>
      </c>
      <c r="C14" s="1553" t="s">
        <v>1239</v>
      </c>
      <c r="D14" s="1553"/>
      <c r="E14" s="1553"/>
      <c r="F14" s="1553"/>
      <c r="G14" s="1553"/>
      <c r="H14" s="1553"/>
      <c r="I14" s="1553"/>
      <c r="J14" s="1553"/>
      <c r="K14" s="1553"/>
      <c r="L14" s="1553"/>
      <c r="M14" s="1553"/>
      <c r="N14" s="1553"/>
      <c r="O14" s="1553"/>
      <c r="P14" s="1554"/>
      <c r="Q14" s="7"/>
    </row>
    <row r="15" spans="1:17" x14ac:dyDescent="0.25">
      <c r="A15" s="8"/>
      <c r="B15" s="9" t="s">
        <v>19</v>
      </c>
      <c r="C15" s="1553" t="s">
        <v>1240</v>
      </c>
      <c r="D15" s="1553"/>
      <c r="E15" s="1553"/>
      <c r="F15" s="1553"/>
      <c r="G15" s="1553"/>
      <c r="H15" s="1553"/>
      <c r="I15" s="1553"/>
      <c r="J15" s="1553"/>
      <c r="K15" s="1553"/>
      <c r="L15" s="1553"/>
      <c r="M15" s="1553"/>
      <c r="N15" s="1553"/>
      <c r="O15" s="1553"/>
      <c r="P15" s="1554"/>
      <c r="Q15" s="7"/>
    </row>
    <row r="16" spans="1:17" x14ac:dyDescent="0.25">
      <c r="A16" s="8"/>
      <c r="B16" s="9" t="s">
        <v>20</v>
      </c>
      <c r="C16" s="1553" t="s">
        <v>1241</v>
      </c>
      <c r="D16" s="1553"/>
      <c r="E16" s="1553"/>
      <c r="F16" s="1553"/>
      <c r="G16" s="1553"/>
      <c r="H16" s="1553"/>
      <c r="I16" s="1553"/>
      <c r="J16" s="1553"/>
      <c r="K16" s="1553"/>
      <c r="L16" s="1553"/>
      <c r="M16" s="1553"/>
      <c r="N16" s="1553"/>
      <c r="O16" s="1553"/>
      <c r="P16" s="1554"/>
      <c r="Q16" s="7"/>
    </row>
    <row r="17" spans="1:20" x14ac:dyDescent="0.25">
      <c r="A17" s="8"/>
      <c r="B17" s="9" t="s">
        <v>22</v>
      </c>
      <c r="C17" s="1553"/>
      <c r="D17" s="1553"/>
      <c r="E17" s="1553"/>
      <c r="F17" s="1553"/>
      <c r="G17" s="1553"/>
      <c r="H17" s="1553"/>
      <c r="I17" s="1553"/>
      <c r="J17" s="1553"/>
      <c r="K17" s="1553"/>
      <c r="L17" s="1553"/>
      <c r="M17" s="1553"/>
      <c r="N17" s="1553"/>
      <c r="O17" s="1553"/>
      <c r="P17" s="1554"/>
      <c r="Q17" s="7"/>
    </row>
    <row r="18" spans="1:20" x14ac:dyDescent="0.25">
      <c r="A18" s="18"/>
      <c r="B18" s="19"/>
      <c r="C18" s="1569"/>
      <c r="D18" s="1569"/>
      <c r="E18" s="1569"/>
      <c r="F18" s="1569"/>
      <c r="G18" s="1569"/>
      <c r="H18" s="1569"/>
      <c r="I18" s="1569"/>
      <c r="J18" s="1569"/>
      <c r="K18" s="1569"/>
      <c r="L18" s="1569"/>
      <c r="M18" s="1569"/>
      <c r="N18" s="1569"/>
      <c r="O18" s="1569"/>
      <c r="P18" s="1570"/>
      <c r="Q18" s="7"/>
    </row>
    <row r="19" spans="1:20"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0"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20" s="21" customFormat="1" ht="57.75" customHeight="1" thickBot="1" x14ac:dyDescent="0.3">
      <c r="A21" s="1573"/>
      <c r="B21" s="1576"/>
      <c r="C21" s="1581"/>
      <c r="D21" s="1566"/>
      <c r="E21" s="1568"/>
      <c r="F21" s="1564"/>
      <c r="G21" s="1566"/>
      <c r="H21" s="1568"/>
      <c r="I21" s="1564"/>
      <c r="J21" s="1566"/>
      <c r="K21" s="1568"/>
      <c r="L21" s="1564"/>
      <c r="M21" s="1566"/>
      <c r="N21" s="1568"/>
      <c r="O21" s="1564"/>
      <c r="P21" s="1576"/>
    </row>
    <row r="22" spans="1:20"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0" s="41" customFormat="1" x14ac:dyDescent="0.25">
      <c r="A23" s="30"/>
      <c r="B23" s="31" t="s">
        <v>41</v>
      </c>
      <c r="C23" s="32"/>
      <c r="D23" s="33"/>
      <c r="E23" s="34"/>
      <c r="F23" s="35"/>
      <c r="G23" s="33"/>
      <c r="H23" s="36"/>
      <c r="I23" s="37"/>
      <c r="J23" s="33"/>
      <c r="K23" s="38"/>
      <c r="L23" s="37"/>
      <c r="M23" s="38"/>
      <c r="N23" s="39"/>
      <c r="O23" s="37"/>
      <c r="P23" s="40"/>
    </row>
    <row r="24" spans="1:20" s="41" customFormat="1" ht="12.75" thickBot="1" x14ac:dyDescent="0.3">
      <c r="A24" s="42"/>
      <c r="B24" s="43" t="s">
        <v>42</v>
      </c>
      <c r="C24" s="44">
        <f>F24+I24+L24+O24</f>
        <v>794200</v>
      </c>
      <c r="D24" s="45">
        <f>SUM(D25,D28,D29,D45,D46)</f>
        <v>46092</v>
      </c>
      <c r="E24" s="46">
        <f>SUM(E25,E28,E29,E45,E46)</f>
        <v>0</v>
      </c>
      <c r="F24" s="47">
        <f t="shared" ref="F24:F29" si="0">D24+E24</f>
        <v>46092</v>
      </c>
      <c r="G24" s="45">
        <f>SUM(G25,G28,G46)</f>
        <v>735543</v>
      </c>
      <c r="H24" s="48">
        <f>SUM(H25,H28,H46)</f>
        <v>0</v>
      </c>
      <c r="I24" s="1025">
        <f>G24+H24</f>
        <v>735543</v>
      </c>
      <c r="J24" s="45">
        <f>SUM(J25,J30,J46)</f>
        <v>12565</v>
      </c>
      <c r="K24" s="48">
        <f>SUM(K25,K30,K46)</f>
        <v>0</v>
      </c>
      <c r="L24" s="49">
        <f>J24+K24</f>
        <v>12565</v>
      </c>
      <c r="M24" s="50">
        <f>SUM(M25,M48)</f>
        <v>0</v>
      </c>
      <c r="N24" s="51">
        <f>SUM(N25,N48)</f>
        <v>0</v>
      </c>
      <c r="O24" s="49">
        <f>M24+N24</f>
        <v>0</v>
      </c>
      <c r="P24" s="52"/>
      <c r="R24" s="53"/>
      <c r="S24" s="53"/>
      <c r="T24" s="53"/>
    </row>
    <row r="25" spans="1:20" ht="12.75" thickTop="1" x14ac:dyDescent="0.25">
      <c r="A25" s="54"/>
      <c r="B25" s="55" t="s">
        <v>43</v>
      </c>
      <c r="C25" s="56">
        <f>F25+I25+L25+O25</f>
        <v>1820</v>
      </c>
      <c r="D25" s="57">
        <f>SUM(D26:D27)</f>
        <v>0</v>
      </c>
      <c r="E25" s="58">
        <f>SUM(E26:E27)</f>
        <v>0</v>
      </c>
      <c r="F25" s="59">
        <f t="shared" si="0"/>
        <v>0</v>
      </c>
      <c r="G25" s="57">
        <f>SUM(G26:G27)</f>
        <v>0</v>
      </c>
      <c r="H25" s="60">
        <f>SUM(H26:H27)</f>
        <v>0</v>
      </c>
      <c r="I25" s="61">
        <f>G25+H25</f>
        <v>0</v>
      </c>
      <c r="J25" s="57">
        <f>SUM(J26:J27)</f>
        <v>1820</v>
      </c>
      <c r="K25" s="60">
        <f>SUM(K26:K27)</f>
        <v>0</v>
      </c>
      <c r="L25" s="61">
        <f>J25+K25</f>
        <v>1820</v>
      </c>
      <c r="M25" s="62">
        <f>SUM(M26:M27)</f>
        <v>0</v>
      </c>
      <c r="N25" s="63">
        <f>SUM(N26:N27)</f>
        <v>0</v>
      </c>
      <c r="O25" s="61">
        <f>M25+N25</f>
        <v>0</v>
      </c>
      <c r="P25" s="64"/>
      <c r="R25" s="53"/>
      <c r="S25" s="53"/>
      <c r="T25" s="53"/>
    </row>
    <row r="26" spans="1:20" hidden="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row>
    <row r="27" spans="1:20" x14ac:dyDescent="0.25">
      <c r="A27" s="75"/>
      <c r="B27" s="76" t="s">
        <v>45</v>
      </c>
      <c r="C27" s="77">
        <f>F27+I27+L27+O27</f>
        <v>1820</v>
      </c>
      <c r="D27" s="78"/>
      <c r="E27" s="79"/>
      <c r="F27" s="80">
        <f t="shared" si="0"/>
        <v>0</v>
      </c>
      <c r="G27" s="78"/>
      <c r="H27" s="81"/>
      <c r="I27" s="82">
        <f>G27+H27</f>
        <v>0</v>
      </c>
      <c r="J27" s="78">
        <v>1820</v>
      </c>
      <c r="K27" s="81"/>
      <c r="L27" s="82">
        <f>J27+K27</f>
        <v>1820</v>
      </c>
      <c r="M27" s="83"/>
      <c r="N27" s="84"/>
      <c r="O27" s="82">
        <f>M27+N27</f>
        <v>0</v>
      </c>
      <c r="P27" s="85"/>
      <c r="R27" s="53"/>
      <c r="S27" s="53"/>
      <c r="T27" s="53"/>
    </row>
    <row r="28" spans="1:20" s="41" customFormat="1" ht="24" customHeight="1" thickBot="1" x14ac:dyDescent="0.3">
      <c r="A28" s="86">
        <v>19300</v>
      </c>
      <c r="B28" s="86" t="s">
        <v>46</v>
      </c>
      <c r="C28" s="87">
        <f>SUM(F28,I28)</f>
        <v>781635</v>
      </c>
      <c r="D28" s="88">
        <v>46092</v>
      </c>
      <c r="E28" s="89"/>
      <c r="F28" s="90">
        <f t="shared" si="0"/>
        <v>46092</v>
      </c>
      <c r="G28" s="88">
        <v>735543</v>
      </c>
      <c r="H28" s="1026">
        <v>0</v>
      </c>
      <c r="I28" s="1027">
        <f>G28+H28</f>
        <v>735543</v>
      </c>
      <c r="J28" s="93" t="s">
        <v>47</v>
      </c>
      <c r="K28" s="94" t="s">
        <v>47</v>
      </c>
      <c r="L28" s="95" t="s">
        <v>47</v>
      </c>
      <c r="M28" s="96" t="s">
        <v>47</v>
      </c>
      <c r="N28" s="97" t="s">
        <v>47</v>
      </c>
      <c r="O28" s="95" t="s">
        <v>47</v>
      </c>
      <c r="P28" s="98"/>
      <c r="R28" s="53"/>
      <c r="S28" s="53"/>
      <c r="T28" s="53"/>
    </row>
    <row r="29" spans="1:20" s="41" customFormat="1" ht="24.75" hidden="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c r="R29" s="53"/>
      <c r="S29" s="53"/>
    </row>
    <row r="30" spans="1:20" s="41" customFormat="1" ht="28.5" customHeight="1" thickTop="1" x14ac:dyDescent="0.25">
      <c r="A30" s="99">
        <v>21300</v>
      </c>
      <c r="B30" s="99" t="s">
        <v>49</v>
      </c>
      <c r="C30" s="100">
        <f t="shared" ref="C30:C44" si="1">L30</f>
        <v>10745</v>
      </c>
      <c r="D30" s="104" t="s">
        <v>47</v>
      </c>
      <c r="E30" s="110" t="s">
        <v>47</v>
      </c>
      <c r="F30" s="111" t="s">
        <v>47</v>
      </c>
      <c r="G30" s="104" t="s">
        <v>47</v>
      </c>
      <c r="H30" s="105" t="s">
        <v>47</v>
      </c>
      <c r="I30" s="106" t="s">
        <v>47</v>
      </c>
      <c r="J30" s="112">
        <f>SUM(J31,J35,J37,J40)</f>
        <v>10745</v>
      </c>
      <c r="K30" s="113">
        <f>SUM(K31,K35,K37,K40)</f>
        <v>0</v>
      </c>
      <c r="L30" s="114">
        <f t="shared" ref="L30:L44" si="2">J30+K30</f>
        <v>10745</v>
      </c>
      <c r="M30" s="107" t="s">
        <v>47</v>
      </c>
      <c r="N30" s="108" t="s">
        <v>47</v>
      </c>
      <c r="O30" s="106" t="s">
        <v>47</v>
      </c>
      <c r="P30" s="109"/>
      <c r="R30" s="53"/>
      <c r="S30" s="53"/>
      <c r="T30" s="53"/>
    </row>
    <row r="31" spans="1:20" s="41" customFormat="1" x14ac:dyDescent="0.25">
      <c r="A31" s="115">
        <v>21350</v>
      </c>
      <c r="B31" s="99" t="s">
        <v>50</v>
      </c>
      <c r="C31" s="100">
        <f t="shared" si="1"/>
        <v>4711</v>
      </c>
      <c r="D31" s="104" t="s">
        <v>47</v>
      </c>
      <c r="E31" s="110" t="s">
        <v>47</v>
      </c>
      <c r="F31" s="111" t="s">
        <v>47</v>
      </c>
      <c r="G31" s="104" t="s">
        <v>47</v>
      </c>
      <c r="H31" s="105" t="s">
        <v>47</v>
      </c>
      <c r="I31" s="106" t="s">
        <v>47</v>
      </c>
      <c r="J31" s="112">
        <f>SUM(J32:J34)</f>
        <v>4711</v>
      </c>
      <c r="K31" s="113">
        <f>SUM(K32:K34)</f>
        <v>0</v>
      </c>
      <c r="L31" s="114">
        <f t="shared" si="2"/>
        <v>4711</v>
      </c>
      <c r="M31" s="107" t="s">
        <v>47</v>
      </c>
      <c r="N31" s="108" t="s">
        <v>47</v>
      </c>
      <c r="O31" s="106" t="s">
        <v>47</v>
      </c>
      <c r="P31" s="109"/>
      <c r="R31" s="53"/>
      <c r="S31" s="53"/>
      <c r="T31" s="53"/>
    </row>
    <row r="32" spans="1:20" hidden="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c r="R32" s="53"/>
      <c r="S32" s="53"/>
    </row>
    <row r="33" spans="1:20" x14ac:dyDescent="0.25">
      <c r="A33" s="75">
        <v>21352</v>
      </c>
      <c r="B33" s="127" t="s">
        <v>52</v>
      </c>
      <c r="C33" s="128">
        <f t="shared" si="1"/>
        <v>4711</v>
      </c>
      <c r="D33" s="129" t="s">
        <v>47</v>
      </c>
      <c r="E33" s="130" t="s">
        <v>47</v>
      </c>
      <c r="F33" s="131" t="s">
        <v>47</v>
      </c>
      <c r="G33" s="129" t="s">
        <v>47</v>
      </c>
      <c r="H33" s="132" t="s">
        <v>47</v>
      </c>
      <c r="I33" s="133" t="s">
        <v>47</v>
      </c>
      <c r="J33" s="134">
        <v>4711</v>
      </c>
      <c r="K33" s="135"/>
      <c r="L33" s="136">
        <f t="shared" si="2"/>
        <v>4711</v>
      </c>
      <c r="M33" s="137" t="s">
        <v>47</v>
      </c>
      <c r="N33" s="138" t="s">
        <v>47</v>
      </c>
      <c r="O33" s="133" t="s">
        <v>47</v>
      </c>
      <c r="P33" s="85"/>
      <c r="R33" s="53"/>
      <c r="S33" s="53"/>
      <c r="T33" s="53"/>
    </row>
    <row r="34" spans="1:20" ht="24" hidden="1" x14ac:dyDescent="0.25">
      <c r="A34" s="75">
        <v>21359</v>
      </c>
      <c r="B34" s="127" t="s">
        <v>53</v>
      </c>
      <c r="C34" s="128">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c r="R34" s="53"/>
      <c r="S34" s="53"/>
    </row>
    <row r="35" spans="1:20" s="41" customFormat="1" ht="24" hidden="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c r="R35" s="53"/>
      <c r="S35" s="53"/>
    </row>
    <row r="36" spans="1:20" ht="24" hidden="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c r="R36" s="53"/>
      <c r="S36" s="53"/>
    </row>
    <row r="37" spans="1:20" s="41" customFormat="1" x14ac:dyDescent="0.25">
      <c r="A37" s="115">
        <v>21380</v>
      </c>
      <c r="B37" s="99" t="s">
        <v>56</v>
      </c>
      <c r="C37" s="100">
        <f t="shared" si="1"/>
        <v>3557</v>
      </c>
      <c r="D37" s="104" t="s">
        <v>47</v>
      </c>
      <c r="E37" s="110" t="s">
        <v>47</v>
      </c>
      <c r="F37" s="111" t="s">
        <v>47</v>
      </c>
      <c r="G37" s="104" t="s">
        <v>47</v>
      </c>
      <c r="H37" s="105" t="s">
        <v>47</v>
      </c>
      <c r="I37" s="106" t="s">
        <v>47</v>
      </c>
      <c r="J37" s="112">
        <f>SUM(J38:J39)</f>
        <v>3557</v>
      </c>
      <c r="K37" s="113">
        <f>SUM(K38:K39)</f>
        <v>0</v>
      </c>
      <c r="L37" s="114">
        <f t="shared" si="2"/>
        <v>3557</v>
      </c>
      <c r="M37" s="107" t="s">
        <v>47</v>
      </c>
      <c r="N37" s="108" t="s">
        <v>47</v>
      </c>
      <c r="O37" s="106" t="s">
        <v>47</v>
      </c>
      <c r="P37" s="109"/>
      <c r="R37" s="53"/>
      <c r="S37" s="53"/>
      <c r="T37" s="53"/>
    </row>
    <row r="38" spans="1:20" x14ac:dyDescent="0.25">
      <c r="A38" s="141">
        <v>21381</v>
      </c>
      <c r="B38" s="142" t="s">
        <v>57</v>
      </c>
      <c r="C38" s="362">
        <f t="shared" si="1"/>
        <v>3557</v>
      </c>
      <c r="D38" s="118" t="s">
        <v>47</v>
      </c>
      <c r="E38" s="154" t="s">
        <v>47</v>
      </c>
      <c r="F38" s="773" t="s">
        <v>47</v>
      </c>
      <c r="G38" s="118" t="s">
        <v>47</v>
      </c>
      <c r="H38" s="121" t="s">
        <v>47</v>
      </c>
      <c r="I38" s="148" t="s">
        <v>47</v>
      </c>
      <c r="J38" s="123">
        <v>3557</v>
      </c>
      <c r="K38" s="124"/>
      <c r="L38" s="151">
        <f t="shared" si="2"/>
        <v>3557</v>
      </c>
      <c r="M38" s="126" t="s">
        <v>47</v>
      </c>
      <c r="N38" s="119" t="s">
        <v>47</v>
      </c>
      <c r="O38" s="148" t="s">
        <v>47</v>
      </c>
      <c r="P38" s="74"/>
      <c r="R38" s="53"/>
      <c r="S38" s="53"/>
      <c r="T38" s="53"/>
    </row>
    <row r="39" spans="1:20" hidden="1" x14ac:dyDescent="0.25">
      <c r="A39" s="76">
        <v>21383</v>
      </c>
      <c r="B39" s="127" t="s">
        <v>58</v>
      </c>
      <c r="C39" s="128">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c r="R39" s="53"/>
      <c r="S39" s="53"/>
    </row>
    <row r="40" spans="1:20" s="41" customFormat="1" ht="24" x14ac:dyDescent="0.25">
      <c r="A40" s="115">
        <v>21390</v>
      </c>
      <c r="B40" s="99" t="s">
        <v>59</v>
      </c>
      <c r="C40" s="100">
        <f t="shared" si="1"/>
        <v>2477</v>
      </c>
      <c r="D40" s="104" t="s">
        <v>47</v>
      </c>
      <c r="E40" s="110" t="s">
        <v>47</v>
      </c>
      <c r="F40" s="111" t="s">
        <v>47</v>
      </c>
      <c r="G40" s="104" t="s">
        <v>47</v>
      </c>
      <c r="H40" s="105" t="s">
        <v>47</v>
      </c>
      <c r="I40" s="106" t="s">
        <v>47</v>
      </c>
      <c r="J40" s="112">
        <f>SUM(J41:J44)</f>
        <v>2477</v>
      </c>
      <c r="K40" s="113">
        <f>SUM(K41:K44)</f>
        <v>0</v>
      </c>
      <c r="L40" s="114">
        <f t="shared" si="2"/>
        <v>2477</v>
      </c>
      <c r="M40" s="107" t="s">
        <v>47</v>
      </c>
      <c r="N40" s="108" t="s">
        <v>47</v>
      </c>
      <c r="O40" s="106" t="s">
        <v>47</v>
      </c>
      <c r="P40" s="109"/>
      <c r="R40" s="53"/>
      <c r="S40" s="53"/>
      <c r="T40" s="53"/>
    </row>
    <row r="41" spans="1:20" ht="24" hidden="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c r="R41" s="53"/>
      <c r="S41" s="53"/>
    </row>
    <row r="42" spans="1:20" hidden="1" x14ac:dyDescent="0.25">
      <c r="A42" s="76">
        <v>21393</v>
      </c>
      <c r="B42" s="127" t="s">
        <v>61</v>
      </c>
      <c r="C42" s="128">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c r="R42" s="53"/>
      <c r="S42" s="53"/>
    </row>
    <row r="43" spans="1:20" hidden="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c r="R43" s="53"/>
      <c r="S43" s="53"/>
    </row>
    <row r="44" spans="1:20" ht="16.5" customHeight="1" x14ac:dyDescent="0.25">
      <c r="A44" s="76">
        <v>21399</v>
      </c>
      <c r="B44" s="127" t="s">
        <v>63</v>
      </c>
      <c r="C44" s="128">
        <f t="shared" si="1"/>
        <v>2477</v>
      </c>
      <c r="D44" s="129" t="s">
        <v>47</v>
      </c>
      <c r="E44" s="130" t="s">
        <v>47</v>
      </c>
      <c r="F44" s="131" t="s">
        <v>47</v>
      </c>
      <c r="G44" s="129" t="s">
        <v>47</v>
      </c>
      <c r="H44" s="132" t="s">
        <v>47</v>
      </c>
      <c r="I44" s="133" t="s">
        <v>47</v>
      </c>
      <c r="J44" s="134">
        <v>2477</v>
      </c>
      <c r="K44" s="135"/>
      <c r="L44" s="136">
        <f t="shared" si="2"/>
        <v>2477</v>
      </c>
      <c r="M44" s="137" t="s">
        <v>47</v>
      </c>
      <c r="N44" s="138" t="s">
        <v>47</v>
      </c>
      <c r="O44" s="133" t="s">
        <v>47</v>
      </c>
      <c r="P44" s="85"/>
      <c r="R44" s="53"/>
      <c r="S44" s="53"/>
      <c r="T44" s="53"/>
    </row>
    <row r="45" spans="1:20" s="41" customFormat="1" ht="30" hidden="1" customHeight="1" x14ac:dyDescent="0.25">
      <c r="A45" s="115">
        <v>21420</v>
      </c>
      <c r="B45" s="99" t="s">
        <v>64</v>
      </c>
      <c r="C45" s="156">
        <f>F45</f>
        <v>0</v>
      </c>
      <c r="D45" s="157">
        <v>0</v>
      </c>
      <c r="E45" s="158">
        <v>0</v>
      </c>
      <c r="F45" s="103">
        <f>D45+E45</f>
        <v>0</v>
      </c>
      <c r="G45" s="104" t="s">
        <v>47</v>
      </c>
      <c r="H45" s="105" t="s">
        <v>47</v>
      </c>
      <c r="I45" s="106" t="s">
        <v>47</v>
      </c>
      <c r="J45" s="104" t="s">
        <v>47</v>
      </c>
      <c r="K45" s="105" t="s">
        <v>47</v>
      </c>
      <c r="L45" s="106" t="s">
        <v>47</v>
      </c>
      <c r="M45" s="107" t="s">
        <v>47</v>
      </c>
      <c r="N45" s="108" t="s">
        <v>47</v>
      </c>
      <c r="O45" s="106" t="s">
        <v>47</v>
      </c>
      <c r="P45" s="109" t="s">
        <v>1210</v>
      </c>
      <c r="R45" s="53"/>
      <c r="S45" s="53"/>
    </row>
    <row r="46" spans="1:20" s="41" customFormat="1" ht="24" hidden="1" x14ac:dyDescent="0.25">
      <c r="A46" s="159">
        <v>21490</v>
      </c>
      <c r="B46" s="160" t="s">
        <v>65</v>
      </c>
      <c r="C46" s="156">
        <f>F46+I46+L46</f>
        <v>0</v>
      </c>
      <c r="D46" s="161">
        <f>D47</f>
        <v>0</v>
      </c>
      <c r="E46" s="162">
        <f>E47</f>
        <v>0</v>
      </c>
      <c r="F46" s="163">
        <f>D46+E46</f>
        <v>0</v>
      </c>
      <c r="G46" s="161">
        <f>G47</f>
        <v>0</v>
      </c>
      <c r="H46" s="164">
        <f t="shared" ref="H46:K46" si="3">H47</f>
        <v>0</v>
      </c>
      <c r="I46" s="165">
        <f>G46+H46</f>
        <v>0</v>
      </c>
      <c r="J46" s="161">
        <f>J47</f>
        <v>0</v>
      </c>
      <c r="K46" s="164">
        <f t="shared" si="3"/>
        <v>0</v>
      </c>
      <c r="L46" s="165">
        <f>J46+K46</f>
        <v>0</v>
      </c>
      <c r="M46" s="107" t="s">
        <v>47</v>
      </c>
      <c r="N46" s="108" t="s">
        <v>47</v>
      </c>
      <c r="O46" s="106" t="s">
        <v>47</v>
      </c>
      <c r="P46" s="109"/>
      <c r="R46" s="53"/>
      <c r="S46" s="53"/>
    </row>
    <row r="47" spans="1:20" s="41" customFormat="1" hidden="1" x14ac:dyDescent="0.25">
      <c r="A47" s="76">
        <v>21499</v>
      </c>
      <c r="B47" s="127" t="s">
        <v>66</v>
      </c>
      <c r="C47" s="166">
        <f>F47+I47+L47</f>
        <v>0</v>
      </c>
      <c r="D47" s="68"/>
      <c r="E47" s="69"/>
      <c r="F47" s="70">
        <f>D47+E47</f>
        <v>0</v>
      </c>
      <c r="G47" s="167"/>
      <c r="H47" s="71"/>
      <c r="I47" s="72">
        <f>G47+H47</f>
        <v>0</v>
      </c>
      <c r="J47" s="68"/>
      <c r="K47" s="71"/>
      <c r="L47" s="72">
        <f>J47+K47</f>
        <v>0</v>
      </c>
      <c r="M47" s="152" t="s">
        <v>47</v>
      </c>
      <c r="N47" s="145" t="s">
        <v>47</v>
      </c>
      <c r="O47" s="148" t="s">
        <v>47</v>
      </c>
      <c r="P47" s="153"/>
      <c r="R47" s="53"/>
      <c r="S47" s="53"/>
    </row>
    <row r="48" spans="1:20" hidden="1" x14ac:dyDescent="0.25">
      <c r="A48" s="168">
        <v>23000</v>
      </c>
      <c r="B48" s="169" t="s">
        <v>67</v>
      </c>
      <c r="C48" s="156">
        <f>O48</f>
        <v>0</v>
      </c>
      <c r="D48" s="170" t="s">
        <v>47</v>
      </c>
      <c r="E48" s="171" t="s">
        <v>47</v>
      </c>
      <c r="F48" s="172" t="s">
        <v>47</v>
      </c>
      <c r="G48" s="170" t="s">
        <v>47</v>
      </c>
      <c r="H48" s="173" t="s">
        <v>47</v>
      </c>
      <c r="I48" s="174" t="s">
        <v>47</v>
      </c>
      <c r="J48" s="170" t="s">
        <v>47</v>
      </c>
      <c r="K48" s="173" t="s">
        <v>47</v>
      </c>
      <c r="L48" s="174" t="s">
        <v>47</v>
      </c>
      <c r="M48" s="175">
        <f>SUM(M49:M50)</f>
        <v>0</v>
      </c>
      <c r="N48" s="176">
        <f>SUM(N49:N50)</f>
        <v>0</v>
      </c>
      <c r="O48" s="177">
        <f>M48+N48</f>
        <v>0</v>
      </c>
      <c r="P48" s="109"/>
      <c r="R48" s="53"/>
      <c r="S48" s="53"/>
    </row>
    <row r="49" spans="1:20" ht="24" hidden="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c r="R49" s="53"/>
      <c r="S49" s="53"/>
    </row>
    <row r="50" spans="1:20" ht="24" hidden="1" x14ac:dyDescent="0.25">
      <c r="A50" s="178">
        <v>23510</v>
      </c>
      <c r="B50" s="179" t="s">
        <v>69</v>
      </c>
      <c r="C50" s="180">
        <f>O50</f>
        <v>0</v>
      </c>
      <c r="D50" s="181" t="s">
        <v>47</v>
      </c>
      <c r="E50" s="182" t="s">
        <v>47</v>
      </c>
      <c r="F50" s="183" t="s">
        <v>47</v>
      </c>
      <c r="G50" s="181" t="s">
        <v>47</v>
      </c>
      <c r="H50" s="184" t="s">
        <v>47</v>
      </c>
      <c r="I50" s="185" t="s">
        <v>47</v>
      </c>
      <c r="J50" s="181" t="s">
        <v>47</v>
      </c>
      <c r="K50" s="184" t="s">
        <v>47</v>
      </c>
      <c r="L50" s="185" t="s">
        <v>47</v>
      </c>
      <c r="M50" s="186"/>
      <c r="N50" s="187"/>
      <c r="O50" s="188">
        <f>M50+N50</f>
        <v>0</v>
      </c>
      <c r="P50" s="189"/>
      <c r="R50" s="53"/>
      <c r="S50" s="53"/>
    </row>
    <row r="51" spans="1:20" x14ac:dyDescent="0.25">
      <c r="A51" s="190"/>
      <c r="B51" s="179"/>
      <c r="C51" s="191"/>
      <c r="D51" s="192"/>
      <c r="E51" s="193"/>
      <c r="F51" s="194"/>
      <c r="G51" s="192"/>
      <c r="H51" s="195"/>
      <c r="I51" s="185"/>
      <c r="J51" s="196"/>
      <c r="K51" s="197"/>
      <c r="L51" s="188"/>
      <c r="M51" s="186"/>
      <c r="N51" s="187"/>
      <c r="O51" s="188"/>
      <c r="P51" s="189"/>
      <c r="R51" s="53"/>
      <c r="S51" s="53"/>
      <c r="T51" s="53"/>
    </row>
    <row r="52" spans="1:20" s="41" customFormat="1" x14ac:dyDescent="0.25">
      <c r="A52" s="198"/>
      <c r="B52" s="199" t="s">
        <v>70</v>
      </c>
      <c r="C52" s="200"/>
      <c r="D52" s="201"/>
      <c r="E52" s="202"/>
      <c r="F52" s="203"/>
      <c r="G52" s="201"/>
      <c r="H52" s="204"/>
      <c r="I52" s="205"/>
      <c r="J52" s="201"/>
      <c r="K52" s="204"/>
      <c r="L52" s="205"/>
      <c r="M52" s="206"/>
      <c r="N52" s="207"/>
      <c r="O52" s="205"/>
      <c r="P52" s="208"/>
      <c r="R52" s="53"/>
      <c r="S52" s="53"/>
      <c r="T52" s="53"/>
    </row>
    <row r="53" spans="1:20" s="41" customFormat="1" ht="12.75" thickBot="1" x14ac:dyDescent="0.3">
      <c r="A53" s="209"/>
      <c r="B53" s="42" t="s">
        <v>71</v>
      </c>
      <c r="C53" s="210">
        <f t="shared" ref="C53:C116" si="4">F53+I53+L53+O53</f>
        <v>794200</v>
      </c>
      <c r="D53" s="211">
        <f>SUM(D54,D284)</f>
        <v>46092</v>
      </c>
      <c r="E53" s="212">
        <f>SUM(E54,E284)</f>
        <v>0</v>
      </c>
      <c r="F53" s="213">
        <f t="shared" ref="F53:F117" si="5">D53+E53</f>
        <v>46092</v>
      </c>
      <c r="G53" s="211">
        <f>SUM(G54,G284)</f>
        <v>735543</v>
      </c>
      <c r="H53" s="214">
        <f>SUM(H54,H284)</f>
        <v>0</v>
      </c>
      <c r="I53" s="215">
        <f t="shared" ref="I53:I117" si="6">G53+H53</f>
        <v>735543</v>
      </c>
      <c r="J53" s="211">
        <f>SUM(J54,J284)</f>
        <v>12565</v>
      </c>
      <c r="K53" s="214">
        <f>SUM(K54,K284)</f>
        <v>0</v>
      </c>
      <c r="L53" s="215">
        <f t="shared" ref="L53:L117" si="7">J53+K53</f>
        <v>12565</v>
      </c>
      <c r="M53" s="216">
        <f>SUM(M54,M284)</f>
        <v>0</v>
      </c>
      <c r="N53" s="217">
        <f>SUM(N54,N284)</f>
        <v>0</v>
      </c>
      <c r="O53" s="215">
        <f t="shared" ref="O53:O117" si="8">M53+N53</f>
        <v>0</v>
      </c>
      <c r="P53" s="52"/>
      <c r="R53" s="53"/>
      <c r="S53" s="53"/>
      <c r="T53" s="53"/>
    </row>
    <row r="54" spans="1:20" s="41" customFormat="1" ht="36.75" thickTop="1" x14ac:dyDescent="0.25">
      <c r="A54" s="218"/>
      <c r="B54" s="219" t="s">
        <v>72</v>
      </c>
      <c r="C54" s="220">
        <f t="shared" si="4"/>
        <v>794200</v>
      </c>
      <c r="D54" s="221">
        <f>SUM(D55,D197)</f>
        <v>46092</v>
      </c>
      <c r="E54" s="222">
        <f>SUM(E55,E197)</f>
        <v>0</v>
      </c>
      <c r="F54" s="223">
        <f t="shared" si="5"/>
        <v>46092</v>
      </c>
      <c r="G54" s="221">
        <f>SUM(G55,G197)</f>
        <v>735543</v>
      </c>
      <c r="H54" s="224">
        <f>SUM(H55,H197)</f>
        <v>0</v>
      </c>
      <c r="I54" s="225">
        <f t="shared" si="6"/>
        <v>735543</v>
      </c>
      <c r="J54" s="221">
        <f>SUM(J55,J197)</f>
        <v>12565</v>
      </c>
      <c r="K54" s="224">
        <f>SUM(K55,K197)</f>
        <v>0</v>
      </c>
      <c r="L54" s="225">
        <f t="shared" si="7"/>
        <v>12565</v>
      </c>
      <c r="M54" s="226">
        <f>SUM(M55,M197)</f>
        <v>0</v>
      </c>
      <c r="N54" s="227">
        <f>SUM(N55,N197)</f>
        <v>0</v>
      </c>
      <c r="O54" s="225">
        <f t="shared" si="8"/>
        <v>0</v>
      </c>
      <c r="P54" s="228"/>
      <c r="R54" s="53"/>
      <c r="S54" s="53"/>
      <c r="T54" s="53"/>
    </row>
    <row r="55" spans="1:20" s="41" customFormat="1" ht="24" x14ac:dyDescent="0.25">
      <c r="A55" s="35"/>
      <c r="B55" s="30" t="s">
        <v>73</v>
      </c>
      <c r="C55" s="229">
        <f t="shared" si="4"/>
        <v>770783</v>
      </c>
      <c r="D55" s="230">
        <f>SUM(D56,D78,D176,D190)</f>
        <v>46092</v>
      </c>
      <c r="E55" s="231">
        <f>SUM(E56,E78,E176,E190)</f>
        <v>0</v>
      </c>
      <c r="F55" s="232">
        <f t="shared" si="5"/>
        <v>46092</v>
      </c>
      <c r="G55" s="230">
        <f>SUM(G56,G78,G176,G190)</f>
        <v>712126</v>
      </c>
      <c r="H55" s="233">
        <f>SUM(H56,H78,H176,H190)</f>
        <v>0</v>
      </c>
      <c r="I55" s="234">
        <f t="shared" si="6"/>
        <v>712126</v>
      </c>
      <c r="J55" s="230">
        <f>SUM(J56,J78,J176,J190)</f>
        <v>12565</v>
      </c>
      <c r="K55" s="233">
        <f>SUM(K56,K78,K176,K190)</f>
        <v>0</v>
      </c>
      <c r="L55" s="234">
        <f t="shared" si="7"/>
        <v>12565</v>
      </c>
      <c r="M55" s="53">
        <f>SUM(M56,M78,M176,M190)</f>
        <v>0</v>
      </c>
      <c r="N55" s="235">
        <f>SUM(N56,N78,N176,N190)</f>
        <v>0</v>
      </c>
      <c r="O55" s="234">
        <f t="shared" si="8"/>
        <v>0</v>
      </c>
      <c r="P55" s="236"/>
      <c r="R55" s="53"/>
      <c r="S55" s="53"/>
      <c r="T55" s="53"/>
    </row>
    <row r="56" spans="1:20" s="41" customFormat="1" x14ac:dyDescent="0.25">
      <c r="A56" s="237">
        <v>1000</v>
      </c>
      <c r="B56" s="237" t="s">
        <v>74</v>
      </c>
      <c r="C56" s="238">
        <f t="shared" si="4"/>
        <v>622113</v>
      </c>
      <c r="D56" s="239">
        <f>SUM(D57,D70)</f>
        <v>46092</v>
      </c>
      <c r="E56" s="240">
        <f>SUM(E57,E70)</f>
        <v>0</v>
      </c>
      <c r="F56" s="241">
        <f t="shared" si="5"/>
        <v>46092</v>
      </c>
      <c r="G56" s="239">
        <f>SUM(G57,G70)</f>
        <v>576021</v>
      </c>
      <c r="H56" s="242">
        <f>SUM(H57,H70)</f>
        <v>0</v>
      </c>
      <c r="I56" s="243">
        <f t="shared" si="6"/>
        <v>576021</v>
      </c>
      <c r="J56" s="239">
        <f>SUM(J57,J70)</f>
        <v>0</v>
      </c>
      <c r="K56" s="242">
        <f>SUM(K57,K70)</f>
        <v>0</v>
      </c>
      <c r="L56" s="243">
        <f t="shared" si="7"/>
        <v>0</v>
      </c>
      <c r="M56" s="244">
        <f>SUM(M57,M70)</f>
        <v>0</v>
      </c>
      <c r="N56" s="245">
        <f>SUM(N57,N70)</f>
        <v>0</v>
      </c>
      <c r="O56" s="243">
        <f t="shared" si="8"/>
        <v>0</v>
      </c>
      <c r="P56" s="246"/>
      <c r="R56" s="53"/>
      <c r="S56" s="53"/>
      <c r="T56" s="53"/>
    </row>
    <row r="57" spans="1:20" x14ac:dyDescent="0.25">
      <c r="A57" s="99">
        <v>1100</v>
      </c>
      <c r="B57" s="247" t="s">
        <v>75</v>
      </c>
      <c r="C57" s="100">
        <f t="shared" si="4"/>
        <v>473580</v>
      </c>
      <c r="D57" s="112">
        <f>SUM(D58,D61,D69)</f>
        <v>15681</v>
      </c>
      <c r="E57" s="248">
        <f>SUM(E58,E61,E69)</f>
        <v>0</v>
      </c>
      <c r="F57" s="249">
        <f t="shared" si="5"/>
        <v>15681</v>
      </c>
      <c r="G57" s="112">
        <f>SUM(G58,G61,G69)</f>
        <v>457899</v>
      </c>
      <c r="H57" s="113">
        <f>SUM(H58,H61,H69)</f>
        <v>0</v>
      </c>
      <c r="I57" s="114">
        <f t="shared" si="6"/>
        <v>457899</v>
      </c>
      <c r="J57" s="112">
        <f>SUM(J58,J61,J69)</f>
        <v>0</v>
      </c>
      <c r="K57" s="113">
        <f>SUM(K58,K61,K69)</f>
        <v>0</v>
      </c>
      <c r="L57" s="114">
        <f t="shared" si="7"/>
        <v>0</v>
      </c>
      <c r="M57" s="250">
        <f>SUM(M58,M61,M69)</f>
        <v>0</v>
      </c>
      <c r="N57" s="251">
        <f>SUM(N58,N61,N69)</f>
        <v>0</v>
      </c>
      <c r="O57" s="252">
        <f t="shared" si="8"/>
        <v>0</v>
      </c>
      <c r="P57" s="253"/>
      <c r="R57" s="53"/>
      <c r="S57" s="53"/>
      <c r="T57" s="53"/>
    </row>
    <row r="58" spans="1:20" x14ac:dyDescent="0.25">
      <c r="A58" s="254">
        <v>1110</v>
      </c>
      <c r="B58" s="179" t="s">
        <v>76</v>
      </c>
      <c r="C58" s="191">
        <f t="shared" si="4"/>
        <v>395109</v>
      </c>
      <c r="D58" s="255">
        <f>SUM(D59:D60)</f>
        <v>2890</v>
      </c>
      <c r="E58" s="256">
        <f>SUM(E59:E60)</f>
        <v>0</v>
      </c>
      <c r="F58" s="257">
        <f t="shared" si="5"/>
        <v>2890</v>
      </c>
      <c r="G58" s="255">
        <f>SUM(G59:G60)</f>
        <v>392219</v>
      </c>
      <c r="H58" s="258">
        <f>SUM(H59:H60)</f>
        <v>0</v>
      </c>
      <c r="I58" s="259">
        <f t="shared" si="6"/>
        <v>392219</v>
      </c>
      <c r="J58" s="255">
        <f>SUM(J59:J60)</f>
        <v>0</v>
      </c>
      <c r="K58" s="258">
        <f>SUM(K59:K60)</f>
        <v>0</v>
      </c>
      <c r="L58" s="259">
        <f t="shared" si="7"/>
        <v>0</v>
      </c>
      <c r="M58" s="260">
        <f>SUM(M59:M60)</f>
        <v>0</v>
      </c>
      <c r="N58" s="261">
        <f>SUM(N59:N60)</f>
        <v>0</v>
      </c>
      <c r="O58" s="259">
        <f t="shared" si="8"/>
        <v>0</v>
      </c>
      <c r="P58" s="189"/>
      <c r="R58" s="53"/>
      <c r="S58" s="53"/>
      <c r="T58" s="53"/>
    </row>
    <row r="59" spans="1:20" hidden="1" x14ac:dyDescent="0.25">
      <c r="A59" s="66">
        <v>1111</v>
      </c>
      <c r="B59" s="116" t="s">
        <v>77</v>
      </c>
      <c r="C59" s="117">
        <f t="shared" si="4"/>
        <v>0</v>
      </c>
      <c r="D59" s="123"/>
      <c r="E59" s="262"/>
      <c r="F59" s="263">
        <f t="shared" si="5"/>
        <v>0</v>
      </c>
      <c r="G59" s="123"/>
      <c r="H59" s="124"/>
      <c r="I59" s="125">
        <f t="shared" si="6"/>
        <v>0</v>
      </c>
      <c r="J59" s="123"/>
      <c r="K59" s="124"/>
      <c r="L59" s="125">
        <f t="shared" si="7"/>
        <v>0</v>
      </c>
      <c r="M59" s="264"/>
      <c r="N59" s="262"/>
      <c r="O59" s="125">
        <f t="shared" si="8"/>
        <v>0</v>
      </c>
      <c r="P59" s="74"/>
      <c r="R59" s="53"/>
      <c r="S59" s="53"/>
    </row>
    <row r="60" spans="1:20" x14ac:dyDescent="0.25">
      <c r="A60" s="76">
        <v>1119</v>
      </c>
      <c r="B60" s="127" t="s">
        <v>78</v>
      </c>
      <c r="C60" s="128">
        <f t="shared" si="4"/>
        <v>395109</v>
      </c>
      <c r="D60" s="134">
        <v>2890</v>
      </c>
      <c r="E60" s="283">
        <v>0</v>
      </c>
      <c r="F60" s="279">
        <f t="shared" si="5"/>
        <v>2890</v>
      </c>
      <c r="G60" s="134">
        <v>392219</v>
      </c>
      <c r="H60" s="124">
        <v>0</v>
      </c>
      <c r="I60" s="136">
        <f t="shared" si="6"/>
        <v>392219</v>
      </c>
      <c r="J60" s="134"/>
      <c r="K60" s="135"/>
      <c r="L60" s="136">
        <f t="shared" si="7"/>
        <v>0</v>
      </c>
      <c r="M60" s="284"/>
      <c r="N60" s="285"/>
      <c r="O60" s="136">
        <f t="shared" si="8"/>
        <v>0</v>
      </c>
      <c r="P60" s="85" t="s">
        <v>1210</v>
      </c>
      <c r="R60" s="53"/>
      <c r="S60" s="53"/>
      <c r="T60" s="53"/>
    </row>
    <row r="61" spans="1:20" x14ac:dyDescent="0.25">
      <c r="A61" s="276">
        <v>1140</v>
      </c>
      <c r="B61" s="127" t="s">
        <v>79</v>
      </c>
      <c r="C61" s="128">
        <f t="shared" si="4"/>
        <v>78186</v>
      </c>
      <c r="D61" s="277">
        <f>SUM(D62:D68)</f>
        <v>12791</v>
      </c>
      <c r="E61" s="278">
        <f>SUM(E62:E68)</f>
        <v>0</v>
      </c>
      <c r="F61" s="279">
        <f>D61+E61</f>
        <v>12791</v>
      </c>
      <c r="G61" s="277">
        <f>SUM(G62:G68)</f>
        <v>65395</v>
      </c>
      <c r="H61" s="280">
        <f>SUM(H62:H68)</f>
        <v>0</v>
      </c>
      <c r="I61" s="136">
        <f t="shared" si="6"/>
        <v>65395</v>
      </c>
      <c r="J61" s="277">
        <f>SUM(J62:J68)</f>
        <v>0</v>
      </c>
      <c r="K61" s="280">
        <f>SUM(K62:K68)</f>
        <v>0</v>
      </c>
      <c r="L61" s="136">
        <f t="shared" si="7"/>
        <v>0</v>
      </c>
      <c r="M61" s="281">
        <f>SUM(M62:M68)</f>
        <v>0</v>
      </c>
      <c r="N61" s="282">
        <f>SUM(N62:N68)</f>
        <v>0</v>
      </c>
      <c r="O61" s="136">
        <f t="shared" si="8"/>
        <v>0</v>
      </c>
      <c r="P61" s="85"/>
      <c r="R61" s="53"/>
      <c r="S61" s="53"/>
      <c r="T61" s="53"/>
    </row>
    <row r="62" spans="1:20" x14ac:dyDescent="0.25">
      <c r="A62" s="76">
        <v>1141</v>
      </c>
      <c r="B62" s="127" t="s">
        <v>80</v>
      </c>
      <c r="C62" s="128">
        <f t="shared" si="4"/>
        <v>3748</v>
      </c>
      <c r="D62" s="134"/>
      <c r="E62" s="283"/>
      <c r="F62" s="279">
        <f t="shared" si="5"/>
        <v>0</v>
      </c>
      <c r="G62" s="134">
        <v>3748</v>
      </c>
      <c r="H62" s="135"/>
      <c r="I62" s="136">
        <f t="shared" si="6"/>
        <v>3748</v>
      </c>
      <c r="J62" s="134"/>
      <c r="K62" s="135"/>
      <c r="L62" s="136">
        <f t="shared" si="7"/>
        <v>0</v>
      </c>
      <c r="M62" s="284"/>
      <c r="N62" s="285"/>
      <c r="O62" s="136">
        <f t="shared" si="8"/>
        <v>0</v>
      </c>
      <c r="P62" s="85"/>
      <c r="R62" s="53"/>
      <c r="S62" s="53"/>
      <c r="T62" s="53"/>
    </row>
    <row r="63" spans="1:20" ht="24" x14ac:dyDescent="0.25">
      <c r="A63" s="76">
        <v>1142</v>
      </c>
      <c r="B63" s="127" t="s">
        <v>81</v>
      </c>
      <c r="C63" s="128">
        <f t="shared" si="4"/>
        <v>922</v>
      </c>
      <c r="D63" s="134"/>
      <c r="E63" s="283"/>
      <c r="F63" s="279">
        <f t="shared" si="5"/>
        <v>0</v>
      </c>
      <c r="G63" s="134">
        <v>922</v>
      </c>
      <c r="H63" s="135"/>
      <c r="I63" s="136">
        <f t="shared" si="6"/>
        <v>922</v>
      </c>
      <c r="J63" s="134"/>
      <c r="K63" s="135"/>
      <c r="L63" s="136">
        <f t="shared" si="7"/>
        <v>0</v>
      </c>
      <c r="M63" s="284"/>
      <c r="N63" s="285"/>
      <c r="O63" s="136">
        <f t="shared" si="8"/>
        <v>0</v>
      </c>
      <c r="P63" s="85"/>
      <c r="R63" s="53"/>
      <c r="S63" s="53"/>
      <c r="T63" s="53"/>
    </row>
    <row r="64" spans="1:20" ht="24" x14ac:dyDescent="0.25">
      <c r="A64" s="76">
        <v>1145</v>
      </c>
      <c r="B64" s="127" t="s">
        <v>82</v>
      </c>
      <c r="C64" s="128">
        <f t="shared" si="4"/>
        <v>50129</v>
      </c>
      <c r="D64" s="134">
        <v>460</v>
      </c>
      <c r="E64" s="283"/>
      <c r="F64" s="279">
        <f t="shared" si="5"/>
        <v>460</v>
      </c>
      <c r="G64" s="134">
        <v>49669</v>
      </c>
      <c r="H64" s="135"/>
      <c r="I64" s="136">
        <f t="shared" si="6"/>
        <v>49669</v>
      </c>
      <c r="J64" s="134"/>
      <c r="K64" s="135"/>
      <c r="L64" s="136">
        <f t="shared" si="7"/>
        <v>0</v>
      </c>
      <c r="M64" s="284"/>
      <c r="N64" s="285"/>
      <c r="O64" s="136">
        <f t="shared" si="8"/>
        <v>0</v>
      </c>
      <c r="P64" s="85" t="s">
        <v>1210</v>
      </c>
      <c r="R64" s="53"/>
      <c r="S64" s="53"/>
      <c r="T64" s="53"/>
    </row>
    <row r="65" spans="1:20" ht="24" x14ac:dyDescent="0.25">
      <c r="A65" s="76">
        <v>1146</v>
      </c>
      <c r="B65" s="127" t="s">
        <v>83</v>
      </c>
      <c r="C65" s="128">
        <f t="shared" si="4"/>
        <v>1036</v>
      </c>
      <c r="D65" s="134"/>
      <c r="E65" s="283"/>
      <c r="F65" s="279">
        <f t="shared" si="5"/>
        <v>0</v>
      </c>
      <c r="G65" s="134">
        <v>1036</v>
      </c>
      <c r="H65" s="135"/>
      <c r="I65" s="136">
        <f t="shared" si="6"/>
        <v>1036</v>
      </c>
      <c r="J65" s="134"/>
      <c r="K65" s="135"/>
      <c r="L65" s="136">
        <f t="shared" si="7"/>
        <v>0</v>
      </c>
      <c r="M65" s="284"/>
      <c r="N65" s="285"/>
      <c r="O65" s="136">
        <f t="shared" si="8"/>
        <v>0</v>
      </c>
      <c r="P65" s="85"/>
      <c r="R65" s="53"/>
      <c r="S65" s="53"/>
      <c r="T65" s="53"/>
    </row>
    <row r="66" spans="1:20" x14ac:dyDescent="0.25">
      <c r="A66" s="76">
        <v>1147</v>
      </c>
      <c r="B66" s="127" t="s">
        <v>84</v>
      </c>
      <c r="C66" s="128">
        <f t="shared" si="4"/>
        <v>1776</v>
      </c>
      <c r="D66" s="134"/>
      <c r="E66" s="283"/>
      <c r="F66" s="279">
        <f t="shared" si="5"/>
        <v>0</v>
      </c>
      <c r="G66" s="134">
        <v>1776</v>
      </c>
      <c r="H66" s="135"/>
      <c r="I66" s="136">
        <f t="shared" si="6"/>
        <v>1776</v>
      </c>
      <c r="J66" s="134"/>
      <c r="K66" s="135"/>
      <c r="L66" s="136">
        <f t="shared" si="7"/>
        <v>0</v>
      </c>
      <c r="M66" s="284"/>
      <c r="N66" s="285"/>
      <c r="O66" s="136">
        <f t="shared" si="8"/>
        <v>0</v>
      </c>
      <c r="P66" s="85"/>
      <c r="R66" s="53"/>
      <c r="S66" s="53"/>
      <c r="T66" s="53"/>
    </row>
    <row r="67" spans="1:20" x14ac:dyDescent="0.25">
      <c r="A67" s="76">
        <v>1148</v>
      </c>
      <c r="B67" s="127" t="s">
        <v>85</v>
      </c>
      <c r="C67" s="128">
        <f t="shared" si="4"/>
        <v>12326</v>
      </c>
      <c r="D67" s="134">
        <v>12326</v>
      </c>
      <c r="E67" s="283"/>
      <c r="F67" s="279">
        <f t="shared" si="5"/>
        <v>12326</v>
      </c>
      <c r="G67" s="134"/>
      <c r="H67" s="135"/>
      <c r="I67" s="136">
        <f t="shared" si="6"/>
        <v>0</v>
      </c>
      <c r="J67" s="134"/>
      <c r="K67" s="135"/>
      <c r="L67" s="136">
        <f t="shared" si="7"/>
        <v>0</v>
      </c>
      <c r="M67" s="284"/>
      <c r="N67" s="285"/>
      <c r="O67" s="136">
        <f t="shared" si="8"/>
        <v>0</v>
      </c>
      <c r="P67" s="85"/>
      <c r="R67" s="53"/>
      <c r="S67" s="53"/>
      <c r="T67" s="53"/>
    </row>
    <row r="68" spans="1:20" ht="25.5" customHeight="1" x14ac:dyDescent="0.25">
      <c r="A68" s="76">
        <v>1149</v>
      </c>
      <c r="B68" s="127" t="s">
        <v>86</v>
      </c>
      <c r="C68" s="128">
        <f t="shared" si="4"/>
        <v>8249</v>
      </c>
      <c r="D68" s="134">
        <v>5</v>
      </c>
      <c r="E68" s="283"/>
      <c r="F68" s="279">
        <f t="shared" si="5"/>
        <v>5</v>
      </c>
      <c r="G68" s="134">
        <v>8244</v>
      </c>
      <c r="H68" s="135"/>
      <c r="I68" s="136">
        <f t="shared" si="6"/>
        <v>8244</v>
      </c>
      <c r="J68" s="134"/>
      <c r="K68" s="135"/>
      <c r="L68" s="136">
        <f t="shared" si="7"/>
        <v>0</v>
      </c>
      <c r="M68" s="284"/>
      <c r="N68" s="285"/>
      <c r="O68" s="136">
        <f t="shared" si="8"/>
        <v>0</v>
      </c>
      <c r="P68" s="85" t="s">
        <v>1210</v>
      </c>
      <c r="R68" s="53"/>
      <c r="S68" s="53"/>
      <c r="T68" s="53"/>
    </row>
    <row r="69" spans="1:20" ht="24" customHeight="1" x14ac:dyDescent="0.25">
      <c r="A69" s="254">
        <v>1150</v>
      </c>
      <c r="B69" s="179" t="s">
        <v>87</v>
      </c>
      <c r="C69" s="128">
        <f t="shared" si="4"/>
        <v>285</v>
      </c>
      <c r="D69" s="287">
        <v>0</v>
      </c>
      <c r="E69" s="288">
        <v>0</v>
      </c>
      <c r="F69" s="257">
        <f t="shared" si="5"/>
        <v>0</v>
      </c>
      <c r="G69" s="287">
        <v>285</v>
      </c>
      <c r="H69" s="289"/>
      <c r="I69" s="259">
        <f t="shared" si="6"/>
        <v>285</v>
      </c>
      <c r="J69" s="287"/>
      <c r="K69" s="289"/>
      <c r="L69" s="259">
        <f t="shared" si="7"/>
        <v>0</v>
      </c>
      <c r="M69" s="290"/>
      <c r="N69" s="291"/>
      <c r="O69" s="259">
        <f t="shared" si="8"/>
        <v>0</v>
      </c>
      <c r="P69" s="189" t="s">
        <v>1210</v>
      </c>
      <c r="R69" s="53"/>
      <c r="S69" s="53"/>
      <c r="T69" s="53"/>
    </row>
    <row r="70" spans="1:20" ht="36" x14ac:dyDescent="0.25">
      <c r="A70" s="99">
        <v>1200</v>
      </c>
      <c r="B70" s="247" t="s">
        <v>88</v>
      </c>
      <c r="C70" s="100">
        <f t="shared" si="4"/>
        <v>148533</v>
      </c>
      <c r="D70" s="112">
        <f>SUM(D71:D72)</f>
        <v>30411</v>
      </c>
      <c r="E70" s="248">
        <f>SUM(E71:E72)</f>
        <v>0</v>
      </c>
      <c r="F70" s="249">
        <f>D70+E70</f>
        <v>30411</v>
      </c>
      <c r="G70" s="112">
        <f>SUM(G71:G72)</f>
        <v>118122</v>
      </c>
      <c r="H70" s="113">
        <f>SUM(H71:H72)</f>
        <v>0</v>
      </c>
      <c r="I70" s="114">
        <f t="shared" si="6"/>
        <v>118122</v>
      </c>
      <c r="J70" s="112">
        <f>SUM(J71:J72)</f>
        <v>0</v>
      </c>
      <c r="K70" s="113">
        <f>SUM(K71:K72)</f>
        <v>0</v>
      </c>
      <c r="L70" s="114">
        <f t="shared" si="7"/>
        <v>0</v>
      </c>
      <c r="M70" s="292">
        <f>SUM(M71:M72)</f>
        <v>0</v>
      </c>
      <c r="N70" s="293">
        <f>SUM(N71:N72)</f>
        <v>0</v>
      </c>
      <c r="O70" s="114">
        <f t="shared" si="8"/>
        <v>0</v>
      </c>
      <c r="P70" s="109"/>
      <c r="R70" s="53"/>
      <c r="S70" s="53"/>
      <c r="T70" s="53"/>
    </row>
    <row r="71" spans="1:20" ht="24" x14ac:dyDescent="0.25">
      <c r="A71" s="656">
        <v>1210</v>
      </c>
      <c r="B71" s="116" t="s">
        <v>89</v>
      </c>
      <c r="C71" s="117">
        <f t="shared" si="4"/>
        <v>114020</v>
      </c>
      <c r="D71" s="123">
        <v>7393</v>
      </c>
      <c r="E71" s="295">
        <v>0</v>
      </c>
      <c r="F71" s="296">
        <f t="shared" si="5"/>
        <v>7393</v>
      </c>
      <c r="G71" s="123">
        <v>106627</v>
      </c>
      <c r="H71" s="135"/>
      <c r="I71" s="125">
        <f t="shared" si="6"/>
        <v>106627</v>
      </c>
      <c r="J71" s="123"/>
      <c r="K71" s="124"/>
      <c r="L71" s="125">
        <f t="shared" si="7"/>
        <v>0</v>
      </c>
      <c r="M71" s="264"/>
      <c r="N71" s="262"/>
      <c r="O71" s="125">
        <f t="shared" si="8"/>
        <v>0</v>
      </c>
      <c r="P71" s="85" t="s">
        <v>1210</v>
      </c>
      <c r="R71" s="53"/>
      <c r="S71" s="53"/>
      <c r="T71" s="53"/>
    </row>
    <row r="72" spans="1:20" ht="24" x14ac:dyDescent="0.25">
      <c r="A72" s="276">
        <v>1220</v>
      </c>
      <c r="B72" s="127" t="s">
        <v>90</v>
      </c>
      <c r="C72" s="128">
        <f t="shared" si="4"/>
        <v>34513</v>
      </c>
      <c r="D72" s="277">
        <f>SUM(D73:D77)</f>
        <v>23018</v>
      </c>
      <c r="E72" s="278">
        <f>SUM(E73:E77)</f>
        <v>0</v>
      </c>
      <c r="F72" s="279">
        <f t="shared" si="5"/>
        <v>23018</v>
      </c>
      <c r="G72" s="277">
        <f>SUM(G73:G77)</f>
        <v>11495</v>
      </c>
      <c r="H72" s="280">
        <f>SUM(H73:H77)</f>
        <v>0</v>
      </c>
      <c r="I72" s="136">
        <f t="shared" si="6"/>
        <v>11495</v>
      </c>
      <c r="J72" s="277">
        <f>SUM(J73:J77)</f>
        <v>0</v>
      </c>
      <c r="K72" s="280">
        <f>SUM(K73:K77)</f>
        <v>0</v>
      </c>
      <c r="L72" s="136">
        <f t="shared" si="7"/>
        <v>0</v>
      </c>
      <c r="M72" s="281">
        <f>SUM(M73:M77)</f>
        <v>0</v>
      </c>
      <c r="N72" s="282">
        <f>SUM(N73:N77)</f>
        <v>0</v>
      </c>
      <c r="O72" s="136">
        <f t="shared" si="8"/>
        <v>0</v>
      </c>
      <c r="P72" s="85"/>
      <c r="R72" s="53"/>
      <c r="S72" s="53"/>
      <c r="T72" s="53"/>
    </row>
    <row r="73" spans="1:20" ht="48" x14ac:dyDescent="0.25">
      <c r="A73" s="76">
        <v>1221</v>
      </c>
      <c r="B73" s="127" t="s">
        <v>91</v>
      </c>
      <c r="C73" s="128">
        <f t="shared" si="4"/>
        <v>22231</v>
      </c>
      <c r="D73" s="134">
        <v>15656</v>
      </c>
      <c r="E73" s="283">
        <v>0</v>
      </c>
      <c r="F73" s="279">
        <f t="shared" si="5"/>
        <v>15656</v>
      </c>
      <c r="G73" s="134">
        <v>6575</v>
      </c>
      <c r="H73" s="135"/>
      <c r="I73" s="136">
        <f t="shared" si="6"/>
        <v>6575</v>
      </c>
      <c r="J73" s="134"/>
      <c r="K73" s="135"/>
      <c r="L73" s="136">
        <f t="shared" si="7"/>
        <v>0</v>
      </c>
      <c r="M73" s="284"/>
      <c r="N73" s="285"/>
      <c r="O73" s="136">
        <f t="shared" si="8"/>
        <v>0</v>
      </c>
      <c r="P73" s="85" t="s">
        <v>1210</v>
      </c>
      <c r="R73" s="53"/>
      <c r="S73" s="53"/>
      <c r="T73" s="53"/>
    </row>
    <row r="74" spans="1:20" hidden="1" x14ac:dyDescent="0.25">
      <c r="A74" s="76">
        <v>1223</v>
      </c>
      <c r="B74" s="127" t="s">
        <v>92</v>
      </c>
      <c r="C74" s="128">
        <f t="shared" si="4"/>
        <v>0</v>
      </c>
      <c r="D74" s="134"/>
      <c r="E74" s="285"/>
      <c r="F74" s="286">
        <f t="shared" si="5"/>
        <v>0</v>
      </c>
      <c r="G74" s="134"/>
      <c r="H74" s="135"/>
      <c r="I74" s="136">
        <f t="shared" si="6"/>
        <v>0</v>
      </c>
      <c r="J74" s="134"/>
      <c r="K74" s="135"/>
      <c r="L74" s="136">
        <f t="shared" si="7"/>
        <v>0</v>
      </c>
      <c r="M74" s="284"/>
      <c r="N74" s="285"/>
      <c r="O74" s="136">
        <f t="shared" si="8"/>
        <v>0</v>
      </c>
      <c r="P74" s="85"/>
      <c r="R74" s="53"/>
      <c r="S74" s="53"/>
    </row>
    <row r="75" spans="1:20" hidden="1" x14ac:dyDescent="0.25">
      <c r="A75" s="76">
        <v>1225</v>
      </c>
      <c r="B75" s="127" t="s">
        <v>93</v>
      </c>
      <c r="C75" s="128">
        <f t="shared" si="4"/>
        <v>0</v>
      </c>
      <c r="D75" s="134"/>
      <c r="E75" s="285"/>
      <c r="F75" s="286">
        <f t="shared" si="5"/>
        <v>0</v>
      </c>
      <c r="G75" s="134"/>
      <c r="H75" s="135"/>
      <c r="I75" s="136">
        <f t="shared" si="6"/>
        <v>0</v>
      </c>
      <c r="J75" s="134"/>
      <c r="K75" s="135"/>
      <c r="L75" s="136">
        <f t="shared" si="7"/>
        <v>0</v>
      </c>
      <c r="M75" s="284"/>
      <c r="N75" s="285"/>
      <c r="O75" s="136">
        <f t="shared" si="8"/>
        <v>0</v>
      </c>
      <c r="P75" s="85"/>
      <c r="R75" s="53"/>
      <c r="S75" s="53"/>
    </row>
    <row r="76" spans="1:20" ht="24" x14ac:dyDescent="0.25">
      <c r="A76" s="76">
        <v>1227</v>
      </c>
      <c r="B76" s="127" t="s">
        <v>94</v>
      </c>
      <c r="C76" s="128">
        <f t="shared" si="4"/>
        <v>11426</v>
      </c>
      <c r="D76" s="134">
        <v>6934</v>
      </c>
      <c r="E76" s="283"/>
      <c r="F76" s="279">
        <f t="shared" si="5"/>
        <v>6934</v>
      </c>
      <c r="G76" s="134">
        <v>4492</v>
      </c>
      <c r="H76" s="135"/>
      <c r="I76" s="136">
        <f t="shared" si="6"/>
        <v>4492</v>
      </c>
      <c r="J76" s="134"/>
      <c r="K76" s="135"/>
      <c r="L76" s="136">
        <f t="shared" si="7"/>
        <v>0</v>
      </c>
      <c r="M76" s="284"/>
      <c r="N76" s="285"/>
      <c r="O76" s="136">
        <f t="shared" si="8"/>
        <v>0</v>
      </c>
      <c r="P76" s="85"/>
      <c r="R76" s="53"/>
      <c r="S76" s="53"/>
      <c r="T76" s="53"/>
    </row>
    <row r="77" spans="1:20" ht="48" x14ac:dyDescent="0.25">
      <c r="A77" s="76">
        <v>1228</v>
      </c>
      <c r="B77" s="127" t="s">
        <v>95</v>
      </c>
      <c r="C77" s="128">
        <f t="shared" si="4"/>
        <v>856</v>
      </c>
      <c r="D77" s="134">
        <v>428</v>
      </c>
      <c r="E77" s="283"/>
      <c r="F77" s="279">
        <f t="shared" si="5"/>
        <v>428</v>
      </c>
      <c r="G77" s="134">
        <v>428</v>
      </c>
      <c r="H77" s="135"/>
      <c r="I77" s="136">
        <f t="shared" si="6"/>
        <v>428</v>
      </c>
      <c r="J77" s="134"/>
      <c r="K77" s="135"/>
      <c r="L77" s="136">
        <f t="shared" si="7"/>
        <v>0</v>
      </c>
      <c r="M77" s="284"/>
      <c r="N77" s="285"/>
      <c r="O77" s="136">
        <f t="shared" si="8"/>
        <v>0</v>
      </c>
      <c r="P77" s="85"/>
      <c r="R77" s="53"/>
      <c r="S77" s="53"/>
      <c r="T77" s="53"/>
    </row>
    <row r="78" spans="1:20" x14ac:dyDescent="0.25">
      <c r="A78" s="237">
        <v>2000</v>
      </c>
      <c r="B78" s="237" t="s">
        <v>96</v>
      </c>
      <c r="C78" s="238">
        <f t="shared" si="4"/>
        <v>148670</v>
      </c>
      <c r="D78" s="239">
        <f>SUM(D79,D86,D133,D167,D168,D175)</f>
        <v>0</v>
      </c>
      <c r="E78" s="240">
        <f>SUM(E79,E86,E133,E167,E168,E175)</f>
        <v>0</v>
      </c>
      <c r="F78" s="241">
        <f t="shared" si="5"/>
        <v>0</v>
      </c>
      <c r="G78" s="239">
        <f>SUM(G79,G86,G133,G167,G168,G175)</f>
        <v>136105</v>
      </c>
      <c r="H78" s="242">
        <f>SUM(H79,H86,H133,H167,H168,H175)</f>
        <v>0</v>
      </c>
      <c r="I78" s="243">
        <f t="shared" si="6"/>
        <v>136105</v>
      </c>
      <c r="J78" s="239">
        <f>SUM(J79,J86,J133,J167,J168,J175)</f>
        <v>12565</v>
      </c>
      <c r="K78" s="242">
        <f>SUM(K79,K86,K133,K167,K168,K175)</f>
        <v>0</v>
      </c>
      <c r="L78" s="243">
        <f t="shared" si="7"/>
        <v>12565</v>
      </c>
      <c r="M78" s="244">
        <f>SUM(M79,M86,M133,M167,M168,M175)</f>
        <v>0</v>
      </c>
      <c r="N78" s="245">
        <f>SUM(N79,N86,N133,N167,N168,N175)</f>
        <v>0</v>
      </c>
      <c r="O78" s="243">
        <f t="shared" si="8"/>
        <v>0</v>
      </c>
      <c r="P78" s="246"/>
      <c r="R78" s="53"/>
      <c r="S78" s="53"/>
      <c r="T78" s="53"/>
    </row>
    <row r="79" spans="1:20" ht="24" x14ac:dyDescent="0.25">
      <c r="A79" s="99">
        <v>2100</v>
      </c>
      <c r="B79" s="247" t="s">
        <v>97</v>
      </c>
      <c r="C79" s="100">
        <f t="shared" si="4"/>
        <v>256</v>
      </c>
      <c r="D79" s="112">
        <f>SUM(D80,D83)</f>
        <v>0</v>
      </c>
      <c r="E79" s="248">
        <f>SUM(E80,E83)</f>
        <v>0</v>
      </c>
      <c r="F79" s="249">
        <f t="shared" si="5"/>
        <v>0</v>
      </c>
      <c r="G79" s="112">
        <f>SUM(G80,G83)</f>
        <v>256</v>
      </c>
      <c r="H79" s="113">
        <f>SUM(H80,H83)</f>
        <v>0</v>
      </c>
      <c r="I79" s="114">
        <f t="shared" si="6"/>
        <v>256</v>
      </c>
      <c r="J79" s="112">
        <f>SUM(J80,J83)</f>
        <v>0</v>
      </c>
      <c r="K79" s="113">
        <f>SUM(K80,K83)</f>
        <v>0</v>
      </c>
      <c r="L79" s="114">
        <f t="shared" si="7"/>
        <v>0</v>
      </c>
      <c r="M79" s="292">
        <f>SUM(M80,M83)</f>
        <v>0</v>
      </c>
      <c r="N79" s="293">
        <f>SUM(N80,N83)</f>
        <v>0</v>
      </c>
      <c r="O79" s="114">
        <f t="shared" si="8"/>
        <v>0</v>
      </c>
      <c r="P79" s="109"/>
      <c r="R79" s="53"/>
      <c r="S79" s="53"/>
      <c r="T79" s="53"/>
    </row>
    <row r="80" spans="1:20" ht="24" x14ac:dyDescent="0.25">
      <c r="A80" s="656">
        <v>2110</v>
      </c>
      <c r="B80" s="116" t="s">
        <v>98</v>
      </c>
      <c r="C80" s="117">
        <f t="shared" si="4"/>
        <v>256</v>
      </c>
      <c r="D80" s="297">
        <f>SUM(D81:D82)</f>
        <v>0</v>
      </c>
      <c r="E80" s="298">
        <f>SUM(E81:E82)</f>
        <v>0</v>
      </c>
      <c r="F80" s="296">
        <f t="shared" si="5"/>
        <v>0</v>
      </c>
      <c r="G80" s="297">
        <f>SUM(G81:G82)</f>
        <v>256</v>
      </c>
      <c r="H80" s="299">
        <f>SUM(H81:H82)</f>
        <v>0</v>
      </c>
      <c r="I80" s="125">
        <f t="shared" si="6"/>
        <v>256</v>
      </c>
      <c r="J80" s="297">
        <f>SUM(J81:J82)</f>
        <v>0</v>
      </c>
      <c r="K80" s="299">
        <f>SUM(K81:K82)</f>
        <v>0</v>
      </c>
      <c r="L80" s="125">
        <f t="shared" si="7"/>
        <v>0</v>
      </c>
      <c r="M80" s="300">
        <f>SUM(M81:M82)</f>
        <v>0</v>
      </c>
      <c r="N80" s="301">
        <f>SUM(N81:N82)</f>
        <v>0</v>
      </c>
      <c r="O80" s="125">
        <f t="shared" si="8"/>
        <v>0</v>
      </c>
      <c r="P80" s="74"/>
      <c r="R80" s="53"/>
      <c r="S80" s="53"/>
      <c r="T80" s="53"/>
    </row>
    <row r="81" spans="1:20" hidden="1" x14ac:dyDescent="0.25">
      <c r="A81" s="76">
        <v>2111</v>
      </c>
      <c r="B81" s="127" t="s">
        <v>99</v>
      </c>
      <c r="C81" s="128">
        <f t="shared" si="4"/>
        <v>0</v>
      </c>
      <c r="D81" s="134"/>
      <c r="E81" s="285"/>
      <c r="F81" s="286">
        <f t="shared" si="5"/>
        <v>0</v>
      </c>
      <c r="G81" s="134"/>
      <c r="H81" s="135"/>
      <c r="I81" s="136">
        <f t="shared" si="6"/>
        <v>0</v>
      </c>
      <c r="J81" s="134"/>
      <c r="K81" s="135"/>
      <c r="L81" s="136">
        <f t="shared" si="7"/>
        <v>0</v>
      </c>
      <c r="M81" s="284"/>
      <c r="N81" s="285"/>
      <c r="O81" s="136">
        <f t="shared" si="8"/>
        <v>0</v>
      </c>
      <c r="P81" s="85"/>
      <c r="R81" s="53"/>
      <c r="S81" s="53"/>
    </row>
    <row r="82" spans="1:20" ht="24" x14ac:dyDescent="0.25">
      <c r="A82" s="76">
        <v>2112</v>
      </c>
      <c r="B82" s="127" t="s">
        <v>100</v>
      </c>
      <c r="C82" s="128">
        <f t="shared" si="4"/>
        <v>256</v>
      </c>
      <c r="D82" s="134"/>
      <c r="E82" s="283"/>
      <c r="F82" s="279">
        <f t="shared" si="5"/>
        <v>0</v>
      </c>
      <c r="G82" s="134">
        <v>256</v>
      </c>
      <c r="H82" s="135"/>
      <c r="I82" s="136">
        <f t="shared" si="6"/>
        <v>256</v>
      </c>
      <c r="J82" s="134"/>
      <c r="K82" s="135"/>
      <c r="L82" s="136">
        <f t="shared" si="7"/>
        <v>0</v>
      </c>
      <c r="M82" s="284"/>
      <c r="N82" s="285"/>
      <c r="O82" s="136">
        <f t="shared" si="8"/>
        <v>0</v>
      </c>
      <c r="P82" s="85"/>
      <c r="R82" s="53"/>
      <c r="S82" s="53"/>
      <c r="T82" s="53"/>
    </row>
    <row r="83" spans="1:20" ht="24" hidden="1" x14ac:dyDescent="0.25">
      <c r="A83" s="276">
        <v>2120</v>
      </c>
      <c r="B83" s="127" t="s">
        <v>101</v>
      </c>
      <c r="C83" s="128">
        <f t="shared" si="4"/>
        <v>0</v>
      </c>
      <c r="D83" s="277">
        <f>SUM(D84:D85)</f>
        <v>0</v>
      </c>
      <c r="E83" s="282">
        <f>SUM(E84:E85)</f>
        <v>0</v>
      </c>
      <c r="F83" s="28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c r="R83" s="53"/>
      <c r="S83" s="53"/>
    </row>
    <row r="84" spans="1:20" hidden="1" x14ac:dyDescent="0.25">
      <c r="A84" s="76">
        <v>2121</v>
      </c>
      <c r="B84" s="127" t="s">
        <v>99</v>
      </c>
      <c r="C84" s="128">
        <f t="shared" si="4"/>
        <v>0</v>
      </c>
      <c r="D84" s="134"/>
      <c r="E84" s="285"/>
      <c r="F84" s="286">
        <f t="shared" si="5"/>
        <v>0</v>
      </c>
      <c r="G84" s="134"/>
      <c r="H84" s="135"/>
      <c r="I84" s="136">
        <f t="shared" si="6"/>
        <v>0</v>
      </c>
      <c r="J84" s="134"/>
      <c r="K84" s="135"/>
      <c r="L84" s="136">
        <f t="shared" si="7"/>
        <v>0</v>
      </c>
      <c r="M84" s="284"/>
      <c r="N84" s="285"/>
      <c r="O84" s="136">
        <f t="shared" si="8"/>
        <v>0</v>
      </c>
      <c r="P84" s="85"/>
      <c r="R84" s="53"/>
      <c r="S84" s="53"/>
    </row>
    <row r="85" spans="1:20" ht="24" hidden="1" x14ac:dyDescent="0.25">
      <c r="A85" s="76">
        <v>2122</v>
      </c>
      <c r="B85" s="127" t="s">
        <v>100</v>
      </c>
      <c r="C85" s="128">
        <f t="shared" si="4"/>
        <v>0</v>
      </c>
      <c r="D85" s="134"/>
      <c r="E85" s="285"/>
      <c r="F85" s="286">
        <f t="shared" si="5"/>
        <v>0</v>
      </c>
      <c r="G85" s="134"/>
      <c r="H85" s="135"/>
      <c r="I85" s="136">
        <f t="shared" si="6"/>
        <v>0</v>
      </c>
      <c r="J85" s="134"/>
      <c r="K85" s="135"/>
      <c r="L85" s="136">
        <f t="shared" si="7"/>
        <v>0</v>
      </c>
      <c r="M85" s="284"/>
      <c r="N85" s="285"/>
      <c r="O85" s="136">
        <f t="shared" si="8"/>
        <v>0</v>
      </c>
      <c r="P85" s="85"/>
      <c r="R85" s="53"/>
      <c r="S85" s="53"/>
    </row>
    <row r="86" spans="1:20" x14ac:dyDescent="0.25">
      <c r="A86" s="99">
        <v>2200</v>
      </c>
      <c r="B86" s="247" t="s">
        <v>102</v>
      </c>
      <c r="C86" s="302">
        <f t="shared" si="4"/>
        <v>48920</v>
      </c>
      <c r="D86" s="112">
        <f>SUM(D87,D92,D98,D106,D115,D119,D125,D131)</f>
        <v>0</v>
      </c>
      <c r="E86" s="248">
        <f>SUM(E87,E92,E98,E106,E115,E119,E125,E131)</f>
        <v>0</v>
      </c>
      <c r="F86" s="249">
        <f t="shared" si="5"/>
        <v>0</v>
      </c>
      <c r="G86" s="112">
        <f>SUM(G87,G92,G98,G106,G115,G119,G125,G131)</f>
        <v>46282</v>
      </c>
      <c r="H86" s="113">
        <f>SUM(H87,H92,H98,H106,H115,H119,H125,H131)</f>
        <v>-1360</v>
      </c>
      <c r="I86" s="114">
        <f t="shared" si="6"/>
        <v>44922</v>
      </c>
      <c r="J86" s="112">
        <f>SUM(J87,J92,J98,J106,J115,J119,J125,J131)</f>
        <v>3998</v>
      </c>
      <c r="K86" s="113">
        <f>SUM(K87,K92,K98,K106,K115,K119,K125,K131)</f>
        <v>0</v>
      </c>
      <c r="L86" s="114">
        <f t="shared" si="7"/>
        <v>3998</v>
      </c>
      <c r="M86" s="303">
        <f>SUM(M87,M92,M98,M106,M115,M119,M125,M131)</f>
        <v>0</v>
      </c>
      <c r="N86" s="304">
        <f>SUM(N87,N92,N98,N106,N115,N119,N125,N131)</f>
        <v>0</v>
      </c>
      <c r="O86" s="305">
        <f t="shared" si="8"/>
        <v>0</v>
      </c>
      <c r="P86" s="306"/>
      <c r="R86" s="53"/>
      <c r="S86" s="53"/>
      <c r="T86" s="53"/>
    </row>
    <row r="87" spans="1:20" x14ac:dyDescent="0.25">
      <c r="A87" s="254">
        <v>2210</v>
      </c>
      <c r="B87" s="179" t="s">
        <v>103</v>
      </c>
      <c r="C87" s="191">
        <f t="shared" si="4"/>
        <v>3473</v>
      </c>
      <c r="D87" s="255">
        <f>SUM(D88:D91)</f>
        <v>0</v>
      </c>
      <c r="E87" s="256">
        <f>SUM(E88:E91)</f>
        <v>0</v>
      </c>
      <c r="F87" s="257">
        <f t="shared" si="5"/>
        <v>0</v>
      </c>
      <c r="G87" s="255">
        <f>SUM(G88:G91)</f>
        <v>2992</v>
      </c>
      <c r="H87" s="258">
        <f>SUM(H88:H91)</f>
        <v>0</v>
      </c>
      <c r="I87" s="259">
        <f t="shared" si="6"/>
        <v>2992</v>
      </c>
      <c r="J87" s="255">
        <f>SUM(J88:J91)</f>
        <v>481</v>
      </c>
      <c r="K87" s="258">
        <f>SUM(K88:K91)</f>
        <v>0</v>
      </c>
      <c r="L87" s="259">
        <f t="shared" si="7"/>
        <v>481</v>
      </c>
      <c r="M87" s="260">
        <f>SUM(M88:M91)</f>
        <v>0</v>
      </c>
      <c r="N87" s="261">
        <f>SUM(N88:N91)</f>
        <v>0</v>
      </c>
      <c r="O87" s="259">
        <f t="shared" si="8"/>
        <v>0</v>
      </c>
      <c r="P87" s="189"/>
      <c r="R87" s="53"/>
      <c r="S87" s="53"/>
      <c r="T87" s="53"/>
    </row>
    <row r="88" spans="1:20" ht="24" hidden="1" x14ac:dyDescent="0.25">
      <c r="A88" s="66">
        <v>2211</v>
      </c>
      <c r="B88" s="116" t="s">
        <v>104</v>
      </c>
      <c r="C88" s="128">
        <f t="shared" si="4"/>
        <v>0</v>
      </c>
      <c r="D88" s="123"/>
      <c r="E88" s="262"/>
      <c r="F88" s="263">
        <f t="shared" si="5"/>
        <v>0</v>
      </c>
      <c r="G88" s="123"/>
      <c r="H88" s="124"/>
      <c r="I88" s="125">
        <f t="shared" si="6"/>
        <v>0</v>
      </c>
      <c r="J88" s="123"/>
      <c r="K88" s="124"/>
      <c r="L88" s="125">
        <f t="shared" si="7"/>
        <v>0</v>
      </c>
      <c r="M88" s="264"/>
      <c r="N88" s="262"/>
      <c r="O88" s="125">
        <f t="shared" si="8"/>
        <v>0</v>
      </c>
      <c r="P88" s="74"/>
      <c r="R88" s="53"/>
      <c r="S88" s="53"/>
    </row>
    <row r="89" spans="1:20" ht="36" x14ac:dyDescent="0.25">
      <c r="A89" s="76">
        <v>2212</v>
      </c>
      <c r="B89" s="127" t="s">
        <v>105</v>
      </c>
      <c r="C89" s="128">
        <f t="shared" si="4"/>
        <v>2260</v>
      </c>
      <c r="D89" s="134"/>
      <c r="E89" s="283"/>
      <c r="F89" s="279">
        <f t="shared" si="5"/>
        <v>0</v>
      </c>
      <c r="G89" s="134">
        <v>2089</v>
      </c>
      <c r="H89" s="135"/>
      <c r="I89" s="136">
        <f t="shared" si="6"/>
        <v>2089</v>
      </c>
      <c r="J89" s="134">
        <v>171</v>
      </c>
      <c r="K89" s="135"/>
      <c r="L89" s="136">
        <f t="shared" si="7"/>
        <v>171</v>
      </c>
      <c r="M89" s="284"/>
      <c r="N89" s="285"/>
      <c r="O89" s="136">
        <f t="shared" si="8"/>
        <v>0</v>
      </c>
      <c r="P89" s="85"/>
      <c r="R89" s="53"/>
      <c r="S89" s="53"/>
      <c r="T89" s="53"/>
    </row>
    <row r="90" spans="1:20" ht="24" x14ac:dyDescent="0.25">
      <c r="A90" s="76">
        <v>2214</v>
      </c>
      <c r="B90" s="127" t="s">
        <v>106</v>
      </c>
      <c r="C90" s="128">
        <f t="shared" si="4"/>
        <v>1015</v>
      </c>
      <c r="D90" s="134"/>
      <c r="E90" s="283"/>
      <c r="F90" s="279">
        <f t="shared" si="5"/>
        <v>0</v>
      </c>
      <c r="G90" s="134">
        <v>705</v>
      </c>
      <c r="H90" s="135"/>
      <c r="I90" s="136">
        <f t="shared" si="6"/>
        <v>705</v>
      </c>
      <c r="J90" s="134">
        <v>310</v>
      </c>
      <c r="K90" s="135"/>
      <c r="L90" s="136">
        <f t="shared" si="7"/>
        <v>310</v>
      </c>
      <c r="M90" s="284"/>
      <c r="N90" s="285"/>
      <c r="O90" s="136">
        <f t="shared" si="8"/>
        <v>0</v>
      </c>
      <c r="P90" s="85" t="s">
        <v>1210</v>
      </c>
      <c r="R90" s="53"/>
      <c r="S90" s="53"/>
      <c r="T90" s="53"/>
    </row>
    <row r="91" spans="1:20" x14ac:dyDescent="0.25">
      <c r="A91" s="76">
        <v>2219</v>
      </c>
      <c r="B91" s="127" t="s">
        <v>107</v>
      </c>
      <c r="C91" s="128">
        <f t="shared" si="4"/>
        <v>198</v>
      </c>
      <c r="D91" s="134"/>
      <c r="E91" s="283"/>
      <c r="F91" s="279">
        <f t="shared" si="5"/>
        <v>0</v>
      </c>
      <c r="G91" s="134">
        <v>198</v>
      </c>
      <c r="H91" s="135">
        <v>0</v>
      </c>
      <c r="I91" s="136">
        <f t="shared" si="6"/>
        <v>198</v>
      </c>
      <c r="J91" s="134"/>
      <c r="K91" s="135"/>
      <c r="L91" s="136">
        <f t="shared" si="7"/>
        <v>0</v>
      </c>
      <c r="M91" s="284"/>
      <c r="N91" s="285"/>
      <c r="O91" s="136">
        <f t="shared" si="8"/>
        <v>0</v>
      </c>
      <c r="P91" s="85" t="s">
        <v>1210</v>
      </c>
      <c r="R91" s="53"/>
      <c r="S91" s="53"/>
      <c r="T91" s="53"/>
    </row>
    <row r="92" spans="1:20" x14ac:dyDescent="0.25">
      <c r="A92" s="276">
        <v>2220</v>
      </c>
      <c r="B92" s="127" t="s">
        <v>108</v>
      </c>
      <c r="C92" s="128">
        <f t="shared" si="4"/>
        <v>15682</v>
      </c>
      <c r="D92" s="277">
        <f>SUM(D93:D97)</f>
        <v>0</v>
      </c>
      <c r="E92" s="278">
        <f>SUM(E93:E97)</f>
        <v>0</v>
      </c>
      <c r="F92" s="279">
        <f t="shared" si="5"/>
        <v>0</v>
      </c>
      <c r="G92" s="277">
        <f>SUM(G93:G97)</f>
        <v>15512</v>
      </c>
      <c r="H92" s="280">
        <f>SUM(H93:H97)</f>
        <v>-1360</v>
      </c>
      <c r="I92" s="136">
        <f t="shared" si="6"/>
        <v>14152</v>
      </c>
      <c r="J92" s="277">
        <f>SUM(J93:J97)</f>
        <v>1530</v>
      </c>
      <c r="K92" s="280">
        <f>SUM(K93:K97)</f>
        <v>0</v>
      </c>
      <c r="L92" s="136">
        <f t="shared" si="7"/>
        <v>1530</v>
      </c>
      <c r="M92" s="281">
        <f>SUM(M93:M97)</f>
        <v>0</v>
      </c>
      <c r="N92" s="282">
        <f>SUM(N93:N97)</f>
        <v>0</v>
      </c>
      <c r="O92" s="136">
        <f t="shared" si="8"/>
        <v>0</v>
      </c>
      <c r="P92" s="85"/>
      <c r="R92" s="53"/>
      <c r="S92" s="53"/>
      <c r="T92" s="53"/>
    </row>
    <row r="93" spans="1:20" hidden="1" x14ac:dyDescent="0.25">
      <c r="A93" s="76">
        <v>2221</v>
      </c>
      <c r="B93" s="127" t="s">
        <v>109</v>
      </c>
      <c r="C93" s="128">
        <f t="shared" si="4"/>
        <v>0</v>
      </c>
      <c r="D93" s="134"/>
      <c r="E93" s="285"/>
      <c r="F93" s="286">
        <f t="shared" si="5"/>
        <v>0</v>
      </c>
      <c r="G93" s="134"/>
      <c r="H93" s="135"/>
      <c r="I93" s="136">
        <f t="shared" si="6"/>
        <v>0</v>
      </c>
      <c r="J93" s="134"/>
      <c r="K93" s="135"/>
      <c r="L93" s="136">
        <f t="shared" si="7"/>
        <v>0</v>
      </c>
      <c r="M93" s="284"/>
      <c r="N93" s="285"/>
      <c r="O93" s="136">
        <f t="shared" si="8"/>
        <v>0</v>
      </c>
      <c r="P93" s="85"/>
      <c r="R93" s="53"/>
      <c r="S93" s="53"/>
    </row>
    <row r="94" spans="1:20" x14ac:dyDescent="0.25">
      <c r="A94" s="76">
        <v>2222</v>
      </c>
      <c r="B94" s="127" t="s">
        <v>110</v>
      </c>
      <c r="C94" s="128">
        <f t="shared" si="4"/>
        <v>3608</v>
      </c>
      <c r="D94" s="134"/>
      <c r="E94" s="283"/>
      <c r="F94" s="279">
        <f t="shared" si="5"/>
        <v>0</v>
      </c>
      <c r="G94" s="134">
        <v>3768</v>
      </c>
      <c r="H94" s="135">
        <v>-460</v>
      </c>
      <c r="I94" s="136">
        <f t="shared" si="6"/>
        <v>3308</v>
      </c>
      <c r="J94" s="134">
        <v>300</v>
      </c>
      <c r="K94" s="135"/>
      <c r="L94" s="136">
        <f t="shared" si="7"/>
        <v>300</v>
      </c>
      <c r="M94" s="284"/>
      <c r="N94" s="285"/>
      <c r="O94" s="136">
        <f t="shared" si="8"/>
        <v>0</v>
      </c>
      <c r="P94" s="85" t="s">
        <v>1242</v>
      </c>
      <c r="R94" s="53"/>
      <c r="S94" s="53"/>
      <c r="T94" s="53"/>
    </row>
    <row r="95" spans="1:20" x14ac:dyDescent="0.25">
      <c r="A95" s="76">
        <v>2223</v>
      </c>
      <c r="B95" s="127" t="s">
        <v>111</v>
      </c>
      <c r="C95" s="128">
        <f t="shared" si="4"/>
        <v>11285</v>
      </c>
      <c r="D95" s="134"/>
      <c r="E95" s="283"/>
      <c r="F95" s="279">
        <f t="shared" si="5"/>
        <v>0</v>
      </c>
      <c r="G95" s="134">
        <v>11185</v>
      </c>
      <c r="H95" s="135">
        <v>-900</v>
      </c>
      <c r="I95" s="136">
        <f t="shared" si="6"/>
        <v>10285</v>
      </c>
      <c r="J95" s="134">
        <v>1000</v>
      </c>
      <c r="K95" s="135"/>
      <c r="L95" s="136">
        <f t="shared" si="7"/>
        <v>1000</v>
      </c>
      <c r="M95" s="284"/>
      <c r="N95" s="285"/>
      <c r="O95" s="136">
        <f t="shared" si="8"/>
        <v>0</v>
      </c>
      <c r="P95" s="85" t="s">
        <v>1243</v>
      </c>
      <c r="R95" s="53"/>
      <c r="S95" s="53"/>
      <c r="T95" s="53"/>
    </row>
    <row r="96" spans="1:20" ht="36" x14ac:dyDescent="0.25">
      <c r="A96" s="76">
        <v>2224</v>
      </c>
      <c r="B96" s="127" t="s">
        <v>112</v>
      </c>
      <c r="C96" s="128">
        <f t="shared" si="4"/>
        <v>789</v>
      </c>
      <c r="D96" s="134"/>
      <c r="E96" s="283"/>
      <c r="F96" s="279">
        <f t="shared" si="5"/>
        <v>0</v>
      </c>
      <c r="G96" s="134">
        <v>559</v>
      </c>
      <c r="H96" s="135">
        <v>0</v>
      </c>
      <c r="I96" s="136">
        <f t="shared" si="6"/>
        <v>559</v>
      </c>
      <c r="J96" s="134">
        <v>230</v>
      </c>
      <c r="K96" s="135"/>
      <c r="L96" s="136">
        <f t="shared" si="7"/>
        <v>230</v>
      </c>
      <c r="M96" s="284"/>
      <c r="N96" s="285"/>
      <c r="O96" s="136">
        <f t="shared" si="8"/>
        <v>0</v>
      </c>
      <c r="P96" s="85" t="s">
        <v>1244</v>
      </c>
      <c r="R96" s="53"/>
      <c r="S96" s="53"/>
      <c r="T96" s="53"/>
    </row>
    <row r="97" spans="1:20" ht="24" hidden="1" x14ac:dyDescent="0.25">
      <c r="A97" s="76">
        <v>2229</v>
      </c>
      <c r="B97" s="127" t="s">
        <v>113</v>
      </c>
      <c r="C97" s="128">
        <f t="shared" si="4"/>
        <v>0</v>
      </c>
      <c r="D97" s="134"/>
      <c r="E97" s="285"/>
      <c r="F97" s="286">
        <f t="shared" si="5"/>
        <v>0</v>
      </c>
      <c r="G97" s="134"/>
      <c r="H97" s="135"/>
      <c r="I97" s="136">
        <f t="shared" si="6"/>
        <v>0</v>
      </c>
      <c r="J97" s="134"/>
      <c r="K97" s="135"/>
      <c r="L97" s="136">
        <f t="shared" si="7"/>
        <v>0</v>
      </c>
      <c r="M97" s="284"/>
      <c r="N97" s="285"/>
      <c r="O97" s="136">
        <f t="shared" si="8"/>
        <v>0</v>
      </c>
      <c r="P97" s="85"/>
      <c r="R97" s="53"/>
      <c r="S97" s="53"/>
    </row>
    <row r="98" spans="1:20" ht="36" x14ac:dyDescent="0.25">
      <c r="A98" s="276">
        <v>2230</v>
      </c>
      <c r="B98" s="127" t="s">
        <v>114</v>
      </c>
      <c r="C98" s="128">
        <f t="shared" si="4"/>
        <v>2634</v>
      </c>
      <c r="D98" s="277">
        <f>SUM(D99:D105)</f>
        <v>0</v>
      </c>
      <c r="E98" s="278">
        <f>SUM(E99:E105)</f>
        <v>0</v>
      </c>
      <c r="F98" s="279">
        <f t="shared" si="5"/>
        <v>0</v>
      </c>
      <c r="G98" s="277">
        <f>SUM(G99:G105)</f>
        <v>1489</v>
      </c>
      <c r="H98" s="280">
        <f>SUM(H99:H105)</f>
        <v>0</v>
      </c>
      <c r="I98" s="136">
        <f t="shared" si="6"/>
        <v>1489</v>
      </c>
      <c r="J98" s="277">
        <f>SUM(J99:J105)</f>
        <v>1145</v>
      </c>
      <c r="K98" s="280">
        <f>SUM(K99:K105)</f>
        <v>0</v>
      </c>
      <c r="L98" s="136">
        <f t="shared" si="7"/>
        <v>1145</v>
      </c>
      <c r="M98" s="281">
        <f>SUM(M99:M105)</f>
        <v>0</v>
      </c>
      <c r="N98" s="282">
        <f>SUM(N99:N105)</f>
        <v>0</v>
      </c>
      <c r="O98" s="136">
        <f t="shared" si="8"/>
        <v>0</v>
      </c>
      <c r="P98" s="85"/>
      <c r="R98" s="53"/>
      <c r="S98" s="53"/>
      <c r="T98" s="53"/>
    </row>
    <row r="99" spans="1:20" ht="24" hidden="1" x14ac:dyDescent="0.25">
      <c r="A99" s="76">
        <v>2231</v>
      </c>
      <c r="B99" s="127" t="s">
        <v>115</v>
      </c>
      <c r="C99" s="128">
        <f t="shared" si="4"/>
        <v>0</v>
      </c>
      <c r="D99" s="134"/>
      <c r="E99" s="285"/>
      <c r="F99" s="286">
        <f t="shared" si="5"/>
        <v>0</v>
      </c>
      <c r="G99" s="134"/>
      <c r="H99" s="135"/>
      <c r="I99" s="136">
        <f t="shared" si="6"/>
        <v>0</v>
      </c>
      <c r="J99" s="134"/>
      <c r="K99" s="135"/>
      <c r="L99" s="136">
        <f t="shared" si="7"/>
        <v>0</v>
      </c>
      <c r="M99" s="284"/>
      <c r="N99" s="285"/>
      <c r="O99" s="136">
        <f t="shared" si="8"/>
        <v>0</v>
      </c>
      <c r="P99" s="85"/>
      <c r="R99" s="53"/>
      <c r="S99" s="53"/>
    </row>
    <row r="100" spans="1:20" ht="24" hidden="1" x14ac:dyDescent="0.25">
      <c r="A100" s="76">
        <v>2232</v>
      </c>
      <c r="B100" s="127" t="s">
        <v>116</v>
      </c>
      <c r="C100" s="128">
        <f t="shared" si="4"/>
        <v>0</v>
      </c>
      <c r="D100" s="134"/>
      <c r="E100" s="285"/>
      <c r="F100" s="286">
        <f t="shared" si="5"/>
        <v>0</v>
      </c>
      <c r="G100" s="134"/>
      <c r="H100" s="135"/>
      <c r="I100" s="136">
        <f t="shared" si="6"/>
        <v>0</v>
      </c>
      <c r="J100" s="134"/>
      <c r="K100" s="135"/>
      <c r="L100" s="136">
        <f t="shared" si="7"/>
        <v>0</v>
      </c>
      <c r="M100" s="284"/>
      <c r="N100" s="285"/>
      <c r="O100" s="136">
        <f t="shared" si="8"/>
        <v>0</v>
      </c>
      <c r="P100" s="85"/>
      <c r="R100" s="53"/>
      <c r="S100" s="53"/>
    </row>
    <row r="101" spans="1:20" hidden="1" x14ac:dyDescent="0.25">
      <c r="A101" s="66">
        <v>2233</v>
      </c>
      <c r="B101" s="116" t="s">
        <v>117</v>
      </c>
      <c r="C101" s="128">
        <f t="shared" si="4"/>
        <v>0</v>
      </c>
      <c r="D101" s="123"/>
      <c r="E101" s="262"/>
      <c r="F101" s="263">
        <f t="shared" si="5"/>
        <v>0</v>
      </c>
      <c r="G101" s="123"/>
      <c r="H101" s="124"/>
      <c r="I101" s="125">
        <f t="shared" si="6"/>
        <v>0</v>
      </c>
      <c r="J101" s="123"/>
      <c r="K101" s="124"/>
      <c r="L101" s="125">
        <f t="shared" si="7"/>
        <v>0</v>
      </c>
      <c r="M101" s="264"/>
      <c r="N101" s="262"/>
      <c r="O101" s="125">
        <f t="shared" si="8"/>
        <v>0</v>
      </c>
      <c r="P101" s="74"/>
      <c r="R101" s="53"/>
      <c r="S101" s="53"/>
    </row>
    <row r="102" spans="1:20" ht="24" x14ac:dyDescent="0.25">
      <c r="A102" s="76">
        <v>2234</v>
      </c>
      <c r="B102" s="127" t="s">
        <v>118</v>
      </c>
      <c r="C102" s="128">
        <f t="shared" si="4"/>
        <v>50</v>
      </c>
      <c r="D102" s="134"/>
      <c r="E102" s="283"/>
      <c r="F102" s="279">
        <f t="shared" si="5"/>
        <v>0</v>
      </c>
      <c r="G102" s="134">
        <v>50</v>
      </c>
      <c r="H102" s="135"/>
      <c r="I102" s="136">
        <f t="shared" si="6"/>
        <v>50</v>
      </c>
      <c r="J102" s="134"/>
      <c r="K102" s="135"/>
      <c r="L102" s="136">
        <f t="shared" si="7"/>
        <v>0</v>
      </c>
      <c r="M102" s="284"/>
      <c r="N102" s="285"/>
      <c r="O102" s="136">
        <f t="shared" si="8"/>
        <v>0</v>
      </c>
      <c r="P102" s="85"/>
      <c r="R102" s="53"/>
      <c r="S102" s="53"/>
      <c r="T102" s="53"/>
    </row>
    <row r="103" spans="1:20" ht="24" x14ac:dyDescent="0.25">
      <c r="A103" s="76">
        <v>2235</v>
      </c>
      <c r="B103" s="127" t="s">
        <v>119</v>
      </c>
      <c r="C103" s="128">
        <f t="shared" si="4"/>
        <v>1145</v>
      </c>
      <c r="D103" s="134"/>
      <c r="E103" s="283"/>
      <c r="F103" s="279">
        <f t="shared" si="5"/>
        <v>0</v>
      </c>
      <c r="G103" s="134"/>
      <c r="H103" s="135"/>
      <c r="I103" s="136">
        <f t="shared" si="6"/>
        <v>0</v>
      </c>
      <c r="J103" s="134">
        <v>1145</v>
      </c>
      <c r="K103" s="135"/>
      <c r="L103" s="136">
        <f t="shared" si="7"/>
        <v>1145</v>
      </c>
      <c r="M103" s="284"/>
      <c r="N103" s="285"/>
      <c r="O103" s="136">
        <f t="shared" si="8"/>
        <v>0</v>
      </c>
      <c r="P103" s="85" t="s">
        <v>1210</v>
      </c>
      <c r="R103" s="53"/>
      <c r="S103" s="53"/>
      <c r="T103" s="53"/>
    </row>
    <row r="104" spans="1:20" hidden="1" x14ac:dyDescent="0.25">
      <c r="A104" s="76">
        <v>2236</v>
      </c>
      <c r="B104" s="127" t="s">
        <v>120</v>
      </c>
      <c r="C104" s="128">
        <f t="shared" si="4"/>
        <v>0</v>
      </c>
      <c r="D104" s="134"/>
      <c r="E104" s="285"/>
      <c r="F104" s="286">
        <f t="shared" si="5"/>
        <v>0</v>
      </c>
      <c r="G104" s="134"/>
      <c r="H104" s="135"/>
      <c r="I104" s="136">
        <f t="shared" si="6"/>
        <v>0</v>
      </c>
      <c r="J104" s="134"/>
      <c r="K104" s="135"/>
      <c r="L104" s="136">
        <f t="shared" si="7"/>
        <v>0</v>
      </c>
      <c r="M104" s="284"/>
      <c r="N104" s="285"/>
      <c r="O104" s="136">
        <f t="shared" si="8"/>
        <v>0</v>
      </c>
      <c r="P104" s="85"/>
      <c r="R104" s="53"/>
      <c r="S104" s="53"/>
    </row>
    <row r="105" spans="1:20" x14ac:dyDescent="0.25">
      <c r="A105" s="76">
        <v>2239</v>
      </c>
      <c r="B105" s="127" t="s">
        <v>121</v>
      </c>
      <c r="C105" s="128">
        <f t="shared" si="4"/>
        <v>1439</v>
      </c>
      <c r="D105" s="134"/>
      <c r="E105" s="283"/>
      <c r="F105" s="279">
        <f t="shared" si="5"/>
        <v>0</v>
      </c>
      <c r="G105" s="134">
        <v>1439</v>
      </c>
      <c r="H105" s="135">
        <v>0</v>
      </c>
      <c r="I105" s="136">
        <f t="shared" si="6"/>
        <v>1439</v>
      </c>
      <c r="J105" s="134"/>
      <c r="K105" s="135"/>
      <c r="L105" s="136">
        <f t="shared" si="7"/>
        <v>0</v>
      </c>
      <c r="M105" s="284"/>
      <c r="N105" s="285"/>
      <c r="O105" s="136">
        <f t="shared" si="8"/>
        <v>0</v>
      </c>
      <c r="P105" s="85" t="s">
        <v>1210</v>
      </c>
      <c r="R105" s="53"/>
      <c r="S105" s="53"/>
      <c r="T105" s="53"/>
    </row>
    <row r="106" spans="1:20" ht="24" x14ac:dyDescent="0.25">
      <c r="A106" s="276">
        <v>2240</v>
      </c>
      <c r="B106" s="127" t="s">
        <v>122</v>
      </c>
      <c r="C106" s="128">
        <f t="shared" si="4"/>
        <v>25044</v>
      </c>
      <c r="D106" s="277">
        <f>SUM(D107:D114)</f>
        <v>0</v>
      </c>
      <c r="E106" s="278">
        <f>SUM(E107:E114)</f>
        <v>0</v>
      </c>
      <c r="F106" s="279">
        <f t="shared" si="5"/>
        <v>0</v>
      </c>
      <c r="G106" s="277">
        <f>SUM(G107:G114)</f>
        <v>24212</v>
      </c>
      <c r="H106" s="280">
        <f>SUM(H107:H114)</f>
        <v>0</v>
      </c>
      <c r="I106" s="136">
        <f t="shared" si="6"/>
        <v>24212</v>
      </c>
      <c r="J106" s="277">
        <f>SUM(J107:J114)</f>
        <v>832</v>
      </c>
      <c r="K106" s="280">
        <f>SUM(K107:K114)</f>
        <v>0</v>
      </c>
      <c r="L106" s="136">
        <f t="shared" si="7"/>
        <v>832</v>
      </c>
      <c r="M106" s="281">
        <f>SUM(M107:M114)</f>
        <v>0</v>
      </c>
      <c r="N106" s="282">
        <f>SUM(N107:N114)</f>
        <v>0</v>
      </c>
      <c r="O106" s="136">
        <f t="shared" si="8"/>
        <v>0</v>
      </c>
      <c r="P106" s="85" t="s">
        <v>1210</v>
      </c>
      <c r="R106" s="53"/>
      <c r="S106" s="53"/>
      <c r="T106" s="53"/>
    </row>
    <row r="107" spans="1:20" x14ac:dyDescent="0.25">
      <c r="A107" s="76">
        <v>2241</v>
      </c>
      <c r="B107" s="127" t="s">
        <v>123</v>
      </c>
      <c r="C107" s="128">
        <f t="shared" si="4"/>
        <v>5789</v>
      </c>
      <c r="D107" s="134"/>
      <c r="E107" s="283"/>
      <c r="F107" s="279">
        <f t="shared" si="5"/>
        <v>0</v>
      </c>
      <c r="G107" s="134">
        <v>5789</v>
      </c>
      <c r="H107" s="135"/>
      <c r="I107" s="136">
        <f t="shared" si="6"/>
        <v>5789</v>
      </c>
      <c r="J107" s="134"/>
      <c r="K107" s="135"/>
      <c r="L107" s="136">
        <f t="shared" si="7"/>
        <v>0</v>
      </c>
      <c r="M107" s="284"/>
      <c r="N107" s="285"/>
      <c r="O107" s="136">
        <f t="shared" si="8"/>
        <v>0</v>
      </c>
      <c r="P107" s="85"/>
      <c r="R107" s="53"/>
      <c r="S107" s="53"/>
      <c r="T107" s="53"/>
    </row>
    <row r="108" spans="1:20" x14ac:dyDescent="0.25">
      <c r="A108" s="76">
        <v>2242</v>
      </c>
      <c r="B108" s="127" t="s">
        <v>124</v>
      </c>
      <c r="C108" s="128">
        <f t="shared" si="4"/>
        <v>5211</v>
      </c>
      <c r="D108" s="134">
        <v>0</v>
      </c>
      <c r="E108" s="283">
        <v>0</v>
      </c>
      <c r="F108" s="279">
        <f t="shared" si="5"/>
        <v>0</v>
      </c>
      <c r="G108" s="134">
        <v>4712</v>
      </c>
      <c r="H108" s="135">
        <v>0</v>
      </c>
      <c r="I108" s="136">
        <f t="shared" si="6"/>
        <v>4712</v>
      </c>
      <c r="J108" s="134">
        <v>499</v>
      </c>
      <c r="K108" s="135"/>
      <c r="L108" s="136">
        <f t="shared" si="7"/>
        <v>499</v>
      </c>
      <c r="M108" s="284"/>
      <c r="N108" s="285"/>
      <c r="O108" s="136">
        <f t="shared" si="8"/>
        <v>0</v>
      </c>
      <c r="P108" s="85" t="s">
        <v>1210</v>
      </c>
      <c r="R108" s="53"/>
      <c r="S108" s="53"/>
      <c r="T108" s="53"/>
    </row>
    <row r="109" spans="1:20" ht="24" x14ac:dyDescent="0.25">
      <c r="A109" s="76">
        <v>2243</v>
      </c>
      <c r="B109" s="127" t="s">
        <v>125</v>
      </c>
      <c r="C109" s="128">
        <f t="shared" si="4"/>
        <v>1294</v>
      </c>
      <c r="D109" s="134"/>
      <c r="E109" s="283"/>
      <c r="F109" s="279">
        <f t="shared" si="5"/>
        <v>0</v>
      </c>
      <c r="G109" s="134">
        <v>1104</v>
      </c>
      <c r="H109" s="135"/>
      <c r="I109" s="136">
        <f t="shared" si="6"/>
        <v>1104</v>
      </c>
      <c r="J109" s="134">
        <v>190</v>
      </c>
      <c r="K109" s="135"/>
      <c r="L109" s="136">
        <f t="shared" si="7"/>
        <v>190</v>
      </c>
      <c r="M109" s="284"/>
      <c r="N109" s="285"/>
      <c r="O109" s="136">
        <f t="shared" si="8"/>
        <v>0</v>
      </c>
      <c r="P109" s="85"/>
      <c r="R109" s="53"/>
      <c r="S109" s="53"/>
      <c r="T109" s="53"/>
    </row>
    <row r="110" spans="1:20" x14ac:dyDescent="0.25">
      <c r="A110" s="76">
        <v>2244</v>
      </c>
      <c r="B110" s="127" t="s">
        <v>126</v>
      </c>
      <c r="C110" s="128">
        <f t="shared" si="4"/>
        <v>10250</v>
      </c>
      <c r="D110" s="134"/>
      <c r="E110" s="283"/>
      <c r="F110" s="279">
        <f t="shared" si="5"/>
        <v>0</v>
      </c>
      <c r="G110" s="134">
        <v>10250</v>
      </c>
      <c r="H110" s="135"/>
      <c r="I110" s="136">
        <f t="shared" si="6"/>
        <v>10250</v>
      </c>
      <c r="J110" s="134"/>
      <c r="K110" s="135"/>
      <c r="L110" s="136">
        <f t="shared" si="7"/>
        <v>0</v>
      </c>
      <c r="M110" s="284"/>
      <c r="N110" s="285"/>
      <c r="O110" s="136">
        <f t="shared" si="8"/>
        <v>0</v>
      </c>
      <c r="P110" s="85" t="s">
        <v>1210</v>
      </c>
      <c r="R110" s="53"/>
      <c r="S110" s="53"/>
      <c r="T110" s="53"/>
    </row>
    <row r="111" spans="1:20" hidden="1" x14ac:dyDescent="0.25">
      <c r="A111" s="76">
        <v>2246</v>
      </c>
      <c r="B111" s="127" t="s">
        <v>127</v>
      </c>
      <c r="C111" s="128">
        <f t="shared" si="4"/>
        <v>0</v>
      </c>
      <c r="D111" s="134"/>
      <c r="E111" s="285"/>
      <c r="F111" s="286">
        <f t="shared" si="5"/>
        <v>0</v>
      </c>
      <c r="G111" s="134"/>
      <c r="H111" s="135"/>
      <c r="I111" s="136">
        <f t="shared" si="6"/>
        <v>0</v>
      </c>
      <c r="J111" s="134"/>
      <c r="K111" s="135"/>
      <c r="L111" s="136">
        <f t="shared" si="7"/>
        <v>0</v>
      </c>
      <c r="M111" s="284"/>
      <c r="N111" s="285"/>
      <c r="O111" s="136">
        <f t="shared" si="8"/>
        <v>0</v>
      </c>
      <c r="P111" s="85"/>
      <c r="R111" s="53"/>
      <c r="S111" s="53"/>
    </row>
    <row r="112" spans="1:20" x14ac:dyDescent="0.25">
      <c r="A112" s="76">
        <v>2247</v>
      </c>
      <c r="B112" s="127" t="s">
        <v>128</v>
      </c>
      <c r="C112" s="128">
        <f t="shared" si="4"/>
        <v>1787</v>
      </c>
      <c r="D112" s="134"/>
      <c r="E112" s="283"/>
      <c r="F112" s="279">
        <f t="shared" si="5"/>
        <v>0</v>
      </c>
      <c r="G112" s="134">
        <v>1787</v>
      </c>
      <c r="H112" s="135"/>
      <c r="I112" s="136">
        <f t="shared" si="6"/>
        <v>1787</v>
      </c>
      <c r="J112" s="134"/>
      <c r="K112" s="135"/>
      <c r="L112" s="136">
        <f t="shared" si="7"/>
        <v>0</v>
      </c>
      <c r="M112" s="284"/>
      <c r="N112" s="285"/>
      <c r="O112" s="136">
        <f t="shared" si="8"/>
        <v>0</v>
      </c>
      <c r="P112" s="85"/>
      <c r="R112" s="53"/>
      <c r="S112" s="53"/>
      <c r="T112" s="53"/>
    </row>
    <row r="113" spans="1:20" ht="24" hidden="1" x14ac:dyDescent="0.25">
      <c r="A113" s="76">
        <v>2248</v>
      </c>
      <c r="B113" s="127" t="s">
        <v>129</v>
      </c>
      <c r="C113" s="128">
        <f t="shared" si="4"/>
        <v>0</v>
      </c>
      <c r="D113" s="134"/>
      <c r="E113" s="285"/>
      <c r="F113" s="286">
        <f t="shared" si="5"/>
        <v>0</v>
      </c>
      <c r="G113" s="134"/>
      <c r="H113" s="135"/>
      <c r="I113" s="136">
        <f t="shared" si="6"/>
        <v>0</v>
      </c>
      <c r="J113" s="134"/>
      <c r="K113" s="135"/>
      <c r="L113" s="136">
        <f t="shared" si="7"/>
        <v>0</v>
      </c>
      <c r="M113" s="284"/>
      <c r="N113" s="285"/>
      <c r="O113" s="136">
        <f t="shared" si="8"/>
        <v>0</v>
      </c>
      <c r="P113" s="85"/>
      <c r="R113" s="53"/>
      <c r="S113" s="53"/>
    </row>
    <row r="114" spans="1:20" ht="24" x14ac:dyDescent="0.25">
      <c r="A114" s="76">
        <v>2249</v>
      </c>
      <c r="B114" s="127" t="s">
        <v>130</v>
      </c>
      <c r="C114" s="128">
        <f t="shared" si="4"/>
        <v>713</v>
      </c>
      <c r="D114" s="134"/>
      <c r="E114" s="283"/>
      <c r="F114" s="279">
        <f t="shared" si="5"/>
        <v>0</v>
      </c>
      <c r="G114" s="134">
        <v>570</v>
      </c>
      <c r="H114" s="135"/>
      <c r="I114" s="136">
        <f t="shared" si="6"/>
        <v>570</v>
      </c>
      <c r="J114" s="134">
        <v>143</v>
      </c>
      <c r="K114" s="135"/>
      <c r="L114" s="136">
        <f t="shared" si="7"/>
        <v>143</v>
      </c>
      <c r="M114" s="284"/>
      <c r="N114" s="285"/>
      <c r="O114" s="136">
        <f t="shared" si="8"/>
        <v>0</v>
      </c>
      <c r="P114" s="85"/>
      <c r="R114" s="53"/>
      <c r="S114" s="53"/>
      <c r="T114" s="53"/>
    </row>
    <row r="115" spans="1:20" x14ac:dyDescent="0.25">
      <c r="A115" s="276">
        <v>2250</v>
      </c>
      <c r="B115" s="127" t="s">
        <v>131</v>
      </c>
      <c r="C115" s="128">
        <f t="shared" si="4"/>
        <v>677</v>
      </c>
      <c r="D115" s="277">
        <f>SUM(D116:D118)</f>
        <v>0</v>
      </c>
      <c r="E115" s="278">
        <f>SUM(E116:E118)</f>
        <v>0</v>
      </c>
      <c r="F115" s="279">
        <f t="shared" si="5"/>
        <v>0</v>
      </c>
      <c r="G115" s="277">
        <f>SUM(G116:G118)</f>
        <v>677</v>
      </c>
      <c r="H115" s="280">
        <f>SUM(H116:H118)</f>
        <v>0</v>
      </c>
      <c r="I115" s="136">
        <f t="shared" si="6"/>
        <v>677</v>
      </c>
      <c r="J115" s="277">
        <f>SUM(J116:J118)</f>
        <v>0</v>
      </c>
      <c r="K115" s="280">
        <f>SUM(K116:K118)</f>
        <v>0</v>
      </c>
      <c r="L115" s="136">
        <f t="shared" si="7"/>
        <v>0</v>
      </c>
      <c r="M115" s="281">
        <f>SUM(M116:M118)</f>
        <v>0</v>
      </c>
      <c r="N115" s="282">
        <f>SUM(N116:N118)</f>
        <v>0</v>
      </c>
      <c r="O115" s="136">
        <f t="shared" si="8"/>
        <v>0</v>
      </c>
      <c r="P115" s="85"/>
      <c r="R115" s="53"/>
      <c r="S115" s="53"/>
      <c r="T115" s="53"/>
    </row>
    <row r="116" spans="1:20" hidden="1" x14ac:dyDescent="0.25">
      <c r="A116" s="76">
        <v>2251</v>
      </c>
      <c r="B116" s="127" t="s">
        <v>132</v>
      </c>
      <c r="C116" s="128">
        <f t="shared" si="4"/>
        <v>0</v>
      </c>
      <c r="D116" s="134"/>
      <c r="E116" s="285"/>
      <c r="F116" s="286">
        <f t="shared" si="5"/>
        <v>0</v>
      </c>
      <c r="G116" s="134"/>
      <c r="H116" s="135"/>
      <c r="I116" s="136">
        <f t="shared" si="6"/>
        <v>0</v>
      </c>
      <c r="J116" s="134"/>
      <c r="K116" s="135"/>
      <c r="L116" s="136">
        <f t="shared" si="7"/>
        <v>0</v>
      </c>
      <c r="M116" s="284"/>
      <c r="N116" s="285"/>
      <c r="O116" s="136">
        <f t="shared" si="8"/>
        <v>0</v>
      </c>
      <c r="P116" s="85"/>
      <c r="R116" s="53"/>
      <c r="S116" s="53"/>
    </row>
    <row r="117" spans="1:20" ht="24" hidden="1" x14ac:dyDescent="0.25">
      <c r="A117" s="76">
        <v>2252</v>
      </c>
      <c r="B117" s="127" t="s">
        <v>133</v>
      </c>
      <c r="C117" s="128">
        <f t="shared" ref="C117:C181" si="9">F117+I117+L117+O117</f>
        <v>0</v>
      </c>
      <c r="D117" s="134"/>
      <c r="E117" s="285"/>
      <c r="F117" s="286">
        <f t="shared" si="5"/>
        <v>0</v>
      </c>
      <c r="G117" s="134"/>
      <c r="H117" s="135"/>
      <c r="I117" s="136">
        <f t="shared" si="6"/>
        <v>0</v>
      </c>
      <c r="J117" s="134"/>
      <c r="K117" s="135"/>
      <c r="L117" s="136">
        <f t="shared" si="7"/>
        <v>0</v>
      </c>
      <c r="M117" s="284"/>
      <c r="N117" s="285"/>
      <c r="O117" s="136">
        <f t="shared" si="8"/>
        <v>0</v>
      </c>
      <c r="P117" s="85"/>
      <c r="R117" s="53"/>
      <c r="S117" s="53"/>
    </row>
    <row r="118" spans="1:20" x14ac:dyDescent="0.25">
      <c r="A118" s="76">
        <v>2259</v>
      </c>
      <c r="B118" s="127" t="s">
        <v>134</v>
      </c>
      <c r="C118" s="128">
        <f t="shared" si="9"/>
        <v>677</v>
      </c>
      <c r="D118" s="134"/>
      <c r="E118" s="283"/>
      <c r="F118" s="279">
        <f t="shared" ref="F118:F182" si="10">D118+E118</f>
        <v>0</v>
      </c>
      <c r="G118" s="134">
        <v>677</v>
      </c>
      <c r="H118" s="135"/>
      <c r="I118" s="136">
        <f t="shared" ref="I118:I182" si="11">G118+H118</f>
        <v>677</v>
      </c>
      <c r="J118" s="134"/>
      <c r="K118" s="135"/>
      <c r="L118" s="136">
        <f t="shared" ref="L118:L182" si="12">J118+K118</f>
        <v>0</v>
      </c>
      <c r="M118" s="284"/>
      <c r="N118" s="285"/>
      <c r="O118" s="136">
        <f t="shared" ref="O118:O182" si="13">M118+N118</f>
        <v>0</v>
      </c>
      <c r="P118" s="85"/>
      <c r="R118" s="53"/>
      <c r="S118" s="53"/>
      <c r="T118" s="53"/>
    </row>
    <row r="119" spans="1:20" x14ac:dyDescent="0.25">
      <c r="A119" s="276">
        <v>2260</v>
      </c>
      <c r="B119" s="127" t="s">
        <v>135</v>
      </c>
      <c r="C119" s="128">
        <f t="shared" si="9"/>
        <v>57</v>
      </c>
      <c r="D119" s="277">
        <f>SUM(D120:D124)</f>
        <v>0</v>
      </c>
      <c r="E119" s="278">
        <f>SUM(E120:E124)</f>
        <v>0</v>
      </c>
      <c r="F119" s="279">
        <f t="shared" si="10"/>
        <v>0</v>
      </c>
      <c r="G119" s="277">
        <f>SUM(G120:G124)</f>
        <v>47</v>
      </c>
      <c r="H119" s="280">
        <f>SUM(H120:H124)</f>
        <v>0</v>
      </c>
      <c r="I119" s="136">
        <f t="shared" si="11"/>
        <v>47</v>
      </c>
      <c r="J119" s="277">
        <f>SUM(J120:J124)</f>
        <v>10</v>
      </c>
      <c r="K119" s="280">
        <f>SUM(K120:K124)</f>
        <v>0</v>
      </c>
      <c r="L119" s="136">
        <f t="shared" si="12"/>
        <v>10</v>
      </c>
      <c r="M119" s="281">
        <f>SUM(M120:M124)</f>
        <v>0</v>
      </c>
      <c r="N119" s="282">
        <f>SUM(N120:N124)</f>
        <v>0</v>
      </c>
      <c r="O119" s="136">
        <f t="shared" si="13"/>
        <v>0</v>
      </c>
      <c r="P119" s="85"/>
      <c r="R119" s="53"/>
      <c r="S119" s="53"/>
      <c r="T119" s="53"/>
    </row>
    <row r="120" spans="1:20" hidden="1" x14ac:dyDescent="0.25">
      <c r="A120" s="76">
        <v>2261</v>
      </c>
      <c r="B120" s="127" t="s">
        <v>136</v>
      </c>
      <c r="C120" s="128">
        <f t="shared" si="9"/>
        <v>0</v>
      </c>
      <c r="D120" s="134"/>
      <c r="E120" s="285"/>
      <c r="F120" s="286">
        <f t="shared" si="10"/>
        <v>0</v>
      </c>
      <c r="G120" s="134"/>
      <c r="H120" s="135"/>
      <c r="I120" s="136">
        <f t="shared" si="11"/>
        <v>0</v>
      </c>
      <c r="J120" s="134"/>
      <c r="K120" s="135"/>
      <c r="L120" s="136">
        <f t="shared" si="12"/>
        <v>0</v>
      </c>
      <c r="M120" s="284"/>
      <c r="N120" s="285"/>
      <c r="O120" s="136">
        <f t="shared" si="13"/>
        <v>0</v>
      </c>
      <c r="P120" s="85"/>
      <c r="R120" s="53"/>
      <c r="S120" s="53"/>
    </row>
    <row r="121" spans="1:20" hidden="1" x14ac:dyDescent="0.25">
      <c r="A121" s="76">
        <v>2262</v>
      </c>
      <c r="B121" s="127" t="s">
        <v>137</v>
      </c>
      <c r="C121" s="128">
        <f t="shared" si="9"/>
        <v>0</v>
      </c>
      <c r="D121" s="134"/>
      <c r="E121" s="285"/>
      <c r="F121" s="286">
        <f t="shared" si="10"/>
        <v>0</v>
      </c>
      <c r="G121" s="134"/>
      <c r="H121" s="135"/>
      <c r="I121" s="136">
        <f t="shared" si="11"/>
        <v>0</v>
      </c>
      <c r="J121" s="134"/>
      <c r="K121" s="135"/>
      <c r="L121" s="136">
        <f t="shared" si="12"/>
        <v>0</v>
      </c>
      <c r="M121" s="284"/>
      <c r="N121" s="285"/>
      <c r="O121" s="136">
        <f t="shared" si="13"/>
        <v>0</v>
      </c>
      <c r="P121" s="85"/>
      <c r="R121" s="53"/>
      <c r="S121" s="53"/>
    </row>
    <row r="122" spans="1:20" hidden="1" x14ac:dyDescent="0.25">
      <c r="A122" s="76">
        <v>2263</v>
      </c>
      <c r="B122" s="127" t="s">
        <v>138</v>
      </c>
      <c r="C122" s="128">
        <f t="shared" si="9"/>
        <v>0</v>
      </c>
      <c r="D122" s="134"/>
      <c r="E122" s="285"/>
      <c r="F122" s="286">
        <f t="shared" si="10"/>
        <v>0</v>
      </c>
      <c r="G122" s="134"/>
      <c r="H122" s="135"/>
      <c r="I122" s="136">
        <f t="shared" si="11"/>
        <v>0</v>
      </c>
      <c r="J122" s="134"/>
      <c r="K122" s="135"/>
      <c r="L122" s="136">
        <f t="shared" si="12"/>
        <v>0</v>
      </c>
      <c r="M122" s="284"/>
      <c r="N122" s="285"/>
      <c r="O122" s="136">
        <f t="shared" si="13"/>
        <v>0</v>
      </c>
      <c r="P122" s="85"/>
      <c r="R122" s="53"/>
      <c r="S122" s="53"/>
    </row>
    <row r="123" spans="1:20" hidden="1" x14ac:dyDescent="0.25">
      <c r="A123" s="76">
        <v>2264</v>
      </c>
      <c r="B123" s="127" t="s">
        <v>139</v>
      </c>
      <c r="C123" s="128">
        <f t="shared" si="9"/>
        <v>0</v>
      </c>
      <c r="D123" s="134"/>
      <c r="E123" s="285"/>
      <c r="F123" s="286">
        <f t="shared" si="10"/>
        <v>0</v>
      </c>
      <c r="G123" s="134"/>
      <c r="H123" s="135"/>
      <c r="I123" s="136">
        <f t="shared" si="11"/>
        <v>0</v>
      </c>
      <c r="J123" s="134"/>
      <c r="K123" s="135"/>
      <c r="L123" s="136">
        <f t="shared" si="12"/>
        <v>0</v>
      </c>
      <c r="M123" s="284"/>
      <c r="N123" s="285"/>
      <c r="O123" s="136">
        <f t="shared" si="13"/>
        <v>0</v>
      </c>
      <c r="P123" s="85"/>
      <c r="R123" s="53"/>
      <c r="S123" s="53"/>
    </row>
    <row r="124" spans="1:20" x14ac:dyDescent="0.25">
      <c r="A124" s="76">
        <v>2269</v>
      </c>
      <c r="B124" s="127" t="s">
        <v>140</v>
      </c>
      <c r="C124" s="128">
        <f t="shared" si="9"/>
        <v>57</v>
      </c>
      <c r="D124" s="134"/>
      <c r="E124" s="283"/>
      <c r="F124" s="279">
        <f t="shared" si="10"/>
        <v>0</v>
      </c>
      <c r="G124" s="134">
        <v>47</v>
      </c>
      <c r="H124" s="135"/>
      <c r="I124" s="136">
        <f t="shared" si="11"/>
        <v>47</v>
      </c>
      <c r="J124" s="134">
        <v>10</v>
      </c>
      <c r="K124" s="135"/>
      <c r="L124" s="136">
        <f t="shared" si="12"/>
        <v>10</v>
      </c>
      <c r="M124" s="284"/>
      <c r="N124" s="285"/>
      <c r="O124" s="136">
        <f t="shared" si="13"/>
        <v>0</v>
      </c>
      <c r="P124" s="85"/>
      <c r="R124" s="53"/>
      <c r="S124" s="53"/>
      <c r="T124" s="53"/>
    </row>
    <row r="125" spans="1:20" x14ac:dyDescent="0.25">
      <c r="A125" s="276">
        <v>2270</v>
      </c>
      <c r="B125" s="127" t="s">
        <v>141</v>
      </c>
      <c r="C125" s="128">
        <f t="shared" si="9"/>
        <v>1353</v>
      </c>
      <c r="D125" s="277">
        <f>SUM(D126:D130)</f>
        <v>0</v>
      </c>
      <c r="E125" s="278">
        <f>SUM(E126:E130)</f>
        <v>0</v>
      </c>
      <c r="F125" s="279">
        <f t="shared" si="10"/>
        <v>0</v>
      </c>
      <c r="G125" s="277">
        <f>SUM(G126:G130)</f>
        <v>1353</v>
      </c>
      <c r="H125" s="280">
        <f>SUM(H126:H130)</f>
        <v>0</v>
      </c>
      <c r="I125" s="136">
        <f t="shared" si="11"/>
        <v>1353</v>
      </c>
      <c r="J125" s="277">
        <f>SUM(J126:J130)</f>
        <v>0</v>
      </c>
      <c r="K125" s="280">
        <f>SUM(K126:K130)</f>
        <v>0</v>
      </c>
      <c r="L125" s="136">
        <f t="shared" si="12"/>
        <v>0</v>
      </c>
      <c r="M125" s="281">
        <f>SUM(M126:M130)</f>
        <v>0</v>
      </c>
      <c r="N125" s="282">
        <f>SUM(N126:N130)</f>
        <v>0</v>
      </c>
      <c r="O125" s="136">
        <f t="shared" si="13"/>
        <v>0</v>
      </c>
      <c r="P125" s="85"/>
      <c r="R125" s="53"/>
      <c r="S125" s="53"/>
      <c r="T125" s="53"/>
    </row>
    <row r="126" spans="1:20" hidden="1" x14ac:dyDescent="0.25">
      <c r="A126" s="76">
        <v>2272</v>
      </c>
      <c r="B126" s="5" t="s">
        <v>142</v>
      </c>
      <c r="C126" s="128">
        <f t="shared" si="9"/>
        <v>0</v>
      </c>
      <c r="D126" s="134"/>
      <c r="E126" s="285"/>
      <c r="F126" s="286">
        <f t="shared" si="10"/>
        <v>0</v>
      </c>
      <c r="G126" s="134"/>
      <c r="H126" s="135"/>
      <c r="I126" s="136">
        <f t="shared" si="11"/>
        <v>0</v>
      </c>
      <c r="J126" s="134"/>
      <c r="K126" s="135"/>
      <c r="L126" s="136">
        <f t="shared" si="12"/>
        <v>0</v>
      </c>
      <c r="M126" s="284"/>
      <c r="N126" s="285"/>
      <c r="O126" s="136">
        <f t="shared" si="13"/>
        <v>0</v>
      </c>
      <c r="P126" s="85"/>
      <c r="R126" s="53"/>
      <c r="S126" s="53"/>
    </row>
    <row r="127" spans="1:20" ht="24" hidden="1" x14ac:dyDescent="0.25">
      <c r="A127" s="76">
        <v>2275</v>
      </c>
      <c r="B127" s="127" t="s">
        <v>143</v>
      </c>
      <c r="C127" s="128">
        <f t="shared" si="9"/>
        <v>0</v>
      </c>
      <c r="D127" s="134"/>
      <c r="E127" s="285"/>
      <c r="F127" s="286">
        <f t="shared" si="10"/>
        <v>0</v>
      </c>
      <c r="G127" s="134">
        <v>0</v>
      </c>
      <c r="H127" s="135">
        <v>0</v>
      </c>
      <c r="I127" s="136">
        <f t="shared" si="11"/>
        <v>0</v>
      </c>
      <c r="J127" s="134"/>
      <c r="K127" s="135"/>
      <c r="L127" s="136">
        <f t="shared" si="12"/>
        <v>0</v>
      </c>
      <c r="M127" s="284"/>
      <c r="N127" s="285"/>
      <c r="O127" s="136">
        <f t="shared" si="13"/>
        <v>0</v>
      </c>
      <c r="P127" s="85" t="s">
        <v>1210</v>
      </c>
      <c r="R127" s="53"/>
      <c r="S127" s="53"/>
    </row>
    <row r="128" spans="1:20" ht="24" hidden="1" x14ac:dyDescent="0.25">
      <c r="A128" s="76">
        <v>2276</v>
      </c>
      <c r="B128" s="127" t="s">
        <v>144</v>
      </c>
      <c r="C128" s="128">
        <f t="shared" si="9"/>
        <v>0</v>
      </c>
      <c r="D128" s="134"/>
      <c r="E128" s="285"/>
      <c r="F128" s="286">
        <f t="shared" si="10"/>
        <v>0</v>
      </c>
      <c r="G128" s="134"/>
      <c r="H128" s="135"/>
      <c r="I128" s="136">
        <f t="shared" si="11"/>
        <v>0</v>
      </c>
      <c r="J128" s="134"/>
      <c r="K128" s="135"/>
      <c r="L128" s="136">
        <f t="shared" si="12"/>
        <v>0</v>
      </c>
      <c r="M128" s="284"/>
      <c r="N128" s="285"/>
      <c r="O128" s="136">
        <f t="shared" si="13"/>
        <v>0</v>
      </c>
      <c r="P128" s="85"/>
      <c r="R128" s="53"/>
      <c r="S128" s="53"/>
    </row>
    <row r="129" spans="1:20" ht="24" hidden="1" x14ac:dyDescent="0.25">
      <c r="A129" s="76">
        <v>2278</v>
      </c>
      <c r="B129" s="127" t="s">
        <v>145</v>
      </c>
      <c r="C129" s="128">
        <f t="shared" si="9"/>
        <v>0</v>
      </c>
      <c r="D129" s="134"/>
      <c r="E129" s="285"/>
      <c r="F129" s="286">
        <f t="shared" si="10"/>
        <v>0</v>
      </c>
      <c r="G129" s="134"/>
      <c r="H129" s="135"/>
      <c r="I129" s="136">
        <f t="shared" si="11"/>
        <v>0</v>
      </c>
      <c r="J129" s="134"/>
      <c r="K129" s="135"/>
      <c r="L129" s="136">
        <f t="shared" si="12"/>
        <v>0</v>
      </c>
      <c r="M129" s="284"/>
      <c r="N129" s="285"/>
      <c r="O129" s="136">
        <f t="shared" si="13"/>
        <v>0</v>
      </c>
      <c r="P129" s="85"/>
      <c r="R129" s="53"/>
      <c r="S129" s="53"/>
    </row>
    <row r="130" spans="1:20" ht="24" x14ac:dyDescent="0.25">
      <c r="A130" s="76">
        <v>2279</v>
      </c>
      <c r="B130" s="127" t="s">
        <v>146</v>
      </c>
      <c r="C130" s="128">
        <f t="shared" si="9"/>
        <v>1353</v>
      </c>
      <c r="D130" s="134">
        <v>0</v>
      </c>
      <c r="E130" s="283">
        <v>0</v>
      </c>
      <c r="F130" s="279">
        <f t="shared" si="10"/>
        <v>0</v>
      </c>
      <c r="G130" s="134">
        <v>1353</v>
      </c>
      <c r="H130" s="135"/>
      <c r="I130" s="136">
        <f t="shared" si="11"/>
        <v>1353</v>
      </c>
      <c r="J130" s="134"/>
      <c r="K130" s="135"/>
      <c r="L130" s="136">
        <f t="shared" si="12"/>
        <v>0</v>
      </c>
      <c r="M130" s="284"/>
      <c r="N130" s="285"/>
      <c r="O130" s="136">
        <f t="shared" si="13"/>
        <v>0</v>
      </c>
      <c r="P130" s="85" t="s">
        <v>1210</v>
      </c>
      <c r="R130" s="53"/>
      <c r="S130" s="53"/>
      <c r="T130" s="53"/>
    </row>
    <row r="131" spans="1:20" ht="24" hidden="1" x14ac:dyDescent="0.25">
      <c r="A131" s="656">
        <v>2280</v>
      </c>
      <c r="B131" s="116" t="s">
        <v>147</v>
      </c>
      <c r="C131" s="128">
        <f t="shared" si="9"/>
        <v>0</v>
      </c>
      <c r="D131" s="297">
        <f t="shared" ref="D131:N131" si="14">SUM(D132)</f>
        <v>0</v>
      </c>
      <c r="E131" s="301">
        <f t="shared" si="14"/>
        <v>0</v>
      </c>
      <c r="F131" s="263">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c r="R131" s="53"/>
      <c r="S131" s="53"/>
    </row>
    <row r="132" spans="1:20" ht="24" hidden="1" x14ac:dyDescent="0.25">
      <c r="A132" s="76">
        <v>2283</v>
      </c>
      <c r="B132" s="127" t="s">
        <v>148</v>
      </c>
      <c r="C132" s="128">
        <f t="shared" si="9"/>
        <v>0</v>
      </c>
      <c r="D132" s="134"/>
      <c r="E132" s="285"/>
      <c r="F132" s="286">
        <f t="shared" si="10"/>
        <v>0</v>
      </c>
      <c r="G132" s="134"/>
      <c r="H132" s="135"/>
      <c r="I132" s="136">
        <f t="shared" si="11"/>
        <v>0</v>
      </c>
      <c r="J132" s="134"/>
      <c r="K132" s="135"/>
      <c r="L132" s="136">
        <f t="shared" si="12"/>
        <v>0</v>
      </c>
      <c r="M132" s="284"/>
      <c r="N132" s="285"/>
      <c r="O132" s="136">
        <f t="shared" si="13"/>
        <v>0</v>
      </c>
      <c r="P132" s="85"/>
      <c r="R132" s="53"/>
      <c r="S132" s="53"/>
    </row>
    <row r="133" spans="1:20" ht="36" x14ac:dyDescent="0.25">
      <c r="A133" s="99">
        <v>2300</v>
      </c>
      <c r="B133" s="247" t="s">
        <v>149</v>
      </c>
      <c r="C133" s="100">
        <f t="shared" si="9"/>
        <v>99163</v>
      </c>
      <c r="D133" s="112">
        <f>SUM(D134,D139,D143,D144,D147,D154,D162,D163,D166)</f>
        <v>0</v>
      </c>
      <c r="E133" s="248">
        <f>SUM(E134,E139,E143,E144,E147,E154,E162,E163,E166)</f>
        <v>0</v>
      </c>
      <c r="F133" s="249">
        <f t="shared" si="10"/>
        <v>0</v>
      </c>
      <c r="G133" s="112">
        <f>SUM(G134,G139,G143,G144,G147,G154,G162,G163,G166)</f>
        <v>89236</v>
      </c>
      <c r="H133" s="113">
        <f>SUM(H134,H139,H143,H144,H147,H154,H162,H163,H166)</f>
        <v>1360</v>
      </c>
      <c r="I133" s="114">
        <f t="shared" si="11"/>
        <v>90596</v>
      </c>
      <c r="J133" s="112">
        <f>SUM(J134,J139,J143,J144,J147,J154,J162,J163,J166)</f>
        <v>8567</v>
      </c>
      <c r="K133" s="113">
        <f>SUM(K134,K139,K143,K144,K147,K154,K162,K163,K166)</f>
        <v>0</v>
      </c>
      <c r="L133" s="114">
        <f t="shared" si="12"/>
        <v>8567</v>
      </c>
      <c r="M133" s="292">
        <f>SUM(M134,M139,M143,M144,M147,M154,M162,M163,M166)</f>
        <v>0</v>
      </c>
      <c r="N133" s="293">
        <f>SUM(N134,N139,N143,N144,N147,N154,N162,N163,N166)</f>
        <v>0</v>
      </c>
      <c r="O133" s="114">
        <f t="shared" si="13"/>
        <v>0</v>
      </c>
      <c r="P133" s="109"/>
      <c r="R133" s="53"/>
      <c r="S133" s="53"/>
      <c r="T133" s="53"/>
    </row>
    <row r="134" spans="1:20" ht="24" x14ac:dyDescent="0.25">
      <c r="A134" s="656">
        <v>2310</v>
      </c>
      <c r="B134" s="116" t="s">
        <v>150</v>
      </c>
      <c r="C134" s="117">
        <f t="shared" si="9"/>
        <v>11638</v>
      </c>
      <c r="D134" s="308">
        <f>SUM(D135:D138)</f>
        <v>0</v>
      </c>
      <c r="E134" s="300">
        <f>SUM(E135:E138)</f>
        <v>0</v>
      </c>
      <c r="F134" s="296">
        <f t="shared" si="10"/>
        <v>0</v>
      </c>
      <c r="G134" s="297">
        <f>SUM(G135:G138)</f>
        <v>11162</v>
      </c>
      <c r="H134" s="299">
        <f>SUM(H135:H138)</f>
        <v>0</v>
      </c>
      <c r="I134" s="125">
        <f t="shared" si="11"/>
        <v>11162</v>
      </c>
      <c r="J134" s="297">
        <f>SUM(J135:J138)</f>
        <v>476</v>
      </c>
      <c r="K134" s="299">
        <f>SUM(K135:K138)</f>
        <v>0</v>
      </c>
      <c r="L134" s="125">
        <f t="shared" si="12"/>
        <v>476</v>
      </c>
      <c r="M134" s="300">
        <f>SUM(M135:M138)</f>
        <v>0</v>
      </c>
      <c r="N134" s="301">
        <f>SUM(N135:N138)</f>
        <v>0</v>
      </c>
      <c r="O134" s="125">
        <f t="shared" si="13"/>
        <v>0</v>
      </c>
      <c r="P134" s="74"/>
      <c r="R134" s="53"/>
      <c r="S134" s="53"/>
      <c r="T134" s="53"/>
    </row>
    <row r="135" spans="1:20" x14ac:dyDescent="0.25">
      <c r="A135" s="76">
        <v>2311</v>
      </c>
      <c r="B135" s="127" t="s">
        <v>151</v>
      </c>
      <c r="C135" s="128">
        <f t="shared" si="9"/>
        <v>2615</v>
      </c>
      <c r="D135" s="134"/>
      <c r="E135" s="283"/>
      <c r="F135" s="279">
        <f t="shared" si="10"/>
        <v>0</v>
      </c>
      <c r="G135" s="134">
        <v>2139</v>
      </c>
      <c r="H135" s="135">
        <v>0</v>
      </c>
      <c r="I135" s="136">
        <f t="shared" si="11"/>
        <v>2139</v>
      </c>
      <c r="J135" s="134">
        <v>476</v>
      </c>
      <c r="K135" s="135"/>
      <c r="L135" s="136">
        <f t="shared" si="12"/>
        <v>476</v>
      </c>
      <c r="M135" s="284"/>
      <c r="N135" s="285"/>
      <c r="O135" s="136">
        <f t="shared" si="13"/>
        <v>0</v>
      </c>
      <c r="P135" s="85" t="s">
        <v>1210</v>
      </c>
      <c r="R135" s="53"/>
      <c r="S135" s="53"/>
      <c r="T135" s="53"/>
    </row>
    <row r="136" spans="1:20" x14ac:dyDescent="0.25">
      <c r="A136" s="76">
        <v>2312</v>
      </c>
      <c r="B136" s="127" t="s">
        <v>152</v>
      </c>
      <c r="C136" s="128">
        <f t="shared" si="9"/>
        <v>7305</v>
      </c>
      <c r="D136" s="134"/>
      <c r="E136" s="283"/>
      <c r="F136" s="279">
        <f t="shared" si="10"/>
        <v>0</v>
      </c>
      <c r="G136" s="134">
        <v>7305</v>
      </c>
      <c r="H136" s="135"/>
      <c r="I136" s="136">
        <f t="shared" si="11"/>
        <v>7305</v>
      </c>
      <c r="J136" s="134"/>
      <c r="K136" s="135"/>
      <c r="L136" s="136">
        <f t="shared" si="12"/>
        <v>0</v>
      </c>
      <c r="M136" s="284"/>
      <c r="N136" s="285"/>
      <c r="O136" s="136">
        <f t="shared" si="13"/>
        <v>0</v>
      </c>
      <c r="P136" s="85" t="s">
        <v>1210</v>
      </c>
      <c r="R136" s="53"/>
      <c r="S136" s="53"/>
      <c r="T136" s="53"/>
    </row>
    <row r="137" spans="1:20" hidden="1" x14ac:dyDescent="0.25">
      <c r="A137" s="76">
        <v>2313</v>
      </c>
      <c r="B137" s="127" t="s">
        <v>153</v>
      </c>
      <c r="C137" s="128">
        <f t="shared" si="9"/>
        <v>0</v>
      </c>
      <c r="D137" s="134"/>
      <c r="E137" s="285"/>
      <c r="F137" s="286">
        <f t="shared" si="10"/>
        <v>0</v>
      </c>
      <c r="G137" s="134"/>
      <c r="H137" s="135"/>
      <c r="I137" s="136">
        <f t="shared" si="11"/>
        <v>0</v>
      </c>
      <c r="J137" s="134"/>
      <c r="K137" s="135"/>
      <c r="L137" s="136">
        <f t="shared" si="12"/>
        <v>0</v>
      </c>
      <c r="M137" s="284"/>
      <c r="N137" s="285"/>
      <c r="O137" s="136">
        <f t="shared" si="13"/>
        <v>0</v>
      </c>
      <c r="P137" s="85" t="s">
        <v>1210</v>
      </c>
      <c r="R137" s="53"/>
      <c r="S137" s="53"/>
    </row>
    <row r="138" spans="1:20" ht="27.75" customHeight="1" x14ac:dyDescent="0.25">
      <c r="A138" s="76">
        <v>2314</v>
      </c>
      <c r="B138" s="127" t="s">
        <v>154</v>
      </c>
      <c r="C138" s="128">
        <f t="shared" si="9"/>
        <v>1718</v>
      </c>
      <c r="D138" s="134"/>
      <c r="E138" s="283"/>
      <c r="F138" s="279">
        <f t="shared" si="10"/>
        <v>0</v>
      </c>
      <c r="G138" s="134">
        <v>1718</v>
      </c>
      <c r="H138" s="135">
        <v>0</v>
      </c>
      <c r="I138" s="136">
        <f t="shared" si="11"/>
        <v>1718</v>
      </c>
      <c r="J138" s="134"/>
      <c r="K138" s="135"/>
      <c r="L138" s="136">
        <f t="shared" si="12"/>
        <v>0</v>
      </c>
      <c r="M138" s="284"/>
      <c r="N138" s="285"/>
      <c r="O138" s="136">
        <f t="shared" si="13"/>
        <v>0</v>
      </c>
      <c r="P138" s="85" t="s">
        <v>1210</v>
      </c>
      <c r="R138" s="53"/>
      <c r="S138" s="53"/>
      <c r="T138" s="53"/>
    </row>
    <row r="139" spans="1:20" x14ac:dyDescent="0.25">
      <c r="A139" s="276">
        <v>2320</v>
      </c>
      <c r="B139" s="127" t="s">
        <v>155</v>
      </c>
      <c r="C139" s="128">
        <f t="shared" si="9"/>
        <v>21278</v>
      </c>
      <c r="D139" s="277">
        <f>SUM(D140:D142)</f>
        <v>0</v>
      </c>
      <c r="E139" s="278">
        <f>SUM(E140:E142)</f>
        <v>0</v>
      </c>
      <c r="F139" s="279">
        <f t="shared" si="10"/>
        <v>0</v>
      </c>
      <c r="G139" s="277">
        <f>SUM(G140:G142)</f>
        <v>21151</v>
      </c>
      <c r="H139" s="280">
        <f>SUM(H140:H142)</f>
        <v>-1380</v>
      </c>
      <c r="I139" s="136">
        <f t="shared" si="11"/>
        <v>19771</v>
      </c>
      <c r="J139" s="277">
        <f>SUM(J140:J142)</f>
        <v>1507</v>
      </c>
      <c r="K139" s="280">
        <f>SUM(K140:K142)</f>
        <v>0</v>
      </c>
      <c r="L139" s="136">
        <f t="shared" si="12"/>
        <v>1507</v>
      </c>
      <c r="M139" s="281">
        <f>SUM(M140:M142)</f>
        <v>0</v>
      </c>
      <c r="N139" s="282">
        <f>SUM(N140:N142)</f>
        <v>0</v>
      </c>
      <c r="O139" s="136">
        <f t="shared" si="13"/>
        <v>0</v>
      </c>
      <c r="P139" s="85"/>
      <c r="R139" s="53"/>
      <c r="S139" s="53"/>
      <c r="T139" s="53"/>
    </row>
    <row r="140" spans="1:20" x14ac:dyDescent="0.25">
      <c r="A140" s="76">
        <v>2321</v>
      </c>
      <c r="B140" s="127" t="s">
        <v>156</v>
      </c>
      <c r="C140" s="128">
        <f t="shared" si="9"/>
        <v>15714</v>
      </c>
      <c r="D140" s="134"/>
      <c r="E140" s="283"/>
      <c r="F140" s="279">
        <f t="shared" si="10"/>
        <v>0</v>
      </c>
      <c r="G140" s="134">
        <v>15157</v>
      </c>
      <c r="H140" s="135">
        <v>0</v>
      </c>
      <c r="I140" s="136">
        <f t="shared" si="11"/>
        <v>15157</v>
      </c>
      <c r="J140" s="134">
        <v>557</v>
      </c>
      <c r="K140" s="135"/>
      <c r="L140" s="136">
        <f t="shared" si="12"/>
        <v>557</v>
      </c>
      <c r="M140" s="284"/>
      <c r="N140" s="285"/>
      <c r="O140" s="136">
        <f t="shared" si="13"/>
        <v>0</v>
      </c>
      <c r="P140" s="85" t="s">
        <v>1210</v>
      </c>
      <c r="R140" s="53"/>
      <c r="S140" s="53"/>
      <c r="T140" s="53"/>
    </row>
    <row r="141" spans="1:20" ht="16.5" customHeight="1" x14ac:dyDescent="0.25">
      <c r="A141" s="76">
        <v>2322</v>
      </c>
      <c r="B141" s="127" t="s">
        <v>157</v>
      </c>
      <c r="C141" s="128">
        <f t="shared" si="9"/>
        <v>5564</v>
      </c>
      <c r="D141" s="134">
        <v>0</v>
      </c>
      <c r="E141" s="283">
        <v>0</v>
      </c>
      <c r="F141" s="279">
        <f t="shared" si="10"/>
        <v>0</v>
      </c>
      <c r="G141" s="134">
        <v>5994</v>
      </c>
      <c r="H141" s="135">
        <v>-1380</v>
      </c>
      <c r="I141" s="136">
        <f t="shared" si="11"/>
        <v>4614</v>
      </c>
      <c r="J141" s="134">
        <v>950</v>
      </c>
      <c r="K141" s="135">
        <v>0</v>
      </c>
      <c r="L141" s="136">
        <f t="shared" si="12"/>
        <v>950</v>
      </c>
      <c r="M141" s="284"/>
      <c r="N141" s="285"/>
      <c r="O141" s="136">
        <f t="shared" si="13"/>
        <v>0</v>
      </c>
      <c r="P141" s="85" t="s">
        <v>1245</v>
      </c>
      <c r="R141" s="53"/>
      <c r="S141" s="53"/>
      <c r="T141" s="53"/>
    </row>
    <row r="142" spans="1:20" hidden="1" x14ac:dyDescent="0.25">
      <c r="A142" s="76">
        <v>2329</v>
      </c>
      <c r="B142" s="127" t="s">
        <v>158</v>
      </c>
      <c r="C142" s="128">
        <f t="shared" si="9"/>
        <v>0</v>
      </c>
      <c r="D142" s="134"/>
      <c r="E142" s="285"/>
      <c r="F142" s="286">
        <f t="shared" si="10"/>
        <v>0</v>
      </c>
      <c r="G142" s="134"/>
      <c r="H142" s="135"/>
      <c r="I142" s="136">
        <f t="shared" si="11"/>
        <v>0</v>
      </c>
      <c r="J142" s="134"/>
      <c r="K142" s="135"/>
      <c r="L142" s="136">
        <f t="shared" si="12"/>
        <v>0</v>
      </c>
      <c r="M142" s="284"/>
      <c r="N142" s="285"/>
      <c r="O142" s="136">
        <f t="shared" si="13"/>
        <v>0</v>
      </c>
      <c r="P142" s="85"/>
      <c r="R142" s="53"/>
      <c r="S142" s="53"/>
    </row>
    <row r="143" spans="1:20" hidden="1" x14ac:dyDescent="0.25">
      <c r="A143" s="276">
        <v>2330</v>
      </c>
      <c r="B143" s="127" t="s">
        <v>159</v>
      </c>
      <c r="C143" s="128">
        <f t="shared" si="9"/>
        <v>0</v>
      </c>
      <c r="D143" s="134"/>
      <c r="E143" s="285"/>
      <c r="F143" s="286">
        <f t="shared" si="10"/>
        <v>0</v>
      </c>
      <c r="G143" s="134"/>
      <c r="H143" s="135"/>
      <c r="I143" s="136">
        <f t="shared" si="11"/>
        <v>0</v>
      </c>
      <c r="J143" s="134"/>
      <c r="K143" s="135"/>
      <c r="L143" s="136">
        <f t="shared" si="12"/>
        <v>0</v>
      </c>
      <c r="M143" s="284"/>
      <c r="N143" s="285"/>
      <c r="O143" s="136">
        <f t="shared" si="13"/>
        <v>0</v>
      </c>
      <c r="P143" s="85"/>
      <c r="R143" s="53"/>
      <c r="S143" s="53"/>
    </row>
    <row r="144" spans="1:20" ht="36" x14ac:dyDescent="0.25">
      <c r="A144" s="276">
        <v>2340</v>
      </c>
      <c r="B144" s="127" t="s">
        <v>160</v>
      </c>
      <c r="C144" s="128">
        <f t="shared" si="9"/>
        <v>1423</v>
      </c>
      <c r="D144" s="277">
        <f>SUM(D145:D146)</f>
        <v>0</v>
      </c>
      <c r="E144" s="278">
        <f>SUM(E145:E146)</f>
        <v>0</v>
      </c>
      <c r="F144" s="279">
        <f t="shared" si="10"/>
        <v>0</v>
      </c>
      <c r="G144" s="277">
        <f>SUM(G145:G146)</f>
        <v>1423</v>
      </c>
      <c r="H144" s="280">
        <f>SUM(H145:H146)</f>
        <v>0</v>
      </c>
      <c r="I144" s="136">
        <f t="shared" si="11"/>
        <v>1423</v>
      </c>
      <c r="J144" s="277">
        <f>SUM(J145:J146)</f>
        <v>0</v>
      </c>
      <c r="K144" s="280">
        <f>SUM(K145:K146)</f>
        <v>0</v>
      </c>
      <c r="L144" s="136">
        <f t="shared" si="12"/>
        <v>0</v>
      </c>
      <c r="M144" s="281">
        <f>SUM(M145:M146)</f>
        <v>0</v>
      </c>
      <c r="N144" s="282">
        <f>SUM(N145:N146)</f>
        <v>0</v>
      </c>
      <c r="O144" s="136">
        <f t="shared" si="13"/>
        <v>0</v>
      </c>
      <c r="P144" s="85"/>
      <c r="R144" s="53"/>
      <c r="S144" s="53"/>
      <c r="T144" s="53"/>
    </row>
    <row r="145" spans="1:20" x14ac:dyDescent="0.25">
      <c r="A145" s="76">
        <v>2341</v>
      </c>
      <c r="B145" s="127" t="s">
        <v>161</v>
      </c>
      <c r="C145" s="128">
        <f t="shared" si="9"/>
        <v>1423</v>
      </c>
      <c r="D145" s="134"/>
      <c r="E145" s="283"/>
      <c r="F145" s="279">
        <f t="shared" si="10"/>
        <v>0</v>
      </c>
      <c r="G145" s="134">
        <v>1423</v>
      </c>
      <c r="H145" s="135"/>
      <c r="I145" s="136">
        <f t="shared" si="11"/>
        <v>1423</v>
      </c>
      <c r="J145" s="134"/>
      <c r="K145" s="135"/>
      <c r="L145" s="136">
        <f t="shared" si="12"/>
        <v>0</v>
      </c>
      <c r="M145" s="284"/>
      <c r="N145" s="285"/>
      <c r="O145" s="136">
        <f t="shared" si="13"/>
        <v>0</v>
      </c>
      <c r="P145" s="85"/>
      <c r="R145" s="53"/>
      <c r="S145" s="53"/>
      <c r="T145" s="53"/>
    </row>
    <row r="146" spans="1:20" ht="24" hidden="1" x14ac:dyDescent="0.25">
      <c r="A146" s="76">
        <v>2344</v>
      </c>
      <c r="B146" s="127" t="s">
        <v>162</v>
      </c>
      <c r="C146" s="128">
        <f t="shared" si="9"/>
        <v>0</v>
      </c>
      <c r="D146" s="134"/>
      <c r="E146" s="285"/>
      <c r="F146" s="286">
        <f t="shared" si="10"/>
        <v>0</v>
      </c>
      <c r="G146" s="134"/>
      <c r="H146" s="135"/>
      <c r="I146" s="136">
        <f t="shared" si="11"/>
        <v>0</v>
      </c>
      <c r="J146" s="134"/>
      <c r="K146" s="135"/>
      <c r="L146" s="136">
        <f t="shared" si="12"/>
        <v>0</v>
      </c>
      <c r="M146" s="284"/>
      <c r="N146" s="285"/>
      <c r="O146" s="136">
        <f t="shared" si="13"/>
        <v>0</v>
      </c>
      <c r="P146" s="85"/>
      <c r="R146" s="53"/>
      <c r="S146" s="53"/>
    </row>
    <row r="147" spans="1:20" ht="24" x14ac:dyDescent="0.25">
      <c r="A147" s="254">
        <v>2350</v>
      </c>
      <c r="B147" s="179" t="s">
        <v>163</v>
      </c>
      <c r="C147" s="128">
        <f t="shared" si="9"/>
        <v>12204</v>
      </c>
      <c r="D147" s="255">
        <f>SUM(D148:D153)</f>
        <v>0</v>
      </c>
      <c r="E147" s="256">
        <f>SUM(E148:E153)</f>
        <v>0</v>
      </c>
      <c r="F147" s="257">
        <f t="shared" si="10"/>
        <v>0</v>
      </c>
      <c r="G147" s="255">
        <f>SUM(G148:G153)</f>
        <v>10929</v>
      </c>
      <c r="H147" s="258">
        <f>SUM(H148:H153)</f>
        <v>0</v>
      </c>
      <c r="I147" s="259">
        <f t="shared" si="11"/>
        <v>10929</v>
      </c>
      <c r="J147" s="255">
        <f>SUM(J148:J153)</f>
        <v>1275</v>
      </c>
      <c r="K147" s="258">
        <f>SUM(K148:K153)</f>
        <v>0</v>
      </c>
      <c r="L147" s="259">
        <f t="shared" si="12"/>
        <v>1275</v>
      </c>
      <c r="M147" s="260">
        <f>SUM(M148:M153)</f>
        <v>0</v>
      </c>
      <c r="N147" s="261">
        <f>SUM(N148:N153)</f>
        <v>0</v>
      </c>
      <c r="O147" s="259">
        <f t="shared" si="13"/>
        <v>0</v>
      </c>
      <c r="P147" s="189"/>
      <c r="R147" s="53"/>
      <c r="S147" s="53"/>
      <c r="T147" s="53"/>
    </row>
    <row r="148" spans="1:20" x14ac:dyDescent="0.25">
      <c r="A148" s="66">
        <v>2351</v>
      </c>
      <c r="B148" s="116" t="s">
        <v>164</v>
      </c>
      <c r="C148" s="128">
        <f t="shared" si="9"/>
        <v>6393</v>
      </c>
      <c r="D148" s="123"/>
      <c r="E148" s="295"/>
      <c r="F148" s="296">
        <f t="shared" si="10"/>
        <v>0</v>
      </c>
      <c r="G148" s="123">
        <v>5994</v>
      </c>
      <c r="H148" s="124"/>
      <c r="I148" s="125">
        <f t="shared" si="11"/>
        <v>5994</v>
      </c>
      <c r="J148" s="123">
        <v>399</v>
      </c>
      <c r="K148" s="124"/>
      <c r="L148" s="125">
        <f t="shared" si="12"/>
        <v>399</v>
      </c>
      <c r="M148" s="264"/>
      <c r="N148" s="262"/>
      <c r="O148" s="125">
        <f t="shared" si="13"/>
        <v>0</v>
      </c>
      <c r="P148" s="74"/>
      <c r="R148" s="53"/>
      <c r="S148" s="53"/>
      <c r="T148" s="53"/>
    </row>
    <row r="149" spans="1:20" x14ac:dyDescent="0.25">
      <c r="A149" s="76">
        <v>2352</v>
      </c>
      <c r="B149" s="127" t="s">
        <v>165</v>
      </c>
      <c r="C149" s="128">
        <f t="shared" si="9"/>
        <v>3985</v>
      </c>
      <c r="D149" s="134"/>
      <c r="E149" s="283"/>
      <c r="F149" s="279">
        <f t="shared" si="10"/>
        <v>0</v>
      </c>
      <c r="G149" s="134">
        <v>3586</v>
      </c>
      <c r="H149" s="135"/>
      <c r="I149" s="136">
        <f t="shared" si="11"/>
        <v>3586</v>
      </c>
      <c r="J149" s="134">
        <v>399</v>
      </c>
      <c r="K149" s="135"/>
      <c r="L149" s="136">
        <f t="shared" si="12"/>
        <v>399</v>
      </c>
      <c r="M149" s="284"/>
      <c r="N149" s="285"/>
      <c r="O149" s="136">
        <f t="shared" si="13"/>
        <v>0</v>
      </c>
      <c r="P149" s="85"/>
      <c r="R149" s="53"/>
      <c r="S149" s="53"/>
      <c r="T149" s="53"/>
    </row>
    <row r="150" spans="1:20" ht="24" x14ac:dyDescent="0.25">
      <c r="A150" s="76">
        <v>2353</v>
      </c>
      <c r="B150" s="127" t="s">
        <v>166</v>
      </c>
      <c r="C150" s="128">
        <f t="shared" si="9"/>
        <v>122</v>
      </c>
      <c r="D150" s="134"/>
      <c r="E150" s="283"/>
      <c r="F150" s="279">
        <f t="shared" si="10"/>
        <v>0</v>
      </c>
      <c r="G150" s="134">
        <v>122</v>
      </c>
      <c r="H150" s="135"/>
      <c r="I150" s="136">
        <f t="shared" si="11"/>
        <v>122</v>
      </c>
      <c r="J150" s="134"/>
      <c r="K150" s="135"/>
      <c r="L150" s="136">
        <f t="shared" si="12"/>
        <v>0</v>
      </c>
      <c r="M150" s="284"/>
      <c r="N150" s="285"/>
      <c r="O150" s="136">
        <f t="shared" si="13"/>
        <v>0</v>
      </c>
      <c r="P150" s="85"/>
      <c r="R150" s="53"/>
      <c r="S150" s="53"/>
      <c r="T150" s="53"/>
    </row>
    <row r="151" spans="1:20" ht="24" x14ac:dyDescent="0.25">
      <c r="A151" s="76">
        <v>2354</v>
      </c>
      <c r="B151" s="127" t="s">
        <v>167</v>
      </c>
      <c r="C151" s="128">
        <f t="shared" si="9"/>
        <v>950</v>
      </c>
      <c r="D151" s="134"/>
      <c r="E151" s="283"/>
      <c r="F151" s="279">
        <f t="shared" si="10"/>
        <v>0</v>
      </c>
      <c r="G151" s="134">
        <v>530</v>
      </c>
      <c r="H151" s="135"/>
      <c r="I151" s="136">
        <f t="shared" si="11"/>
        <v>530</v>
      </c>
      <c r="J151" s="134">
        <v>420</v>
      </c>
      <c r="K151" s="135"/>
      <c r="L151" s="136">
        <f t="shared" si="12"/>
        <v>420</v>
      </c>
      <c r="M151" s="284"/>
      <c r="N151" s="285"/>
      <c r="O151" s="136">
        <f t="shared" si="13"/>
        <v>0</v>
      </c>
      <c r="P151" s="85"/>
      <c r="R151" s="53"/>
      <c r="S151" s="53"/>
      <c r="T151" s="53"/>
    </row>
    <row r="152" spans="1:20" ht="24" x14ac:dyDescent="0.25">
      <c r="A152" s="76">
        <v>2355</v>
      </c>
      <c r="B152" s="127" t="s">
        <v>168</v>
      </c>
      <c r="C152" s="128">
        <f t="shared" si="9"/>
        <v>754</v>
      </c>
      <c r="D152" s="134"/>
      <c r="E152" s="283"/>
      <c r="F152" s="279">
        <f t="shared" si="10"/>
        <v>0</v>
      </c>
      <c r="G152" s="134">
        <v>697</v>
      </c>
      <c r="H152" s="135"/>
      <c r="I152" s="136">
        <f t="shared" si="11"/>
        <v>697</v>
      </c>
      <c r="J152" s="134">
        <v>57</v>
      </c>
      <c r="K152" s="135"/>
      <c r="L152" s="136">
        <f t="shared" si="12"/>
        <v>57</v>
      </c>
      <c r="M152" s="284"/>
      <c r="N152" s="285"/>
      <c r="O152" s="136">
        <f t="shared" si="13"/>
        <v>0</v>
      </c>
      <c r="P152" s="85"/>
      <c r="R152" s="53"/>
      <c r="S152" s="53"/>
      <c r="T152" s="53"/>
    </row>
    <row r="153" spans="1:20" hidden="1" x14ac:dyDescent="0.25">
      <c r="A153" s="76">
        <v>2359</v>
      </c>
      <c r="B153" s="127" t="s">
        <v>169</v>
      </c>
      <c r="C153" s="128">
        <f t="shared" si="9"/>
        <v>0</v>
      </c>
      <c r="D153" s="134"/>
      <c r="E153" s="285"/>
      <c r="F153" s="286">
        <f t="shared" si="10"/>
        <v>0</v>
      </c>
      <c r="G153" s="134"/>
      <c r="H153" s="135"/>
      <c r="I153" s="136">
        <f t="shared" si="11"/>
        <v>0</v>
      </c>
      <c r="J153" s="134"/>
      <c r="K153" s="135"/>
      <c r="L153" s="136">
        <f t="shared" si="12"/>
        <v>0</v>
      </c>
      <c r="M153" s="284"/>
      <c r="N153" s="285"/>
      <c r="O153" s="136">
        <f t="shared" si="13"/>
        <v>0</v>
      </c>
      <c r="P153" s="85"/>
      <c r="R153" s="53"/>
      <c r="S153" s="53"/>
    </row>
    <row r="154" spans="1:20" ht="24" x14ac:dyDescent="0.25">
      <c r="A154" s="276">
        <v>2360</v>
      </c>
      <c r="B154" s="127" t="s">
        <v>170</v>
      </c>
      <c r="C154" s="128">
        <f t="shared" si="9"/>
        <v>46939</v>
      </c>
      <c r="D154" s="277">
        <f>SUM(D155:D161)</f>
        <v>0</v>
      </c>
      <c r="E154" s="278">
        <f>SUM(E155:E161)</f>
        <v>0</v>
      </c>
      <c r="F154" s="279">
        <f t="shared" si="10"/>
        <v>0</v>
      </c>
      <c r="G154" s="277">
        <f>SUM(G155:G161)</f>
        <v>39104</v>
      </c>
      <c r="H154" s="280">
        <f>SUM(H155:H161)</f>
        <v>2740</v>
      </c>
      <c r="I154" s="136">
        <f t="shared" si="11"/>
        <v>41844</v>
      </c>
      <c r="J154" s="277">
        <f>SUM(J155:J161)</f>
        <v>5095</v>
      </c>
      <c r="K154" s="280">
        <f>SUM(K155:K161)</f>
        <v>0</v>
      </c>
      <c r="L154" s="136">
        <f t="shared" si="12"/>
        <v>5095</v>
      </c>
      <c r="M154" s="281">
        <f>SUM(M155:M161)</f>
        <v>0</v>
      </c>
      <c r="N154" s="282">
        <f>SUM(N155:N161)</f>
        <v>0</v>
      </c>
      <c r="O154" s="136">
        <f t="shared" si="13"/>
        <v>0</v>
      </c>
      <c r="P154" s="85"/>
      <c r="R154" s="53"/>
      <c r="S154" s="53"/>
      <c r="T154" s="53"/>
    </row>
    <row r="155" spans="1:20" x14ac:dyDescent="0.25">
      <c r="A155" s="75">
        <v>2361</v>
      </c>
      <c r="B155" s="127" t="s">
        <v>171</v>
      </c>
      <c r="C155" s="128">
        <f t="shared" si="9"/>
        <v>4716</v>
      </c>
      <c r="D155" s="134"/>
      <c r="E155" s="283"/>
      <c r="F155" s="279">
        <f t="shared" si="10"/>
        <v>0</v>
      </c>
      <c r="G155" s="134">
        <v>4088</v>
      </c>
      <c r="H155" s="135"/>
      <c r="I155" s="136">
        <f t="shared" si="11"/>
        <v>4088</v>
      </c>
      <c r="J155" s="134">
        <v>628</v>
      </c>
      <c r="K155" s="135"/>
      <c r="L155" s="136">
        <f t="shared" si="12"/>
        <v>628</v>
      </c>
      <c r="M155" s="284"/>
      <c r="N155" s="285"/>
      <c r="O155" s="136">
        <f t="shared" si="13"/>
        <v>0</v>
      </c>
      <c r="P155" s="85"/>
      <c r="R155" s="53"/>
      <c r="S155" s="53"/>
      <c r="T155" s="53"/>
    </row>
    <row r="156" spans="1:20" x14ac:dyDescent="0.25">
      <c r="A156" s="75">
        <v>2362</v>
      </c>
      <c r="B156" s="127" t="s">
        <v>172</v>
      </c>
      <c r="C156" s="128">
        <f t="shared" si="9"/>
        <v>1339</v>
      </c>
      <c r="D156" s="134"/>
      <c r="E156" s="283"/>
      <c r="F156" s="279">
        <f t="shared" si="10"/>
        <v>0</v>
      </c>
      <c r="G156" s="134">
        <v>912</v>
      </c>
      <c r="H156" s="135"/>
      <c r="I156" s="136">
        <f t="shared" si="11"/>
        <v>912</v>
      </c>
      <c r="J156" s="134">
        <v>427</v>
      </c>
      <c r="K156" s="135"/>
      <c r="L156" s="136">
        <f t="shared" si="12"/>
        <v>427</v>
      </c>
      <c r="M156" s="284"/>
      <c r="N156" s="285"/>
      <c r="O156" s="136">
        <f t="shared" si="13"/>
        <v>0</v>
      </c>
      <c r="P156" s="85"/>
      <c r="R156" s="53"/>
      <c r="S156" s="53"/>
      <c r="T156" s="53"/>
    </row>
    <row r="157" spans="1:20" x14ac:dyDescent="0.25">
      <c r="A157" s="75">
        <v>2363</v>
      </c>
      <c r="B157" s="127" t="s">
        <v>173</v>
      </c>
      <c r="C157" s="128">
        <f t="shared" si="9"/>
        <v>39378</v>
      </c>
      <c r="D157" s="134"/>
      <c r="E157" s="283"/>
      <c r="F157" s="279">
        <f t="shared" si="10"/>
        <v>0</v>
      </c>
      <c r="G157" s="134">
        <v>32598</v>
      </c>
      <c r="H157" s="135">
        <v>2740</v>
      </c>
      <c r="I157" s="136">
        <f t="shared" si="11"/>
        <v>35338</v>
      </c>
      <c r="J157" s="134">
        <v>4040</v>
      </c>
      <c r="K157" s="135"/>
      <c r="L157" s="136">
        <f t="shared" si="12"/>
        <v>4040</v>
      </c>
      <c r="M157" s="284"/>
      <c r="N157" s="285"/>
      <c r="O157" s="136">
        <f t="shared" si="13"/>
        <v>0</v>
      </c>
      <c r="P157" s="85" t="s">
        <v>1246</v>
      </c>
      <c r="R157" s="53"/>
      <c r="S157" s="53"/>
      <c r="T157" s="53"/>
    </row>
    <row r="158" spans="1:20" hidden="1" x14ac:dyDescent="0.25">
      <c r="A158" s="75">
        <v>2364</v>
      </c>
      <c r="B158" s="127" t="s">
        <v>174</v>
      </c>
      <c r="C158" s="128">
        <f t="shared" si="9"/>
        <v>0</v>
      </c>
      <c r="D158" s="134"/>
      <c r="E158" s="285"/>
      <c r="F158" s="286">
        <f t="shared" si="10"/>
        <v>0</v>
      </c>
      <c r="G158" s="134"/>
      <c r="H158" s="135"/>
      <c r="I158" s="136">
        <f t="shared" si="11"/>
        <v>0</v>
      </c>
      <c r="J158" s="134"/>
      <c r="K158" s="135"/>
      <c r="L158" s="136">
        <f t="shared" si="12"/>
        <v>0</v>
      </c>
      <c r="M158" s="284"/>
      <c r="N158" s="285"/>
      <c r="O158" s="136">
        <f t="shared" si="13"/>
        <v>0</v>
      </c>
      <c r="P158" s="85"/>
      <c r="R158" s="53"/>
      <c r="S158" s="53"/>
    </row>
    <row r="159" spans="1:20" hidden="1" x14ac:dyDescent="0.25">
      <c r="A159" s="75">
        <v>2365</v>
      </c>
      <c r="B159" s="127" t="s">
        <v>175</v>
      </c>
      <c r="C159" s="128">
        <f t="shared" si="9"/>
        <v>0</v>
      </c>
      <c r="D159" s="134"/>
      <c r="E159" s="285"/>
      <c r="F159" s="286">
        <f t="shared" si="10"/>
        <v>0</v>
      </c>
      <c r="G159" s="134"/>
      <c r="H159" s="135"/>
      <c r="I159" s="136">
        <f t="shared" si="11"/>
        <v>0</v>
      </c>
      <c r="J159" s="134"/>
      <c r="K159" s="135"/>
      <c r="L159" s="136">
        <f t="shared" si="12"/>
        <v>0</v>
      </c>
      <c r="M159" s="284"/>
      <c r="N159" s="285"/>
      <c r="O159" s="136">
        <f t="shared" si="13"/>
        <v>0</v>
      </c>
      <c r="P159" s="85"/>
      <c r="R159" s="53"/>
      <c r="S159" s="53"/>
    </row>
    <row r="160" spans="1:20" ht="24" customHeight="1" x14ac:dyDescent="0.25">
      <c r="A160" s="75">
        <v>2366</v>
      </c>
      <c r="B160" s="127" t="s">
        <v>176</v>
      </c>
      <c r="C160" s="128">
        <f t="shared" si="9"/>
        <v>143</v>
      </c>
      <c r="D160" s="134"/>
      <c r="E160" s="283"/>
      <c r="F160" s="279">
        <f t="shared" si="10"/>
        <v>0</v>
      </c>
      <c r="G160" s="134">
        <v>143</v>
      </c>
      <c r="H160" s="135"/>
      <c r="I160" s="136">
        <f t="shared" si="11"/>
        <v>143</v>
      </c>
      <c r="J160" s="134"/>
      <c r="K160" s="135"/>
      <c r="L160" s="136">
        <f t="shared" si="12"/>
        <v>0</v>
      </c>
      <c r="M160" s="284"/>
      <c r="N160" s="285"/>
      <c r="O160" s="136">
        <f t="shared" si="13"/>
        <v>0</v>
      </c>
      <c r="P160" s="85"/>
      <c r="R160" s="53"/>
      <c r="S160" s="53"/>
      <c r="T160" s="53"/>
    </row>
    <row r="161" spans="1:20" ht="36" x14ac:dyDescent="0.25">
      <c r="A161" s="75">
        <v>2369</v>
      </c>
      <c r="B161" s="127" t="s">
        <v>177</v>
      </c>
      <c r="C161" s="128">
        <f t="shared" si="9"/>
        <v>1363</v>
      </c>
      <c r="D161" s="134"/>
      <c r="E161" s="283"/>
      <c r="F161" s="279">
        <f t="shared" si="10"/>
        <v>0</v>
      </c>
      <c r="G161" s="134">
        <v>1363</v>
      </c>
      <c r="H161" s="135"/>
      <c r="I161" s="136">
        <f t="shared" si="11"/>
        <v>1363</v>
      </c>
      <c r="J161" s="134"/>
      <c r="K161" s="135"/>
      <c r="L161" s="136">
        <f t="shared" si="12"/>
        <v>0</v>
      </c>
      <c r="M161" s="284"/>
      <c r="N161" s="285"/>
      <c r="O161" s="136">
        <f t="shared" si="13"/>
        <v>0</v>
      </c>
      <c r="P161" s="85"/>
      <c r="R161" s="53"/>
      <c r="S161" s="53"/>
      <c r="T161" s="53"/>
    </row>
    <row r="162" spans="1:20" x14ac:dyDescent="0.25">
      <c r="A162" s="254">
        <v>2370</v>
      </c>
      <c r="B162" s="179" t="s">
        <v>178</v>
      </c>
      <c r="C162" s="128">
        <f t="shared" si="9"/>
        <v>5681</v>
      </c>
      <c r="D162" s="287">
        <v>0</v>
      </c>
      <c r="E162" s="288">
        <v>0</v>
      </c>
      <c r="F162" s="257">
        <f t="shared" si="10"/>
        <v>0</v>
      </c>
      <c r="G162" s="287">
        <v>5467</v>
      </c>
      <c r="H162" s="289"/>
      <c r="I162" s="259">
        <f t="shared" si="11"/>
        <v>5467</v>
      </c>
      <c r="J162" s="287">
        <v>214</v>
      </c>
      <c r="K162" s="289"/>
      <c r="L162" s="259">
        <f t="shared" si="12"/>
        <v>214</v>
      </c>
      <c r="M162" s="290"/>
      <c r="N162" s="291"/>
      <c r="O162" s="259">
        <f t="shared" si="13"/>
        <v>0</v>
      </c>
      <c r="P162" s="189" t="s">
        <v>1210</v>
      </c>
      <c r="R162" s="53"/>
      <c r="S162" s="53"/>
      <c r="T162" s="53"/>
    </row>
    <row r="163" spans="1:20" hidden="1" x14ac:dyDescent="0.25">
      <c r="A163" s="254">
        <v>2380</v>
      </c>
      <c r="B163" s="179" t="s">
        <v>179</v>
      </c>
      <c r="C163" s="128">
        <f t="shared" si="9"/>
        <v>0</v>
      </c>
      <c r="D163" s="255">
        <f>SUM(D164:D165)</f>
        <v>0</v>
      </c>
      <c r="E163" s="261">
        <f>SUM(E164:E165)</f>
        <v>0</v>
      </c>
      <c r="F163" s="310">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c r="S163" s="53"/>
    </row>
    <row r="164" spans="1:20" hidden="1" x14ac:dyDescent="0.25">
      <c r="A164" s="65">
        <v>2381</v>
      </c>
      <c r="B164" s="116" t="s">
        <v>180</v>
      </c>
      <c r="C164" s="128">
        <f t="shared" si="9"/>
        <v>0</v>
      </c>
      <c r="D164" s="123"/>
      <c r="E164" s="262"/>
      <c r="F164" s="263">
        <f t="shared" si="10"/>
        <v>0</v>
      </c>
      <c r="G164" s="123"/>
      <c r="H164" s="124"/>
      <c r="I164" s="125">
        <f t="shared" si="11"/>
        <v>0</v>
      </c>
      <c r="J164" s="123"/>
      <c r="K164" s="124"/>
      <c r="L164" s="125">
        <f t="shared" si="12"/>
        <v>0</v>
      </c>
      <c r="M164" s="264"/>
      <c r="N164" s="262"/>
      <c r="O164" s="125">
        <f t="shared" si="13"/>
        <v>0</v>
      </c>
      <c r="P164" s="74"/>
      <c r="R164" s="53"/>
      <c r="S164" s="53"/>
    </row>
    <row r="165" spans="1:20" ht="24" hidden="1" x14ac:dyDescent="0.25">
      <c r="A165" s="75">
        <v>2389</v>
      </c>
      <c r="B165" s="127" t="s">
        <v>181</v>
      </c>
      <c r="C165" s="128">
        <f t="shared" si="9"/>
        <v>0</v>
      </c>
      <c r="D165" s="134"/>
      <c r="E165" s="285"/>
      <c r="F165" s="286">
        <f t="shared" si="10"/>
        <v>0</v>
      </c>
      <c r="G165" s="134"/>
      <c r="H165" s="135"/>
      <c r="I165" s="136">
        <f t="shared" si="11"/>
        <v>0</v>
      </c>
      <c r="J165" s="134"/>
      <c r="K165" s="135"/>
      <c r="L165" s="136">
        <f t="shared" si="12"/>
        <v>0</v>
      </c>
      <c r="M165" s="284"/>
      <c r="N165" s="285"/>
      <c r="O165" s="136">
        <f t="shared" si="13"/>
        <v>0</v>
      </c>
      <c r="P165" s="85"/>
      <c r="R165" s="53"/>
      <c r="S165" s="53"/>
    </row>
    <row r="166" spans="1:20" hidden="1" x14ac:dyDescent="0.25">
      <c r="A166" s="254">
        <v>2390</v>
      </c>
      <c r="B166" s="179" t="s">
        <v>182</v>
      </c>
      <c r="C166" s="128">
        <f t="shared" si="9"/>
        <v>0</v>
      </c>
      <c r="D166" s="287"/>
      <c r="E166" s="291"/>
      <c r="F166" s="310">
        <f t="shared" si="10"/>
        <v>0</v>
      </c>
      <c r="G166" s="287"/>
      <c r="H166" s="289"/>
      <c r="I166" s="259">
        <f t="shared" si="11"/>
        <v>0</v>
      </c>
      <c r="J166" s="287"/>
      <c r="K166" s="289"/>
      <c r="L166" s="259">
        <f t="shared" si="12"/>
        <v>0</v>
      </c>
      <c r="M166" s="290"/>
      <c r="N166" s="291"/>
      <c r="O166" s="259">
        <f t="shared" si="13"/>
        <v>0</v>
      </c>
      <c r="P166" s="189"/>
      <c r="R166" s="53"/>
      <c r="S166" s="53"/>
    </row>
    <row r="167" spans="1:20" hidden="1" x14ac:dyDescent="0.25">
      <c r="A167" s="99">
        <v>2400</v>
      </c>
      <c r="B167" s="247" t="s">
        <v>183</v>
      </c>
      <c r="C167" s="100">
        <f t="shared" si="9"/>
        <v>0</v>
      </c>
      <c r="D167" s="311"/>
      <c r="E167" s="312"/>
      <c r="F167" s="313">
        <f t="shared" si="10"/>
        <v>0</v>
      </c>
      <c r="G167" s="311"/>
      <c r="H167" s="314"/>
      <c r="I167" s="114">
        <f t="shared" si="11"/>
        <v>0</v>
      </c>
      <c r="J167" s="311"/>
      <c r="K167" s="314"/>
      <c r="L167" s="114">
        <f t="shared" si="12"/>
        <v>0</v>
      </c>
      <c r="M167" s="315"/>
      <c r="N167" s="312"/>
      <c r="O167" s="114">
        <f t="shared" si="13"/>
        <v>0</v>
      </c>
      <c r="P167" s="109"/>
      <c r="R167" s="53"/>
      <c r="S167" s="53"/>
    </row>
    <row r="168" spans="1:20" ht="24" x14ac:dyDescent="0.25">
      <c r="A168" s="99">
        <v>2500</v>
      </c>
      <c r="B168" s="247" t="s">
        <v>184</v>
      </c>
      <c r="C168" s="100">
        <f t="shared" si="9"/>
        <v>331</v>
      </c>
      <c r="D168" s="112">
        <f>SUM(D169,D174)</f>
        <v>0</v>
      </c>
      <c r="E168" s="248">
        <f>SUM(E169,E174)</f>
        <v>0</v>
      </c>
      <c r="F168" s="249">
        <f t="shared" si="10"/>
        <v>0</v>
      </c>
      <c r="G168" s="112">
        <f>SUM(G169,G174)</f>
        <v>331</v>
      </c>
      <c r="H168" s="113">
        <f t="shared" ref="H168" si="17">SUM(H169,H174)</f>
        <v>0</v>
      </c>
      <c r="I168" s="114">
        <f t="shared" si="11"/>
        <v>331</v>
      </c>
      <c r="J168" s="112">
        <f>SUM(J169,J174)</f>
        <v>0</v>
      </c>
      <c r="K168" s="113">
        <f t="shared" ref="K168" si="18">SUM(K169,K174)</f>
        <v>0</v>
      </c>
      <c r="L168" s="114">
        <f t="shared" si="12"/>
        <v>0</v>
      </c>
      <c r="M168" s="250">
        <f t="shared" ref="M168:N168" si="19">SUM(M169,M174)</f>
        <v>0</v>
      </c>
      <c r="N168" s="251">
        <f t="shared" si="19"/>
        <v>0</v>
      </c>
      <c r="O168" s="252">
        <f t="shared" si="13"/>
        <v>0</v>
      </c>
      <c r="P168" s="253"/>
      <c r="R168" s="53"/>
      <c r="S168" s="53"/>
      <c r="T168" s="53"/>
    </row>
    <row r="169" spans="1:20" x14ac:dyDescent="0.25">
      <c r="A169" s="656">
        <v>2510</v>
      </c>
      <c r="B169" s="116" t="s">
        <v>185</v>
      </c>
      <c r="C169" s="117">
        <f t="shared" si="9"/>
        <v>331</v>
      </c>
      <c r="D169" s="297">
        <f>SUM(D170:D173)</f>
        <v>0</v>
      </c>
      <c r="E169" s="298">
        <f>SUM(E170:E173)</f>
        <v>0</v>
      </c>
      <c r="F169" s="296">
        <f t="shared" si="10"/>
        <v>0</v>
      </c>
      <c r="G169" s="297">
        <f>SUM(G170:G173)</f>
        <v>331</v>
      </c>
      <c r="H169" s="299">
        <f t="shared" ref="H169" si="20">SUM(H170:H173)</f>
        <v>0</v>
      </c>
      <c r="I169" s="125">
        <f t="shared" si="11"/>
        <v>331</v>
      </c>
      <c r="J169" s="297">
        <f>SUM(J170:J173)</f>
        <v>0</v>
      </c>
      <c r="K169" s="299">
        <f t="shared" ref="K169" si="21">SUM(K170:K173)</f>
        <v>0</v>
      </c>
      <c r="L169" s="125">
        <f t="shared" si="12"/>
        <v>0</v>
      </c>
      <c r="M169" s="317">
        <f t="shared" ref="M169:N169" si="22">SUM(M170:M173)</f>
        <v>0</v>
      </c>
      <c r="N169" s="318">
        <f t="shared" si="22"/>
        <v>0</v>
      </c>
      <c r="O169" s="151">
        <f t="shared" si="13"/>
        <v>0</v>
      </c>
      <c r="P169" s="153"/>
      <c r="R169" s="53"/>
      <c r="S169" s="53"/>
      <c r="T169" s="53"/>
    </row>
    <row r="170" spans="1:20" ht="24" hidden="1" x14ac:dyDescent="0.25">
      <c r="A170" s="76">
        <v>2512</v>
      </c>
      <c r="B170" s="127" t="s">
        <v>186</v>
      </c>
      <c r="C170" s="128">
        <f t="shared" si="9"/>
        <v>0</v>
      </c>
      <c r="D170" s="134"/>
      <c r="E170" s="285"/>
      <c r="F170" s="286">
        <f t="shared" si="10"/>
        <v>0</v>
      </c>
      <c r="G170" s="134"/>
      <c r="H170" s="135"/>
      <c r="I170" s="136">
        <f t="shared" si="11"/>
        <v>0</v>
      </c>
      <c r="J170" s="134"/>
      <c r="K170" s="135"/>
      <c r="L170" s="136">
        <f t="shared" si="12"/>
        <v>0</v>
      </c>
      <c r="M170" s="284"/>
      <c r="N170" s="285"/>
      <c r="O170" s="136">
        <f t="shared" si="13"/>
        <v>0</v>
      </c>
      <c r="P170" s="85"/>
      <c r="R170" s="53"/>
      <c r="S170" s="53"/>
    </row>
    <row r="171" spans="1:20" ht="36" hidden="1" x14ac:dyDescent="0.25">
      <c r="A171" s="76">
        <v>2513</v>
      </c>
      <c r="B171" s="127" t="s">
        <v>187</v>
      </c>
      <c r="C171" s="128">
        <f t="shared" si="9"/>
        <v>0</v>
      </c>
      <c r="D171" s="134"/>
      <c r="E171" s="285"/>
      <c r="F171" s="286">
        <f t="shared" si="10"/>
        <v>0</v>
      </c>
      <c r="G171" s="134"/>
      <c r="H171" s="135"/>
      <c r="I171" s="136">
        <f t="shared" si="11"/>
        <v>0</v>
      </c>
      <c r="J171" s="134"/>
      <c r="K171" s="135"/>
      <c r="L171" s="136">
        <f t="shared" si="12"/>
        <v>0</v>
      </c>
      <c r="M171" s="284"/>
      <c r="N171" s="285"/>
      <c r="O171" s="136">
        <f t="shared" si="13"/>
        <v>0</v>
      </c>
      <c r="P171" s="85"/>
      <c r="R171" s="53"/>
      <c r="S171" s="53"/>
    </row>
    <row r="172" spans="1:20" ht="24" x14ac:dyDescent="0.25">
      <c r="A172" s="76">
        <v>2515</v>
      </c>
      <c r="B172" s="127" t="s">
        <v>188</v>
      </c>
      <c r="C172" s="128">
        <f t="shared" si="9"/>
        <v>220</v>
      </c>
      <c r="D172" s="134"/>
      <c r="E172" s="283"/>
      <c r="F172" s="279">
        <f t="shared" si="10"/>
        <v>0</v>
      </c>
      <c r="G172" s="134">
        <v>220</v>
      </c>
      <c r="H172" s="135">
        <v>0</v>
      </c>
      <c r="I172" s="136">
        <f t="shared" si="11"/>
        <v>220</v>
      </c>
      <c r="J172" s="134"/>
      <c r="K172" s="135"/>
      <c r="L172" s="136">
        <f t="shared" si="12"/>
        <v>0</v>
      </c>
      <c r="M172" s="284"/>
      <c r="N172" s="285"/>
      <c r="O172" s="136">
        <f t="shared" si="13"/>
        <v>0</v>
      </c>
      <c r="P172" s="85" t="s">
        <v>1210</v>
      </c>
      <c r="R172" s="53"/>
      <c r="S172" s="53"/>
      <c r="T172" s="53"/>
    </row>
    <row r="173" spans="1:20" ht="24" x14ac:dyDescent="0.25">
      <c r="A173" s="76">
        <v>2519</v>
      </c>
      <c r="B173" s="127" t="s">
        <v>189</v>
      </c>
      <c r="C173" s="128">
        <f t="shared" si="9"/>
        <v>111</v>
      </c>
      <c r="D173" s="134"/>
      <c r="E173" s="283"/>
      <c r="F173" s="279">
        <f t="shared" si="10"/>
        <v>0</v>
      </c>
      <c r="G173" s="134">
        <v>111</v>
      </c>
      <c r="H173" s="135">
        <v>0</v>
      </c>
      <c r="I173" s="136">
        <f t="shared" si="11"/>
        <v>111</v>
      </c>
      <c r="J173" s="134"/>
      <c r="K173" s="135"/>
      <c r="L173" s="136">
        <f t="shared" si="12"/>
        <v>0</v>
      </c>
      <c r="M173" s="284"/>
      <c r="N173" s="285"/>
      <c r="O173" s="136">
        <f t="shared" si="13"/>
        <v>0</v>
      </c>
      <c r="P173" s="85" t="s">
        <v>1210</v>
      </c>
      <c r="R173" s="53"/>
      <c r="S173" s="53"/>
      <c r="T173" s="53"/>
    </row>
    <row r="174" spans="1:20" hidden="1" x14ac:dyDescent="0.25">
      <c r="A174" s="276">
        <v>2520</v>
      </c>
      <c r="B174" s="127" t="s">
        <v>190</v>
      </c>
      <c r="C174" s="128">
        <f t="shared" si="9"/>
        <v>0</v>
      </c>
      <c r="D174" s="134"/>
      <c r="E174" s="285"/>
      <c r="F174" s="286">
        <f t="shared" si="10"/>
        <v>0</v>
      </c>
      <c r="G174" s="134"/>
      <c r="H174" s="135"/>
      <c r="I174" s="136">
        <f t="shared" si="11"/>
        <v>0</v>
      </c>
      <c r="J174" s="134"/>
      <c r="K174" s="135"/>
      <c r="L174" s="136">
        <f t="shared" si="12"/>
        <v>0</v>
      </c>
      <c r="M174" s="284"/>
      <c r="N174" s="285"/>
      <c r="O174" s="136">
        <f t="shared" si="13"/>
        <v>0</v>
      </c>
      <c r="P174" s="85"/>
      <c r="R174" s="53"/>
      <c r="S174" s="53"/>
    </row>
    <row r="175" spans="1:20" s="319" customFormat="1" ht="36" hidden="1" x14ac:dyDescent="0.25">
      <c r="A175" s="31">
        <v>2800</v>
      </c>
      <c r="B175" s="116" t="s">
        <v>191</v>
      </c>
      <c r="C175" s="117">
        <f t="shared" si="9"/>
        <v>0</v>
      </c>
      <c r="D175" s="68"/>
      <c r="E175" s="69"/>
      <c r="F175" s="70">
        <f t="shared" si="10"/>
        <v>0</v>
      </c>
      <c r="G175" s="68"/>
      <c r="H175" s="71"/>
      <c r="I175" s="72">
        <f t="shared" si="11"/>
        <v>0</v>
      </c>
      <c r="J175" s="68"/>
      <c r="K175" s="71"/>
      <c r="L175" s="72">
        <f t="shared" si="12"/>
        <v>0</v>
      </c>
      <c r="M175" s="73"/>
      <c r="N175" s="69"/>
      <c r="O175" s="72">
        <f t="shared" si="13"/>
        <v>0</v>
      </c>
      <c r="P175" s="74"/>
      <c r="R175" s="53"/>
      <c r="S175" s="53"/>
    </row>
    <row r="176" spans="1:20" hidden="1" x14ac:dyDescent="0.25">
      <c r="A176" s="237">
        <v>3000</v>
      </c>
      <c r="B176" s="237" t="s">
        <v>192</v>
      </c>
      <c r="C176" s="238">
        <f t="shared" si="9"/>
        <v>0</v>
      </c>
      <c r="D176" s="239">
        <f>SUM(D177,D187)</f>
        <v>0</v>
      </c>
      <c r="E176" s="245">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c r="S176" s="53"/>
    </row>
    <row r="177" spans="1:19" ht="24" hidden="1" x14ac:dyDescent="0.25">
      <c r="A177" s="99">
        <v>3200</v>
      </c>
      <c r="B177" s="321" t="s">
        <v>193</v>
      </c>
      <c r="C177" s="100">
        <f t="shared" si="9"/>
        <v>0</v>
      </c>
      <c r="D177" s="112">
        <f>SUM(D178,D182)</f>
        <v>0</v>
      </c>
      <c r="E177" s="293">
        <f>SUM(E178,E182)</f>
        <v>0</v>
      </c>
      <c r="F177" s="313">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c r="R177" s="53"/>
      <c r="S177" s="53"/>
    </row>
    <row r="178" spans="1:19" ht="36" hidden="1" x14ac:dyDescent="0.25">
      <c r="A178" s="656">
        <v>3260</v>
      </c>
      <c r="B178" s="116" t="s">
        <v>194</v>
      </c>
      <c r="C178" s="117">
        <f t="shared" si="9"/>
        <v>0</v>
      </c>
      <c r="D178" s="297">
        <f>SUM(D179:D181)</f>
        <v>0</v>
      </c>
      <c r="E178" s="301">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c r="S178" s="53"/>
    </row>
    <row r="179" spans="1:19" ht="24" hidden="1" x14ac:dyDescent="0.25">
      <c r="A179" s="76">
        <v>3261</v>
      </c>
      <c r="B179" s="127" t="s">
        <v>195</v>
      </c>
      <c r="C179" s="128">
        <f t="shared" si="9"/>
        <v>0</v>
      </c>
      <c r="D179" s="134"/>
      <c r="E179" s="285"/>
      <c r="F179" s="286">
        <f t="shared" si="10"/>
        <v>0</v>
      </c>
      <c r="G179" s="134"/>
      <c r="H179" s="135"/>
      <c r="I179" s="136">
        <f t="shared" si="11"/>
        <v>0</v>
      </c>
      <c r="J179" s="134"/>
      <c r="K179" s="135"/>
      <c r="L179" s="136">
        <f t="shared" si="12"/>
        <v>0</v>
      </c>
      <c r="M179" s="284"/>
      <c r="N179" s="285"/>
      <c r="O179" s="136">
        <f t="shared" si="13"/>
        <v>0</v>
      </c>
      <c r="P179" s="85"/>
      <c r="R179" s="53"/>
      <c r="S179" s="53"/>
    </row>
    <row r="180" spans="1:19" ht="36" hidden="1" x14ac:dyDescent="0.25">
      <c r="A180" s="76">
        <v>3262</v>
      </c>
      <c r="B180" s="127" t="s">
        <v>196</v>
      </c>
      <c r="C180" s="128">
        <f t="shared" si="9"/>
        <v>0</v>
      </c>
      <c r="D180" s="134"/>
      <c r="E180" s="285"/>
      <c r="F180" s="286">
        <f t="shared" si="10"/>
        <v>0</v>
      </c>
      <c r="G180" s="134"/>
      <c r="H180" s="135"/>
      <c r="I180" s="136">
        <f t="shared" si="11"/>
        <v>0</v>
      </c>
      <c r="J180" s="134"/>
      <c r="K180" s="135"/>
      <c r="L180" s="136">
        <f t="shared" si="12"/>
        <v>0</v>
      </c>
      <c r="M180" s="284"/>
      <c r="N180" s="285"/>
      <c r="O180" s="136">
        <f t="shared" si="13"/>
        <v>0</v>
      </c>
      <c r="P180" s="85"/>
      <c r="R180" s="53"/>
      <c r="S180" s="53"/>
    </row>
    <row r="181" spans="1:19" ht="24" hidden="1" x14ac:dyDescent="0.25">
      <c r="A181" s="76">
        <v>3263</v>
      </c>
      <c r="B181" s="127" t="s">
        <v>197</v>
      </c>
      <c r="C181" s="128">
        <f t="shared" si="9"/>
        <v>0</v>
      </c>
      <c r="D181" s="134"/>
      <c r="E181" s="285"/>
      <c r="F181" s="286">
        <f t="shared" si="10"/>
        <v>0</v>
      </c>
      <c r="G181" s="134"/>
      <c r="H181" s="135"/>
      <c r="I181" s="136">
        <f t="shared" si="11"/>
        <v>0</v>
      </c>
      <c r="J181" s="134"/>
      <c r="K181" s="135"/>
      <c r="L181" s="136">
        <f t="shared" si="12"/>
        <v>0</v>
      </c>
      <c r="M181" s="284"/>
      <c r="N181" s="285"/>
      <c r="O181" s="136">
        <f t="shared" si="13"/>
        <v>0</v>
      </c>
      <c r="P181" s="85"/>
      <c r="R181" s="53"/>
      <c r="S181" s="53"/>
    </row>
    <row r="182" spans="1:19" ht="72" hidden="1" x14ac:dyDescent="0.25">
      <c r="A182" s="656">
        <v>3290</v>
      </c>
      <c r="B182" s="116" t="s">
        <v>198</v>
      </c>
      <c r="C182" s="128">
        <f t="shared" ref="C182:C258" si="26">F182+I182+L182+O182</f>
        <v>0</v>
      </c>
      <c r="D182" s="297">
        <f>SUM(D183:D186)</f>
        <v>0</v>
      </c>
      <c r="E182" s="301">
        <f>SUM(E183:E186)</f>
        <v>0</v>
      </c>
      <c r="F182" s="263">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c r="R182" s="53"/>
      <c r="S182" s="53"/>
    </row>
    <row r="183" spans="1:19" ht="60" hidden="1" x14ac:dyDescent="0.25">
      <c r="A183" s="76">
        <v>3291</v>
      </c>
      <c r="B183" s="127" t="s">
        <v>199</v>
      </c>
      <c r="C183" s="128">
        <f t="shared" si="26"/>
        <v>0</v>
      </c>
      <c r="D183" s="134"/>
      <c r="E183" s="285"/>
      <c r="F183" s="286">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c r="R183" s="53"/>
      <c r="S183" s="53"/>
    </row>
    <row r="184" spans="1:19" ht="60" hidden="1" x14ac:dyDescent="0.25">
      <c r="A184" s="76">
        <v>3292</v>
      </c>
      <c r="B184" s="127" t="s">
        <v>200</v>
      </c>
      <c r="C184" s="128">
        <f t="shared" si="26"/>
        <v>0</v>
      </c>
      <c r="D184" s="134"/>
      <c r="E184" s="285"/>
      <c r="F184" s="286">
        <f t="shared" si="30"/>
        <v>0</v>
      </c>
      <c r="G184" s="134"/>
      <c r="H184" s="135"/>
      <c r="I184" s="136">
        <f t="shared" si="31"/>
        <v>0</v>
      </c>
      <c r="J184" s="134"/>
      <c r="K184" s="135"/>
      <c r="L184" s="136">
        <f t="shared" si="32"/>
        <v>0</v>
      </c>
      <c r="M184" s="284"/>
      <c r="N184" s="285"/>
      <c r="O184" s="136">
        <f t="shared" si="33"/>
        <v>0</v>
      </c>
      <c r="P184" s="85"/>
      <c r="R184" s="53"/>
      <c r="S184" s="53"/>
    </row>
    <row r="185" spans="1:19" ht="60" hidden="1" x14ac:dyDescent="0.25">
      <c r="A185" s="76">
        <v>3293</v>
      </c>
      <c r="B185" s="127" t="s">
        <v>201</v>
      </c>
      <c r="C185" s="128">
        <f t="shared" si="26"/>
        <v>0</v>
      </c>
      <c r="D185" s="134"/>
      <c r="E185" s="285"/>
      <c r="F185" s="286">
        <f t="shared" si="30"/>
        <v>0</v>
      </c>
      <c r="G185" s="134"/>
      <c r="H185" s="135"/>
      <c r="I185" s="136">
        <f t="shared" si="31"/>
        <v>0</v>
      </c>
      <c r="J185" s="134"/>
      <c r="K185" s="135"/>
      <c r="L185" s="136">
        <f t="shared" si="32"/>
        <v>0</v>
      </c>
      <c r="M185" s="284"/>
      <c r="N185" s="285"/>
      <c r="O185" s="136">
        <f t="shared" si="33"/>
        <v>0</v>
      </c>
      <c r="P185" s="85"/>
      <c r="R185" s="53"/>
      <c r="S185" s="53"/>
    </row>
    <row r="186" spans="1:19" ht="48" hidden="1" x14ac:dyDescent="0.25">
      <c r="A186" s="326">
        <v>3294</v>
      </c>
      <c r="B186" s="127" t="s">
        <v>202</v>
      </c>
      <c r="C186" s="327">
        <f t="shared" si="26"/>
        <v>0</v>
      </c>
      <c r="D186" s="328"/>
      <c r="E186" s="329"/>
      <c r="F186" s="330">
        <f t="shared" si="30"/>
        <v>0</v>
      </c>
      <c r="G186" s="328"/>
      <c r="H186" s="331"/>
      <c r="I186" s="324">
        <f t="shared" si="31"/>
        <v>0</v>
      </c>
      <c r="J186" s="328"/>
      <c r="K186" s="331"/>
      <c r="L186" s="324">
        <f t="shared" si="32"/>
        <v>0</v>
      </c>
      <c r="M186" s="332"/>
      <c r="N186" s="329"/>
      <c r="O186" s="324">
        <f t="shared" si="33"/>
        <v>0</v>
      </c>
      <c r="P186" s="325"/>
      <c r="R186" s="53"/>
      <c r="S186" s="53"/>
    </row>
    <row r="187" spans="1:19" ht="36" hidden="1" x14ac:dyDescent="0.25">
      <c r="A187" s="160">
        <v>3300</v>
      </c>
      <c r="B187" s="321" t="s">
        <v>203</v>
      </c>
      <c r="C187" s="333">
        <f t="shared" si="26"/>
        <v>0</v>
      </c>
      <c r="D187" s="334">
        <f>SUM(D188:D189)</f>
        <v>0</v>
      </c>
      <c r="E187" s="251">
        <f>SUM(E188:E189)</f>
        <v>0</v>
      </c>
      <c r="F187" s="335">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c r="R187" s="53"/>
      <c r="S187" s="53"/>
    </row>
    <row r="188" spans="1:19" ht="48" hidden="1" x14ac:dyDescent="0.25">
      <c r="A188" s="178">
        <v>3310</v>
      </c>
      <c r="B188" s="179" t="s">
        <v>204</v>
      </c>
      <c r="C188" s="191">
        <f t="shared" si="26"/>
        <v>0</v>
      </c>
      <c r="D188" s="287"/>
      <c r="E188" s="291"/>
      <c r="F188" s="310">
        <f t="shared" si="30"/>
        <v>0</v>
      </c>
      <c r="G188" s="287"/>
      <c r="H188" s="289"/>
      <c r="I188" s="259">
        <f t="shared" si="31"/>
        <v>0</v>
      </c>
      <c r="J188" s="287"/>
      <c r="K188" s="289"/>
      <c r="L188" s="259">
        <f t="shared" si="32"/>
        <v>0</v>
      </c>
      <c r="M188" s="290"/>
      <c r="N188" s="291"/>
      <c r="O188" s="259">
        <f t="shared" si="33"/>
        <v>0</v>
      </c>
      <c r="P188" s="189"/>
      <c r="R188" s="53"/>
      <c r="S188" s="53"/>
    </row>
    <row r="189" spans="1:19" ht="48" hidden="1" x14ac:dyDescent="0.25">
      <c r="A189" s="66">
        <v>3320</v>
      </c>
      <c r="B189" s="116" t="s">
        <v>205</v>
      </c>
      <c r="C189" s="117">
        <f t="shared" si="26"/>
        <v>0</v>
      </c>
      <c r="D189" s="123"/>
      <c r="E189" s="262"/>
      <c r="F189" s="263">
        <f t="shared" si="30"/>
        <v>0</v>
      </c>
      <c r="G189" s="123"/>
      <c r="H189" s="124"/>
      <c r="I189" s="125">
        <f t="shared" si="31"/>
        <v>0</v>
      </c>
      <c r="J189" s="123"/>
      <c r="K189" s="124"/>
      <c r="L189" s="125">
        <f t="shared" si="32"/>
        <v>0</v>
      </c>
      <c r="M189" s="264"/>
      <c r="N189" s="262"/>
      <c r="O189" s="125">
        <f t="shared" si="33"/>
        <v>0</v>
      </c>
      <c r="P189" s="74"/>
      <c r="R189" s="53"/>
      <c r="S189" s="53"/>
    </row>
    <row r="190" spans="1:19" hidden="1" x14ac:dyDescent="0.25">
      <c r="A190" s="337">
        <v>4000</v>
      </c>
      <c r="B190" s="237" t="s">
        <v>206</v>
      </c>
      <c r="C190" s="238">
        <f t="shared" si="26"/>
        <v>0</v>
      </c>
      <c r="D190" s="239">
        <f>SUM(D191,D194)</f>
        <v>0</v>
      </c>
      <c r="E190" s="245">
        <f>SUM(E191,E194)</f>
        <v>0</v>
      </c>
      <c r="F190" s="320">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c r="R190" s="53"/>
      <c r="S190" s="53"/>
    </row>
    <row r="191" spans="1:19" ht="24" hidden="1" x14ac:dyDescent="0.25">
      <c r="A191" s="338">
        <v>4200</v>
      </c>
      <c r="B191" s="247" t="s">
        <v>207</v>
      </c>
      <c r="C191" s="100">
        <f t="shared" si="26"/>
        <v>0</v>
      </c>
      <c r="D191" s="112">
        <f>SUM(D192,D193)</f>
        <v>0</v>
      </c>
      <c r="E191" s="293">
        <f>SUM(E192,E193)</f>
        <v>0</v>
      </c>
      <c r="F191" s="313">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c r="R191" s="53"/>
      <c r="S191" s="53"/>
    </row>
    <row r="192" spans="1:19" ht="36" hidden="1" x14ac:dyDescent="0.25">
      <c r="A192" s="656">
        <v>4240</v>
      </c>
      <c r="B192" s="116" t="s">
        <v>208</v>
      </c>
      <c r="C192" s="117">
        <f t="shared" si="26"/>
        <v>0</v>
      </c>
      <c r="D192" s="123"/>
      <c r="E192" s="262"/>
      <c r="F192" s="263">
        <f t="shared" si="30"/>
        <v>0</v>
      </c>
      <c r="G192" s="123"/>
      <c r="H192" s="124"/>
      <c r="I192" s="125">
        <f t="shared" si="31"/>
        <v>0</v>
      </c>
      <c r="J192" s="123"/>
      <c r="K192" s="124"/>
      <c r="L192" s="125">
        <f t="shared" si="32"/>
        <v>0</v>
      </c>
      <c r="M192" s="264"/>
      <c r="N192" s="262"/>
      <c r="O192" s="125">
        <f t="shared" si="33"/>
        <v>0</v>
      </c>
      <c r="P192" s="74"/>
      <c r="R192" s="53"/>
      <c r="S192" s="53"/>
    </row>
    <row r="193" spans="1:20" hidden="1" x14ac:dyDescent="0.25">
      <c r="A193" s="276">
        <v>4250</v>
      </c>
      <c r="B193" s="127" t="s">
        <v>209</v>
      </c>
      <c r="C193" s="128">
        <f t="shared" si="26"/>
        <v>0</v>
      </c>
      <c r="D193" s="134"/>
      <c r="E193" s="285"/>
      <c r="F193" s="286">
        <f t="shared" si="30"/>
        <v>0</v>
      </c>
      <c r="G193" s="134"/>
      <c r="H193" s="135"/>
      <c r="I193" s="136">
        <f t="shared" si="31"/>
        <v>0</v>
      </c>
      <c r="J193" s="134"/>
      <c r="K193" s="135"/>
      <c r="L193" s="136">
        <f t="shared" si="32"/>
        <v>0</v>
      </c>
      <c r="M193" s="284"/>
      <c r="N193" s="285"/>
      <c r="O193" s="136">
        <f t="shared" si="33"/>
        <v>0</v>
      </c>
      <c r="P193" s="85"/>
      <c r="R193" s="53"/>
      <c r="S193" s="53"/>
    </row>
    <row r="194" spans="1:20" hidden="1" x14ac:dyDescent="0.25">
      <c r="A194" s="99">
        <v>4300</v>
      </c>
      <c r="B194" s="247" t="s">
        <v>210</v>
      </c>
      <c r="C194" s="100">
        <f t="shared" si="26"/>
        <v>0</v>
      </c>
      <c r="D194" s="112">
        <f>SUM(D195)</f>
        <v>0</v>
      </c>
      <c r="E194" s="293">
        <f>SUM(E195)</f>
        <v>0</v>
      </c>
      <c r="F194" s="313">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c r="R194" s="53"/>
      <c r="S194" s="53"/>
    </row>
    <row r="195" spans="1:20" ht="24" hidden="1" x14ac:dyDescent="0.25">
      <c r="A195" s="656">
        <v>4310</v>
      </c>
      <c r="B195" s="116" t="s">
        <v>211</v>
      </c>
      <c r="C195" s="117">
        <f t="shared" si="26"/>
        <v>0</v>
      </c>
      <c r="D195" s="297">
        <f>SUM(D196:D196)</f>
        <v>0</v>
      </c>
      <c r="E195" s="301">
        <f>SUM(E196:E196)</f>
        <v>0</v>
      </c>
      <c r="F195" s="263">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c r="R195" s="53"/>
      <c r="S195" s="53"/>
    </row>
    <row r="196" spans="1:20" ht="36" hidden="1" x14ac:dyDescent="0.25">
      <c r="A196" s="76">
        <v>4311</v>
      </c>
      <c r="B196" s="127" t="s">
        <v>212</v>
      </c>
      <c r="C196" s="128">
        <f t="shared" si="26"/>
        <v>0</v>
      </c>
      <c r="D196" s="134"/>
      <c r="E196" s="285"/>
      <c r="F196" s="286">
        <f t="shared" si="30"/>
        <v>0</v>
      </c>
      <c r="G196" s="134"/>
      <c r="H196" s="135"/>
      <c r="I196" s="136">
        <f t="shared" si="31"/>
        <v>0</v>
      </c>
      <c r="J196" s="134"/>
      <c r="K196" s="135"/>
      <c r="L196" s="136">
        <f t="shared" si="32"/>
        <v>0</v>
      </c>
      <c r="M196" s="284"/>
      <c r="N196" s="285"/>
      <c r="O196" s="136">
        <f t="shared" si="33"/>
        <v>0</v>
      </c>
      <c r="P196" s="85"/>
      <c r="R196" s="53"/>
      <c r="S196" s="53"/>
    </row>
    <row r="197" spans="1:20" s="41" customFormat="1" ht="16.5" customHeight="1" x14ac:dyDescent="0.25">
      <c r="A197" s="339"/>
      <c r="B197" s="31" t="s">
        <v>213</v>
      </c>
      <c r="C197" s="229">
        <f t="shared" si="26"/>
        <v>23417</v>
      </c>
      <c r="D197" s="230">
        <f>SUM(D198,D233,D271)</f>
        <v>0</v>
      </c>
      <c r="E197" s="231">
        <f>SUM(E198,E233,E271)</f>
        <v>0</v>
      </c>
      <c r="F197" s="232">
        <f t="shared" si="30"/>
        <v>0</v>
      </c>
      <c r="G197" s="230">
        <f>SUM(G198,G233,G271)</f>
        <v>23417</v>
      </c>
      <c r="H197" s="233">
        <f>SUM(H198,H233,H271)</f>
        <v>0</v>
      </c>
      <c r="I197" s="234">
        <f t="shared" si="31"/>
        <v>23417</v>
      </c>
      <c r="J197" s="230">
        <f>SUM(J198,J233,J271)</f>
        <v>0</v>
      </c>
      <c r="K197" s="233">
        <f>SUM(K198,K233,K271)</f>
        <v>0</v>
      </c>
      <c r="L197" s="234">
        <f t="shared" si="32"/>
        <v>0</v>
      </c>
      <c r="M197" s="340">
        <f>SUM(M198,M233,M271)</f>
        <v>0</v>
      </c>
      <c r="N197" s="341">
        <f>SUM(N198,N233,N271)</f>
        <v>0</v>
      </c>
      <c r="O197" s="342">
        <f t="shared" si="33"/>
        <v>0</v>
      </c>
      <c r="P197" s="343"/>
      <c r="R197" s="53"/>
      <c r="S197" s="53"/>
      <c r="T197" s="53"/>
    </row>
    <row r="198" spans="1:20" x14ac:dyDescent="0.25">
      <c r="A198" s="237">
        <v>5000</v>
      </c>
      <c r="B198" s="237" t="s">
        <v>214</v>
      </c>
      <c r="C198" s="238">
        <f>F198+I198+L198+O198</f>
        <v>23417</v>
      </c>
      <c r="D198" s="239">
        <f>D199+D207</f>
        <v>0</v>
      </c>
      <c r="E198" s="240">
        <f>E199+E207</f>
        <v>0</v>
      </c>
      <c r="F198" s="241">
        <f t="shared" si="30"/>
        <v>0</v>
      </c>
      <c r="G198" s="239">
        <f>G199+G207</f>
        <v>23417</v>
      </c>
      <c r="H198" s="242">
        <f>H199+H207</f>
        <v>0</v>
      </c>
      <c r="I198" s="243">
        <f t="shared" si="31"/>
        <v>23417</v>
      </c>
      <c r="J198" s="239">
        <f>J199+J207</f>
        <v>0</v>
      </c>
      <c r="K198" s="242">
        <f>K199+K207</f>
        <v>0</v>
      </c>
      <c r="L198" s="243">
        <f t="shared" si="32"/>
        <v>0</v>
      </c>
      <c r="M198" s="244">
        <f>M199+M207</f>
        <v>0</v>
      </c>
      <c r="N198" s="245">
        <f>N199+N207</f>
        <v>0</v>
      </c>
      <c r="O198" s="243">
        <f t="shared" si="33"/>
        <v>0</v>
      </c>
      <c r="P198" s="246"/>
      <c r="R198" s="53"/>
      <c r="S198" s="53"/>
      <c r="T198" s="53"/>
    </row>
    <row r="199" spans="1:20" x14ac:dyDescent="0.25">
      <c r="A199" s="99">
        <v>5100</v>
      </c>
      <c r="B199" s="247" t="s">
        <v>215</v>
      </c>
      <c r="C199" s="100">
        <f t="shared" si="26"/>
        <v>1060</v>
      </c>
      <c r="D199" s="112">
        <f>D200+D201+D204+D205+D206</f>
        <v>0</v>
      </c>
      <c r="E199" s="248">
        <f>E200+E201+E204+E205+E206</f>
        <v>0</v>
      </c>
      <c r="F199" s="249">
        <f t="shared" si="30"/>
        <v>0</v>
      </c>
      <c r="G199" s="112">
        <f>G200+G201+G204+G205+G206</f>
        <v>1060</v>
      </c>
      <c r="H199" s="113">
        <f>H200+H201+H204+H205+H206</f>
        <v>0</v>
      </c>
      <c r="I199" s="114">
        <f t="shared" si="31"/>
        <v>1060</v>
      </c>
      <c r="J199" s="112">
        <f>J200+J201+J204+J205+J206</f>
        <v>0</v>
      </c>
      <c r="K199" s="113">
        <f>K200+K201+K204+K205+K206</f>
        <v>0</v>
      </c>
      <c r="L199" s="114">
        <f t="shared" si="32"/>
        <v>0</v>
      </c>
      <c r="M199" s="292">
        <f>M200+M201+M204+M205+M206</f>
        <v>0</v>
      </c>
      <c r="N199" s="293">
        <f>N200+N201+N204+N205+N206</f>
        <v>0</v>
      </c>
      <c r="O199" s="114">
        <f t="shared" si="33"/>
        <v>0</v>
      </c>
      <c r="P199" s="109"/>
      <c r="R199" s="53"/>
      <c r="S199" s="53"/>
      <c r="T199" s="53"/>
    </row>
    <row r="200" spans="1:20" hidden="1" x14ac:dyDescent="0.25">
      <c r="A200" s="656">
        <v>5110</v>
      </c>
      <c r="B200" s="116" t="s">
        <v>216</v>
      </c>
      <c r="C200" s="117">
        <f t="shared" si="26"/>
        <v>0</v>
      </c>
      <c r="D200" s="123"/>
      <c r="E200" s="262"/>
      <c r="F200" s="263">
        <f t="shared" si="30"/>
        <v>0</v>
      </c>
      <c r="G200" s="123"/>
      <c r="H200" s="124"/>
      <c r="I200" s="125">
        <f t="shared" si="31"/>
        <v>0</v>
      </c>
      <c r="J200" s="123"/>
      <c r="K200" s="124"/>
      <c r="L200" s="125">
        <f t="shared" si="32"/>
        <v>0</v>
      </c>
      <c r="M200" s="264"/>
      <c r="N200" s="262"/>
      <c r="O200" s="125">
        <f t="shared" si="33"/>
        <v>0</v>
      </c>
      <c r="P200" s="74"/>
      <c r="R200" s="53"/>
      <c r="S200" s="53"/>
    </row>
    <row r="201" spans="1:20" ht="24" x14ac:dyDescent="0.25">
      <c r="A201" s="276">
        <v>5120</v>
      </c>
      <c r="B201" s="127" t="s">
        <v>217</v>
      </c>
      <c r="C201" s="128">
        <f t="shared" si="26"/>
        <v>1060</v>
      </c>
      <c r="D201" s="277">
        <f>D202+D203</f>
        <v>0</v>
      </c>
      <c r="E201" s="278">
        <f>E202+E203</f>
        <v>0</v>
      </c>
      <c r="F201" s="279">
        <f t="shared" si="30"/>
        <v>0</v>
      </c>
      <c r="G201" s="277">
        <f>G202+G203</f>
        <v>1060</v>
      </c>
      <c r="H201" s="280">
        <f>H202+H203</f>
        <v>0</v>
      </c>
      <c r="I201" s="136">
        <f t="shared" si="31"/>
        <v>1060</v>
      </c>
      <c r="J201" s="277">
        <f>J202+J203</f>
        <v>0</v>
      </c>
      <c r="K201" s="280">
        <f>K202+K203</f>
        <v>0</v>
      </c>
      <c r="L201" s="136">
        <f t="shared" si="32"/>
        <v>0</v>
      </c>
      <c r="M201" s="281">
        <f>M202+M203</f>
        <v>0</v>
      </c>
      <c r="N201" s="282">
        <f>N202+N203</f>
        <v>0</v>
      </c>
      <c r="O201" s="136">
        <f t="shared" si="33"/>
        <v>0</v>
      </c>
      <c r="P201" s="85"/>
      <c r="R201" s="53"/>
      <c r="S201" s="53"/>
      <c r="T201" s="53"/>
    </row>
    <row r="202" spans="1:20" x14ac:dyDescent="0.25">
      <c r="A202" s="76">
        <v>5121</v>
      </c>
      <c r="B202" s="127" t="s">
        <v>218</v>
      </c>
      <c r="C202" s="128">
        <f t="shared" si="26"/>
        <v>1060</v>
      </c>
      <c r="D202" s="134"/>
      <c r="E202" s="283"/>
      <c r="F202" s="279">
        <f t="shared" si="30"/>
        <v>0</v>
      </c>
      <c r="G202" s="134">
        <v>1060</v>
      </c>
      <c r="H202" s="135">
        <v>0</v>
      </c>
      <c r="I202" s="136">
        <f t="shared" si="31"/>
        <v>1060</v>
      </c>
      <c r="J202" s="134"/>
      <c r="K202" s="135"/>
      <c r="L202" s="136">
        <f t="shared" si="32"/>
        <v>0</v>
      </c>
      <c r="M202" s="284"/>
      <c r="N202" s="285"/>
      <c r="O202" s="136">
        <f t="shared" si="33"/>
        <v>0</v>
      </c>
      <c r="P202" s="85" t="s">
        <v>1210</v>
      </c>
      <c r="R202" s="53"/>
      <c r="S202" s="53"/>
      <c r="T202" s="53"/>
    </row>
    <row r="203" spans="1:20" ht="24" hidden="1" x14ac:dyDescent="0.25">
      <c r="A203" s="76">
        <v>5129</v>
      </c>
      <c r="B203" s="127" t="s">
        <v>219</v>
      </c>
      <c r="C203" s="128">
        <f t="shared" si="26"/>
        <v>0</v>
      </c>
      <c r="D203" s="134"/>
      <c r="E203" s="285"/>
      <c r="F203" s="286">
        <f t="shared" si="30"/>
        <v>0</v>
      </c>
      <c r="G203" s="134"/>
      <c r="H203" s="135"/>
      <c r="I203" s="136">
        <f t="shared" si="31"/>
        <v>0</v>
      </c>
      <c r="J203" s="134"/>
      <c r="K203" s="135"/>
      <c r="L203" s="136">
        <f t="shared" si="32"/>
        <v>0</v>
      </c>
      <c r="M203" s="284"/>
      <c r="N203" s="285"/>
      <c r="O203" s="136">
        <f t="shared" si="33"/>
        <v>0</v>
      </c>
      <c r="P203" s="85"/>
      <c r="R203" s="53"/>
      <c r="S203" s="53"/>
    </row>
    <row r="204" spans="1:20" hidden="1" x14ac:dyDescent="0.25">
      <c r="A204" s="276">
        <v>5130</v>
      </c>
      <c r="B204" s="127" t="s">
        <v>220</v>
      </c>
      <c r="C204" s="128">
        <f t="shared" si="26"/>
        <v>0</v>
      </c>
      <c r="D204" s="134"/>
      <c r="E204" s="285"/>
      <c r="F204" s="286">
        <f t="shared" si="30"/>
        <v>0</v>
      </c>
      <c r="G204" s="134"/>
      <c r="H204" s="135"/>
      <c r="I204" s="136">
        <f t="shared" si="31"/>
        <v>0</v>
      </c>
      <c r="J204" s="134"/>
      <c r="K204" s="135"/>
      <c r="L204" s="136">
        <f t="shared" si="32"/>
        <v>0</v>
      </c>
      <c r="M204" s="284"/>
      <c r="N204" s="285"/>
      <c r="O204" s="136">
        <f t="shared" si="33"/>
        <v>0</v>
      </c>
      <c r="P204" s="85"/>
      <c r="R204" s="53"/>
      <c r="S204" s="53"/>
    </row>
    <row r="205" spans="1:20" hidden="1" x14ac:dyDescent="0.25">
      <c r="A205" s="276">
        <v>5140</v>
      </c>
      <c r="B205" s="127" t="s">
        <v>221</v>
      </c>
      <c r="C205" s="128">
        <f t="shared" si="26"/>
        <v>0</v>
      </c>
      <c r="D205" s="134"/>
      <c r="E205" s="285"/>
      <c r="F205" s="286">
        <f t="shared" si="30"/>
        <v>0</v>
      </c>
      <c r="G205" s="134"/>
      <c r="H205" s="135"/>
      <c r="I205" s="136">
        <f t="shared" si="31"/>
        <v>0</v>
      </c>
      <c r="J205" s="134"/>
      <c r="K205" s="135"/>
      <c r="L205" s="136">
        <f t="shared" si="32"/>
        <v>0</v>
      </c>
      <c r="M205" s="284"/>
      <c r="N205" s="285"/>
      <c r="O205" s="136">
        <f t="shared" si="33"/>
        <v>0</v>
      </c>
      <c r="P205" s="85"/>
      <c r="R205" s="53"/>
      <c r="S205" s="53"/>
    </row>
    <row r="206" spans="1:20" ht="24" hidden="1" x14ac:dyDescent="0.25">
      <c r="A206" s="276">
        <v>5170</v>
      </c>
      <c r="B206" s="127" t="s">
        <v>222</v>
      </c>
      <c r="C206" s="128">
        <f t="shared" si="26"/>
        <v>0</v>
      </c>
      <c r="D206" s="134"/>
      <c r="E206" s="285"/>
      <c r="F206" s="286">
        <f t="shared" si="30"/>
        <v>0</v>
      </c>
      <c r="G206" s="134"/>
      <c r="H206" s="135"/>
      <c r="I206" s="136">
        <f t="shared" si="31"/>
        <v>0</v>
      </c>
      <c r="J206" s="134"/>
      <c r="K206" s="135"/>
      <c r="L206" s="136">
        <f t="shared" si="32"/>
        <v>0</v>
      </c>
      <c r="M206" s="284"/>
      <c r="N206" s="285"/>
      <c r="O206" s="136">
        <f t="shared" si="33"/>
        <v>0</v>
      </c>
      <c r="P206" s="85"/>
      <c r="R206" s="53"/>
      <c r="S206" s="53"/>
    </row>
    <row r="207" spans="1:20" x14ac:dyDescent="0.25">
      <c r="A207" s="99">
        <v>5200</v>
      </c>
      <c r="B207" s="247" t="s">
        <v>223</v>
      </c>
      <c r="C207" s="100">
        <f t="shared" si="26"/>
        <v>22357</v>
      </c>
      <c r="D207" s="112">
        <f>D208+D218+D219+D228+D229+D230+D232</f>
        <v>0</v>
      </c>
      <c r="E207" s="248">
        <f>E208+E218+E219+E228+E229+E230+E232</f>
        <v>0</v>
      </c>
      <c r="F207" s="249">
        <f t="shared" si="30"/>
        <v>0</v>
      </c>
      <c r="G207" s="112">
        <f>G208+G218+G219+G228+G229+G230+G232</f>
        <v>22357</v>
      </c>
      <c r="H207" s="113">
        <f>H208+H218+H219+H228+H229+H230+H232</f>
        <v>0</v>
      </c>
      <c r="I207" s="114">
        <f t="shared" si="31"/>
        <v>22357</v>
      </c>
      <c r="J207" s="112">
        <f>J208+J218+J219+J228+J229+J230+J232</f>
        <v>0</v>
      </c>
      <c r="K207" s="113">
        <f>K208+K218+K219+K228+K229+K230+K232</f>
        <v>0</v>
      </c>
      <c r="L207" s="114">
        <f t="shared" si="32"/>
        <v>0</v>
      </c>
      <c r="M207" s="292">
        <f>M208+M218+M219+M228+M229+M230+M232</f>
        <v>0</v>
      </c>
      <c r="N207" s="293">
        <f>N208+N218+N219+N228+N229+N230+N232</f>
        <v>0</v>
      </c>
      <c r="O207" s="114">
        <f t="shared" si="33"/>
        <v>0</v>
      </c>
      <c r="P207" s="109"/>
      <c r="R207" s="53"/>
      <c r="S207" s="53"/>
      <c r="T207" s="53"/>
    </row>
    <row r="208" spans="1:20" hidden="1" x14ac:dyDescent="0.25">
      <c r="A208" s="254">
        <v>5210</v>
      </c>
      <c r="B208" s="179" t="s">
        <v>224</v>
      </c>
      <c r="C208" s="191">
        <f t="shared" si="26"/>
        <v>0</v>
      </c>
      <c r="D208" s="255">
        <f>SUM(D209:D217)</f>
        <v>0</v>
      </c>
      <c r="E208" s="261">
        <f>SUM(E209:E217)</f>
        <v>0</v>
      </c>
      <c r="F208" s="310">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c r="R208" s="53"/>
      <c r="S208" s="53"/>
    </row>
    <row r="209" spans="1:20" hidden="1" x14ac:dyDescent="0.25">
      <c r="A209" s="66">
        <v>5211</v>
      </c>
      <c r="B209" s="116" t="s">
        <v>225</v>
      </c>
      <c r="C209" s="279">
        <f t="shared" si="26"/>
        <v>0</v>
      </c>
      <c r="D209" s="123"/>
      <c r="E209" s="262"/>
      <c r="F209" s="263">
        <f t="shared" si="30"/>
        <v>0</v>
      </c>
      <c r="G209" s="123"/>
      <c r="H209" s="124"/>
      <c r="I209" s="125">
        <f t="shared" si="31"/>
        <v>0</v>
      </c>
      <c r="J209" s="123"/>
      <c r="K209" s="124"/>
      <c r="L209" s="125">
        <f t="shared" si="32"/>
        <v>0</v>
      </c>
      <c r="M209" s="264"/>
      <c r="N209" s="262"/>
      <c r="O209" s="125">
        <f t="shared" si="33"/>
        <v>0</v>
      </c>
      <c r="P209" s="74"/>
      <c r="R209" s="53"/>
      <c r="S209" s="53"/>
    </row>
    <row r="210" spans="1:20" hidden="1" x14ac:dyDescent="0.25">
      <c r="A210" s="76">
        <v>5212</v>
      </c>
      <c r="B210" s="127" t="s">
        <v>226</v>
      </c>
      <c r="C210" s="279">
        <f t="shared" si="26"/>
        <v>0</v>
      </c>
      <c r="D210" s="134"/>
      <c r="E210" s="285"/>
      <c r="F210" s="286">
        <f t="shared" si="30"/>
        <v>0</v>
      </c>
      <c r="G210" s="134"/>
      <c r="H210" s="135"/>
      <c r="I210" s="136">
        <f t="shared" si="31"/>
        <v>0</v>
      </c>
      <c r="J210" s="134"/>
      <c r="K210" s="135"/>
      <c r="L210" s="136">
        <f t="shared" si="32"/>
        <v>0</v>
      </c>
      <c r="M210" s="284"/>
      <c r="N210" s="285"/>
      <c r="O210" s="136">
        <f t="shared" si="33"/>
        <v>0</v>
      </c>
      <c r="P210" s="85"/>
      <c r="R210" s="53"/>
      <c r="S210" s="53"/>
    </row>
    <row r="211" spans="1:20" hidden="1" x14ac:dyDescent="0.25">
      <c r="A211" s="76">
        <v>5213</v>
      </c>
      <c r="B211" s="127" t="s">
        <v>227</v>
      </c>
      <c r="C211" s="279">
        <f t="shared" si="26"/>
        <v>0</v>
      </c>
      <c r="D211" s="134"/>
      <c r="E211" s="285"/>
      <c r="F211" s="286">
        <f t="shared" si="30"/>
        <v>0</v>
      </c>
      <c r="G211" s="134"/>
      <c r="H211" s="135"/>
      <c r="I211" s="136">
        <f t="shared" si="31"/>
        <v>0</v>
      </c>
      <c r="J211" s="134"/>
      <c r="K211" s="135"/>
      <c r="L211" s="136">
        <f t="shared" si="32"/>
        <v>0</v>
      </c>
      <c r="M211" s="284"/>
      <c r="N211" s="285"/>
      <c r="O211" s="136">
        <f t="shared" si="33"/>
        <v>0</v>
      </c>
      <c r="P211" s="85"/>
      <c r="R211" s="53"/>
      <c r="S211" s="53"/>
    </row>
    <row r="212" spans="1:20" hidden="1" x14ac:dyDescent="0.25">
      <c r="A212" s="76">
        <v>5214</v>
      </c>
      <c r="B212" s="127" t="s">
        <v>228</v>
      </c>
      <c r="C212" s="279">
        <f t="shared" si="26"/>
        <v>0</v>
      </c>
      <c r="D212" s="134"/>
      <c r="E212" s="285"/>
      <c r="F212" s="286">
        <f t="shared" si="30"/>
        <v>0</v>
      </c>
      <c r="G212" s="134"/>
      <c r="H212" s="135"/>
      <c r="I212" s="136">
        <f t="shared" si="31"/>
        <v>0</v>
      </c>
      <c r="J212" s="134"/>
      <c r="K212" s="135"/>
      <c r="L212" s="136">
        <f t="shared" si="32"/>
        <v>0</v>
      </c>
      <c r="M212" s="284"/>
      <c r="N212" s="285"/>
      <c r="O212" s="136">
        <f t="shared" si="33"/>
        <v>0</v>
      </c>
      <c r="P212" s="85"/>
      <c r="R212" s="53"/>
      <c r="S212" s="53"/>
    </row>
    <row r="213" spans="1:20" hidden="1" x14ac:dyDescent="0.25">
      <c r="A213" s="76">
        <v>5215</v>
      </c>
      <c r="B213" s="127" t="s">
        <v>229</v>
      </c>
      <c r="C213" s="279">
        <f t="shared" si="26"/>
        <v>0</v>
      </c>
      <c r="D213" s="134"/>
      <c r="E213" s="285"/>
      <c r="F213" s="286">
        <f t="shared" si="30"/>
        <v>0</v>
      </c>
      <c r="G213" s="134"/>
      <c r="H213" s="135"/>
      <c r="I213" s="136">
        <f t="shared" si="31"/>
        <v>0</v>
      </c>
      <c r="J213" s="134"/>
      <c r="K213" s="135"/>
      <c r="L213" s="136">
        <f t="shared" si="32"/>
        <v>0</v>
      </c>
      <c r="M213" s="284"/>
      <c r="N213" s="285"/>
      <c r="O213" s="136">
        <f t="shared" si="33"/>
        <v>0</v>
      </c>
      <c r="P213" s="85"/>
      <c r="R213" s="53"/>
      <c r="S213" s="53"/>
    </row>
    <row r="214" spans="1:20" hidden="1" x14ac:dyDescent="0.25">
      <c r="A214" s="76">
        <v>5216</v>
      </c>
      <c r="B214" s="127" t="s">
        <v>230</v>
      </c>
      <c r="C214" s="279">
        <f t="shared" si="26"/>
        <v>0</v>
      </c>
      <c r="D214" s="134"/>
      <c r="E214" s="285"/>
      <c r="F214" s="286">
        <f t="shared" si="30"/>
        <v>0</v>
      </c>
      <c r="G214" s="134"/>
      <c r="H214" s="135"/>
      <c r="I214" s="136">
        <f t="shared" si="31"/>
        <v>0</v>
      </c>
      <c r="J214" s="134"/>
      <c r="K214" s="135"/>
      <c r="L214" s="136">
        <f t="shared" si="32"/>
        <v>0</v>
      </c>
      <c r="M214" s="284"/>
      <c r="N214" s="285"/>
      <c r="O214" s="136">
        <f t="shared" si="33"/>
        <v>0</v>
      </c>
      <c r="P214" s="85"/>
      <c r="R214" s="53"/>
      <c r="S214" s="53"/>
    </row>
    <row r="215" spans="1:20" hidden="1" x14ac:dyDescent="0.25">
      <c r="A215" s="76">
        <v>5217</v>
      </c>
      <c r="B215" s="127" t="s">
        <v>231</v>
      </c>
      <c r="C215" s="279">
        <f t="shared" si="26"/>
        <v>0</v>
      </c>
      <c r="D215" s="134"/>
      <c r="E215" s="285"/>
      <c r="F215" s="286">
        <f t="shared" si="30"/>
        <v>0</v>
      </c>
      <c r="G215" s="134"/>
      <c r="H215" s="135"/>
      <c r="I215" s="136">
        <f t="shared" si="31"/>
        <v>0</v>
      </c>
      <c r="J215" s="134"/>
      <c r="K215" s="135"/>
      <c r="L215" s="136">
        <f t="shared" si="32"/>
        <v>0</v>
      </c>
      <c r="M215" s="284"/>
      <c r="N215" s="285"/>
      <c r="O215" s="136">
        <f t="shared" si="33"/>
        <v>0</v>
      </c>
      <c r="P215" s="85"/>
      <c r="R215" s="53"/>
      <c r="S215" s="53"/>
    </row>
    <row r="216" spans="1:20" hidden="1" x14ac:dyDescent="0.25">
      <c r="A216" s="76">
        <v>5218</v>
      </c>
      <c r="B216" s="127" t="s">
        <v>232</v>
      </c>
      <c r="C216" s="279">
        <f t="shared" si="26"/>
        <v>0</v>
      </c>
      <c r="D216" s="134"/>
      <c r="E216" s="285"/>
      <c r="F216" s="286">
        <f t="shared" si="30"/>
        <v>0</v>
      </c>
      <c r="G216" s="134"/>
      <c r="H216" s="135"/>
      <c r="I216" s="136">
        <f t="shared" si="31"/>
        <v>0</v>
      </c>
      <c r="J216" s="134"/>
      <c r="K216" s="135"/>
      <c r="L216" s="136">
        <f t="shared" si="32"/>
        <v>0</v>
      </c>
      <c r="M216" s="284"/>
      <c r="N216" s="285"/>
      <c r="O216" s="136">
        <f t="shared" si="33"/>
        <v>0</v>
      </c>
      <c r="P216" s="85"/>
      <c r="R216" s="53"/>
      <c r="S216" s="53"/>
    </row>
    <row r="217" spans="1:20" hidden="1" x14ac:dyDescent="0.25">
      <c r="A217" s="76">
        <v>5219</v>
      </c>
      <c r="B217" s="127" t="s">
        <v>233</v>
      </c>
      <c r="C217" s="279">
        <f t="shared" si="26"/>
        <v>0</v>
      </c>
      <c r="D217" s="134"/>
      <c r="E217" s="285"/>
      <c r="F217" s="286">
        <f t="shared" si="30"/>
        <v>0</v>
      </c>
      <c r="G217" s="134"/>
      <c r="H217" s="135"/>
      <c r="I217" s="136">
        <f t="shared" si="31"/>
        <v>0</v>
      </c>
      <c r="J217" s="134"/>
      <c r="K217" s="135"/>
      <c r="L217" s="136">
        <f t="shared" si="32"/>
        <v>0</v>
      </c>
      <c r="M217" s="284"/>
      <c r="N217" s="285"/>
      <c r="O217" s="136">
        <f t="shared" si="33"/>
        <v>0</v>
      </c>
      <c r="P217" s="85"/>
      <c r="R217" s="53"/>
      <c r="S217" s="53"/>
    </row>
    <row r="218" spans="1:20" hidden="1" x14ac:dyDescent="0.25">
      <c r="A218" s="276">
        <v>5220</v>
      </c>
      <c r="B218" s="127" t="s">
        <v>234</v>
      </c>
      <c r="C218" s="279">
        <f t="shared" si="26"/>
        <v>0</v>
      </c>
      <c r="D218" s="134"/>
      <c r="E218" s="285"/>
      <c r="F218" s="286">
        <f t="shared" si="30"/>
        <v>0</v>
      </c>
      <c r="G218" s="134"/>
      <c r="H218" s="135"/>
      <c r="I218" s="136">
        <f t="shared" si="31"/>
        <v>0</v>
      </c>
      <c r="J218" s="134"/>
      <c r="K218" s="135"/>
      <c r="L218" s="136">
        <f t="shared" si="32"/>
        <v>0</v>
      </c>
      <c r="M218" s="284"/>
      <c r="N218" s="285"/>
      <c r="O218" s="136">
        <f t="shared" si="33"/>
        <v>0</v>
      </c>
      <c r="P218" s="85"/>
      <c r="R218" s="53"/>
      <c r="S218" s="53"/>
    </row>
    <row r="219" spans="1:20" x14ac:dyDescent="0.25">
      <c r="A219" s="276">
        <v>5230</v>
      </c>
      <c r="B219" s="127" t="s">
        <v>235</v>
      </c>
      <c r="C219" s="279">
        <f t="shared" si="26"/>
        <v>22357</v>
      </c>
      <c r="D219" s="277">
        <f>SUM(D220:D227)</f>
        <v>0</v>
      </c>
      <c r="E219" s="278">
        <f>SUM(E220:E227)</f>
        <v>0</v>
      </c>
      <c r="F219" s="279">
        <f t="shared" si="30"/>
        <v>0</v>
      </c>
      <c r="G219" s="277">
        <f>SUM(G220:G227)</f>
        <v>22357</v>
      </c>
      <c r="H219" s="280">
        <f>SUM(H220:H227)</f>
        <v>0</v>
      </c>
      <c r="I219" s="136">
        <f t="shared" si="31"/>
        <v>22357</v>
      </c>
      <c r="J219" s="277">
        <f>SUM(J220:J227)</f>
        <v>0</v>
      </c>
      <c r="K219" s="280">
        <f>SUM(K220:K227)</f>
        <v>0</v>
      </c>
      <c r="L219" s="136">
        <f t="shared" si="32"/>
        <v>0</v>
      </c>
      <c r="M219" s="281">
        <f>SUM(M220:M227)</f>
        <v>0</v>
      </c>
      <c r="N219" s="282">
        <f>SUM(N220:N227)</f>
        <v>0</v>
      </c>
      <c r="O219" s="136">
        <f t="shared" si="33"/>
        <v>0</v>
      </c>
      <c r="P219" s="85"/>
      <c r="R219" s="53"/>
      <c r="S219" s="53"/>
      <c r="T219" s="53"/>
    </row>
    <row r="220" spans="1:20" hidden="1" x14ac:dyDescent="0.25">
      <c r="A220" s="76">
        <v>5231</v>
      </c>
      <c r="B220" s="127" t="s">
        <v>236</v>
      </c>
      <c r="C220" s="279">
        <f t="shared" si="26"/>
        <v>0</v>
      </c>
      <c r="D220" s="134"/>
      <c r="E220" s="285"/>
      <c r="F220" s="286">
        <f t="shared" si="30"/>
        <v>0</v>
      </c>
      <c r="G220" s="134"/>
      <c r="H220" s="135"/>
      <c r="I220" s="136">
        <f t="shared" si="31"/>
        <v>0</v>
      </c>
      <c r="J220" s="134"/>
      <c r="K220" s="135"/>
      <c r="L220" s="136">
        <f t="shared" si="32"/>
        <v>0</v>
      </c>
      <c r="M220" s="284"/>
      <c r="N220" s="285"/>
      <c r="O220" s="136">
        <f t="shared" si="33"/>
        <v>0</v>
      </c>
      <c r="P220" s="85"/>
      <c r="R220" s="53"/>
      <c r="S220" s="53"/>
    </row>
    <row r="221" spans="1:20" x14ac:dyDescent="0.25">
      <c r="A221" s="76">
        <v>5232</v>
      </c>
      <c r="B221" s="127" t="s">
        <v>237</v>
      </c>
      <c r="C221" s="279">
        <f t="shared" si="26"/>
        <v>7666</v>
      </c>
      <c r="D221" s="134"/>
      <c r="E221" s="283"/>
      <c r="F221" s="279">
        <f t="shared" si="30"/>
        <v>0</v>
      </c>
      <c r="G221" s="134">
        <v>7666</v>
      </c>
      <c r="H221" s="135">
        <v>0</v>
      </c>
      <c r="I221" s="136">
        <f t="shared" si="31"/>
        <v>7666</v>
      </c>
      <c r="J221" s="134"/>
      <c r="K221" s="135"/>
      <c r="L221" s="136">
        <f t="shared" si="32"/>
        <v>0</v>
      </c>
      <c r="M221" s="284"/>
      <c r="N221" s="285"/>
      <c r="O221" s="136">
        <f t="shared" si="33"/>
        <v>0</v>
      </c>
      <c r="P221" s="85" t="s">
        <v>1210</v>
      </c>
      <c r="R221" s="53"/>
      <c r="S221" s="53"/>
      <c r="T221" s="53"/>
    </row>
    <row r="222" spans="1:20" x14ac:dyDescent="0.25">
      <c r="A222" s="76">
        <v>5233</v>
      </c>
      <c r="B222" s="127" t="s">
        <v>238</v>
      </c>
      <c r="C222" s="279">
        <f t="shared" si="26"/>
        <v>800</v>
      </c>
      <c r="D222" s="134"/>
      <c r="E222" s="283"/>
      <c r="F222" s="279">
        <f t="shared" si="30"/>
        <v>0</v>
      </c>
      <c r="G222" s="134">
        <v>800</v>
      </c>
      <c r="H222" s="135"/>
      <c r="I222" s="136">
        <f t="shared" si="31"/>
        <v>800</v>
      </c>
      <c r="J222" s="134"/>
      <c r="K222" s="135"/>
      <c r="L222" s="136">
        <f t="shared" si="32"/>
        <v>0</v>
      </c>
      <c r="M222" s="284"/>
      <c r="N222" s="285"/>
      <c r="O222" s="136">
        <f t="shared" si="33"/>
        <v>0</v>
      </c>
      <c r="P222" s="85"/>
      <c r="R222" s="53"/>
      <c r="S222" s="53"/>
      <c r="T222" s="53"/>
    </row>
    <row r="223" spans="1:20" hidden="1" x14ac:dyDescent="0.25">
      <c r="A223" s="76">
        <v>5234</v>
      </c>
      <c r="B223" s="127" t="s">
        <v>239</v>
      </c>
      <c r="C223" s="279">
        <f t="shared" si="26"/>
        <v>0</v>
      </c>
      <c r="D223" s="134"/>
      <c r="E223" s="285"/>
      <c r="F223" s="286">
        <f t="shared" si="30"/>
        <v>0</v>
      </c>
      <c r="G223" s="134"/>
      <c r="H223" s="135"/>
      <c r="I223" s="136">
        <f t="shared" si="31"/>
        <v>0</v>
      </c>
      <c r="J223" s="134"/>
      <c r="K223" s="135"/>
      <c r="L223" s="136">
        <f t="shared" si="32"/>
        <v>0</v>
      </c>
      <c r="M223" s="284"/>
      <c r="N223" s="285"/>
      <c r="O223" s="136">
        <f t="shared" si="33"/>
        <v>0</v>
      </c>
      <c r="P223" s="85"/>
      <c r="R223" s="53"/>
      <c r="S223" s="53"/>
    </row>
    <row r="224" spans="1:20" hidden="1" x14ac:dyDescent="0.25">
      <c r="A224" s="76">
        <v>5236</v>
      </c>
      <c r="B224" s="127" t="s">
        <v>240</v>
      </c>
      <c r="C224" s="279">
        <f t="shared" si="26"/>
        <v>0</v>
      </c>
      <c r="D224" s="134"/>
      <c r="E224" s="285"/>
      <c r="F224" s="286">
        <f t="shared" si="30"/>
        <v>0</v>
      </c>
      <c r="G224" s="134"/>
      <c r="H224" s="135"/>
      <c r="I224" s="136">
        <f t="shared" si="31"/>
        <v>0</v>
      </c>
      <c r="J224" s="134"/>
      <c r="K224" s="135"/>
      <c r="L224" s="136">
        <f t="shared" si="32"/>
        <v>0</v>
      </c>
      <c r="M224" s="284"/>
      <c r="N224" s="285"/>
      <c r="O224" s="136">
        <f t="shared" si="33"/>
        <v>0</v>
      </c>
      <c r="P224" s="85"/>
      <c r="R224" s="53"/>
      <c r="S224" s="53"/>
    </row>
    <row r="225" spans="1:20" hidden="1" x14ac:dyDescent="0.25">
      <c r="A225" s="76">
        <v>5237</v>
      </c>
      <c r="B225" s="127" t="s">
        <v>241</v>
      </c>
      <c r="C225" s="279">
        <f t="shared" si="26"/>
        <v>0</v>
      </c>
      <c r="D225" s="134"/>
      <c r="E225" s="285"/>
      <c r="F225" s="286">
        <f t="shared" si="30"/>
        <v>0</v>
      </c>
      <c r="G225" s="134"/>
      <c r="H225" s="135"/>
      <c r="I225" s="136">
        <f t="shared" si="31"/>
        <v>0</v>
      </c>
      <c r="J225" s="134"/>
      <c r="K225" s="135"/>
      <c r="L225" s="136">
        <f t="shared" si="32"/>
        <v>0</v>
      </c>
      <c r="M225" s="284"/>
      <c r="N225" s="285"/>
      <c r="O225" s="136">
        <f t="shared" si="33"/>
        <v>0</v>
      </c>
      <c r="P225" s="85"/>
      <c r="R225" s="53"/>
      <c r="S225" s="53"/>
    </row>
    <row r="226" spans="1:20" ht="14.25" customHeight="1" x14ac:dyDescent="0.25">
      <c r="A226" s="76">
        <v>5238</v>
      </c>
      <c r="B226" s="127" t="s">
        <v>242</v>
      </c>
      <c r="C226" s="279">
        <f t="shared" si="26"/>
        <v>12791</v>
      </c>
      <c r="D226" s="134"/>
      <c r="E226" s="283"/>
      <c r="F226" s="279">
        <f t="shared" si="30"/>
        <v>0</v>
      </c>
      <c r="G226" s="134">
        <v>12791</v>
      </c>
      <c r="H226" s="135">
        <v>0</v>
      </c>
      <c r="I226" s="136">
        <f t="shared" si="31"/>
        <v>12791</v>
      </c>
      <c r="J226" s="134"/>
      <c r="K226" s="135"/>
      <c r="L226" s="136">
        <f t="shared" si="32"/>
        <v>0</v>
      </c>
      <c r="M226" s="284"/>
      <c r="N226" s="285"/>
      <c r="O226" s="136">
        <f t="shared" si="33"/>
        <v>0</v>
      </c>
      <c r="P226" s="85" t="s">
        <v>1210</v>
      </c>
      <c r="R226" s="53"/>
      <c r="S226" s="53"/>
      <c r="T226" s="53"/>
    </row>
    <row r="227" spans="1:20" ht="15.75" customHeight="1" x14ac:dyDescent="0.25">
      <c r="A227" s="76">
        <v>5239</v>
      </c>
      <c r="B227" s="127" t="s">
        <v>243</v>
      </c>
      <c r="C227" s="279">
        <f t="shared" si="26"/>
        <v>1100</v>
      </c>
      <c r="D227" s="134"/>
      <c r="E227" s="283"/>
      <c r="F227" s="279">
        <f t="shared" si="30"/>
        <v>0</v>
      </c>
      <c r="G227" s="134">
        <v>1100</v>
      </c>
      <c r="H227" s="135"/>
      <c r="I227" s="136">
        <f t="shared" si="31"/>
        <v>1100</v>
      </c>
      <c r="J227" s="134"/>
      <c r="K227" s="135"/>
      <c r="L227" s="136">
        <f t="shared" si="32"/>
        <v>0</v>
      </c>
      <c r="M227" s="284"/>
      <c r="N227" s="285"/>
      <c r="O227" s="136">
        <f t="shared" si="33"/>
        <v>0</v>
      </c>
      <c r="P227" s="85"/>
      <c r="R227" s="53"/>
      <c r="S227" s="53"/>
      <c r="T227" s="53"/>
    </row>
    <row r="228" spans="1:20" ht="24" hidden="1" x14ac:dyDescent="0.25">
      <c r="A228" s="276">
        <v>5240</v>
      </c>
      <c r="B228" s="127" t="s">
        <v>244</v>
      </c>
      <c r="C228" s="279">
        <f t="shared" si="26"/>
        <v>0</v>
      </c>
      <c r="D228" s="134"/>
      <c r="E228" s="285"/>
      <c r="F228" s="286">
        <f t="shared" si="30"/>
        <v>0</v>
      </c>
      <c r="G228" s="134"/>
      <c r="H228" s="135"/>
      <c r="I228" s="136">
        <f t="shared" si="31"/>
        <v>0</v>
      </c>
      <c r="J228" s="134"/>
      <c r="K228" s="135"/>
      <c r="L228" s="136">
        <f t="shared" si="32"/>
        <v>0</v>
      </c>
      <c r="M228" s="284"/>
      <c r="N228" s="285"/>
      <c r="O228" s="136">
        <f t="shared" si="33"/>
        <v>0</v>
      </c>
      <c r="P228" s="85"/>
      <c r="R228" s="53"/>
      <c r="S228" s="53"/>
    </row>
    <row r="229" spans="1:20" hidden="1" x14ac:dyDescent="0.25">
      <c r="A229" s="276">
        <v>5250</v>
      </c>
      <c r="B229" s="127" t="s">
        <v>245</v>
      </c>
      <c r="C229" s="279">
        <f t="shared" si="26"/>
        <v>0</v>
      </c>
      <c r="D229" s="134"/>
      <c r="E229" s="285"/>
      <c r="F229" s="286">
        <f t="shared" si="30"/>
        <v>0</v>
      </c>
      <c r="G229" s="134"/>
      <c r="H229" s="135"/>
      <c r="I229" s="136">
        <f t="shared" si="31"/>
        <v>0</v>
      </c>
      <c r="J229" s="134"/>
      <c r="K229" s="135"/>
      <c r="L229" s="136">
        <f t="shared" si="32"/>
        <v>0</v>
      </c>
      <c r="M229" s="284"/>
      <c r="N229" s="285"/>
      <c r="O229" s="136">
        <f t="shared" si="33"/>
        <v>0</v>
      </c>
      <c r="P229" s="85"/>
      <c r="R229" s="53"/>
      <c r="S229" s="53"/>
    </row>
    <row r="230" spans="1:20" hidden="1" x14ac:dyDescent="0.25">
      <c r="A230" s="276">
        <v>5260</v>
      </c>
      <c r="B230" s="127" t="s">
        <v>246</v>
      </c>
      <c r="C230" s="279">
        <f t="shared" si="26"/>
        <v>0</v>
      </c>
      <c r="D230" s="277">
        <f>SUM(D231)</f>
        <v>0</v>
      </c>
      <c r="E230" s="282">
        <f>SUM(E231)</f>
        <v>0</v>
      </c>
      <c r="F230" s="286">
        <f t="shared" si="30"/>
        <v>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c r="R230" s="53"/>
      <c r="S230" s="53"/>
    </row>
    <row r="231" spans="1:20" hidden="1" x14ac:dyDescent="0.25">
      <c r="A231" s="76">
        <v>5269</v>
      </c>
      <c r="B231" s="127" t="s">
        <v>247</v>
      </c>
      <c r="C231" s="279">
        <f t="shared" si="26"/>
        <v>0</v>
      </c>
      <c r="D231" s="134"/>
      <c r="E231" s="285"/>
      <c r="F231" s="286">
        <f t="shared" si="30"/>
        <v>0</v>
      </c>
      <c r="G231" s="134"/>
      <c r="H231" s="135"/>
      <c r="I231" s="136">
        <f t="shared" si="31"/>
        <v>0</v>
      </c>
      <c r="J231" s="134"/>
      <c r="K231" s="135"/>
      <c r="L231" s="136">
        <f t="shared" si="32"/>
        <v>0</v>
      </c>
      <c r="M231" s="284"/>
      <c r="N231" s="285"/>
      <c r="O231" s="136">
        <f t="shared" si="33"/>
        <v>0</v>
      </c>
      <c r="P231" s="85"/>
      <c r="R231" s="53"/>
      <c r="S231" s="53"/>
    </row>
    <row r="232" spans="1:20" ht="24" hidden="1" x14ac:dyDescent="0.25">
      <c r="A232" s="254">
        <v>5270</v>
      </c>
      <c r="B232" s="179" t="s">
        <v>248</v>
      </c>
      <c r="C232" s="302">
        <f t="shared" si="26"/>
        <v>0</v>
      </c>
      <c r="D232" s="287"/>
      <c r="E232" s="291"/>
      <c r="F232" s="310">
        <f t="shared" si="30"/>
        <v>0</v>
      </c>
      <c r="G232" s="287"/>
      <c r="H232" s="289"/>
      <c r="I232" s="259">
        <f t="shared" si="31"/>
        <v>0</v>
      </c>
      <c r="J232" s="287"/>
      <c r="K232" s="289"/>
      <c r="L232" s="259">
        <f t="shared" si="32"/>
        <v>0</v>
      </c>
      <c r="M232" s="290"/>
      <c r="N232" s="291"/>
      <c r="O232" s="259">
        <f t="shared" si="33"/>
        <v>0</v>
      </c>
      <c r="P232" s="189"/>
      <c r="R232" s="53"/>
      <c r="S232" s="53"/>
    </row>
    <row r="233" spans="1:20" hidden="1" x14ac:dyDescent="0.25">
      <c r="A233" s="237">
        <v>6000</v>
      </c>
      <c r="B233" s="237" t="s">
        <v>249</v>
      </c>
      <c r="C233" s="238">
        <f t="shared" si="26"/>
        <v>0</v>
      </c>
      <c r="D233" s="239">
        <f>D234+D254+D261</f>
        <v>0</v>
      </c>
      <c r="E233" s="245">
        <f>E234+E254+E261</f>
        <v>0</v>
      </c>
      <c r="F233" s="320">
        <f t="shared" si="30"/>
        <v>0</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c r="R233" s="53"/>
      <c r="S233" s="53"/>
    </row>
    <row r="234" spans="1:20"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c r="R234" s="53"/>
      <c r="S234" s="53"/>
    </row>
    <row r="235" spans="1:20" ht="24" hidden="1" x14ac:dyDescent="0.25">
      <c r="A235" s="656">
        <v>6220</v>
      </c>
      <c r="B235" s="116" t="s">
        <v>251</v>
      </c>
      <c r="C235" s="298">
        <f t="shared" si="26"/>
        <v>0</v>
      </c>
      <c r="D235" s="123"/>
      <c r="E235" s="262"/>
      <c r="F235" s="263">
        <f t="shared" si="30"/>
        <v>0</v>
      </c>
      <c r="G235" s="123"/>
      <c r="H235" s="124"/>
      <c r="I235" s="125">
        <f t="shared" si="31"/>
        <v>0</v>
      </c>
      <c r="J235" s="123"/>
      <c r="K235" s="124"/>
      <c r="L235" s="125">
        <f t="shared" si="32"/>
        <v>0</v>
      </c>
      <c r="M235" s="264"/>
      <c r="N235" s="262"/>
      <c r="O235" s="125">
        <f t="shared" si="33"/>
        <v>0</v>
      </c>
      <c r="P235" s="74"/>
      <c r="R235" s="53"/>
      <c r="S235" s="53"/>
    </row>
    <row r="236" spans="1:20" hidden="1" x14ac:dyDescent="0.25">
      <c r="A236" s="276">
        <v>6230</v>
      </c>
      <c r="B236" s="127" t="s">
        <v>252</v>
      </c>
      <c r="C236" s="278">
        <f t="shared" si="26"/>
        <v>0</v>
      </c>
      <c r="D236" s="277">
        <f>SUM(D237)</f>
        <v>0</v>
      </c>
      <c r="E236" s="280">
        <f>SUM(E237)</f>
        <v>0</v>
      </c>
      <c r="F236" s="28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c r="R236" s="53"/>
      <c r="S236" s="53"/>
    </row>
    <row r="237" spans="1:20" hidden="1" x14ac:dyDescent="0.25">
      <c r="A237" s="76">
        <v>6239</v>
      </c>
      <c r="B237" s="116" t="s">
        <v>253</v>
      </c>
      <c r="C237" s="278">
        <f t="shared" si="26"/>
        <v>0</v>
      </c>
      <c r="D237" s="134"/>
      <c r="E237" s="285"/>
      <c r="F237" s="286">
        <f t="shared" si="30"/>
        <v>0</v>
      </c>
      <c r="G237" s="134"/>
      <c r="H237" s="135"/>
      <c r="I237" s="136">
        <f t="shared" si="31"/>
        <v>0</v>
      </c>
      <c r="J237" s="134"/>
      <c r="K237" s="135"/>
      <c r="L237" s="136">
        <f t="shared" si="32"/>
        <v>0</v>
      </c>
      <c r="M237" s="284"/>
      <c r="N237" s="285"/>
      <c r="O237" s="136">
        <f t="shared" si="33"/>
        <v>0</v>
      </c>
      <c r="P237" s="85"/>
      <c r="R237" s="53"/>
      <c r="S237" s="53"/>
    </row>
    <row r="238" spans="1:20" ht="24" hidden="1" x14ac:dyDescent="0.25">
      <c r="A238" s="276">
        <v>6240</v>
      </c>
      <c r="B238" s="127" t="s">
        <v>254</v>
      </c>
      <c r="C238" s="278">
        <f t="shared" si="26"/>
        <v>0</v>
      </c>
      <c r="D238" s="277">
        <f>SUM(D239:D240)</f>
        <v>0</v>
      </c>
      <c r="E238" s="282">
        <f>SUM(E239:E240)</f>
        <v>0</v>
      </c>
      <c r="F238" s="28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c r="R238" s="53"/>
      <c r="S238" s="53"/>
    </row>
    <row r="239" spans="1:20" hidden="1" x14ac:dyDescent="0.25">
      <c r="A239" s="76">
        <v>6241</v>
      </c>
      <c r="B239" s="127" t="s">
        <v>255</v>
      </c>
      <c r="C239" s="278">
        <f t="shared" si="26"/>
        <v>0</v>
      </c>
      <c r="D239" s="134"/>
      <c r="E239" s="285"/>
      <c r="F239" s="286">
        <f t="shared" si="30"/>
        <v>0</v>
      </c>
      <c r="G239" s="134"/>
      <c r="H239" s="135"/>
      <c r="I239" s="136">
        <f t="shared" si="31"/>
        <v>0</v>
      </c>
      <c r="J239" s="134"/>
      <c r="K239" s="135"/>
      <c r="L239" s="136">
        <f t="shared" si="32"/>
        <v>0</v>
      </c>
      <c r="M239" s="284"/>
      <c r="N239" s="285"/>
      <c r="O239" s="136">
        <f t="shared" si="33"/>
        <v>0</v>
      </c>
      <c r="P239" s="85"/>
      <c r="R239" s="53"/>
      <c r="S239" s="53"/>
    </row>
    <row r="240" spans="1:20" hidden="1" x14ac:dyDescent="0.25">
      <c r="A240" s="76">
        <v>6242</v>
      </c>
      <c r="B240" s="127" t="s">
        <v>256</v>
      </c>
      <c r="C240" s="278">
        <f t="shared" si="26"/>
        <v>0</v>
      </c>
      <c r="D240" s="134"/>
      <c r="E240" s="285"/>
      <c r="F240" s="286">
        <f t="shared" si="30"/>
        <v>0</v>
      </c>
      <c r="G240" s="134"/>
      <c r="H240" s="135"/>
      <c r="I240" s="136">
        <f t="shared" si="31"/>
        <v>0</v>
      </c>
      <c r="J240" s="134"/>
      <c r="K240" s="135"/>
      <c r="L240" s="136">
        <f t="shared" si="32"/>
        <v>0</v>
      </c>
      <c r="M240" s="284"/>
      <c r="N240" s="285"/>
      <c r="O240" s="136">
        <f t="shared" si="33"/>
        <v>0</v>
      </c>
      <c r="P240" s="85"/>
      <c r="R240" s="53"/>
      <c r="S240" s="53"/>
    </row>
    <row r="241" spans="1:19" ht="24" hidden="1" x14ac:dyDescent="0.25">
      <c r="A241" s="276">
        <v>6250</v>
      </c>
      <c r="B241" s="127" t="s">
        <v>257</v>
      </c>
      <c r="C241" s="278">
        <f t="shared" si="26"/>
        <v>0</v>
      </c>
      <c r="D241" s="277">
        <f>SUM(D242:D246)</f>
        <v>0</v>
      </c>
      <c r="E241" s="282">
        <f>SUM(E242:E246)</f>
        <v>0</v>
      </c>
      <c r="F241" s="28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c r="R241" s="53"/>
      <c r="S241" s="53"/>
    </row>
    <row r="242" spans="1:19" hidden="1" x14ac:dyDescent="0.25">
      <c r="A242" s="76">
        <v>6252</v>
      </c>
      <c r="B242" s="127" t="s">
        <v>258</v>
      </c>
      <c r="C242" s="278">
        <f t="shared" si="26"/>
        <v>0</v>
      </c>
      <c r="D242" s="134"/>
      <c r="E242" s="285"/>
      <c r="F242" s="286">
        <f t="shared" si="30"/>
        <v>0</v>
      </c>
      <c r="G242" s="134"/>
      <c r="H242" s="135"/>
      <c r="I242" s="136">
        <f t="shared" si="31"/>
        <v>0</v>
      </c>
      <c r="J242" s="134"/>
      <c r="K242" s="135"/>
      <c r="L242" s="136">
        <f t="shared" si="32"/>
        <v>0</v>
      </c>
      <c r="M242" s="284"/>
      <c r="N242" s="285"/>
      <c r="O242" s="136">
        <f t="shared" si="33"/>
        <v>0</v>
      </c>
      <c r="P242" s="85"/>
      <c r="R242" s="53"/>
      <c r="S242" s="53"/>
    </row>
    <row r="243" spans="1:19" hidden="1" x14ac:dyDescent="0.25">
      <c r="A243" s="76">
        <v>6253</v>
      </c>
      <c r="B243" s="127" t="s">
        <v>259</v>
      </c>
      <c r="C243" s="278">
        <f t="shared" si="26"/>
        <v>0</v>
      </c>
      <c r="D243" s="134"/>
      <c r="E243" s="285"/>
      <c r="F243" s="286">
        <f t="shared" si="30"/>
        <v>0</v>
      </c>
      <c r="G243" s="134"/>
      <c r="H243" s="135"/>
      <c r="I243" s="136">
        <f t="shared" si="31"/>
        <v>0</v>
      </c>
      <c r="J243" s="134"/>
      <c r="K243" s="135"/>
      <c r="L243" s="136">
        <f t="shared" si="32"/>
        <v>0</v>
      </c>
      <c r="M243" s="284"/>
      <c r="N243" s="285"/>
      <c r="O243" s="136">
        <f t="shared" si="33"/>
        <v>0</v>
      </c>
      <c r="P243" s="85"/>
      <c r="R243" s="53"/>
      <c r="S243" s="53"/>
    </row>
    <row r="244" spans="1:19" ht="24" hidden="1" x14ac:dyDescent="0.25">
      <c r="A244" s="76">
        <v>6254</v>
      </c>
      <c r="B244" s="127" t="s">
        <v>260</v>
      </c>
      <c r="C244" s="278">
        <f t="shared" si="26"/>
        <v>0</v>
      </c>
      <c r="D244" s="134"/>
      <c r="E244" s="285"/>
      <c r="F244" s="286">
        <f t="shared" si="30"/>
        <v>0</v>
      </c>
      <c r="G244" s="134"/>
      <c r="H244" s="135"/>
      <c r="I244" s="136">
        <f t="shared" si="31"/>
        <v>0</v>
      </c>
      <c r="J244" s="134"/>
      <c r="K244" s="135"/>
      <c r="L244" s="136">
        <f t="shared" si="32"/>
        <v>0</v>
      </c>
      <c r="M244" s="284"/>
      <c r="N244" s="285"/>
      <c r="O244" s="136">
        <f t="shared" si="33"/>
        <v>0</v>
      </c>
      <c r="P244" s="85"/>
      <c r="R244" s="53"/>
      <c r="S244" s="53"/>
    </row>
    <row r="245" spans="1:19" ht="24" hidden="1" x14ac:dyDescent="0.25">
      <c r="A245" s="76">
        <v>6255</v>
      </c>
      <c r="B245" s="127" t="s">
        <v>261</v>
      </c>
      <c r="C245" s="278">
        <f t="shared" si="26"/>
        <v>0</v>
      </c>
      <c r="D245" s="134"/>
      <c r="E245" s="285"/>
      <c r="F245" s="286">
        <f t="shared" si="30"/>
        <v>0</v>
      </c>
      <c r="G245" s="134"/>
      <c r="H245" s="135"/>
      <c r="I245" s="136">
        <f t="shared" si="31"/>
        <v>0</v>
      </c>
      <c r="J245" s="134"/>
      <c r="K245" s="135"/>
      <c r="L245" s="136">
        <f t="shared" si="32"/>
        <v>0</v>
      </c>
      <c r="M245" s="284"/>
      <c r="N245" s="285"/>
      <c r="O245" s="136">
        <f t="shared" si="33"/>
        <v>0</v>
      </c>
      <c r="P245" s="85"/>
      <c r="R245" s="53"/>
      <c r="S245" s="53"/>
    </row>
    <row r="246" spans="1:19" hidden="1" x14ac:dyDescent="0.25">
      <c r="A246" s="76">
        <v>6259</v>
      </c>
      <c r="B246" s="127" t="s">
        <v>262</v>
      </c>
      <c r="C246" s="278">
        <f t="shared" si="26"/>
        <v>0</v>
      </c>
      <c r="D246" s="134"/>
      <c r="E246" s="285"/>
      <c r="F246" s="286">
        <f t="shared" si="30"/>
        <v>0</v>
      </c>
      <c r="G246" s="134"/>
      <c r="H246" s="135"/>
      <c r="I246" s="136">
        <f t="shared" si="31"/>
        <v>0</v>
      </c>
      <c r="J246" s="134"/>
      <c r="K246" s="135"/>
      <c r="L246" s="136">
        <f t="shared" si="32"/>
        <v>0</v>
      </c>
      <c r="M246" s="284"/>
      <c r="N246" s="285"/>
      <c r="O246" s="136">
        <f t="shared" si="33"/>
        <v>0</v>
      </c>
      <c r="P246" s="85"/>
      <c r="R246" s="53"/>
      <c r="S246" s="53"/>
    </row>
    <row r="247" spans="1:19" ht="24" hidden="1" x14ac:dyDescent="0.25">
      <c r="A247" s="276">
        <v>6260</v>
      </c>
      <c r="B247" s="127" t="s">
        <v>263</v>
      </c>
      <c r="C247" s="278">
        <f t="shared" si="26"/>
        <v>0</v>
      </c>
      <c r="D247" s="134"/>
      <c r="E247" s="285"/>
      <c r="F247" s="286">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c r="R247" s="53"/>
      <c r="S247" s="53"/>
    </row>
    <row r="248" spans="1:19" hidden="1" x14ac:dyDescent="0.25">
      <c r="A248" s="276">
        <v>6270</v>
      </c>
      <c r="B248" s="127" t="s">
        <v>264</v>
      </c>
      <c r="C248" s="278">
        <f t="shared" si="26"/>
        <v>0</v>
      </c>
      <c r="D248" s="134"/>
      <c r="E248" s="285"/>
      <c r="F248" s="286">
        <f t="shared" si="37"/>
        <v>0</v>
      </c>
      <c r="G248" s="134"/>
      <c r="H248" s="135"/>
      <c r="I248" s="136">
        <f t="shared" si="38"/>
        <v>0</v>
      </c>
      <c r="J248" s="134"/>
      <c r="K248" s="135"/>
      <c r="L248" s="136">
        <f t="shared" si="39"/>
        <v>0</v>
      </c>
      <c r="M248" s="284"/>
      <c r="N248" s="285"/>
      <c r="O248" s="136">
        <f t="shared" si="40"/>
        <v>0</v>
      </c>
      <c r="P248" s="85"/>
      <c r="R248" s="53"/>
      <c r="S248" s="53"/>
    </row>
    <row r="249" spans="1:19" hidden="1" x14ac:dyDescent="0.25">
      <c r="A249" s="656">
        <v>6290</v>
      </c>
      <c r="B249" s="116" t="s">
        <v>265</v>
      </c>
      <c r="C249" s="278">
        <f t="shared" si="26"/>
        <v>0</v>
      </c>
      <c r="D249" s="297">
        <f>SUM(D250:D253)</f>
        <v>0</v>
      </c>
      <c r="E249" s="301">
        <f>SUM(E250:E253)</f>
        <v>0</v>
      </c>
      <c r="F249" s="263">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c r="R249" s="53"/>
      <c r="S249" s="53"/>
    </row>
    <row r="250" spans="1:19" hidden="1" x14ac:dyDescent="0.25">
      <c r="A250" s="76">
        <v>6291</v>
      </c>
      <c r="B250" s="127" t="s">
        <v>266</v>
      </c>
      <c r="C250" s="278">
        <f t="shared" si="26"/>
        <v>0</v>
      </c>
      <c r="D250" s="134"/>
      <c r="E250" s="285"/>
      <c r="F250" s="286">
        <f t="shared" si="37"/>
        <v>0</v>
      </c>
      <c r="G250" s="134"/>
      <c r="H250" s="135"/>
      <c r="I250" s="136">
        <f t="shared" si="38"/>
        <v>0</v>
      </c>
      <c r="J250" s="134"/>
      <c r="K250" s="135"/>
      <c r="L250" s="136">
        <f t="shared" si="39"/>
        <v>0</v>
      </c>
      <c r="M250" s="284"/>
      <c r="N250" s="285"/>
      <c r="O250" s="136">
        <f t="shared" si="40"/>
        <v>0</v>
      </c>
      <c r="P250" s="85"/>
      <c r="R250" s="53"/>
      <c r="S250" s="53"/>
    </row>
    <row r="251" spans="1:19" hidden="1" x14ac:dyDescent="0.25">
      <c r="A251" s="76">
        <v>6292</v>
      </c>
      <c r="B251" s="127" t="s">
        <v>267</v>
      </c>
      <c r="C251" s="278">
        <f t="shared" si="26"/>
        <v>0</v>
      </c>
      <c r="D251" s="134"/>
      <c r="E251" s="285"/>
      <c r="F251" s="286">
        <f t="shared" si="37"/>
        <v>0</v>
      </c>
      <c r="G251" s="134"/>
      <c r="H251" s="135"/>
      <c r="I251" s="136">
        <f t="shared" si="38"/>
        <v>0</v>
      </c>
      <c r="J251" s="134"/>
      <c r="K251" s="135"/>
      <c r="L251" s="136">
        <f t="shared" si="39"/>
        <v>0</v>
      </c>
      <c r="M251" s="284"/>
      <c r="N251" s="285"/>
      <c r="O251" s="136">
        <f t="shared" si="40"/>
        <v>0</v>
      </c>
      <c r="P251" s="85"/>
      <c r="R251" s="53"/>
      <c r="S251" s="53"/>
    </row>
    <row r="252" spans="1:19" ht="72" hidden="1" x14ac:dyDescent="0.25">
      <c r="A252" s="76">
        <v>6296</v>
      </c>
      <c r="B252" s="127" t="s">
        <v>268</v>
      </c>
      <c r="C252" s="278">
        <f t="shared" si="26"/>
        <v>0</v>
      </c>
      <c r="D252" s="134"/>
      <c r="E252" s="285"/>
      <c r="F252" s="286">
        <f t="shared" si="37"/>
        <v>0</v>
      </c>
      <c r="G252" s="134"/>
      <c r="H252" s="135"/>
      <c r="I252" s="136">
        <f t="shared" si="38"/>
        <v>0</v>
      </c>
      <c r="J252" s="134"/>
      <c r="K252" s="135"/>
      <c r="L252" s="136">
        <f t="shared" si="39"/>
        <v>0</v>
      </c>
      <c r="M252" s="284"/>
      <c r="N252" s="285"/>
      <c r="O252" s="136">
        <f t="shared" si="40"/>
        <v>0</v>
      </c>
      <c r="P252" s="85"/>
      <c r="R252" s="53"/>
      <c r="S252" s="53"/>
    </row>
    <row r="253" spans="1:19" ht="36" hidden="1" x14ac:dyDescent="0.25">
      <c r="A253" s="76">
        <v>6299</v>
      </c>
      <c r="B253" s="127" t="s">
        <v>269</v>
      </c>
      <c r="C253" s="278">
        <f t="shared" si="26"/>
        <v>0</v>
      </c>
      <c r="D253" s="134"/>
      <c r="E253" s="285"/>
      <c r="F253" s="286">
        <f t="shared" si="37"/>
        <v>0</v>
      </c>
      <c r="G253" s="134"/>
      <c r="H253" s="135"/>
      <c r="I253" s="136">
        <f t="shared" si="38"/>
        <v>0</v>
      </c>
      <c r="J253" s="134"/>
      <c r="K253" s="135"/>
      <c r="L253" s="136">
        <f t="shared" si="39"/>
        <v>0</v>
      </c>
      <c r="M253" s="284"/>
      <c r="N253" s="285"/>
      <c r="O253" s="136">
        <f t="shared" si="40"/>
        <v>0</v>
      </c>
      <c r="P253" s="85"/>
      <c r="R253" s="53"/>
      <c r="S253" s="53"/>
    </row>
    <row r="254" spans="1:19" hidden="1" x14ac:dyDescent="0.25">
      <c r="A254" s="99">
        <v>6300</v>
      </c>
      <c r="B254" s="247" t="s">
        <v>270</v>
      </c>
      <c r="C254" s="100">
        <f t="shared" si="26"/>
        <v>0</v>
      </c>
      <c r="D254" s="112">
        <f>SUM(D255,D259,D260)</f>
        <v>0</v>
      </c>
      <c r="E254" s="293">
        <f>SUM(E255,E259,E260)</f>
        <v>0</v>
      </c>
      <c r="F254" s="313">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c r="R254" s="53"/>
      <c r="S254" s="53"/>
    </row>
    <row r="255" spans="1:19" ht="24" hidden="1" x14ac:dyDescent="0.25">
      <c r="A255" s="656">
        <v>6320</v>
      </c>
      <c r="B255" s="116" t="s">
        <v>271</v>
      </c>
      <c r="C255" s="322">
        <f t="shared" si="26"/>
        <v>0</v>
      </c>
      <c r="D255" s="297">
        <f>SUM(D256:D258)</f>
        <v>0</v>
      </c>
      <c r="E255" s="301">
        <f>SUM(E256:E258)</f>
        <v>0</v>
      </c>
      <c r="F255" s="263">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c r="R255" s="53"/>
      <c r="S255" s="53"/>
    </row>
    <row r="256" spans="1:19" hidden="1" x14ac:dyDescent="0.25">
      <c r="A256" s="76">
        <v>6322</v>
      </c>
      <c r="B256" s="127" t="s">
        <v>272</v>
      </c>
      <c r="C256" s="281">
        <f t="shared" si="26"/>
        <v>0</v>
      </c>
      <c r="D256" s="134"/>
      <c r="E256" s="285"/>
      <c r="F256" s="286">
        <f t="shared" si="37"/>
        <v>0</v>
      </c>
      <c r="G256" s="134"/>
      <c r="H256" s="135"/>
      <c r="I256" s="136">
        <f t="shared" si="38"/>
        <v>0</v>
      </c>
      <c r="J256" s="134"/>
      <c r="K256" s="135"/>
      <c r="L256" s="136">
        <f t="shared" si="39"/>
        <v>0</v>
      </c>
      <c r="M256" s="284"/>
      <c r="N256" s="285"/>
      <c r="O256" s="136">
        <f t="shared" si="40"/>
        <v>0</v>
      </c>
      <c r="P256" s="85"/>
      <c r="R256" s="53"/>
      <c r="S256" s="53"/>
    </row>
    <row r="257" spans="1:19" ht="24" hidden="1" x14ac:dyDescent="0.25">
      <c r="A257" s="76">
        <v>6323</v>
      </c>
      <c r="B257" s="127" t="s">
        <v>273</v>
      </c>
      <c r="C257" s="281">
        <f t="shared" si="26"/>
        <v>0</v>
      </c>
      <c r="D257" s="134"/>
      <c r="E257" s="285"/>
      <c r="F257" s="286">
        <f t="shared" si="37"/>
        <v>0</v>
      </c>
      <c r="G257" s="134"/>
      <c r="H257" s="135"/>
      <c r="I257" s="136">
        <f t="shared" si="38"/>
        <v>0</v>
      </c>
      <c r="J257" s="134"/>
      <c r="K257" s="135"/>
      <c r="L257" s="136">
        <f t="shared" si="39"/>
        <v>0</v>
      </c>
      <c r="M257" s="284"/>
      <c r="N257" s="285"/>
      <c r="O257" s="136">
        <f t="shared" si="40"/>
        <v>0</v>
      </c>
      <c r="P257" s="85"/>
      <c r="R257" s="53"/>
      <c r="S257" s="53"/>
    </row>
    <row r="258" spans="1:19" ht="24" hidden="1" x14ac:dyDescent="0.25">
      <c r="A258" s="66">
        <v>6324</v>
      </c>
      <c r="B258" s="116" t="s">
        <v>274</v>
      </c>
      <c r="C258" s="281">
        <f t="shared" si="26"/>
        <v>0</v>
      </c>
      <c r="D258" s="123"/>
      <c r="E258" s="262"/>
      <c r="F258" s="263">
        <f t="shared" si="37"/>
        <v>0</v>
      </c>
      <c r="G258" s="123"/>
      <c r="H258" s="124"/>
      <c r="I258" s="125">
        <f t="shared" si="38"/>
        <v>0</v>
      </c>
      <c r="J258" s="123"/>
      <c r="K258" s="124"/>
      <c r="L258" s="125">
        <f t="shared" si="39"/>
        <v>0</v>
      </c>
      <c r="M258" s="264"/>
      <c r="N258" s="262"/>
      <c r="O258" s="125">
        <f t="shared" si="40"/>
        <v>0</v>
      </c>
      <c r="P258" s="74"/>
      <c r="R258" s="53"/>
      <c r="S258" s="53"/>
    </row>
    <row r="259" spans="1:19" hidden="1" x14ac:dyDescent="0.25">
      <c r="A259" s="344">
        <v>6330</v>
      </c>
      <c r="B259" s="345" t="s">
        <v>275</v>
      </c>
      <c r="C259" s="281">
        <f t="shared" ref="C259:C286" si="50">F259+I259+L259+O259</f>
        <v>0</v>
      </c>
      <c r="D259" s="328"/>
      <c r="E259" s="329"/>
      <c r="F259" s="330">
        <f t="shared" si="37"/>
        <v>0</v>
      </c>
      <c r="G259" s="328"/>
      <c r="H259" s="331"/>
      <c r="I259" s="324">
        <f t="shared" si="38"/>
        <v>0</v>
      </c>
      <c r="J259" s="328"/>
      <c r="K259" s="331"/>
      <c r="L259" s="324">
        <f t="shared" si="39"/>
        <v>0</v>
      </c>
      <c r="M259" s="332"/>
      <c r="N259" s="329"/>
      <c r="O259" s="324">
        <f t="shared" si="40"/>
        <v>0</v>
      </c>
      <c r="P259" s="325"/>
      <c r="R259" s="53"/>
      <c r="S259" s="53"/>
    </row>
    <row r="260" spans="1:19" hidden="1" x14ac:dyDescent="0.25">
      <c r="A260" s="276">
        <v>6360</v>
      </c>
      <c r="B260" s="127" t="s">
        <v>276</v>
      </c>
      <c r="C260" s="281">
        <f t="shared" si="50"/>
        <v>0</v>
      </c>
      <c r="D260" s="134"/>
      <c r="E260" s="285"/>
      <c r="F260" s="286">
        <f t="shared" si="37"/>
        <v>0</v>
      </c>
      <c r="G260" s="134"/>
      <c r="H260" s="135"/>
      <c r="I260" s="136">
        <f t="shared" si="38"/>
        <v>0</v>
      </c>
      <c r="J260" s="134"/>
      <c r="K260" s="135"/>
      <c r="L260" s="136">
        <f t="shared" si="39"/>
        <v>0</v>
      </c>
      <c r="M260" s="284"/>
      <c r="N260" s="285"/>
      <c r="O260" s="136">
        <f t="shared" si="40"/>
        <v>0</v>
      </c>
      <c r="P260" s="85"/>
      <c r="R260" s="53"/>
      <c r="S260" s="53"/>
    </row>
    <row r="261" spans="1:19" ht="24" hidden="1" x14ac:dyDescent="0.25">
      <c r="A261" s="99">
        <v>6400</v>
      </c>
      <c r="B261" s="247" t="s">
        <v>277</v>
      </c>
      <c r="C261" s="100">
        <f t="shared" si="50"/>
        <v>0</v>
      </c>
      <c r="D261" s="112">
        <f>SUM(D262,D266)</f>
        <v>0</v>
      </c>
      <c r="E261" s="293">
        <f>SUM(E262,E266)</f>
        <v>0</v>
      </c>
      <c r="F261" s="313">
        <f t="shared" si="37"/>
        <v>0</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c r="R261" s="53"/>
      <c r="S261" s="53"/>
    </row>
    <row r="262" spans="1:19" ht="24" hidden="1" x14ac:dyDescent="0.25">
      <c r="A262" s="656">
        <v>6410</v>
      </c>
      <c r="B262" s="116" t="s">
        <v>278</v>
      </c>
      <c r="C262" s="300">
        <f t="shared" si="50"/>
        <v>0</v>
      </c>
      <c r="D262" s="297">
        <f>SUM(D263:D265)</f>
        <v>0</v>
      </c>
      <c r="E262" s="301">
        <f>SUM(E263:E265)</f>
        <v>0</v>
      </c>
      <c r="F262" s="263">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c r="R262" s="53"/>
      <c r="S262" s="53"/>
    </row>
    <row r="263" spans="1:19" hidden="1" x14ac:dyDescent="0.25">
      <c r="A263" s="76">
        <v>6411</v>
      </c>
      <c r="B263" s="346" t="s">
        <v>279</v>
      </c>
      <c r="C263" s="278">
        <f t="shared" si="50"/>
        <v>0</v>
      </c>
      <c r="D263" s="134"/>
      <c r="E263" s="285"/>
      <c r="F263" s="286">
        <f t="shared" si="37"/>
        <v>0</v>
      </c>
      <c r="G263" s="134"/>
      <c r="H263" s="135"/>
      <c r="I263" s="136">
        <f t="shared" si="38"/>
        <v>0</v>
      </c>
      <c r="J263" s="134"/>
      <c r="K263" s="135"/>
      <c r="L263" s="136">
        <f t="shared" si="39"/>
        <v>0</v>
      </c>
      <c r="M263" s="284"/>
      <c r="N263" s="285"/>
      <c r="O263" s="136">
        <f t="shared" si="40"/>
        <v>0</v>
      </c>
      <c r="P263" s="85"/>
      <c r="R263" s="53"/>
      <c r="S263" s="53"/>
    </row>
    <row r="264" spans="1:19" ht="36" hidden="1" x14ac:dyDescent="0.25">
      <c r="A264" s="76">
        <v>6412</v>
      </c>
      <c r="B264" s="127" t="s">
        <v>280</v>
      </c>
      <c r="C264" s="278">
        <f t="shared" si="50"/>
        <v>0</v>
      </c>
      <c r="D264" s="134"/>
      <c r="E264" s="285"/>
      <c r="F264" s="286">
        <f t="shared" si="37"/>
        <v>0</v>
      </c>
      <c r="G264" s="134"/>
      <c r="H264" s="135"/>
      <c r="I264" s="136">
        <f t="shared" si="38"/>
        <v>0</v>
      </c>
      <c r="J264" s="134"/>
      <c r="K264" s="135"/>
      <c r="L264" s="136">
        <f t="shared" si="39"/>
        <v>0</v>
      </c>
      <c r="M264" s="284"/>
      <c r="N264" s="285"/>
      <c r="O264" s="136">
        <f t="shared" si="40"/>
        <v>0</v>
      </c>
      <c r="P264" s="85"/>
      <c r="R264" s="53"/>
      <c r="S264" s="53"/>
    </row>
    <row r="265" spans="1:19" ht="36" hidden="1" x14ac:dyDescent="0.25">
      <c r="A265" s="76">
        <v>6419</v>
      </c>
      <c r="B265" s="127" t="s">
        <v>281</v>
      </c>
      <c r="C265" s="278">
        <f t="shared" si="50"/>
        <v>0</v>
      </c>
      <c r="D265" s="134"/>
      <c r="E265" s="285"/>
      <c r="F265" s="286">
        <f t="shared" si="37"/>
        <v>0</v>
      </c>
      <c r="G265" s="134"/>
      <c r="H265" s="135"/>
      <c r="I265" s="136">
        <f t="shared" si="38"/>
        <v>0</v>
      </c>
      <c r="J265" s="134"/>
      <c r="K265" s="135"/>
      <c r="L265" s="136">
        <f t="shared" si="39"/>
        <v>0</v>
      </c>
      <c r="M265" s="284"/>
      <c r="N265" s="285"/>
      <c r="O265" s="136">
        <f t="shared" si="40"/>
        <v>0</v>
      </c>
      <c r="P265" s="85"/>
      <c r="R265" s="53"/>
      <c r="S265" s="53"/>
    </row>
    <row r="266" spans="1:19" ht="36" hidden="1" x14ac:dyDescent="0.25">
      <c r="A266" s="276">
        <v>6420</v>
      </c>
      <c r="B266" s="127" t="s">
        <v>282</v>
      </c>
      <c r="C266" s="278">
        <f t="shared" si="50"/>
        <v>0</v>
      </c>
      <c r="D266" s="277">
        <f>SUM(D267:D270)</f>
        <v>0</v>
      </c>
      <c r="E266" s="282">
        <f>SUM(E267:E270)</f>
        <v>0</v>
      </c>
      <c r="F266" s="286">
        <f t="shared" si="37"/>
        <v>0</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c r="R266" s="53"/>
      <c r="S266" s="53"/>
    </row>
    <row r="267" spans="1:19" hidden="1" x14ac:dyDescent="0.25">
      <c r="A267" s="76">
        <v>6421</v>
      </c>
      <c r="B267" s="127" t="s">
        <v>283</v>
      </c>
      <c r="C267" s="278">
        <f t="shared" si="50"/>
        <v>0</v>
      </c>
      <c r="D267" s="134"/>
      <c r="E267" s="285"/>
      <c r="F267" s="286">
        <f t="shared" si="37"/>
        <v>0</v>
      </c>
      <c r="G267" s="134"/>
      <c r="H267" s="135"/>
      <c r="I267" s="136">
        <f t="shared" si="38"/>
        <v>0</v>
      </c>
      <c r="J267" s="134"/>
      <c r="K267" s="135"/>
      <c r="L267" s="136">
        <f t="shared" si="39"/>
        <v>0</v>
      </c>
      <c r="M267" s="284"/>
      <c r="N267" s="285"/>
      <c r="O267" s="136">
        <f t="shared" si="40"/>
        <v>0</v>
      </c>
      <c r="P267" s="85"/>
      <c r="R267" s="53"/>
      <c r="S267" s="53"/>
    </row>
    <row r="268" spans="1:19" hidden="1" x14ac:dyDescent="0.25">
      <c r="A268" s="76">
        <v>6422</v>
      </c>
      <c r="B268" s="127" t="s">
        <v>284</v>
      </c>
      <c r="C268" s="278">
        <f t="shared" si="50"/>
        <v>0</v>
      </c>
      <c r="D268" s="134"/>
      <c r="E268" s="285"/>
      <c r="F268" s="286">
        <f t="shared" si="37"/>
        <v>0</v>
      </c>
      <c r="G268" s="134"/>
      <c r="H268" s="135"/>
      <c r="I268" s="136">
        <f t="shared" si="38"/>
        <v>0</v>
      </c>
      <c r="J268" s="134"/>
      <c r="K268" s="135"/>
      <c r="L268" s="136">
        <f t="shared" si="39"/>
        <v>0</v>
      </c>
      <c r="M268" s="284"/>
      <c r="N268" s="285"/>
      <c r="O268" s="136">
        <f t="shared" si="40"/>
        <v>0</v>
      </c>
      <c r="P268" s="85"/>
      <c r="R268" s="53"/>
      <c r="S268" s="53"/>
    </row>
    <row r="269" spans="1:19" hidden="1" x14ac:dyDescent="0.25">
      <c r="A269" s="76">
        <v>6423</v>
      </c>
      <c r="B269" s="127" t="s">
        <v>285</v>
      </c>
      <c r="C269" s="278">
        <f t="shared" si="50"/>
        <v>0</v>
      </c>
      <c r="D269" s="134"/>
      <c r="E269" s="285"/>
      <c r="F269" s="286">
        <f t="shared" si="37"/>
        <v>0</v>
      </c>
      <c r="G269" s="134"/>
      <c r="H269" s="135"/>
      <c r="I269" s="136">
        <f t="shared" si="38"/>
        <v>0</v>
      </c>
      <c r="J269" s="134"/>
      <c r="K269" s="135"/>
      <c r="L269" s="136">
        <f t="shared" si="39"/>
        <v>0</v>
      </c>
      <c r="M269" s="284"/>
      <c r="N269" s="285"/>
      <c r="O269" s="136">
        <f t="shared" si="40"/>
        <v>0</v>
      </c>
      <c r="P269" s="85"/>
      <c r="R269" s="53"/>
      <c r="S269" s="53"/>
    </row>
    <row r="270" spans="1:19" ht="24" hidden="1" x14ac:dyDescent="0.25">
      <c r="A270" s="76">
        <v>6424</v>
      </c>
      <c r="B270" s="127" t="s">
        <v>286</v>
      </c>
      <c r="C270" s="278">
        <f t="shared" si="50"/>
        <v>0</v>
      </c>
      <c r="D270" s="134"/>
      <c r="E270" s="285"/>
      <c r="F270" s="286">
        <f t="shared" si="37"/>
        <v>0</v>
      </c>
      <c r="G270" s="134"/>
      <c r="H270" s="135"/>
      <c r="I270" s="136">
        <f t="shared" si="38"/>
        <v>0</v>
      </c>
      <c r="J270" s="134"/>
      <c r="K270" s="135"/>
      <c r="L270" s="136">
        <f t="shared" si="39"/>
        <v>0</v>
      </c>
      <c r="M270" s="284"/>
      <c r="N270" s="285"/>
      <c r="O270" s="136">
        <f t="shared" si="40"/>
        <v>0</v>
      </c>
      <c r="P270" s="85"/>
      <c r="R270" s="53"/>
      <c r="S270" s="53"/>
    </row>
    <row r="271" spans="1:19" ht="36" hidden="1" x14ac:dyDescent="0.25">
      <c r="A271" s="347">
        <v>7000</v>
      </c>
      <c r="B271" s="347" t="s">
        <v>287</v>
      </c>
      <c r="C271" s="348">
        <f t="shared" si="50"/>
        <v>0</v>
      </c>
      <c r="D271" s="349">
        <f>SUM(D272,D282)</f>
        <v>0</v>
      </c>
      <c r="E271" s="407">
        <f>SUM(E272,E282)</f>
        <v>0</v>
      </c>
      <c r="F271" s="408">
        <f t="shared" si="37"/>
        <v>0</v>
      </c>
      <c r="G271" s="349">
        <f>SUM(G272,G282)</f>
        <v>0</v>
      </c>
      <c r="H271" s="352">
        <f>SUM(H272,H282)</f>
        <v>0</v>
      </c>
      <c r="I271" s="353">
        <f t="shared" si="38"/>
        <v>0</v>
      </c>
      <c r="J271" s="349">
        <f>SUM(J272,J282)</f>
        <v>0</v>
      </c>
      <c r="K271" s="352">
        <f>SUM(K272,K282)</f>
        <v>0</v>
      </c>
      <c r="L271" s="353">
        <f t="shared" si="39"/>
        <v>0</v>
      </c>
      <c r="M271" s="354">
        <f>SUM(M272,M282)</f>
        <v>0</v>
      </c>
      <c r="N271" s="355">
        <f>SUM(N272,N282)</f>
        <v>0</v>
      </c>
      <c r="O271" s="356">
        <f t="shared" si="40"/>
        <v>0</v>
      </c>
      <c r="P271" s="357"/>
      <c r="R271" s="53"/>
      <c r="S271" s="53"/>
    </row>
    <row r="272" spans="1:19" hidden="1" x14ac:dyDescent="0.25">
      <c r="A272" s="99">
        <v>7200</v>
      </c>
      <c r="B272" s="247" t="s">
        <v>288</v>
      </c>
      <c r="C272" s="100">
        <f t="shared" si="50"/>
        <v>0</v>
      </c>
      <c r="D272" s="112">
        <f>SUM(D273,D274,D277,D278,D281)</f>
        <v>0</v>
      </c>
      <c r="E272" s="293">
        <f>SUM(E273,E274,E277,E278,E281)</f>
        <v>0</v>
      </c>
      <c r="F272" s="313">
        <f t="shared" si="37"/>
        <v>0</v>
      </c>
      <c r="G272" s="112">
        <f>SUM(G273,G274,G277,G278,G281)</f>
        <v>0</v>
      </c>
      <c r="H272" s="113">
        <f>SUM(H273,H274,H277,H278,H281)</f>
        <v>0</v>
      </c>
      <c r="I272" s="114">
        <f t="shared" si="38"/>
        <v>0</v>
      </c>
      <c r="J272" s="112">
        <f>SUM(J273,J274,J277,J278,J281)</f>
        <v>0</v>
      </c>
      <c r="K272" s="113">
        <f>SUM(K273,K274,K277,K278,K281)</f>
        <v>0</v>
      </c>
      <c r="L272" s="114">
        <f t="shared" si="39"/>
        <v>0</v>
      </c>
      <c r="M272" s="250">
        <f>SUM(M273,M274,M277,M278,M281)</f>
        <v>0</v>
      </c>
      <c r="N272" s="251">
        <f>SUM(N273,N274,N277,N278,N281)</f>
        <v>0</v>
      </c>
      <c r="O272" s="252">
        <f t="shared" si="40"/>
        <v>0</v>
      </c>
      <c r="P272" s="253"/>
      <c r="R272" s="53"/>
      <c r="S272" s="53"/>
    </row>
    <row r="273" spans="1:20" ht="24" hidden="1" x14ac:dyDescent="0.25">
      <c r="A273" s="656">
        <v>7210</v>
      </c>
      <c r="B273" s="116" t="s">
        <v>289</v>
      </c>
      <c r="C273" s="117">
        <f t="shared" si="50"/>
        <v>0</v>
      </c>
      <c r="D273" s="123"/>
      <c r="E273" s="262"/>
      <c r="F273" s="263">
        <f t="shared" si="37"/>
        <v>0</v>
      </c>
      <c r="G273" s="123"/>
      <c r="H273" s="124"/>
      <c r="I273" s="125">
        <f t="shared" si="38"/>
        <v>0</v>
      </c>
      <c r="J273" s="123"/>
      <c r="K273" s="124"/>
      <c r="L273" s="125">
        <f t="shared" si="39"/>
        <v>0</v>
      </c>
      <c r="M273" s="264"/>
      <c r="N273" s="262"/>
      <c r="O273" s="125">
        <f t="shared" si="40"/>
        <v>0</v>
      </c>
      <c r="P273" s="74"/>
      <c r="R273" s="53"/>
      <c r="S273" s="53"/>
    </row>
    <row r="274" spans="1:20" s="358" customFormat="1" ht="24" hidden="1" x14ac:dyDescent="0.25">
      <c r="A274" s="276">
        <v>7220</v>
      </c>
      <c r="B274" s="127" t="s">
        <v>290</v>
      </c>
      <c r="C274" s="128">
        <f t="shared" si="50"/>
        <v>0</v>
      </c>
      <c r="D274" s="277">
        <f>SUM(D275:D276)</f>
        <v>0</v>
      </c>
      <c r="E274" s="282">
        <f>SUM(E275:E276)</f>
        <v>0</v>
      </c>
      <c r="F274" s="28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c r="R274" s="53"/>
      <c r="S274" s="53"/>
    </row>
    <row r="275" spans="1:20" s="358" customFormat="1" ht="36" hidden="1" x14ac:dyDescent="0.25">
      <c r="A275" s="76">
        <v>7221</v>
      </c>
      <c r="B275" s="127" t="s">
        <v>291</v>
      </c>
      <c r="C275" s="128">
        <f t="shared" si="50"/>
        <v>0</v>
      </c>
      <c r="D275" s="134"/>
      <c r="E275" s="285"/>
      <c r="F275" s="286">
        <f t="shared" si="37"/>
        <v>0</v>
      </c>
      <c r="G275" s="134"/>
      <c r="H275" s="135"/>
      <c r="I275" s="136">
        <f t="shared" si="38"/>
        <v>0</v>
      </c>
      <c r="J275" s="134"/>
      <c r="K275" s="135"/>
      <c r="L275" s="136">
        <f t="shared" si="39"/>
        <v>0</v>
      </c>
      <c r="M275" s="284"/>
      <c r="N275" s="285"/>
      <c r="O275" s="136">
        <f t="shared" si="40"/>
        <v>0</v>
      </c>
      <c r="P275" s="85"/>
      <c r="R275" s="53"/>
      <c r="S275" s="53"/>
    </row>
    <row r="276" spans="1:20" s="358" customFormat="1" ht="36" hidden="1" x14ac:dyDescent="0.25">
      <c r="A276" s="76">
        <v>7222</v>
      </c>
      <c r="B276" s="127" t="s">
        <v>292</v>
      </c>
      <c r="C276" s="128">
        <f t="shared" si="50"/>
        <v>0</v>
      </c>
      <c r="D276" s="134"/>
      <c r="E276" s="285"/>
      <c r="F276" s="286">
        <f t="shared" si="37"/>
        <v>0</v>
      </c>
      <c r="G276" s="134"/>
      <c r="H276" s="135"/>
      <c r="I276" s="136">
        <f t="shared" si="38"/>
        <v>0</v>
      </c>
      <c r="J276" s="134"/>
      <c r="K276" s="135"/>
      <c r="L276" s="136">
        <f t="shared" si="39"/>
        <v>0</v>
      </c>
      <c r="M276" s="284"/>
      <c r="N276" s="285"/>
      <c r="O276" s="136">
        <f t="shared" si="40"/>
        <v>0</v>
      </c>
      <c r="P276" s="85"/>
      <c r="R276" s="53"/>
      <c r="S276" s="53"/>
    </row>
    <row r="277" spans="1:20" s="358" customFormat="1" ht="24" hidden="1" x14ac:dyDescent="0.25">
      <c r="A277" s="276">
        <v>7230</v>
      </c>
      <c r="B277" s="127" t="s">
        <v>293</v>
      </c>
      <c r="C277" s="128">
        <f t="shared" si="50"/>
        <v>0</v>
      </c>
      <c r="D277" s="134"/>
      <c r="E277" s="285"/>
      <c r="F277" s="286">
        <f t="shared" si="37"/>
        <v>0</v>
      </c>
      <c r="G277" s="134"/>
      <c r="H277" s="135"/>
      <c r="I277" s="136">
        <f t="shared" si="38"/>
        <v>0</v>
      </c>
      <c r="J277" s="134"/>
      <c r="K277" s="135"/>
      <c r="L277" s="136">
        <f t="shared" si="39"/>
        <v>0</v>
      </c>
      <c r="M277" s="284"/>
      <c r="N277" s="285"/>
      <c r="O277" s="136">
        <f>M277+N277</f>
        <v>0</v>
      </c>
      <c r="P277" s="85"/>
      <c r="R277" s="53"/>
      <c r="S277" s="53"/>
    </row>
    <row r="278" spans="1:20" ht="24" hidden="1" x14ac:dyDescent="0.25">
      <c r="A278" s="276">
        <v>7240</v>
      </c>
      <c r="B278" s="127" t="s">
        <v>294</v>
      </c>
      <c r="C278" s="128">
        <f t="shared" si="50"/>
        <v>0</v>
      </c>
      <c r="D278" s="277">
        <f>SUM(D279:D280)</f>
        <v>0</v>
      </c>
      <c r="E278" s="282">
        <f>SUM(E279:E280)</f>
        <v>0</v>
      </c>
      <c r="F278" s="28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c r="R278" s="53"/>
      <c r="S278" s="53"/>
    </row>
    <row r="279" spans="1:20" ht="48" hidden="1" x14ac:dyDescent="0.25">
      <c r="A279" s="76">
        <v>7245</v>
      </c>
      <c r="B279" s="127" t="s">
        <v>295</v>
      </c>
      <c r="C279" s="128">
        <f t="shared" si="50"/>
        <v>0</v>
      </c>
      <c r="D279" s="134"/>
      <c r="E279" s="285"/>
      <c r="F279" s="286">
        <f t="shared" si="37"/>
        <v>0</v>
      </c>
      <c r="G279" s="134"/>
      <c r="H279" s="135"/>
      <c r="I279" s="136">
        <f t="shared" si="38"/>
        <v>0</v>
      </c>
      <c r="J279" s="134"/>
      <c r="K279" s="135"/>
      <c r="L279" s="136">
        <f t="shared" si="39"/>
        <v>0</v>
      </c>
      <c r="M279" s="284"/>
      <c r="N279" s="285"/>
      <c r="O279" s="136">
        <f t="shared" ref="O279:O282" si="57">M279+N279</f>
        <v>0</v>
      </c>
      <c r="P279" s="85"/>
      <c r="R279" s="53"/>
      <c r="S279" s="53"/>
    </row>
    <row r="280" spans="1:20" ht="84" hidden="1" x14ac:dyDescent="0.25">
      <c r="A280" s="76">
        <v>7246</v>
      </c>
      <c r="B280" s="127" t="s">
        <v>296</v>
      </c>
      <c r="C280" s="128">
        <f t="shared" si="50"/>
        <v>0</v>
      </c>
      <c r="D280" s="134"/>
      <c r="E280" s="285"/>
      <c r="F280" s="286">
        <f t="shared" si="37"/>
        <v>0</v>
      </c>
      <c r="G280" s="134"/>
      <c r="H280" s="135"/>
      <c r="I280" s="136">
        <f t="shared" si="38"/>
        <v>0</v>
      </c>
      <c r="J280" s="134"/>
      <c r="K280" s="135"/>
      <c r="L280" s="136">
        <f t="shared" si="39"/>
        <v>0</v>
      </c>
      <c r="M280" s="284"/>
      <c r="N280" s="285"/>
      <c r="O280" s="136">
        <f t="shared" si="57"/>
        <v>0</v>
      </c>
      <c r="P280" s="85"/>
      <c r="R280" s="53"/>
      <c r="S280" s="53"/>
    </row>
    <row r="281" spans="1:20" ht="24" hidden="1" x14ac:dyDescent="0.25">
      <c r="A281" s="276">
        <v>7260</v>
      </c>
      <c r="B281" s="127" t="s">
        <v>297</v>
      </c>
      <c r="C281" s="128">
        <f t="shared" si="50"/>
        <v>0</v>
      </c>
      <c r="D281" s="123"/>
      <c r="E281" s="262"/>
      <c r="F281" s="263">
        <f t="shared" si="37"/>
        <v>0</v>
      </c>
      <c r="G281" s="123"/>
      <c r="H281" s="124"/>
      <c r="I281" s="125">
        <f t="shared" si="38"/>
        <v>0</v>
      </c>
      <c r="J281" s="123"/>
      <c r="K281" s="124"/>
      <c r="L281" s="125">
        <f t="shared" si="39"/>
        <v>0</v>
      </c>
      <c r="M281" s="264"/>
      <c r="N281" s="262"/>
      <c r="O281" s="125">
        <f t="shared" si="57"/>
        <v>0</v>
      </c>
      <c r="P281" s="74"/>
      <c r="R281" s="53"/>
      <c r="S281" s="53"/>
    </row>
    <row r="282" spans="1:20" hidden="1" x14ac:dyDescent="0.25">
      <c r="A282" s="99">
        <v>7700</v>
      </c>
      <c r="B282" s="247" t="s">
        <v>298</v>
      </c>
      <c r="C282" s="359">
        <f t="shared" si="50"/>
        <v>0</v>
      </c>
      <c r="D282" s="360">
        <f>D283</f>
        <v>0</v>
      </c>
      <c r="E282" s="304">
        <f>SUM(E283)</f>
        <v>0</v>
      </c>
      <c r="F282" s="316">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c r="R282" s="53"/>
      <c r="S282" s="53"/>
    </row>
    <row r="283" spans="1:20" hidden="1" x14ac:dyDescent="0.25">
      <c r="A283" s="141">
        <v>7720</v>
      </c>
      <c r="B283" s="142" t="s">
        <v>299</v>
      </c>
      <c r="C283" s="362">
        <f t="shared" si="50"/>
        <v>0</v>
      </c>
      <c r="D283" s="149"/>
      <c r="E283" s="363"/>
      <c r="F283" s="364">
        <f t="shared" si="37"/>
        <v>0</v>
      </c>
      <c r="G283" s="149"/>
      <c r="H283" s="150"/>
      <c r="I283" s="151">
        <f t="shared" si="38"/>
        <v>0</v>
      </c>
      <c r="J283" s="149"/>
      <c r="K283" s="150"/>
      <c r="L283" s="151">
        <f t="shared" si="39"/>
        <v>0</v>
      </c>
      <c r="M283" s="365"/>
      <c r="N283" s="363"/>
      <c r="O283" s="151">
        <f>M283+N283</f>
        <v>0</v>
      </c>
      <c r="P283" s="153"/>
      <c r="R283" s="53"/>
      <c r="S283" s="53"/>
    </row>
    <row r="284" spans="1:20" hidden="1" x14ac:dyDescent="0.25">
      <c r="A284" s="366"/>
      <c r="B284" s="179" t="s">
        <v>300</v>
      </c>
      <c r="C284" s="117">
        <f t="shared" si="50"/>
        <v>0</v>
      </c>
      <c r="D284" s="255">
        <f>SUM(D285:D286)</f>
        <v>0</v>
      </c>
      <c r="E284" s="261">
        <f>SUM(E285:E286)</f>
        <v>0</v>
      </c>
      <c r="F284" s="310">
        <f t="shared" si="37"/>
        <v>0</v>
      </c>
      <c r="G284" s="255">
        <f>SUM(G285:G286)</f>
        <v>0</v>
      </c>
      <c r="H284" s="258">
        <f>SUM(H285:H286)</f>
        <v>0</v>
      </c>
      <c r="I284" s="259">
        <f t="shared" si="38"/>
        <v>0</v>
      </c>
      <c r="J284" s="255">
        <f>SUM(J285:J286)</f>
        <v>0</v>
      </c>
      <c r="K284" s="258">
        <f>SUM(K285:K286)</f>
        <v>0</v>
      </c>
      <c r="L284" s="259">
        <f t="shared" si="39"/>
        <v>0</v>
      </c>
      <c r="M284" s="260">
        <f>SUM(M285:M286)</f>
        <v>0</v>
      </c>
      <c r="N284" s="261">
        <f>SUM(N285:N286)</f>
        <v>0</v>
      </c>
      <c r="O284" s="259">
        <f t="shared" ref="O284:O299" si="58">M284+N284</f>
        <v>0</v>
      </c>
      <c r="P284" s="189"/>
      <c r="R284" s="53"/>
      <c r="S284" s="53"/>
    </row>
    <row r="285" spans="1:20" hidden="1" x14ac:dyDescent="0.25">
      <c r="A285" s="346" t="s">
        <v>301</v>
      </c>
      <c r="B285" s="76" t="s">
        <v>302</v>
      </c>
      <c r="C285" s="279">
        <f t="shared" si="50"/>
        <v>0</v>
      </c>
      <c r="D285" s="134"/>
      <c r="E285" s="285"/>
      <c r="F285" s="286">
        <f t="shared" si="37"/>
        <v>0</v>
      </c>
      <c r="G285" s="134"/>
      <c r="H285" s="135"/>
      <c r="I285" s="136">
        <f t="shared" si="38"/>
        <v>0</v>
      </c>
      <c r="J285" s="134"/>
      <c r="K285" s="135"/>
      <c r="L285" s="136">
        <f t="shared" si="39"/>
        <v>0</v>
      </c>
      <c r="M285" s="284"/>
      <c r="N285" s="285"/>
      <c r="O285" s="136">
        <f t="shared" si="58"/>
        <v>0</v>
      </c>
      <c r="P285" s="85"/>
      <c r="R285" s="53"/>
      <c r="S285" s="53"/>
    </row>
    <row r="286" spans="1:20" hidden="1" x14ac:dyDescent="0.25">
      <c r="A286" s="346" t="s">
        <v>303</v>
      </c>
      <c r="B286" s="367" t="s">
        <v>304</v>
      </c>
      <c r="C286" s="117">
        <f t="shared" si="50"/>
        <v>0</v>
      </c>
      <c r="D286" s="123"/>
      <c r="E286" s="262"/>
      <c r="F286" s="263">
        <f t="shared" si="37"/>
        <v>0</v>
      </c>
      <c r="G286" s="123"/>
      <c r="H286" s="1028">
        <v>0</v>
      </c>
      <c r="I286" s="1029">
        <f t="shared" si="38"/>
        <v>0</v>
      </c>
      <c r="J286" s="123"/>
      <c r="K286" s="124"/>
      <c r="L286" s="125">
        <f t="shared" si="39"/>
        <v>0</v>
      </c>
      <c r="M286" s="264"/>
      <c r="N286" s="262"/>
      <c r="O286" s="125">
        <f t="shared" si="58"/>
        <v>0</v>
      </c>
      <c r="P286" s="74"/>
      <c r="R286" s="53"/>
      <c r="S286" s="53"/>
    </row>
    <row r="287" spans="1:20" x14ac:dyDescent="0.25">
      <c r="A287" s="368"/>
      <c r="B287" s="369" t="s">
        <v>305</v>
      </c>
      <c r="C287" s="370">
        <f>SUM(C284,C271,C233,C198,C190,C176,C78,C56)</f>
        <v>794200</v>
      </c>
      <c r="D287" s="371">
        <f>SUM(D284,D271,D233,D198,D190,D176,D78,D56)</f>
        <v>46092</v>
      </c>
      <c r="E287" s="372">
        <f>SUM(E284,E271,E233,E198,E190,E176,E78,E56)</f>
        <v>0</v>
      </c>
      <c r="F287" s="373">
        <f t="shared" si="37"/>
        <v>46092</v>
      </c>
      <c r="G287" s="371">
        <f>SUM(G284,G271,G233,G198,G190,G176,G78,G56)</f>
        <v>735543</v>
      </c>
      <c r="H287" s="1030">
        <f>SUM(H284,H271,H233,H198,H190,H176,H78,H56)</f>
        <v>0</v>
      </c>
      <c r="I287" s="1031">
        <f t="shared" si="38"/>
        <v>735543</v>
      </c>
      <c r="J287" s="371">
        <f>SUM(J284,J271,J233,J198,J190,J176,J78,J56)</f>
        <v>12565</v>
      </c>
      <c r="K287" s="374">
        <f>SUM(K284,K271,K233,K198,K190,K176,K78,K56)</f>
        <v>0</v>
      </c>
      <c r="L287" s="375">
        <f t="shared" si="39"/>
        <v>12565</v>
      </c>
      <c r="M287" s="250">
        <f>SUM(M284,M271,M233,M198,M190,M176,M78,M56)</f>
        <v>0</v>
      </c>
      <c r="N287" s="251">
        <f>SUM(N284,N271,N233,N198,N190,N176,N78,N56)</f>
        <v>0</v>
      </c>
      <c r="O287" s="252">
        <f t="shared" si="58"/>
        <v>0</v>
      </c>
      <c r="P287" s="253"/>
      <c r="R287" s="53"/>
      <c r="S287" s="53"/>
      <c r="T287" s="53"/>
    </row>
    <row r="288" spans="1:20" x14ac:dyDescent="0.25">
      <c r="A288" s="376" t="s">
        <v>306</v>
      </c>
      <c r="B288" s="377"/>
      <c r="C288" s="378">
        <f t="shared" ref="C288" si="59">F288+I288+L288+O288</f>
        <v>-1820</v>
      </c>
      <c r="D288" s="379">
        <f>SUM(D28,D29,D45)-D54</f>
        <v>0</v>
      </c>
      <c r="E288" s="380">
        <f>SUM(E28,E29,E45)-E54</f>
        <v>0</v>
      </c>
      <c r="F288" s="381">
        <f t="shared" si="37"/>
        <v>0</v>
      </c>
      <c r="G288" s="379">
        <f>SUM(G28,G29,G45)-G54</f>
        <v>0</v>
      </c>
      <c r="H288" s="382">
        <f>SUM(H28,H29,H45)-H54</f>
        <v>0</v>
      </c>
      <c r="I288" s="383">
        <f t="shared" si="38"/>
        <v>0</v>
      </c>
      <c r="J288" s="379">
        <f>(J30+J46)-J54</f>
        <v>-1820</v>
      </c>
      <c r="K288" s="382">
        <f>(K30+K46)-K54</f>
        <v>0</v>
      </c>
      <c r="L288" s="383">
        <f t="shared" si="39"/>
        <v>-1820</v>
      </c>
      <c r="M288" s="378">
        <f>M48-M54</f>
        <v>0</v>
      </c>
      <c r="N288" s="384">
        <f>N48-N54</f>
        <v>0</v>
      </c>
      <c r="O288" s="383">
        <f t="shared" si="58"/>
        <v>0</v>
      </c>
      <c r="P288" s="385"/>
      <c r="R288" s="53"/>
      <c r="S288" s="53"/>
      <c r="T288" s="53"/>
    </row>
    <row r="289" spans="1:20" s="41" customFormat="1" x14ac:dyDescent="0.25">
      <c r="A289" s="376" t="s">
        <v>307</v>
      </c>
      <c r="B289" s="377"/>
      <c r="C289" s="380">
        <f>SUM(C290,C291)-C298+C299</f>
        <v>1820</v>
      </c>
      <c r="D289" s="379">
        <f>SUM(D290,D291)-D298+D299</f>
        <v>0</v>
      </c>
      <c r="E289" s="380">
        <f>SUM(E290,E291)-E298+E299</f>
        <v>0</v>
      </c>
      <c r="F289" s="381">
        <f t="shared" si="37"/>
        <v>0</v>
      </c>
      <c r="G289" s="379">
        <f>SUM(G290,G291)-G298+G299</f>
        <v>0</v>
      </c>
      <c r="H289" s="382">
        <f>SUM(H290,H291)-H298+H299</f>
        <v>0</v>
      </c>
      <c r="I289" s="383">
        <f t="shared" si="38"/>
        <v>0</v>
      </c>
      <c r="J289" s="379">
        <f>SUM(J290,J291)-J298+J299</f>
        <v>1820</v>
      </c>
      <c r="K289" s="382">
        <f>SUM(K290,K291)-K298+K299</f>
        <v>0</v>
      </c>
      <c r="L289" s="383">
        <f t="shared" si="39"/>
        <v>1820</v>
      </c>
      <c r="M289" s="378">
        <f>SUM(M290,M291)-M298+M299</f>
        <v>0</v>
      </c>
      <c r="N289" s="384">
        <f>SUM(N290,N291)-N298+N299</f>
        <v>0</v>
      </c>
      <c r="O289" s="383">
        <f t="shared" si="58"/>
        <v>0</v>
      </c>
      <c r="P289" s="385"/>
      <c r="R289" s="53"/>
      <c r="S289" s="53"/>
      <c r="T289" s="53"/>
    </row>
    <row r="290" spans="1:20" s="41" customFormat="1" x14ac:dyDescent="0.25">
      <c r="A290" s="386" t="s">
        <v>308</v>
      </c>
      <c r="B290" s="386" t="s">
        <v>309</v>
      </c>
      <c r="C290" s="380">
        <f>C25-C284</f>
        <v>1820</v>
      </c>
      <c r="D290" s="379">
        <f>D25-D284</f>
        <v>0</v>
      </c>
      <c r="E290" s="380">
        <f>E25-E284</f>
        <v>0</v>
      </c>
      <c r="F290" s="381">
        <f t="shared" si="37"/>
        <v>0</v>
      </c>
      <c r="G290" s="379">
        <f>G25-G284</f>
        <v>0</v>
      </c>
      <c r="H290" s="382">
        <f>H25-H284</f>
        <v>0</v>
      </c>
      <c r="I290" s="383">
        <f t="shared" si="38"/>
        <v>0</v>
      </c>
      <c r="J290" s="379">
        <f>J25-J284</f>
        <v>1820</v>
      </c>
      <c r="K290" s="382">
        <f>K25-K284</f>
        <v>0</v>
      </c>
      <c r="L290" s="383">
        <f t="shared" si="39"/>
        <v>1820</v>
      </c>
      <c r="M290" s="378">
        <f>M25-M284</f>
        <v>0</v>
      </c>
      <c r="N290" s="384">
        <f>N25-N284</f>
        <v>0</v>
      </c>
      <c r="O290" s="383">
        <f t="shared" si="58"/>
        <v>0</v>
      </c>
      <c r="P290" s="385"/>
      <c r="R290" s="53"/>
      <c r="S290" s="53"/>
      <c r="T290" s="53"/>
    </row>
    <row r="291" spans="1:20" s="41" customFormat="1" hidden="1" x14ac:dyDescent="0.25">
      <c r="A291" s="387" t="s">
        <v>310</v>
      </c>
      <c r="B291" s="387" t="s">
        <v>311</v>
      </c>
      <c r="C291" s="380">
        <f>SUM(C292,C294,C296)-SUM(C293,C295,C297)</f>
        <v>0</v>
      </c>
      <c r="D291" s="379">
        <f t="shared" ref="D291:E291" si="60">SUM(D292,D294,D296)-SUM(D293,D295,D297)</f>
        <v>0</v>
      </c>
      <c r="E291" s="384">
        <f t="shared" si="60"/>
        <v>0</v>
      </c>
      <c r="F291" s="388">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c r="R291" s="53"/>
      <c r="S291" s="53"/>
    </row>
    <row r="292" spans="1:20" s="41" customFormat="1" hidden="1" x14ac:dyDescent="0.25">
      <c r="A292" s="366" t="s">
        <v>312</v>
      </c>
      <c r="B292" s="190" t="s">
        <v>313</v>
      </c>
      <c r="C292" s="143">
        <f t="shared" ref="C292:C299" si="64">F292+I292+L292+O292</f>
        <v>0</v>
      </c>
      <c r="D292" s="149"/>
      <c r="E292" s="363"/>
      <c r="F292" s="364">
        <f t="shared" si="37"/>
        <v>0</v>
      </c>
      <c r="G292" s="149"/>
      <c r="H292" s="150"/>
      <c r="I292" s="151">
        <f t="shared" si="38"/>
        <v>0</v>
      </c>
      <c r="J292" s="149"/>
      <c r="K292" s="150"/>
      <c r="L292" s="151">
        <f t="shared" si="39"/>
        <v>0</v>
      </c>
      <c r="M292" s="365"/>
      <c r="N292" s="363"/>
      <c r="O292" s="151">
        <f t="shared" si="58"/>
        <v>0</v>
      </c>
      <c r="P292" s="153"/>
      <c r="R292" s="53"/>
      <c r="S292" s="53"/>
    </row>
    <row r="293" spans="1:20" hidden="1" x14ac:dyDescent="0.25">
      <c r="A293" s="346" t="s">
        <v>314</v>
      </c>
      <c r="B293" s="75" t="s">
        <v>315</v>
      </c>
      <c r="C293" s="128">
        <f t="shared" si="64"/>
        <v>0</v>
      </c>
      <c r="D293" s="134"/>
      <c r="E293" s="285"/>
      <c r="F293" s="286">
        <f t="shared" si="37"/>
        <v>0</v>
      </c>
      <c r="G293" s="134"/>
      <c r="H293" s="135"/>
      <c r="I293" s="136">
        <f t="shared" si="38"/>
        <v>0</v>
      </c>
      <c r="J293" s="134"/>
      <c r="K293" s="135"/>
      <c r="L293" s="136">
        <f t="shared" si="39"/>
        <v>0</v>
      </c>
      <c r="M293" s="284"/>
      <c r="N293" s="285"/>
      <c r="O293" s="136">
        <f t="shared" si="58"/>
        <v>0</v>
      </c>
      <c r="P293" s="85"/>
      <c r="R293" s="53"/>
      <c r="S293" s="53"/>
    </row>
    <row r="294" spans="1:20" hidden="1" x14ac:dyDescent="0.25">
      <c r="A294" s="346" t="s">
        <v>316</v>
      </c>
      <c r="B294" s="75" t="s">
        <v>317</v>
      </c>
      <c r="C294" s="128">
        <f t="shared" si="64"/>
        <v>0</v>
      </c>
      <c r="D294" s="134"/>
      <c r="E294" s="285"/>
      <c r="F294" s="286">
        <f t="shared" si="37"/>
        <v>0</v>
      </c>
      <c r="G294" s="134"/>
      <c r="H294" s="135"/>
      <c r="I294" s="136">
        <f t="shared" si="38"/>
        <v>0</v>
      </c>
      <c r="J294" s="134"/>
      <c r="K294" s="135"/>
      <c r="L294" s="136">
        <f t="shared" si="39"/>
        <v>0</v>
      </c>
      <c r="M294" s="284"/>
      <c r="N294" s="285"/>
      <c r="O294" s="136">
        <f t="shared" si="58"/>
        <v>0</v>
      </c>
      <c r="P294" s="85"/>
      <c r="R294" s="53"/>
      <c r="S294" s="53"/>
    </row>
    <row r="295" spans="1:20" hidden="1" x14ac:dyDescent="0.25">
      <c r="A295" s="346" t="s">
        <v>318</v>
      </c>
      <c r="B295" s="75" t="s">
        <v>319</v>
      </c>
      <c r="C295" s="128">
        <f t="shared" si="64"/>
        <v>0</v>
      </c>
      <c r="D295" s="134"/>
      <c r="E295" s="285"/>
      <c r="F295" s="286">
        <f t="shared" si="37"/>
        <v>0</v>
      </c>
      <c r="G295" s="134"/>
      <c r="H295" s="135"/>
      <c r="I295" s="136">
        <f t="shared" si="38"/>
        <v>0</v>
      </c>
      <c r="J295" s="134"/>
      <c r="K295" s="135"/>
      <c r="L295" s="136">
        <f t="shared" si="39"/>
        <v>0</v>
      </c>
      <c r="M295" s="284"/>
      <c r="N295" s="285"/>
      <c r="O295" s="136">
        <f t="shared" si="58"/>
        <v>0</v>
      </c>
      <c r="P295" s="85"/>
      <c r="R295" s="53"/>
      <c r="S295" s="53"/>
    </row>
    <row r="296" spans="1:20" hidden="1" x14ac:dyDescent="0.25">
      <c r="A296" s="346" t="s">
        <v>320</v>
      </c>
      <c r="B296" s="75" t="s">
        <v>321</v>
      </c>
      <c r="C296" s="128">
        <f t="shared" si="64"/>
        <v>0</v>
      </c>
      <c r="D296" s="134"/>
      <c r="E296" s="285"/>
      <c r="F296" s="286">
        <f t="shared" si="37"/>
        <v>0</v>
      </c>
      <c r="G296" s="134"/>
      <c r="H296" s="135"/>
      <c r="I296" s="136">
        <f t="shared" si="38"/>
        <v>0</v>
      </c>
      <c r="J296" s="134"/>
      <c r="K296" s="135"/>
      <c r="L296" s="136">
        <f t="shared" si="39"/>
        <v>0</v>
      </c>
      <c r="M296" s="284"/>
      <c r="N296" s="285"/>
      <c r="O296" s="136">
        <f t="shared" si="58"/>
        <v>0</v>
      </c>
      <c r="P296" s="85"/>
      <c r="R296" s="53"/>
      <c r="S296" s="53"/>
    </row>
    <row r="297" spans="1:20" hidden="1" x14ac:dyDescent="0.25">
      <c r="A297" s="389" t="s">
        <v>322</v>
      </c>
      <c r="B297" s="390" t="s">
        <v>323</v>
      </c>
      <c r="C297" s="327">
        <f t="shared" si="64"/>
        <v>0</v>
      </c>
      <c r="D297" s="328"/>
      <c r="E297" s="329"/>
      <c r="F297" s="330">
        <f t="shared" si="37"/>
        <v>0</v>
      </c>
      <c r="G297" s="328"/>
      <c r="H297" s="331"/>
      <c r="I297" s="324">
        <f t="shared" si="38"/>
        <v>0</v>
      </c>
      <c r="J297" s="328"/>
      <c r="K297" s="331"/>
      <c r="L297" s="324">
        <f t="shared" si="39"/>
        <v>0</v>
      </c>
      <c r="M297" s="332"/>
      <c r="N297" s="329"/>
      <c r="O297" s="324">
        <f t="shared" si="58"/>
        <v>0</v>
      </c>
      <c r="P297" s="325"/>
      <c r="R297" s="53"/>
      <c r="S297" s="53"/>
    </row>
    <row r="298" spans="1:20" hidden="1" x14ac:dyDescent="0.25">
      <c r="A298" s="387" t="s">
        <v>324</v>
      </c>
      <c r="B298" s="387" t="s">
        <v>325</v>
      </c>
      <c r="C298" s="391">
        <f t="shared" si="64"/>
        <v>0</v>
      </c>
      <c r="D298" s="392"/>
      <c r="E298" s="393"/>
      <c r="F298" s="388">
        <f t="shared" si="37"/>
        <v>0</v>
      </c>
      <c r="G298" s="392"/>
      <c r="H298" s="394"/>
      <c r="I298" s="383">
        <f t="shared" si="38"/>
        <v>0</v>
      </c>
      <c r="J298" s="392"/>
      <c r="K298" s="394"/>
      <c r="L298" s="383">
        <f t="shared" si="39"/>
        <v>0</v>
      </c>
      <c r="M298" s="395"/>
      <c r="N298" s="393"/>
      <c r="O298" s="383">
        <f t="shared" si="58"/>
        <v>0</v>
      </c>
      <c r="P298" s="385"/>
      <c r="R298" s="53"/>
      <c r="S298" s="53"/>
    </row>
    <row r="299" spans="1:20" s="41" customFormat="1" ht="36" hidden="1" x14ac:dyDescent="0.25">
      <c r="A299" s="387" t="s">
        <v>326</v>
      </c>
      <c r="B299" s="396" t="s">
        <v>327</v>
      </c>
      <c r="C299" s="397">
        <f t="shared" si="64"/>
        <v>0</v>
      </c>
      <c r="D299" s="398"/>
      <c r="E299" s="399"/>
      <c r="F299" s="400">
        <f t="shared" si="37"/>
        <v>0</v>
      </c>
      <c r="G299" s="392"/>
      <c r="H299" s="394"/>
      <c r="I299" s="383">
        <f t="shared" si="38"/>
        <v>0</v>
      </c>
      <c r="J299" s="392"/>
      <c r="K299" s="394"/>
      <c r="L299" s="383">
        <f t="shared" si="39"/>
        <v>0</v>
      </c>
      <c r="M299" s="395"/>
      <c r="N299" s="393"/>
      <c r="O299" s="383">
        <f t="shared" si="58"/>
        <v>0</v>
      </c>
      <c r="P299" s="385"/>
      <c r="R299" s="53"/>
      <c r="S299" s="53"/>
    </row>
    <row r="300" spans="1:20"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20" s="41" customFormat="1" x14ac:dyDescent="0.25">
      <c r="A301" s="721" t="s">
        <v>1247</v>
      </c>
      <c r="B301" s="722"/>
      <c r="C301" s="722"/>
      <c r="D301" s="722"/>
      <c r="E301" s="722"/>
      <c r="F301" s="722"/>
      <c r="G301" s="722"/>
      <c r="H301" s="722"/>
      <c r="I301" s="722"/>
      <c r="J301" s="722"/>
      <c r="K301" s="722"/>
      <c r="L301" s="722"/>
      <c r="M301" s="722"/>
      <c r="N301" s="722"/>
      <c r="O301" s="722"/>
      <c r="P301" s="723"/>
      <c r="Q301" s="32"/>
    </row>
    <row r="302" spans="1:20" s="41" customFormat="1" x14ac:dyDescent="0.25">
      <c r="A302" s="721" t="s">
        <v>1248</v>
      </c>
      <c r="B302" s="722"/>
      <c r="C302" s="722"/>
      <c r="D302" s="722"/>
      <c r="E302" s="722"/>
      <c r="F302" s="722"/>
      <c r="G302" s="722"/>
      <c r="H302" s="722"/>
      <c r="I302" s="722"/>
      <c r="J302" s="722"/>
      <c r="K302" s="722"/>
      <c r="L302" s="722"/>
      <c r="M302" s="722"/>
      <c r="N302" s="722"/>
      <c r="O302" s="722"/>
      <c r="P302" s="723"/>
      <c r="Q302" s="32"/>
    </row>
    <row r="303" spans="1:20" s="41" customFormat="1" x14ac:dyDescent="0.25">
      <c r="A303" s="721" t="s">
        <v>1249</v>
      </c>
      <c r="B303" s="722"/>
      <c r="C303" s="722"/>
      <c r="D303" s="722"/>
      <c r="E303" s="722"/>
      <c r="F303" s="722"/>
      <c r="G303" s="722"/>
      <c r="H303" s="722"/>
      <c r="I303" s="722"/>
      <c r="J303" s="722"/>
      <c r="K303" s="722"/>
      <c r="L303" s="722"/>
      <c r="M303" s="722"/>
      <c r="N303" s="722"/>
      <c r="O303" s="722"/>
      <c r="P303" s="723"/>
      <c r="Q303" s="32"/>
    </row>
    <row r="304" spans="1:20" ht="7.5" customHeight="1" thickBot="1" x14ac:dyDescent="0.3">
      <c r="A304" s="404"/>
      <c r="B304" s="405"/>
      <c r="C304" s="405"/>
      <c r="D304" s="405"/>
      <c r="E304" s="405"/>
      <c r="F304" s="405"/>
      <c r="G304" s="405"/>
      <c r="H304" s="405"/>
      <c r="I304" s="405"/>
      <c r="J304" s="405"/>
      <c r="K304" s="405"/>
      <c r="L304" s="405"/>
      <c r="M304" s="405"/>
      <c r="N304" s="405"/>
      <c r="O304" s="405"/>
      <c r="P304" s="406"/>
      <c r="Q304" s="7"/>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row r="322" spans="1:15" x14ac:dyDescent="0.25">
      <c r="A322" s="5"/>
      <c r="B322" s="5"/>
      <c r="C322" s="5"/>
      <c r="D322" s="5"/>
      <c r="E322" s="5"/>
      <c r="F322" s="5"/>
      <c r="G322" s="5"/>
      <c r="H322" s="5"/>
      <c r="I322" s="5"/>
      <c r="J322" s="5"/>
      <c r="K322" s="5"/>
      <c r="L322" s="5"/>
      <c r="M322" s="5"/>
      <c r="N322" s="5"/>
      <c r="O322" s="5"/>
    </row>
    <row r="323" spans="1:15" x14ac:dyDescent="0.25">
      <c r="A323" s="5"/>
      <c r="B323" s="5"/>
      <c r="C323" s="5"/>
      <c r="D323" s="5"/>
      <c r="E323" s="5"/>
      <c r="F323" s="5"/>
      <c r="G323" s="5"/>
      <c r="H323" s="5"/>
      <c r="I323" s="5"/>
      <c r="J323" s="5"/>
      <c r="K323" s="5"/>
      <c r="L323" s="5"/>
      <c r="M323" s="5"/>
      <c r="N323" s="5"/>
      <c r="O323" s="5"/>
    </row>
    <row r="324" spans="1:15" x14ac:dyDescent="0.25">
      <c r="A324" s="5"/>
      <c r="B324" s="5"/>
      <c r="C324" s="5"/>
      <c r="D324" s="5"/>
      <c r="E324" s="5"/>
      <c r="F324" s="5"/>
      <c r="G324" s="5"/>
      <c r="H324" s="5"/>
      <c r="I324" s="5"/>
      <c r="J324" s="5"/>
      <c r="K324" s="5"/>
      <c r="L324" s="5"/>
      <c r="M324" s="5"/>
      <c r="N324" s="5"/>
      <c r="O324" s="5"/>
    </row>
  </sheetData>
  <sheetProtection algorithmName="SHA-512" hashValue="TJtgVHHr3QnwepeEOJZYcIS89MLOMvXiZy83aZwZhRrsws2oaUITsOhGoZXnQyj9CtsfeEhkmTTdB6OjcvV4bg==" saltValue="Mlrzh2UMr/2oPdM3q4auHg==" spinCount="100000" sheet="1" objects="1" scenarios="1" formatCells="0" formatColumns="0" formatRows="0"/>
  <autoFilter ref="A22:P303">
    <filterColumn colId="2">
      <filters blank="1">
        <filter val="1 015"/>
        <filter val="1 036"/>
        <filter val="1 060"/>
        <filter val="1 100"/>
        <filter val="1 145"/>
        <filter val="1 294"/>
        <filter val="1 339"/>
        <filter val="1 353"/>
        <filter val="1 363"/>
        <filter val="1 423"/>
        <filter val="1 439"/>
        <filter val="1 718"/>
        <filter val="1 776"/>
        <filter val="1 787"/>
        <filter val="1 820"/>
        <filter val="-1 820"/>
        <filter val="10 250"/>
        <filter val="10 745"/>
        <filter val="11 285"/>
        <filter val="11 426"/>
        <filter val="11 638"/>
        <filter val="111"/>
        <filter val="114 020"/>
        <filter val="12 204"/>
        <filter val="12 326"/>
        <filter val="12 791"/>
        <filter val="122"/>
        <filter val="143"/>
        <filter val="148 533"/>
        <filter val="148 670"/>
        <filter val="15 682"/>
        <filter val="15 714"/>
        <filter val="198"/>
        <filter val="2 260"/>
        <filter val="2 477"/>
        <filter val="2 615"/>
        <filter val="2 634"/>
        <filter val="21 278"/>
        <filter val="22 231"/>
        <filter val="22 357"/>
        <filter val="220"/>
        <filter val="23 417"/>
        <filter val="25 044"/>
        <filter val="256"/>
        <filter val="285"/>
        <filter val="3 473"/>
        <filter val="3 557"/>
        <filter val="3 608"/>
        <filter val="3 748"/>
        <filter val="3 985"/>
        <filter val="331"/>
        <filter val="34 513"/>
        <filter val="39 378"/>
        <filter val="395 109"/>
        <filter val="4 711"/>
        <filter val="4 716"/>
        <filter val="46 939"/>
        <filter val="473 580"/>
        <filter val="48 920"/>
        <filter val="5 211"/>
        <filter val="5 564"/>
        <filter val="5 681"/>
        <filter val="5 789"/>
        <filter val="50"/>
        <filter val="50 129"/>
        <filter val="57"/>
        <filter val="6 393"/>
        <filter val="622 113"/>
        <filter val="677"/>
        <filter val="7 305"/>
        <filter val="7 666"/>
        <filter val="713"/>
        <filter val="754"/>
        <filter val="770 783"/>
        <filter val="78 186"/>
        <filter val="781 635"/>
        <filter val="789"/>
        <filter val="794 200"/>
        <filter val="8 249"/>
        <filter val="800"/>
        <filter val="856"/>
        <filter val="922"/>
        <filter val="950"/>
        <filter val="99 163"/>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109.pielikums Jūrmalas pilsētas domes
2017.gada 30.janvāra saistošajiem noteikumiem Nr.10
(Protokols Nr.4, 1.punkts)
 </firstHeader>
    <firstFooter>&amp;L&amp;9&amp;D; &amp;T&amp;R&amp;9&amp;P (&amp;N)</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U322"/>
  <sheetViews>
    <sheetView view="pageLayout" zoomScaleNormal="90" workbookViewId="0">
      <selection activeCell="S13" sqref="S13"/>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1191</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7"/>
    </row>
    <row r="4" spans="1:17" ht="15.75"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474</v>
      </c>
      <c r="D6" s="1555"/>
      <c r="E6" s="1555"/>
      <c r="F6" s="1555"/>
      <c r="G6" s="1555"/>
      <c r="H6" s="1555"/>
      <c r="I6" s="1555"/>
      <c r="J6" s="1555"/>
      <c r="K6" s="1555"/>
      <c r="L6" s="1555"/>
      <c r="M6" s="1555"/>
      <c r="N6" s="1555"/>
      <c r="O6" s="1555"/>
      <c r="P6" s="1556"/>
      <c r="Q6" s="7"/>
    </row>
    <row r="7" spans="1:17" ht="12.75" x14ac:dyDescent="0.25">
      <c r="A7" s="13" t="s">
        <v>4</v>
      </c>
      <c r="B7" s="14"/>
      <c r="C7" s="1555" t="s">
        <v>1192</v>
      </c>
      <c r="D7" s="1555"/>
      <c r="E7" s="1555"/>
      <c r="F7" s="1555"/>
      <c r="G7" s="1555"/>
      <c r="H7" s="1555"/>
      <c r="I7" s="1555"/>
      <c r="J7" s="1555"/>
      <c r="K7" s="1555"/>
      <c r="L7" s="1555"/>
      <c r="M7" s="1555"/>
      <c r="N7" s="1555"/>
      <c r="O7" s="1555"/>
      <c r="P7" s="1556"/>
      <c r="Q7" s="7"/>
    </row>
    <row r="8" spans="1:17" x14ac:dyDescent="0.25">
      <c r="A8" s="8" t="s">
        <v>6</v>
      </c>
      <c r="B8" s="9"/>
      <c r="C8" s="1553" t="s">
        <v>1193</v>
      </c>
      <c r="D8" s="1553"/>
      <c r="E8" s="1553"/>
      <c r="F8" s="1553"/>
      <c r="G8" s="1553"/>
      <c r="H8" s="1553"/>
      <c r="I8" s="1553"/>
      <c r="J8" s="1553"/>
      <c r="K8" s="1553"/>
      <c r="L8" s="1553"/>
      <c r="M8" s="1553"/>
      <c r="N8" s="1553"/>
      <c r="O8" s="1553"/>
      <c r="P8" s="1554"/>
      <c r="Q8" s="7"/>
    </row>
    <row r="9" spans="1:17" x14ac:dyDescent="0.25">
      <c r="A9" s="8" t="s">
        <v>8</v>
      </c>
      <c r="B9" s="9"/>
      <c r="C9" s="1553" t="s">
        <v>333</v>
      </c>
      <c r="D9" s="1553"/>
      <c r="E9" s="1553"/>
      <c r="F9" s="1553"/>
      <c r="G9" s="1553"/>
      <c r="H9" s="1553"/>
      <c r="I9" s="1553"/>
      <c r="J9" s="1553"/>
      <c r="K9" s="1553"/>
      <c r="L9" s="1553"/>
      <c r="M9" s="1553"/>
      <c r="N9" s="1553"/>
      <c r="O9" s="1553"/>
      <c r="P9" s="1554"/>
      <c r="Q9" s="7"/>
    </row>
    <row r="10" spans="1:17" ht="24" customHeight="1" x14ac:dyDescent="0.25">
      <c r="A10" s="8" t="s">
        <v>10</v>
      </c>
      <c r="B10" s="9"/>
      <c r="C10" s="1555" t="s">
        <v>334</v>
      </c>
      <c r="D10" s="1555"/>
      <c r="E10" s="1555"/>
      <c r="F10" s="1555"/>
      <c r="G10" s="1555"/>
      <c r="H10" s="1555"/>
      <c r="I10" s="1555"/>
      <c r="J10" s="1555"/>
      <c r="K10" s="1555"/>
      <c r="L10" s="1555"/>
      <c r="M10" s="1555"/>
      <c r="N10" s="1555"/>
      <c r="O10" s="1555"/>
      <c r="P10" s="1556"/>
      <c r="Q10" s="7"/>
    </row>
    <row r="11" spans="1:17" x14ac:dyDescent="0.25">
      <c r="A11" s="8" t="s">
        <v>12</v>
      </c>
      <c r="B11" s="9"/>
      <c r="C11" s="1555" t="s">
        <v>1194</v>
      </c>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1195</v>
      </c>
      <c r="D13" s="1553"/>
      <c r="E13" s="1553"/>
      <c r="F13" s="1553"/>
      <c r="G13" s="1553"/>
      <c r="H13" s="1553"/>
      <c r="I13" s="1553"/>
      <c r="J13" s="1553"/>
      <c r="K13" s="1553"/>
      <c r="L13" s="1553"/>
      <c r="M13" s="1553"/>
      <c r="N13" s="1553"/>
      <c r="O13" s="1553"/>
      <c r="P13" s="1554"/>
      <c r="Q13" s="7"/>
    </row>
    <row r="14" spans="1:17" x14ac:dyDescent="0.25">
      <c r="A14" s="8"/>
      <c r="B14" s="9" t="s">
        <v>17</v>
      </c>
      <c r="C14" s="1553" t="s">
        <v>1196</v>
      </c>
      <c r="D14" s="1553"/>
      <c r="E14" s="1553"/>
      <c r="F14" s="1553"/>
      <c r="G14" s="1553"/>
      <c r="H14" s="1553"/>
      <c r="I14" s="1553"/>
      <c r="J14" s="1553"/>
      <c r="K14" s="1553"/>
      <c r="L14" s="1553"/>
      <c r="M14" s="1553"/>
      <c r="N14" s="1553"/>
      <c r="O14" s="1553"/>
      <c r="P14" s="1554"/>
      <c r="Q14" s="7"/>
    </row>
    <row r="15" spans="1:17" x14ac:dyDescent="0.25">
      <c r="A15" s="8"/>
      <c r="B15" s="9" t="s">
        <v>19</v>
      </c>
      <c r="C15" s="1553"/>
      <c r="D15" s="1553"/>
      <c r="E15" s="1553"/>
      <c r="F15" s="1553"/>
      <c r="G15" s="1553"/>
      <c r="H15" s="1553"/>
      <c r="I15" s="1553"/>
      <c r="J15" s="1553"/>
      <c r="K15" s="1553"/>
      <c r="L15" s="1553"/>
      <c r="M15" s="1553"/>
      <c r="N15" s="1553"/>
      <c r="O15" s="1553"/>
      <c r="P15" s="1554"/>
      <c r="Q15" s="7"/>
    </row>
    <row r="16" spans="1:17" x14ac:dyDescent="0.25">
      <c r="A16" s="8"/>
      <c r="B16" s="9" t="s">
        <v>20</v>
      </c>
      <c r="C16" s="1553" t="s">
        <v>1197</v>
      </c>
      <c r="D16" s="1553"/>
      <c r="E16" s="1553"/>
      <c r="F16" s="1553"/>
      <c r="G16" s="1553"/>
      <c r="H16" s="1553"/>
      <c r="I16" s="1553"/>
      <c r="J16" s="1553"/>
      <c r="K16" s="1553"/>
      <c r="L16" s="1553"/>
      <c r="M16" s="1553"/>
      <c r="N16" s="1553"/>
      <c r="O16" s="1553"/>
      <c r="P16" s="1554"/>
      <c r="Q16" s="7"/>
    </row>
    <row r="17" spans="1:21" x14ac:dyDescent="0.25">
      <c r="A17" s="8"/>
      <c r="B17" s="9" t="s">
        <v>22</v>
      </c>
      <c r="C17" s="1553" t="s">
        <v>1198</v>
      </c>
      <c r="D17" s="1553"/>
      <c r="E17" s="1553"/>
      <c r="F17" s="1553"/>
      <c r="G17" s="1553"/>
      <c r="H17" s="1553"/>
      <c r="I17" s="1553"/>
      <c r="J17" s="1553"/>
      <c r="K17" s="1553"/>
      <c r="L17" s="1553"/>
      <c r="M17" s="1553"/>
      <c r="N17" s="1553"/>
      <c r="O17" s="1553"/>
      <c r="P17" s="1554"/>
      <c r="Q17" s="7"/>
    </row>
    <row r="18" spans="1:21" x14ac:dyDescent="0.25">
      <c r="A18" s="18"/>
      <c r="B18" s="19"/>
      <c r="C18" s="1569"/>
      <c r="D18" s="1569"/>
      <c r="E18" s="1569"/>
      <c r="F18" s="1569"/>
      <c r="G18" s="1569"/>
      <c r="H18" s="1569"/>
      <c r="I18" s="1569"/>
      <c r="J18" s="1569"/>
      <c r="K18" s="1569"/>
      <c r="L18" s="1569"/>
      <c r="M18" s="1569"/>
      <c r="N18" s="1569"/>
      <c r="O18" s="1569"/>
      <c r="P18" s="1570"/>
      <c r="Q18" s="7"/>
    </row>
    <row r="19" spans="1:21"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21"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21" s="21" customFormat="1" ht="70.5" customHeight="1" thickBot="1" x14ac:dyDescent="0.3">
      <c r="A21" s="1573"/>
      <c r="B21" s="1576"/>
      <c r="C21" s="1581"/>
      <c r="D21" s="1566"/>
      <c r="E21" s="1568"/>
      <c r="F21" s="1564"/>
      <c r="G21" s="1566"/>
      <c r="H21" s="1568"/>
      <c r="I21" s="1564"/>
      <c r="J21" s="1566"/>
      <c r="K21" s="1568"/>
      <c r="L21" s="1564"/>
      <c r="M21" s="1566"/>
      <c r="N21" s="1568"/>
      <c r="O21" s="1564"/>
      <c r="P21" s="1576"/>
    </row>
    <row r="22" spans="1:21" s="21" customFormat="1" ht="9" thickTop="1" x14ac:dyDescent="0.25">
      <c r="A22" s="22" t="s">
        <v>40</v>
      </c>
      <c r="B22" s="22">
        <v>2</v>
      </c>
      <c r="C22" s="23">
        <v>3</v>
      </c>
      <c r="D22" s="24">
        <v>4</v>
      </c>
      <c r="E22" s="25">
        <v>5</v>
      </c>
      <c r="F22" s="22">
        <v>6</v>
      </c>
      <c r="G22" s="24">
        <v>7</v>
      </c>
      <c r="H22" s="26">
        <v>8</v>
      </c>
      <c r="I22" s="27">
        <v>9</v>
      </c>
      <c r="J22" s="24">
        <v>10</v>
      </c>
      <c r="K22" s="28">
        <v>11</v>
      </c>
      <c r="L22" s="27">
        <v>12</v>
      </c>
      <c r="M22" s="28">
        <v>13</v>
      </c>
      <c r="N22" s="29">
        <v>14</v>
      </c>
      <c r="O22" s="27">
        <v>15</v>
      </c>
      <c r="P22" s="27">
        <v>16</v>
      </c>
    </row>
    <row r="23" spans="1:21" s="41" customFormat="1" x14ac:dyDescent="0.25">
      <c r="A23" s="30"/>
      <c r="B23" s="31" t="s">
        <v>41</v>
      </c>
      <c r="C23" s="32"/>
      <c r="D23" s="33"/>
      <c r="E23" s="34"/>
      <c r="F23" s="35"/>
      <c r="G23" s="33"/>
      <c r="H23" s="36"/>
      <c r="I23" s="37"/>
      <c r="J23" s="33"/>
      <c r="K23" s="38"/>
      <c r="L23" s="37"/>
      <c r="M23" s="38"/>
      <c r="N23" s="39"/>
      <c r="O23" s="37"/>
      <c r="P23" s="40"/>
    </row>
    <row r="24" spans="1:21" s="41" customFormat="1" ht="12.75" thickBot="1" x14ac:dyDescent="0.3">
      <c r="A24" s="42"/>
      <c r="B24" s="43" t="s">
        <v>42</v>
      </c>
      <c r="C24" s="44">
        <f>F24+I24+L24+O24</f>
        <v>583000</v>
      </c>
      <c r="D24" s="45">
        <f>SUM(D25,D28,D29,D45,D46)</f>
        <v>278474</v>
      </c>
      <c r="E24" s="46">
        <f>SUM(E25,E28,E29,E45,E46)</f>
        <v>0</v>
      </c>
      <c r="F24" s="47">
        <f t="shared" ref="F24:F29" si="0">D24+E24</f>
        <v>278474</v>
      </c>
      <c r="G24" s="45">
        <f>SUM(G25,G28,G46)</f>
        <v>299456</v>
      </c>
      <c r="H24" s="48">
        <f>SUM(H25,H28,H46)</f>
        <v>0</v>
      </c>
      <c r="I24" s="49">
        <f>G24+H24</f>
        <v>299456</v>
      </c>
      <c r="J24" s="45">
        <f>SUM(J25,J30,J46)</f>
        <v>5050</v>
      </c>
      <c r="K24" s="48">
        <f>SUM(K25,K30,K46)</f>
        <v>0</v>
      </c>
      <c r="L24" s="49">
        <f>J24+K24</f>
        <v>5050</v>
      </c>
      <c r="M24" s="50">
        <f>SUM(M25,M48)</f>
        <v>20</v>
      </c>
      <c r="N24" s="51">
        <f>SUM(N25,N48)</f>
        <v>0</v>
      </c>
      <c r="O24" s="49">
        <f>M24+N24</f>
        <v>20</v>
      </c>
      <c r="P24" s="52"/>
      <c r="R24" s="53"/>
      <c r="S24" s="53"/>
      <c r="T24" s="53"/>
      <c r="U24" s="53"/>
    </row>
    <row r="25" spans="1:21" ht="12.75" thickTop="1" x14ac:dyDescent="0.25">
      <c r="A25" s="54"/>
      <c r="B25" s="55" t="s">
        <v>43</v>
      </c>
      <c r="C25" s="56">
        <f>F25+I25+L25+O25</f>
        <v>1219</v>
      </c>
      <c r="D25" s="57">
        <f>SUM(D26:D27)</f>
        <v>0</v>
      </c>
      <c r="E25" s="58">
        <f>SUM(E26:E27)</f>
        <v>0</v>
      </c>
      <c r="F25" s="59">
        <f t="shared" si="0"/>
        <v>0</v>
      </c>
      <c r="G25" s="57">
        <f>SUM(G26:G27)</f>
        <v>0</v>
      </c>
      <c r="H25" s="60">
        <f>SUM(H26:H27)</f>
        <v>0</v>
      </c>
      <c r="I25" s="61">
        <f>G25+H25</f>
        <v>0</v>
      </c>
      <c r="J25" s="57">
        <f>SUM(J26:J27)</f>
        <v>1219</v>
      </c>
      <c r="K25" s="60">
        <f>SUM(K26:K27)</f>
        <v>0</v>
      </c>
      <c r="L25" s="61">
        <f>J25+K25</f>
        <v>1219</v>
      </c>
      <c r="M25" s="62">
        <f>SUM(M26:M27)</f>
        <v>0</v>
      </c>
      <c r="N25" s="63">
        <f>SUM(N26:N27)</f>
        <v>0</v>
      </c>
      <c r="O25" s="61">
        <f>M25+N25</f>
        <v>0</v>
      </c>
      <c r="P25" s="64"/>
      <c r="R25" s="53"/>
      <c r="S25" s="53"/>
      <c r="T25" s="53"/>
      <c r="U25" s="53"/>
    </row>
    <row r="26" spans="1:21" hidden="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c r="R26" s="53"/>
      <c r="S26" s="53"/>
      <c r="T26" s="53"/>
      <c r="U26" s="53"/>
    </row>
    <row r="27" spans="1:21" x14ac:dyDescent="0.25">
      <c r="A27" s="75"/>
      <c r="B27" s="76" t="s">
        <v>45</v>
      </c>
      <c r="C27" s="77">
        <f>F27+I27+L27+O27</f>
        <v>1219</v>
      </c>
      <c r="D27" s="78"/>
      <c r="E27" s="79"/>
      <c r="F27" s="80">
        <f t="shared" si="0"/>
        <v>0</v>
      </c>
      <c r="G27" s="78"/>
      <c r="H27" s="81"/>
      <c r="I27" s="82">
        <f>G27+H27</f>
        <v>0</v>
      </c>
      <c r="J27" s="78">
        <v>1219</v>
      </c>
      <c r="K27" s="81"/>
      <c r="L27" s="82">
        <f>J27+K27</f>
        <v>1219</v>
      </c>
      <c r="M27" s="83"/>
      <c r="N27" s="84"/>
      <c r="O27" s="82">
        <f>M27+N27</f>
        <v>0</v>
      </c>
      <c r="P27" s="85"/>
      <c r="R27" s="53"/>
      <c r="S27" s="53"/>
      <c r="T27" s="53"/>
      <c r="U27" s="53"/>
    </row>
    <row r="28" spans="1:21" s="41" customFormat="1" ht="24.75" thickBot="1" x14ac:dyDescent="0.3">
      <c r="A28" s="86">
        <v>19300</v>
      </c>
      <c r="B28" s="86" t="s">
        <v>46</v>
      </c>
      <c r="C28" s="87">
        <f>SUM(F28,I28)</f>
        <v>577930</v>
      </c>
      <c r="D28" s="88">
        <v>278474</v>
      </c>
      <c r="E28" s="89"/>
      <c r="F28" s="90">
        <f t="shared" si="0"/>
        <v>278474</v>
      </c>
      <c r="G28" s="88">
        <v>299456</v>
      </c>
      <c r="H28" s="91"/>
      <c r="I28" s="92">
        <f>G28+H28</f>
        <v>299456</v>
      </c>
      <c r="J28" s="93" t="s">
        <v>47</v>
      </c>
      <c r="K28" s="94" t="s">
        <v>47</v>
      </c>
      <c r="L28" s="95" t="s">
        <v>47</v>
      </c>
      <c r="M28" s="96" t="s">
        <v>47</v>
      </c>
      <c r="N28" s="97" t="s">
        <v>47</v>
      </c>
      <c r="O28" s="95" t="s">
        <v>47</v>
      </c>
      <c r="P28" s="98"/>
      <c r="R28" s="53"/>
      <c r="S28" s="53"/>
      <c r="T28" s="53"/>
      <c r="U28" s="53"/>
    </row>
    <row r="29" spans="1:21" s="41" customFormat="1" ht="39" hidden="1" customHeight="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c r="R29" s="53"/>
      <c r="S29" s="53"/>
      <c r="T29" s="53"/>
      <c r="U29" s="53"/>
    </row>
    <row r="30" spans="1:21" s="41" customFormat="1" ht="36.75" thickTop="1" x14ac:dyDescent="0.25">
      <c r="A30" s="99">
        <v>21300</v>
      </c>
      <c r="B30" s="99" t="s">
        <v>49</v>
      </c>
      <c r="C30" s="100">
        <f t="shared" ref="C30:C44" si="1">L30</f>
        <v>3831</v>
      </c>
      <c r="D30" s="104" t="s">
        <v>47</v>
      </c>
      <c r="E30" s="110" t="s">
        <v>47</v>
      </c>
      <c r="F30" s="111" t="s">
        <v>47</v>
      </c>
      <c r="G30" s="104" t="s">
        <v>47</v>
      </c>
      <c r="H30" s="105" t="s">
        <v>47</v>
      </c>
      <c r="I30" s="106" t="s">
        <v>47</v>
      </c>
      <c r="J30" s="112">
        <f>SUM(J31,J35,J37,J40)</f>
        <v>3831</v>
      </c>
      <c r="K30" s="113">
        <f>SUM(K31,K35,K37,K40)</f>
        <v>0</v>
      </c>
      <c r="L30" s="114">
        <f t="shared" ref="L30:L44" si="2">J30+K30</f>
        <v>3831</v>
      </c>
      <c r="M30" s="107" t="s">
        <v>47</v>
      </c>
      <c r="N30" s="108" t="s">
        <v>47</v>
      </c>
      <c r="O30" s="106" t="s">
        <v>47</v>
      </c>
      <c r="P30" s="109"/>
      <c r="R30" s="53"/>
      <c r="S30" s="53"/>
      <c r="T30" s="53"/>
      <c r="U30" s="53"/>
    </row>
    <row r="31" spans="1:21" s="41" customFormat="1" ht="24" hidden="1" x14ac:dyDescent="0.25">
      <c r="A31" s="115">
        <v>21350</v>
      </c>
      <c r="B31" s="99" t="s">
        <v>50</v>
      </c>
      <c r="C31" s="100">
        <f t="shared" si="1"/>
        <v>0</v>
      </c>
      <c r="D31" s="104" t="s">
        <v>47</v>
      </c>
      <c r="E31" s="108" t="s">
        <v>47</v>
      </c>
      <c r="F31" s="140" t="s">
        <v>47</v>
      </c>
      <c r="G31" s="104" t="s">
        <v>47</v>
      </c>
      <c r="H31" s="105" t="s">
        <v>47</v>
      </c>
      <c r="I31" s="106" t="s">
        <v>47</v>
      </c>
      <c r="J31" s="112">
        <f>SUM(J32:J34)</f>
        <v>0</v>
      </c>
      <c r="K31" s="113">
        <f>SUM(K32:K34)</f>
        <v>0</v>
      </c>
      <c r="L31" s="114">
        <f t="shared" si="2"/>
        <v>0</v>
      </c>
      <c r="M31" s="107" t="s">
        <v>47</v>
      </c>
      <c r="N31" s="108" t="s">
        <v>47</v>
      </c>
      <c r="O31" s="106" t="s">
        <v>47</v>
      </c>
      <c r="P31" s="109"/>
      <c r="R31" s="53"/>
      <c r="S31" s="53"/>
      <c r="T31" s="53"/>
      <c r="U31" s="53"/>
    </row>
    <row r="32" spans="1:21" hidden="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c r="R32" s="53"/>
      <c r="S32" s="53"/>
      <c r="T32" s="53"/>
      <c r="U32" s="53"/>
    </row>
    <row r="33" spans="1:21" hidden="1" x14ac:dyDescent="0.25">
      <c r="A33" s="75">
        <v>21352</v>
      </c>
      <c r="B33" s="127" t="s">
        <v>52</v>
      </c>
      <c r="C33" s="128">
        <f t="shared" si="1"/>
        <v>0</v>
      </c>
      <c r="D33" s="129" t="s">
        <v>47</v>
      </c>
      <c r="E33" s="138" t="s">
        <v>47</v>
      </c>
      <c r="F33" s="139" t="s">
        <v>47</v>
      </c>
      <c r="G33" s="129" t="s">
        <v>47</v>
      </c>
      <c r="H33" s="132" t="s">
        <v>47</v>
      </c>
      <c r="I33" s="133" t="s">
        <v>47</v>
      </c>
      <c r="J33" s="134"/>
      <c r="K33" s="135"/>
      <c r="L33" s="136">
        <f t="shared" si="2"/>
        <v>0</v>
      </c>
      <c r="M33" s="137" t="s">
        <v>47</v>
      </c>
      <c r="N33" s="138" t="s">
        <v>47</v>
      </c>
      <c r="O33" s="133" t="s">
        <v>47</v>
      </c>
      <c r="P33" s="85"/>
      <c r="R33" s="53"/>
      <c r="S33" s="53"/>
      <c r="T33" s="53"/>
      <c r="U33" s="53"/>
    </row>
    <row r="34" spans="1:21" ht="24" hidden="1" x14ac:dyDescent="0.25">
      <c r="A34" s="75">
        <v>21359</v>
      </c>
      <c r="B34" s="127" t="s">
        <v>53</v>
      </c>
      <c r="C34" s="128">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c r="R34" s="53"/>
      <c r="S34" s="53"/>
      <c r="T34" s="53"/>
      <c r="U34" s="53"/>
    </row>
    <row r="35" spans="1:21" s="41" customFormat="1" ht="36" hidden="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c r="R35" s="53"/>
      <c r="S35" s="53"/>
      <c r="T35" s="53"/>
      <c r="U35" s="53"/>
    </row>
    <row r="36" spans="1:21" ht="36" hidden="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c r="R36" s="53"/>
      <c r="S36" s="53"/>
      <c r="T36" s="53"/>
      <c r="U36" s="53"/>
    </row>
    <row r="37" spans="1:21" s="41" customFormat="1" hidden="1" x14ac:dyDescent="0.25">
      <c r="A37" s="115">
        <v>21380</v>
      </c>
      <c r="B37" s="99" t="s">
        <v>56</v>
      </c>
      <c r="C37" s="100">
        <f t="shared" si="1"/>
        <v>0</v>
      </c>
      <c r="D37" s="104" t="s">
        <v>47</v>
      </c>
      <c r="E37" s="108" t="s">
        <v>47</v>
      </c>
      <c r="F37" s="140" t="s">
        <v>47</v>
      </c>
      <c r="G37" s="104" t="s">
        <v>47</v>
      </c>
      <c r="H37" s="105" t="s">
        <v>47</v>
      </c>
      <c r="I37" s="106" t="s">
        <v>47</v>
      </c>
      <c r="J37" s="112">
        <f>SUM(J38:J39)</f>
        <v>0</v>
      </c>
      <c r="K37" s="113">
        <f>SUM(K38:K39)</f>
        <v>0</v>
      </c>
      <c r="L37" s="114">
        <f t="shared" si="2"/>
        <v>0</v>
      </c>
      <c r="M37" s="107" t="s">
        <v>47</v>
      </c>
      <c r="N37" s="108" t="s">
        <v>47</v>
      </c>
      <c r="O37" s="106" t="s">
        <v>47</v>
      </c>
      <c r="P37" s="109"/>
      <c r="R37" s="53"/>
      <c r="S37" s="53"/>
      <c r="T37" s="53"/>
      <c r="U37" s="53"/>
    </row>
    <row r="38" spans="1:21" hidden="1" x14ac:dyDescent="0.25">
      <c r="A38" s="66">
        <v>21381</v>
      </c>
      <c r="B38" s="116" t="s">
        <v>57</v>
      </c>
      <c r="C38" s="117">
        <f t="shared" si="1"/>
        <v>0</v>
      </c>
      <c r="D38" s="118" t="s">
        <v>47</v>
      </c>
      <c r="E38" s="119" t="s">
        <v>47</v>
      </c>
      <c r="F38" s="120" t="s">
        <v>47</v>
      </c>
      <c r="G38" s="118" t="s">
        <v>47</v>
      </c>
      <c r="H38" s="121" t="s">
        <v>47</v>
      </c>
      <c r="I38" s="122" t="s">
        <v>47</v>
      </c>
      <c r="J38" s="123"/>
      <c r="K38" s="124"/>
      <c r="L38" s="125">
        <f t="shared" si="2"/>
        <v>0</v>
      </c>
      <c r="M38" s="126" t="s">
        <v>47</v>
      </c>
      <c r="N38" s="119" t="s">
        <v>47</v>
      </c>
      <c r="O38" s="122" t="s">
        <v>47</v>
      </c>
      <c r="P38" s="74"/>
      <c r="R38" s="53"/>
      <c r="S38" s="53"/>
      <c r="T38" s="53"/>
      <c r="U38" s="53"/>
    </row>
    <row r="39" spans="1:21" ht="24" hidden="1" x14ac:dyDescent="0.25">
      <c r="A39" s="76">
        <v>21383</v>
      </c>
      <c r="B39" s="127" t="s">
        <v>58</v>
      </c>
      <c r="C39" s="128">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c r="R39" s="53"/>
      <c r="S39" s="53"/>
      <c r="T39" s="53"/>
      <c r="U39" s="53"/>
    </row>
    <row r="40" spans="1:21" s="41" customFormat="1" ht="24" x14ac:dyDescent="0.25">
      <c r="A40" s="115">
        <v>21390</v>
      </c>
      <c r="B40" s="99" t="s">
        <v>59</v>
      </c>
      <c r="C40" s="100">
        <f t="shared" si="1"/>
        <v>3831</v>
      </c>
      <c r="D40" s="104" t="s">
        <v>47</v>
      </c>
      <c r="E40" s="110" t="s">
        <v>47</v>
      </c>
      <c r="F40" s="111" t="s">
        <v>47</v>
      </c>
      <c r="G40" s="104" t="s">
        <v>47</v>
      </c>
      <c r="H40" s="105" t="s">
        <v>47</v>
      </c>
      <c r="I40" s="106" t="s">
        <v>47</v>
      </c>
      <c r="J40" s="112">
        <f>SUM(J41:J44)</f>
        <v>3831</v>
      </c>
      <c r="K40" s="113">
        <f>SUM(K41:K44)</f>
        <v>0</v>
      </c>
      <c r="L40" s="114">
        <f t="shared" si="2"/>
        <v>3831</v>
      </c>
      <c r="M40" s="107" t="s">
        <v>47</v>
      </c>
      <c r="N40" s="108" t="s">
        <v>47</v>
      </c>
      <c r="O40" s="106" t="s">
        <v>47</v>
      </c>
      <c r="P40" s="109"/>
      <c r="R40" s="53"/>
      <c r="S40" s="53"/>
      <c r="T40" s="53"/>
      <c r="U40" s="53"/>
    </row>
    <row r="41" spans="1:21" ht="24" hidden="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c r="R41" s="53"/>
      <c r="S41" s="53"/>
      <c r="T41" s="53"/>
      <c r="U41" s="53"/>
    </row>
    <row r="42" spans="1:21" hidden="1" x14ac:dyDescent="0.25">
      <c r="A42" s="76">
        <v>21393</v>
      </c>
      <c r="B42" s="127" t="s">
        <v>61</v>
      </c>
      <c r="C42" s="128">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c r="R42" s="53"/>
      <c r="S42" s="53"/>
      <c r="T42" s="53"/>
      <c r="U42" s="53"/>
    </row>
    <row r="43" spans="1:21" hidden="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c r="R43" s="53"/>
      <c r="S43" s="53"/>
      <c r="T43" s="53"/>
      <c r="U43" s="53"/>
    </row>
    <row r="44" spans="1:21" ht="33.75" customHeight="1" x14ac:dyDescent="0.25">
      <c r="A44" s="76">
        <v>21399</v>
      </c>
      <c r="B44" s="127" t="s">
        <v>63</v>
      </c>
      <c r="C44" s="128">
        <f t="shared" si="1"/>
        <v>3831</v>
      </c>
      <c r="D44" s="129" t="s">
        <v>47</v>
      </c>
      <c r="E44" s="130" t="s">
        <v>47</v>
      </c>
      <c r="F44" s="131" t="s">
        <v>47</v>
      </c>
      <c r="G44" s="129" t="s">
        <v>47</v>
      </c>
      <c r="H44" s="132" t="s">
        <v>47</v>
      </c>
      <c r="I44" s="133" t="s">
        <v>47</v>
      </c>
      <c r="J44" s="134">
        <v>3831</v>
      </c>
      <c r="K44" s="135"/>
      <c r="L44" s="136">
        <f t="shared" si="2"/>
        <v>3831</v>
      </c>
      <c r="M44" s="137" t="s">
        <v>47</v>
      </c>
      <c r="N44" s="138" t="s">
        <v>47</v>
      </c>
      <c r="O44" s="133" t="s">
        <v>47</v>
      </c>
      <c r="P44" s="85"/>
      <c r="R44" s="53"/>
      <c r="S44" s="53"/>
      <c r="T44" s="53"/>
      <c r="U44" s="53"/>
    </row>
    <row r="45" spans="1:21" s="41" customFormat="1" ht="34.5" hidden="1" customHeight="1" x14ac:dyDescent="0.25">
      <c r="A45" s="115">
        <v>21420</v>
      </c>
      <c r="B45" s="99" t="s">
        <v>64</v>
      </c>
      <c r="C45" s="156">
        <f>F45</f>
        <v>0</v>
      </c>
      <c r="D45" s="157"/>
      <c r="E45" s="158"/>
      <c r="F45" s="103">
        <f>D45+E45</f>
        <v>0</v>
      </c>
      <c r="G45" s="104" t="s">
        <v>47</v>
      </c>
      <c r="H45" s="105" t="s">
        <v>47</v>
      </c>
      <c r="I45" s="106" t="s">
        <v>47</v>
      </c>
      <c r="J45" s="104" t="s">
        <v>47</v>
      </c>
      <c r="K45" s="105" t="s">
        <v>47</v>
      </c>
      <c r="L45" s="106" t="s">
        <v>47</v>
      </c>
      <c r="M45" s="107" t="s">
        <v>47</v>
      </c>
      <c r="N45" s="108" t="s">
        <v>47</v>
      </c>
      <c r="O45" s="106" t="s">
        <v>47</v>
      </c>
      <c r="P45" s="109"/>
      <c r="R45" s="53"/>
      <c r="S45" s="53"/>
      <c r="T45" s="53"/>
      <c r="U45" s="53"/>
    </row>
    <row r="46" spans="1:21" s="41" customFormat="1" ht="24" hidden="1" x14ac:dyDescent="0.25">
      <c r="A46" s="159">
        <v>21490</v>
      </c>
      <c r="B46" s="160" t="s">
        <v>65</v>
      </c>
      <c r="C46" s="156">
        <f>F46+I46+L46</f>
        <v>0</v>
      </c>
      <c r="D46" s="161">
        <f>D47</f>
        <v>0</v>
      </c>
      <c r="E46" s="162">
        <f>E47</f>
        <v>0</v>
      </c>
      <c r="F46" s="163">
        <f>D46+E46</f>
        <v>0</v>
      </c>
      <c r="G46" s="161">
        <f>G47</f>
        <v>0</v>
      </c>
      <c r="H46" s="164">
        <f t="shared" ref="H46:K46" si="3">H47</f>
        <v>0</v>
      </c>
      <c r="I46" s="165">
        <f>G46+H46</f>
        <v>0</v>
      </c>
      <c r="J46" s="161">
        <f>J47</f>
        <v>0</v>
      </c>
      <c r="K46" s="164">
        <f t="shared" si="3"/>
        <v>0</v>
      </c>
      <c r="L46" s="165">
        <f>J46+K46</f>
        <v>0</v>
      </c>
      <c r="M46" s="107" t="s">
        <v>47</v>
      </c>
      <c r="N46" s="108" t="s">
        <v>47</v>
      </c>
      <c r="O46" s="106" t="s">
        <v>47</v>
      </c>
      <c r="P46" s="109"/>
      <c r="R46" s="53"/>
      <c r="S46" s="53"/>
      <c r="T46" s="53"/>
      <c r="U46" s="53"/>
    </row>
    <row r="47" spans="1:21" s="41" customFormat="1" ht="24" hidden="1" x14ac:dyDescent="0.25">
      <c r="A47" s="76">
        <v>21499</v>
      </c>
      <c r="B47" s="127" t="s">
        <v>66</v>
      </c>
      <c r="C47" s="166">
        <f>F47+I47+L47</f>
        <v>0</v>
      </c>
      <c r="D47" s="68"/>
      <c r="E47" s="69"/>
      <c r="F47" s="70">
        <f>D47+E47</f>
        <v>0</v>
      </c>
      <c r="G47" s="167"/>
      <c r="H47" s="71"/>
      <c r="I47" s="72">
        <f>G47+H47</f>
        <v>0</v>
      </c>
      <c r="J47" s="68"/>
      <c r="K47" s="71"/>
      <c r="L47" s="72">
        <f>J47+K47</f>
        <v>0</v>
      </c>
      <c r="M47" s="152" t="s">
        <v>47</v>
      </c>
      <c r="N47" s="145" t="s">
        <v>47</v>
      </c>
      <c r="O47" s="148" t="s">
        <v>47</v>
      </c>
      <c r="P47" s="153"/>
      <c r="R47" s="53"/>
      <c r="S47" s="53"/>
      <c r="T47" s="53"/>
      <c r="U47" s="53"/>
    </row>
    <row r="48" spans="1:21" ht="24" x14ac:dyDescent="0.25">
      <c r="A48" s="168">
        <v>23000</v>
      </c>
      <c r="B48" s="169" t="s">
        <v>67</v>
      </c>
      <c r="C48" s="156">
        <f>O48</f>
        <v>20</v>
      </c>
      <c r="D48" s="170" t="s">
        <v>47</v>
      </c>
      <c r="E48" s="669" t="s">
        <v>47</v>
      </c>
      <c r="F48" s="907" t="s">
        <v>47</v>
      </c>
      <c r="G48" s="170" t="s">
        <v>47</v>
      </c>
      <c r="H48" s="173" t="s">
        <v>47</v>
      </c>
      <c r="I48" s="174" t="s">
        <v>47</v>
      </c>
      <c r="J48" s="170" t="s">
        <v>47</v>
      </c>
      <c r="K48" s="173" t="s">
        <v>47</v>
      </c>
      <c r="L48" s="174" t="s">
        <v>47</v>
      </c>
      <c r="M48" s="175">
        <f>SUM(M49:M50)</f>
        <v>20</v>
      </c>
      <c r="N48" s="176">
        <f>SUM(N49:N50)</f>
        <v>0</v>
      </c>
      <c r="O48" s="177">
        <f>M48+N48</f>
        <v>20</v>
      </c>
      <c r="P48" s="109"/>
      <c r="R48" s="53"/>
      <c r="S48" s="53"/>
      <c r="T48" s="53"/>
      <c r="U48" s="53"/>
    </row>
    <row r="49" spans="1:21" ht="24" hidden="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c r="R49" s="53"/>
      <c r="S49" s="53"/>
      <c r="T49" s="53"/>
      <c r="U49" s="53"/>
    </row>
    <row r="50" spans="1:21" ht="24" x14ac:dyDescent="0.25">
      <c r="A50" s="178">
        <v>23510</v>
      </c>
      <c r="B50" s="179" t="s">
        <v>69</v>
      </c>
      <c r="C50" s="180">
        <f>O50</f>
        <v>20</v>
      </c>
      <c r="D50" s="181" t="s">
        <v>47</v>
      </c>
      <c r="E50" s="674" t="s">
        <v>47</v>
      </c>
      <c r="F50" s="908" t="s">
        <v>47</v>
      </c>
      <c r="G50" s="181" t="s">
        <v>47</v>
      </c>
      <c r="H50" s="184" t="s">
        <v>47</v>
      </c>
      <c r="I50" s="185" t="s">
        <v>47</v>
      </c>
      <c r="J50" s="181" t="s">
        <v>47</v>
      </c>
      <c r="K50" s="184" t="s">
        <v>47</v>
      </c>
      <c r="L50" s="185" t="s">
        <v>47</v>
      </c>
      <c r="M50" s="186">
        <v>20</v>
      </c>
      <c r="N50" s="187"/>
      <c r="O50" s="188">
        <f>M50+N50</f>
        <v>20</v>
      </c>
      <c r="P50" s="189"/>
      <c r="R50" s="53"/>
      <c r="S50" s="53"/>
      <c r="T50" s="53"/>
      <c r="U50" s="53"/>
    </row>
    <row r="51" spans="1:21" x14ac:dyDescent="0.25">
      <c r="A51" s="190"/>
      <c r="B51" s="179"/>
      <c r="C51" s="191"/>
      <c r="D51" s="192"/>
      <c r="E51" s="193"/>
      <c r="F51" s="194"/>
      <c r="G51" s="192"/>
      <c r="H51" s="195"/>
      <c r="I51" s="185"/>
      <c r="J51" s="196"/>
      <c r="K51" s="197"/>
      <c r="L51" s="188"/>
      <c r="M51" s="186"/>
      <c r="N51" s="187"/>
      <c r="O51" s="188"/>
      <c r="P51" s="189"/>
      <c r="R51" s="53"/>
      <c r="S51" s="53"/>
      <c r="T51" s="53"/>
      <c r="U51" s="53"/>
    </row>
    <row r="52" spans="1:21" s="41" customFormat="1" x14ac:dyDescent="0.25">
      <c r="A52" s="198"/>
      <c r="B52" s="199" t="s">
        <v>70</v>
      </c>
      <c r="C52" s="200"/>
      <c r="D52" s="201"/>
      <c r="E52" s="202"/>
      <c r="F52" s="203"/>
      <c r="G52" s="201"/>
      <c r="H52" s="204"/>
      <c r="I52" s="205"/>
      <c r="J52" s="201"/>
      <c r="K52" s="204"/>
      <c r="L52" s="205"/>
      <c r="M52" s="206"/>
      <c r="N52" s="207"/>
      <c r="O52" s="205"/>
      <c r="P52" s="208"/>
      <c r="R52" s="53"/>
      <c r="S52" s="53"/>
      <c r="T52" s="53"/>
      <c r="U52" s="53"/>
    </row>
    <row r="53" spans="1:21" s="41" customFormat="1" ht="12.75" thickBot="1" x14ac:dyDescent="0.3">
      <c r="A53" s="209"/>
      <c r="B53" s="42" t="s">
        <v>71</v>
      </c>
      <c r="C53" s="210">
        <f t="shared" ref="C53:C116" si="4">F53+I53+L53+O53</f>
        <v>583000</v>
      </c>
      <c r="D53" s="211">
        <f>SUM(D54,D284)</f>
        <v>278474</v>
      </c>
      <c r="E53" s="212">
        <f>SUM(E54,E284)</f>
        <v>0</v>
      </c>
      <c r="F53" s="213">
        <f t="shared" ref="F53:F117" si="5">D53+E53</f>
        <v>278474</v>
      </c>
      <c r="G53" s="211">
        <f>SUM(G54,G284)</f>
        <v>299456</v>
      </c>
      <c r="H53" s="214">
        <f>SUM(H54,H284)</f>
        <v>0</v>
      </c>
      <c r="I53" s="215">
        <f t="shared" ref="I53:I117" si="6">G53+H53</f>
        <v>299456</v>
      </c>
      <c r="J53" s="211">
        <f>SUM(J54,J284)</f>
        <v>5050</v>
      </c>
      <c r="K53" s="214">
        <f>SUM(K54,K284)</f>
        <v>0</v>
      </c>
      <c r="L53" s="215">
        <f t="shared" ref="L53:L117" si="7">J53+K53</f>
        <v>5050</v>
      </c>
      <c r="M53" s="216">
        <f>SUM(M54,M284)</f>
        <v>20</v>
      </c>
      <c r="N53" s="217">
        <f>SUM(N54,N284)</f>
        <v>0</v>
      </c>
      <c r="O53" s="215">
        <f t="shared" ref="O53:O117" si="8">M53+N53</f>
        <v>20</v>
      </c>
      <c r="P53" s="52"/>
      <c r="R53" s="53"/>
      <c r="S53" s="53"/>
      <c r="T53" s="53"/>
      <c r="U53" s="53"/>
    </row>
    <row r="54" spans="1:21" s="41" customFormat="1" ht="36.75" thickTop="1" x14ac:dyDescent="0.25">
      <c r="A54" s="218"/>
      <c r="B54" s="219" t="s">
        <v>72</v>
      </c>
      <c r="C54" s="220">
        <f t="shared" si="4"/>
        <v>583000</v>
      </c>
      <c r="D54" s="221">
        <f>SUM(D55,D197)</f>
        <v>278474</v>
      </c>
      <c r="E54" s="222">
        <f>SUM(E55,E197)</f>
        <v>0</v>
      </c>
      <c r="F54" s="223">
        <f t="shared" si="5"/>
        <v>278474</v>
      </c>
      <c r="G54" s="221">
        <f>SUM(G55,G197)</f>
        <v>299456</v>
      </c>
      <c r="H54" s="224">
        <f>SUM(H55,H197)</f>
        <v>0</v>
      </c>
      <c r="I54" s="225">
        <f t="shared" si="6"/>
        <v>299456</v>
      </c>
      <c r="J54" s="221">
        <f>SUM(J55,J197)</f>
        <v>5050</v>
      </c>
      <c r="K54" s="224">
        <f>SUM(K55,K197)</f>
        <v>0</v>
      </c>
      <c r="L54" s="225">
        <f t="shared" si="7"/>
        <v>5050</v>
      </c>
      <c r="M54" s="226">
        <f>SUM(M55,M197)</f>
        <v>20</v>
      </c>
      <c r="N54" s="227">
        <f>SUM(N55,N197)</f>
        <v>0</v>
      </c>
      <c r="O54" s="225">
        <f t="shared" si="8"/>
        <v>20</v>
      </c>
      <c r="P54" s="228"/>
      <c r="R54" s="53"/>
      <c r="S54" s="53"/>
      <c r="T54" s="53"/>
      <c r="U54" s="53"/>
    </row>
    <row r="55" spans="1:21" s="41" customFormat="1" ht="24" x14ac:dyDescent="0.25">
      <c r="A55" s="35"/>
      <c r="B55" s="30" t="s">
        <v>73</v>
      </c>
      <c r="C55" s="229">
        <f t="shared" si="4"/>
        <v>568993</v>
      </c>
      <c r="D55" s="230">
        <f>SUM(D56,D78,D176,D190)</f>
        <v>266871</v>
      </c>
      <c r="E55" s="231">
        <f>SUM(E56,E78,E176,E190)</f>
        <v>0</v>
      </c>
      <c r="F55" s="232">
        <f t="shared" si="5"/>
        <v>266871</v>
      </c>
      <c r="G55" s="230">
        <f>SUM(G56,G78,G176,G190)</f>
        <v>297052</v>
      </c>
      <c r="H55" s="233">
        <f>SUM(H56,H78,H176,H190)</f>
        <v>0</v>
      </c>
      <c r="I55" s="234">
        <f t="shared" si="6"/>
        <v>297052</v>
      </c>
      <c r="J55" s="230">
        <f>SUM(J56,J78,J176,J190)</f>
        <v>5050</v>
      </c>
      <c r="K55" s="233">
        <f>SUM(K56,K78,K176,K190)</f>
        <v>0</v>
      </c>
      <c r="L55" s="234">
        <f t="shared" si="7"/>
        <v>5050</v>
      </c>
      <c r="M55" s="53">
        <f>SUM(M56,M78,M176,M190)</f>
        <v>20</v>
      </c>
      <c r="N55" s="235">
        <f>SUM(N56,N78,N176,N190)</f>
        <v>0</v>
      </c>
      <c r="O55" s="234">
        <f t="shared" si="8"/>
        <v>20</v>
      </c>
      <c r="P55" s="236"/>
      <c r="R55" s="53"/>
      <c r="S55" s="53"/>
      <c r="T55" s="53"/>
      <c r="U55" s="53"/>
    </row>
    <row r="56" spans="1:21" s="41" customFormat="1" x14ac:dyDescent="0.25">
      <c r="A56" s="237">
        <v>1000</v>
      </c>
      <c r="B56" s="237" t="s">
        <v>74</v>
      </c>
      <c r="C56" s="238">
        <f t="shared" si="4"/>
        <v>508046</v>
      </c>
      <c r="D56" s="239">
        <f>SUM(D57,D70)</f>
        <v>211618</v>
      </c>
      <c r="E56" s="240">
        <f>SUM(E57,E70)</f>
        <v>0</v>
      </c>
      <c r="F56" s="241">
        <f t="shared" si="5"/>
        <v>211618</v>
      </c>
      <c r="G56" s="239">
        <f>SUM(G57,G70)</f>
        <v>296428</v>
      </c>
      <c r="H56" s="242">
        <f>SUM(H57,H70)</f>
        <v>0</v>
      </c>
      <c r="I56" s="243">
        <f t="shared" si="6"/>
        <v>296428</v>
      </c>
      <c r="J56" s="239">
        <f>SUM(J57,J70)</f>
        <v>0</v>
      </c>
      <c r="K56" s="242">
        <f>SUM(K57,K70)</f>
        <v>0</v>
      </c>
      <c r="L56" s="243">
        <f t="shared" si="7"/>
        <v>0</v>
      </c>
      <c r="M56" s="244">
        <f>SUM(M57,M70)</f>
        <v>0</v>
      </c>
      <c r="N56" s="245">
        <f>SUM(N57,N70)</f>
        <v>0</v>
      </c>
      <c r="O56" s="243">
        <f t="shared" si="8"/>
        <v>0</v>
      </c>
      <c r="P56" s="246"/>
      <c r="R56" s="53"/>
      <c r="S56" s="53"/>
      <c r="T56" s="53"/>
      <c r="U56" s="53"/>
    </row>
    <row r="57" spans="1:21" x14ac:dyDescent="0.25">
      <c r="A57" s="99">
        <v>1100</v>
      </c>
      <c r="B57" s="247" t="s">
        <v>75</v>
      </c>
      <c r="C57" s="100">
        <f t="shared" si="4"/>
        <v>393811</v>
      </c>
      <c r="D57" s="112">
        <f>SUM(D58,D61,D69)</f>
        <v>153468</v>
      </c>
      <c r="E57" s="248">
        <f>SUM(E58,E61,E69)</f>
        <v>0</v>
      </c>
      <c r="F57" s="249">
        <f t="shared" si="5"/>
        <v>153468</v>
      </c>
      <c r="G57" s="112">
        <f>SUM(G58,G61,G69)</f>
        <v>240343</v>
      </c>
      <c r="H57" s="113">
        <f>SUM(H58,H61,H69)</f>
        <v>0</v>
      </c>
      <c r="I57" s="114">
        <f t="shared" si="6"/>
        <v>240343</v>
      </c>
      <c r="J57" s="112">
        <f>SUM(J58,J61,J69)</f>
        <v>0</v>
      </c>
      <c r="K57" s="113">
        <f>SUM(K58,K61,K69)</f>
        <v>0</v>
      </c>
      <c r="L57" s="114">
        <f t="shared" si="7"/>
        <v>0</v>
      </c>
      <c r="M57" s="250">
        <f>SUM(M58,M61,M69)</f>
        <v>0</v>
      </c>
      <c r="N57" s="251">
        <f>SUM(N58,N61,N69)</f>
        <v>0</v>
      </c>
      <c r="O57" s="252">
        <f t="shared" si="8"/>
        <v>0</v>
      </c>
      <c r="P57" s="253"/>
      <c r="R57" s="53"/>
      <c r="S57" s="53"/>
      <c r="T57" s="53"/>
      <c r="U57" s="53"/>
    </row>
    <row r="58" spans="1:21" x14ac:dyDescent="0.25">
      <c r="A58" s="254">
        <v>1110</v>
      </c>
      <c r="B58" s="179" t="s">
        <v>76</v>
      </c>
      <c r="C58" s="191">
        <f t="shared" si="4"/>
        <v>360742</v>
      </c>
      <c r="D58" s="255">
        <f>SUM(D59:D60)</f>
        <v>132212</v>
      </c>
      <c r="E58" s="256">
        <f>SUM(E59:E60)</f>
        <v>0</v>
      </c>
      <c r="F58" s="257">
        <f t="shared" si="5"/>
        <v>132212</v>
      </c>
      <c r="G58" s="255">
        <f>SUM(G59:G60)</f>
        <v>229358</v>
      </c>
      <c r="H58" s="258">
        <f>SUM(H59:H60)</f>
        <v>-828</v>
      </c>
      <c r="I58" s="259">
        <f t="shared" si="6"/>
        <v>228530</v>
      </c>
      <c r="J58" s="255">
        <f>SUM(J59:J60)</f>
        <v>0</v>
      </c>
      <c r="K58" s="258">
        <f>SUM(K59:K60)</f>
        <v>0</v>
      </c>
      <c r="L58" s="259">
        <f t="shared" si="7"/>
        <v>0</v>
      </c>
      <c r="M58" s="260">
        <f>SUM(M59:M60)</f>
        <v>0</v>
      </c>
      <c r="N58" s="261">
        <f>SUM(N59:N60)</f>
        <v>0</v>
      </c>
      <c r="O58" s="259">
        <f t="shared" si="8"/>
        <v>0</v>
      </c>
      <c r="P58" s="189"/>
      <c r="R58" s="53"/>
      <c r="S58" s="53"/>
      <c r="T58" s="53"/>
      <c r="U58" s="53"/>
    </row>
    <row r="59" spans="1:21" hidden="1" x14ac:dyDescent="0.25">
      <c r="A59" s="66">
        <v>1111</v>
      </c>
      <c r="B59" s="116" t="s">
        <v>77</v>
      </c>
      <c r="C59" s="117">
        <f t="shared" si="4"/>
        <v>0</v>
      </c>
      <c r="D59" s="123"/>
      <c r="E59" s="262"/>
      <c r="F59" s="263">
        <f t="shared" si="5"/>
        <v>0</v>
      </c>
      <c r="G59" s="123"/>
      <c r="H59" s="124"/>
      <c r="I59" s="125">
        <f t="shared" si="6"/>
        <v>0</v>
      </c>
      <c r="J59" s="123"/>
      <c r="K59" s="124"/>
      <c r="L59" s="125">
        <f t="shared" si="7"/>
        <v>0</v>
      </c>
      <c r="M59" s="264"/>
      <c r="N59" s="262"/>
      <c r="O59" s="125">
        <f t="shared" si="8"/>
        <v>0</v>
      </c>
      <c r="P59" s="74"/>
      <c r="R59" s="53"/>
      <c r="S59" s="53"/>
      <c r="T59" s="53"/>
      <c r="U59" s="53"/>
    </row>
    <row r="60" spans="1:21" ht="24" x14ac:dyDescent="0.25">
      <c r="A60" s="76">
        <v>1119</v>
      </c>
      <c r="B60" s="127" t="s">
        <v>78</v>
      </c>
      <c r="C60" s="128">
        <f t="shared" si="4"/>
        <v>360742</v>
      </c>
      <c r="D60" s="134">
        <v>132212</v>
      </c>
      <c r="E60" s="283"/>
      <c r="F60" s="279">
        <f t="shared" si="5"/>
        <v>132212</v>
      </c>
      <c r="G60" s="134">
        <v>229358</v>
      </c>
      <c r="H60" s="135">
        <v>-828</v>
      </c>
      <c r="I60" s="136">
        <f t="shared" si="6"/>
        <v>228530</v>
      </c>
      <c r="J60" s="134"/>
      <c r="K60" s="135"/>
      <c r="L60" s="136">
        <f t="shared" si="7"/>
        <v>0</v>
      </c>
      <c r="M60" s="284"/>
      <c r="N60" s="285"/>
      <c r="O60" s="136">
        <f t="shared" si="8"/>
        <v>0</v>
      </c>
      <c r="P60" s="85"/>
      <c r="R60" s="53"/>
      <c r="S60" s="53"/>
      <c r="T60" s="53"/>
      <c r="U60" s="53"/>
    </row>
    <row r="61" spans="1:21" ht="48" x14ac:dyDescent="0.25">
      <c r="A61" s="276">
        <v>1140</v>
      </c>
      <c r="B61" s="127" t="s">
        <v>79</v>
      </c>
      <c r="C61" s="128">
        <f t="shared" si="4"/>
        <v>31794</v>
      </c>
      <c r="D61" s="277">
        <f>SUM(D62:D68)</f>
        <v>19981</v>
      </c>
      <c r="E61" s="278">
        <f>SUM(E62:E68)</f>
        <v>0</v>
      </c>
      <c r="F61" s="279">
        <f>D61+E61</f>
        <v>19981</v>
      </c>
      <c r="G61" s="277">
        <f>SUM(G62:G68)</f>
        <v>10985</v>
      </c>
      <c r="H61" s="280">
        <f>SUM(H62:H68)</f>
        <v>828</v>
      </c>
      <c r="I61" s="136">
        <f t="shared" si="6"/>
        <v>11813</v>
      </c>
      <c r="J61" s="277">
        <f>SUM(J62:J68)</f>
        <v>0</v>
      </c>
      <c r="K61" s="280">
        <f>SUM(K62:K68)</f>
        <v>0</v>
      </c>
      <c r="L61" s="136">
        <f t="shared" si="7"/>
        <v>0</v>
      </c>
      <c r="M61" s="281">
        <f>SUM(M62:M68)</f>
        <v>0</v>
      </c>
      <c r="N61" s="282">
        <f>SUM(N62:N68)</f>
        <v>0</v>
      </c>
      <c r="O61" s="136">
        <f t="shared" si="8"/>
        <v>0</v>
      </c>
      <c r="P61" s="85" t="s">
        <v>1199</v>
      </c>
      <c r="R61" s="53"/>
      <c r="S61" s="53"/>
      <c r="T61" s="53"/>
      <c r="U61" s="53"/>
    </row>
    <row r="62" spans="1:21" x14ac:dyDescent="0.25">
      <c r="A62" s="76">
        <v>1141</v>
      </c>
      <c r="B62" s="127" t="s">
        <v>80</v>
      </c>
      <c r="C62" s="128">
        <f t="shared" si="4"/>
        <v>3748</v>
      </c>
      <c r="D62" s="134">
        <v>3748</v>
      </c>
      <c r="E62" s="283"/>
      <c r="F62" s="279">
        <f t="shared" si="5"/>
        <v>3748</v>
      </c>
      <c r="G62" s="134"/>
      <c r="H62" s="135"/>
      <c r="I62" s="136">
        <f t="shared" si="6"/>
        <v>0</v>
      </c>
      <c r="J62" s="134"/>
      <c r="K62" s="135"/>
      <c r="L62" s="136">
        <f t="shared" si="7"/>
        <v>0</v>
      </c>
      <c r="M62" s="284"/>
      <c r="N62" s="285"/>
      <c r="O62" s="136">
        <f t="shared" si="8"/>
        <v>0</v>
      </c>
      <c r="P62" s="85"/>
      <c r="R62" s="53"/>
      <c r="S62" s="53"/>
      <c r="T62" s="53"/>
      <c r="U62" s="53"/>
    </row>
    <row r="63" spans="1:21" ht="24" x14ac:dyDescent="0.25">
      <c r="A63" s="76">
        <v>1142</v>
      </c>
      <c r="B63" s="127" t="s">
        <v>81</v>
      </c>
      <c r="C63" s="128">
        <f t="shared" si="4"/>
        <v>922</v>
      </c>
      <c r="D63" s="134">
        <v>922</v>
      </c>
      <c r="E63" s="283"/>
      <c r="F63" s="279">
        <f t="shared" si="5"/>
        <v>922</v>
      </c>
      <c r="G63" s="134"/>
      <c r="H63" s="135"/>
      <c r="I63" s="136">
        <f t="shared" si="6"/>
        <v>0</v>
      </c>
      <c r="J63" s="134"/>
      <c r="K63" s="135"/>
      <c r="L63" s="136">
        <f t="shared" si="7"/>
        <v>0</v>
      </c>
      <c r="M63" s="284"/>
      <c r="N63" s="285"/>
      <c r="O63" s="136">
        <f t="shared" si="8"/>
        <v>0</v>
      </c>
      <c r="P63" s="85"/>
      <c r="R63" s="53"/>
      <c r="S63" s="53"/>
      <c r="T63" s="53"/>
      <c r="U63" s="53"/>
    </row>
    <row r="64" spans="1:21" ht="24" x14ac:dyDescent="0.25">
      <c r="A64" s="76">
        <v>1145</v>
      </c>
      <c r="B64" s="127" t="s">
        <v>82</v>
      </c>
      <c r="C64" s="128">
        <f t="shared" si="4"/>
        <v>2206</v>
      </c>
      <c r="D64" s="134"/>
      <c r="E64" s="283"/>
      <c r="F64" s="279">
        <f t="shared" si="5"/>
        <v>0</v>
      </c>
      <c r="G64" s="134">
        <v>2206</v>
      </c>
      <c r="H64" s="135"/>
      <c r="I64" s="136">
        <f t="shared" si="6"/>
        <v>2206</v>
      </c>
      <c r="J64" s="134"/>
      <c r="K64" s="135"/>
      <c r="L64" s="136">
        <f t="shared" si="7"/>
        <v>0</v>
      </c>
      <c r="M64" s="284"/>
      <c r="N64" s="285"/>
      <c r="O64" s="136">
        <f t="shared" si="8"/>
        <v>0</v>
      </c>
      <c r="P64" s="85"/>
      <c r="R64" s="53"/>
      <c r="S64" s="53"/>
      <c r="T64" s="53"/>
      <c r="U64" s="53"/>
    </row>
    <row r="65" spans="1:21" ht="24" hidden="1" x14ac:dyDescent="0.25">
      <c r="A65" s="76">
        <v>1146</v>
      </c>
      <c r="B65" s="127" t="s">
        <v>83</v>
      </c>
      <c r="C65" s="128">
        <f t="shared" si="4"/>
        <v>0</v>
      </c>
      <c r="D65" s="134"/>
      <c r="E65" s="285"/>
      <c r="F65" s="286">
        <f t="shared" si="5"/>
        <v>0</v>
      </c>
      <c r="G65" s="134"/>
      <c r="H65" s="135"/>
      <c r="I65" s="136">
        <f t="shared" si="6"/>
        <v>0</v>
      </c>
      <c r="J65" s="134"/>
      <c r="K65" s="135"/>
      <c r="L65" s="136">
        <f t="shared" si="7"/>
        <v>0</v>
      </c>
      <c r="M65" s="284"/>
      <c r="N65" s="285"/>
      <c r="O65" s="136">
        <f t="shared" si="8"/>
        <v>0</v>
      </c>
      <c r="P65" s="85"/>
      <c r="R65" s="53"/>
      <c r="S65" s="53"/>
      <c r="T65" s="53"/>
      <c r="U65" s="53"/>
    </row>
    <row r="66" spans="1:21" x14ac:dyDescent="0.25">
      <c r="A66" s="76">
        <v>1147</v>
      </c>
      <c r="B66" s="127" t="s">
        <v>84</v>
      </c>
      <c r="C66" s="128">
        <f t="shared" si="4"/>
        <v>1433</v>
      </c>
      <c r="D66" s="134">
        <v>1433</v>
      </c>
      <c r="E66" s="283"/>
      <c r="F66" s="279">
        <f t="shared" si="5"/>
        <v>1433</v>
      </c>
      <c r="G66" s="134"/>
      <c r="H66" s="135"/>
      <c r="I66" s="136">
        <f t="shared" si="6"/>
        <v>0</v>
      </c>
      <c r="J66" s="134"/>
      <c r="K66" s="135"/>
      <c r="L66" s="136">
        <f t="shared" si="7"/>
        <v>0</v>
      </c>
      <c r="M66" s="284"/>
      <c r="N66" s="285"/>
      <c r="O66" s="136">
        <f t="shared" si="8"/>
        <v>0</v>
      </c>
      <c r="P66" s="85"/>
      <c r="R66" s="53"/>
      <c r="S66" s="53"/>
      <c r="T66" s="53"/>
      <c r="U66" s="53"/>
    </row>
    <row r="67" spans="1:21" ht="48" x14ac:dyDescent="0.25">
      <c r="A67" s="76">
        <v>1148</v>
      </c>
      <c r="B67" s="127" t="s">
        <v>85</v>
      </c>
      <c r="C67" s="128">
        <f t="shared" si="4"/>
        <v>16314</v>
      </c>
      <c r="D67" s="134">
        <v>13039</v>
      </c>
      <c r="E67" s="283"/>
      <c r="F67" s="279">
        <f t="shared" si="5"/>
        <v>13039</v>
      </c>
      <c r="G67" s="134">
        <v>1498</v>
      </c>
      <c r="H67" s="135">
        <v>1777</v>
      </c>
      <c r="I67" s="136">
        <f t="shared" si="6"/>
        <v>3275</v>
      </c>
      <c r="J67" s="134"/>
      <c r="K67" s="135"/>
      <c r="L67" s="136">
        <f t="shared" si="7"/>
        <v>0</v>
      </c>
      <c r="M67" s="284"/>
      <c r="N67" s="285"/>
      <c r="O67" s="136">
        <f t="shared" si="8"/>
        <v>0</v>
      </c>
      <c r="P67" s="85" t="s">
        <v>1200</v>
      </c>
      <c r="R67" s="53"/>
      <c r="S67" s="53"/>
      <c r="T67" s="53"/>
      <c r="U67" s="53"/>
    </row>
    <row r="68" spans="1:21" ht="60" x14ac:dyDescent="0.25">
      <c r="A68" s="76">
        <v>1149</v>
      </c>
      <c r="B68" s="127" t="s">
        <v>86</v>
      </c>
      <c r="C68" s="128">
        <f t="shared" si="4"/>
        <v>7171</v>
      </c>
      <c r="D68" s="134">
        <v>839</v>
      </c>
      <c r="E68" s="283"/>
      <c r="F68" s="279">
        <f t="shared" si="5"/>
        <v>839</v>
      </c>
      <c r="G68" s="134">
        <v>7281</v>
      </c>
      <c r="H68" s="135">
        <v>-949</v>
      </c>
      <c r="I68" s="136">
        <f t="shared" si="6"/>
        <v>6332</v>
      </c>
      <c r="J68" s="134"/>
      <c r="K68" s="135"/>
      <c r="L68" s="136">
        <f t="shared" si="7"/>
        <v>0</v>
      </c>
      <c r="M68" s="284"/>
      <c r="N68" s="285"/>
      <c r="O68" s="136">
        <f t="shared" si="8"/>
        <v>0</v>
      </c>
      <c r="P68" s="85" t="s">
        <v>1201</v>
      </c>
      <c r="R68" s="53"/>
      <c r="S68" s="53"/>
      <c r="T68" s="53"/>
      <c r="U68" s="53"/>
    </row>
    <row r="69" spans="1:21" ht="36" x14ac:dyDescent="0.25">
      <c r="A69" s="254">
        <v>1150</v>
      </c>
      <c r="B69" s="179" t="s">
        <v>87</v>
      </c>
      <c r="C69" s="128">
        <f t="shared" si="4"/>
        <v>1275</v>
      </c>
      <c r="D69" s="287">
        <v>1275</v>
      </c>
      <c r="E69" s="288"/>
      <c r="F69" s="257">
        <f t="shared" si="5"/>
        <v>1275</v>
      </c>
      <c r="G69" s="287"/>
      <c r="H69" s="289"/>
      <c r="I69" s="259">
        <f t="shared" si="6"/>
        <v>0</v>
      </c>
      <c r="J69" s="287"/>
      <c r="K69" s="289"/>
      <c r="L69" s="259">
        <f t="shared" si="7"/>
        <v>0</v>
      </c>
      <c r="M69" s="290"/>
      <c r="N69" s="291"/>
      <c r="O69" s="259">
        <f t="shared" si="8"/>
        <v>0</v>
      </c>
      <c r="P69" s="189"/>
      <c r="R69" s="53"/>
      <c r="S69" s="53"/>
      <c r="T69" s="53"/>
      <c r="U69" s="53"/>
    </row>
    <row r="70" spans="1:21" ht="36" x14ac:dyDescent="0.25">
      <c r="A70" s="99">
        <v>1200</v>
      </c>
      <c r="B70" s="247" t="s">
        <v>88</v>
      </c>
      <c r="C70" s="100">
        <f t="shared" si="4"/>
        <v>114235</v>
      </c>
      <c r="D70" s="112">
        <f>SUM(D71:D72)</f>
        <v>58150</v>
      </c>
      <c r="E70" s="248">
        <f>SUM(E71:E72)</f>
        <v>0</v>
      </c>
      <c r="F70" s="249">
        <f>D70+E70</f>
        <v>58150</v>
      </c>
      <c r="G70" s="112">
        <f>SUM(G71:G72)</f>
        <v>56085</v>
      </c>
      <c r="H70" s="113">
        <f>SUM(H71:H72)</f>
        <v>0</v>
      </c>
      <c r="I70" s="114">
        <f t="shared" si="6"/>
        <v>56085</v>
      </c>
      <c r="J70" s="112">
        <f>SUM(J71:J72)</f>
        <v>0</v>
      </c>
      <c r="K70" s="113">
        <f>SUM(K71:K72)</f>
        <v>0</v>
      </c>
      <c r="L70" s="114">
        <f t="shared" si="7"/>
        <v>0</v>
      </c>
      <c r="M70" s="292">
        <f>SUM(M71:M72)</f>
        <v>0</v>
      </c>
      <c r="N70" s="293">
        <f>SUM(N71:N72)</f>
        <v>0</v>
      </c>
      <c r="O70" s="114">
        <f t="shared" si="8"/>
        <v>0</v>
      </c>
      <c r="P70" s="109"/>
      <c r="R70" s="53"/>
      <c r="S70" s="53"/>
      <c r="T70" s="53"/>
      <c r="U70" s="53"/>
    </row>
    <row r="71" spans="1:21" ht="24" x14ac:dyDescent="0.25">
      <c r="A71" s="656">
        <v>1210</v>
      </c>
      <c r="B71" s="116" t="s">
        <v>89</v>
      </c>
      <c r="C71" s="117">
        <f t="shared" si="4"/>
        <v>94096</v>
      </c>
      <c r="D71" s="123">
        <v>38851</v>
      </c>
      <c r="E71" s="295"/>
      <c r="F71" s="296">
        <f t="shared" si="5"/>
        <v>38851</v>
      </c>
      <c r="G71" s="123">
        <v>55245</v>
      </c>
      <c r="H71" s="124"/>
      <c r="I71" s="125">
        <f t="shared" si="6"/>
        <v>55245</v>
      </c>
      <c r="J71" s="123"/>
      <c r="K71" s="124"/>
      <c r="L71" s="125">
        <f t="shared" si="7"/>
        <v>0</v>
      </c>
      <c r="M71" s="264"/>
      <c r="N71" s="262"/>
      <c r="O71" s="125">
        <f t="shared" si="8"/>
        <v>0</v>
      </c>
      <c r="P71" s="85"/>
      <c r="R71" s="53"/>
      <c r="S71" s="53"/>
      <c r="T71" s="53"/>
      <c r="U71" s="53"/>
    </row>
    <row r="72" spans="1:21" ht="24" x14ac:dyDescent="0.25">
      <c r="A72" s="276">
        <v>1220</v>
      </c>
      <c r="B72" s="127" t="s">
        <v>90</v>
      </c>
      <c r="C72" s="128">
        <f t="shared" si="4"/>
        <v>20139</v>
      </c>
      <c r="D72" s="277">
        <f>SUM(D73:D77)</f>
        <v>19299</v>
      </c>
      <c r="E72" s="278">
        <f>SUM(E73:E77)</f>
        <v>0</v>
      </c>
      <c r="F72" s="279">
        <f t="shared" si="5"/>
        <v>19299</v>
      </c>
      <c r="G72" s="277">
        <f>SUM(G73:G77)</f>
        <v>840</v>
      </c>
      <c r="H72" s="280">
        <f>SUM(H73:H77)</f>
        <v>0</v>
      </c>
      <c r="I72" s="136">
        <f t="shared" si="6"/>
        <v>840</v>
      </c>
      <c r="J72" s="277">
        <f>SUM(J73:J77)</f>
        <v>0</v>
      </c>
      <c r="K72" s="280">
        <f>SUM(K73:K77)</f>
        <v>0</v>
      </c>
      <c r="L72" s="136">
        <f t="shared" si="7"/>
        <v>0</v>
      </c>
      <c r="M72" s="281">
        <f>SUM(M73:M77)</f>
        <v>0</v>
      </c>
      <c r="N72" s="282">
        <f>SUM(N73:N77)</f>
        <v>0</v>
      </c>
      <c r="O72" s="136">
        <f t="shared" si="8"/>
        <v>0</v>
      </c>
      <c r="P72" s="85"/>
      <c r="R72" s="53"/>
      <c r="S72" s="53"/>
      <c r="T72" s="53"/>
      <c r="U72" s="53"/>
    </row>
    <row r="73" spans="1:21" ht="60" x14ac:dyDescent="0.25">
      <c r="A73" s="76">
        <v>1221</v>
      </c>
      <c r="B73" s="127" t="s">
        <v>91</v>
      </c>
      <c r="C73" s="128">
        <f t="shared" si="4"/>
        <v>11754</v>
      </c>
      <c r="D73" s="134">
        <v>10914</v>
      </c>
      <c r="E73" s="283"/>
      <c r="F73" s="279">
        <f t="shared" si="5"/>
        <v>10914</v>
      </c>
      <c r="G73" s="134">
        <v>840</v>
      </c>
      <c r="H73" s="135"/>
      <c r="I73" s="136">
        <f t="shared" si="6"/>
        <v>840</v>
      </c>
      <c r="J73" s="134"/>
      <c r="K73" s="135"/>
      <c r="L73" s="136">
        <f t="shared" si="7"/>
        <v>0</v>
      </c>
      <c r="M73" s="284"/>
      <c r="N73" s="285"/>
      <c r="O73" s="136">
        <f t="shared" si="8"/>
        <v>0</v>
      </c>
      <c r="P73" s="85"/>
      <c r="R73" s="53"/>
      <c r="S73" s="53"/>
      <c r="T73" s="53"/>
      <c r="U73" s="53"/>
    </row>
    <row r="74" spans="1:21" hidden="1" x14ac:dyDescent="0.25">
      <c r="A74" s="76">
        <v>1223</v>
      </c>
      <c r="B74" s="127" t="s">
        <v>92</v>
      </c>
      <c r="C74" s="128">
        <f t="shared" si="4"/>
        <v>0</v>
      </c>
      <c r="D74" s="134"/>
      <c r="E74" s="285"/>
      <c r="F74" s="286">
        <f t="shared" si="5"/>
        <v>0</v>
      </c>
      <c r="G74" s="134"/>
      <c r="H74" s="135"/>
      <c r="I74" s="136">
        <f t="shared" si="6"/>
        <v>0</v>
      </c>
      <c r="J74" s="134"/>
      <c r="K74" s="135"/>
      <c r="L74" s="136">
        <f t="shared" si="7"/>
        <v>0</v>
      </c>
      <c r="M74" s="284"/>
      <c r="N74" s="285"/>
      <c r="O74" s="136">
        <f t="shared" si="8"/>
        <v>0</v>
      </c>
      <c r="P74" s="85"/>
      <c r="R74" s="53"/>
      <c r="S74" s="53"/>
      <c r="T74" s="53"/>
      <c r="U74" s="53"/>
    </row>
    <row r="75" spans="1:21" hidden="1" x14ac:dyDescent="0.25">
      <c r="A75" s="76">
        <v>1225</v>
      </c>
      <c r="B75" s="127" t="s">
        <v>93</v>
      </c>
      <c r="C75" s="128">
        <f t="shared" si="4"/>
        <v>0</v>
      </c>
      <c r="D75" s="134"/>
      <c r="E75" s="285"/>
      <c r="F75" s="286">
        <f t="shared" si="5"/>
        <v>0</v>
      </c>
      <c r="G75" s="134"/>
      <c r="H75" s="135"/>
      <c r="I75" s="136">
        <f t="shared" si="6"/>
        <v>0</v>
      </c>
      <c r="J75" s="134"/>
      <c r="K75" s="135"/>
      <c r="L75" s="136">
        <f t="shared" si="7"/>
        <v>0</v>
      </c>
      <c r="M75" s="284"/>
      <c r="N75" s="285"/>
      <c r="O75" s="136">
        <f t="shared" si="8"/>
        <v>0</v>
      </c>
      <c r="P75" s="85"/>
      <c r="R75" s="53"/>
      <c r="S75" s="53"/>
      <c r="T75" s="53"/>
      <c r="U75" s="53"/>
    </row>
    <row r="76" spans="1:21" ht="36" x14ac:dyDescent="0.25">
      <c r="A76" s="76">
        <v>1227</v>
      </c>
      <c r="B76" s="127" t="s">
        <v>94</v>
      </c>
      <c r="C76" s="128">
        <f t="shared" si="4"/>
        <v>7897</v>
      </c>
      <c r="D76" s="134">
        <v>7897</v>
      </c>
      <c r="E76" s="283"/>
      <c r="F76" s="279">
        <f t="shared" si="5"/>
        <v>7897</v>
      </c>
      <c r="G76" s="134"/>
      <c r="H76" s="135"/>
      <c r="I76" s="136">
        <f t="shared" si="6"/>
        <v>0</v>
      </c>
      <c r="J76" s="134"/>
      <c r="K76" s="135"/>
      <c r="L76" s="136">
        <f t="shared" si="7"/>
        <v>0</v>
      </c>
      <c r="M76" s="284"/>
      <c r="N76" s="285"/>
      <c r="O76" s="136">
        <f t="shared" si="8"/>
        <v>0</v>
      </c>
      <c r="P76" s="85"/>
      <c r="R76" s="53"/>
      <c r="S76" s="53"/>
      <c r="T76" s="53"/>
      <c r="U76" s="53"/>
    </row>
    <row r="77" spans="1:21" ht="60" x14ac:dyDescent="0.25">
      <c r="A77" s="76">
        <v>1228</v>
      </c>
      <c r="B77" s="127" t="s">
        <v>95</v>
      </c>
      <c r="C77" s="128">
        <f t="shared" si="4"/>
        <v>488</v>
      </c>
      <c r="D77" s="134">
        <v>488</v>
      </c>
      <c r="E77" s="283"/>
      <c r="F77" s="279">
        <f t="shared" si="5"/>
        <v>488</v>
      </c>
      <c r="G77" s="134"/>
      <c r="H77" s="135"/>
      <c r="I77" s="136">
        <f t="shared" si="6"/>
        <v>0</v>
      </c>
      <c r="J77" s="134"/>
      <c r="K77" s="135"/>
      <c r="L77" s="136">
        <f t="shared" si="7"/>
        <v>0</v>
      </c>
      <c r="M77" s="284"/>
      <c r="N77" s="285"/>
      <c r="O77" s="136">
        <f t="shared" si="8"/>
        <v>0</v>
      </c>
      <c r="P77" s="85"/>
      <c r="R77" s="53"/>
      <c r="S77" s="53"/>
      <c r="T77" s="53"/>
      <c r="U77" s="53"/>
    </row>
    <row r="78" spans="1:21" x14ac:dyDescent="0.25">
      <c r="A78" s="237">
        <v>2000</v>
      </c>
      <c r="B78" s="237" t="s">
        <v>96</v>
      </c>
      <c r="C78" s="238">
        <f t="shared" si="4"/>
        <v>60947</v>
      </c>
      <c r="D78" s="239">
        <f>SUM(D79,D86,D133,D167,D168,D175)</f>
        <v>55253</v>
      </c>
      <c r="E78" s="240">
        <f>SUM(E79,E86,E133,E167,E168,E175)</f>
        <v>0</v>
      </c>
      <c r="F78" s="241">
        <f t="shared" si="5"/>
        <v>55253</v>
      </c>
      <c r="G78" s="239">
        <f>SUM(G79,G86,G133,G167,G168,G175)</f>
        <v>624</v>
      </c>
      <c r="H78" s="242">
        <f>SUM(H79,H86,H133,H167,H168,H175)</f>
        <v>0</v>
      </c>
      <c r="I78" s="243">
        <f t="shared" si="6"/>
        <v>624</v>
      </c>
      <c r="J78" s="239">
        <f>SUM(J79,J86,J133,J167,J168,J175)</f>
        <v>5050</v>
      </c>
      <c r="K78" s="242">
        <f>SUM(K79,K86,K133,K167,K168,K175)</f>
        <v>0</v>
      </c>
      <c r="L78" s="243">
        <f t="shared" si="7"/>
        <v>5050</v>
      </c>
      <c r="M78" s="244">
        <f>SUM(M79,M86,M133,M167,M168,M175)</f>
        <v>20</v>
      </c>
      <c r="N78" s="245">
        <f>SUM(N79,N86,N133,N167,N168,N175)</f>
        <v>0</v>
      </c>
      <c r="O78" s="243">
        <f t="shared" si="8"/>
        <v>20</v>
      </c>
      <c r="P78" s="246"/>
      <c r="R78" s="53"/>
      <c r="S78" s="53"/>
      <c r="T78" s="53"/>
      <c r="U78" s="53"/>
    </row>
    <row r="79" spans="1:21" ht="24" hidden="1" x14ac:dyDescent="0.25">
      <c r="A79" s="99">
        <v>2100</v>
      </c>
      <c r="B79" s="247" t="s">
        <v>97</v>
      </c>
      <c r="C79" s="100">
        <f t="shared" si="4"/>
        <v>0</v>
      </c>
      <c r="D79" s="112">
        <f>SUM(D80,D83)</f>
        <v>0</v>
      </c>
      <c r="E79" s="293">
        <f>SUM(E80,E83)</f>
        <v>0</v>
      </c>
      <c r="F79" s="313">
        <f t="shared" si="5"/>
        <v>0</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c r="R79" s="53"/>
      <c r="S79" s="53"/>
      <c r="T79" s="53"/>
      <c r="U79" s="53"/>
    </row>
    <row r="80" spans="1:21" ht="24" hidden="1" x14ac:dyDescent="0.25">
      <c r="A80" s="656">
        <v>2110</v>
      </c>
      <c r="B80" s="116" t="s">
        <v>98</v>
      </c>
      <c r="C80" s="117">
        <f t="shared" si="4"/>
        <v>0</v>
      </c>
      <c r="D80" s="297">
        <f>SUM(D81:D82)</f>
        <v>0</v>
      </c>
      <c r="E80" s="301">
        <f>SUM(E81:E82)</f>
        <v>0</v>
      </c>
      <c r="F80" s="263">
        <f t="shared" si="5"/>
        <v>0</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c r="R80" s="53"/>
      <c r="S80" s="53"/>
      <c r="T80" s="53"/>
      <c r="U80" s="53"/>
    </row>
    <row r="81" spans="1:21" hidden="1" x14ac:dyDescent="0.25">
      <c r="A81" s="76">
        <v>2111</v>
      </c>
      <c r="B81" s="127" t="s">
        <v>99</v>
      </c>
      <c r="C81" s="128">
        <f t="shared" si="4"/>
        <v>0</v>
      </c>
      <c r="D81" s="134"/>
      <c r="E81" s="285"/>
      <c r="F81" s="286">
        <f t="shared" si="5"/>
        <v>0</v>
      </c>
      <c r="G81" s="134"/>
      <c r="H81" s="135"/>
      <c r="I81" s="136">
        <f t="shared" si="6"/>
        <v>0</v>
      </c>
      <c r="J81" s="134"/>
      <c r="K81" s="135"/>
      <c r="L81" s="136">
        <f t="shared" si="7"/>
        <v>0</v>
      </c>
      <c r="M81" s="284"/>
      <c r="N81" s="285"/>
      <c r="O81" s="136">
        <f t="shared" si="8"/>
        <v>0</v>
      </c>
      <c r="P81" s="85"/>
      <c r="R81" s="53"/>
      <c r="S81" s="53"/>
      <c r="T81" s="53"/>
      <c r="U81" s="53"/>
    </row>
    <row r="82" spans="1:21" ht="24" hidden="1" x14ac:dyDescent="0.25">
      <c r="A82" s="76">
        <v>2112</v>
      </c>
      <c r="B82" s="127" t="s">
        <v>100</v>
      </c>
      <c r="C82" s="128">
        <f t="shared" si="4"/>
        <v>0</v>
      </c>
      <c r="D82" s="134"/>
      <c r="E82" s="285"/>
      <c r="F82" s="286">
        <f t="shared" si="5"/>
        <v>0</v>
      </c>
      <c r="G82" s="134"/>
      <c r="H82" s="135"/>
      <c r="I82" s="136">
        <f t="shared" si="6"/>
        <v>0</v>
      </c>
      <c r="J82" s="134"/>
      <c r="K82" s="135"/>
      <c r="L82" s="136">
        <f t="shared" si="7"/>
        <v>0</v>
      </c>
      <c r="M82" s="284"/>
      <c r="N82" s="285"/>
      <c r="O82" s="136">
        <f t="shared" si="8"/>
        <v>0</v>
      </c>
      <c r="P82" s="85"/>
      <c r="R82" s="53"/>
      <c r="S82" s="53"/>
      <c r="T82" s="53"/>
      <c r="U82" s="53"/>
    </row>
    <row r="83" spans="1:21" ht="24" hidden="1" x14ac:dyDescent="0.25">
      <c r="A83" s="276">
        <v>2120</v>
      </c>
      <c r="B83" s="127" t="s">
        <v>101</v>
      </c>
      <c r="C83" s="128">
        <f t="shared" si="4"/>
        <v>0</v>
      </c>
      <c r="D83" s="277">
        <f>SUM(D84:D85)</f>
        <v>0</v>
      </c>
      <c r="E83" s="282">
        <f>SUM(E84:E85)</f>
        <v>0</v>
      </c>
      <c r="F83" s="28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c r="R83" s="53"/>
      <c r="S83" s="53"/>
      <c r="T83" s="53"/>
      <c r="U83" s="53"/>
    </row>
    <row r="84" spans="1:21" hidden="1" x14ac:dyDescent="0.25">
      <c r="A84" s="76">
        <v>2121</v>
      </c>
      <c r="B84" s="127" t="s">
        <v>99</v>
      </c>
      <c r="C84" s="128">
        <f t="shared" si="4"/>
        <v>0</v>
      </c>
      <c r="D84" s="134"/>
      <c r="E84" s="285"/>
      <c r="F84" s="286">
        <f t="shared" si="5"/>
        <v>0</v>
      </c>
      <c r="G84" s="134"/>
      <c r="H84" s="135"/>
      <c r="I84" s="136">
        <f t="shared" si="6"/>
        <v>0</v>
      </c>
      <c r="J84" s="134"/>
      <c r="K84" s="135"/>
      <c r="L84" s="136">
        <f t="shared" si="7"/>
        <v>0</v>
      </c>
      <c r="M84" s="284"/>
      <c r="N84" s="285"/>
      <c r="O84" s="136">
        <f t="shared" si="8"/>
        <v>0</v>
      </c>
      <c r="P84" s="85"/>
      <c r="R84" s="53"/>
      <c r="S84" s="53"/>
      <c r="T84" s="53"/>
      <c r="U84" s="53"/>
    </row>
    <row r="85" spans="1:21" ht="24" hidden="1" x14ac:dyDescent="0.25">
      <c r="A85" s="76">
        <v>2122</v>
      </c>
      <c r="B85" s="127" t="s">
        <v>100</v>
      </c>
      <c r="C85" s="128">
        <f t="shared" si="4"/>
        <v>0</v>
      </c>
      <c r="D85" s="134"/>
      <c r="E85" s="285"/>
      <c r="F85" s="286">
        <f t="shared" si="5"/>
        <v>0</v>
      </c>
      <c r="G85" s="134"/>
      <c r="H85" s="135"/>
      <c r="I85" s="136">
        <f t="shared" si="6"/>
        <v>0</v>
      </c>
      <c r="J85" s="134"/>
      <c r="K85" s="135"/>
      <c r="L85" s="136">
        <f t="shared" si="7"/>
        <v>0</v>
      </c>
      <c r="M85" s="284"/>
      <c r="N85" s="285"/>
      <c r="O85" s="136">
        <f t="shared" si="8"/>
        <v>0</v>
      </c>
      <c r="P85" s="85"/>
      <c r="R85" s="53"/>
      <c r="S85" s="53"/>
      <c r="T85" s="53"/>
      <c r="U85" s="53"/>
    </row>
    <row r="86" spans="1:21" x14ac:dyDescent="0.25">
      <c r="A86" s="99">
        <v>2200</v>
      </c>
      <c r="B86" s="247" t="s">
        <v>102</v>
      </c>
      <c r="C86" s="302">
        <f t="shared" si="4"/>
        <v>46438</v>
      </c>
      <c r="D86" s="112">
        <f>SUM(D87,D92,D98,D106,D115,D119,D125,D131)</f>
        <v>43721</v>
      </c>
      <c r="E86" s="248">
        <f>SUM(E87,E92,E98,E106,E115,E119,E125,E131)</f>
        <v>0</v>
      </c>
      <c r="F86" s="249">
        <f t="shared" si="5"/>
        <v>43721</v>
      </c>
      <c r="G86" s="112">
        <f>SUM(G87,G92,G98,G106,G115,G119,G125,G131)</f>
        <v>0</v>
      </c>
      <c r="H86" s="113">
        <f>SUM(H87,H92,H98,H106,H115,H119,H125,H131)</f>
        <v>0</v>
      </c>
      <c r="I86" s="114">
        <f t="shared" si="6"/>
        <v>0</v>
      </c>
      <c r="J86" s="112">
        <f>SUM(J87,J92,J98,J106,J115,J119,J125,J131)</f>
        <v>2717</v>
      </c>
      <c r="K86" s="113">
        <f>SUM(K87,K92,K98,K106,K115,K119,K125,K131)</f>
        <v>0</v>
      </c>
      <c r="L86" s="114">
        <f t="shared" si="7"/>
        <v>2717</v>
      </c>
      <c r="M86" s="303">
        <f>SUM(M87,M92,M98,M106,M115,M119,M125,M131)</f>
        <v>0</v>
      </c>
      <c r="N86" s="304">
        <f>SUM(N87,N92,N98,N106,N115,N119,N125,N131)</f>
        <v>0</v>
      </c>
      <c r="O86" s="305">
        <f t="shared" si="8"/>
        <v>0</v>
      </c>
      <c r="P86" s="306"/>
      <c r="R86" s="53"/>
      <c r="S86" s="53"/>
      <c r="T86" s="53"/>
      <c r="U86" s="53"/>
    </row>
    <row r="87" spans="1:21" ht="24" x14ac:dyDescent="0.25">
      <c r="A87" s="254">
        <v>2210</v>
      </c>
      <c r="B87" s="179" t="s">
        <v>103</v>
      </c>
      <c r="C87" s="191">
        <f t="shared" si="4"/>
        <v>1341</v>
      </c>
      <c r="D87" s="255">
        <f>SUM(D88:D91)</f>
        <v>1141</v>
      </c>
      <c r="E87" s="256">
        <f>SUM(E88:E91)</f>
        <v>0</v>
      </c>
      <c r="F87" s="257">
        <f t="shared" si="5"/>
        <v>1141</v>
      </c>
      <c r="G87" s="255">
        <f>SUM(G88:G91)</f>
        <v>0</v>
      </c>
      <c r="H87" s="258">
        <f>SUM(H88:H91)</f>
        <v>0</v>
      </c>
      <c r="I87" s="259">
        <f t="shared" si="6"/>
        <v>0</v>
      </c>
      <c r="J87" s="255">
        <f>SUM(J88:J91)</f>
        <v>200</v>
      </c>
      <c r="K87" s="258">
        <f>SUM(K88:K91)</f>
        <v>0</v>
      </c>
      <c r="L87" s="259">
        <f t="shared" si="7"/>
        <v>200</v>
      </c>
      <c r="M87" s="260">
        <f>SUM(M88:M91)</f>
        <v>0</v>
      </c>
      <c r="N87" s="261">
        <f>SUM(N88:N91)</f>
        <v>0</v>
      </c>
      <c r="O87" s="259">
        <f t="shared" si="8"/>
        <v>0</v>
      </c>
      <c r="P87" s="189"/>
      <c r="R87" s="53"/>
      <c r="S87" s="53"/>
      <c r="T87" s="53"/>
      <c r="U87" s="53"/>
    </row>
    <row r="88" spans="1:21" ht="24" hidden="1" x14ac:dyDescent="0.25">
      <c r="A88" s="66">
        <v>2211</v>
      </c>
      <c r="B88" s="116" t="s">
        <v>104</v>
      </c>
      <c r="C88" s="128">
        <f t="shared" si="4"/>
        <v>0</v>
      </c>
      <c r="D88" s="123"/>
      <c r="E88" s="262"/>
      <c r="F88" s="263">
        <f t="shared" si="5"/>
        <v>0</v>
      </c>
      <c r="G88" s="123"/>
      <c r="H88" s="124"/>
      <c r="I88" s="125">
        <f t="shared" si="6"/>
        <v>0</v>
      </c>
      <c r="J88" s="123"/>
      <c r="K88" s="124"/>
      <c r="L88" s="125">
        <f t="shared" si="7"/>
        <v>0</v>
      </c>
      <c r="M88" s="264"/>
      <c r="N88" s="262"/>
      <c r="O88" s="125">
        <f t="shared" si="8"/>
        <v>0</v>
      </c>
      <c r="P88" s="74"/>
      <c r="R88" s="53"/>
      <c r="S88" s="53"/>
      <c r="T88" s="53"/>
      <c r="U88" s="53"/>
    </row>
    <row r="89" spans="1:21" ht="36" x14ac:dyDescent="0.25">
      <c r="A89" s="76">
        <v>2212</v>
      </c>
      <c r="B89" s="127" t="s">
        <v>105</v>
      </c>
      <c r="C89" s="128">
        <f t="shared" si="4"/>
        <v>955</v>
      </c>
      <c r="D89" s="134">
        <v>905</v>
      </c>
      <c r="E89" s="283"/>
      <c r="F89" s="279">
        <f t="shared" si="5"/>
        <v>905</v>
      </c>
      <c r="G89" s="134"/>
      <c r="H89" s="135"/>
      <c r="I89" s="136">
        <f t="shared" si="6"/>
        <v>0</v>
      </c>
      <c r="J89" s="134">
        <v>50</v>
      </c>
      <c r="K89" s="135"/>
      <c r="L89" s="136">
        <f t="shared" si="7"/>
        <v>50</v>
      </c>
      <c r="M89" s="284"/>
      <c r="N89" s="285"/>
      <c r="O89" s="136">
        <f t="shared" si="8"/>
        <v>0</v>
      </c>
      <c r="P89" s="85"/>
      <c r="R89" s="53"/>
      <c r="S89" s="53"/>
      <c r="T89" s="53"/>
      <c r="U89" s="53"/>
    </row>
    <row r="90" spans="1:21" ht="24" x14ac:dyDescent="0.25">
      <c r="A90" s="76">
        <v>2214</v>
      </c>
      <c r="B90" s="127" t="s">
        <v>106</v>
      </c>
      <c r="C90" s="128">
        <f t="shared" si="4"/>
        <v>340</v>
      </c>
      <c r="D90" s="134">
        <v>190</v>
      </c>
      <c r="E90" s="283"/>
      <c r="F90" s="279">
        <f t="shared" si="5"/>
        <v>190</v>
      </c>
      <c r="G90" s="134"/>
      <c r="H90" s="135"/>
      <c r="I90" s="136">
        <f t="shared" si="6"/>
        <v>0</v>
      </c>
      <c r="J90" s="134">
        <v>150</v>
      </c>
      <c r="K90" s="135"/>
      <c r="L90" s="136">
        <f t="shared" si="7"/>
        <v>150</v>
      </c>
      <c r="M90" s="284"/>
      <c r="N90" s="285"/>
      <c r="O90" s="136">
        <f t="shared" si="8"/>
        <v>0</v>
      </c>
      <c r="P90" s="85"/>
      <c r="R90" s="53"/>
      <c r="S90" s="53"/>
      <c r="T90" s="53"/>
      <c r="U90" s="53"/>
    </row>
    <row r="91" spans="1:21" x14ac:dyDescent="0.25">
      <c r="A91" s="76">
        <v>2219</v>
      </c>
      <c r="B91" s="127" t="s">
        <v>107</v>
      </c>
      <c r="C91" s="128">
        <f t="shared" si="4"/>
        <v>46</v>
      </c>
      <c r="D91" s="134">
        <v>46</v>
      </c>
      <c r="E91" s="283"/>
      <c r="F91" s="279">
        <f t="shared" si="5"/>
        <v>46</v>
      </c>
      <c r="G91" s="134"/>
      <c r="H91" s="135"/>
      <c r="I91" s="136">
        <f t="shared" si="6"/>
        <v>0</v>
      </c>
      <c r="J91" s="134"/>
      <c r="K91" s="135"/>
      <c r="L91" s="136">
        <f t="shared" si="7"/>
        <v>0</v>
      </c>
      <c r="M91" s="284"/>
      <c r="N91" s="285"/>
      <c r="O91" s="136">
        <f t="shared" si="8"/>
        <v>0</v>
      </c>
      <c r="P91" s="85"/>
      <c r="R91" s="53"/>
      <c r="S91" s="53"/>
      <c r="T91" s="53"/>
      <c r="U91" s="53"/>
    </row>
    <row r="92" spans="1:21" ht="24" x14ac:dyDescent="0.25">
      <c r="A92" s="276">
        <v>2220</v>
      </c>
      <c r="B92" s="127" t="s">
        <v>108</v>
      </c>
      <c r="C92" s="128">
        <f t="shared" si="4"/>
        <v>28584</v>
      </c>
      <c r="D92" s="277">
        <f>SUM(D93:D97)</f>
        <v>27005</v>
      </c>
      <c r="E92" s="278">
        <f>SUM(E93:E97)</f>
        <v>0</v>
      </c>
      <c r="F92" s="279">
        <f t="shared" si="5"/>
        <v>27005</v>
      </c>
      <c r="G92" s="277">
        <f>SUM(G93:G97)</f>
        <v>0</v>
      </c>
      <c r="H92" s="280">
        <f>SUM(H93:H97)</f>
        <v>0</v>
      </c>
      <c r="I92" s="136">
        <f t="shared" si="6"/>
        <v>0</v>
      </c>
      <c r="J92" s="277">
        <f>SUM(J93:J97)</f>
        <v>1579</v>
      </c>
      <c r="K92" s="280">
        <f>SUM(K93:K97)</f>
        <v>0</v>
      </c>
      <c r="L92" s="136">
        <f t="shared" si="7"/>
        <v>1579</v>
      </c>
      <c r="M92" s="281">
        <f>SUM(M93:M97)</f>
        <v>0</v>
      </c>
      <c r="N92" s="282">
        <f>SUM(N93:N97)</f>
        <v>0</v>
      </c>
      <c r="O92" s="136">
        <f t="shared" si="8"/>
        <v>0</v>
      </c>
      <c r="P92" s="85"/>
      <c r="R92" s="53"/>
      <c r="S92" s="53"/>
      <c r="T92" s="53"/>
      <c r="U92" s="53"/>
    </row>
    <row r="93" spans="1:21" x14ac:dyDescent="0.25">
      <c r="A93" s="76">
        <v>2221</v>
      </c>
      <c r="B93" s="127" t="s">
        <v>109</v>
      </c>
      <c r="C93" s="128">
        <f t="shared" si="4"/>
        <v>17377</v>
      </c>
      <c r="D93" s="134">
        <v>17377</v>
      </c>
      <c r="E93" s="269"/>
      <c r="F93" s="279">
        <f t="shared" si="5"/>
        <v>17377</v>
      </c>
      <c r="G93" s="134"/>
      <c r="H93" s="135"/>
      <c r="I93" s="136">
        <f t="shared" si="6"/>
        <v>0</v>
      </c>
      <c r="J93" s="134"/>
      <c r="K93" s="135"/>
      <c r="L93" s="136">
        <f t="shared" si="7"/>
        <v>0</v>
      </c>
      <c r="M93" s="284"/>
      <c r="N93" s="285"/>
      <c r="O93" s="136">
        <f t="shared" si="8"/>
        <v>0</v>
      </c>
      <c r="P93" s="275"/>
      <c r="R93" s="53"/>
      <c r="S93" s="53"/>
      <c r="T93" s="53"/>
      <c r="U93" s="53"/>
    </row>
    <row r="94" spans="1:21" x14ac:dyDescent="0.25">
      <c r="A94" s="76">
        <v>2222</v>
      </c>
      <c r="B94" s="127" t="s">
        <v>110</v>
      </c>
      <c r="C94" s="128">
        <f t="shared" si="4"/>
        <v>5059</v>
      </c>
      <c r="D94" s="134">
        <v>4412</v>
      </c>
      <c r="E94" s="283"/>
      <c r="F94" s="279">
        <f t="shared" si="5"/>
        <v>4412</v>
      </c>
      <c r="G94" s="134"/>
      <c r="H94" s="135"/>
      <c r="I94" s="136">
        <f t="shared" si="6"/>
        <v>0</v>
      </c>
      <c r="J94" s="134">
        <v>647</v>
      </c>
      <c r="K94" s="135"/>
      <c r="L94" s="136">
        <f t="shared" si="7"/>
        <v>647</v>
      </c>
      <c r="M94" s="284"/>
      <c r="N94" s="285"/>
      <c r="O94" s="136">
        <f t="shared" si="8"/>
        <v>0</v>
      </c>
      <c r="P94" s="85"/>
      <c r="R94" s="53"/>
      <c r="S94" s="53"/>
      <c r="T94" s="53"/>
      <c r="U94" s="53"/>
    </row>
    <row r="95" spans="1:21" x14ac:dyDescent="0.25">
      <c r="A95" s="76">
        <v>2223</v>
      </c>
      <c r="B95" s="127" t="s">
        <v>111</v>
      </c>
      <c r="C95" s="128">
        <f t="shared" si="4"/>
        <v>5779</v>
      </c>
      <c r="D95" s="134">
        <v>5076</v>
      </c>
      <c r="E95" s="283"/>
      <c r="F95" s="279">
        <f t="shared" si="5"/>
        <v>5076</v>
      </c>
      <c r="G95" s="134"/>
      <c r="H95" s="135"/>
      <c r="I95" s="136">
        <f t="shared" si="6"/>
        <v>0</v>
      </c>
      <c r="J95" s="134">
        <v>703</v>
      </c>
      <c r="K95" s="135"/>
      <c r="L95" s="136">
        <f t="shared" si="7"/>
        <v>703</v>
      </c>
      <c r="M95" s="284"/>
      <c r="N95" s="285"/>
      <c r="O95" s="136">
        <f t="shared" si="8"/>
        <v>0</v>
      </c>
      <c r="P95" s="85"/>
      <c r="R95" s="53"/>
      <c r="S95" s="53"/>
      <c r="T95" s="53"/>
      <c r="U95" s="53"/>
    </row>
    <row r="96" spans="1:21" ht="48" x14ac:dyDescent="0.25">
      <c r="A96" s="76">
        <v>2224</v>
      </c>
      <c r="B96" s="127" t="s">
        <v>112</v>
      </c>
      <c r="C96" s="128">
        <f t="shared" si="4"/>
        <v>369</v>
      </c>
      <c r="D96" s="134">
        <v>140</v>
      </c>
      <c r="E96" s="283"/>
      <c r="F96" s="279">
        <f t="shared" si="5"/>
        <v>140</v>
      </c>
      <c r="G96" s="134"/>
      <c r="H96" s="135"/>
      <c r="I96" s="136">
        <f t="shared" si="6"/>
        <v>0</v>
      </c>
      <c r="J96" s="134">
        <v>229</v>
      </c>
      <c r="K96" s="135"/>
      <c r="L96" s="136">
        <f t="shared" si="7"/>
        <v>229</v>
      </c>
      <c r="M96" s="284"/>
      <c r="N96" s="285"/>
      <c r="O96" s="136">
        <f t="shared" si="8"/>
        <v>0</v>
      </c>
      <c r="P96" s="85"/>
      <c r="R96" s="53"/>
      <c r="S96" s="53"/>
      <c r="T96" s="53"/>
      <c r="U96" s="53"/>
    </row>
    <row r="97" spans="1:21" ht="24" hidden="1" x14ac:dyDescent="0.25">
      <c r="A97" s="76">
        <v>2229</v>
      </c>
      <c r="B97" s="127" t="s">
        <v>113</v>
      </c>
      <c r="C97" s="128">
        <f t="shared" si="4"/>
        <v>0</v>
      </c>
      <c r="D97" s="134"/>
      <c r="E97" s="285"/>
      <c r="F97" s="286">
        <f t="shared" si="5"/>
        <v>0</v>
      </c>
      <c r="G97" s="134"/>
      <c r="H97" s="135"/>
      <c r="I97" s="136">
        <f t="shared" si="6"/>
        <v>0</v>
      </c>
      <c r="J97" s="134"/>
      <c r="K97" s="135"/>
      <c r="L97" s="136">
        <f t="shared" si="7"/>
        <v>0</v>
      </c>
      <c r="M97" s="284"/>
      <c r="N97" s="285"/>
      <c r="O97" s="136">
        <f t="shared" si="8"/>
        <v>0</v>
      </c>
      <c r="P97" s="85"/>
      <c r="R97" s="53"/>
      <c r="S97" s="53"/>
      <c r="T97" s="53"/>
      <c r="U97" s="53"/>
    </row>
    <row r="98" spans="1:21" ht="36" x14ac:dyDescent="0.25">
      <c r="A98" s="276">
        <v>2230</v>
      </c>
      <c r="B98" s="127" t="s">
        <v>114</v>
      </c>
      <c r="C98" s="128">
        <f t="shared" si="4"/>
        <v>620</v>
      </c>
      <c r="D98" s="277">
        <f>SUM(D99:D105)</f>
        <v>620</v>
      </c>
      <c r="E98" s="278">
        <f>SUM(E99:E105)</f>
        <v>0</v>
      </c>
      <c r="F98" s="279">
        <f t="shared" si="5"/>
        <v>620</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c r="R98" s="53"/>
      <c r="S98" s="53"/>
      <c r="T98" s="53"/>
      <c r="U98" s="53"/>
    </row>
    <row r="99" spans="1:21" ht="24" hidden="1" x14ac:dyDescent="0.25">
      <c r="A99" s="76">
        <v>2231</v>
      </c>
      <c r="B99" s="127" t="s">
        <v>115</v>
      </c>
      <c r="C99" s="128">
        <f t="shared" si="4"/>
        <v>0</v>
      </c>
      <c r="D99" s="134"/>
      <c r="E99" s="285"/>
      <c r="F99" s="286">
        <f t="shared" si="5"/>
        <v>0</v>
      </c>
      <c r="G99" s="134"/>
      <c r="H99" s="135"/>
      <c r="I99" s="136">
        <f t="shared" si="6"/>
        <v>0</v>
      </c>
      <c r="J99" s="134"/>
      <c r="K99" s="135"/>
      <c r="L99" s="136">
        <f t="shared" si="7"/>
        <v>0</v>
      </c>
      <c r="M99" s="284"/>
      <c r="N99" s="285"/>
      <c r="O99" s="136">
        <f t="shared" si="8"/>
        <v>0</v>
      </c>
      <c r="P99" s="85"/>
      <c r="R99" s="53"/>
      <c r="S99" s="53"/>
      <c r="T99" s="53"/>
      <c r="U99" s="53"/>
    </row>
    <row r="100" spans="1:21" ht="36" hidden="1" x14ac:dyDescent="0.25">
      <c r="A100" s="76">
        <v>2232</v>
      </c>
      <c r="B100" s="127" t="s">
        <v>116</v>
      </c>
      <c r="C100" s="128">
        <f t="shared" si="4"/>
        <v>0</v>
      </c>
      <c r="D100" s="134"/>
      <c r="E100" s="285"/>
      <c r="F100" s="286">
        <f t="shared" si="5"/>
        <v>0</v>
      </c>
      <c r="G100" s="134"/>
      <c r="H100" s="135"/>
      <c r="I100" s="136">
        <f t="shared" si="6"/>
        <v>0</v>
      </c>
      <c r="J100" s="134"/>
      <c r="K100" s="135"/>
      <c r="L100" s="136">
        <f t="shared" si="7"/>
        <v>0</v>
      </c>
      <c r="M100" s="284"/>
      <c r="N100" s="285"/>
      <c r="O100" s="136">
        <f t="shared" si="8"/>
        <v>0</v>
      </c>
      <c r="P100" s="85"/>
      <c r="R100" s="53"/>
      <c r="S100" s="53"/>
      <c r="T100" s="53"/>
      <c r="U100" s="53"/>
    </row>
    <row r="101" spans="1:21" ht="24" hidden="1" x14ac:dyDescent="0.25">
      <c r="A101" s="66">
        <v>2233</v>
      </c>
      <c r="B101" s="116" t="s">
        <v>117</v>
      </c>
      <c r="C101" s="128">
        <f t="shared" si="4"/>
        <v>0</v>
      </c>
      <c r="D101" s="123"/>
      <c r="E101" s="262"/>
      <c r="F101" s="263">
        <f t="shared" si="5"/>
        <v>0</v>
      </c>
      <c r="G101" s="123"/>
      <c r="H101" s="124"/>
      <c r="I101" s="125">
        <f t="shared" si="6"/>
        <v>0</v>
      </c>
      <c r="J101" s="123"/>
      <c r="K101" s="124"/>
      <c r="L101" s="125">
        <f t="shared" si="7"/>
        <v>0</v>
      </c>
      <c r="M101" s="264"/>
      <c r="N101" s="262"/>
      <c r="O101" s="125">
        <f t="shared" si="8"/>
        <v>0</v>
      </c>
      <c r="P101" s="74"/>
      <c r="R101" s="53"/>
      <c r="S101" s="53"/>
      <c r="T101" s="53"/>
      <c r="U101" s="53"/>
    </row>
    <row r="102" spans="1:21" ht="36" x14ac:dyDescent="0.25">
      <c r="A102" s="76">
        <v>2234</v>
      </c>
      <c r="B102" s="127" t="s">
        <v>118</v>
      </c>
      <c r="C102" s="128">
        <f t="shared" si="4"/>
        <v>245</v>
      </c>
      <c r="D102" s="134">
        <v>245</v>
      </c>
      <c r="E102" s="283"/>
      <c r="F102" s="279">
        <f t="shared" si="5"/>
        <v>245</v>
      </c>
      <c r="G102" s="134"/>
      <c r="H102" s="135"/>
      <c r="I102" s="136">
        <f t="shared" si="6"/>
        <v>0</v>
      </c>
      <c r="J102" s="134"/>
      <c r="K102" s="135"/>
      <c r="L102" s="136">
        <f t="shared" si="7"/>
        <v>0</v>
      </c>
      <c r="M102" s="284"/>
      <c r="N102" s="285"/>
      <c r="O102" s="136">
        <f t="shared" si="8"/>
        <v>0</v>
      </c>
      <c r="P102" s="85"/>
      <c r="R102" s="53"/>
      <c r="S102" s="53"/>
      <c r="T102" s="53"/>
      <c r="U102" s="53"/>
    </row>
    <row r="103" spans="1:21" ht="24" hidden="1" x14ac:dyDescent="0.25">
      <c r="A103" s="76">
        <v>2235</v>
      </c>
      <c r="B103" s="127" t="s">
        <v>119</v>
      </c>
      <c r="C103" s="128">
        <f t="shared" si="4"/>
        <v>0</v>
      </c>
      <c r="D103" s="134"/>
      <c r="E103" s="285"/>
      <c r="F103" s="286">
        <f t="shared" si="5"/>
        <v>0</v>
      </c>
      <c r="G103" s="134"/>
      <c r="H103" s="135"/>
      <c r="I103" s="136">
        <f t="shared" si="6"/>
        <v>0</v>
      </c>
      <c r="J103" s="134"/>
      <c r="K103" s="135"/>
      <c r="L103" s="136">
        <f t="shared" si="7"/>
        <v>0</v>
      </c>
      <c r="M103" s="284"/>
      <c r="N103" s="285"/>
      <c r="O103" s="136">
        <f t="shared" si="8"/>
        <v>0</v>
      </c>
      <c r="P103" s="85"/>
      <c r="R103" s="53"/>
      <c r="S103" s="53"/>
      <c r="T103" s="53"/>
      <c r="U103" s="53"/>
    </row>
    <row r="104" spans="1:21" hidden="1" x14ac:dyDescent="0.25">
      <c r="A104" s="76">
        <v>2236</v>
      </c>
      <c r="B104" s="127" t="s">
        <v>120</v>
      </c>
      <c r="C104" s="128">
        <f t="shared" si="4"/>
        <v>0</v>
      </c>
      <c r="D104" s="134"/>
      <c r="E104" s="285"/>
      <c r="F104" s="286">
        <f t="shared" si="5"/>
        <v>0</v>
      </c>
      <c r="G104" s="134"/>
      <c r="H104" s="135"/>
      <c r="I104" s="136">
        <f t="shared" si="6"/>
        <v>0</v>
      </c>
      <c r="J104" s="134"/>
      <c r="K104" s="135"/>
      <c r="L104" s="136">
        <f t="shared" si="7"/>
        <v>0</v>
      </c>
      <c r="M104" s="284"/>
      <c r="N104" s="285"/>
      <c r="O104" s="136">
        <f t="shared" si="8"/>
        <v>0</v>
      </c>
      <c r="P104" s="85"/>
      <c r="R104" s="53"/>
      <c r="S104" s="53"/>
      <c r="T104" s="53"/>
      <c r="U104" s="53"/>
    </row>
    <row r="105" spans="1:21" ht="24" x14ac:dyDescent="0.25">
      <c r="A105" s="76">
        <v>2239</v>
      </c>
      <c r="B105" s="127" t="s">
        <v>121</v>
      </c>
      <c r="C105" s="128">
        <f t="shared" si="4"/>
        <v>375</v>
      </c>
      <c r="D105" s="134">
        <v>375</v>
      </c>
      <c r="E105" s="283"/>
      <c r="F105" s="279">
        <f t="shared" si="5"/>
        <v>375</v>
      </c>
      <c r="G105" s="134"/>
      <c r="H105" s="135"/>
      <c r="I105" s="136">
        <f t="shared" si="6"/>
        <v>0</v>
      </c>
      <c r="J105" s="134"/>
      <c r="K105" s="135"/>
      <c r="L105" s="136">
        <f t="shared" si="7"/>
        <v>0</v>
      </c>
      <c r="M105" s="284"/>
      <c r="N105" s="285"/>
      <c r="O105" s="136">
        <f t="shared" si="8"/>
        <v>0</v>
      </c>
      <c r="P105" s="85"/>
      <c r="R105" s="53"/>
      <c r="S105" s="53"/>
      <c r="T105" s="53"/>
      <c r="U105" s="53"/>
    </row>
    <row r="106" spans="1:21" ht="36" x14ac:dyDescent="0.25">
      <c r="A106" s="276">
        <v>2240</v>
      </c>
      <c r="B106" s="127" t="s">
        <v>122</v>
      </c>
      <c r="C106" s="128">
        <f t="shared" si="4"/>
        <v>3093</v>
      </c>
      <c r="D106" s="277">
        <f>SUM(D107:D114)</f>
        <v>3005</v>
      </c>
      <c r="E106" s="278">
        <f>SUM(E107:E114)</f>
        <v>0</v>
      </c>
      <c r="F106" s="279">
        <f t="shared" si="5"/>
        <v>3005</v>
      </c>
      <c r="G106" s="277">
        <f>SUM(G107:G114)</f>
        <v>0</v>
      </c>
      <c r="H106" s="280">
        <f>SUM(H107:H114)</f>
        <v>0</v>
      </c>
      <c r="I106" s="136">
        <f t="shared" si="6"/>
        <v>0</v>
      </c>
      <c r="J106" s="277">
        <f>SUM(J107:J114)</f>
        <v>88</v>
      </c>
      <c r="K106" s="280">
        <f>SUM(K107:K114)</f>
        <v>0</v>
      </c>
      <c r="L106" s="136">
        <f t="shared" si="7"/>
        <v>88</v>
      </c>
      <c r="M106" s="281">
        <f>SUM(M107:M114)</f>
        <v>0</v>
      </c>
      <c r="N106" s="282">
        <f>SUM(N107:N114)</f>
        <v>0</v>
      </c>
      <c r="O106" s="136">
        <f t="shared" si="8"/>
        <v>0</v>
      </c>
      <c r="P106" s="85"/>
      <c r="R106" s="53"/>
      <c r="S106" s="53"/>
      <c r="T106" s="53"/>
      <c r="U106" s="53"/>
    </row>
    <row r="107" spans="1:21" hidden="1" x14ac:dyDescent="0.25">
      <c r="A107" s="76">
        <v>2241</v>
      </c>
      <c r="B107" s="127" t="s">
        <v>123</v>
      </c>
      <c r="C107" s="128">
        <f t="shared" si="4"/>
        <v>0</v>
      </c>
      <c r="D107" s="134"/>
      <c r="E107" s="285"/>
      <c r="F107" s="286">
        <f t="shared" si="5"/>
        <v>0</v>
      </c>
      <c r="G107" s="134"/>
      <c r="H107" s="135"/>
      <c r="I107" s="136">
        <f t="shared" si="6"/>
        <v>0</v>
      </c>
      <c r="J107" s="134"/>
      <c r="K107" s="135"/>
      <c r="L107" s="136">
        <f t="shared" si="7"/>
        <v>0</v>
      </c>
      <c r="M107" s="284"/>
      <c r="N107" s="285"/>
      <c r="O107" s="136">
        <f t="shared" si="8"/>
        <v>0</v>
      </c>
      <c r="P107" s="85"/>
      <c r="R107" s="53"/>
      <c r="S107" s="53"/>
      <c r="T107" s="53"/>
      <c r="U107" s="53"/>
    </row>
    <row r="108" spans="1:21" ht="24" hidden="1" x14ac:dyDescent="0.25">
      <c r="A108" s="76">
        <v>2242</v>
      </c>
      <c r="B108" s="127" t="s">
        <v>124</v>
      </c>
      <c r="C108" s="128">
        <f t="shared" si="4"/>
        <v>0</v>
      </c>
      <c r="D108" s="134"/>
      <c r="E108" s="285"/>
      <c r="F108" s="286">
        <f t="shared" si="5"/>
        <v>0</v>
      </c>
      <c r="G108" s="134"/>
      <c r="H108" s="135"/>
      <c r="I108" s="136">
        <f t="shared" si="6"/>
        <v>0</v>
      </c>
      <c r="J108" s="134"/>
      <c r="K108" s="135"/>
      <c r="L108" s="136">
        <f t="shared" si="7"/>
        <v>0</v>
      </c>
      <c r="M108" s="284"/>
      <c r="N108" s="285"/>
      <c r="O108" s="136">
        <f t="shared" si="8"/>
        <v>0</v>
      </c>
      <c r="P108" s="85"/>
      <c r="R108" s="53"/>
      <c r="S108" s="53"/>
      <c r="T108" s="53"/>
      <c r="U108" s="53"/>
    </row>
    <row r="109" spans="1:21" ht="24" x14ac:dyDescent="0.25">
      <c r="A109" s="76">
        <v>2243</v>
      </c>
      <c r="B109" s="127" t="s">
        <v>125</v>
      </c>
      <c r="C109" s="128">
        <f t="shared" si="4"/>
        <v>460</v>
      </c>
      <c r="D109" s="134">
        <v>460</v>
      </c>
      <c r="E109" s="283"/>
      <c r="F109" s="279">
        <f t="shared" si="5"/>
        <v>460</v>
      </c>
      <c r="G109" s="134"/>
      <c r="H109" s="135"/>
      <c r="I109" s="136">
        <f t="shared" si="6"/>
        <v>0</v>
      </c>
      <c r="J109" s="134"/>
      <c r="K109" s="135"/>
      <c r="L109" s="136">
        <f t="shared" si="7"/>
        <v>0</v>
      </c>
      <c r="M109" s="284"/>
      <c r="N109" s="285"/>
      <c r="O109" s="136">
        <f t="shared" si="8"/>
        <v>0</v>
      </c>
      <c r="P109" s="85"/>
      <c r="R109" s="53"/>
      <c r="S109" s="53"/>
      <c r="T109" s="53"/>
      <c r="U109" s="53"/>
    </row>
    <row r="110" spans="1:21" x14ac:dyDescent="0.25">
      <c r="A110" s="76">
        <v>2244</v>
      </c>
      <c r="B110" s="127" t="s">
        <v>126</v>
      </c>
      <c r="C110" s="128">
        <f t="shared" si="4"/>
        <v>1801</v>
      </c>
      <c r="D110" s="134">
        <v>1713</v>
      </c>
      <c r="E110" s="283"/>
      <c r="F110" s="279">
        <f t="shared" si="5"/>
        <v>1713</v>
      </c>
      <c r="G110" s="134"/>
      <c r="H110" s="135"/>
      <c r="I110" s="136">
        <f t="shared" si="6"/>
        <v>0</v>
      </c>
      <c r="J110" s="134">
        <v>88</v>
      </c>
      <c r="K110" s="135"/>
      <c r="L110" s="136">
        <f t="shared" si="7"/>
        <v>88</v>
      </c>
      <c r="M110" s="284"/>
      <c r="N110" s="285"/>
      <c r="O110" s="136">
        <f t="shared" si="8"/>
        <v>0</v>
      </c>
      <c r="P110" s="85"/>
      <c r="R110" s="53"/>
      <c r="S110" s="53"/>
      <c r="T110" s="53"/>
      <c r="U110" s="53"/>
    </row>
    <row r="111" spans="1:21" ht="24" hidden="1" x14ac:dyDescent="0.25">
      <c r="A111" s="76">
        <v>2246</v>
      </c>
      <c r="B111" s="127" t="s">
        <v>127</v>
      </c>
      <c r="C111" s="128">
        <f t="shared" si="4"/>
        <v>0</v>
      </c>
      <c r="D111" s="134"/>
      <c r="E111" s="285"/>
      <c r="F111" s="286">
        <f t="shared" si="5"/>
        <v>0</v>
      </c>
      <c r="G111" s="134"/>
      <c r="H111" s="135"/>
      <c r="I111" s="136">
        <f t="shared" si="6"/>
        <v>0</v>
      </c>
      <c r="J111" s="134"/>
      <c r="K111" s="135"/>
      <c r="L111" s="136">
        <f t="shared" si="7"/>
        <v>0</v>
      </c>
      <c r="M111" s="284"/>
      <c r="N111" s="285"/>
      <c r="O111" s="136">
        <f t="shared" si="8"/>
        <v>0</v>
      </c>
      <c r="P111" s="85"/>
      <c r="R111" s="53"/>
      <c r="S111" s="53"/>
      <c r="T111" s="53"/>
      <c r="U111" s="53"/>
    </row>
    <row r="112" spans="1:21" x14ac:dyDescent="0.25">
      <c r="A112" s="76">
        <v>2247</v>
      </c>
      <c r="B112" s="127" t="s">
        <v>128</v>
      </c>
      <c r="C112" s="128">
        <f t="shared" si="4"/>
        <v>382</v>
      </c>
      <c r="D112" s="134">
        <v>382</v>
      </c>
      <c r="E112" s="283"/>
      <c r="F112" s="279">
        <f t="shared" si="5"/>
        <v>382</v>
      </c>
      <c r="G112" s="134"/>
      <c r="H112" s="135"/>
      <c r="I112" s="136">
        <f t="shared" si="6"/>
        <v>0</v>
      </c>
      <c r="J112" s="134"/>
      <c r="K112" s="135"/>
      <c r="L112" s="136">
        <f t="shared" si="7"/>
        <v>0</v>
      </c>
      <c r="M112" s="284"/>
      <c r="N112" s="285"/>
      <c r="O112" s="136">
        <f t="shared" si="8"/>
        <v>0</v>
      </c>
      <c r="P112" s="85"/>
      <c r="R112" s="53"/>
      <c r="S112" s="53"/>
      <c r="T112" s="53"/>
      <c r="U112" s="53"/>
    </row>
    <row r="113" spans="1:21" ht="24" hidden="1" x14ac:dyDescent="0.25">
      <c r="A113" s="76">
        <v>2248</v>
      </c>
      <c r="B113" s="127" t="s">
        <v>129</v>
      </c>
      <c r="C113" s="128">
        <f t="shared" si="4"/>
        <v>0</v>
      </c>
      <c r="D113" s="134"/>
      <c r="E113" s="285"/>
      <c r="F113" s="286">
        <f t="shared" si="5"/>
        <v>0</v>
      </c>
      <c r="G113" s="134"/>
      <c r="H113" s="135"/>
      <c r="I113" s="136">
        <f t="shared" si="6"/>
        <v>0</v>
      </c>
      <c r="J113" s="134"/>
      <c r="K113" s="135"/>
      <c r="L113" s="136">
        <f t="shared" si="7"/>
        <v>0</v>
      </c>
      <c r="M113" s="284"/>
      <c r="N113" s="285"/>
      <c r="O113" s="136">
        <f t="shared" si="8"/>
        <v>0</v>
      </c>
      <c r="P113" s="85"/>
      <c r="R113" s="53"/>
      <c r="S113" s="53"/>
      <c r="T113" s="53"/>
      <c r="U113" s="53"/>
    </row>
    <row r="114" spans="1:21" ht="24" x14ac:dyDescent="0.25">
      <c r="A114" s="76">
        <v>2249</v>
      </c>
      <c r="B114" s="127" t="s">
        <v>130</v>
      </c>
      <c r="C114" s="128">
        <f t="shared" si="4"/>
        <v>450</v>
      </c>
      <c r="D114" s="134">
        <v>450</v>
      </c>
      <c r="E114" s="283"/>
      <c r="F114" s="279">
        <f t="shared" si="5"/>
        <v>450</v>
      </c>
      <c r="G114" s="134"/>
      <c r="H114" s="135"/>
      <c r="I114" s="136">
        <f t="shared" si="6"/>
        <v>0</v>
      </c>
      <c r="J114" s="134"/>
      <c r="K114" s="135"/>
      <c r="L114" s="136">
        <f t="shared" si="7"/>
        <v>0</v>
      </c>
      <c r="M114" s="284"/>
      <c r="N114" s="285"/>
      <c r="O114" s="136">
        <f t="shared" si="8"/>
        <v>0</v>
      </c>
      <c r="P114" s="85"/>
      <c r="R114" s="53"/>
      <c r="S114" s="53"/>
      <c r="T114" s="53"/>
      <c r="U114" s="53"/>
    </row>
    <row r="115" spans="1:21" x14ac:dyDescent="0.25">
      <c r="A115" s="276">
        <v>2250</v>
      </c>
      <c r="B115" s="127" t="s">
        <v>131</v>
      </c>
      <c r="C115" s="128">
        <f t="shared" si="4"/>
        <v>429</v>
      </c>
      <c r="D115" s="277">
        <f>SUM(D116:D118)</f>
        <v>429</v>
      </c>
      <c r="E115" s="278">
        <f>SUM(E116:E118)</f>
        <v>0</v>
      </c>
      <c r="F115" s="279">
        <f t="shared" si="5"/>
        <v>429</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c r="R115" s="53"/>
      <c r="S115" s="53"/>
      <c r="T115" s="53"/>
      <c r="U115" s="53"/>
    </row>
    <row r="116" spans="1:21" hidden="1" x14ac:dyDescent="0.25">
      <c r="A116" s="76">
        <v>2251</v>
      </c>
      <c r="B116" s="127" t="s">
        <v>132</v>
      </c>
      <c r="C116" s="128">
        <f t="shared" si="4"/>
        <v>0</v>
      </c>
      <c r="D116" s="134"/>
      <c r="E116" s="285"/>
      <c r="F116" s="286">
        <f t="shared" si="5"/>
        <v>0</v>
      </c>
      <c r="G116" s="134"/>
      <c r="H116" s="135"/>
      <c r="I116" s="136">
        <f t="shared" si="6"/>
        <v>0</v>
      </c>
      <c r="J116" s="134"/>
      <c r="K116" s="135"/>
      <c r="L116" s="136">
        <f t="shared" si="7"/>
        <v>0</v>
      </c>
      <c r="M116" s="284"/>
      <c r="N116" s="285"/>
      <c r="O116" s="136">
        <f t="shared" si="8"/>
        <v>0</v>
      </c>
      <c r="P116" s="85"/>
      <c r="R116" s="53"/>
      <c r="S116" s="53"/>
      <c r="T116" s="53"/>
      <c r="U116" s="53"/>
    </row>
    <row r="117" spans="1:21" ht="24" hidden="1" x14ac:dyDescent="0.25">
      <c r="A117" s="76">
        <v>2252</v>
      </c>
      <c r="B117" s="127" t="s">
        <v>133</v>
      </c>
      <c r="C117" s="128">
        <f t="shared" ref="C117:C181" si="9">F117+I117+L117+O117</f>
        <v>0</v>
      </c>
      <c r="D117" s="134"/>
      <c r="E117" s="285"/>
      <c r="F117" s="286">
        <f t="shared" si="5"/>
        <v>0</v>
      </c>
      <c r="G117" s="134"/>
      <c r="H117" s="135"/>
      <c r="I117" s="136">
        <f t="shared" si="6"/>
        <v>0</v>
      </c>
      <c r="J117" s="134"/>
      <c r="K117" s="135"/>
      <c r="L117" s="136">
        <f t="shared" si="7"/>
        <v>0</v>
      </c>
      <c r="M117" s="284"/>
      <c r="N117" s="285"/>
      <c r="O117" s="136">
        <f t="shared" si="8"/>
        <v>0</v>
      </c>
      <c r="P117" s="85"/>
      <c r="R117" s="53"/>
      <c r="S117" s="53"/>
      <c r="T117" s="53"/>
      <c r="U117" s="53"/>
    </row>
    <row r="118" spans="1:21" ht="24" x14ac:dyDescent="0.25">
      <c r="A118" s="76">
        <v>2259</v>
      </c>
      <c r="B118" s="127" t="s">
        <v>134</v>
      </c>
      <c r="C118" s="128">
        <f t="shared" si="9"/>
        <v>429</v>
      </c>
      <c r="D118" s="134">
        <v>429</v>
      </c>
      <c r="E118" s="283"/>
      <c r="F118" s="279">
        <f t="shared" ref="F118:F182" si="10">D118+E118</f>
        <v>429</v>
      </c>
      <c r="G118" s="134"/>
      <c r="H118" s="135"/>
      <c r="I118" s="136">
        <f t="shared" ref="I118:I182" si="11">G118+H118</f>
        <v>0</v>
      </c>
      <c r="J118" s="134"/>
      <c r="K118" s="135"/>
      <c r="L118" s="136">
        <f t="shared" ref="L118:L182" si="12">J118+K118</f>
        <v>0</v>
      </c>
      <c r="M118" s="284"/>
      <c r="N118" s="285"/>
      <c r="O118" s="136">
        <f t="shared" ref="O118:O182" si="13">M118+N118</f>
        <v>0</v>
      </c>
      <c r="P118" s="85"/>
      <c r="R118" s="53"/>
      <c r="S118" s="53"/>
      <c r="T118" s="53"/>
      <c r="U118" s="53"/>
    </row>
    <row r="119" spans="1:21" x14ac:dyDescent="0.25">
      <c r="A119" s="276">
        <v>2260</v>
      </c>
      <c r="B119" s="127" t="s">
        <v>135</v>
      </c>
      <c r="C119" s="128">
        <f t="shared" si="9"/>
        <v>12294</v>
      </c>
      <c r="D119" s="277">
        <f>SUM(D120:D124)</f>
        <v>11521</v>
      </c>
      <c r="E119" s="278">
        <f>SUM(E120:E124)</f>
        <v>0</v>
      </c>
      <c r="F119" s="279">
        <f t="shared" si="10"/>
        <v>11521</v>
      </c>
      <c r="G119" s="277">
        <f>SUM(G120:G124)</f>
        <v>0</v>
      </c>
      <c r="H119" s="280">
        <f>SUM(H120:H124)</f>
        <v>0</v>
      </c>
      <c r="I119" s="136">
        <f t="shared" si="11"/>
        <v>0</v>
      </c>
      <c r="J119" s="277">
        <f>SUM(J120:J124)</f>
        <v>773</v>
      </c>
      <c r="K119" s="280">
        <f>SUM(K120:K124)</f>
        <v>0</v>
      </c>
      <c r="L119" s="136">
        <f t="shared" si="12"/>
        <v>773</v>
      </c>
      <c r="M119" s="281">
        <f>SUM(M120:M124)</f>
        <v>0</v>
      </c>
      <c r="N119" s="282">
        <f>SUM(N120:N124)</f>
        <v>0</v>
      </c>
      <c r="O119" s="136">
        <f t="shared" si="13"/>
        <v>0</v>
      </c>
      <c r="P119" s="85"/>
      <c r="R119" s="53"/>
      <c r="S119" s="53"/>
      <c r="T119" s="53"/>
      <c r="U119" s="53"/>
    </row>
    <row r="120" spans="1:21" x14ac:dyDescent="0.25">
      <c r="A120" s="76">
        <v>2261</v>
      </c>
      <c r="B120" s="127" t="s">
        <v>136</v>
      </c>
      <c r="C120" s="128">
        <f t="shared" si="9"/>
        <v>7053</v>
      </c>
      <c r="D120" s="134">
        <v>6286</v>
      </c>
      <c r="E120" s="283"/>
      <c r="F120" s="279">
        <f t="shared" si="10"/>
        <v>6286</v>
      </c>
      <c r="G120" s="134"/>
      <c r="H120" s="135"/>
      <c r="I120" s="136">
        <f t="shared" si="11"/>
        <v>0</v>
      </c>
      <c r="J120" s="134">
        <v>767</v>
      </c>
      <c r="K120" s="135"/>
      <c r="L120" s="136">
        <f t="shared" si="12"/>
        <v>767</v>
      </c>
      <c r="M120" s="284"/>
      <c r="N120" s="285"/>
      <c r="O120" s="136">
        <f t="shared" si="13"/>
        <v>0</v>
      </c>
      <c r="P120" s="85"/>
      <c r="R120" s="53"/>
      <c r="S120" s="53"/>
      <c r="T120" s="53"/>
      <c r="U120" s="53"/>
    </row>
    <row r="121" spans="1:21" hidden="1" x14ac:dyDescent="0.25">
      <c r="A121" s="76">
        <v>2262</v>
      </c>
      <c r="B121" s="127" t="s">
        <v>137</v>
      </c>
      <c r="C121" s="128">
        <f t="shared" si="9"/>
        <v>0</v>
      </c>
      <c r="D121" s="134"/>
      <c r="E121" s="285"/>
      <c r="F121" s="286">
        <f t="shared" si="10"/>
        <v>0</v>
      </c>
      <c r="G121" s="134"/>
      <c r="H121" s="135"/>
      <c r="I121" s="136">
        <f t="shared" si="11"/>
        <v>0</v>
      </c>
      <c r="J121" s="134"/>
      <c r="K121" s="135"/>
      <c r="L121" s="136">
        <f t="shared" si="12"/>
        <v>0</v>
      </c>
      <c r="M121" s="284"/>
      <c r="N121" s="285"/>
      <c r="O121" s="136">
        <f t="shared" si="13"/>
        <v>0</v>
      </c>
      <c r="P121" s="85"/>
      <c r="R121" s="53"/>
      <c r="S121" s="53"/>
      <c r="T121" s="53"/>
      <c r="U121" s="53"/>
    </row>
    <row r="122" spans="1:21" x14ac:dyDescent="0.25">
      <c r="A122" s="76">
        <v>2263</v>
      </c>
      <c r="B122" s="127" t="s">
        <v>138</v>
      </c>
      <c r="C122" s="128">
        <f t="shared" si="9"/>
        <v>5218</v>
      </c>
      <c r="D122" s="134">
        <v>5218</v>
      </c>
      <c r="E122" s="283"/>
      <c r="F122" s="279">
        <f t="shared" si="10"/>
        <v>5218</v>
      </c>
      <c r="G122" s="134"/>
      <c r="H122" s="135"/>
      <c r="I122" s="136">
        <f t="shared" si="11"/>
        <v>0</v>
      </c>
      <c r="J122" s="134"/>
      <c r="K122" s="135"/>
      <c r="L122" s="136">
        <f t="shared" si="12"/>
        <v>0</v>
      </c>
      <c r="M122" s="284"/>
      <c r="N122" s="285"/>
      <c r="O122" s="136">
        <f t="shared" si="13"/>
        <v>0</v>
      </c>
      <c r="P122" s="85"/>
      <c r="R122" s="53"/>
      <c r="S122" s="53"/>
      <c r="T122" s="53"/>
      <c r="U122" s="53"/>
    </row>
    <row r="123" spans="1:21" ht="24" hidden="1" x14ac:dyDescent="0.25">
      <c r="A123" s="76">
        <v>2264</v>
      </c>
      <c r="B123" s="127" t="s">
        <v>139</v>
      </c>
      <c r="C123" s="128">
        <f t="shared" si="9"/>
        <v>0</v>
      </c>
      <c r="D123" s="134"/>
      <c r="E123" s="285"/>
      <c r="F123" s="286">
        <f t="shared" si="10"/>
        <v>0</v>
      </c>
      <c r="G123" s="134"/>
      <c r="H123" s="135"/>
      <c r="I123" s="136">
        <f t="shared" si="11"/>
        <v>0</v>
      </c>
      <c r="J123" s="134"/>
      <c r="K123" s="135"/>
      <c r="L123" s="136">
        <f t="shared" si="12"/>
        <v>0</v>
      </c>
      <c r="M123" s="284"/>
      <c r="N123" s="285"/>
      <c r="O123" s="136">
        <f t="shared" si="13"/>
        <v>0</v>
      </c>
      <c r="P123" s="85"/>
      <c r="R123" s="53"/>
      <c r="S123" s="53"/>
      <c r="T123" s="53"/>
      <c r="U123" s="53"/>
    </row>
    <row r="124" spans="1:21" x14ac:dyDescent="0.25">
      <c r="A124" s="76">
        <v>2269</v>
      </c>
      <c r="B124" s="127" t="s">
        <v>140</v>
      </c>
      <c r="C124" s="128">
        <f t="shared" si="9"/>
        <v>23</v>
      </c>
      <c r="D124" s="134">
        <v>17</v>
      </c>
      <c r="E124" s="283"/>
      <c r="F124" s="279">
        <f t="shared" si="10"/>
        <v>17</v>
      </c>
      <c r="G124" s="134"/>
      <c r="H124" s="135"/>
      <c r="I124" s="136">
        <f t="shared" si="11"/>
        <v>0</v>
      </c>
      <c r="J124" s="134">
        <v>6</v>
      </c>
      <c r="K124" s="135"/>
      <c r="L124" s="136">
        <f t="shared" si="12"/>
        <v>6</v>
      </c>
      <c r="M124" s="284"/>
      <c r="N124" s="285"/>
      <c r="O124" s="136">
        <f t="shared" si="13"/>
        <v>0</v>
      </c>
      <c r="P124" s="85"/>
      <c r="R124" s="53"/>
      <c r="S124" s="53"/>
      <c r="T124" s="53"/>
      <c r="U124" s="53"/>
    </row>
    <row r="125" spans="1:21" x14ac:dyDescent="0.25">
      <c r="A125" s="276">
        <v>2270</v>
      </c>
      <c r="B125" s="127" t="s">
        <v>141</v>
      </c>
      <c r="C125" s="128">
        <f t="shared" si="9"/>
        <v>77</v>
      </c>
      <c r="D125" s="277">
        <f>SUM(D126:D130)</f>
        <v>0</v>
      </c>
      <c r="E125" s="278">
        <f>SUM(E126:E130)</f>
        <v>0</v>
      </c>
      <c r="F125" s="279">
        <f t="shared" si="10"/>
        <v>0</v>
      </c>
      <c r="G125" s="277">
        <f>SUM(G126:G130)</f>
        <v>0</v>
      </c>
      <c r="H125" s="280">
        <f>SUM(H126:H130)</f>
        <v>0</v>
      </c>
      <c r="I125" s="136">
        <f t="shared" si="11"/>
        <v>0</v>
      </c>
      <c r="J125" s="277">
        <f>SUM(J126:J130)</f>
        <v>77</v>
      </c>
      <c r="K125" s="280">
        <f>SUM(K126:K130)</f>
        <v>0</v>
      </c>
      <c r="L125" s="136">
        <f t="shared" si="12"/>
        <v>77</v>
      </c>
      <c r="M125" s="281">
        <f>SUM(M126:M130)</f>
        <v>0</v>
      </c>
      <c r="N125" s="282">
        <f>SUM(N126:N130)</f>
        <v>0</v>
      </c>
      <c r="O125" s="136">
        <f t="shared" si="13"/>
        <v>0</v>
      </c>
      <c r="P125" s="85"/>
      <c r="R125" s="53"/>
      <c r="S125" s="53"/>
      <c r="T125" s="53"/>
      <c r="U125" s="53"/>
    </row>
    <row r="126" spans="1:21" hidden="1" x14ac:dyDescent="0.25">
      <c r="A126" s="76">
        <v>2272</v>
      </c>
      <c r="B126" s="5" t="s">
        <v>142</v>
      </c>
      <c r="C126" s="128">
        <f t="shared" si="9"/>
        <v>0</v>
      </c>
      <c r="D126" s="134"/>
      <c r="E126" s="285"/>
      <c r="F126" s="286">
        <f t="shared" si="10"/>
        <v>0</v>
      </c>
      <c r="G126" s="134"/>
      <c r="H126" s="135"/>
      <c r="I126" s="136">
        <f t="shared" si="11"/>
        <v>0</v>
      </c>
      <c r="J126" s="134"/>
      <c r="K126" s="135"/>
      <c r="L126" s="136">
        <f t="shared" si="12"/>
        <v>0</v>
      </c>
      <c r="M126" s="284"/>
      <c r="N126" s="285"/>
      <c r="O126" s="136">
        <f t="shared" si="13"/>
        <v>0</v>
      </c>
      <c r="P126" s="85"/>
      <c r="R126" s="53"/>
      <c r="S126" s="53"/>
      <c r="T126" s="53"/>
      <c r="U126" s="53"/>
    </row>
    <row r="127" spans="1:21" ht="24" hidden="1" x14ac:dyDescent="0.25">
      <c r="A127" s="76">
        <v>2275</v>
      </c>
      <c r="B127" s="127" t="s">
        <v>143</v>
      </c>
      <c r="C127" s="128">
        <f t="shared" si="9"/>
        <v>0</v>
      </c>
      <c r="D127" s="134"/>
      <c r="E127" s="285"/>
      <c r="F127" s="286">
        <f t="shared" si="10"/>
        <v>0</v>
      </c>
      <c r="G127" s="134"/>
      <c r="H127" s="135"/>
      <c r="I127" s="136">
        <f t="shared" si="11"/>
        <v>0</v>
      </c>
      <c r="J127" s="134"/>
      <c r="K127" s="135"/>
      <c r="L127" s="136">
        <f t="shared" si="12"/>
        <v>0</v>
      </c>
      <c r="M127" s="284"/>
      <c r="N127" s="285"/>
      <c r="O127" s="136">
        <f t="shared" si="13"/>
        <v>0</v>
      </c>
      <c r="P127" s="85"/>
      <c r="R127" s="53"/>
      <c r="S127" s="53"/>
      <c r="T127" s="53"/>
      <c r="U127" s="53"/>
    </row>
    <row r="128" spans="1:21" ht="36" hidden="1" x14ac:dyDescent="0.25">
      <c r="A128" s="76">
        <v>2276</v>
      </c>
      <c r="B128" s="127" t="s">
        <v>144</v>
      </c>
      <c r="C128" s="128">
        <f t="shared" si="9"/>
        <v>0</v>
      </c>
      <c r="D128" s="134"/>
      <c r="E128" s="285"/>
      <c r="F128" s="286">
        <f t="shared" si="10"/>
        <v>0</v>
      </c>
      <c r="G128" s="134"/>
      <c r="H128" s="135"/>
      <c r="I128" s="136">
        <f t="shared" si="11"/>
        <v>0</v>
      </c>
      <c r="J128" s="134"/>
      <c r="K128" s="135"/>
      <c r="L128" s="136">
        <f t="shared" si="12"/>
        <v>0</v>
      </c>
      <c r="M128" s="284"/>
      <c r="N128" s="285"/>
      <c r="O128" s="136">
        <f t="shared" si="13"/>
        <v>0</v>
      </c>
      <c r="P128" s="85"/>
      <c r="R128" s="53"/>
      <c r="S128" s="53"/>
      <c r="T128" s="53"/>
      <c r="U128" s="53"/>
    </row>
    <row r="129" spans="1:21" ht="24" hidden="1" x14ac:dyDescent="0.25">
      <c r="A129" s="76">
        <v>2278</v>
      </c>
      <c r="B129" s="127" t="s">
        <v>145</v>
      </c>
      <c r="C129" s="128">
        <f t="shared" si="9"/>
        <v>0</v>
      </c>
      <c r="D129" s="134"/>
      <c r="E129" s="285"/>
      <c r="F129" s="286">
        <f t="shared" si="10"/>
        <v>0</v>
      </c>
      <c r="G129" s="134"/>
      <c r="H129" s="135"/>
      <c r="I129" s="136">
        <f t="shared" si="11"/>
        <v>0</v>
      </c>
      <c r="J129" s="134"/>
      <c r="K129" s="135"/>
      <c r="L129" s="136">
        <f t="shared" si="12"/>
        <v>0</v>
      </c>
      <c r="M129" s="284"/>
      <c r="N129" s="285"/>
      <c r="O129" s="136">
        <f t="shared" si="13"/>
        <v>0</v>
      </c>
      <c r="P129" s="85"/>
      <c r="R129" s="53"/>
      <c r="S129" s="53"/>
      <c r="T129" s="53"/>
      <c r="U129" s="53"/>
    </row>
    <row r="130" spans="1:21" ht="24" x14ac:dyDescent="0.25">
      <c r="A130" s="76">
        <v>2279</v>
      </c>
      <c r="B130" s="127" t="s">
        <v>146</v>
      </c>
      <c r="C130" s="128">
        <f t="shared" si="9"/>
        <v>77</v>
      </c>
      <c r="D130" s="134"/>
      <c r="E130" s="283"/>
      <c r="F130" s="279">
        <f t="shared" si="10"/>
        <v>0</v>
      </c>
      <c r="G130" s="134"/>
      <c r="H130" s="135"/>
      <c r="I130" s="136">
        <f t="shared" si="11"/>
        <v>0</v>
      </c>
      <c r="J130" s="134">
        <v>77</v>
      </c>
      <c r="K130" s="135"/>
      <c r="L130" s="136">
        <f t="shared" si="12"/>
        <v>77</v>
      </c>
      <c r="M130" s="284"/>
      <c r="N130" s="285"/>
      <c r="O130" s="136">
        <f t="shared" si="13"/>
        <v>0</v>
      </c>
      <c r="P130" s="85"/>
      <c r="R130" s="53"/>
      <c r="S130" s="53"/>
      <c r="T130" s="53"/>
      <c r="U130" s="53"/>
    </row>
    <row r="131" spans="1:21" ht="24" hidden="1" x14ac:dyDescent="0.25">
      <c r="A131" s="656">
        <v>2280</v>
      </c>
      <c r="B131" s="116" t="s">
        <v>147</v>
      </c>
      <c r="C131" s="128">
        <f t="shared" si="9"/>
        <v>0</v>
      </c>
      <c r="D131" s="297">
        <f t="shared" ref="D131:N131" si="14">SUM(D132)</f>
        <v>0</v>
      </c>
      <c r="E131" s="301">
        <f t="shared" si="14"/>
        <v>0</v>
      </c>
      <c r="F131" s="263">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c r="R131" s="53"/>
      <c r="S131" s="53"/>
      <c r="T131" s="53"/>
      <c r="U131" s="53"/>
    </row>
    <row r="132" spans="1:21" ht="24" hidden="1" x14ac:dyDescent="0.25">
      <c r="A132" s="76">
        <v>2283</v>
      </c>
      <c r="B132" s="127" t="s">
        <v>148</v>
      </c>
      <c r="C132" s="128">
        <f t="shared" si="9"/>
        <v>0</v>
      </c>
      <c r="D132" s="134"/>
      <c r="E132" s="285"/>
      <c r="F132" s="286">
        <f t="shared" si="10"/>
        <v>0</v>
      </c>
      <c r="G132" s="134"/>
      <c r="H132" s="135"/>
      <c r="I132" s="136">
        <f t="shared" si="11"/>
        <v>0</v>
      </c>
      <c r="J132" s="134"/>
      <c r="K132" s="135"/>
      <c r="L132" s="136">
        <f t="shared" si="12"/>
        <v>0</v>
      </c>
      <c r="M132" s="284"/>
      <c r="N132" s="285"/>
      <c r="O132" s="136">
        <f t="shared" si="13"/>
        <v>0</v>
      </c>
      <c r="P132" s="85"/>
      <c r="R132" s="53"/>
      <c r="S132" s="53"/>
      <c r="T132" s="53"/>
      <c r="U132" s="53"/>
    </row>
    <row r="133" spans="1:21" ht="36" x14ac:dyDescent="0.25">
      <c r="A133" s="99">
        <v>2300</v>
      </c>
      <c r="B133" s="247" t="s">
        <v>149</v>
      </c>
      <c r="C133" s="100">
        <f t="shared" si="9"/>
        <v>13895</v>
      </c>
      <c r="D133" s="112">
        <f>SUM(D134,D139,D143,D144,D147,D154,D162,D163,D166)</f>
        <v>10918</v>
      </c>
      <c r="E133" s="248">
        <f>SUM(E134,E139,E143,E144,E147,E154,E162,E163,E166)</f>
        <v>0</v>
      </c>
      <c r="F133" s="249">
        <f t="shared" si="10"/>
        <v>10918</v>
      </c>
      <c r="G133" s="112">
        <f>SUM(G134,G139,G143,G144,G147,G154,G162,G163,G166)</f>
        <v>624</v>
      </c>
      <c r="H133" s="113">
        <f>SUM(H134,H139,H143,H144,H147,H154,H162,H163,H166)</f>
        <v>0</v>
      </c>
      <c r="I133" s="114">
        <f t="shared" si="11"/>
        <v>624</v>
      </c>
      <c r="J133" s="112">
        <f>SUM(J134,J139,J143,J144,J147,J154,J162,J163,J166)</f>
        <v>2333</v>
      </c>
      <c r="K133" s="113">
        <f>SUM(K134,K139,K143,K144,K147,K154,K162,K163,K166)</f>
        <v>0</v>
      </c>
      <c r="L133" s="114">
        <f t="shared" si="12"/>
        <v>2333</v>
      </c>
      <c r="M133" s="292">
        <f>SUM(M134,M139,M143,M144,M147,M154,M162,M163,M166)</f>
        <v>20</v>
      </c>
      <c r="N133" s="293">
        <f>SUM(N134,N139,N143,N144,N147,N154,N162,N163,N166)</f>
        <v>0</v>
      </c>
      <c r="O133" s="114">
        <f t="shared" si="13"/>
        <v>20</v>
      </c>
      <c r="P133" s="109"/>
      <c r="R133" s="53"/>
      <c r="S133" s="53"/>
      <c r="T133" s="53"/>
      <c r="U133" s="53"/>
    </row>
    <row r="134" spans="1:21" ht="24" x14ac:dyDescent="0.25">
      <c r="A134" s="656">
        <v>2310</v>
      </c>
      <c r="B134" s="116" t="s">
        <v>150</v>
      </c>
      <c r="C134" s="117">
        <f t="shared" si="9"/>
        <v>4277</v>
      </c>
      <c r="D134" s="308">
        <f>SUM(D135:D138)</f>
        <v>3456</v>
      </c>
      <c r="E134" s="300">
        <f>SUM(E135:E138)</f>
        <v>0</v>
      </c>
      <c r="F134" s="296">
        <f t="shared" si="10"/>
        <v>3456</v>
      </c>
      <c r="G134" s="297">
        <f>SUM(G135:G138)</f>
        <v>0</v>
      </c>
      <c r="H134" s="299">
        <f>SUM(H135:H138)</f>
        <v>0</v>
      </c>
      <c r="I134" s="125">
        <f t="shared" si="11"/>
        <v>0</v>
      </c>
      <c r="J134" s="297">
        <f>SUM(J135:J138)</f>
        <v>801</v>
      </c>
      <c r="K134" s="299">
        <f>SUM(K135:K138)</f>
        <v>0</v>
      </c>
      <c r="L134" s="125">
        <f t="shared" si="12"/>
        <v>801</v>
      </c>
      <c r="M134" s="300">
        <f>SUM(M135:M138)</f>
        <v>20</v>
      </c>
      <c r="N134" s="301">
        <f>SUM(N135:N138)</f>
        <v>0</v>
      </c>
      <c r="O134" s="125">
        <f t="shared" si="13"/>
        <v>20</v>
      </c>
      <c r="P134" s="74"/>
      <c r="R134" s="53"/>
      <c r="S134" s="53"/>
      <c r="T134" s="53"/>
      <c r="U134" s="53"/>
    </row>
    <row r="135" spans="1:21" x14ac:dyDescent="0.25">
      <c r="A135" s="76">
        <v>2311</v>
      </c>
      <c r="B135" s="127" t="s">
        <v>151</v>
      </c>
      <c r="C135" s="128">
        <f t="shared" si="9"/>
        <v>1480</v>
      </c>
      <c r="D135" s="134">
        <v>1480</v>
      </c>
      <c r="E135" s="283"/>
      <c r="F135" s="279">
        <f t="shared" si="10"/>
        <v>1480</v>
      </c>
      <c r="G135" s="134"/>
      <c r="H135" s="135"/>
      <c r="I135" s="136">
        <f t="shared" si="11"/>
        <v>0</v>
      </c>
      <c r="J135" s="134"/>
      <c r="K135" s="135"/>
      <c r="L135" s="136">
        <f t="shared" si="12"/>
        <v>0</v>
      </c>
      <c r="M135" s="284"/>
      <c r="N135" s="285"/>
      <c r="O135" s="136">
        <f t="shared" si="13"/>
        <v>0</v>
      </c>
      <c r="P135" s="85"/>
      <c r="R135" s="53"/>
      <c r="S135" s="53"/>
      <c r="T135" s="53"/>
      <c r="U135" s="53"/>
    </row>
    <row r="136" spans="1:21" x14ac:dyDescent="0.25">
      <c r="A136" s="76">
        <v>2312</v>
      </c>
      <c r="B136" s="127" t="s">
        <v>152</v>
      </c>
      <c r="C136" s="128">
        <f t="shared" si="9"/>
        <v>2376</v>
      </c>
      <c r="D136" s="134">
        <v>1676</v>
      </c>
      <c r="E136" s="283"/>
      <c r="F136" s="279">
        <f t="shared" si="10"/>
        <v>1676</v>
      </c>
      <c r="G136" s="134"/>
      <c r="H136" s="135"/>
      <c r="I136" s="136">
        <f t="shared" si="11"/>
        <v>0</v>
      </c>
      <c r="J136" s="134">
        <v>700</v>
      </c>
      <c r="K136" s="135"/>
      <c r="L136" s="136">
        <f t="shared" si="12"/>
        <v>700</v>
      </c>
      <c r="M136" s="284"/>
      <c r="N136" s="285"/>
      <c r="O136" s="136">
        <f t="shared" si="13"/>
        <v>0</v>
      </c>
      <c r="P136" s="85"/>
      <c r="R136" s="53"/>
      <c r="S136" s="53"/>
      <c r="T136" s="53"/>
      <c r="U136" s="53"/>
    </row>
    <row r="137" spans="1:21" hidden="1" x14ac:dyDescent="0.25">
      <c r="A137" s="76">
        <v>2313</v>
      </c>
      <c r="B137" s="127" t="s">
        <v>153</v>
      </c>
      <c r="C137" s="128">
        <f t="shared" si="9"/>
        <v>0</v>
      </c>
      <c r="D137" s="134"/>
      <c r="E137" s="285"/>
      <c r="F137" s="286">
        <f t="shared" si="10"/>
        <v>0</v>
      </c>
      <c r="G137" s="134"/>
      <c r="H137" s="135"/>
      <c r="I137" s="136">
        <f t="shared" si="11"/>
        <v>0</v>
      </c>
      <c r="J137" s="134"/>
      <c r="K137" s="135"/>
      <c r="L137" s="136">
        <f t="shared" si="12"/>
        <v>0</v>
      </c>
      <c r="M137" s="284"/>
      <c r="N137" s="285"/>
      <c r="O137" s="136">
        <f t="shared" si="13"/>
        <v>0</v>
      </c>
      <c r="P137" s="85"/>
      <c r="R137" s="53"/>
      <c r="S137" s="53"/>
      <c r="T137" s="53"/>
      <c r="U137" s="53"/>
    </row>
    <row r="138" spans="1:21" ht="36" x14ac:dyDescent="0.25">
      <c r="A138" s="76">
        <v>2314</v>
      </c>
      <c r="B138" s="127" t="s">
        <v>154</v>
      </c>
      <c r="C138" s="128">
        <f t="shared" si="9"/>
        <v>421</v>
      </c>
      <c r="D138" s="134">
        <v>300</v>
      </c>
      <c r="E138" s="283"/>
      <c r="F138" s="279">
        <f t="shared" si="10"/>
        <v>300</v>
      </c>
      <c r="G138" s="134"/>
      <c r="H138" s="135"/>
      <c r="I138" s="136">
        <f t="shared" si="11"/>
        <v>0</v>
      </c>
      <c r="J138" s="134">
        <v>101</v>
      </c>
      <c r="K138" s="135"/>
      <c r="L138" s="136">
        <f t="shared" si="12"/>
        <v>101</v>
      </c>
      <c r="M138" s="284">
        <v>20</v>
      </c>
      <c r="N138" s="285"/>
      <c r="O138" s="136">
        <f t="shared" si="13"/>
        <v>20</v>
      </c>
      <c r="P138" s="85"/>
      <c r="R138" s="53"/>
      <c r="S138" s="53"/>
      <c r="T138" s="53"/>
      <c r="U138" s="53"/>
    </row>
    <row r="139" spans="1:21" x14ac:dyDescent="0.25">
      <c r="A139" s="276">
        <v>2320</v>
      </c>
      <c r="B139" s="127" t="s">
        <v>155</v>
      </c>
      <c r="C139" s="128">
        <f t="shared" si="9"/>
        <v>1042</v>
      </c>
      <c r="D139" s="277">
        <f>SUM(D140:D142)</f>
        <v>292</v>
      </c>
      <c r="E139" s="278">
        <f>SUM(E140:E142)</f>
        <v>0</v>
      </c>
      <c r="F139" s="279">
        <f t="shared" si="10"/>
        <v>292</v>
      </c>
      <c r="G139" s="277">
        <f>SUM(G140:G142)</f>
        <v>0</v>
      </c>
      <c r="H139" s="280">
        <f>SUM(H140:H142)</f>
        <v>0</v>
      </c>
      <c r="I139" s="136">
        <f t="shared" si="11"/>
        <v>0</v>
      </c>
      <c r="J139" s="277">
        <f>SUM(J140:J142)</f>
        <v>750</v>
      </c>
      <c r="K139" s="280">
        <f>SUM(K140:K142)</f>
        <v>0</v>
      </c>
      <c r="L139" s="136">
        <f t="shared" si="12"/>
        <v>750</v>
      </c>
      <c r="M139" s="281">
        <f>SUM(M140:M142)</f>
        <v>0</v>
      </c>
      <c r="N139" s="282">
        <f>SUM(N140:N142)</f>
        <v>0</v>
      </c>
      <c r="O139" s="136">
        <f t="shared" si="13"/>
        <v>0</v>
      </c>
      <c r="P139" s="85"/>
      <c r="R139" s="53"/>
      <c r="S139" s="53"/>
      <c r="T139" s="53"/>
      <c r="U139" s="53"/>
    </row>
    <row r="140" spans="1:21" hidden="1" x14ac:dyDescent="0.25">
      <c r="A140" s="76">
        <v>2321</v>
      </c>
      <c r="B140" s="127" t="s">
        <v>156</v>
      </c>
      <c r="C140" s="128">
        <f t="shared" si="9"/>
        <v>0</v>
      </c>
      <c r="D140" s="134"/>
      <c r="E140" s="285"/>
      <c r="F140" s="286">
        <f t="shared" si="10"/>
        <v>0</v>
      </c>
      <c r="G140" s="134"/>
      <c r="H140" s="135"/>
      <c r="I140" s="136">
        <f t="shared" si="11"/>
        <v>0</v>
      </c>
      <c r="J140" s="134"/>
      <c r="K140" s="135"/>
      <c r="L140" s="136">
        <f t="shared" si="12"/>
        <v>0</v>
      </c>
      <c r="M140" s="284"/>
      <c r="N140" s="285"/>
      <c r="O140" s="136">
        <f t="shared" si="13"/>
        <v>0</v>
      </c>
      <c r="P140" s="85"/>
      <c r="R140" s="53"/>
      <c r="S140" s="53"/>
      <c r="T140" s="53"/>
      <c r="U140" s="53"/>
    </row>
    <row r="141" spans="1:21" x14ac:dyDescent="0.25">
      <c r="A141" s="76">
        <v>2322</v>
      </c>
      <c r="B141" s="127" t="s">
        <v>157</v>
      </c>
      <c r="C141" s="128">
        <f t="shared" si="9"/>
        <v>1042</v>
      </c>
      <c r="D141" s="134">
        <v>292</v>
      </c>
      <c r="E141" s="283"/>
      <c r="F141" s="279">
        <f t="shared" si="10"/>
        <v>292</v>
      </c>
      <c r="G141" s="134"/>
      <c r="H141" s="135"/>
      <c r="I141" s="136">
        <f t="shared" si="11"/>
        <v>0</v>
      </c>
      <c r="J141" s="134">
        <v>750</v>
      </c>
      <c r="K141" s="135"/>
      <c r="L141" s="136">
        <f t="shared" si="12"/>
        <v>750</v>
      </c>
      <c r="M141" s="284"/>
      <c r="N141" s="285"/>
      <c r="O141" s="136">
        <f t="shared" si="13"/>
        <v>0</v>
      </c>
      <c r="P141" s="85"/>
      <c r="R141" s="53"/>
      <c r="S141" s="53"/>
      <c r="T141" s="53"/>
      <c r="U141" s="53"/>
    </row>
    <row r="142" spans="1:21" hidden="1" x14ac:dyDescent="0.25">
      <c r="A142" s="76">
        <v>2329</v>
      </c>
      <c r="B142" s="127" t="s">
        <v>158</v>
      </c>
      <c r="C142" s="128">
        <f t="shared" si="9"/>
        <v>0</v>
      </c>
      <c r="D142" s="134"/>
      <c r="E142" s="285"/>
      <c r="F142" s="286">
        <f t="shared" si="10"/>
        <v>0</v>
      </c>
      <c r="G142" s="134"/>
      <c r="H142" s="135"/>
      <c r="I142" s="136">
        <f t="shared" si="11"/>
        <v>0</v>
      </c>
      <c r="J142" s="134"/>
      <c r="K142" s="135"/>
      <c r="L142" s="136">
        <f t="shared" si="12"/>
        <v>0</v>
      </c>
      <c r="M142" s="284"/>
      <c r="N142" s="285"/>
      <c r="O142" s="136">
        <f t="shared" si="13"/>
        <v>0</v>
      </c>
      <c r="P142" s="85"/>
      <c r="R142" s="53"/>
      <c r="S142" s="53"/>
      <c r="T142" s="53"/>
      <c r="U142" s="53"/>
    </row>
    <row r="143" spans="1:21" hidden="1" x14ac:dyDescent="0.25">
      <c r="A143" s="276">
        <v>2330</v>
      </c>
      <c r="B143" s="127" t="s">
        <v>159</v>
      </c>
      <c r="C143" s="128">
        <f t="shared" si="9"/>
        <v>0</v>
      </c>
      <c r="D143" s="134"/>
      <c r="E143" s="285"/>
      <c r="F143" s="286">
        <f t="shared" si="10"/>
        <v>0</v>
      </c>
      <c r="G143" s="134"/>
      <c r="H143" s="135"/>
      <c r="I143" s="136">
        <f t="shared" si="11"/>
        <v>0</v>
      </c>
      <c r="J143" s="134"/>
      <c r="K143" s="135"/>
      <c r="L143" s="136">
        <f t="shared" si="12"/>
        <v>0</v>
      </c>
      <c r="M143" s="284"/>
      <c r="N143" s="285"/>
      <c r="O143" s="136">
        <f t="shared" si="13"/>
        <v>0</v>
      </c>
      <c r="P143" s="85"/>
      <c r="R143" s="53"/>
      <c r="S143" s="53"/>
      <c r="T143" s="53"/>
      <c r="U143" s="53"/>
    </row>
    <row r="144" spans="1:21" ht="48" x14ac:dyDescent="0.25">
      <c r="A144" s="276">
        <v>2340</v>
      </c>
      <c r="B144" s="127" t="s">
        <v>160</v>
      </c>
      <c r="C144" s="128">
        <f t="shared" si="9"/>
        <v>75</v>
      </c>
      <c r="D144" s="277">
        <f>SUM(D145:D146)</f>
        <v>75</v>
      </c>
      <c r="E144" s="278">
        <f>SUM(E145:E146)</f>
        <v>0</v>
      </c>
      <c r="F144" s="279">
        <f t="shared" si="10"/>
        <v>75</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c r="R144" s="53"/>
      <c r="S144" s="53"/>
      <c r="T144" s="53"/>
      <c r="U144" s="53"/>
    </row>
    <row r="145" spans="1:21" x14ac:dyDescent="0.25">
      <c r="A145" s="76">
        <v>2341</v>
      </c>
      <c r="B145" s="127" t="s">
        <v>161</v>
      </c>
      <c r="C145" s="128">
        <f t="shared" si="9"/>
        <v>75</v>
      </c>
      <c r="D145" s="134">
        <v>75</v>
      </c>
      <c r="E145" s="283"/>
      <c r="F145" s="279">
        <f t="shared" si="10"/>
        <v>75</v>
      </c>
      <c r="G145" s="134"/>
      <c r="H145" s="135"/>
      <c r="I145" s="136">
        <f t="shared" si="11"/>
        <v>0</v>
      </c>
      <c r="J145" s="134"/>
      <c r="K145" s="135"/>
      <c r="L145" s="136">
        <f t="shared" si="12"/>
        <v>0</v>
      </c>
      <c r="M145" s="284"/>
      <c r="N145" s="285"/>
      <c r="O145" s="136">
        <f t="shared" si="13"/>
        <v>0</v>
      </c>
      <c r="P145" s="85"/>
      <c r="R145" s="53"/>
      <c r="S145" s="53"/>
      <c r="T145" s="53"/>
      <c r="U145" s="53"/>
    </row>
    <row r="146" spans="1:21" ht="24" hidden="1" x14ac:dyDescent="0.25">
      <c r="A146" s="76">
        <v>2344</v>
      </c>
      <c r="B146" s="127" t="s">
        <v>162</v>
      </c>
      <c r="C146" s="128">
        <f t="shared" si="9"/>
        <v>0</v>
      </c>
      <c r="D146" s="134"/>
      <c r="E146" s="285"/>
      <c r="F146" s="286">
        <f t="shared" si="10"/>
        <v>0</v>
      </c>
      <c r="G146" s="134"/>
      <c r="H146" s="135"/>
      <c r="I146" s="136">
        <f t="shared" si="11"/>
        <v>0</v>
      </c>
      <c r="J146" s="134"/>
      <c r="K146" s="135"/>
      <c r="L146" s="136">
        <f t="shared" si="12"/>
        <v>0</v>
      </c>
      <c r="M146" s="284"/>
      <c r="N146" s="285"/>
      <c r="O146" s="136">
        <f t="shared" si="13"/>
        <v>0</v>
      </c>
      <c r="P146" s="85"/>
      <c r="R146" s="53"/>
      <c r="S146" s="53"/>
      <c r="T146" s="53"/>
      <c r="U146" s="53"/>
    </row>
    <row r="147" spans="1:21" ht="28.5" customHeight="1" x14ac:dyDescent="0.25">
      <c r="A147" s="254">
        <v>2350</v>
      </c>
      <c r="B147" s="179" t="s">
        <v>163</v>
      </c>
      <c r="C147" s="128">
        <f t="shared" si="9"/>
        <v>2734</v>
      </c>
      <c r="D147" s="255">
        <f>SUM(D148:D153)</f>
        <v>2629</v>
      </c>
      <c r="E147" s="256">
        <f>SUM(E148:E153)</f>
        <v>0</v>
      </c>
      <c r="F147" s="257">
        <f t="shared" si="10"/>
        <v>2629</v>
      </c>
      <c r="G147" s="255">
        <f>SUM(G148:G153)</f>
        <v>0</v>
      </c>
      <c r="H147" s="258">
        <f>SUM(H148:H153)</f>
        <v>0</v>
      </c>
      <c r="I147" s="259">
        <f t="shared" si="11"/>
        <v>0</v>
      </c>
      <c r="J147" s="255">
        <f>SUM(J148:J153)</f>
        <v>105</v>
      </c>
      <c r="K147" s="258">
        <f>SUM(K148:K153)</f>
        <v>0</v>
      </c>
      <c r="L147" s="259">
        <f t="shared" si="12"/>
        <v>105</v>
      </c>
      <c r="M147" s="260">
        <f>SUM(M148:M153)</f>
        <v>0</v>
      </c>
      <c r="N147" s="261">
        <f>SUM(N148:N153)</f>
        <v>0</v>
      </c>
      <c r="O147" s="259">
        <f t="shared" si="13"/>
        <v>0</v>
      </c>
      <c r="P147" s="189"/>
      <c r="R147" s="53"/>
      <c r="S147" s="53"/>
      <c r="T147" s="53"/>
      <c r="U147" s="53"/>
    </row>
    <row r="148" spans="1:21" ht="72.75" customHeight="1" x14ac:dyDescent="0.25">
      <c r="A148" s="66">
        <v>2351</v>
      </c>
      <c r="B148" s="116" t="s">
        <v>164</v>
      </c>
      <c r="C148" s="128">
        <f t="shared" si="9"/>
        <v>736</v>
      </c>
      <c r="D148" s="123">
        <v>736</v>
      </c>
      <c r="E148" s="295"/>
      <c r="F148" s="296">
        <f t="shared" si="10"/>
        <v>736</v>
      </c>
      <c r="G148" s="123"/>
      <c r="H148" s="124"/>
      <c r="I148" s="125">
        <f t="shared" si="11"/>
        <v>0</v>
      </c>
      <c r="J148" s="123"/>
      <c r="K148" s="124"/>
      <c r="L148" s="125">
        <f t="shared" si="12"/>
        <v>0</v>
      </c>
      <c r="M148" s="264"/>
      <c r="N148" s="262"/>
      <c r="O148" s="125">
        <f t="shared" si="13"/>
        <v>0</v>
      </c>
      <c r="P148" s="85"/>
      <c r="R148" s="53"/>
      <c r="S148" s="53"/>
      <c r="T148" s="53"/>
      <c r="U148" s="53"/>
    </row>
    <row r="149" spans="1:21" ht="64.5" customHeight="1" x14ac:dyDescent="0.25">
      <c r="A149" s="76">
        <v>2352</v>
      </c>
      <c r="B149" s="127" t="s">
        <v>165</v>
      </c>
      <c r="C149" s="128">
        <f t="shared" si="9"/>
        <v>1788</v>
      </c>
      <c r="D149" s="134">
        <v>1683</v>
      </c>
      <c r="E149" s="283"/>
      <c r="F149" s="279">
        <f t="shared" si="10"/>
        <v>1683</v>
      </c>
      <c r="G149" s="134"/>
      <c r="H149" s="135"/>
      <c r="I149" s="136">
        <f t="shared" si="11"/>
        <v>0</v>
      </c>
      <c r="J149" s="134">
        <v>105</v>
      </c>
      <c r="K149" s="135"/>
      <c r="L149" s="136">
        <f t="shared" si="12"/>
        <v>105</v>
      </c>
      <c r="M149" s="284"/>
      <c r="N149" s="285"/>
      <c r="O149" s="136">
        <f t="shared" si="13"/>
        <v>0</v>
      </c>
      <c r="P149" s="85"/>
      <c r="R149" s="53"/>
      <c r="S149" s="53"/>
      <c r="T149" s="53"/>
      <c r="U149" s="53"/>
    </row>
    <row r="150" spans="1:21" ht="24" x14ac:dyDescent="0.25">
      <c r="A150" s="76">
        <v>2353</v>
      </c>
      <c r="B150" s="127" t="s">
        <v>166</v>
      </c>
      <c r="C150" s="128">
        <f t="shared" si="9"/>
        <v>70</v>
      </c>
      <c r="D150" s="134">
        <v>70</v>
      </c>
      <c r="E150" s="283"/>
      <c r="F150" s="279">
        <f t="shared" si="10"/>
        <v>70</v>
      </c>
      <c r="G150" s="134"/>
      <c r="H150" s="135"/>
      <c r="I150" s="136">
        <f t="shared" si="11"/>
        <v>0</v>
      </c>
      <c r="J150" s="134"/>
      <c r="K150" s="135"/>
      <c r="L150" s="136">
        <f t="shared" si="12"/>
        <v>0</v>
      </c>
      <c r="M150" s="284"/>
      <c r="N150" s="285"/>
      <c r="O150" s="136">
        <f t="shared" si="13"/>
        <v>0</v>
      </c>
      <c r="P150" s="85"/>
      <c r="R150" s="53"/>
      <c r="S150" s="53"/>
      <c r="T150" s="53"/>
      <c r="U150" s="53"/>
    </row>
    <row r="151" spans="1:21" ht="24" hidden="1" x14ac:dyDescent="0.25">
      <c r="A151" s="76">
        <v>2354</v>
      </c>
      <c r="B151" s="127" t="s">
        <v>167</v>
      </c>
      <c r="C151" s="128">
        <f t="shared" si="9"/>
        <v>0</v>
      </c>
      <c r="D151" s="134"/>
      <c r="E151" s="285"/>
      <c r="F151" s="286">
        <f t="shared" si="10"/>
        <v>0</v>
      </c>
      <c r="G151" s="134"/>
      <c r="H151" s="135"/>
      <c r="I151" s="136">
        <f t="shared" si="11"/>
        <v>0</v>
      </c>
      <c r="J151" s="134"/>
      <c r="K151" s="135"/>
      <c r="L151" s="136">
        <f t="shared" si="12"/>
        <v>0</v>
      </c>
      <c r="M151" s="284"/>
      <c r="N151" s="285"/>
      <c r="O151" s="136">
        <f t="shared" si="13"/>
        <v>0</v>
      </c>
      <c r="P151" s="85"/>
      <c r="R151" s="53"/>
      <c r="S151" s="53"/>
      <c r="T151" s="53"/>
      <c r="U151" s="53"/>
    </row>
    <row r="152" spans="1:21" ht="24" x14ac:dyDescent="0.25">
      <c r="A152" s="76">
        <v>2355</v>
      </c>
      <c r="B152" s="127" t="s">
        <v>168</v>
      </c>
      <c r="C152" s="128">
        <f t="shared" si="9"/>
        <v>140</v>
      </c>
      <c r="D152" s="134">
        <v>140</v>
      </c>
      <c r="E152" s="283"/>
      <c r="F152" s="279">
        <f t="shared" si="10"/>
        <v>140</v>
      </c>
      <c r="G152" s="134"/>
      <c r="H152" s="135"/>
      <c r="I152" s="136">
        <f t="shared" si="11"/>
        <v>0</v>
      </c>
      <c r="J152" s="134"/>
      <c r="K152" s="135"/>
      <c r="L152" s="136">
        <f t="shared" si="12"/>
        <v>0</v>
      </c>
      <c r="M152" s="284"/>
      <c r="N152" s="285"/>
      <c r="O152" s="136">
        <f t="shared" si="13"/>
        <v>0</v>
      </c>
      <c r="P152" s="85"/>
      <c r="R152" s="53"/>
      <c r="S152" s="53"/>
      <c r="T152" s="53"/>
      <c r="U152" s="53"/>
    </row>
    <row r="153" spans="1:21" ht="24" hidden="1" x14ac:dyDescent="0.25">
      <c r="A153" s="76">
        <v>2359</v>
      </c>
      <c r="B153" s="127" t="s">
        <v>169</v>
      </c>
      <c r="C153" s="128">
        <f t="shared" si="9"/>
        <v>0</v>
      </c>
      <c r="D153" s="134"/>
      <c r="E153" s="285"/>
      <c r="F153" s="286">
        <f t="shared" si="10"/>
        <v>0</v>
      </c>
      <c r="G153" s="134"/>
      <c r="H153" s="135"/>
      <c r="I153" s="136">
        <f t="shared" si="11"/>
        <v>0</v>
      </c>
      <c r="J153" s="134"/>
      <c r="K153" s="135"/>
      <c r="L153" s="136">
        <f t="shared" si="12"/>
        <v>0</v>
      </c>
      <c r="M153" s="284"/>
      <c r="N153" s="285"/>
      <c r="O153" s="136">
        <f t="shared" si="13"/>
        <v>0</v>
      </c>
      <c r="P153" s="85"/>
      <c r="R153" s="53"/>
      <c r="S153" s="53"/>
      <c r="T153" s="53"/>
      <c r="U153" s="53"/>
    </row>
    <row r="154" spans="1:21" ht="24" x14ac:dyDescent="0.25">
      <c r="A154" s="276">
        <v>2360</v>
      </c>
      <c r="B154" s="127" t="s">
        <v>170</v>
      </c>
      <c r="C154" s="128">
        <f t="shared" si="9"/>
        <v>1155</v>
      </c>
      <c r="D154" s="277">
        <f>SUM(D155:D161)</f>
        <v>478</v>
      </c>
      <c r="E154" s="278">
        <f>SUM(E155:E161)</f>
        <v>0</v>
      </c>
      <c r="F154" s="279">
        <f t="shared" si="10"/>
        <v>478</v>
      </c>
      <c r="G154" s="277">
        <f>SUM(G155:G161)</f>
        <v>0</v>
      </c>
      <c r="H154" s="280">
        <f>SUM(H155:H161)</f>
        <v>0</v>
      </c>
      <c r="I154" s="136">
        <f t="shared" si="11"/>
        <v>0</v>
      </c>
      <c r="J154" s="277">
        <f>SUM(J155:J161)</f>
        <v>677</v>
      </c>
      <c r="K154" s="280">
        <f>SUM(K155:K161)</f>
        <v>0</v>
      </c>
      <c r="L154" s="136">
        <f t="shared" si="12"/>
        <v>677</v>
      </c>
      <c r="M154" s="281">
        <f>SUM(M155:M161)</f>
        <v>0</v>
      </c>
      <c r="N154" s="282">
        <f>SUM(N155:N161)</f>
        <v>0</v>
      </c>
      <c r="O154" s="136">
        <f t="shared" si="13"/>
        <v>0</v>
      </c>
      <c r="P154" s="85"/>
      <c r="R154" s="53"/>
      <c r="S154" s="53"/>
      <c r="T154" s="53"/>
      <c r="U154" s="53"/>
    </row>
    <row r="155" spans="1:21" x14ac:dyDescent="0.25">
      <c r="A155" s="75">
        <v>2361</v>
      </c>
      <c r="B155" s="127" t="s">
        <v>171</v>
      </c>
      <c r="C155" s="128">
        <f t="shared" si="9"/>
        <v>817</v>
      </c>
      <c r="D155" s="134">
        <v>140</v>
      </c>
      <c r="E155" s="283"/>
      <c r="F155" s="279">
        <f t="shared" si="10"/>
        <v>140</v>
      </c>
      <c r="G155" s="134"/>
      <c r="H155" s="135"/>
      <c r="I155" s="136">
        <f t="shared" si="11"/>
        <v>0</v>
      </c>
      <c r="J155" s="134">
        <v>677</v>
      </c>
      <c r="K155" s="135"/>
      <c r="L155" s="136">
        <f t="shared" si="12"/>
        <v>677</v>
      </c>
      <c r="M155" s="284"/>
      <c r="N155" s="285"/>
      <c r="O155" s="136">
        <f t="shared" si="13"/>
        <v>0</v>
      </c>
      <c r="P155" s="85"/>
      <c r="R155" s="53"/>
      <c r="S155" s="53"/>
      <c r="T155" s="53"/>
      <c r="U155" s="53"/>
    </row>
    <row r="156" spans="1:21" ht="24" x14ac:dyDescent="0.25">
      <c r="A156" s="75">
        <v>2362</v>
      </c>
      <c r="B156" s="127" t="s">
        <v>172</v>
      </c>
      <c r="C156" s="128">
        <f t="shared" si="9"/>
        <v>75</v>
      </c>
      <c r="D156" s="134">
        <v>75</v>
      </c>
      <c r="E156" s="283"/>
      <c r="F156" s="279">
        <f t="shared" si="10"/>
        <v>75</v>
      </c>
      <c r="G156" s="134"/>
      <c r="H156" s="135"/>
      <c r="I156" s="136">
        <f t="shared" si="11"/>
        <v>0</v>
      </c>
      <c r="J156" s="134">
        <v>0</v>
      </c>
      <c r="K156" s="135"/>
      <c r="L156" s="136">
        <f t="shared" si="12"/>
        <v>0</v>
      </c>
      <c r="M156" s="284"/>
      <c r="N156" s="285"/>
      <c r="O156" s="136">
        <f t="shared" si="13"/>
        <v>0</v>
      </c>
      <c r="P156" s="85"/>
      <c r="R156" s="53"/>
      <c r="S156" s="53"/>
      <c r="T156" s="53"/>
      <c r="U156" s="53"/>
    </row>
    <row r="157" spans="1:21" x14ac:dyDescent="0.25">
      <c r="A157" s="75">
        <v>2363</v>
      </c>
      <c r="B157" s="127" t="s">
        <v>173</v>
      </c>
      <c r="C157" s="128">
        <f t="shared" si="9"/>
        <v>263</v>
      </c>
      <c r="D157" s="134">
        <v>263</v>
      </c>
      <c r="E157" s="283"/>
      <c r="F157" s="279">
        <f t="shared" si="10"/>
        <v>263</v>
      </c>
      <c r="G157" s="134"/>
      <c r="H157" s="135"/>
      <c r="I157" s="136">
        <f t="shared" si="11"/>
        <v>0</v>
      </c>
      <c r="J157" s="134"/>
      <c r="K157" s="135"/>
      <c r="L157" s="136">
        <f t="shared" si="12"/>
        <v>0</v>
      </c>
      <c r="M157" s="284"/>
      <c r="N157" s="285"/>
      <c r="O157" s="136">
        <f t="shared" si="13"/>
        <v>0</v>
      </c>
      <c r="P157" s="85"/>
      <c r="R157" s="53"/>
      <c r="S157" s="53"/>
      <c r="T157" s="53"/>
      <c r="U157" s="53"/>
    </row>
    <row r="158" spans="1:21" hidden="1" x14ac:dyDescent="0.25">
      <c r="A158" s="75">
        <v>2364</v>
      </c>
      <c r="B158" s="127" t="s">
        <v>174</v>
      </c>
      <c r="C158" s="128">
        <f t="shared" si="9"/>
        <v>0</v>
      </c>
      <c r="D158" s="134"/>
      <c r="E158" s="285"/>
      <c r="F158" s="286">
        <f t="shared" si="10"/>
        <v>0</v>
      </c>
      <c r="G158" s="134"/>
      <c r="H158" s="135"/>
      <c r="I158" s="136">
        <f t="shared" si="11"/>
        <v>0</v>
      </c>
      <c r="J158" s="134"/>
      <c r="K158" s="135"/>
      <c r="L158" s="136">
        <f t="shared" si="12"/>
        <v>0</v>
      </c>
      <c r="M158" s="284"/>
      <c r="N158" s="285"/>
      <c r="O158" s="136">
        <f t="shared" si="13"/>
        <v>0</v>
      </c>
      <c r="P158" s="85"/>
      <c r="R158" s="53"/>
      <c r="S158" s="53"/>
      <c r="T158" s="53"/>
      <c r="U158" s="53"/>
    </row>
    <row r="159" spans="1:21" hidden="1" x14ac:dyDescent="0.25">
      <c r="A159" s="75">
        <v>2365</v>
      </c>
      <c r="B159" s="127" t="s">
        <v>175</v>
      </c>
      <c r="C159" s="128">
        <f t="shared" si="9"/>
        <v>0</v>
      </c>
      <c r="D159" s="134"/>
      <c r="E159" s="285"/>
      <c r="F159" s="286">
        <f t="shared" si="10"/>
        <v>0</v>
      </c>
      <c r="G159" s="134"/>
      <c r="H159" s="135"/>
      <c r="I159" s="136">
        <f t="shared" si="11"/>
        <v>0</v>
      </c>
      <c r="J159" s="134"/>
      <c r="K159" s="135"/>
      <c r="L159" s="136">
        <f t="shared" si="12"/>
        <v>0</v>
      </c>
      <c r="M159" s="284"/>
      <c r="N159" s="285"/>
      <c r="O159" s="136">
        <f t="shared" si="13"/>
        <v>0</v>
      </c>
      <c r="P159" s="85"/>
      <c r="R159" s="53"/>
      <c r="S159" s="53"/>
      <c r="T159" s="53"/>
      <c r="U159" s="53"/>
    </row>
    <row r="160" spans="1:21" ht="36" hidden="1" x14ac:dyDescent="0.25">
      <c r="A160" s="75">
        <v>2366</v>
      </c>
      <c r="B160" s="127" t="s">
        <v>176</v>
      </c>
      <c r="C160" s="128">
        <f t="shared" si="9"/>
        <v>0</v>
      </c>
      <c r="D160" s="134"/>
      <c r="E160" s="285"/>
      <c r="F160" s="286">
        <f t="shared" si="10"/>
        <v>0</v>
      </c>
      <c r="G160" s="134"/>
      <c r="H160" s="135"/>
      <c r="I160" s="136">
        <f t="shared" si="11"/>
        <v>0</v>
      </c>
      <c r="J160" s="134"/>
      <c r="K160" s="135"/>
      <c r="L160" s="136">
        <f t="shared" si="12"/>
        <v>0</v>
      </c>
      <c r="M160" s="284"/>
      <c r="N160" s="285"/>
      <c r="O160" s="136">
        <f t="shared" si="13"/>
        <v>0</v>
      </c>
      <c r="P160" s="85"/>
      <c r="R160" s="53"/>
      <c r="S160" s="53"/>
      <c r="T160" s="53"/>
      <c r="U160" s="53"/>
    </row>
    <row r="161" spans="1:21" ht="48" hidden="1" x14ac:dyDescent="0.25">
      <c r="A161" s="75">
        <v>2369</v>
      </c>
      <c r="B161" s="127" t="s">
        <v>177</v>
      </c>
      <c r="C161" s="128">
        <f t="shared" si="9"/>
        <v>0</v>
      </c>
      <c r="D161" s="134"/>
      <c r="E161" s="285"/>
      <c r="F161" s="286">
        <f t="shared" si="10"/>
        <v>0</v>
      </c>
      <c r="G161" s="134"/>
      <c r="H161" s="135"/>
      <c r="I161" s="136">
        <f t="shared" si="11"/>
        <v>0</v>
      </c>
      <c r="J161" s="134"/>
      <c r="K161" s="135"/>
      <c r="L161" s="136">
        <f t="shared" si="12"/>
        <v>0</v>
      </c>
      <c r="M161" s="284"/>
      <c r="N161" s="285"/>
      <c r="O161" s="136">
        <f t="shared" si="13"/>
        <v>0</v>
      </c>
      <c r="P161" s="85"/>
      <c r="R161" s="53"/>
      <c r="S161" s="53"/>
      <c r="T161" s="53"/>
      <c r="U161" s="53"/>
    </row>
    <row r="162" spans="1:21" x14ac:dyDescent="0.25">
      <c r="A162" s="254">
        <v>2370</v>
      </c>
      <c r="B162" s="179" t="s">
        <v>178</v>
      </c>
      <c r="C162" s="128">
        <f t="shared" si="9"/>
        <v>4612</v>
      </c>
      <c r="D162" s="287">
        <v>3988</v>
      </c>
      <c r="E162" s="288"/>
      <c r="F162" s="257">
        <f t="shared" si="10"/>
        <v>3988</v>
      </c>
      <c r="G162" s="287">
        <v>624</v>
      </c>
      <c r="H162" s="289"/>
      <c r="I162" s="259">
        <f t="shared" si="11"/>
        <v>624</v>
      </c>
      <c r="J162" s="287"/>
      <c r="K162" s="289"/>
      <c r="L162" s="259">
        <f t="shared" si="12"/>
        <v>0</v>
      </c>
      <c r="M162" s="290"/>
      <c r="N162" s="291"/>
      <c r="O162" s="259">
        <f t="shared" si="13"/>
        <v>0</v>
      </c>
      <c r="P162" s="189"/>
      <c r="R162" s="53"/>
      <c r="S162" s="53"/>
      <c r="T162" s="53"/>
      <c r="U162" s="53"/>
    </row>
    <row r="163" spans="1:21" hidden="1" x14ac:dyDescent="0.25">
      <c r="A163" s="254">
        <v>2380</v>
      </c>
      <c r="B163" s="179" t="s">
        <v>179</v>
      </c>
      <c r="C163" s="128">
        <f t="shared" si="9"/>
        <v>0</v>
      </c>
      <c r="D163" s="255">
        <f>SUM(D164:D165)</f>
        <v>0</v>
      </c>
      <c r="E163" s="261">
        <f>SUM(E164:E165)</f>
        <v>0</v>
      </c>
      <c r="F163" s="310">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c r="S163" s="53"/>
      <c r="T163" s="53"/>
      <c r="U163" s="53"/>
    </row>
    <row r="164" spans="1:21" hidden="1" x14ac:dyDescent="0.25">
      <c r="A164" s="65">
        <v>2381</v>
      </c>
      <c r="B164" s="116" t="s">
        <v>180</v>
      </c>
      <c r="C164" s="128">
        <f t="shared" si="9"/>
        <v>0</v>
      </c>
      <c r="D164" s="123"/>
      <c r="E164" s="262"/>
      <c r="F164" s="263">
        <f t="shared" si="10"/>
        <v>0</v>
      </c>
      <c r="G164" s="123"/>
      <c r="H164" s="124"/>
      <c r="I164" s="125">
        <f t="shared" si="11"/>
        <v>0</v>
      </c>
      <c r="J164" s="123"/>
      <c r="K164" s="124"/>
      <c r="L164" s="125">
        <f t="shared" si="12"/>
        <v>0</v>
      </c>
      <c r="M164" s="264"/>
      <c r="N164" s="262"/>
      <c r="O164" s="125">
        <f t="shared" si="13"/>
        <v>0</v>
      </c>
      <c r="P164" s="74"/>
      <c r="R164" s="53"/>
      <c r="S164" s="53"/>
      <c r="T164" s="53"/>
      <c r="U164" s="53"/>
    </row>
    <row r="165" spans="1:21" ht="24" hidden="1" x14ac:dyDescent="0.25">
      <c r="A165" s="75">
        <v>2389</v>
      </c>
      <c r="B165" s="127" t="s">
        <v>181</v>
      </c>
      <c r="C165" s="128">
        <f t="shared" si="9"/>
        <v>0</v>
      </c>
      <c r="D165" s="134"/>
      <c r="E165" s="285"/>
      <c r="F165" s="286">
        <f t="shared" si="10"/>
        <v>0</v>
      </c>
      <c r="G165" s="134"/>
      <c r="H165" s="135"/>
      <c r="I165" s="136">
        <f t="shared" si="11"/>
        <v>0</v>
      </c>
      <c r="J165" s="134"/>
      <c r="K165" s="135"/>
      <c r="L165" s="136">
        <f t="shared" si="12"/>
        <v>0</v>
      </c>
      <c r="M165" s="284"/>
      <c r="N165" s="285"/>
      <c r="O165" s="136">
        <f t="shared" si="13"/>
        <v>0</v>
      </c>
      <c r="P165" s="85"/>
      <c r="R165" s="53"/>
      <c r="S165" s="53"/>
      <c r="T165" s="53"/>
      <c r="U165" s="53"/>
    </row>
    <row r="166" spans="1:21" hidden="1" x14ac:dyDescent="0.25">
      <c r="A166" s="254">
        <v>2390</v>
      </c>
      <c r="B166" s="179" t="s">
        <v>182</v>
      </c>
      <c r="C166" s="128">
        <f t="shared" si="9"/>
        <v>0</v>
      </c>
      <c r="D166" s="287"/>
      <c r="E166" s="291"/>
      <c r="F166" s="310">
        <f t="shared" si="10"/>
        <v>0</v>
      </c>
      <c r="G166" s="287"/>
      <c r="H166" s="289"/>
      <c r="I166" s="259">
        <f t="shared" si="11"/>
        <v>0</v>
      </c>
      <c r="J166" s="287"/>
      <c r="K166" s="289"/>
      <c r="L166" s="259">
        <f t="shared" si="12"/>
        <v>0</v>
      </c>
      <c r="M166" s="290"/>
      <c r="N166" s="291"/>
      <c r="O166" s="259">
        <f t="shared" si="13"/>
        <v>0</v>
      </c>
      <c r="P166" s="189"/>
      <c r="R166" s="53"/>
      <c r="S166" s="53"/>
      <c r="T166" s="53"/>
      <c r="U166" s="53"/>
    </row>
    <row r="167" spans="1:21" hidden="1" x14ac:dyDescent="0.25">
      <c r="A167" s="99">
        <v>2400</v>
      </c>
      <c r="B167" s="247" t="s">
        <v>183</v>
      </c>
      <c r="C167" s="100">
        <f t="shared" si="9"/>
        <v>0</v>
      </c>
      <c r="D167" s="311"/>
      <c r="E167" s="312"/>
      <c r="F167" s="313">
        <f t="shared" si="10"/>
        <v>0</v>
      </c>
      <c r="G167" s="311"/>
      <c r="H167" s="314"/>
      <c r="I167" s="114">
        <f t="shared" si="11"/>
        <v>0</v>
      </c>
      <c r="J167" s="311"/>
      <c r="K167" s="314"/>
      <c r="L167" s="114">
        <f t="shared" si="12"/>
        <v>0</v>
      </c>
      <c r="M167" s="315"/>
      <c r="N167" s="312"/>
      <c r="O167" s="114">
        <f t="shared" si="13"/>
        <v>0</v>
      </c>
      <c r="P167" s="109"/>
      <c r="R167" s="53"/>
      <c r="S167" s="53"/>
      <c r="T167" s="53"/>
      <c r="U167" s="53"/>
    </row>
    <row r="168" spans="1:21" ht="24" x14ac:dyDescent="0.25">
      <c r="A168" s="99">
        <v>2500</v>
      </c>
      <c r="B168" s="247" t="s">
        <v>184</v>
      </c>
      <c r="C168" s="100">
        <f t="shared" si="9"/>
        <v>614</v>
      </c>
      <c r="D168" s="112">
        <f>SUM(D169,D174)</f>
        <v>614</v>
      </c>
      <c r="E168" s="248">
        <f>SUM(E169,E174)</f>
        <v>0</v>
      </c>
      <c r="F168" s="249">
        <f t="shared" si="10"/>
        <v>614</v>
      </c>
      <c r="G168" s="112">
        <f>SUM(G169,G174)</f>
        <v>0</v>
      </c>
      <c r="H168" s="113">
        <f t="shared" ref="H168" si="17">SUM(H169,H174)</f>
        <v>0</v>
      </c>
      <c r="I168" s="114">
        <f t="shared" si="11"/>
        <v>0</v>
      </c>
      <c r="J168" s="112">
        <f>SUM(J169,J174)</f>
        <v>0</v>
      </c>
      <c r="K168" s="113">
        <f t="shared" ref="K168" si="18">SUM(K169,K174)</f>
        <v>0</v>
      </c>
      <c r="L168" s="114">
        <f t="shared" si="12"/>
        <v>0</v>
      </c>
      <c r="M168" s="250">
        <f t="shared" ref="M168:N168" si="19">SUM(M169,M174)</f>
        <v>0</v>
      </c>
      <c r="N168" s="251">
        <f t="shared" si="19"/>
        <v>0</v>
      </c>
      <c r="O168" s="252">
        <f t="shared" si="13"/>
        <v>0</v>
      </c>
      <c r="P168" s="253"/>
      <c r="R168" s="53"/>
      <c r="S168" s="53"/>
      <c r="T168" s="53"/>
      <c r="U168" s="53"/>
    </row>
    <row r="169" spans="1:21" x14ac:dyDescent="0.25">
      <c r="A169" s="656">
        <v>2510</v>
      </c>
      <c r="B169" s="116" t="s">
        <v>185</v>
      </c>
      <c r="C169" s="117">
        <f t="shared" si="9"/>
        <v>614</v>
      </c>
      <c r="D169" s="297">
        <f>SUM(D170:D173)</f>
        <v>614</v>
      </c>
      <c r="E169" s="298">
        <f>SUM(E170:E173)</f>
        <v>0</v>
      </c>
      <c r="F169" s="296">
        <f t="shared" si="10"/>
        <v>614</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c r="R169" s="53"/>
      <c r="S169" s="53"/>
      <c r="T169" s="53"/>
      <c r="U169" s="53"/>
    </row>
    <row r="170" spans="1:21" ht="24" hidden="1" x14ac:dyDescent="0.25">
      <c r="A170" s="76">
        <v>2512</v>
      </c>
      <c r="B170" s="127" t="s">
        <v>186</v>
      </c>
      <c r="C170" s="128">
        <f t="shared" si="9"/>
        <v>0</v>
      </c>
      <c r="D170" s="134"/>
      <c r="E170" s="285"/>
      <c r="F170" s="286">
        <f t="shared" si="10"/>
        <v>0</v>
      </c>
      <c r="G170" s="134"/>
      <c r="H170" s="135"/>
      <c r="I170" s="136">
        <f t="shared" si="11"/>
        <v>0</v>
      </c>
      <c r="J170" s="134"/>
      <c r="K170" s="135"/>
      <c r="L170" s="136">
        <f t="shared" si="12"/>
        <v>0</v>
      </c>
      <c r="M170" s="284"/>
      <c r="N170" s="285"/>
      <c r="O170" s="136">
        <f t="shared" si="13"/>
        <v>0</v>
      </c>
      <c r="P170" s="85"/>
      <c r="R170" s="53"/>
      <c r="S170" s="53"/>
      <c r="T170" s="53"/>
      <c r="U170" s="53"/>
    </row>
    <row r="171" spans="1:21" ht="36" x14ac:dyDescent="0.25">
      <c r="A171" s="76">
        <v>2513</v>
      </c>
      <c r="B171" s="127" t="s">
        <v>187</v>
      </c>
      <c r="C171" s="128">
        <f t="shared" si="9"/>
        <v>614</v>
      </c>
      <c r="D171" s="134">
        <v>614</v>
      </c>
      <c r="E171" s="283"/>
      <c r="F171" s="279">
        <f t="shared" si="10"/>
        <v>614</v>
      </c>
      <c r="G171" s="134"/>
      <c r="H171" s="135"/>
      <c r="I171" s="136">
        <f t="shared" si="11"/>
        <v>0</v>
      </c>
      <c r="J171" s="134"/>
      <c r="K171" s="135"/>
      <c r="L171" s="136">
        <f t="shared" si="12"/>
        <v>0</v>
      </c>
      <c r="M171" s="284"/>
      <c r="N171" s="285"/>
      <c r="O171" s="136">
        <f t="shared" si="13"/>
        <v>0</v>
      </c>
      <c r="P171" s="85"/>
      <c r="R171" s="53"/>
      <c r="S171" s="53"/>
      <c r="T171" s="53"/>
      <c r="U171" s="53"/>
    </row>
    <row r="172" spans="1:21" ht="24" hidden="1" x14ac:dyDescent="0.25">
      <c r="A172" s="76">
        <v>2515</v>
      </c>
      <c r="B172" s="127" t="s">
        <v>188</v>
      </c>
      <c r="C172" s="128">
        <f t="shared" si="9"/>
        <v>0</v>
      </c>
      <c r="D172" s="134"/>
      <c r="E172" s="285"/>
      <c r="F172" s="286">
        <f t="shared" si="10"/>
        <v>0</v>
      </c>
      <c r="G172" s="134"/>
      <c r="H172" s="135"/>
      <c r="I172" s="136">
        <f t="shared" si="11"/>
        <v>0</v>
      </c>
      <c r="J172" s="134"/>
      <c r="K172" s="135"/>
      <c r="L172" s="136">
        <f t="shared" si="12"/>
        <v>0</v>
      </c>
      <c r="M172" s="284"/>
      <c r="N172" s="285"/>
      <c r="O172" s="136">
        <f t="shared" si="13"/>
        <v>0</v>
      </c>
      <c r="P172" s="85"/>
      <c r="R172" s="53"/>
      <c r="S172" s="53"/>
      <c r="T172" s="53"/>
      <c r="U172" s="53"/>
    </row>
    <row r="173" spans="1:21" ht="24" hidden="1" x14ac:dyDescent="0.25">
      <c r="A173" s="76">
        <v>2519</v>
      </c>
      <c r="B173" s="127" t="s">
        <v>189</v>
      </c>
      <c r="C173" s="128">
        <f t="shared" si="9"/>
        <v>0</v>
      </c>
      <c r="D173" s="134"/>
      <c r="E173" s="285"/>
      <c r="F173" s="286">
        <f t="shared" si="10"/>
        <v>0</v>
      </c>
      <c r="G173" s="134"/>
      <c r="H173" s="135"/>
      <c r="I173" s="136">
        <f t="shared" si="11"/>
        <v>0</v>
      </c>
      <c r="J173" s="134"/>
      <c r="K173" s="135"/>
      <c r="L173" s="136">
        <f t="shared" si="12"/>
        <v>0</v>
      </c>
      <c r="M173" s="284"/>
      <c r="N173" s="285"/>
      <c r="O173" s="136">
        <f t="shared" si="13"/>
        <v>0</v>
      </c>
      <c r="P173" s="85"/>
      <c r="R173" s="53"/>
      <c r="S173" s="53"/>
      <c r="T173" s="53"/>
      <c r="U173" s="53"/>
    </row>
    <row r="174" spans="1:21" ht="24" hidden="1" x14ac:dyDescent="0.25">
      <c r="A174" s="276">
        <v>2520</v>
      </c>
      <c r="B174" s="127" t="s">
        <v>190</v>
      </c>
      <c r="C174" s="128">
        <f t="shared" si="9"/>
        <v>0</v>
      </c>
      <c r="D174" s="134"/>
      <c r="E174" s="285"/>
      <c r="F174" s="286">
        <f t="shared" si="10"/>
        <v>0</v>
      </c>
      <c r="G174" s="134"/>
      <c r="H174" s="135"/>
      <c r="I174" s="136">
        <f t="shared" si="11"/>
        <v>0</v>
      </c>
      <c r="J174" s="134"/>
      <c r="K174" s="135"/>
      <c r="L174" s="136">
        <f t="shared" si="12"/>
        <v>0</v>
      </c>
      <c r="M174" s="284"/>
      <c r="N174" s="285"/>
      <c r="O174" s="136">
        <f t="shared" si="13"/>
        <v>0</v>
      </c>
      <c r="P174" s="85"/>
      <c r="R174" s="53"/>
      <c r="S174" s="53"/>
      <c r="T174" s="53"/>
      <c r="U174" s="53"/>
    </row>
    <row r="175" spans="1:21" s="319" customFormat="1" ht="48" hidden="1" x14ac:dyDescent="0.25">
      <c r="A175" s="31">
        <v>2800</v>
      </c>
      <c r="B175" s="116" t="s">
        <v>191</v>
      </c>
      <c r="C175" s="117">
        <f t="shared" si="9"/>
        <v>0</v>
      </c>
      <c r="D175" s="68"/>
      <c r="E175" s="69"/>
      <c r="F175" s="70">
        <f t="shared" si="10"/>
        <v>0</v>
      </c>
      <c r="G175" s="68"/>
      <c r="H175" s="71"/>
      <c r="I175" s="72">
        <f t="shared" si="11"/>
        <v>0</v>
      </c>
      <c r="J175" s="68"/>
      <c r="K175" s="71"/>
      <c r="L175" s="72">
        <f t="shared" si="12"/>
        <v>0</v>
      </c>
      <c r="M175" s="73"/>
      <c r="N175" s="69"/>
      <c r="O175" s="72">
        <f t="shared" si="13"/>
        <v>0</v>
      </c>
      <c r="P175" s="74"/>
      <c r="R175" s="53"/>
      <c r="S175" s="53"/>
      <c r="T175" s="53"/>
      <c r="U175" s="53"/>
    </row>
    <row r="176" spans="1:21" hidden="1" x14ac:dyDescent="0.25">
      <c r="A176" s="237">
        <v>3000</v>
      </c>
      <c r="B176" s="237" t="s">
        <v>192</v>
      </c>
      <c r="C176" s="238">
        <f t="shared" si="9"/>
        <v>0</v>
      </c>
      <c r="D176" s="239">
        <f>SUM(D177,D187)</f>
        <v>0</v>
      </c>
      <c r="E176" s="245">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c r="S176" s="53"/>
      <c r="T176" s="53"/>
      <c r="U176" s="53"/>
    </row>
    <row r="177" spans="1:21" ht="24" hidden="1" x14ac:dyDescent="0.25">
      <c r="A177" s="99">
        <v>3200</v>
      </c>
      <c r="B177" s="321" t="s">
        <v>193</v>
      </c>
      <c r="C177" s="100">
        <f t="shared" si="9"/>
        <v>0</v>
      </c>
      <c r="D177" s="112">
        <f>SUM(D178,D182)</f>
        <v>0</v>
      </c>
      <c r="E177" s="293">
        <f>SUM(E178,E182)</f>
        <v>0</v>
      </c>
      <c r="F177" s="313">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c r="R177" s="53"/>
      <c r="S177" s="53"/>
      <c r="T177" s="53"/>
      <c r="U177" s="53"/>
    </row>
    <row r="178" spans="1:21" ht="36" hidden="1" x14ac:dyDescent="0.25">
      <c r="A178" s="656">
        <v>3260</v>
      </c>
      <c r="B178" s="116" t="s">
        <v>194</v>
      </c>
      <c r="C178" s="117">
        <f t="shared" si="9"/>
        <v>0</v>
      </c>
      <c r="D178" s="297">
        <f>SUM(D179:D181)</f>
        <v>0</v>
      </c>
      <c r="E178" s="301">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c r="S178" s="53"/>
      <c r="T178" s="53"/>
      <c r="U178" s="53"/>
    </row>
    <row r="179" spans="1:21" ht="24" hidden="1" x14ac:dyDescent="0.25">
      <c r="A179" s="76">
        <v>3261</v>
      </c>
      <c r="B179" s="127" t="s">
        <v>195</v>
      </c>
      <c r="C179" s="128">
        <f t="shared" si="9"/>
        <v>0</v>
      </c>
      <c r="D179" s="134"/>
      <c r="E179" s="285"/>
      <c r="F179" s="286">
        <f t="shared" si="10"/>
        <v>0</v>
      </c>
      <c r="G179" s="134"/>
      <c r="H179" s="135"/>
      <c r="I179" s="136">
        <f t="shared" si="11"/>
        <v>0</v>
      </c>
      <c r="J179" s="134"/>
      <c r="K179" s="135"/>
      <c r="L179" s="136">
        <f t="shared" si="12"/>
        <v>0</v>
      </c>
      <c r="M179" s="284"/>
      <c r="N179" s="285"/>
      <c r="O179" s="136">
        <f t="shared" si="13"/>
        <v>0</v>
      </c>
      <c r="P179" s="85"/>
      <c r="R179" s="53"/>
      <c r="S179" s="53"/>
      <c r="T179" s="53"/>
      <c r="U179" s="53"/>
    </row>
    <row r="180" spans="1:21" ht="36" hidden="1" x14ac:dyDescent="0.25">
      <c r="A180" s="76">
        <v>3262</v>
      </c>
      <c r="B180" s="127" t="s">
        <v>196</v>
      </c>
      <c r="C180" s="128">
        <f t="shared" si="9"/>
        <v>0</v>
      </c>
      <c r="D180" s="134"/>
      <c r="E180" s="285"/>
      <c r="F180" s="286">
        <f t="shared" si="10"/>
        <v>0</v>
      </c>
      <c r="G180" s="134"/>
      <c r="H180" s="135"/>
      <c r="I180" s="136">
        <f t="shared" si="11"/>
        <v>0</v>
      </c>
      <c r="J180" s="134"/>
      <c r="K180" s="135"/>
      <c r="L180" s="136">
        <f t="shared" si="12"/>
        <v>0</v>
      </c>
      <c r="M180" s="284"/>
      <c r="N180" s="285"/>
      <c r="O180" s="136">
        <f t="shared" si="13"/>
        <v>0</v>
      </c>
      <c r="P180" s="85"/>
      <c r="R180" s="53"/>
      <c r="S180" s="53"/>
      <c r="T180" s="53"/>
      <c r="U180" s="53"/>
    </row>
    <row r="181" spans="1:21" ht="24" hidden="1" x14ac:dyDescent="0.25">
      <c r="A181" s="76">
        <v>3263</v>
      </c>
      <c r="B181" s="127" t="s">
        <v>197</v>
      </c>
      <c r="C181" s="128">
        <f t="shared" si="9"/>
        <v>0</v>
      </c>
      <c r="D181" s="134"/>
      <c r="E181" s="285"/>
      <c r="F181" s="286">
        <f t="shared" si="10"/>
        <v>0</v>
      </c>
      <c r="G181" s="134"/>
      <c r="H181" s="135"/>
      <c r="I181" s="136">
        <f t="shared" si="11"/>
        <v>0</v>
      </c>
      <c r="J181" s="134"/>
      <c r="K181" s="135"/>
      <c r="L181" s="136">
        <f t="shared" si="12"/>
        <v>0</v>
      </c>
      <c r="M181" s="284"/>
      <c r="N181" s="285"/>
      <c r="O181" s="136">
        <f t="shared" si="13"/>
        <v>0</v>
      </c>
      <c r="P181" s="85"/>
      <c r="R181" s="53"/>
      <c r="S181" s="53"/>
      <c r="T181" s="53"/>
      <c r="U181" s="53"/>
    </row>
    <row r="182" spans="1:21" ht="84" hidden="1" x14ac:dyDescent="0.25">
      <c r="A182" s="656">
        <v>3290</v>
      </c>
      <c r="B182" s="116" t="s">
        <v>198</v>
      </c>
      <c r="C182" s="128">
        <f t="shared" ref="C182:C258" si="26">F182+I182+L182+O182</f>
        <v>0</v>
      </c>
      <c r="D182" s="297">
        <f>SUM(D183:D186)</f>
        <v>0</v>
      </c>
      <c r="E182" s="301">
        <f>SUM(E183:E186)</f>
        <v>0</v>
      </c>
      <c r="F182" s="263">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c r="R182" s="53"/>
      <c r="S182" s="53"/>
      <c r="T182" s="53"/>
      <c r="U182" s="53"/>
    </row>
    <row r="183" spans="1:21" ht="72" hidden="1" x14ac:dyDescent="0.25">
      <c r="A183" s="76">
        <v>3291</v>
      </c>
      <c r="B183" s="127" t="s">
        <v>199</v>
      </c>
      <c r="C183" s="128">
        <f t="shared" si="26"/>
        <v>0</v>
      </c>
      <c r="D183" s="134"/>
      <c r="E183" s="285"/>
      <c r="F183" s="286">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c r="R183" s="53"/>
      <c r="S183" s="53"/>
      <c r="T183" s="53"/>
      <c r="U183" s="53"/>
    </row>
    <row r="184" spans="1:21" ht="72" hidden="1" x14ac:dyDescent="0.25">
      <c r="A184" s="76">
        <v>3292</v>
      </c>
      <c r="B184" s="127" t="s">
        <v>200</v>
      </c>
      <c r="C184" s="128">
        <f t="shared" si="26"/>
        <v>0</v>
      </c>
      <c r="D184" s="134"/>
      <c r="E184" s="285"/>
      <c r="F184" s="286">
        <f t="shared" si="30"/>
        <v>0</v>
      </c>
      <c r="G184" s="134"/>
      <c r="H184" s="135"/>
      <c r="I184" s="136">
        <f t="shared" si="31"/>
        <v>0</v>
      </c>
      <c r="J184" s="134"/>
      <c r="K184" s="135"/>
      <c r="L184" s="136">
        <f t="shared" si="32"/>
        <v>0</v>
      </c>
      <c r="M184" s="284"/>
      <c r="N184" s="285"/>
      <c r="O184" s="136">
        <f t="shared" si="33"/>
        <v>0</v>
      </c>
      <c r="P184" s="85"/>
      <c r="R184" s="53"/>
      <c r="S184" s="53"/>
      <c r="T184" s="53"/>
      <c r="U184" s="53"/>
    </row>
    <row r="185" spans="1:21" ht="72" hidden="1" x14ac:dyDescent="0.25">
      <c r="A185" s="76">
        <v>3293</v>
      </c>
      <c r="B185" s="127" t="s">
        <v>201</v>
      </c>
      <c r="C185" s="128">
        <f t="shared" si="26"/>
        <v>0</v>
      </c>
      <c r="D185" s="134"/>
      <c r="E185" s="285"/>
      <c r="F185" s="286">
        <f t="shared" si="30"/>
        <v>0</v>
      </c>
      <c r="G185" s="134"/>
      <c r="H185" s="135"/>
      <c r="I185" s="136">
        <f t="shared" si="31"/>
        <v>0</v>
      </c>
      <c r="J185" s="134"/>
      <c r="K185" s="135"/>
      <c r="L185" s="136">
        <f t="shared" si="32"/>
        <v>0</v>
      </c>
      <c r="M185" s="284"/>
      <c r="N185" s="285"/>
      <c r="O185" s="136">
        <f t="shared" si="33"/>
        <v>0</v>
      </c>
      <c r="P185" s="85"/>
      <c r="R185" s="53"/>
      <c r="S185" s="53"/>
      <c r="T185" s="53"/>
      <c r="U185" s="53"/>
    </row>
    <row r="186" spans="1:21" ht="60" hidden="1" x14ac:dyDescent="0.25">
      <c r="A186" s="326">
        <v>3294</v>
      </c>
      <c r="B186" s="127" t="s">
        <v>202</v>
      </c>
      <c r="C186" s="327">
        <f t="shared" si="26"/>
        <v>0</v>
      </c>
      <c r="D186" s="328"/>
      <c r="E186" s="329"/>
      <c r="F186" s="330">
        <f t="shared" si="30"/>
        <v>0</v>
      </c>
      <c r="G186" s="328"/>
      <c r="H186" s="331"/>
      <c r="I186" s="324">
        <f t="shared" si="31"/>
        <v>0</v>
      </c>
      <c r="J186" s="328"/>
      <c r="K186" s="331"/>
      <c r="L186" s="324">
        <f t="shared" si="32"/>
        <v>0</v>
      </c>
      <c r="M186" s="332"/>
      <c r="N186" s="329"/>
      <c r="O186" s="324">
        <f t="shared" si="33"/>
        <v>0</v>
      </c>
      <c r="P186" s="325"/>
      <c r="R186" s="53"/>
      <c r="S186" s="53"/>
      <c r="T186" s="53"/>
      <c r="U186" s="53"/>
    </row>
    <row r="187" spans="1:21" ht="48" hidden="1" x14ac:dyDescent="0.25">
      <c r="A187" s="160">
        <v>3300</v>
      </c>
      <c r="B187" s="321" t="s">
        <v>203</v>
      </c>
      <c r="C187" s="333">
        <f t="shared" si="26"/>
        <v>0</v>
      </c>
      <c r="D187" s="334">
        <f>SUM(D188:D189)</f>
        <v>0</v>
      </c>
      <c r="E187" s="251">
        <f>SUM(E188:E189)</f>
        <v>0</v>
      </c>
      <c r="F187" s="335">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c r="R187" s="53"/>
      <c r="S187" s="53"/>
      <c r="T187" s="53"/>
      <c r="U187" s="53"/>
    </row>
    <row r="188" spans="1:21" ht="48" hidden="1" x14ac:dyDescent="0.25">
      <c r="A188" s="178">
        <v>3310</v>
      </c>
      <c r="B188" s="179" t="s">
        <v>204</v>
      </c>
      <c r="C188" s="191">
        <f t="shared" si="26"/>
        <v>0</v>
      </c>
      <c r="D188" s="287"/>
      <c r="E188" s="291"/>
      <c r="F188" s="310">
        <f t="shared" si="30"/>
        <v>0</v>
      </c>
      <c r="G188" s="287"/>
      <c r="H188" s="289"/>
      <c r="I188" s="259">
        <f t="shared" si="31"/>
        <v>0</v>
      </c>
      <c r="J188" s="287"/>
      <c r="K188" s="289"/>
      <c r="L188" s="259">
        <f t="shared" si="32"/>
        <v>0</v>
      </c>
      <c r="M188" s="290"/>
      <c r="N188" s="291"/>
      <c r="O188" s="259">
        <f t="shared" si="33"/>
        <v>0</v>
      </c>
      <c r="P188" s="189"/>
      <c r="R188" s="53"/>
      <c r="S188" s="53"/>
      <c r="T188" s="53"/>
      <c r="U188" s="53"/>
    </row>
    <row r="189" spans="1:21" ht="60" hidden="1" x14ac:dyDescent="0.25">
      <c r="A189" s="66">
        <v>3320</v>
      </c>
      <c r="B189" s="116" t="s">
        <v>205</v>
      </c>
      <c r="C189" s="117">
        <f t="shared" si="26"/>
        <v>0</v>
      </c>
      <c r="D189" s="123"/>
      <c r="E189" s="262"/>
      <c r="F189" s="263">
        <f t="shared" si="30"/>
        <v>0</v>
      </c>
      <c r="G189" s="123"/>
      <c r="H189" s="124"/>
      <c r="I189" s="125">
        <f t="shared" si="31"/>
        <v>0</v>
      </c>
      <c r="J189" s="123"/>
      <c r="K189" s="124"/>
      <c r="L189" s="125">
        <f t="shared" si="32"/>
        <v>0</v>
      </c>
      <c r="M189" s="264"/>
      <c r="N189" s="262"/>
      <c r="O189" s="125">
        <f t="shared" si="33"/>
        <v>0</v>
      </c>
      <c r="P189" s="74"/>
      <c r="R189" s="53"/>
      <c r="S189" s="53"/>
      <c r="T189" s="53"/>
      <c r="U189" s="53"/>
    </row>
    <row r="190" spans="1:21" hidden="1" x14ac:dyDescent="0.25">
      <c r="A190" s="337">
        <v>4000</v>
      </c>
      <c r="B190" s="237" t="s">
        <v>206</v>
      </c>
      <c r="C190" s="238">
        <f t="shared" si="26"/>
        <v>0</v>
      </c>
      <c r="D190" s="239">
        <f>SUM(D191,D194)</f>
        <v>0</v>
      </c>
      <c r="E190" s="245">
        <f>SUM(E191,E194)</f>
        <v>0</v>
      </c>
      <c r="F190" s="320">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c r="R190" s="53"/>
      <c r="S190" s="53"/>
      <c r="T190" s="53"/>
      <c r="U190" s="53"/>
    </row>
    <row r="191" spans="1:21" ht="24" hidden="1" x14ac:dyDescent="0.25">
      <c r="A191" s="338">
        <v>4200</v>
      </c>
      <c r="B191" s="247" t="s">
        <v>207</v>
      </c>
      <c r="C191" s="100">
        <f t="shared" si="26"/>
        <v>0</v>
      </c>
      <c r="D191" s="112">
        <f>SUM(D192,D193)</f>
        <v>0</v>
      </c>
      <c r="E191" s="293">
        <f>SUM(E192,E193)</f>
        <v>0</v>
      </c>
      <c r="F191" s="313">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c r="R191" s="53"/>
      <c r="S191" s="53"/>
      <c r="T191" s="53"/>
      <c r="U191" s="53"/>
    </row>
    <row r="192" spans="1:21" ht="36" hidden="1" x14ac:dyDescent="0.25">
      <c r="A192" s="656">
        <v>4240</v>
      </c>
      <c r="B192" s="116" t="s">
        <v>208</v>
      </c>
      <c r="C192" s="117">
        <f t="shared" si="26"/>
        <v>0</v>
      </c>
      <c r="D192" s="123"/>
      <c r="E192" s="262"/>
      <c r="F192" s="263">
        <f t="shared" si="30"/>
        <v>0</v>
      </c>
      <c r="G192" s="123"/>
      <c r="H192" s="124"/>
      <c r="I192" s="125">
        <f t="shared" si="31"/>
        <v>0</v>
      </c>
      <c r="J192" s="123"/>
      <c r="K192" s="124"/>
      <c r="L192" s="125">
        <f t="shared" si="32"/>
        <v>0</v>
      </c>
      <c r="M192" s="264"/>
      <c r="N192" s="262"/>
      <c r="O192" s="125">
        <f t="shared" si="33"/>
        <v>0</v>
      </c>
      <c r="P192" s="74"/>
      <c r="R192" s="53"/>
      <c r="S192" s="53"/>
      <c r="T192" s="53"/>
      <c r="U192" s="53"/>
    </row>
    <row r="193" spans="1:21" ht="24" hidden="1" x14ac:dyDescent="0.25">
      <c r="A193" s="276">
        <v>4250</v>
      </c>
      <c r="B193" s="127" t="s">
        <v>209</v>
      </c>
      <c r="C193" s="128">
        <f t="shared" si="26"/>
        <v>0</v>
      </c>
      <c r="D193" s="134"/>
      <c r="E193" s="285"/>
      <c r="F193" s="286">
        <f t="shared" si="30"/>
        <v>0</v>
      </c>
      <c r="G193" s="134"/>
      <c r="H193" s="135"/>
      <c r="I193" s="136">
        <f t="shared" si="31"/>
        <v>0</v>
      </c>
      <c r="J193" s="134"/>
      <c r="K193" s="135"/>
      <c r="L193" s="136">
        <f t="shared" si="32"/>
        <v>0</v>
      </c>
      <c r="M193" s="284"/>
      <c r="N193" s="285"/>
      <c r="O193" s="136">
        <f t="shared" si="33"/>
        <v>0</v>
      </c>
      <c r="P193" s="85"/>
      <c r="R193" s="53"/>
      <c r="S193" s="53"/>
      <c r="T193" s="53"/>
      <c r="U193" s="53"/>
    </row>
    <row r="194" spans="1:21" hidden="1" x14ac:dyDescent="0.25">
      <c r="A194" s="99">
        <v>4300</v>
      </c>
      <c r="B194" s="247" t="s">
        <v>210</v>
      </c>
      <c r="C194" s="100">
        <f t="shared" si="26"/>
        <v>0</v>
      </c>
      <c r="D194" s="112">
        <f>SUM(D195)</f>
        <v>0</v>
      </c>
      <c r="E194" s="293">
        <f>SUM(E195)</f>
        <v>0</v>
      </c>
      <c r="F194" s="313">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c r="R194" s="53"/>
      <c r="S194" s="53"/>
      <c r="T194" s="53"/>
      <c r="U194" s="53"/>
    </row>
    <row r="195" spans="1:21" ht="24" hidden="1" x14ac:dyDescent="0.25">
      <c r="A195" s="656">
        <v>4310</v>
      </c>
      <c r="B195" s="116" t="s">
        <v>211</v>
      </c>
      <c r="C195" s="117">
        <f t="shared" si="26"/>
        <v>0</v>
      </c>
      <c r="D195" s="297">
        <f>SUM(D196:D196)</f>
        <v>0</v>
      </c>
      <c r="E195" s="301">
        <f>SUM(E196:E196)</f>
        <v>0</v>
      </c>
      <c r="F195" s="263">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c r="R195" s="53"/>
      <c r="S195" s="53"/>
      <c r="T195" s="53"/>
      <c r="U195" s="53"/>
    </row>
    <row r="196" spans="1:21" ht="36" hidden="1" x14ac:dyDescent="0.25">
      <c r="A196" s="76">
        <v>4311</v>
      </c>
      <c r="B196" s="127" t="s">
        <v>212</v>
      </c>
      <c r="C196" s="128">
        <f t="shared" si="26"/>
        <v>0</v>
      </c>
      <c r="D196" s="134"/>
      <c r="E196" s="285"/>
      <c r="F196" s="286">
        <f t="shared" si="30"/>
        <v>0</v>
      </c>
      <c r="G196" s="134"/>
      <c r="H196" s="135"/>
      <c r="I196" s="136">
        <f t="shared" si="31"/>
        <v>0</v>
      </c>
      <c r="J196" s="134"/>
      <c r="K196" s="135"/>
      <c r="L196" s="136">
        <f t="shared" si="32"/>
        <v>0</v>
      </c>
      <c r="M196" s="284"/>
      <c r="N196" s="285"/>
      <c r="O196" s="136">
        <f t="shared" si="33"/>
        <v>0</v>
      </c>
      <c r="P196" s="85"/>
      <c r="R196" s="53"/>
      <c r="S196" s="53"/>
      <c r="T196" s="53"/>
      <c r="U196" s="53"/>
    </row>
    <row r="197" spans="1:21" s="41" customFormat="1" ht="24" x14ac:dyDescent="0.25">
      <c r="A197" s="339"/>
      <c r="B197" s="31" t="s">
        <v>213</v>
      </c>
      <c r="C197" s="229">
        <f t="shared" si="26"/>
        <v>14007</v>
      </c>
      <c r="D197" s="230">
        <f>SUM(D198,D233,D271)</f>
        <v>11603</v>
      </c>
      <c r="E197" s="231">
        <f>SUM(E198,E233,E271)</f>
        <v>0</v>
      </c>
      <c r="F197" s="232">
        <f t="shared" si="30"/>
        <v>11603</v>
      </c>
      <c r="G197" s="230">
        <f>SUM(G198,G233,G271)</f>
        <v>2404</v>
      </c>
      <c r="H197" s="233">
        <f>SUM(H198,H233,H271)</f>
        <v>0</v>
      </c>
      <c r="I197" s="234">
        <f t="shared" si="31"/>
        <v>2404</v>
      </c>
      <c r="J197" s="230">
        <f>SUM(J198,J233,J271)</f>
        <v>0</v>
      </c>
      <c r="K197" s="233">
        <f>SUM(K198,K233,K271)</f>
        <v>0</v>
      </c>
      <c r="L197" s="234">
        <f t="shared" si="32"/>
        <v>0</v>
      </c>
      <c r="M197" s="340">
        <f>SUM(M198,M233,M271)</f>
        <v>0</v>
      </c>
      <c r="N197" s="341">
        <f>SUM(N198,N233,N271)</f>
        <v>0</v>
      </c>
      <c r="O197" s="342">
        <f t="shared" si="33"/>
        <v>0</v>
      </c>
      <c r="P197" s="343"/>
      <c r="R197" s="53"/>
      <c r="S197" s="53"/>
      <c r="T197" s="53"/>
      <c r="U197" s="53"/>
    </row>
    <row r="198" spans="1:21" x14ac:dyDescent="0.25">
      <c r="A198" s="237">
        <v>5000</v>
      </c>
      <c r="B198" s="237" t="s">
        <v>214</v>
      </c>
      <c r="C198" s="238">
        <f>F198+I198+L198+O198</f>
        <v>14007</v>
      </c>
      <c r="D198" s="239">
        <f>D199+D207</f>
        <v>11603</v>
      </c>
      <c r="E198" s="240">
        <f>E199+E207</f>
        <v>0</v>
      </c>
      <c r="F198" s="241">
        <f t="shared" si="30"/>
        <v>11603</v>
      </c>
      <c r="G198" s="239">
        <f>G199+G207</f>
        <v>2404</v>
      </c>
      <c r="H198" s="242">
        <f>H199+H207</f>
        <v>0</v>
      </c>
      <c r="I198" s="243">
        <f t="shared" si="31"/>
        <v>2404</v>
      </c>
      <c r="J198" s="239">
        <f>J199+J207</f>
        <v>0</v>
      </c>
      <c r="K198" s="242">
        <f>K199+K207</f>
        <v>0</v>
      </c>
      <c r="L198" s="243">
        <f t="shared" si="32"/>
        <v>0</v>
      </c>
      <c r="M198" s="244">
        <f>M199+M207</f>
        <v>0</v>
      </c>
      <c r="N198" s="245">
        <f>N199+N207</f>
        <v>0</v>
      </c>
      <c r="O198" s="243">
        <f t="shared" si="33"/>
        <v>0</v>
      </c>
      <c r="P198" s="246"/>
      <c r="R198" s="53"/>
      <c r="S198" s="53"/>
      <c r="T198" s="53"/>
      <c r="U198" s="53"/>
    </row>
    <row r="199" spans="1:21" x14ac:dyDescent="0.25">
      <c r="A199" s="99">
        <v>5100</v>
      </c>
      <c r="B199" s="247" t="s">
        <v>215</v>
      </c>
      <c r="C199" s="100">
        <f t="shared" si="26"/>
        <v>640</v>
      </c>
      <c r="D199" s="112">
        <f>D200+D201+D204+D205+D206</f>
        <v>640</v>
      </c>
      <c r="E199" s="248">
        <f>E200+E201+E204+E205+E206</f>
        <v>0</v>
      </c>
      <c r="F199" s="249">
        <f t="shared" si="30"/>
        <v>640</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c r="R199" s="53"/>
      <c r="S199" s="53"/>
      <c r="T199" s="53"/>
      <c r="U199" s="53"/>
    </row>
    <row r="200" spans="1:21" hidden="1" x14ac:dyDescent="0.25">
      <c r="A200" s="656">
        <v>5110</v>
      </c>
      <c r="B200" s="116" t="s">
        <v>216</v>
      </c>
      <c r="C200" s="117">
        <f t="shared" si="26"/>
        <v>0</v>
      </c>
      <c r="D200" s="123"/>
      <c r="E200" s="262"/>
      <c r="F200" s="263">
        <f t="shared" si="30"/>
        <v>0</v>
      </c>
      <c r="G200" s="123"/>
      <c r="H200" s="124"/>
      <c r="I200" s="125">
        <f t="shared" si="31"/>
        <v>0</v>
      </c>
      <c r="J200" s="123"/>
      <c r="K200" s="124"/>
      <c r="L200" s="125">
        <f t="shared" si="32"/>
        <v>0</v>
      </c>
      <c r="M200" s="264"/>
      <c r="N200" s="262"/>
      <c r="O200" s="125">
        <f t="shared" si="33"/>
        <v>0</v>
      </c>
      <c r="P200" s="74"/>
      <c r="R200" s="53"/>
      <c r="S200" s="53"/>
      <c r="T200" s="53"/>
      <c r="U200" s="53"/>
    </row>
    <row r="201" spans="1:21" ht="24" x14ac:dyDescent="0.25">
      <c r="A201" s="276">
        <v>5120</v>
      </c>
      <c r="B201" s="127" t="s">
        <v>217</v>
      </c>
      <c r="C201" s="128">
        <f t="shared" si="26"/>
        <v>640</v>
      </c>
      <c r="D201" s="277">
        <f>D202+D203</f>
        <v>640</v>
      </c>
      <c r="E201" s="278">
        <f>E202+E203</f>
        <v>0</v>
      </c>
      <c r="F201" s="279">
        <f t="shared" si="30"/>
        <v>640</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c r="R201" s="53"/>
      <c r="S201" s="53"/>
      <c r="T201" s="53"/>
      <c r="U201" s="53"/>
    </row>
    <row r="202" spans="1:21" x14ac:dyDescent="0.25">
      <c r="A202" s="76">
        <v>5121</v>
      </c>
      <c r="B202" s="127" t="s">
        <v>218</v>
      </c>
      <c r="C202" s="128">
        <f t="shared" si="26"/>
        <v>640</v>
      </c>
      <c r="D202" s="134">
        <v>640</v>
      </c>
      <c r="E202" s="283"/>
      <c r="F202" s="279">
        <f t="shared" si="30"/>
        <v>640</v>
      </c>
      <c r="G202" s="134"/>
      <c r="H202" s="135"/>
      <c r="I202" s="136">
        <f t="shared" si="31"/>
        <v>0</v>
      </c>
      <c r="J202" s="134"/>
      <c r="K202" s="135"/>
      <c r="L202" s="136">
        <f t="shared" si="32"/>
        <v>0</v>
      </c>
      <c r="M202" s="284"/>
      <c r="N202" s="285"/>
      <c r="O202" s="136">
        <f t="shared" si="33"/>
        <v>0</v>
      </c>
      <c r="P202" s="85"/>
      <c r="R202" s="53"/>
      <c r="S202" s="53"/>
      <c r="T202" s="53"/>
      <c r="U202" s="53"/>
    </row>
    <row r="203" spans="1:21" ht="24" hidden="1" x14ac:dyDescent="0.25">
      <c r="A203" s="76">
        <v>5129</v>
      </c>
      <c r="B203" s="127" t="s">
        <v>219</v>
      </c>
      <c r="C203" s="128">
        <f t="shared" si="26"/>
        <v>0</v>
      </c>
      <c r="D203" s="134"/>
      <c r="E203" s="285"/>
      <c r="F203" s="286">
        <f t="shared" si="30"/>
        <v>0</v>
      </c>
      <c r="G203" s="134"/>
      <c r="H203" s="135"/>
      <c r="I203" s="136">
        <f t="shared" si="31"/>
        <v>0</v>
      </c>
      <c r="J203" s="134"/>
      <c r="K203" s="135"/>
      <c r="L203" s="136">
        <f t="shared" si="32"/>
        <v>0</v>
      </c>
      <c r="M203" s="284"/>
      <c r="N203" s="285"/>
      <c r="O203" s="136">
        <f t="shared" si="33"/>
        <v>0</v>
      </c>
      <c r="P203" s="85"/>
      <c r="R203" s="53"/>
      <c r="S203" s="53"/>
      <c r="T203" s="53"/>
      <c r="U203" s="53"/>
    </row>
    <row r="204" spans="1:21" hidden="1" x14ac:dyDescent="0.25">
      <c r="A204" s="276">
        <v>5130</v>
      </c>
      <c r="B204" s="127" t="s">
        <v>220</v>
      </c>
      <c r="C204" s="128">
        <f t="shared" si="26"/>
        <v>0</v>
      </c>
      <c r="D204" s="134"/>
      <c r="E204" s="285"/>
      <c r="F204" s="286">
        <f t="shared" si="30"/>
        <v>0</v>
      </c>
      <c r="G204" s="134"/>
      <c r="H204" s="135"/>
      <c r="I204" s="136">
        <f t="shared" si="31"/>
        <v>0</v>
      </c>
      <c r="J204" s="134"/>
      <c r="K204" s="135"/>
      <c r="L204" s="136">
        <f t="shared" si="32"/>
        <v>0</v>
      </c>
      <c r="M204" s="284"/>
      <c r="N204" s="285"/>
      <c r="O204" s="136">
        <f t="shared" si="33"/>
        <v>0</v>
      </c>
      <c r="P204" s="85"/>
      <c r="R204" s="53"/>
      <c r="S204" s="53"/>
      <c r="T204" s="53"/>
      <c r="U204" s="53"/>
    </row>
    <row r="205" spans="1:21" hidden="1" x14ac:dyDescent="0.25">
      <c r="A205" s="276">
        <v>5140</v>
      </c>
      <c r="B205" s="127" t="s">
        <v>221</v>
      </c>
      <c r="C205" s="128">
        <f t="shared" si="26"/>
        <v>0</v>
      </c>
      <c r="D205" s="134"/>
      <c r="E205" s="285"/>
      <c r="F205" s="286">
        <f t="shared" si="30"/>
        <v>0</v>
      </c>
      <c r="G205" s="134"/>
      <c r="H205" s="135"/>
      <c r="I205" s="136">
        <f t="shared" si="31"/>
        <v>0</v>
      </c>
      <c r="J205" s="134"/>
      <c r="K205" s="135"/>
      <c r="L205" s="136">
        <f t="shared" si="32"/>
        <v>0</v>
      </c>
      <c r="M205" s="284"/>
      <c r="N205" s="285"/>
      <c r="O205" s="136">
        <f t="shared" si="33"/>
        <v>0</v>
      </c>
      <c r="P205" s="85"/>
      <c r="R205" s="53"/>
      <c r="S205" s="53"/>
      <c r="T205" s="53"/>
      <c r="U205" s="53"/>
    </row>
    <row r="206" spans="1:21" ht="24" hidden="1" x14ac:dyDescent="0.25">
      <c r="A206" s="276">
        <v>5170</v>
      </c>
      <c r="B206" s="127" t="s">
        <v>222</v>
      </c>
      <c r="C206" s="128">
        <f t="shared" si="26"/>
        <v>0</v>
      </c>
      <c r="D206" s="134"/>
      <c r="E206" s="285"/>
      <c r="F206" s="286">
        <f t="shared" si="30"/>
        <v>0</v>
      </c>
      <c r="G206" s="134"/>
      <c r="H206" s="135"/>
      <c r="I206" s="136">
        <f t="shared" si="31"/>
        <v>0</v>
      </c>
      <c r="J206" s="134"/>
      <c r="K206" s="135"/>
      <c r="L206" s="136">
        <f t="shared" si="32"/>
        <v>0</v>
      </c>
      <c r="M206" s="284"/>
      <c r="N206" s="285"/>
      <c r="O206" s="136">
        <f t="shared" si="33"/>
        <v>0</v>
      </c>
      <c r="P206" s="85"/>
      <c r="R206" s="53"/>
      <c r="S206" s="53"/>
      <c r="T206" s="53"/>
      <c r="U206" s="53"/>
    </row>
    <row r="207" spans="1:21" x14ac:dyDescent="0.25">
      <c r="A207" s="99">
        <v>5200</v>
      </c>
      <c r="B207" s="247" t="s">
        <v>223</v>
      </c>
      <c r="C207" s="100">
        <f t="shared" si="26"/>
        <v>13367</v>
      </c>
      <c r="D207" s="112">
        <f>D208+D218+D219+D228+D229+D230+D232</f>
        <v>10963</v>
      </c>
      <c r="E207" s="248">
        <f>E208+E218+E219+E228+E229+E230+E232</f>
        <v>0</v>
      </c>
      <c r="F207" s="249">
        <f t="shared" si="30"/>
        <v>10963</v>
      </c>
      <c r="G207" s="112">
        <f>G208+G218+G219+G228+G229+G230+G232</f>
        <v>2404</v>
      </c>
      <c r="H207" s="113">
        <f>H208+H218+H219+H228+H229+H230+H232</f>
        <v>0</v>
      </c>
      <c r="I207" s="114">
        <f t="shared" si="31"/>
        <v>2404</v>
      </c>
      <c r="J207" s="112">
        <f>J208+J218+J219+J228+J229+J230+J232</f>
        <v>0</v>
      </c>
      <c r="K207" s="113">
        <f>K208+K218+K219+K228+K229+K230+K232</f>
        <v>0</v>
      </c>
      <c r="L207" s="114">
        <f t="shared" si="32"/>
        <v>0</v>
      </c>
      <c r="M207" s="292">
        <f>M208+M218+M219+M228+M229+M230+M232</f>
        <v>0</v>
      </c>
      <c r="N207" s="293">
        <f>N208+N218+N219+N228+N229+N230+N232</f>
        <v>0</v>
      </c>
      <c r="O207" s="114">
        <f t="shared" si="33"/>
        <v>0</v>
      </c>
      <c r="P207" s="109"/>
      <c r="R207" s="53"/>
      <c r="S207" s="53"/>
      <c r="T207" s="53"/>
      <c r="U207" s="53"/>
    </row>
    <row r="208" spans="1:21" hidden="1" x14ac:dyDescent="0.25">
      <c r="A208" s="254">
        <v>5210</v>
      </c>
      <c r="B208" s="179" t="s">
        <v>224</v>
      </c>
      <c r="C208" s="191">
        <f t="shared" si="26"/>
        <v>0</v>
      </c>
      <c r="D208" s="255">
        <f>SUM(D209:D217)</f>
        <v>0</v>
      </c>
      <c r="E208" s="261">
        <f>SUM(E209:E217)</f>
        <v>0</v>
      </c>
      <c r="F208" s="310">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c r="R208" s="53"/>
      <c r="S208" s="53"/>
      <c r="T208" s="53"/>
      <c r="U208" s="53"/>
    </row>
    <row r="209" spans="1:21" hidden="1" x14ac:dyDescent="0.25">
      <c r="A209" s="66">
        <v>5211</v>
      </c>
      <c r="B209" s="116" t="s">
        <v>225</v>
      </c>
      <c r="C209" s="279">
        <f t="shared" si="26"/>
        <v>0</v>
      </c>
      <c r="D209" s="123"/>
      <c r="E209" s="262"/>
      <c r="F209" s="263">
        <f t="shared" si="30"/>
        <v>0</v>
      </c>
      <c r="G209" s="123"/>
      <c r="H209" s="124"/>
      <c r="I209" s="125">
        <f t="shared" si="31"/>
        <v>0</v>
      </c>
      <c r="J209" s="123"/>
      <c r="K209" s="124"/>
      <c r="L209" s="125">
        <f t="shared" si="32"/>
        <v>0</v>
      </c>
      <c r="M209" s="264"/>
      <c r="N209" s="262"/>
      <c r="O209" s="125">
        <f t="shared" si="33"/>
        <v>0</v>
      </c>
      <c r="P209" s="74"/>
      <c r="R209" s="53"/>
      <c r="S209" s="53"/>
      <c r="T209" s="53"/>
      <c r="U209" s="53"/>
    </row>
    <row r="210" spans="1:21" hidden="1" x14ac:dyDescent="0.25">
      <c r="A210" s="76">
        <v>5212</v>
      </c>
      <c r="B210" s="127" t="s">
        <v>226</v>
      </c>
      <c r="C210" s="279">
        <f t="shared" si="26"/>
        <v>0</v>
      </c>
      <c r="D210" s="134"/>
      <c r="E210" s="285"/>
      <c r="F210" s="286">
        <f t="shared" si="30"/>
        <v>0</v>
      </c>
      <c r="G210" s="134"/>
      <c r="H210" s="135"/>
      <c r="I210" s="136">
        <f t="shared" si="31"/>
        <v>0</v>
      </c>
      <c r="J210" s="134"/>
      <c r="K210" s="135"/>
      <c r="L210" s="136">
        <f t="shared" si="32"/>
        <v>0</v>
      </c>
      <c r="M210" s="284"/>
      <c r="N210" s="285"/>
      <c r="O210" s="136">
        <f t="shared" si="33"/>
        <v>0</v>
      </c>
      <c r="P210" s="85"/>
      <c r="R210" s="53"/>
      <c r="S210" s="53"/>
      <c r="T210" s="53"/>
      <c r="U210" s="53"/>
    </row>
    <row r="211" spans="1:21" hidden="1" x14ac:dyDescent="0.25">
      <c r="A211" s="76">
        <v>5213</v>
      </c>
      <c r="B211" s="127" t="s">
        <v>227</v>
      </c>
      <c r="C211" s="279">
        <f t="shared" si="26"/>
        <v>0</v>
      </c>
      <c r="D211" s="134"/>
      <c r="E211" s="285"/>
      <c r="F211" s="286">
        <f t="shared" si="30"/>
        <v>0</v>
      </c>
      <c r="G211" s="134"/>
      <c r="H211" s="135"/>
      <c r="I211" s="136">
        <f t="shared" si="31"/>
        <v>0</v>
      </c>
      <c r="J211" s="134"/>
      <c r="K211" s="135"/>
      <c r="L211" s="136">
        <f t="shared" si="32"/>
        <v>0</v>
      </c>
      <c r="M211" s="284"/>
      <c r="N211" s="285"/>
      <c r="O211" s="136">
        <f t="shared" si="33"/>
        <v>0</v>
      </c>
      <c r="P211" s="85"/>
      <c r="R211" s="53"/>
      <c r="S211" s="53"/>
      <c r="T211" s="53"/>
      <c r="U211" s="53"/>
    </row>
    <row r="212" spans="1:21" hidden="1" x14ac:dyDescent="0.25">
      <c r="A212" s="76">
        <v>5214</v>
      </c>
      <c r="B212" s="127" t="s">
        <v>228</v>
      </c>
      <c r="C212" s="279">
        <f t="shared" si="26"/>
        <v>0</v>
      </c>
      <c r="D212" s="134"/>
      <c r="E212" s="285"/>
      <c r="F212" s="286">
        <f t="shared" si="30"/>
        <v>0</v>
      </c>
      <c r="G212" s="134"/>
      <c r="H212" s="135"/>
      <c r="I212" s="136">
        <f t="shared" si="31"/>
        <v>0</v>
      </c>
      <c r="J212" s="134"/>
      <c r="K212" s="135"/>
      <c r="L212" s="136">
        <f t="shared" si="32"/>
        <v>0</v>
      </c>
      <c r="M212" s="284"/>
      <c r="N212" s="285"/>
      <c r="O212" s="136">
        <f t="shared" si="33"/>
        <v>0</v>
      </c>
      <c r="P212" s="85"/>
      <c r="R212" s="53"/>
      <c r="S212" s="53"/>
      <c r="T212" s="53"/>
      <c r="U212" s="53"/>
    </row>
    <row r="213" spans="1:21" hidden="1" x14ac:dyDescent="0.25">
      <c r="A213" s="76">
        <v>5215</v>
      </c>
      <c r="B213" s="127" t="s">
        <v>229</v>
      </c>
      <c r="C213" s="279">
        <f t="shared" si="26"/>
        <v>0</v>
      </c>
      <c r="D213" s="134"/>
      <c r="E213" s="285"/>
      <c r="F213" s="286">
        <f t="shared" si="30"/>
        <v>0</v>
      </c>
      <c r="G213" s="134"/>
      <c r="H213" s="135"/>
      <c r="I213" s="136">
        <f t="shared" si="31"/>
        <v>0</v>
      </c>
      <c r="J213" s="134"/>
      <c r="K213" s="135"/>
      <c r="L213" s="136">
        <f t="shared" si="32"/>
        <v>0</v>
      </c>
      <c r="M213" s="284"/>
      <c r="N213" s="285"/>
      <c r="O213" s="136">
        <f t="shared" si="33"/>
        <v>0</v>
      </c>
      <c r="P213" s="85"/>
      <c r="R213" s="53"/>
      <c r="S213" s="53"/>
      <c r="T213" s="53"/>
      <c r="U213" s="53"/>
    </row>
    <row r="214" spans="1:21" ht="24" hidden="1" x14ac:dyDescent="0.25">
      <c r="A214" s="76">
        <v>5216</v>
      </c>
      <c r="B214" s="127" t="s">
        <v>230</v>
      </c>
      <c r="C214" s="279">
        <f t="shared" si="26"/>
        <v>0</v>
      </c>
      <c r="D214" s="134"/>
      <c r="E214" s="285"/>
      <c r="F214" s="286">
        <f t="shared" si="30"/>
        <v>0</v>
      </c>
      <c r="G214" s="134"/>
      <c r="H214" s="135"/>
      <c r="I214" s="136">
        <f t="shared" si="31"/>
        <v>0</v>
      </c>
      <c r="J214" s="134"/>
      <c r="K214" s="135"/>
      <c r="L214" s="136">
        <f t="shared" si="32"/>
        <v>0</v>
      </c>
      <c r="M214" s="284"/>
      <c r="N214" s="285"/>
      <c r="O214" s="136">
        <f t="shared" si="33"/>
        <v>0</v>
      </c>
      <c r="P214" s="85"/>
      <c r="R214" s="53"/>
      <c r="S214" s="53"/>
      <c r="T214" s="53"/>
      <c r="U214" s="53"/>
    </row>
    <row r="215" spans="1:21" hidden="1" x14ac:dyDescent="0.25">
      <c r="A215" s="76">
        <v>5217</v>
      </c>
      <c r="B215" s="127" t="s">
        <v>231</v>
      </c>
      <c r="C215" s="279">
        <f t="shared" si="26"/>
        <v>0</v>
      </c>
      <c r="D215" s="134"/>
      <c r="E215" s="285"/>
      <c r="F215" s="286">
        <f t="shared" si="30"/>
        <v>0</v>
      </c>
      <c r="G215" s="134"/>
      <c r="H215" s="135"/>
      <c r="I215" s="136">
        <f t="shared" si="31"/>
        <v>0</v>
      </c>
      <c r="J215" s="134"/>
      <c r="K215" s="135"/>
      <c r="L215" s="136">
        <f t="shared" si="32"/>
        <v>0</v>
      </c>
      <c r="M215" s="284"/>
      <c r="N215" s="285"/>
      <c r="O215" s="136">
        <f t="shared" si="33"/>
        <v>0</v>
      </c>
      <c r="P215" s="85"/>
      <c r="R215" s="53"/>
      <c r="S215" s="53"/>
      <c r="T215" s="53"/>
      <c r="U215" s="53"/>
    </row>
    <row r="216" spans="1:21" hidden="1" x14ac:dyDescent="0.25">
      <c r="A216" s="76">
        <v>5218</v>
      </c>
      <c r="B216" s="127" t="s">
        <v>232</v>
      </c>
      <c r="C216" s="279">
        <f t="shared" si="26"/>
        <v>0</v>
      </c>
      <c r="D216" s="134"/>
      <c r="E216" s="285"/>
      <c r="F216" s="286">
        <f t="shared" si="30"/>
        <v>0</v>
      </c>
      <c r="G216" s="134"/>
      <c r="H216" s="135"/>
      <c r="I216" s="136">
        <f t="shared" si="31"/>
        <v>0</v>
      </c>
      <c r="J216" s="134"/>
      <c r="K216" s="135"/>
      <c r="L216" s="136">
        <f t="shared" si="32"/>
        <v>0</v>
      </c>
      <c r="M216" s="284"/>
      <c r="N216" s="285"/>
      <c r="O216" s="136">
        <f t="shared" si="33"/>
        <v>0</v>
      </c>
      <c r="P216" s="85"/>
      <c r="R216" s="53"/>
      <c r="S216" s="53"/>
      <c r="T216" s="53"/>
      <c r="U216" s="53"/>
    </row>
    <row r="217" spans="1:21" hidden="1" x14ac:dyDescent="0.25">
      <c r="A217" s="76">
        <v>5219</v>
      </c>
      <c r="B217" s="127" t="s">
        <v>233</v>
      </c>
      <c r="C217" s="279">
        <f t="shared" si="26"/>
        <v>0</v>
      </c>
      <c r="D217" s="134"/>
      <c r="E217" s="285"/>
      <c r="F217" s="286">
        <f t="shared" si="30"/>
        <v>0</v>
      </c>
      <c r="G217" s="134"/>
      <c r="H217" s="135"/>
      <c r="I217" s="136">
        <f t="shared" si="31"/>
        <v>0</v>
      </c>
      <c r="J217" s="134"/>
      <c r="K217" s="135"/>
      <c r="L217" s="136">
        <f t="shared" si="32"/>
        <v>0</v>
      </c>
      <c r="M217" s="284"/>
      <c r="N217" s="285"/>
      <c r="O217" s="136">
        <f t="shared" si="33"/>
        <v>0</v>
      </c>
      <c r="P217" s="85"/>
      <c r="R217" s="53"/>
      <c r="S217" s="53"/>
      <c r="T217" s="53"/>
      <c r="U217" s="53"/>
    </row>
    <row r="218" spans="1:21" hidden="1" x14ac:dyDescent="0.25">
      <c r="A218" s="276">
        <v>5220</v>
      </c>
      <c r="B218" s="127" t="s">
        <v>234</v>
      </c>
      <c r="C218" s="279">
        <f t="shared" si="26"/>
        <v>0</v>
      </c>
      <c r="D218" s="134"/>
      <c r="E218" s="285"/>
      <c r="F218" s="286">
        <f t="shared" si="30"/>
        <v>0</v>
      </c>
      <c r="G218" s="134"/>
      <c r="H218" s="135"/>
      <c r="I218" s="136">
        <f t="shared" si="31"/>
        <v>0</v>
      </c>
      <c r="J218" s="134"/>
      <c r="K218" s="135"/>
      <c r="L218" s="136">
        <f t="shared" si="32"/>
        <v>0</v>
      </c>
      <c r="M218" s="284"/>
      <c r="N218" s="285"/>
      <c r="O218" s="136">
        <f t="shared" si="33"/>
        <v>0</v>
      </c>
      <c r="P218" s="85"/>
      <c r="R218" s="53"/>
      <c r="S218" s="53"/>
      <c r="T218" s="53"/>
      <c r="U218" s="53"/>
    </row>
    <row r="219" spans="1:21" x14ac:dyDescent="0.25">
      <c r="A219" s="276">
        <v>5230</v>
      </c>
      <c r="B219" s="127" t="s">
        <v>235</v>
      </c>
      <c r="C219" s="279">
        <f t="shared" si="26"/>
        <v>13367</v>
      </c>
      <c r="D219" s="277">
        <f>SUM(D220:D227)</f>
        <v>10963</v>
      </c>
      <c r="E219" s="278">
        <f>SUM(E220:E227)</f>
        <v>0</v>
      </c>
      <c r="F219" s="279">
        <f t="shared" si="30"/>
        <v>10963</v>
      </c>
      <c r="G219" s="277">
        <f>SUM(G220:G227)</f>
        <v>2404</v>
      </c>
      <c r="H219" s="280">
        <f>SUM(H220:H227)</f>
        <v>0</v>
      </c>
      <c r="I219" s="136">
        <f t="shared" si="31"/>
        <v>2404</v>
      </c>
      <c r="J219" s="277">
        <f>SUM(J220:J227)</f>
        <v>0</v>
      </c>
      <c r="K219" s="280">
        <f>SUM(K220:K227)</f>
        <v>0</v>
      </c>
      <c r="L219" s="136">
        <f t="shared" si="32"/>
        <v>0</v>
      </c>
      <c r="M219" s="281">
        <f>SUM(M220:M227)</f>
        <v>0</v>
      </c>
      <c r="N219" s="282">
        <f>SUM(N220:N227)</f>
        <v>0</v>
      </c>
      <c r="O219" s="136">
        <f t="shared" si="33"/>
        <v>0</v>
      </c>
      <c r="P219" s="85"/>
      <c r="R219" s="53"/>
      <c r="S219" s="53"/>
      <c r="T219" s="53"/>
      <c r="U219" s="53"/>
    </row>
    <row r="220" spans="1:21" hidden="1" x14ac:dyDescent="0.25">
      <c r="A220" s="76">
        <v>5231</v>
      </c>
      <c r="B220" s="127" t="s">
        <v>236</v>
      </c>
      <c r="C220" s="279">
        <f t="shared" si="26"/>
        <v>0</v>
      </c>
      <c r="D220" s="134"/>
      <c r="E220" s="285"/>
      <c r="F220" s="286">
        <f t="shared" si="30"/>
        <v>0</v>
      </c>
      <c r="G220" s="134"/>
      <c r="H220" s="135"/>
      <c r="I220" s="136">
        <f t="shared" si="31"/>
        <v>0</v>
      </c>
      <c r="J220" s="134"/>
      <c r="K220" s="135"/>
      <c r="L220" s="136">
        <f t="shared" si="32"/>
        <v>0</v>
      </c>
      <c r="M220" s="284"/>
      <c r="N220" s="285"/>
      <c r="O220" s="136">
        <f t="shared" si="33"/>
        <v>0</v>
      </c>
      <c r="P220" s="85"/>
      <c r="R220" s="53"/>
      <c r="S220" s="53"/>
      <c r="T220" s="53"/>
      <c r="U220" s="53"/>
    </row>
    <row r="221" spans="1:21" hidden="1" x14ac:dyDescent="0.25">
      <c r="A221" s="76">
        <v>5232</v>
      </c>
      <c r="B221" s="127" t="s">
        <v>237</v>
      </c>
      <c r="C221" s="279">
        <f t="shared" si="26"/>
        <v>0</v>
      </c>
      <c r="D221" s="134"/>
      <c r="E221" s="285"/>
      <c r="F221" s="286">
        <f t="shared" si="30"/>
        <v>0</v>
      </c>
      <c r="G221" s="134"/>
      <c r="H221" s="135"/>
      <c r="I221" s="136">
        <f t="shared" si="31"/>
        <v>0</v>
      </c>
      <c r="J221" s="134"/>
      <c r="K221" s="135"/>
      <c r="L221" s="136">
        <f t="shared" si="32"/>
        <v>0</v>
      </c>
      <c r="M221" s="284"/>
      <c r="N221" s="285"/>
      <c r="O221" s="136">
        <f t="shared" si="33"/>
        <v>0</v>
      </c>
      <c r="P221" s="85"/>
      <c r="R221" s="53"/>
      <c r="S221" s="53"/>
      <c r="T221" s="53"/>
      <c r="U221" s="53"/>
    </row>
    <row r="222" spans="1:21" x14ac:dyDescent="0.25">
      <c r="A222" s="76">
        <v>5233</v>
      </c>
      <c r="B222" s="127" t="s">
        <v>238</v>
      </c>
      <c r="C222" s="279">
        <f t="shared" si="26"/>
        <v>3247</v>
      </c>
      <c r="D222" s="134">
        <v>843</v>
      </c>
      <c r="E222" s="283"/>
      <c r="F222" s="279">
        <f t="shared" si="30"/>
        <v>843</v>
      </c>
      <c r="G222" s="134">
        <v>2404</v>
      </c>
      <c r="H222" s="135"/>
      <c r="I222" s="136">
        <f t="shared" si="31"/>
        <v>2404</v>
      </c>
      <c r="J222" s="134"/>
      <c r="K222" s="135"/>
      <c r="L222" s="136">
        <f t="shared" si="32"/>
        <v>0</v>
      </c>
      <c r="M222" s="284"/>
      <c r="N222" s="285"/>
      <c r="O222" s="136">
        <f t="shared" si="33"/>
        <v>0</v>
      </c>
      <c r="P222" s="85"/>
      <c r="R222" s="53"/>
      <c r="S222" s="53"/>
      <c r="T222" s="53"/>
      <c r="U222" s="53"/>
    </row>
    <row r="223" spans="1:21" ht="24" hidden="1" x14ac:dyDescent="0.25">
      <c r="A223" s="76">
        <v>5234</v>
      </c>
      <c r="B223" s="127" t="s">
        <v>239</v>
      </c>
      <c r="C223" s="279">
        <f t="shared" si="26"/>
        <v>0</v>
      </c>
      <c r="D223" s="134"/>
      <c r="E223" s="285"/>
      <c r="F223" s="286">
        <f t="shared" si="30"/>
        <v>0</v>
      </c>
      <c r="G223" s="134"/>
      <c r="H223" s="135"/>
      <c r="I223" s="136">
        <f t="shared" si="31"/>
        <v>0</v>
      </c>
      <c r="J223" s="134"/>
      <c r="K223" s="135"/>
      <c r="L223" s="136">
        <f t="shared" si="32"/>
        <v>0</v>
      </c>
      <c r="M223" s="284"/>
      <c r="N223" s="285"/>
      <c r="O223" s="136">
        <f t="shared" si="33"/>
        <v>0</v>
      </c>
      <c r="P223" s="85"/>
      <c r="R223" s="53"/>
      <c r="S223" s="53"/>
      <c r="T223" s="53"/>
      <c r="U223" s="53"/>
    </row>
    <row r="224" spans="1:21" hidden="1" x14ac:dyDescent="0.25">
      <c r="A224" s="76">
        <v>5236</v>
      </c>
      <c r="B224" s="127" t="s">
        <v>240</v>
      </c>
      <c r="C224" s="279">
        <f t="shared" si="26"/>
        <v>0</v>
      </c>
      <c r="D224" s="134"/>
      <c r="E224" s="285"/>
      <c r="F224" s="286">
        <f t="shared" si="30"/>
        <v>0</v>
      </c>
      <c r="G224" s="134"/>
      <c r="H224" s="135"/>
      <c r="I224" s="136">
        <f t="shared" si="31"/>
        <v>0</v>
      </c>
      <c r="J224" s="134"/>
      <c r="K224" s="135"/>
      <c r="L224" s="136">
        <f t="shared" si="32"/>
        <v>0</v>
      </c>
      <c r="M224" s="284"/>
      <c r="N224" s="285"/>
      <c r="O224" s="136">
        <f t="shared" si="33"/>
        <v>0</v>
      </c>
      <c r="P224" s="85"/>
      <c r="R224" s="53"/>
      <c r="S224" s="53"/>
      <c r="T224" s="53"/>
      <c r="U224" s="53"/>
    </row>
    <row r="225" spans="1:21" hidden="1" x14ac:dyDescent="0.25">
      <c r="A225" s="76">
        <v>5237</v>
      </c>
      <c r="B225" s="127" t="s">
        <v>241</v>
      </c>
      <c r="C225" s="279">
        <f t="shared" si="26"/>
        <v>0</v>
      </c>
      <c r="D225" s="134"/>
      <c r="E225" s="285"/>
      <c r="F225" s="286">
        <f t="shared" si="30"/>
        <v>0</v>
      </c>
      <c r="G225" s="134"/>
      <c r="H225" s="135"/>
      <c r="I225" s="136">
        <f t="shared" si="31"/>
        <v>0</v>
      </c>
      <c r="J225" s="134"/>
      <c r="K225" s="135"/>
      <c r="L225" s="136">
        <f t="shared" si="32"/>
        <v>0</v>
      </c>
      <c r="M225" s="284"/>
      <c r="N225" s="285"/>
      <c r="O225" s="136">
        <f t="shared" si="33"/>
        <v>0</v>
      </c>
      <c r="P225" s="85"/>
      <c r="R225" s="53"/>
      <c r="S225" s="53"/>
      <c r="T225" s="53"/>
      <c r="U225" s="53"/>
    </row>
    <row r="226" spans="1:21" ht="24" x14ac:dyDescent="0.25">
      <c r="A226" s="76">
        <v>5238</v>
      </c>
      <c r="B226" s="127" t="s">
        <v>242</v>
      </c>
      <c r="C226" s="279">
        <f t="shared" si="26"/>
        <v>7440</v>
      </c>
      <c r="D226" s="134">
        <v>7440</v>
      </c>
      <c r="E226" s="283"/>
      <c r="F226" s="279">
        <f t="shared" si="30"/>
        <v>7440</v>
      </c>
      <c r="G226" s="134"/>
      <c r="H226" s="135"/>
      <c r="I226" s="136">
        <f t="shared" si="31"/>
        <v>0</v>
      </c>
      <c r="J226" s="134"/>
      <c r="K226" s="135"/>
      <c r="L226" s="136">
        <f t="shared" si="32"/>
        <v>0</v>
      </c>
      <c r="M226" s="284"/>
      <c r="N226" s="285"/>
      <c r="O226" s="136">
        <f t="shared" si="33"/>
        <v>0</v>
      </c>
      <c r="P226" s="85"/>
      <c r="R226" s="53"/>
      <c r="S226" s="53"/>
      <c r="T226" s="53"/>
      <c r="U226" s="53"/>
    </row>
    <row r="227" spans="1:21" ht="24" x14ac:dyDescent="0.25">
      <c r="A227" s="76">
        <v>5239</v>
      </c>
      <c r="B227" s="127" t="s">
        <v>243</v>
      </c>
      <c r="C227" s="279">
        <f t="shared" si="26"/>
        <v>2680</v>
      </c>
      <c r="D227" s="134">
        <v>2680</v>
      </c>
      <c r="E227" s="283"/>
      <c r="F227" s="279">
        <f t="shared" si="30"/>
        <v>2680</v>
      </c>
      <c r="G227" s="134"/>
      <c r="H227" s="135"/>
      <c r="I227" s="136">
        <f t="shared" si="31"/>
        <v>0</v>
      </c>
      <c r="J227" s="134"/>
      <c r="K227" s="135"/>
      <c r="L227" s="136">
        <f t="shared" si="32"/>
        <v>0</v>
      </c>
      <c r="M227" s="284"/>
      <c r="N227" s="285"/>
      <c r="O227" s="136">
        <f t="shared" si="33"/>
        <v>0</v>
      </c>
      <c r="P227" s="85"/>
      <c r="R227" s="53"/>
      <c r="S227" s="53"/>
      <c r="T227" s="53"/>
      <c r="U227" s="53"/>
    </row>
    <row r="228" spans="1:21" ht="24" hidden="1" x14ac:dyDescent="0.25">
      <c r="A228" s="276">
        <v>5240</v>
      </c>
      <c r="B228" s="127" t="s">
        <v>244</v>
      </c>
      <c r="C228" s="279">
        <f t="shared" si="26"/>
        <v>0</v>
      </c>
      <c r="D228" s="134"/>
      <c r="E228" s="285"/>
      <c r="F228" s="286">
        <f t="shared" si="30"/>
        <v>0</v>
      </c>
      <c r="G228" s="134"/>
      <c r="H228" s="135"/>
      <c r="I228" s="136">
        <f t="shared" si="31"/>
        <v>0</v>
      </c>
      <c r="J228" s="134"/>
      <c r="K228" s="135"/>
      <c r="L228" s="136">
        <f t="shared" si="32"/>
        <v>0</v>
      </c>
      <c r="M228" s="284"/>
      <c r="N228" s="285"/>
      <c r="O228" s="136">
        <f t="shared" si="33"/>
        <v>0</v>
      </c>
      <c r="P228" s="85"/>
      <c r="R228" s="53"/>
      <c r="S228" s="53"/>
      <c r="T228" s="53"/>
      <c r="U228" s="53"/>
    </row>
    <row r="229" spans="1:21" hidden="1" x14ac:dyDescent="0.25">
      <c r="A229" s="276">
        <v>5250</v>
      </c>
      <c r="B229" s="127" t="s">
        <v>245</v>
      </c>
      <c r="C229" s="279">
        <f t="shared" si="26"/>
        <v>0</v>
      </c>
      <c r="D229" s="134"/>
      <c r="E229" s="285"/>
      <c r="F229" s="286">
        <f t="shared" si="30"/>
        <v>0</v>
      </c>
      <c r="G229" s="134"/>
      <c r="H229" s="135"/>
      <c r="I229" s="136">
        <f t="shared" si="31"/>
        <v>0</v>
      </c>
      <c r="J229" s="134"/>
      <c r="K229" s="135"/>
      <c r="L229" s="136">
        <f t="shared" si="32"/>
        <v>0</v>
      </c>
      <c r="M229" s="284"/>
      <c r="N229" s="285"/>
      <c r="O229" s="136">
        <f t="shared" si="33"/>
        <v>0</v>
      </c>
      <c r="P229" s="85"/>
      <c r="R229" s="53"/>
      <c r="S229" s="53"/>
      <c r="T229" s="53"/>
      <c r="U229" s="53"/>
    </row>
    <row r="230" spans="1:21" hidden="1" x14ac:dyDescent="0.25">
      <c r="A230" s="276">
        <v>5260</v>
      </c>
      <c r="B230" s="127" t="s">
        <v>246</v>
      </c>
      <c r="C230" s="279">
        <f t="shared" si="26"/>
        <v>0</v>
      </c>
      <c r="D230" s="277">
        <f>SUM(D231)</f>
        <v>0</v>
      </c>
      <c r="E230" s="282">
        <f>SUM(E231)</f>
        <v>0</v>
      </c>
      <c r="F230" s="286">
        <f t="shared" si="30"/>
        <v>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c r="R230" s="53"/>
      <c r="S230" s="53"/>
      <c r="T230" s="53"/>
      <c r="U230" s="53"/>
    </row>
    <row r="231" spans="1:21" ht="24" hidden="1" x14ac:dyDescent="0.25">
      <c r="A231" s="76">
        <v>5269</v>
      </c>
      <c r="B231" s="127" t="s">
        <v>247</v>
      </c>
      <c r="C231" s="279">
        <f t="shared" si="26"/>
        <v>0</v>
      </c>
      <c r="D231" s="134"/>
      <c r="E231" s="285"/>
      <c r="F231" s="286">
        <f t="shared" si="30"/>
        <v>0</v>
      </c>
      <c r="G231" s="134"/>
      <c r="H231" s="135"/>
      <c r="I231" s="136">
        <f t="shared" si="31"/>
        <v>0</v>
      </c>
      <c r="J231" s="134"/>
      <c r="K231" s="135"/>
      <c r="L231" s="136">
        <f t="shared" si="32"/>
        <v>0</v>
      </c>
      <c r="M231" s="284"/>
      <c r="N231" s="285"/>
      <c r="O231" s="136">
        <f t="shared" si="33"/>
        <v>0</v>
      </c>
      <c r="P231" s="85"/>
      <c r="R231" s="53"/>
      <c r="S231" s="53"/>
      <c r="T231" s="53"/>
      <c r="U231" s="53"/>
    </row>
    <row r="232" spans="1:21" ht="24" hidden="1" x14ac:dyDescent="0.25">
      <c r="A232" s="254">
        <v>5270</v>
      </c>
      <c r="B232" s="179" t="s">
        <v>248</v>
      </c>
      <c r="C232" s="302">
        <f t="shared" si="26"/>
        <v>0</v>
      </c>
      <c r="D232" s="287"/>
      <c r="E232" s="291"/>
      <c r="F232" s="310">
        <f t="shared" si="30"/>
        <v>0</v>
      </c>
      <c r="G232" s="287"/>
      <c r="H232" s="289"/>
      <c r="I232" s="259">
        <f t="shared" si="31"/>
        <v>0</v>
      </c>
      <c r="J232" s="287"/>
      <c r="K232" s="289"/>
      <c r="L232" s="259">
        <f t="shared" si="32"/>
        <v>0</v>
      </c>
      <c r="M232" s="290"/>
      <c r="N232" s="291"/>
      <c r="O232" s="259">
        <f t="shared" si="33"/>
        <v>0</v>
      </c>
      <c r="P232" s="189"/>
      <c r="R232" s="53"/>
      <c r="S232" s="53"/>
      <c r="T232" s="53"/>
      <c r="U232" s="53"/>
    </row>
    <row r="233" spans="1:21" hidden="1" x14ac:dyDescent="0.25">
      <c r="A233" s="237">
        <v>6000</v>
      </c>
      <c r="B233" s="237" t="s">
        <v>249</v>
      </c>
      <c r="C233" s="238">
        <f t="shared" si="26"/>
        <v>0</v>
      </c>
      <c r="D233" s="239">
        <f>D234+D254+D261</f>
        <v>0</v>
      </c>
      <c r="E233" s="245">
        <f>E234+E254+E261</f>
        <v>0</v>
      </c>
      <c r="F233" s="320">
        <f t="shared" si="30"/>
        <v>0</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c r="R233" s="53"/>
      <c r="S233" s="53"/>
      <c r="T233" s="53"/>
      <c r="U233" s="53"/>
    </row>
    <row r="234" spans="1:21"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c r="R234" s="53"/>
      <c r="S234" s="53"/>
      <c r="T234" s="53"/>
      <c r="U234" s="53"/>
    </row>
    <row r="235" spans="1:21" ht="24" hidden="1" x14ac:dyDescent="0.25">
      <c r="A235" s="656">
        <v>6220</v>
      </c>
      <c r="B235" s="116" t="s">
        <v>251</v>
      </c>
      <c r="C235" s="298">
        <f t="shared" si="26"/>
        <v>0</v>
      </c>
      <c r="D235" s="123"/>
      <c r="E235" s="262"/>
      <c r="F235" s="263">
        <f t="shared" si="30"/>
        <v>0</v>
      </c>
      <c r="G235" s="123"/>
      <c r="H235" s="124"/>
      <c r="I235" s="125">
        <f t="shared" si="31"/>
        <v>0</v>
      </c>
      <c r="J235" s="123"/>
      <c r="K235" s="124"/>
      <c r="L235" s="125">
        <f t="shared" si="32"/>
        <v>0</v>
      </c>
      <c r="M235" s="264"/>
      <c r="N235" s="262"/>
      <c r="O235" s="125">
        <f t="shared" si="33"/>
        <v>0</v>
      </c>
      <c r="P235" s="74"/>
      <c r="R235" s="53"/>
      <c r="S235" s="53"/>
      <c r="T235" s="53"/>
      <c r="U235" s="53"/>
    </row>
    <row r="236" spans="1:21" hidden="1" x14ac:dyDescent="0.25">
      <c r="A236" s="276">
        <v>6230</v>
      </c>
      <c r="B236" s="127" t="s">
        <v>252</v>
      </c>
      <c r="C236" s="278">
        <f t="shared" si="26"/>
        <v>0</v>
      </c>
      <c r="D236" s="277">
        <f>SUM(D237)</f>
        <v>0</v>
      </c>
      <c r="E236" s="280">
        <f>SUM(E237)</f>
        <v>0</v>
      </c>
      <c r="F236" s="28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c r="R236" s="53"/>
      <c r="S236" s="53"/>
      <c r="T236" s="53"/>
      <c r="U236" s="53"/>
    </row>
    <row r="237" spans="1:21" ht="24" hidden="1" x14ac:dyDescent="0.25">
      <c r="A237" s="76">
        <v>6239</v>
      </c>
      <c r="B237" s="116" t="s">
        <v>253</v>
      </c>
      <c r="C237" s="278">
        <f t="shared" si="26"/>
        <v>0</v>
      </c>
      <c r="D237" s="134"/>
      <c r="E237" s="285"/>
      <c r="F237" s="286">
        <f t="shared" si="30"/>
        <v>0</v>
      </c>
      <c r="G237" s="134"/>
      <c r="H237" s="135"/>
      <c r="I237" s="136">
        <f t="shared" si="31"/>
        <v>0</v>
      </c>
      <c r="J237" s="134"/>
      <c r="K237" s="135"/>
      <c r="L237" s="136">
        <f t="shared" si="32"/>
        <v>0</v>
      </c>
      <c r="M237" s="284"/>
      <c r="N237" s="285"/>
      <c r="O237" s="136">
        <f t="shared" si="33"/>
        <v>0</v>
      </c>
      <c r="P237" s="85"/>
      <c r="R237" s="53"/>
      <c r="S237" s="53"/>
      <c r="T237" s="53"/>
      <c r="U237" s="53"/>
    </row>
    <row r="238" spans="1:21" ht="24" hidden="1" x14ac:dyDescent="0.25">
      <c r="A238" s="276">
        <v>6240</v>
      </c>
      <c r="B238" s="127" t="s">
        <v>254</v>
      </c>
      <c r="C238" s="278">
        <f t="shared" si="26"/>
        <v>0</v>
      </c>
      <c r="D238" s="277">
        <f>SUM(D239:D240)</f>
        <v>0</v>
      </c>
      <c r="E238" s="282">
        <f>SUM(E239:E240)</f>
        <v>0</v>
      </c>
      <c r="F238" s="28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c r="R238" s="53"/>
      <c r="S238" s="53"/>
      <c r="T238" s="53"/>
      <c r="U238" s="53"/>
    </row>
    <row r="239" spans="1:21" hidden="1" x14ac:dyDescent="0.25">
      <c r="A239" s="76">
        <v>6241</v>
      </c>
      <c r="B239" s="127" t="s">
        <v>255</v>
      </c>
      <c r="C239" s="278">
        <f t="shared" si="26"/>
        <v>0</v>
      </c>
      <c r="D239" s="134"/>
      <c r="E239" s="285"/>
      <c r="F239" s="286">
        <f t="shared" si="30"/>
        <v>0</v>
      </c>
      <c r="G239" s="134"/>
      <c r="H239" s="135"/>
      <c r="I239" s="136">
        <f t="shared" si="31"/>
        <v>0</v>
      </c>
      <c r="J239" s="134"/>
      <c r="K239" s="135"/>
      <c r="L239" s="136">
        <f t="shared" si="32"/>
        <v>0</v>
      </c>
      <c r="M239" s="284"/>
      <c r="N239" s="285"/>
      <c r="O239" s="136">
        <f t="shared" si="33"/>
        <v>0</v>
      </c>
      <c r="P239" s="85"/>
      <c r="R239" s="53"/>
      <c r="S239" s="53"/>
      <c r="T239" s="53"/>
      <c r="U239" s="53"/>
    </row>
    <row r="240" spans="1:21" hidden="1" x14ac:dyDescent="0.25">
      <c r="A240" s="76">
        <v>6242</v>
      </c>
      <c r="B240" s="127" t="s">
        <v>256</v>
      </c>
      <c r="C240" s="278">
        <f t="shared" si="26"/>
        <v>0</v>
      </c>
      <c r="D240" s="134"/>
      <c r="E240" s="285"/>
      <c r="F240" s="286">
        <f t="shared" si="30"/>
        <v>0</v>
      </c>
      <c r="G240" s="134"/>
      <c r="H240" s="135"/>
      <c r="I240" s="136">
        <f t="shared" si="31"/>
        <v>0</v>
      </c>
      <c r="J240" s="134"/>
      <c r="K240" s="135"/>
      <c r="L240" s="136">
        <f t="shared" si="32"/>
        <v>0</v>
      </c>
      <c r="M240" s="284"/>
      <c r="N240" s="285"/>
      <c r="O240" s="136">
        <f t="shared" si="33"/>
        <v>0</v>
      </c>
      <c r="P240" s="85"/>
      <c r="R240" s="53"/>
      <c r="S240" s="53"/>
      <c r="T240" s="53"/>
      <c r="U240" s="53"/>
    </row>
    <row r="241" spans="1:21" ht="24" hidden="1" x14ac:dyDescent="0.25">
      <c r="A241" s="276">
        <v>6250</v>
      </c>
      <c r="B241" s="127" t="s">
        <v>257</v>
      </c>
      <c r="C241" s="278">
        <f t="shared" si="26"/>
        <v>0</v>
      </c>
      <c r="D241" s="277">
        <f>SUM(D242:D246)</f>
        <v>0</v>
      </c>
      <c r="E241" s="282">
        <f>SUM(E242:E246)</f>
        <v>0</v>
      </c>
      <c r="F241" s="28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c r="R241" s="53"/>
      <c r="S241" s="53"/>
      <c r="T241" s="53"/>
      <c r="U241" s="53"/>
    </row>
    <row r="242" spans="1:21" hidden="1" x14ac:dyDescent="0.25">
      <c r="A242" s="76">
        <v>6252</v>
      </c>
      <c r="B242" s="127" t="s">
        <v>258</v>
      </c>
      <c r="C242" s="278">
        <f t="shared" si="26"/>
        <v>0</v>
      </c>
      <c r="D242" s="134"/>
      <c r="E242" s="285"/>
      <c r="F242" s="286">
        <f t="shared" si="30"/>
        <v>0</v>
      </c>
      <c r="G242" s="134"/>
      <c r="H242" s="135"/>
      <c r="I242" s="136">
        <f t="shared" si="31"/>
        <v>0</v>
      </c>
      <c r="J242" s="134"/>
      <c r="K242" s="135"/>
      <c r="L242" s="136">
        <f t="shared" si="32"/>
        <v>0</v>
      </c>
      <c r="M242" s="284"/>
      <c r="N242" s="285"/>
      <c r="O242" s="136">
        <f t="shared" si="33"/>
        <v>0</v>
      </c>
      <c r="P242" s="85"/>
      <c r="R242" s="53"/>
      <c r="S242" s="53"/>
      <c r="T242" s="53"/>
      <c r="U242" s="53"/>
    </row>
    <row r="243" spans="1:21" hidden="1" x14ac:dyDescent="0.25">
      <c r="A243" s="76">
        <v>6253</v>
      </c>
      <c r="B243" s="127" t="s">
        <v>259</v>
      </c>
      <c r="C243" s="278">
        <f t="shared" si="26"/>
        <v>0</v>
      </c>
      <c r="D243" s="134"/>
      <c r="E243" s="285"/>
      <c r="F243" s="286">
        <f t="shared" si="30"/>
        <v>0</v>
      </c>
      <c r="G243" s="134"/>
      <c r="H243" s="135"/>
      <c r="I243" s="136">
        <f t="shared" si="31"/>
        <v>0</v>
      </c>
      <c r="J243" s="134"/>
      <c r="K243" s="135"/>
      <c r="L243" s="136">
        <f t="shared" si="32"/>
        <v>0</v>
      </c>
      <c r="M243" s="284"/>
      <c r="N243" s="285"/>
      <c r="O243" s="136">
        <f t="shared" si="33"/>
        <v>0</v>
      </c>
      <c r="P243" s="85"/>
      <c r="R243" s="53"/>
      <c r="S243" s="53"/>
      <c r="T243" s="53"/>
      <c r="U243" s="53"/>
    </row>
    <row r="244" spans="1:21" ht="24" hidden="1" x14ac:dyDescent="0.25">
      <c r="A244" s="76">
        <v>6254</v>
      </c>
      <c r="B244" s="127" t="s">
        <v>260</v>
      </c>
      <c r="C244" s="278">
        <f t="shared" si="26"/>
        <v>0</v>
      </c>
      <c r="D244" s="134"/>
      <c r="E244" s="285"/>
      <c r="F244" s="286">
        <f t="shared" si="30"/>
        <v>0</v>
      </c>
      <c r="G244" s="134"/>
      <c r="H244" s="135"/>
      <c r="I244" s="136">
        <f t="shared" si="31"/>
        <v>0</v>
      </c>
      <c r="J244" s="134"/>
      <c r="K244" s="135"/>
      <c r="L244" s="136">
        <f t="shared" si="32"/>
        <v>0</v>
      </c>
      <c r="M244" s="284"/>
      <c r="N244" s="285"/>
      <c r="O244" s="136">
        <f t="shared" si="33"/>
        <v>0</v>
      </c>
      <c r="P244" s="85"/>
      <c r="R244" s="53"/>
      <c r="S244" s="53"/>
      <c r="T244" s="53"/>
      <c r="U244" s="53"/>
    </row>
    <row r="245" spans="1:21" ht="24" hidden="1" x14ac:dyDescent="0.25">
      <c r="A245" s="76">
        <v>6255</v>
      </c>
      <c r="B245" s="127" t="s">
        <v>261</v>
      </c>
      <c r="C245" s="278">
        <f t="shared" si="26"/>
        <v>0</v>
      </c>
      <c r="D245" s="134"/>
      <c r="E245" s="285"/>
      <c r="F245" s="286">
        <f t="shared" si="30"/>
        <v>0</v>
      </c>
      <c r="G245" s="134"/>
      <c r="H245" s="135"/>
      <c r="I245" s="136">
        <f t="shared" si="31"/>
        <v>0</v>
      </c>
      <c r="J245" s="134"/>
      <c r="K245" s="135"/>
      <c r="L245" s="136">
        <f t="shared" si="32"/>
        <v>0</v>
      </c>
      <c r="M245" s="284"/>
      <c r="N245" s="285"/>
      <c r="O245" s="136">
        <f t="shared" si="33"/>
        <v>0</v>
      </c>
      <c r="P245" s="85"/>
      <c r="R245" s="53"/>
      <c r="S245" s="53"/>
      <c r="T245" s="53"/>
      <c r="U245" s="53"/>
    </row>
    <row r="246" spans="1:21" hidden="1" x14ac:dyDescent="0.25">
      <c r="A246" s="76">
        <v>6259</v>
      </c>
      <c r="B246" s="127" t="s">
        <v>262</v>
      </c>
      <c r="C246" s="278">
        <f t="shared" si="26"/>
        <v>0</v>
      </c>
      <c r="D246" s="134"/>
      <c r="E246" s="285"/>
      <c r="F246" s="286">
        <f t="shared" si="30"/>
        <v>0</v>
      </c>
      <c r="G246" s="134"/>
      <c r="H246" s="135"/>
      <c r="I246" s="136">
        <f t="shared" si="31"/>
        <v>0</v>
      </c>
      <c r="J246" s="134"/>
      <c r="K246" s="135"/>
      <c r="L246" s="136">
        <f t="shared" si="32"/>
        <v>0</v>
      </c>
      <c r="M246" s="284"/>
      <c r="N246" s="285"/>
      <c r="O246" s="136">
        <f t="shared" si="33"/>
        <v>0</v>
      </c>
      <c r="P246" s="85"/>
      <c r="R246" s="53"/>
      <c r="S246" s="53"/>
      <c r="T246" s="53"/>
      <c r="U246" s="53"/>
    </row>
    <row r="247" spans="1:21" ht="24" hidden="1" x14ac:dyDescent="0.25">
      <c r="A247" s="276">
        <v>6260</v>
      </c>
      <c r="B247" s="127" t="s">
        <v>263</v>
      </c>
      <c r="C247" s="278">
        <f t="shared" si="26"/>
        <v>0</v>
      </c>
      <c r="D247" s="134"/>
      <c r="E247" s="285"/>
      <c r="F247" s="286">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c r="R247" s="53"/>
      <c r="S247" s="53"/>
      <c r="T247" s="53"/>
      <c r="U247" s="53"/>
    </row>
    <row r="248" spans="1:21" hidden="1" x14ac:dyDescent="0.25">
      <c r="A248" s="276">
        <v>6270</v>
      </c>
      <c r="B248" s="127" t="s">
        <v>264</v>
      </c>
      <c r="C248" s="278">
        <f t="shared" si="26"/>
        <v>0</v>
      </c>
      <c r="D248" s="134"/>
      <c r="E248" s="285"/>
      <c r="F248" s="286">
        <f t="shared" si="37"/>
        <v>0</v>
      </c>
      <c r="G248" s="134"/>
      <c r="H248" s="135"/>
      <c r="I248" s="136">
        <f t="shared" si="38"/>
        <v>0</v>
      </c>
      <c r="J248" s="134"/>
      <c r="K248" s="135"/>
      <c r="L248" s="136">
        <f t="shared" si="39"/>
        <v>0</v>
      </c>
      <c r="M248" s="284"/>
      <c r="N248" s="285"/>
      <c r="O248" s="136">
        <f t="shared" si="40"/>
        <v>0</v>
      </c>
      <c r="P248" s="85"/>
      <c r="R248" s="53"/>
      <c r="S248" s="53"/>
      <c r="T248" s="53"/>
      <c r="U248" s="53"/>
    </row>
    <row r="249" spans="1:21" ht="24" hidden="1" x14ac:dyDescent="0.25">
      <c r="A249" s="656">
        <v>6290</v>
      </c>
      <c r="B249" s="116" t="s">
        <v>265</v>
      </c>
      <c r="C249" s="278">
        <f t="shared" si="26"/>
        <v>0</v>
      </c>
      <c r="D249" s="297">
        <f>SUM(D250:D253)</f>
        <v>0</v>
      </c>
      <c r="E249" s="301">
        <f>SUM(E250:E253)</f>
        <v>0</v>
      </c>
      <c r="F249" s="263">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c r="R249" s="53"/>
      <c r="S249" s="53"/>
      <c r="T249" s="53"/>
      <c r="U249" s="53"/>
    </row>
    <row r="250" spans="1:21" hidden="1" x14ac:dyDescent="0.25">
      <c r="A250" s="76">
        <v>6291</v>
      </c>
      <c r="B250" s="127" t="s">
        <v>266</v>
      </c>
      <c r="C250" s="278">
        <f t="shared" si="26"/>
        <v>0</v>
      </c>
      <c r="D250" s="134"/>
      <c r="E250" s="285"/>
      <c r="F250" s="286">
        <f t="shared" si="37"/>
        <v>0</v>
      </c>
      <c r="G250" s="134"/>
      <c r="H250" s="135"/>
      <c r="I250" s="136">
        <f t="shared" si="38"/>
        <v>0</v>
      </c>
      <c r="J250" s="134"/>
      <c r="K250" s="135"/>
      <c r="L250" s="136">
        <f t="shared" si="39"/>
        <v>0</v>
      </c>
      <c r="M250" s="284"/>
      <c r="N250" s="285"/>
      <c r="O250" s="136">
        <f t="shared" si="40"/>
        <v>0</v>
      </c>
      <c r="P250" s="85"/>
      <c r="R250" s="53"/>
      <c r="S250" s="53"/>
      <c r="T250" s="53"/>
      <c r="U250" s="53"/>
    </row>
    <row r="251" spans="1:21" hidden="1" x14ac:dyDescent="0.25">
      <c r="A251" s="76">
        <v>6292</v>
      </c>
      <c r="B251" s="127" t="s">
        <v>267</v>
      </c>
      <c r="C251" s="278">
        <f t="shared" si="26"/>
        <v>0</v>
      </c>
      <c r="D251" s="134"/>
      <c r="E251" s="285"/>
      <c r="F251" s="286">
        <f t="shared" si="37"/>
        <v>0</v>
      </c>
      <c r="G251" s="134"/>
      <c r="H251" s="135"/>
      <c r="I251" s="136">
        <f t="shared" si="38"/>
        <v>0</v>
      </c>
      <c r="J251" s="134"/>
      <c r="K251" s="135"/>
      <c r="L251" s="136">
        <f t="shared" si="39"/>
        <v>0</v>
      </c>
      <c r="M251" s="284"/>
      <c r="N251" s="285"/>
      <c r="O251" s="136">
        <f t="shared" si="40"/>
        <v>0</v>
      </c>
      <c r="P251" s="85"/>
      <c r="R251" s="53"/>
      <c r="S251" s="53"/>
      <c r="T251" s="53"/>
      <c r="U251" s="53"/>
    </row>
    <row r="252" spans="1:21" ht="72" hidden="1" x14ac:dyDescent="0.25">
      <c r="A252" s="76">
        <v>6296</v>
      </c>
      <c r="B252" s="127" t="s">
        <v>268</v>
      </c>
      <c r="C252" s="278">
        <f t="shared" si="26"/>
        <v>0</v>
      </c>
      <c r="D252" s="134"/>
      <c r="E252" s="285"/>
      <c r="F252" s="286">
        <f t="shared" si="37"/>
        <v>0</v>
      </c>
      <c r="G252" s="134"/>
      <c r="H252" s="135"/>
      <c r="I252" s="136">
        <f t="shared" si="38"/>
        <v>0</v>
      </c>
      <c r="J252" s="134"/>
      <c r="K252" s="135"/>
      <c r="L252" s="136">
        <f t="shared" si="39"/>
        <v>0</v>
      </c>
      <c r="M252" s="284"/>
      <c r="N252" s="285"/>
      <c r="O252" s="136">
        <f t="shared" si="40"/>
        <v>0</v>
      </c>
      <c r="P252" s="85"/>
      <c r="R252" s="53"/>
      <c r="S252" s="53"/>
      <c r="T252" s="53"/>
      <c r="U252" s="53"/>
    </row>
    <row r="253" spans="1:21" ht="36" hidden="1" x14ac:dyDescent="0.25">
      <c r="A253" s="76">
        <v>6299</v>
      </c>
      <c r="B253" s="127" t="s">
        <v>269</v>
      </c>
      <c r="C253" s="278">
        <f t="shared" si="26"/>
        <v>0</v>
      </c>
      <c r="D253" s="134"/>
      <c r="E253" s="285"/>
      <c r="F253" s="286">
        <f t="shared" si="37"/>
        <v>0</v>
      </c>
      <c r="G253" s="134"/>
      <c r="H253" s="135"/>
      <c r="I253" s="136">
        <f t="shared" si="38"/>
        <v>0</v>
      </c>
      <c r="J253" s="134"/>
      <c r="K253" s="135"/>
      <c r="L253" s="136">
        <f t="shared" si="39"/>
        <v>0</v>
      </c>
      <c r="M253" s="284"/>
      <c r="N253" s="285"/>
      <c r="O253" s="136">
        <f t="shared" si="40"/>
        <v>0</v>
      </c>
      <c r="P253" s="85"/>
      <c r="R253" s="53"/>
      <c r="S253" s="53"/>
      <c r="T253" s="53"/>
      <c r="U253" s="53"/>
    </row>
    <row r="254" spans="1:21" hidden="1" x14ac:dyDescent="0.25">
      <c r="A254" s="99">
        <v>6300</v>
      </c>
      <c r="B254" s="247" t="s">
        <v>270</v>
      </c>
      <c r="C254" s="100">
        <f t="shared" si="26"/>
        <v>0</v>
      </c>
      <c r="D254" s="112">
        <f>SUM(D255,D259,D260)</f>
        <v>0</v>
      </c>
      <c r="E254" s="293">
        <f>SUM(E255,E259,E260)</f>
        <v>0</v>
      </c>
      <c r="F254" s="313">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c r="R254" s="53"/>
      <c r="S254" s="53"/>
      <c r="T254" s="53"/>
      <c r="U254" s="53"/>
    </row>
    <row r="255" spans="1:21" ht="24" hidden="1" x14ac:dyDescent="0.25">
      <c r="A255" s="656">
        <v>6320</v>
      </c>
      <c r="B255" s="116" t="s">
        <v>271</v>
      </c>
      <c r="C255" s="322">
        <f t="shared" si="26"/>
        <v>0</v>
      </c>
      <c r="D255" s="297">
        <f>SUM(D256:D258)</f>
        <v>0</v>
      </c>
      <c r="E255" s="301">
        <f>SUM(E256:E258)</f>
        <v>0</v>
      </c>
      <c r="F255" s="263">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c r="R255" s="53"/>
      <c r="S255" s="53"/>
      <c r="T255" s="53"/>
      <c r="U255" s="53"/>
    </row>
    <row r="256" spans="1:21" hidden="1" x14ac:dyDescent="0.25">
      <c r="A256" s="76">
        <v>6322</v>
      </c>
      <c r="B256" s="127" t="s">
        <v>272</v>
      </c>
      <c r="C256" s="281">
        <f t="shared" si="26"/>
        <v>0</v>
      </c>
      <c r="D256" s="134"/>
      <c r="E256" s="285"/>
      <c r="F256" s="286">
        <f t="shared" si="37"/>
        <v>0</v>
      </c>
      <c r="G256" s="134"/>
      <c r="H256" s="135"/>
      <c r="I256" s="136">
        <f t="shared" si="38"/>
        <v>0</v>
      </c>
      <c r="J256" s="134"/>
      <c r="K256" s="135"/>
      <c r="L256" s="136">
        <f t="shared" si="39"/>
        <v>0</v>
      </c>
      <c r="M256" s="284"/>
      <c r="N256" s="285"/>
      <c r="O256" s="136">
        <f t="shared" si="40"/>
        <v>0</v>
      </c>
      <c r="P256" s="85"/>
      <c r="R256" s="53"/>
      <c r="S256" s="53"/>
      <c r="T256" s="53"/>
      <c r="U256" s="53"/>
    </row>
    <row r="257" spans="1:21" ht="24" hidden="1" x14ac:dyDescent="0.25">
      <c r="A257" s="76">
        <v>6323</v>
      </c>
      <c r="B257" s="127" t="s">
        <v>273</v>
      </c>
      <c r="C257" s="281">
        <f t="shared" si="26"/>
        <v>0</v>
      </c>
      <c r="D257" s="134"/>
      <c r="E257" s="285"/>
      <c r="F257" s="286">
        <f t="shared" si="37"/>
        <v>0</v>
      </c>
      <c r="G257" s="134"/>
      <c r="H257" s="135"/>
      <c r="I257" s="136">
        <f t="shared" si="38"/>
        <v>0</v>
      </c>
      <c r="J257" s="134"/>
      <c r="K257" s="135"/>
      <c r="L257" s="136">
        <f t="shared" si="39"/>
        <v>0</v>
      </c>
      <c r="M257" s="284"/>
      <c r="N257" s="285"/>
      <c r="O257" s="136">
        <f t="shared" si="40"/>
        <v>0</v>
      </c>
      <c r="P257" s="85"/>
      <c r="R257" s="53"/>
      <c r="S257" s="53"/>
      <c r="T257" s="53"/>
      <c r="U257" s="53"/>
    </row>
    <row r="258" spans="1:21" ht="24" hidden="1" x14ac:dyDescent="0.25">
      <c r="A258" s="66">
        <v>6324</v>
      </c>
      <c r="B258" s="116" t="s">
        <v>274</v>
      </c>
      <c r="C258" s="281">
        <f t="shared" si="26"/>
        <v>0</v>
      </c>
      <c r="D258" s="123"/>
      <c r="E258" s="262"/>
      <c r="F258" s="263">
        <f t="shared" si="37"/>
        <v>0</v>
      </c>
      <c r="G258" s="123"/>
      <c r="H258" s="124"/>
      <c r="I258" s="125">
        <f t="shared" si="38"/>
        <v>0</v>
      </c>
      <c r="J258" s="123"/>
      <c r="K258" s="124"/>
      <c r="L258" s="125">
        <f t="shared" si="39"/>
        <v>0</v>
      </c>
      <c r="M258" s="264"/>
      <c r="N258" s="262"/>
      <c r="O258" s="125">
        <f t="shared" si="40"/>
        <v>0</v>
      </c>
      <c r="P258" s="74"/>
      <c r="R258" s="53"/>
      <c r="S258" s="53"/>
      <c r="T258" s="53"/>
      <c r="U258" s="53"/>
    </row>
    <row r="259" spans="1:21" ht="24" hidden="1" x14ac:dyDescent="0.25">
      <c r="A259" s="344">
        <v>6330</v>
      </c>
      <c r="B259" s="345" t="s">
        <v>275</v>
      </c>
      <c r="C259" s="281">
        <f t="shared" ref="C259:C286" si="50">F259+I259+L259+O259</f>
        <v>0</v>
      </c>
      <c r="D259" s="328"/>
      <c r="E259" s="329"/>
      <c r="F259" s="330">
        <f t="shared" si="37"/>
        <v>0</v>
      </c>
      <c r="G259" s="328"/>
      <c r="H259" s="331"/>
      <c r="I259" s="324">
        <f t="shared" si="38"/>
        <v>0</v>
      </c>
      <c r="J259" s="328"/>
      <c r="K259" s="331"/>
      <c r="L259" s="324">
        <f t="shared" si="39"/>
        <v>0</v>
      </c>
      <c r="M259" s="332"/>
      <c r="N259" s="329"/>
      <c r="O259" s="324">
        <f t="shared" si="40"/>
        <v>0</v>
      </c>
      <c r="P259" s="325"/>
      <c r="R259" s="53"/>
      <c r="S259" s="53"/>
      <c r="T259" s="53"/>
      <c r="U259" s="53"/>
    </row>
    <row r="260" spans="1:21" hidden="1" x14ac:dyDescent="0.25">
      <c r="A260" s="276">
        <v>6360</v>
      </c>
      <c r="B260" s="127" t="s">
        <v>276</v>
      </c>
      <c r="C260" s="281">
        <f t="shared" si="50"/>
        <v>0</v>
      </c>
      <c r="D260" s="134"/>
      <c r="E260" s="285"/>
      <c r="F260" s="286">
        <f t="shared" si="37"/>
        <v>0</v>
      </c>
      <c r="G260" s="134"/>
      <c r="H260" s="135"/>
      <c r="I260" s="136">
        <f t="shared" si="38"/>
        <v>0</v>
      </c>
      <c r="J260" s="134"/>
      <c r="K260" s="135"/>
      <c r="L260" s="136">
        <f t="shared" si="39"/>
        <v>0</v>
      </c>
      <c r="M260" s="284"/>
      <c r="N260" s="285"/>
      <c r="O260" s="136">
        <f t="shared" si="40"/>
        <v>0</v>
      </c>
      <c r="P260" s="85"/>
      <c r="R260" s="53"/>
      <c r="S260" s="53"/>
      <c r="T260" s="53"/>
      <c r="U260" s="53"/>
    </row>
    <row r="261" spans="1:21" ht="36" hidden="1" x14ac:dyDescent="0.25">
      <c r="A261" s="99">
        <v>6400</v>
      </c>
      <c r="B261" s="247" t="s">
        <v>277</v>
      </c>
      <c r="C261" s="100">
        <f t="shared" si="50"/>
        <v>0</v>
      </c>
      <c r="D261" s="112">
        <f>SUM(D262,D266)</f>
        <v>0</v>
      </c>
      <c r="E261" s="293">
        <f>SUM(E262,E266)</f>
        <v>0</v>
      </c>
      <c r="F261" s="313">
        <f t="shared" si="37"/>
        <v>0</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c r="R261" s="53"/>
      <c r="S261" s="53"/>
      <c r="T261" s="53"/>
      <c r="U261" s="53"/>
    </row>
    <row r="262" spans="1:21" ht="24" hidden="1" x14ac:dyDescent="0.25">
      <c r="A262" s="656">
        <v>6410</v>
      </c>
      <c r="B262" s="116" t="s">
        <v>278</v>
      </c>
      <c r="C262" s="300">
        <f t="shared" si="50"/>
        <v>0</v>
      </c>
      <c r="D262" s="297">
        <f>SUM(D263:D265)</f>
        <v>0</v>
      </c>
      <c r="E262" s="301">
        <f>SUM(E263:E265)</f>
        <v>0</v>
      </c>
      <c r="F262" s="263">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c r="R262" s="53"/>
      <c r="S262" s="53"/>
      <c r="T262" s="53"/>
      <c r="U262" s="53"/>
    </row>
    <row r="263" spans="1:21" hidden="1" x14ac:dyDescent="0.25">
      <c r="A263" s="76">
        <v>6411</v>
      </c>
      <c r="B263" s="346" t="s">
        <v>279</v>
      </c>
      <c r="C263" s="278">
        <f t="shared" si="50"/>
        <v>0</v>
      </c>
      <c r="D263" s="134"/>
      <c r="E263" s="285"/>
      <c r="F263" s="286">
        <f t="shared" si="37"/>
        <v>0</v>
      </c>
      <c r="G263" s="134"/>
      <c r="H263" s="135"/>
      <c r="I263" s="136">
        <f t="shared" si="38"/>
        <v>0</v>
      </c>
      <c r="J263" s="134"/>
      <c r="K263" s="135"/>
      <c r="L263" s="136">
        <f t="shared" si="39"/>
        <v>0</v>
      </c>
      <c r="M263" s="284"/>
      <c r="N263" s="285"/>
      <c r="O263" s="136">
        <f t="shared" si="40"/>
        <v>0</v>
      </c>
      <c r="P263" s="85"/>
      <c r="R263" s="53"/>
      <c r="S263" s="53"/>
      <c r="T263" s="53"/>
      <c r="U263" s="53"/>
    </row>
    <row r="264" spans="1:21" ht="36" hidden="1" x14ac:dyDescent="0.25">
      <c r="A264" s="76">
        <v>6412</v>
      </c>
      <c r="B264" s="127" t="s">
        <v>280</v>
      </c>
      <c r="C264" s="278">
        <f t="shared" si="50"/>
        <v>0</v>
      </c>
      <c r="D264" s="134"/>
      <c r="E264" s="285"/>
      <c r="F264" s="286">
        <f t="shared" si="37"/>
        <v>0</v>
      </c>
      <c r="G264" s="134"/>
      <c r="H264" s="135"/>
      <c r="I264" s="136">
        <f t="shared" si="38"/>
        <v>0</v>
      </c>
      <c r="J264" s="134"/>
      <c r="K264" s="135"/>
      <c r="L264" s="136">
        <f t="shared" si="39"/>
        <v>0</v>
      </c>
      <c r="M264" s="284"/>
      <c r="N264" s="285"/>
      <c r="O264" s="136">
        <f t="shared" si="40"/>
        <v>0</v>
      </c>
      <c r="P264" s="85"/>
      <c r="R264" s="53"/>
      <c r="S264" s="53"/>
      <c r="T264" s="53"/>
      <c r="U264" s="53"/>
    </row>
    <row r="265" spans="1:21" ht="36" hidden="1" x14ac:dyDescent="0.25">
      <c r="A265" s="76">
        <v>6419</v>
      </c>
      <c r="B265" s="127" t="s">
        <v>281</v>
      </c>
      <c r="C265" s="278">
        <f t="shared" si="50"/>
        <v>0</v>
      </c>
      <c r="D265" s="134"/>
      <c r="E265" s="285"/>
      <c r="F265" s="286">
        <f t="shared" si="37"/>
        <v>0</v>
      </c>
      <c r="G265" s="134"/>
      <c r="H265" s="135"/>
      <c r="I265" s="136">
        <f t="shared" si="38"/>
        <v>0</v>
      </c>
      <c r="J265" s="134"/>
      <c r="K265" s="135"/>
      <c r="L265" s="136">
        <f t="shared" si="39"/>
        <v>0</v>
      </c>
      <c r="M265" s="284"/>
      <c r="N265" s="285"/>
      <c r="O265" s="136">
        <f t="shared" si="40"/>
        <v>0</v>
      </c>
      <c r="P265" s="85"/>
      <c r="R265" s="53"/>
      <c r="S265" s="53"/>
      <c r="T265" s="53"/>
      <c r="U265" s="53"/>
    </row>
    <row r="266" spans="1:21" ht="36" hidden="1" x14ac:dyDescent="0.25">
      <c r="A266" s="276">
        <v>6420</v>
      </c>
      <c r="B266" s="127" t="s">
        <v>282</v>
      </c>
      <c r="C266" s="278">
        <f t="shared" si="50"/>
        <v>0</v>
      </c>
      <c r="D266" s="277">
        <f>SUM(D267:D270)</f>
        <v>0</v>
      </c>
      <c r="E266" s="282">
        <f>SUM(E267:E270)</f>
        <v>0</v>
      </c>
      <c r="F266" s="286">
        <f t="shared" si="37"/>
        <v>0</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c r="R266" s="53"/>
      <c r="S266" s="53"/>
      <c r="T266" s="53"/>
      <c r="U266" s="53"/>
    </row>
    <row r="267" spans="1:21" hidden="1" x14ac:dyDescent="0.25">
      <c r="A267" s="76">
        <v>6421</v>
      </c>
      <c r="B267" s="127" t="s">
        <v>283</v>
      </c>
      <c r="C267" s="278">
        <f t="shared" si="50"/>
        <v>0</v>
      </c>
      <c r="D267" s="134"/>
      <c r="E267" s="285"/>
      <c r="F267" s="286">
        <f t="shared" si="37"/>
        <v>0</v>
      </c>
      <c r="G267" s="134"/>
      <c r="H267" s="135"/>
      <c r="I267" s="136">
        <f t="shared" si="38"/>
        <v>0</v>
      </c>
      <c r="J267" s="134"/>
      <c r="K267" s="135"/>
      <c r="L267" s="136">
        <f t="shared" si="39"/>
        <v>0</v>
      </c>
      <c r="M267" s="284"/>
      <c r="N267" s="285"/>
      <c r="O267" s="136">
        <f t="shared" si="40"/>
        <v>0</v>
      </c>
      <c r="P267" s="85"/>
      <c r="R267" s="53"/>
      <c r="S267" s="53"/>
      <c r="T267" s="53"/>
      <c r="U267" s="53"/>
    </row>
    <row r="268" spans="1:21" hidden="1" x14ac:dyDescent="0.25">
      <c r="A268" s="76">
        <v>6422</v>
      </c>
      <c r="B268" s="127" t="s">
        <v>284</v>
      </c>
      <c r="C268" s="278">
        <f t="shared" si="50"/>
        <v>0</v>
      </c>
      <c r="D268" s="134"/>
      <c r="E268" s="285"/>
      <c r="F268" s="286">
        <f t="shared" si="37"/>
        <v>0</v>
      </c>
      <c r="G268" s="134"/>
      <c r="H268" s="135"/>
      <c r="I268" s="136">
        <f t="shared" si="38"/>
        <v>0</v>
      </c>
      <c r="J268" s="134"/>
      <c r="K268" s="135"/>
      <c r="L268" s="136">
        <f t="shared" si="39"/>
        <v>0</v>
      </c>
      <c r="M268" s="284"/>
      <c r="N268" s="285"/>
      <c r="O268" s="136">
        <f t="shared" si="40"/>
        <v>0</v>
      </c>
      <c r="P268" s="85"/>
      <c r="R268" s="53"/>
      <c r="S268" s="53"/>
      <c r="T268" s="53"/>
      <c r="U268" s="53"/>
    </row>
    <row r="269" spans="1:21" ht="24" hidden="1" x14ac:dyDescent="0.25">
      <c r="A269" s="76">
        <v>6423</v>
      </c>
      <c r="B269" s="127" t="s">
        <v>285</v>
      </c>
      <c r="C269" s="278">
        <f t="shared" si="50"/>
        <v>0</v>
      </c>
      <c r="D269" s="134"/>
      <c r="E269" s="285"/>
      <c r="F269" s="286">
        <f t="shared" si="37"/>
        <v>0</v>
      </c>
      <c r="G269" s="134"/>
      <c r="H269" s="135"/>
      <c r="I269" s="136">
        <f t="shared" si="38"/>
        <v>0</v>
      </c>
      <c r="J269" s="134"/>
      <c r="K269" s="135"/>
      <c r="L269" s="136">
        <f t="shared" si="39"/>
        <v>0</v>
      </c>
      <c r="M269" s="284"/>
      <c r="N269" s="285"/>
      <c r="O269" s="136">
        <f t="shared" si="40"/>
        <v>0</v>
      </c>
      <c r="P269" s="85"/>
      <c r="R269" s="53"/>
      <c r="S269" s="53"/>
      <c r="T269" s="53"/>
      <c r="U269" s="53"/>
    </row>
    <row r="270" spans="1:21" ht="36" hidden="1" x14ac:dyDescent="0.25">
      <c r="A270" s="76">
        <v>6424</v>
      </c>
      <c r="B270" s="127" t="s">
        <v>286</v>
      </c>
      <c r="C270" s="278">
        <f t="shared" si="50"/>
        <v>0</v>
      </c>
      <c r="D270" s="134"/>
      <c r="E270" s="285"/>
      <c r="F270" s="286">
        <f t="shared" si="37"/>
        <v>0</v>
      </c>
      <c r="G270" s="134"/>
      <c r="H270" s="135"/>
      <c r="I270" s="136">
        <f t="shared" si="38"/>
        <v>0</v>
      </c>
      <c r="J270" s="134"/>
      <c r="K270" s="135"/>
      <c r="L270" s="136">
        <f t="shared" si="39"/>
        <v>0</v>
      </c>
      <c r="M270" s="284"/>
      <c r="N270" s="285"/>
      <c r="O270" s="136">
        <f t="shared" si="40"/>
        <v>0</v>
      </c>
      <c r="P270" s="85"/>
      <c r="R270" s="53"/>
      <c r="S270" s="53"/>
      <c r="T270" s="53"/>
      <c r="U270" s="53"/>
    </row>
    <row r="271" spans="1:21" ht="36" hidden="1" x14ac:dyDescent="0.25">
      <c r="A271" s="347">
        <v>7000</v>
      </c>
      <c r="B271" s="347" t="s">
        <v>287</v>
      </c>
      <c r="C271" s="348">
        <f t="shared" si="50"/>
        <v>0</v>
      </c>
      <c r="D271" s="349">
        <f>SUM(D272,D282)</f>
        <v>0</v>
      </c>
      <c r="E271" s="407">
        <f>SUM(E272,E282)</f>
        <v>0</v>
      </c>
      <c r="F271" s="408">
        <f t="shared" si="37"/>
        <v>0</v>
      </c>
      <c r="G271" s="349">
        <f>SUM(G272,G282)</f>
        <v>0</v>
      </c>
      <c r="H271" s="352">
        <f>SUM(H272,H282)</f>
        <v>0</v>
      </c>
      <c r="I271" s="353">
        <f t="shared" si="38"/>
        <v>0</v>
      </c>
      <c r="J271" s="349">
        <f>SUM(J272,J282)</f>
        <v>0</v>
      </c>
      <c r="K271" s="352">
        <f>SUM(K272,K282)</f>
        <v>0</v>
      </c>
      <c r="L271" s="353">
        <f t="shared" si="39"/>
        <v>0</v>
      </c>
      <c r="M271" s="354">
        <f>SUM(M272,M282)</f>
        <v>0</v>
      </c>
      <c r="N271" s="355">
        <f>SUM(N272,N282)</f>
        <v>0</v>
      </c>
      <c r="O271" s="356">
        <f t="shared" si="40"/>
        <v>0</v>
      </c>
      <c r="P271" s="357"/>
      <c r="R271" s="53"/>
      <c r="S271" s="53"/>
      <c r="T271" s="53"/>
      <c r="U271" s="53"/>
    </row>
    <row r="272" spans="1:21" ht="24" hidden="1" x14ac:dyDescent="0.25">
      <c r="A272" s="99">
        <v>7200</v>
      </c>
      <c r="B272" s="247" t="s">
        <v>288</v>
      </c>
      <c r="C272" s="100">
        <f t="shared" si="50"/>
        <v>0</v>
      </c>
      <c r="D272" s="112">
        <f>SUM(D273,D274,D277,D278,D281)</f>
        <v>0</v>
      </c>
      <c r="E272" s="293">
        <f>SUM(E273,E274,E277,E278,E281)</f>
        <v>0</v>
      </c>
      <c r="F272" s="313">
        <f t="shared" si="37"/>
        <v>0</v>
      </c>
      <c r="G272" s="112">
        <f>SUM(G273,G274,G277,G278,G281)</f>
        <v>0</v>
      </c>
      <c r="H272" s="113">
        <f>SUM(H273,H274,H277,H278,H281)</f>
        <v>0</v>
      </c>
      <c r="I272" s="114">
        <f t="shared" si="38"/>
        <v>0</v>
      </c>
      <c r="J272" s="112">
        <f>SUM(J273,J274,J277,J278,J281)</f>
        <v>0</v>
      </c>
      <c r="K272" s="113">
        <f>SUM(K273,K274,K277,K278,K281)</f>
        <v>0</v>
      </c>
      <c r="L272" s="114">
        <f t="shared" si="39"/>
        <v>0</v>
      </c>
      <c r="M272" s="250">
        <f>SUM(M273,M274,M277,M278,M281)</f>
        <v>0</v>
      </c>
      <c r="N272" s="251">
        <f>SUM(N273,N274,N277,N278,N281)</f>
        <v>0</v>
      </c>
      <c r="O272" s="252">
        <f t="shared" si="40"/>
        <v>0</v>
      </c>
      <c r="P272" s="253"/>
      <c r="R272" s="53"/>
      <c r="S272" s="53"/>
      <c r="T272" s="53"/>
      <c r="U272" s="53"/>
    </row>
    <row r="273" spans="1:21" ht="24" hidden="1" x14ac:dyDescent="0.25">
      <c r="A273" s="656">
        <v>7210</v>
      </c>
      <c r="B273" s="116" t="s">
        <v>289</v>
      </c>
      <c r="C273" s="117">
        <f t="shared" si="50"/>
        <v>0</v>
      </c>
      <c r="D273" s="123"/>
      <c r="E273" s="262"/>
      <c r="F273" s="263">
        <f t="shared" si="37"/>
        <v>0</v>
      </c>
      <c r="G273" s="123"/>
      <c r="H273" s="124"/>
      <c r="I273" s="125">
        <f t="shared" si="38"/>
        <v>0</v>
      </c>
      <c r="J273" s="123"/>
      <c r="K273" s="124"/>
      <c r="L273" s="125">
        <f t="shared" si="39"/>
        <v>0</v>
      </c>
      <c r="M273" s="264"/>
      <c r="N273" s="262"/>
      <c r="O273" s="125">
        <f t="shared" si="40"/>
        <v>0</v>
      </c>
      <c r="P273" s="74"/>
      <c r="R273" s="53"/>
      <c r="S273" s="53"/>
      <c r="T273" s="53"/>
      <c r="U273" s="53"/>
    </row>
    <row r="274" spans="1:21" s="358" customFormat="1" ht="36" hidden="1" x14ac:dyDescent="0.25">
      <c r="A274" s="276">
        <v>7220</v>
      </c>
      <c r="B274" s="127" t="s">
        <v>290</v>
      </c>
      <c r="C274" s="128">
        <f t="shared" si="50"/>
        <v>0</v>
      </c>
      <c r="D274" s="277">
        <f>SUM(D275:D276)</f>
        <v>0</v>
      </c>
      <c r="E274" s="282">
        <f>SUM(E275:E276)</f>
        <v>0</v>
      </c>
      <c r="F274" s="28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c r="R274" s="53"/>
      <c r="S274" s="53"/>
      <c r="T274" s="53"/>
      <c r="U274" s="53"/>
    </row>
    <row r="275" spans="1:21" s="358" customFormat="1" ht="36" hidden="1" x14ac:dyDescent="0.25">
      <c r="A275" s="76">
        <v>7221</v>
      </c>
      <c r="B275" s="127" t="s">
        <v>291</v>
      </c>
      <c r="C275" s="128">
        <f t="shared" si="50"/>
        <v>0</v>
      </c>
      <c r="D275" s="134"/>
      <c r="E275" s="285"/>
      <c r="F275" s="286">
        <f t="shared" si="37"/>
        <v>0</v>
      </c>
      <c r="G275" s="134"/>
      <c r="H275" s="135"/>
      <c r="I275" s="136">
        <f t="shared" si="38"/>
        <v>0</v>
      </c>
      <c r="J275" s="134"/>
      <c r="K275" s="135"/>
      <c r="L275" s="136">
        <f t="shared" si="39"/>
        <v>0</v>
      </c>
      <c r="M275" s="284"/>
      <c r="N275" s="285"/>
      <c r="O275" s="136">
        <f t="shared" si="40"/>
        <v>0</v>
      </c>
      <c r="P275" s="85"/>
      <c r="R275" s="53"/>
      <c r="S275" s="53"/>
      <c r="T275" s="53"/>
      <c r="U275" s="53"/>
    </row>
    <row r="276" spans="1:21" s="358" customFormat="1" ht="36" hidden="1" x14ac:dyDescent="0.25">
      <c r="A276" s="76">
        <v>7222</v>
      </c>
      <c r="B276" s="127" t="s">
        <v>292</v>
      </c>
      <c r="C276" s="128">
        <f t="shared" si="50"/>
        <v>0</v>
      </c>
      <c r="D276" s="134"/>
      <c r="E276" s="285"/>
      <c r="F276" s="286">
        <f t="shared" si="37"/>
        <v>0</v>
      </c>
      <c r="G276" s="134"/>
      <c r="H276" s="135"/>
      <c r="I276" s="136">
        <f t="shared" si="38"/>
        <v>0</v>
      </c>
      <c r="J276" s="134"/>
      <c r="K276" s="135"/>
      <c r="L276" s="136">
        <f t="shared" si="39"/>
        <v>0</v>
      </c>
      <c r="M276" s="284"/>
      <c r="N276" s="285"/>
      <c r="O276" s="136">
        <f t="shared" si="40"/>
        <v>0</v>
      </c>
      <c r="P276" s="85"/>
      <c r="R276" s="53"/>
      <c r="S276" s="53"/>
      <c r="T276" s="53"/>
      <c r="U276" s="53"/>
    </row>
    <row r="277" spans="1:21" s="358" customFormat="1" ht="24" hidden="1" x14ac:dyDescent="0.25">
      <c r="A277" s="276">
        <v>7230</v>
      </c>
      <c r="B277" s="127" t="s">
        <v>293</v>
      </c>
      <c r="C277" s="128">
        <f t="shared" si="50"/>
        <v>0</v>
      </c>
      <c r="D277" s="134"/>
      <c r="E277" s="285"/>
      <c r="F277" s="286">
        <f t="shared" si="37"/>
        <v>0</v>
      </c>
      <c r="G277" s="134"/>
      <c r="H277" s="135"/>
      <c r="I277" s="136">
        <f t="shared" si="38"/>
        <v>0</v>
      </c>
      <c r="J277" s="134"/>
      <c r="K277" s="135"/>
      <c r="L277" s="136">
        <f t="shared" si="39"/>
        <v>0</v>
      </c>
      <c r="M277" s="284"/>
      <c r="N277" s="285"/>
      <c r="O277" s="136">
        <f>M277+N277</f>
        <v>0</v>
      </c>
      <c r="P277" s="85"/>
      <c r="R277" s="53"/>
      <c r="S277" s="53"/>
      <c r="T277" s="53"/>
      <c r="U277" s="53"/>
    </row>
    <row r="278" spans="1:21" ht="24" hidden="1" x14ac:dyDescent="0.25">
      <c r="A278" s="276">
        <v>7240</v>
      </c>
      <c r="B278" s="127" t="s">
        <v>294</v>
      </c>
      <c r="C278" s="128">
        <f t="shared" si="50"/>
        <v>0</v>
      </c>
      <c r="D278" s="277">
        <f>SUM(D279:D280)</f>
        <v>0</v>
      </c>
      <c r="E278" s="282">
        <f>SUM(E279:E280)</f>
        <v>0</v>
      </c>
      <c r="F278" s="28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c r="R278" s="53"/>
      <c r="S278" s="53"/>
      <c r="T278" s="53"/>
      <c r="U278" s="53"/>
    </row>
    <row r="279" spans="1:21" ht="48" hidden="1" x14ac:dyDescent="0.25">
      <c r="A279" s="76">
        <v>7245</v>
      </c>
      <c r="B279" s="127" t="s">
        <v>295</v>
      </c>
      <c r="C279" s="128">
        <f t="shared" si="50"/>
        <v>0</v>
      </c>
      <c r="D279" s="134"/>
      <c r="E279" s="285"/>
      <c r="F279" s="286">
        <f t="shared" si="37"/>
        <v>0</v>
      </c>
      <c r="G279" s="134"/>
      <c r="H279" s="135"/>
      <c r="I279" s="136">
        <f t="shared" si="38"/>
        <v>0</v>
      </c>
      <c r="J279" s="134"/>
      <c r="K279" s="135"/>
      <c r="L279" s="136">
        <f t="shared" si="39"/>
        <v>0</v>
      </c>
      <c r="M279" s="284"/>
      <c r="N279" s="285"/>
      <c r="O279" s="136">
        <f t="shared" ref="O279:O282" si="57">M279+N279</f>
        <v>0</v>
      </c>
      <c r="P279" s="85"/>
      <c r="R279" s="53"/>
      <c r="S279" s="53"/>
      <c r="T279" s="53"/>
      <c r="U279" s="53"/>
    </row>
    <row r="280" spans="1:21" ht="96" hidden="1" x14ac:dyDescent="0.25">
      <c r="A280" s="76">
        <v>7246</v>
      </c>
      <c r="B280" s="127" t="s">
        <v>296</v>
      </c>
      <c r="C280" s="128">
        <f t="shared" si="50"/>
        <v>0</v>
      </c>
      <c r="D280" s="134"/>
      <c r="E280" s="285"/>
      <c r="F280" s="286">
        <f t="shared" si="37"/>
        <v>0</v>
      </c>
      <c r="G280" s="134"/>
      <c r="H280" s="135"/>
      <c r="I280" s="136">
        <f t="shared" si="38"/>
        <v>0</v>
      </c>
      <c r="J280" s="134"/>
      <c r="K280" s="135"/>
      <c r="L280" s="136">
        <f t="shared" si="39"/>
        <v>0</v>
      </c>
      <c r="M280" s="284"/>
      <c r="N280" s="285"/>
      <c r="O280" s="136">
        <f t="shared" si="57"/>
        <v>0</v>
      </c>
      <c r="P280" s="85"/>
      <c r="R280" s="53"/>
      <c r="S280" s="53"/>
      <c r="T280" s="53"/>
      <c r="U280" s="53"/>
    </row>
    <row r="281" spans="1:21" ht="24" hidden="1" x14ac:dyDescent="0.25">
      <c r="A281" s="276">
        <v>7260</v>
      </c>
      <c r="B281" s="127" t="s">
        <v>297</v>
      </c>
      <c r="C281" s="128">
        <f t="shared" si="50"/>
        <v>0</v>
      </c>
      <c r="D281" s="123"/>
      <c r="E281" s="262"/>
      <c r="F281" s="263">
        <f t="shared" si="37"/>
        <v>0</v>
      </c>
      <c r="G281" s="123"/>
      <c r="H281" s="124"/>
      <c r="I281" s="125">
        <f t="shared" si="38"/>
        <v>0</v>
      </c>
      <c r="J281" s="123"/>
      <c r="K281" s="124"/>
      <c r="L281" s="125">
        <f t="shared" si="39"/>
        <v>0</v>
      </c>
      <c r="M281" s="264"/>
      <c r="N281" s="262"/>
      <c r="O281" s="125">
        <f t="shared" si="57"/>
        <v>0</v>
      </c>
      <c r="P281" s="74"/>
      <c r="R281" s="53"/>
      <c r="S281" s="53"/>
      <c r="T281" s="53"/>
      <c r="U281" s="53"/>
    </row>
    <row r="282" spans="1:21" hidden="1" x14ac:dyDescent="0.25">
      <c r="A282" s="99">
        <v>7700</v>
      </c>
      <c r="B282" s="247" t="s">
        <v>298</v>
      </c>
      <c r="C282" s="359">
        <f t="shared" si="50"/>
        <v>0</v>
      </c>
      <c r="D282" s="360">
        <f>D283</f>
        <v>0</v>
      </c>
      <c r="E282" s="304">
        <f>SUM(E283)</f>
        <v>0</v>
      </c>
      <c r="F282" s="316">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c r="R282" s="53"/>
      <c r="S282" s="53"/>
      <c r="T282" s="53"/>
      <c r="U282" s="53"/>
    </row>
    <row r="283" spans="1:21" hidden="1" x14ac:dyDescent="0.25">
      <c r="A283" s="141">
        <v>7720</v>
      </c>
      <c r="B283" s="142" t="s">
        <v>299</v>
      </c>
      <c r="C283" s="362">
        <f t="shared" si="50"/>
        <v>0</v>
      </c>
      <c r="D283" s="149"/>
      <c r="E283" s="363"/>
      <c r="F283" s="364">
        <f t="shared" si="37"/>
        <v>0</v>
      </c>
      <c r="G283" s="149"/>
      <c r="H283" s="150"/>
      <c r="I283" s="151">
        <f t="shared" si="38"/>
        <v>0</v>
      </c>
      <c r="J283" s="149"/>
      <c r="K283" s="150"/>
      <c r="L283" s="151">
        <f t="shared" si="39"/>
        <v>0</v>
      </c>
      <c r="M283" s="365"/>
      <c r="N283" s="363"/>
      <c r="O283" s="151">
        <f>M283+N283</f>
        <v>0</v>
      </c>
      <c r="P283" s="153"/>
      <c r="R283" s="53"/>
      <c r="S283" s="53"/>
      <c r="T283" s="53"/>
      <c r="U283" s="53"/>
    </row>
    <row r="284" spans="1:21" hidden="1" x14ac:dyDescent="0.25">
      <c r="A284" s="366"/>
      <c r="B284" s="179" t="s">
        <v>300</v>
      </c>
      <c r="C284" s="117">
        <f t="shared" si="50"/>
        <v>0</v>
      </c>
      <c r="D284" s="255">
        <f>SUM(D285:D286)</f>
        <v>0</v>
      </c>
      <c r="E284" s="261">
        <f>SUM(E285:E286)</f>
        <v>0</v>
      </c>
      <c r="F284" s="310">
        <f t="shared" si="37"/>
        <v>0</v>
      </c>
      <c r="G284" s="255">
        <f>SUM(G285:G286)</f>
        <v>0</v>
      </c>
      <c r="H284" s="258">
        <f>SUM(H285:H286)</f>
        <v>0</v>
      </c>
      <c r="I284" s="259">
        <f t="shared" si="38"/>
        <v>0</v>
      </c>
      <c r="J284" s="255">
        <f>SUM(J285:J286)</f>
        <v>0</v>
      </c>
      <c r="K284" s="258">
        <f>SUM(K285:K286)</f>
        <v>0</v>
      </c>
      <c r="L284" s="259">
        <f t="shared" si="39"/>
        <v>0</v>
      </c>
      <c r="M284" s="260">
        <f>SUM(M285:M286)</f>
        <v>0</v>
      </c>
      <c r="N284" s="261">
        <f>SUM(N285:N286)</f>
        <v>0</v>
      </c>
      <c r="O284" s="259">
        <f t="shared" ref="O284:O299" si="58">M284+N284</f>
        <v>0</v>
      </c>
      <c r="P284" s="189"/>
      <c r="R284" s="53"/>
      <c r="S284" s="53"/>
      <c r="T284" s="53"/>
      <c r="U284" s="53"/>
    </row>
    <row r="285" spans="1:21" hidden="1" x14ac:dyDescent="0.25">
      <c r="A285" s="346" t="s">
        <v>301</v>
      </c>
      <c r="B285" s="76" t="s">
        <v>302</v>
      </c>
      <c r="C285" s="279">
        <f t="shared" si="50"/>
        <v>0</v>
      </c>
      <c r="D285" s="134"/>
      <c r="E285" s="285"/>
      <c r="F285" s="286">
        <f t="shared" si="37"/>
        <v>0</v>
      </c>
      <c r="G285" s="134"/>
      <c r="H285" s="135"/>
      <c r="I285" s="136">
        <f t="shared" si="38"/>
        <v>0</v>
      </c>
      <c r="J285" s="134"/>
      <c r="K285" s="135"/>
      <c r="L285" s="136">
        <f t="shared" si="39"/>
        <v>0</v>
      </c>
      <c r="M285" s="284"/>
      <c r="N285" s="285"/>
      <c r="O285" s="136">
        <f t="shared" si="58"/>
        <v>0</v>
      </c>
      <c r="P285" s="85"/>
      <c r="R285" s="53"/>
      <c r="S285" s="53"/>
      <c r="T285" s="53"/>
      <c r="U285" s="53"/>
    </row>
    <row r="286" spans="1:21" ht="24" hidden="1" x14ac:dyDescent="0.25">
      <c r="A286" s="346" t="s">
        <v>303</v>
      </c>
      <c r="B286" s="367" t="s">
        <v>304</v>
      </c>
      <c r="C286" s="117">
        <f t="shared" si="50"/>
        <v>0</v>
      </c>
      <c r="D286" s="123"/>
      <c r="E286" s="262"/>
      <c r="F286" s="263">
        <f t="shared" si="37"/>
        <v>0</v>
      </c>
      <c r="G286" s="123"/>
      <c r="H286" s="124"/>
      <c r="I286" s="125">
        <f t="shared" si="38"/>
        <v>0</v>
      </c>
      <c r="J286" s="123"/>
      <c r="K286" s="124"/>
      <c r="L286" s="125">
        <f t="shared" si="39"/>
        <v>0</v>
      </c>
      <c r="M286" s="264"/>
      <c r="N286" s="262"/>
      <c r="O286" s="125">
        <f t="shared" si="58"/>
        <v>0</v>
      </c>
      <c r="P286" s="74"/>
      <c r="R286" s="53"/>
      <c r="S286" s="53"/>
      <c r="T286" s="53"/>
      <c r="U286" s="53"/>
    </row>
    <row r="287" spans="1:21" x14ac:dyDescent="0.25">
      <c r="A287" s="368"/>
      <c r="B287" s="369" t="s">
        <v>305</v>
      </c>
      <c r="C287" s="370">
        <f>SUM(C284,C271,C233,C198,C190,C176,C78,C56)</f>
        <v>583000</v>
      </c>
      <c r="D287" s="371">
        <f>SUM(D284,D271,D233,D198,D190,D176,D78,D56)</f>
        <v>278474</v>
      </c>
      <c r="E287" s="372">
        <f>SUM(E284,E271,E233,E198,E190,E176,E78,E56)</f>
        <v>0</v>
      </c>
      <c r="F287" s="373">
        <f t="shared" si="37"/>
        <v>278474</v>
      </c>
      <c r="G287" s="371">
        <f>SUM(G284,G271,G233,G198,G190,G176,G78,G56)</f>
        <v>299456</v>
      </c>
      <c r="H287" s="374">
        <f>SUM(H284,H271,H233,H198,H190,H176,H78,H56)</f>
        <v>0</v>
      </c>
      <c r="I287" s="375">
        <f t="shared" si="38"/>
        <v>299456</v>
      </c>
      <c r="J287" s="371">
        <f>SUM(J284,J271,J233,J198,J190,J176,J78,J56)</f>
        <v>5050</v>
      </c>
      <c r="K287" s="374">
        <f>SUM(K284,K271,K233,K198,K190,K176,K78,K56)</f>
        <v>0</v>
      </c>
      <c r="L287" s="375">
        <f t="shared" si="39"/>
        <v>5050</v>
      </c>
      <c r="M287" s="250">
        <f>SUM(M284,M271,M233,M198,M190,M176,M78,M56)</f>
        <v>20</v>
      </c>
      <c r="N287" s="251">
        <f>SUM(N284,N271,N233,N198,N190,N176,N78,N56)</f>
        <v>0</v>
      </c>
      <c r="O287" s="252">
        <f t="shared" si="58"/>
        <v>20</v>
      </c>
      <c r="P287" s="253"/>
      <c r="R287" s="53"/>
      <c r="S287" s="53"/>
      <c r="T287" s="53"/>
      <c r="U287" s="53"/>
    </row>
    <row r="288" spans="1:21" x14ac:dyDescent="0.25">
      <c r="A288" s="376" t="s">
        <v>306</v>
      </c>
      <c r="B288" s="377"/>
      <c r="C288" s="378">
        <f t="shared" ref="C288" si="59">F288+I288+L288+O288</f>
        <v>-1219</v>
      </c>
      <c r="D288" s="379">
        <f>SUM(D28,D29,D45)-D54</f>
        <v>0</v>
      </c>
      <c r="E288" s="380">
        <f>SUM(E28,E29,E45)-E54</f>
        <v>0</v>
      </c>
      <c r="F288" s="381">
        <f t="shared" si="37"/>
        <v>0</v>
      </c>
      <c r="G288" s="379">
        <f>SUM(G28,G29,G45)-G54</f>
        <v>0</v>
      </c>
      <c r="H288" s="382">
        <f>SUM(H28,H29,H45)-H54</f>
        <v>0</v>
      </c>
      <c r="I288" s="383">
        <f t="shared" si="38"/>
        <v>0</v>
      </c>
      <c r="J288" s="379">
        <f>(J30+J46)-J54</f>
        <v>-1219</v>
      </c>
      <c r="K288" s="382">
        <f>(K30+K46)-K54</f>
        <v>0</v>
      </c>
      <c r="L288" s="383">
        <f t="shared" si="39"/>
        <v>-1219</v>
      </c>
      <c r="M288" s="378">
        <f>M48-M54</f>
        <v>0</v>
      </c>
      <c r="N288" s="384">
        <f>N48-N54</f>
        <v>0</v>
      </c>
      <c r="O288" s="383">
        <f t="shared" si="58"/>
        <v>0</v>
      </c>
      <c r="P288" s="385"/>
      <c r="R288" s="53"/>
      <c r="S288" s="53"/>
      <c r="T288" s="53"/>
      <c r="U288" s="53"/>
    </row>
    <row r="289" spans="1:21" s="41" customFormat="1" x14ac:dyDescent="0.25">
      <c r="A289" s="376" t="s">
        <v>307</v>
      </c>
      <c r="B289" s="377"/>
      <c r="C289" s="380">
        <f>SUM(C290,C291)-C298+C299</f>
        <v>1219</v>
      </c>
      <c r="D289" s="379">
        <f>SUM(D290,D291)-D298+D299</f>
        <v>0</v>
      </c>
      <c r="E289" s="380">
        <f>SUM(E290,E291)-E298+E299</f>
        <v>0</v>
      </c>
      <c r="F289" s="381">
        <f t="shared" si="37"/>
        <v>0</v>
      </c>
      <c r="G289" s="379">
        <f>SUM(G290,G291)-G298+G299</f>
        <v>0</v>
      </c>
      <c r="H289" s="382">
        <f>SUM(H290,H291)-H298+H299</f>
        <v>0</v>
      </c>
      <c r="I289" s="383">
        <f t="shared" si="38"/>
        <v>0</v>
      </c>
      <c r="J289" s="379">
        <f>SUM(J290,J291)-J298+J299</f>
        <v>1219</v>
      </c>
      <c r="K289" s="382">
        <f>SUM(K290,K291)-K298+K299</f>
        <v>0</v>
      </c>
      <c r="L289" s="383">
        <f t="shared" si="39"/>
        <v>1219</v>
      </c>
      <c r="M289" s="378">
        <f>SUM(M290,M291)-M298+M299</f>
        <v>0</v>
      </c>
      <c r="N289" s="384">
        <f>SUM(N290,N291)-N298+N299</f>
        <v>0</v>
      </c>
      <c r="O289" s="383">
        <f t="shared" si="58"/>
        <v>0</v>
      </c>
      <c r="P289" s="385"/>
      <c r="R289" s="53"/>
      <c r="S289" s="53"/>
      <c r="T289" s="53"/>
      <c r="U289" s="53"/>
    </row>
    <row r="290" spans="1:21" s="41" customFormat="1" x14ac:dyDescent="0.25">
      <c r="A290" s="386" t="s">
        <v>308</v>
      </c>
      <c r="B290" s="386" t="s">
        <v>309</v>
      </c>
      <c r="C290" s="380">
        <f>C25-C284</f>
        <v>1219</v>
      </c>
      <c r="D290" s="379">
        <f>D25-D284</f>
        <v>0</v>
      </c>
      <c r="E290" s="380">
        <f>E25-E284</f>
        <v>0</v>
      </c>
      <c r="F290" s="381">
        <f t="shared" si="37"/>
        <v>0</v>
      </c>
      <c r="G290" s="379">
        <f>G25-G284</f>
        <v>0</v>
      </c>
      <c r="H290" s="382">
        <f>H25-H284</f>
        <v>0</v>
      </c>
      <c r="I290" s="383">
        <f t="shared" si="38"/>
        <v>0</v>
      </c>
      <c r="J290" s="379">
        <f>J25-J284</f>
        <v>1219</v>
      </c>
      <c r="K290" s="382">
        <f>K25-K284</f>
        <v>0</v>
      </c>
      <c r="L290" s="383">
        <f t="shared" si="39"/>
        <v>1219</v>
      </c>
      <c r="M290" s="378">
        <f>M25-M284</f>
        <v>0</v>
      </c>
      <c r="N290" s="384">
        <f>N25-N284</f>
        <v>0</v>
      </c>
      <c r="O290" s="383">
        <f t="shared" si="58"/>
        <v>0</v>
      </c>
      <c r="P290" s="385"/>
      <c r="R290" s="53"/>
      <c r="S290" s="53"/>
      <c r="T290" s="53"/>
      <c r="U290" s="53"/>
    </row>
    <row r="291" spans="1:21" s="41" customFormat="1" hidden="1" x14ac:dyDescent="0.25">
      <c r="A291" s="387" t="s">
        <v>310</v>
      </c>
      <c r="B291" s="387" t="s">
        <v>311</v>
      </c>
      <c r="C291" s="380">
        <f>SUM(C292,C294,C296)-SUM(C293,C295,C297)</f>
        <v>0</v>
      </c>
      <c r="D291" s="379">
        <f t="shared" ref="D291:E291" si="60">SUM(D292,D294,D296)-SUM(D293,D295,D297)</f>
        <v>0</v>
      </c>
      <c r="E291" s="384">
        <f t="shared" si="60"/>
        <v>0</v>
      </c>
      <c r="F291" s="388">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c r="R291" s="53"/>
      <c r="S291" s="53"/>
      <c r="T291" s="53"/>
      <c r="U291" s="53"/>
    </row>
    <row r="292" spans="1:21" s="41" customFormat="1" hidden="1" x14ac:dyDescent="0.25">
      <c r="A292" s="366" t="s">
        <v>312</v>
      </c>
      <c r="B292" s="190" t="s">
        <v>313</v>
      </c>
      <c r="C292" s="143">
        <f t="shared" ref="C292:C299" si="64">F292+I292+L292+O292</f>
        <v>0</v>
      </c>
      <c r="D292" s="149"/>
      <c r="E292" s="363"/>
      <c r="F292" s="364">
        <f t="shared" si="37"/>
        <v>0</v>
      </c>
      <c r="G292" s="149"/>
      <c r="H292" s="150"/>
      <c r="I292" s="151">
        <f t="shared" si="38"/>
        <v>0</v>
      </c>
      <c r="J292" s="149"/>
      <c r="K292" s="150"/>
      <c r="L292" s="151">
        <f t="shared" si="39"/>
        <v>0</v>
      </c>
      <c r="M292" s="365"/>
      <c r="N292" s="363"/>
      <c r="O292" s="151">
        <f t="shared" si="58"/>
        <v>0</v>
      </c>
      <c r="P292" s="153"/>
      <c r="R292" s="53"/>
      <c r="S292" s="53"/>
      <c r="T292" s="53"/>
      <c r="U292" s="53"/>
    </row>
    <row r="293" spans="1:21" ht="24" hidden="1" x14ac:dyDescent="0.25">
      <c r="A293" s="346" t="s">
        <v>314</v>
      </c>
      <c r="B293" s="75" t="s">
        <v>315</v>
      </c>
      <c r="C293" s="128">
        <f t="shared" si="64"/>
        <v>0</v>
      </c>
      <c r="D293" s="134"/>
      <c r="E293" s="285"/>
      <c r="F293" s="286">
        <f t="shared" si="37"/>
        <v>0</v>
      </c>
      <c r="G293" s="134"/>
      <c r="H293" s="135"/>
      <c r="I293" s="136">
        <f t="shared" si="38"/>
        <v>0</v>
      </c>
      <c r="J293" s="134"/>
      <c r="K293" s="135"/>
      <c r="L293" s="136">
        <f t="shared" si="39"/>
        <v>0</v>
      </c>
      <c r="M293" s="284"/>
      <c r="N293" s="285"/>
      <c r="O293" s="136">
        <f t="shared" si="58"/>
        <v>0</v>
      </c>
      <c r="P293" s="85"/>
      <c r="R293" s="53"/>
      <c r="S293" s="53"/>
      <c r="T293" s="53"/>
      <c r="U293" s="53"/>
    </row>
    <row r="294" spans="1:21" hidden="1" x14ac:dyDescent="0.25">
      <c r="A294" s="346" t="s">
        <v>316</v>
      </c>
      <c r="B294" s="75" t="s">
        <v>317</v>
      </c>
      <c r="C294" s="128">
        <f t="shared" si="64"/>
        <v>0</v>
      </c>
      <c r="D294" s="134"/>
      <c r="E294" s="285"/>
      <c r="F294" s="286">
        <f t="shared" si="37"/>
        <v>0</v>
      </c>
      <c r="G294" s="134"/>
      <c r="H294" s="135"/>
      <c r="I294" s="136">
        <f t="shared" si="38"/>
        <v>0</v>
      </c>
      <c r="J294" s="134"/>
      <c r="K294" s="135"/>
      <c r="L294" s="136">
        <f t="shared" si="39"/>
        <v>0</v>
      </c>
      <c r="M294" s="284"/>
      <c r="N294" s="285"/>
      <c r="O294" s="136">
        <f t="shared" si="58"/>
        <v>0</v>
      </c>
      <c r="P294" s="85"/>
      <c r="R294" s="53"/>
      <c r="S294" s="53"/>
      <c r="T294" s="53"/>
      <c r="U294" s="53"/>
    </row>
    <row r="295" spans="1:21" ht="24" hidden="1" x14ac:dyDescent="0.25">
      <c r="A295" s="346" t="s">
        <v>318</v>
      </c>
      <c r="B295" s="75" t="s">
        <v>319</v>
      </c>
      <c r="C295" s="128">
        <f t="shared" si="64"/>
        <v>0</v>
      </c>
      <c r="D295" s="134"/>
      <c r="E295" s="285"/>
      <c r="F295" s="286">
        <f t="shared" si="37"/>
        <v>0</v>
      </c>
      <c r="G295" s="134"/>
      <c r="H295" s="135"/>
      <c r="I295" s="136">
        <f t="shared" si="38"/>
        <v>0</v>
      </c>
      <c r="J295" s="134"/>
      <c r="K295" s="135"/>
      <c r="L295" s="136">
        <f t="shared" si="39"/>
        <v>0</v>
      </c>
      <c r="M295" s="284"/>
      <c r="N295" s="285"/>
      <c r="O295" s="136">
        <f t="shared" si="58"/>
        <v>0</v>
      </c>
      <c r="P295" s="85"/>
      <c r="R295" s="53"/>
      <c r="S295" s="53"/>
      <c r="T295" s="53"/>
      <c r="U295" s="53"/>
    </row>
    <row r="296" spans="1:21" hidden="1" x14ac:dyDescent="0.25">
      <c r="A296" s="346" t="s">
        <v>320</v>
      </c>
      <c r="B296" s="75" t="s">
        <v>321</v>
      </c>
      <c r="C296" s="128">
        <f t="shared" si="64"/>
        <v>0</v>
      </c>
      <c r="D296" s="134"/>
      <c r="E296" s="285"/>
      <c r="F296" s="286">
        <f t="shared" si="37"/>
        <v>0</v>
      </c>
      <c r="G296" s="134"/>
      <c r="H296" s="135"/>
      <c r="I296" s="136">
        <f t="shared" si="38"/>
        <v>0</v>
      </c>
      <c r="J296" s="134"/>
      <c r="K296" s="135"/>
      <c r="L296" s="136">
        <f t="shared" si="39"/>
        <v>0</v>
      </c>
      <c r="M296" s="284"/>
      <c r="N296" s="285"/>
      <c r="O296" s="136">
        <f t="shared" si="58"/>
        <v>0</v>
      </c>
      <c r="P296" s="85"/>
      <c r="R296" s="53"/>
      <c r="S296" s="53"/>
      <c r="T296" s="53"/>
      <c r="U296" s="53"/>
    </row>
    <row r="297" spans="1:21" ht="24" hidden="1" x14ac:dyDescent="0.25">
      <c r="A297" s="389" t="s">
        <v>322</v>
      </c>
      <c r="B297" s="390" t="s">
        <v>323</v>
      </c>
      <c r="C297" s="327">
        <f t="shared" si="64"/>
        <v>0</v>
      </c>
      <c r="D297" s="328"/>
      <c r="E297" s="329"/>
      <c r="F297" s="330">
        <f t="shared" si="37"/>
        <v>0</v>
      </c>
      <c r="G297" s="328"/>
      <c r="H297" s="331"/>
      <c r="I297" s="324">
        <f t="shared" si="38"/>
        <v>0</v>
      </c>
      <c r="J297" s="328"/>
      <c r="K297" s="331"/>
      <c r="L297" s="324">
        <f t="shared" si="39"/>
        <v>0</v>
      </c>
      <c r="M297" s="332"/>
      <c r="N297" s="329"/>
      <c r="O297" s="324">
        <f t="shared" si="58"/>
        <v>0</v>
      </c>
      <c r="P297" s="325"/>
      <c r="R297" s="53"/>
      <c r="S297" s="53"/>
      <c r="T297" s="53"/>
      <c r="U297" s="53"/>
    </row>
    <row r="298" spans="1:21" hidden="1" x14ac:dyDescent="0.25">
      <c r="A298" s="387" t="s">
        <v>324</v>
      </c>
      <c r="B298" s="387" t="s">
        <v>325</v>
      </c>
      <c r="C298" s="391">
        <f t="shared" si="64"/>
        <v>0</v>
      </c>
      <c r="D298" s="392"/>
      <c r="E298" s="393"/>
      <c r="F298" s="388">
        <f t="shared" si="37"/>
        <v>0</v>
      </c>
      <c r="G298" s="392"/>
      <c r="H298" s="394"/>
      <c r="I298" s="383">
        <f t="shared" si="38"/>
        <v>0</v>
      </c>
      <c r="J298" s="392"/>
      <c r="K298" s="394"/>
      <c r="L298" s="383">
        <f t="shared" si="39"/>
        <v>0</v>
      </c>
      <c r="M298" s="395"/>
      <c r="N298" s="393"/>
      <c r="O298" s="383">
        <f t="shared" si="58"/>
        <v>0</v>
      </c>
      <c r="P298" s="385"/>
      <c r="R298" s="53"/>
      <c r="S298" s="53"/>
      <c r="T298" s="53"/>
      <c r="U298" s="53"/>
    </row>
    <row r="299" spans="1:21" s="41" customFormat="1" ht="48" hidden="1" x14ac:dyDescent="0.25">
      <c r="A299" s="387" t="s">
        <v>326</v>
      </c>
      <c r="B299" s="396" t="s">
        <v>327</v>
      </c>
      <c r="C299" s="397">
        <f t="shared" si="64"/>
        <v>0</v>
      </c>
      <c r="D299" s="398"/>
      <c r="E299" s="399"/>
      <c r="F299" s="400">
        <f t="shared" si="37"/>
        <v>0</v>
      </c>
      <c r="G299" s="392"/>
      <c r="H299" s="394"/>
      <c r="I299" s="383">
        <f t="shared" si="38"/>
        <v>0</v>
      </c>
      <c r="J299" s="392"/>
      <c r="K299" s="394"/>
      <c r="L299" s="383">
        <f t="shared" si="39"/>
        <v>0</v>
      </c>
      <c r="M299" s="395"/>
      <c r="N299" s="393"/>
      <c r="O299" s="383">
        <f t="shared" si="58"/>
        <v>0</v>
      </c>
      <c r="P299" s="385"/>
      <c r="R299" s="53"/>
      <c r="S299" s="53"/>
      <c r="T299" s="53"/>
      <c r="U299" s="53"/>
    </row>
    <row r="300" spans="1:21"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21" s="41" customFormat="1" x14ac:dyDescent="0.25">
      <c r="A301" s="721" t="s">
        <v>1202</v>
      </c>
      <c r="B301" s="722"/>
      <c r="C301" s="722"/>
      <c r="D301" s="722"/>
      <c r="E301" s="722"/>
      <c r="F301" s="722"/>
      <c r="G301" s="722"/>
      <c r="H301" s="722"/>
      <c r="I301" s="722"/>
      <c r="J301" s="722"/>
      <c r="K301" s="722"/>
      <c r="L301" s="722"/>
      <c r="M301" s="722"/>
      <c r="N301" s="722"/>
      <c r="O301" s="722"/>
      <c r="P301" s="723"/>
      <c r="Q301" s="32"/>
    </row>
    <row r="302" spans="1:21" ht="12.75" thickBot="1" x14ac:dyDescent="0.3">
      <c r="A302" s="404"/>
      <c r="B302" s="405"/>
      <c r="C302" s="405"/>
      <c r="D302" s="405"/>
      <c r="E302" s="405"/>
      <c r="F302" s="405"/>
      <c r="G302" s="405"/>
      <c r="H302" s="405"/>
      <c r="I302" s="405"/>
      <c r="J302" s="405"/>
      <c r="K302" s="405"/>
      <c r="L302" s="405"/>
      <c r="M302" s="405"/>
      <c r="N302" s="405"/>
      <c r="O302" s="405"/>
      <c r="P302" s="406"/>
      <c r="Q302" s="7"/>
    </row>
    <row r="303" spans="1:21" x14ac:dyDescent="0.25">
      <c r="A303" s="5"/>
      <c r="B303" s="5"/>
      <c r="C303" s="5"/>
      <c r="D303" s="5"/>
      <c r="E303" s="5"/>
      <c r="F303" s="5"/>
      <c r="G303" s="5"/>
      <c r="H303" s="5"/>
      <c r="I303" s="5"/>
      <c r="J303" s="5"/>
      <c r="K303" s="5"/>
      <c r="L303" s="5"/>
      <c r="M303" s="5"/>
      <c r="N303" s="5"/>
      <c r="O303" s="5"/>
    </row>
    <row r="304" spans="1:21"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row r="322" spans="1:15" x14ac:dyDescent="0.25">
      <c r="A322" s="5"/>
      <c r="B322" s="5"/>
      <c r="C322" s="5"/>
      <c r="D322" s="5"/>
      <c r="E322" s="5"/>
      <c r="F322" s="5"/>
      <c r="G322" s="5"/>
      <c r="H322" s="5"/>
      <c r="I322" s="5"/>
      <c r="J322" s="5"/>
      <c r="K322" s="5"/>
      <c r="L322" s="5"/>
      <c r="M322" s="5"/>
      <c r="N322" s="5"/>
      <c r="O322" s="5"/>
    </row>
  </sheetData>
  <sheetProtection algorithmName="SHA-512" hashValue="6qjG4reqbkHbqYWOy/dGifAqwBM/O2nOs6mN5oVfZt+kmigg5B79MqRBnL4cbH0jsdpIfZyaT0KbD2c8aR9OkA==" saltValue="tWyGHlmC/L/DMRV7eRN3+A==" spinCount="100000" sheet="1" objects="1" scenarios="1" selectLockedCells="1" selectUnlockedCells="1"/>
  <autoFilter ref="A22:P301">
    <filterColumn colId="2">
      <filters blank="1">
        <filter val="1 042"/>
        <filter val="1 155"/>
        <filter val="1 219"/>
        <filter val="-1 219"/>
        <filter val="1 275"/>
        <filter val="1 341"/>
        <filter val="1 433"/>
        <filter val="1 480"/>
        <filter val="1 788"/>
        <filter val="1 801"/>
        <filter val="11 754"/>
        <filter val="114 235"/>
        <filter val="12 294"/>
        <filter val="13 367"/>
        <filter val="13 895"/>
        <filter val="14 007"/>
        <filter val="140"/>
        <filter val="16 314"/>
        <filter val="17 377"/>
        <filter val="2 206"/>
        <filter val="2 376"/>
        <filter val="2 680"/>
        <filter val="2 734"/>
        <filter val="20"/>
        <filter val="20 139"/>
        <filter val="23"/>
        <filter val="245"/>
        <filter val="263"/>
        <filter val="28 584"/>
        <filter val="3 093"/>
        <filter val="3 247"/>
        <filter val="3 748"/>
        <filter val="3 831"/>
        <filter val="31 794"/>
        <filter val="340"/>
        <filter val="360 742"/>
        <filter val="369"/>
        <filter val="375"/>
        <filter val="382"/>
        <filter val="393 811"/>
        <filter val="4 277"/>
        <filter val="4 612"/>
        <filter val="421"/>
        <filter val="429"/>
        <filter val="450"/>
        <filter val="46"/>
        <filter val="46 438"/>
        <filter val="460"/>
        <filter val="488"/>
        <filter val="5 059"/>
        <filter val="5 218"/>
        <filter val="5 779"/>
        <filter val="508 046"/>
        <filter val="568 993"/>
        <filter val="577 930"/>
        <filter val="583 000"/>
        <filter val="60 947"/>
        <filter val="614"/>
        <filter val="620"/>
        <filter val="640"/>
        <filter val="7 053"/>
        <filter val="7 171"/>
        <filter val="7 440"/>
        <filter val="7 897"/>
        <filter val="70"/>
        <filter val="736"/>
        <filter val="75"/>
        <filter val="77"/>
        <filter val="817"/>
        <filter val="922"/>
        <filter val="94 096"/>
        <filter val="955"/>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110.pielikums Jūrmalas pilsētas domes
2017.gada 30.janvāra saistošajiem noteikumiem Nr.10
(Protokols Nr.4, 1.punkts)
 </firstHeader>
    <firstFooter>&amp;L&amp;9&amp;D; &amp;T&amp;R&amp;9&amp;P (&amp;N)</first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86"/>
  <sheetViews>
    <sheetView view="pageLayout" zoomScaleNormal="100" workbookViewId="0">
      <selection activeCell="L7" sqref="L7"/>
    </sheetView>
  </sheetViews>
  <sheetFormatPr defaultRowHeight="15" outlineLevelCol="1" x14ac:dyDescent="0.25"/>
  <cols>
    <col min="1" max="1" width="6.140625" style="588" customWidth="1"/>
    <col min="2" max="2" width="17.28515625" style="588" customWidth="1"/>
    <col min="3" max="3" width="16.7109375" style="588" customWidth="1"/>
    <col min="4" max="4" width="10.5703125" style="588" customWidth="1"/>
    <col min="5" max="5" width="11.5703125" style="588" hidden="1" customWidth="1" outlineLevel="1"/>
    <col min="6" max="6" width="9.7109375" style="588" hidden="1" customWidth="1" outlineLevel="1"/>
    <col min="7" max="7" width="12" style="588" customWidth="1" collapsed="1"/>
    <col min="8" max="8" width="31.28515625" style="588" hidden="1" customWidth="1" outlineLevel="1"/>
    <col min="9" max="9" width="9.7109375" style="588" customWidth="1" collapsed="1"/>
    <col min="10" max="10" width="7.7109375" customWidth="1"/>
  </cols>
  <sheetData>
    <row r="1" spans="1:9" x14ac:dyDescent="0.25">
      <c r="A1" s="542"/>
      <c r="B1" s="542"/>
      <c r="C1" s="542"/>
      <c r="D1" s="542"/>
      <c r="E1" s="542"/>
      <c r="F1" s="542"/>
      <c r="G1" s="542"/>
      <c r="H1" s="542"/>
      <c r="I1" s="543" t="s">
        <v>352</v>
      </c>
    </row>
    <row r="2" spans="1:9" x14ac:dyDescent="0.25">
      <c r="A2" s="542"/>
      <c r="B2" s="542"/>
      <c r="C2" s="542"/>
      <c r="D2" s="542"/>
      <c r="E2" s="542"/>
      <c r="F2" s="542"/>
      <c r="G2" s="542"/>
      <c r="H2" s="542"/>
      <c r="I2" s="543" t="s">
        <v>353</v>
      </c>
    </row>
    <row r="3" spans="1:9" x14ac:dyDescent="0.25">
      <c r="A3" s="542"/>
      <c r="B3" s="542"/>
      <c r="C3" s="542"/>
      <c r="D3" s="542"/>
      <c r="E3" s="542"/>
      <c r="F3" s="542"/>
      <c r="G3" s="542"/>
      <c r="H3" s="542"/>
      <c r="I3" s="543" t="s">
        <v>354</v>
      </c>
    </row>
    <row r="4" spans="1:9" x14ac:dyDescent="0.25">
      <c r="A4" s="542" t="s">
        <v>355</v>
      </c>
      <c r="B4" s="542"/>
      <c r="C4" s="542"/>
      <c r="D4" s="542"/>
      <c r="E4" s="542"/>
      <c r="F4" s="542"/>
      <c r="G4" s="542"/>
      <c r="H4" s="542"/>
      <c r="I4" s="542"/>
    </row>
    <row r="5" spans="1:9" x14ac:dyDescent="0.25">
      <c r="A5" s="1632" t="s">
        <v>356</v>
      </c>
      <c r="B5" s="1632"/>
      <c r="C5" s="542"/>
      <c r="D5" s="542"/>
      <c r="E5" s="542"/>
      <c r="F5" s="542"/>
      <c r="G5" s="542"/>
      <c r="H5" s="542"/>
      <c r="I5" s="542"/>
    </row>
    <row r="6" spans="1:9" ht="15.75" x14ac:dyDescent="0.25">
      <c r="A6" s="1633" t="s">
        <v>357</v>
      </c>
      <c r="B6" s="1633"/>
      <c r="C6" s="1633"/>
      <c r="D6" s="1633"/>
      <c r="E6" s="1633"/>
      <c r="F6" s="1633"/>
      <c r="G6" s="1633"/>
      <c r="H6" s="1633"/>
      <c r="I6" s="1633"/>
    </row>
    <row r="7" spans="1:9" ht="15.75" x14ac:dyDescent="0.25">
      <c r="A7" s="1632" t="s">
        <v>358</v>
      </c>
      <c r="B7" s="1632"/>
      <c r="C7" s="544" t="s">
        <v>359</v>
      </c>
      <c r="D7" s="544"/>
      <c r="E7" s="544"/>
      <c r="F7" s="544"/>
      <c r="G7" s="544"/>
      <c r="H7" s="544"/>
      <c r="I7" s="544"/>
    </row>
    <row r="8" spans="1:9" ht="15.75" x14ac:dyDescent="0.25">
      <c r="A8" s="545"/>
      <c r="B8" s="545"/>
      <c r="C8" s="544"/>
      <c r="D8" s="544"/>
      <c r="E8" s="544"/>
      <c r="F8" s="544"/>
      <c r="G8" s="544"/>
      <c r="H8" s="544"/>
      <c r="I8" s="544"/>
    </row>
    <row r="9" spans="1:9" x14ac:dyDescent="0.25">
      <c r="A9" s="1632" t="s">
        <v>360</v>
      </c>
      <c r="B9" s="1632"/>
      <c r="C9" s="1634" t="s">
        <v>361</v>
      </c>
      <c r="D9" s="1634"/>
      <c r="E9" s="1634"/>
      <c r="F9" s="1634"/>
      <c r="G9" s="1634"/>
      <c r="H9" s="1634"/>
      <c r="I9" s="1634"/>
    </row>
    <row r="10" spans="1:9" x14ac:dyDescent="0.25">
      <c r="A10" s="1632" t="s">
        <v>362</v>
      </c>
      <c r="B10" s="1632"/>
      <c r="C10" s="1635" t="s">
        <v>363</v>
      </c>
      <c r="D10" s="1635"/>
      <c r="E10" s="1635"/>
      <c r="F10" s="1635"/>
      <c r="G10" s="1635"/>
      <c r="H10" s="1635"/>
      <c r="I10" s="1635"/>
    </row>
    <row r="11" spans="1:9" ht="48" x14ac:dyDescent="0.25">
      <c r="A11" s="546" t="s">
        <v>364</v>
      </c>
      <c r="B11" s="1636" t="s">
        <v>365</v>
      </c>
      <c r="C11" s="1636"/>
      <c r="D11" s="546" t="s">
        <v>366</v>
      </c>
      <c r="E11" s="547" t="s">
        <v>367</v>
      </c>
      <c r="F11" s="548" t="s">
        <v>368</v>
      </c>
      <c r="G11" s="548" t="s">
        <v>369</v>
      </c>
      <c r="H11" s="547" t="s">
        <v>26</v>
      </c>
      <c r="I11" s="546" t="s">
        <v>370</v>
      </c>
    </row>
    <row r="12" spans="1:9" x14ac:dyDescent="0.25">
      <c r="A12" s="1637" t="s">
        <v>371</v>
      </c>
      <c r="B12" s="1637"/>
      <c r="C12" s="1637"/>
      <c r="D12" s="549"/>
      <c r="E12" s="549">
        <f>SUM(E13:E16)</f>
        <v>126087</v>
      </c>
      <c r="F12" s="550">
        <f>SUM(F13:F16)</f>
        <v>0</v>
      </c>
      <c r="G12" s="549">
        <f>SUM(G13:G16)</f>
        <v>126087</v>
      </c>
      <c r="H12" s="551"/>
      <c r="I12" s="552"/>
    </row>
    <row r="13" spans="1:9" x14ac:dyDescent="0.25">
      <c r="A13" s="1639">
        <v>1</v>
      </c>
      <c r="B13" s="1638" t="s">
        <v>372</v>
      </c>
      <c r="C13" s="1638"/>
      <c r="D13" s="553">
        <v>5250</v>
      </c>
      <c r="E13" s="554">
        <v>100033</v>
      </c>
      <c r="F13" s="555"/>
      <c r="G13" s="554">
        <f>E13+F13</f>
        <v>100033</v>
      </c>
      <c r="H13" s="554"/>
      <c r="I13" s="556"/>
    </row>
    <row r="14" spans="1:9" x14ac:dyDescent="0.25">
      <c r="A14" s="1639"/>
      <c r="B14" s="1638"/>
      <c r="C14" s="1638"/>
      <c r="D14" s="553">
        <v>5232</v>
      </c>
      <c r="E14" s="554">
        <v>12000</v>
      </c>
      <c r="F14" s="557"/>
      <c r="G14" s="554">
        <f>E14+F14</f>
        <v>12000</v>
      </c>
      <c r="H14" s="554"/>
      <c r="I14" s="556"/>
    </row>
    <row r="15" spans="1:9" x14ac:dyDescent="0.25">
      <c r="A15" s="1639"/>
      <c r="B15" s="1638"/>
      <c r="C15" s="1638"/>
      <c r="D15" s="553">
        <v>2239</v>
      </c>
      <c r="E15" s="554">
        <v>2000</v>
      </c>
      <c r="F15" s="557"/>
      <c r="G15" s="554">
        <f>E15+F15</f>
        <v>2000</v>
      </c>
      <c r="H15" s="554"/>
      <c r="I15" s="556"/>
    </row>
    <row r="16" spans="1:9" x14ac:dyDescent="0.25">
      <c r="A16" s="1639"/>
      <c r="B16" s="1638"/>
      <c r="C16" s="1638"/>
      <c r="D16" s="553">
        <v>2241</v>
      </c>
      <c r="E16" s="554">
        <v>12054</v>
      </c>
      <c r="F16" s="557"/>
      <c r="G16" s="554">
        <f>E16+F16</f>
        <v>12054</v>
      </c>
      <c r="H16" s="554"/>
      <c r="I16" s="556"/>
    </row>
    <row r="17" spans="1:9" x14ac:dyDescent="0.25">
      <c r="A17" s="558"/>
      <c r="B17" s="559"/>
      <c r="C17" s="559"/>
      <c r="D17" s="560"/>
      <c r="E17" s="561"/>
      <c r="F17" s="561"/>
      <c r="G17" s="561"/>
      <c r="H17" s="561"/>
      <c r="I17" s="558"/>
    </row>
    <row r="18" spans="1:9" x14ac:dyDescent="0.25">
      <c r="A18" s="1632" t="s">
        <v>360</v>
      </c>
      <c r="B18" s="1632"/>
      <c r="C18" s="1634" t="s">
        <v>373</v>
      </c>
      <c r="D18" s="1634"/>
      <c r="E18" s="1634"/>
      <c r="F18" s="1634"/>
      <c r="G18" s="1634"/>
      <c r="H18" s="1634"/>
      <c r="I18" s="1634"/>
    </row>
    <row r="19" spans="1:9" x14ac:dyDescent="0.25">
      <c r="A19" s="1632" t="s">
        <v>362</v>
      </c>
      <c r="B19" s="1632"/>
      <c r="C19" s="1635" t="s">
        <v>374</v>
      </c>
      <c r="D19" s="1635"/>
      <c r="E19" s="1635"/>
      <c r="F19" s="1635"/>
      <c r="G19" s="1635"/>
      <c r="H19" s="1635"/>
      <c r="I19" s="1635"/>
    </row>
    <row r="20" spans="1:9" ht="48" x14ac:dyDescent="0.25">
      <c r="A20" s="546" t="s">
        <v>364</v>
      </c>
      <c r="B20" s="1636" t="s">
        <v>365</v>
      </c>
      <c r="C20" s="1636"/>
      <c r="D20" s="546" t="s">
        <v>366</v>
      </c>
      <c r="E20" s="547" t="s">
        <v>367</v>
      </c>
      <c r="F20" s="548" t="s">
        <v>368</v>
      </c>
      <c r="G20" s="548" t="s">
        <v>369</v>
      </c>
      <c r="H20" s="547" t="s">
        <v>26</v>
      </c>
      <c r="I20" s="546" t="s">
        <v>370</v>
      </c>
    </row>
    <row r="21" spans="1:9" x14ac:dyDescent="0.25">
      <c r="A21" s="1637" t="s">
        <v>371</v>
      </c>
      <c r="B21" s="1637"/>
      <c r="C21" s="1637"/>
      <c r="D21" s="549"/>
      <c r="E21" s="549">
        <f>SUM(E22:E23)</f>
        <v>5045</v>
      </c>
      <c r="F21" s="549">
        <f>SUM(F22:F23)</f>
        <v>0</v>
      </c>
      <c r="G21" s="549">
        <f>SUM(G22:G23)</f>
        <v>5045</v>
      </c>
      <c r="H21" s="549"/>
      <c r="I21" s="556" t="s">
        <v>375</v>
      </c>
    </row>
    <row r="22" spans="1:9" x14ac:dyDescent="0.25">
      <c r="A22" s="562">
        <v>1</v>
      </c>
      <c r="B22" s="1638" t="s">
        <v>376</v>
      </c>
      <c r="C22" s="1638"/>
      <c r="D22" s="553">
        <v>5250</v>
      </c>
      <c r="E22" s="554">
        <v>5045</v>
      </c>
      <c r="F22" s="557"/>
      <c r="G22" s="554">
        <f>E22+F22</f>
        <v>5045</v>
      </c>
      <c r="H22" s="554"/>
      <c r="I22" s="556"/>
    </row>
    <row r="23" spans="1:9" x14ac:dyDescent="0.25">
      <c r="A23" s="562">
        <v>2</v>
      </c>
      <c r="B23" s="1638" t="s">
        <v>377</v>
      </c>
      <c r="C23" s="1638"/>
      <c r="D23" s="553">
        <v>5240</v>
      </c>
      <c r="E23" s="554"/>
      <c r="F23" s="557"/>
      <c r="G23" s="554">
        <f>E23+F23</f>
        <v>0</v>
      </c>
      <c r="H23" s="554"/>
      <c r="I23" s="556"/>
    </row>
    <row r="24" spans="1:9" x14ac:dyDescent="0.25">
      <c r="A24" s="563"/>
      <c r="B24" s="559"/>
      <c r="C24" s="559"/>
      <c r="D24" s="560"/>
      <c r="E24" s="561"/>
      <c r="F24" s="561"/>
      <c r="G24" s="561"/>
      <c r="H24" s="561"/>
      <c r="I24" s="558"/>
    </row>
    <row r="25" spans="1:9" x14ac:dyDescent="0.25">
      <c r="A25" s="1632" t="s">
        <v>360</v>
      </c>
      <c r="B25" s="1632"/>
      <c r="C25" s="1632" t="s">
        <v>378</v>
      </c>
      <c r="D25" s="1632"/>
      <c r="E25" s="1632"/>
      <c r="F25" s="1632"/>
      <c r="G25" s="1632"/>
      <c r="H25" s="1632"/>
      <c r="I25" s="1632"/>
    </row>
    <row r="26" spans="1:9" x14ac:dyDescent="0.25">
      <c r="A26" s="1632" t="s">
        <v>362</v>
      </c>
      <c r="B26" s="1632"/>
      <c r="C26" s="1635" t="s">
        <v>379</v>
      </c>
      <c r="D26" s="1635"/>
      <c r="E26" s="1635"/>
      <c r="F26" s="1635"/>
      <c r="G26" s="1635"/>
      <c r="H26" s="1635"/>
      <c r="I26" s="1635"/>
    </row>
    <row r="27" spans="1:9" ht="48" x14ac:dyDescent="0.25">
      <c r="A27" s="546" t="s">
        <v>364</v>
      </c>
      <c r="B27" s="1636" t="s">
        <v>365</v>
      </c>
      <c r="C27" s="1636"/>
      <c r="D27" s="546" t="s">
        <v>366</v>
      </c>
      <c r="E27" s="547" t="s">
        <v>367</v>
      </c>
      <c r="F27" s="548" t="s">
        <v>368</v>
      </c>
      <c r="G27" s="548" t="s">
        <v>369</v>
      </c>
      <c r="H27" s="547" t="s">
        <v>26</v>
      </c>
      <c r="I27" s="546" t="s">
        <v>370</v>
      </c>
    </row>
    <row r="28" spans="1:9" x14ac:dyDescent="0.25">
      <c r="A28" s="1637" t="s">
        <v>371</v>
      </c>
      <c r="B28" s="1637"/>
      <c r="C28" s="1637"/>
      <c r="D28" s="549"/>
      <c r="E28" s="549">
        <f>SUM(E29:E30)</f>
        <v>6579</v>
      </c>
      <c r="F28" s="549">
        <f>SUM(F29:F30)</f>
        <v>0</v>
      </c>
      <c r="G28" s="549">
        <f>SUM(G29:G30)</f>
        <v>6579</v>
      </c>
      <c r="H28" s="549"/>
      <c r="I28" s="556" t="s">
        <v>380</v>
      </c>
    </row>
    <row r="29" spans="1:9" ht="23.25" customHeight="1" x14ac:dyDescent="0.25">
      <c r="A29" s="562">
        <v>1</v>
      </c>
      <c r="B29" s="1640" t="s">
        <v>381</v>
      </c>
      <c r="C29" s="1641"/>
      <c r="D29" s="553">
        <v>2244</v>
      </c>
      <c r="E29" s="554">
        <v>0</v>
      </c>
      <c r="F29" s="555"/>
      <c r="G29" s="554">
        <f>E29+F29</f>
        <v>0</v>
      </c>
      <c r="H29" s="554"/>
      <c r="I29" s="554"/>
    </row>
    <row r="30" spans="1:9" ht="24.75" customHeight="1" x14ac:dyDescent="0.25">
      <c r="A30" s="562">
        <v>2</v>
      </c>
      <c r="B30" s="1640" t="s">
        <v>382</v>
      </c>
      <c r="C30" s="1641"/>
      <c r="D30" s="553">
        <v>5250</v>
      </c>
      <c r="E30" s="554">
        <v>6579</v>
      </c>
      <c r="F30" s="555"/>
      <c r="G30" s="554">
        <f>E30+F30</f>
        <v>6579</v>
      </c>
      <c r="H30" s="554"/>
      <c r="I30" s="554"/>
    </row>
    <row r="31" spans="1:9" x14ac:dyDescent="0.25">
      <c r="A31" s="563"/>
      <c r="B31" s="559"/>
      <c r="C31" s="559"/>
      <c r="D31" s="560"/>
      <c r="E31" s="561"/>
      <c r="F31" s="561"/>
      <c r="G31" s="561"/>
      <c r="H31" s="561"/>
      <c r="I31" s="561"/>
    </row>
    <row r="32" spans="1:9" x14ac:dyDescent="0.25">
      <c r="A32" s="1632" t="s">
        <v>360</v>
      </c>
      <c r="B32" s="1632"/>
      <c r="C32" s="542" t="s">
        <v>383</v>
      </c>
      <c r="D32" s="542"/>
      <c r="E32" s="542"/>
      <c r="F32" s="542"/>
      <c r="G32" s="542"/>
      <c r="H32" s="542"/>
      <c r="I32" s="542"/>
    </row>
    <row r="33" spans="1:9" x14ac:dyDescent="0.25">
      <c r="A33" s="1632" t="s">
        <v>362</v>
      </c>
      <c r="B33" s="1632"/>
      <c r="C33" s="1635" t="s">
        <v>384</v>
      </c>
      <c r="D33" s="1635"/>
      <c r="E33" s="1635"/>
      <c r="F33" s="1635"/>
      <c r="G33" s="1635"/>
      <c r="H33" s="1635"/>
      <c r="I33" s="1635"/>
    </row>
    <row r="34" spans="1:9" ht="48" x14ac:dyDescent="0.25">
      <c r="A34" s="546" t="s">
        <v>364</v>
      </c>
      <c r="B34" s="1636" t="s">
        <v>365</v>
      </c>
      <c r="C34" s="1636"/>
      <c r="D34" s="546" t="s">
        <v>366</v>
      </c>
      <c r="E34" s="547" t="s">
        <v>367</v>
      </c>
      <c r="F34" s="548" t="s">
        <v>368</v>
      </c>
      <c r="G34" s="548" t="s">
        <v>369</v>
      </c>
      <c r="H34" s="547" t="s">
        <v>26</v>
      </c>
      <c r="I34" s="546" t="s">
        <v>370</v>
      </c>
    </row>
    <row r="35" spans="1:9" x14ac:dyDescent="0.25">
      <c r="A35" s="1637" t="s">
        <v>371</v>
      </c>
      <c r="B35" s="1637"/>
      <c r="C35" s="1637"/>
      <c r="D35" s="549"/>
      <c r="E35" s="549">
        <f>SUM(E36:E59)</f>
        <v>3085391</v>
      </c>
      <c r="F35" s="549">
        <f>SUM(F36:F59)</f>
        <v>0</v>
      </c>
      <c r="G35" s="549">
        <f>SUM(G36:G59)</f>
        <v>3085391</v>
      </c>
      <c r="H35" s="549"/>
      <c r="I35" s="552"/>
    </row>
    <row r="36" spans="1:9" x14ac:dyDescent="0.25">
      <c r="A36" s="564">
        <v>1</v>
      </c>
      <c r="B36" s="1640" t="s">
        <v>385</v>
      </c>
      <c r="C36" s="1641"/>
      <c r="D36" s="553">
        <v>5240</v>
      </c>
      <c r="E36" s="554">
        <f>245427-60747</f>
        <v>184680</v>
      </c>
      <c r="F36" s="555"/>
      <c r="G36" s="554">
        <f t="shared" ref="G36:G59" si="0">E36+F36</f>
        <v>184680</v>
      </c>
      <c r="H36" s="554"/>
      <c r="I36" s="556" t="s">
        <v>386</v>
      </c>
    </row>
    <row r="37" spans="1:9" ht="24.75" customHeight="1" x14ac:dyDescent="0.25">
      <c r="A37" s="564">
        <v>2</v>
      </c>
      <c r="B37" s="1640" t="s">
        <v>387</v>
      </c>
      <c r="C37" s="1641"/>
      <c r="D37" s="553">
        <v>2241</v>
      </c>
      <c r="E37" s="554">
        <v>900</v>
      </c>
      <c r="F37" s="555"/>
      <c r="G37" s="554">
        <f t="shared" si="0"/>
        <v>900</v>
      </c>
      <c r="H37" s="554"/>
      <c r="I37" s="556"/>
    </row>
    <row r="38" spans="1:9" x14ac:dyDescent="0.25">
      <c r="A38" s="1642">
        <v>3</v>
      </c>
      <c r="B38" s="1645" t="s">
        <v>388</v>
      </c>
      <c r="C38" s="1646"/>
      <c r="D38" s="553">
        <v>5240</v>
      </c>
      <c r="E38" s="565">
        <f>3413000-2201115</f>
        <v>1211885</v>
      </c>
      <c r="F38" s="555"/>
      <c r="G38" s="565">
        <f t="shared" si="0"/>
        <v>1211885</v>
      </c>
      <c r="H38" s="554"/>
      <c r="I38" s="556"/>
    </row>
    <row r="39" spans="1:9" x14ac:dyDescent="0.25">
      <c r="A39" s="1643"/>
      <c r="B39" s="1647"/>
      <c r="C39" s="1648"/>
      <c r="D39" s="553">
        <v>5240</v>
      </c>
      <c r="E39" s="565">
        <v>19544</v>
      </c>
      <c r="F39" s="555"/>
      <c r="G39" s="565">
        <f t="shared" si="0"/>
        <v>19544</v>
      </c>
      <c r="H39" s="565"/>
      <c r="I39" s="556"/>
    </row>
    <row r="40" spans="1:9" x14ac:dyDescent="0.25">
      <c r="A40" s="1643"/>
      <c r="B40" s="1647"/>
      <c r="C40" s="1648"/>
      <c r="D40" s="553">
        <v>2239</v>
      </c>
      <c r="E40" s="565">
        <v>6729</v>
      </c>
      <c r="F40" s="555"/>
      <c r="G40" s="565">
        <f t="shared" si="0"/>
        <v>6729</v>
      </c>
      <c r="H40" s="565"/>
      <c r="I40" s="556"/>
    </row>
    <row r="41" spans="1:9" x14ac:dyDescent="0.25">
      <c r="A41" s="1644"/>
      <c r="B41" s="1649"/>
      <c r="C41" s="1650"/>
      <c r="D41" s="553">
        <v>5250</v>
      </c>
      <c r="E41" s="565">
        <f>1365000-4659-68081-15363-630</f>
        <v>1276267</v>
      </c>
      <c r="F41" s="555"/>
      <c r="G41" s="565">
        <f t="shared" si="0"/>
        <v>1276267</v>
      </c>
      <c r="H41" s="565"/>
      <c r="I41" s="556"/>
    </row>
    <row r="42" spans="1:9" x14ac:dyDescent="0.25">
      <c r="A42" s="562">
        <v>4</v>
      </c>
      <c r="B42" s="1638" t="s">
        <v>389</v>
      </c>
      <c r="C42" s="1638"/>
      <c r="D42" s="553">
        <v>5250</v>
      </c>
      <c r="E42" s="565">
        <v>255</v>
      </c>
      <c r="F42" s="555"/>
      <c r="G42" s="565">
        <f t="shared" si="0"/>
        <v>255</v>
      </c>
      <c r="H42" s="554"/>
      <c r="I42" s="556" t="s">
        <v>390</v>
      </c>
    </row>
    <row r="43" spans="1:9" ht="36.75" customHeight="1" x14ac:dyDescent="0.25">
      <c r="A43" s="564">
        <v>5</v>
      </c>
      <c r="B43" s="1638" t="s">
        <v>391</v>
      </c>
      <c r="C43" s="1638"/>
      <c r="D43" s="553">
        <v>5250</v>
      </c>
      <c r="E43" s="554">
        <v>0</v>
      </c>
      <c r="F43" s="555"/>
      <c r="G43" s="554">
        <f t="shared" si="0"/>
        <v>0</v>
      </c>
      <c r="H43" s="554"/>
      <c r="I43" s="556" t="s">
        <v>392</v>
      </c>
    </row>
    <row r="44" spans="1:9" ht="27" customHeight="1" x14ac:dyDescent="0.25">
      <c r="A44" s="1642">
        <v>6</v>
      </c>
      <c r="B44" s="1638" t="s">
        <v>393</v>
      </c>
      <c r="C44" s="1638"/>
      <c r="D44" s="553">
        <v>5240</v>
      </c>
      <c r="E44" s="554">
        <f>50000-45644</f>
        <v>4356</v>
      </c>
      <c r="F44" s="555"/>
      <c r="G44" s="554">
        <f t="shared" si="0"/>
        <v>4356</v>
      </c>
      <c r="H44" s="554"/>
      <c r="I44" s="556" t="s">
        <v>394</v>
      </c>
    </row>
    <row r="45" spans="1:9" ht="27" customHeight="1" x14ac:dyDescent="0.25">
      <c r="A45" s="1643">
        <v>7.0813953488372103</v>
      </c>
      <c r="B45" s="1638" t="s">
        <v>395</v>
      </c>
      <c r="C45" s="1638"/>
      <c r="D45" s="553">
        <v>5240</v>
      </c>
      <c r="E45" s="554">
        <f>40000-34192</f>
        <v>5808</v>
      </c>
      <c r="F45" s="555"/>
      <c r="G45" s="554">
        <f t="shared" si="0"/>
        <v>5808</v>
      </c>
      <c r="H45" s="554"/>
      <c r="I45" s="556" t="s">
        <v>394</v>
      </c>
    </row>
    <row r="46" spans="1:9" x14ac:dyDescent="0.25">
      <c r="A46" s="564">
        <v>7</v>
      </c>
      <c r="B46" s="1638" t="s">
        <v>396</v>
      </c>
      <c r="C46" s="1638"/>
      <c r="D46" s="553">
        <v>2241</v>
      </c>
      <c r="E46" s="554">
        <v>1900</v>
      </c>
      <c r="F46" s="555"/>
      <c r="G46" s="554">
        <f t="shared" si="0"/>
        <v>1900</v>
      </c>
      <c r="H46" s="554"/>
      <c r="I46" s="556" t="s">
        <v>392</v>
      </c>
    </row>
    <row r="47" spans="1:9" x14ac:dyDescent="0.25">
      <c r="A47" s="566">
        <v>8</v>
      </c>
      <c r="B47" s="1638" t="s">
        <v>397</v>
      </c>
      <c r="C47" s="1638"/>
      <c r="D47" s="553">
        <v>5250</v>
      </c>
      <c r="E47" s="554">
        <v>0</v>
      </c>
      <c r="F47" s="555"/>
      <c r="G47" s="554">
        <f t="shared" si="0"/>
        <v>0</v>
      </c>
      <c r="H47" s="554"/>
      <c r="I47" s="556" t="s">
        <v>390</v>
      </c>
    </row>
    <row r="48" spans="1:9" ht="38.25" customHeight="1" x14ac:dyDescent="0.25">
      <c r="A48" s="567">
        <v>9</v>
      </c>
      <c r="B48" s="1645" t="s">
        <v>398</v>
      </c>
      <c r="C48" s="1646"/>
      <c r="D48" s="553">
        <v>5240</v>
      </c>
      <c r="E48" s="554">
        <v>56745</v>
      </c>
      <c r="F48" s="555"/>
      <c r="G48" s="554">
        <f t="shared" si="0"/>
        <v>56745</v>
      </c>
      <c r="H48" s="554"/>
      <c r="I48" s="556"/>
    </row>
    <row r="49" spans="1:11" ht="24.75" customHeight="1" x14ac:dyDescent="0.25">
      <c r="A49" s="567">
        <v>10</v>
      </c>
      <c r="B49" s="1645" t="s">
        <v>399</v>
      </c>
      <c r="C49" s="1646"/>
      <c r="D49" s="553">
        <v>5250</v>
      </c>
      <c r="E49" s="554">
        <v>16904</v>
      </c>
      <c r="F49" s="555"/>
      <c r="G49" s="554">
        <f t="shared" si="0"/>
        <v>16904</v>
      </c>
      <c r="H49" s="554"/>
      <c r="I49" s="556"/>
      <c r="K49" s="568"/>
    </row>
    <row r="50" spans="1:11" ht="15" customHeight="1" x14ac:dyDescent="0.25">
      <c r="A50" s="1653">
        <v>11</v>
      </c>
      <c r="B50" s="1645" t="s">
        <v>400</v>
      </c>
      <c r="C50" s="1646"/>
      <c r="D50" s="553">
        <v>5250</v>
      </c>
      <c r="E50" s="554">
        <f>100000+43843+2400</f>
        <v>146243</v>
      </c>
      <c r="F50" s="555"/>
      <c r="G50" s="554">
        <f t="shared" si="0"/>
        <v>146243</v>
      </c>
      <c r="H50" s="554"/>
      <c r="I50" s="556" t="s">
        <v>401</v>
      </c>
      <c r="K50" s="568"/>
    </row>
    <row r="51" spans="1:11" x14ac:dyDescent="0.25">
      <c r="A51" s="1654"/>
      <c r="B51" s="1649"/>
      <c r="C51" s="1650"/>
      <c r="D51" s="553">
        <v>2241</v>
      </c>
      <c r="E51" s="554">
        <v>600</v>
      </c>
      <c r="F51" s="555"/>
      <c r="G51" s="554">
        <f t="shared" si="0"/>
        <v>600</v>
      </c>
      <c r="H51" s="554"/>
      <c r="I51" s="556"/>
      <c r="K51" s="568"/>
    </row>
    <row r="52" spans="1:11" x14ac:dyDescent="0.25">
      <c r="A52" s="569">
        <v>12</v>
      </c>
      <c r="B52" s="1645" t="s">
        <v>402</v>
      </c>
      <c r="C52" s="1646"/>
      <c r="D52" s="553">
        <v>2241</v>
      </c>
      <c r="E52" s="554">
        <f>122020-10645</f>
        <v>111375</v>
      </c>
      <c r="F52" s="555"/>
      <c r="G52" s="554">
        <f t="shared" si="0"/>
        <v>111375</v>
      </c>
      <c r="H52" s="554"/>
      <c r="I52" s="556" t="s">
        <v>403</v>
      </c>
      <c r="K52" s="568"/>
    </row>
    <row r="53" spans="1:11" x14ac:dyDescent="0.25">
      <c r="A53" s="569">
        <v>13</v>
      </c>
      <c r="B53" s="1645" t="s">
        <v>404</v>
      </c>
      <c r="C53" s="1646"/>
      <c r="D53" s="553">
        <v>5250</v>
      </c>
      <c r="E53" s="554">
        <v>15000</v>
      </c>
      <c r="F53" s="555"/>
      <c r="G53" s="554">
        <f t="shared" si="0"/>
        <v>15000</v>
      </c>
      <c r="H53" s="554"/>
      <c r="I53" s="556"/>
      <c r="K53" s="568"/>
    </row>
    <row r="54" spans="1:11" ht="23.25" customHeight="1" x14ac:dyDescent="0.25">
      <c r="A54" s="570">
        <v>14</v>
      </c>
      <c r="B54" s="1638" t="s">
        <v>405</v>
      </c>
      <c r="C54" s="1638"/>
      <c r="D54" s="553">
        <v>5250</v>
      </c>
      <c r="E54" s="554">
        <v>8991</v>
      </c>
      <c r="F54" s="555"/>
      <c r="G54" s="554">
        <f t="shared" si="0"/>
        <v>8991</v>
      </c>
      <c r="H54" s="554"/>
      <c r="I54" s="556" t="s">
        <v>406</v>
      </c>
      <c r="K54" s="568"/>
    </row>
    <row r="55" spans="1:11" ht="15" customHeight="1" x14ac:dyDescent="0.25">
      <c r="A55" s="1651">
        <v>15</v>
      </c>
      <c r="B55" s="1645" t="s">
        <v>407</v>
      </c>
      <c r="C55" s="1646"/>
      <c r="D55" s="553">
        <v>2241</v>
      </c>
      <c r="E55" s="554">
        <v>0</v>
      </c>
      <c r="F55" s="555"/>
      <c r="G55" s="554">
        <f t="shared" si="0"/>
        <v>0</v>
      </c>
      <c r="H55" s="554"/>
      <c r="I55" s="556" t="s">
        <v>386</v>
      </c>
      <c r="K55" s="568"/>
    </row>
    <row r="56" spans="1:11" x14ac:dyDescent="0.25">
      <c r="A56" s="1652"/>
      <c r="B56" s="1649"/>
      <c r="C56" s="1650"/>
      <c r="D56" s="553">
        <v>5250</v>
      </c>
      <c r="E56" s="554">
        <v>7992</v>
      </c>
      <c r="F56" s="555"/>
      <c r="G56" s="554">
        <f t="shared" si="0"/>
        <v>7992</v>
      </c>
      <c r="H56" s="554"/>
      <c r="I56" s="556"/>
      <c r="K56" s="568"/>
    </row>
    <row r="57" spans="1:11" ht="27" customHeight="1" x14ac:dyDescent="0.25">
      <c r="A57" s="566">
        <v>16</v>
      </c>
      <c r="B57" s="1638" t="s">
        <v>408</v>
      </c>
      <c r="C57" s="1638"/>
      <c r="D57" s="553">
        <v>5240</v>
      </c>
      <c r="E57" s="554">
        <f>40000-36156</f>
        <v>3844</v>
      </c>
      <c r="F57" s="555"/>
      <c r="G57" s="554">
        <f t="shared" si="0"/>
        <v>3844</v>
      </c>
      <c r="H57" s="554"/>
      <c r="I57" s="556"/>
      <c r="K57" s="568"/>
    </row>
    <row r="58" spans="1:11" ht="27" customHeight="1" x14ac:dyDescent="0.25">
      <c r="A58" s="566">
        <v>17</v>
      </c>
      <c r="B58" s="1638" t="s">
        <v>409</v>
      </c>
      <c r="C58" s="1638"/>
      <c r="D58" s="553">
        <v>5240</v>
      </c>
      <c r="E58" s="554">
        <v>2373</v>
      </c>
      <c r="F58" s="555"/>
      <c r="G58" s="554">
        <f t="shared" si="0"/>
        <v>2373</v>
      </c>
      <c r="H58" s="554"/>
      <c r="I58" s="556"/>
      <c r="K58" s="568"/>
    </row>
    <row r="59" spans="1:11" ht="27" customHeight="1" x14ac:dyDescent="0.25">
      <c r="A59" s="566">
        <v>18</v>
      </c>
      <c r="B59" s="1638" t="s">
        <v>410</v>
      </c>
      <c r="C59" s="1638"/>
      <c r="D59" s="553">
        <v>2239</v>
      </c>
      <c r="E59" s="554">
        <v>3000</v>
      </c>
      <c r="F59" s="555"/>
      <c r="G59" s="554">
        <f t="shared" si="0"/>
        <v>3000</v>
      </c>
      <c r="H59" s="554"/>
      <c r="I59" s="556"/>
      <c r="K59" s="568"/>
    </row>
    <row r="60" spans="1:11" x14ac:dyDescent="0.25">
      <c r="A60" s="571"/>
      <c r="B60" s="572"/>
      <c r="C60" s="572"/>
      <c r="D60" s="573"/>
      <c r="E60" s="574"/>
      <c r="F60" s="575"/>
      <c r="G60" s="574"/>
      <c r="H60" s="574"/>
      <c r="I60" s="576"/>
    </row>
    <row r="61" spans="1:11" x14ac:dyDescent="0.25">
      <c r="A61" s="1657" t="s">
        <v>360</v>
      </c>
      <c r="B61" s="1657"/>
      <c r="C61" s="1657" t="s">
        <v>411</v>
      </c>
      <c r="D61" s="1657"/>
      <c r="E61" s="1657"/>
      <c r="F61" s="1657"/>
      <c r="G61" s="1657"/>
      <c r="H61" s="1657"/>
      <c r="I61" s="1657"/>
    </row>
    <row r="62" spans="1:11" x14ac:dyDescent="0.25">
      <c r="A62" s="1632" t="s">
        <v>362</v>
      </c>
      <c r="B62" s="1632"/>
      <c r="C62" s="1635" t="s">
        <v>412</v>
      </c>
      <c r="D62" s="1635"/>
      <c r="E62" s="1635"/>
      <c r="F62" s="1635"/>
      <c r="G62" s="1635"/>
      <c r="H62" s="1635"/>
      <c r="I62" s="1635"/>
    </row>
    <row r="63" spans="1:11" ht="48" x14ac:dyDescent="0.25">
      <c r="A63" s="546" t="s">
        <v>364</v>
      </c>
      <c r="B63" s="1636" t="s">
        <v>365</v>
      </c>
      <c r="C63" s="1636"/>
      <c r="D63" s="546" t="s">
        <v>366</v>
      </c>
      <c r="E63" s="547" t="s">
        <v>367</v>
      </c>
      <c r="F63" s="548" t="s">
        <v>368</v>
      </c>
      <c r="G63" s="548" t="s">
        <v>369</v>
      </c>
      <c r="H63" s="547" t="s">
        <v>26</v>
      </c>
      <c r="I63" s="546" t="s">
        <v>370</v>
      </c>
    </row>
    <row r="64" spans="1:11" x14ac:dyDescent="0.25">
      <c r="A64" s="1637" t="s">
        <v>371</v>
      </c>
      <c r="B64" s="1637"/>
      <c r="C64" s="1637"/>
      <c r="D64" s="549"/>
      <c r="E64" s="549">
        <f>SUM(E65:E68)</f>
        <v>186795</v>
      </c>
      <c r="F64" s="549">
        <f>SUM(F65:F68)</f>
        <v>0</v>
      </c>
      <c r="G64" s="549">
        <f>SUM(G65:G68)</f>
        <v>186795</v>
      </c>
      <c r="H64" s="549"/>
      <c r="I64" s="577"/>
    </row>
    <row r="65" spans="1:9" x14ac:dyDescent="0.25">
      <c r="A65" s="562">
        <v>1</v>
      </c>
      <c r="B65" s="1638" t="s">
        <v>413</v>
      </c>
      <c r="C65" s="1638"/>
      <c r="D65" s="553">
        <v>5250</v>
      </c>
      <c r="E65" s="554">
        <f>49900+5000-48172</f>
        <v>6728</v>
      </c>
      <c r="F65" s="557"/>
      <c r="G65" s="554">
        <f>E65+F65</f>
        <v>6728</v>
      </c>
      <c r="H65" s="565"/>
      <c r="I65" s="556" t="s">
        <v>414</v>
      </c>
    </row>
    <row r="66" spans="1:9" ht="25.5" customHeight="1" x14ac:dyDescent="0.25">
      <c r="A66" s="566">
        <v>2</v>
      </c>
      <c r="B66" s="1655" t="s">
        <v>415</v>
      </c>
      <c r="C66" s="1656"/>
      <c r="D66" s="578">
        <v>5240</v>
      </c>
      <c r="E66" s="565">
        <v>15000</v>
      </c>
      <c r="F66" s="555"/>
      <c r="G66" s="565">
        <f>E66+F66</f>
        <v>15000</v>
      </c>
      <c r="H66" s="565"/>
      <c r="I66" s="579" t="s">
        <v>414</v>
      </c>
    </row>
    <row r="67" spans="1:9" x14ac:dyDescent="0.25">
      <c r="A67" s="566">
        <v>3</v>
      </c>
      <c r="B67" s="1655" t="s">
        <v>416</v>
      </c>
      <c r="C67" s="1656"/>
      <c r="D67" s="578">
        <v>5240</v>
      </c>
      <c r="E67" s="565">
        <f>16767-15000</f>
        <v>1767</v>
      </c>
      <c r="F67" s="555"/>
      <c r="G67" s="565">
        <f>E67+F67</f>
        <v>1767</v>
      </c>
      <c r="H67" s="565"/>
      <c r="I67" s="579" t="s">
        <v>414</v>
      </c>
    </row>
    <row r="68" spans="1:9" x14ac:dyDescent="0.25">
      <c r="A68" s="562">
        <v>4</v>
      </c>
      <c r="B68" s="1638" t="s">
        <v>417</v>
      </c>
      <c r="C68" s="1638"/>
      <c r="D68" s="553">
        <v>5250</v>
      </c>
      <c r="E68" s="554">
        <v>163300</v>
      </c>
      <c r="F68" s="557"/>
      <c r="G68" s="554">
        <f>E68+F68</f>
        <v>163300</v>
      </c>
      <c r="H68" s="565"/>
      <c r="I68" s="556" t="s">
        <v>418</v>
      </c>
    </row>
    <row r="69" spans="1:9" x14ac:dyDescent="0.25">
      <c r="A69" s="563"/>
      <c r="B69" s="559"/>
      <c r="C69" s="559"/>
      <c r="D69" s="560"/>
      <c r="E69" s="561"/>
      <c r="F69" s="561"/>
      <c r="G69" s="561"/>
      <c r="H69" s="561"/>
      <c r="I69" s="558"/>
    </row>
    <row r="70" spans="1:9" x14ac:dyDescent="0.25">
      <c r="A70" s="1632" t="s">
        <v>360</v>
      </c>
      <c r="B70" s="1632"/>
      <c r="C70" s="1632" t="s">
        <v>419</v>
      </c>
      <c r="D70" s="1632"/>
      <c r="E70" s="1632"/>
      <c r="F70" s="1632"/>
      <c r="G70" s="1632"/>
      <c r="H70" s="1632"/>
      <c r="I70" s="1632"/>
    </row>
    <row r="71" spans="1:9" x14ac:dyDescent="0.25">
      <c r="A71" s="1632" t="s">
        <v>362</v>
      </c>
      <c r="B71" s="1632"/>
      <c r="C71" s="1635" t="s">
        <v>420</v>
      </c>
      <c r="D71" s="1635"/>
      <c r="E71" s="1635"/>
      <c r="F71" s="1635"/>
      <c r="G71" s="1635"/>
      <c r="H71" s="1635"/>
      <c r="I71" s="1635"/>
    </row>
    <row r="72" spans="1:9" ht="48" x14ac:dyDescent="0.25">
      <c r="A72" s="546" t="s">
        <v>364</v>
      </c>
      <c r="B72" s="1636" t="s">
        <v>365</v>
      </c>
      <c r="C72" s="1636"/>
      <c r="D72" s="546" t="s">
        <v>366</v>
      </c>
      <c r="E72" s="547" t="s">
        <v>367</v>
      </c>
      <c r="F72" s="548" t="s">
        <v>368</v>
      </c>
      <c r="G72" s="548" t="s">
        <v>369</v>
      </c>
      <c r="H72" s="547" t="s">
        <v>26</v>
      </c>
      <c r="I72" s="546" t="s">
        <v>370</v>
      </c>
    </row>
    <row r="73" spans="1:9" x14ac:dyDescent="0.25">
      <c r="A73" s="1637" t="s">
        <v>371</v>
      </c>
      <c r="B73" s="1637"/>
      <c r="C73" s="1637"/>
      <c r="D73" s="549"/>
      <c r="E73" s="549">
        <f>SUM(E74:E74)</f>
        <v>4055</v>
      </c>
      <c r="F73" s="549">
        <f>SUM(F74:F74)</f>
        <v>0</v>
      </c>
      <c r="G73" s="549">
        <f>SUM(G74:G74)</f>
        <v>4055</v>
      </c>
      <c r="H73" s="549"/>
      <c r="I73" s="556" t="s">
        <v>421</v>
      </c>
    </row>
    <row r="74" spans="1:9" x14ac:dyDescent="0.25">
      <c r="A74" s="562">
        <v>2</v>
      </c>
      <c r="B74" s="1638" t="s">
        <v>422</v>
      </c>
      <c r="C74" s="1638"/>
      <c r="D74" s="553">
        <v>5250</v>
      </c>
      <c r="E74" s="554">
        <v>4055</v>
      </c>
      <c r="F74" s="554"/>
      <c r="G74" s="554">
        <f>E74+F74</f>
        <v>4055</v>
      </c>
      <c r="H74" s="554"/>
      <c r="I74" s="556"/>
    </row>
    <row r="75" spans="1:9" x14ac:dyDescent="0.25">
      <c r="A75" s="563"/>
      <c r="B75" s="559"/>
      <c r="C75" s="559"/>
      <c r="D75" s="560"/>
      <c r="E75" s="561"/>
      <c r="F75" s="561"/>
      <c r="G75" s="561"/>
      <c r="H75" s="561"/>
      <c r="I75" s="558"/>
    </row>
    <row r="76" spans="1:9" x14ac:dyDescent="0.25">
      <c r="A76" s="1632" t="s">
        <v>360</v>
      </c>
      <c r="B76" s="1632"/>
      <c r="C76" s="1632" t="s">
        <v>423</v>
      </c>
      <c r="D76" s="1632"/>
      <c r="E76" s="1632"/>
      <c r="F76" s="1632"/>
      <c r="G76" s="1632"/>
      <c r="H76" s="1632"/>
      <c r="I76" s="1632"/>
    </row>
    <row r="77" spans="1:9" x14ac:dyDescent="0.25">
      <c r="A77" s="1632" t="s">
        <v>362</v>
      </c>
      <c r="B77" s="1632"/>
      <c r="C77" s="1635" t="s">
        <v>424</v>
      </c>
      <c r="D77" s="1635"/>
      <c r="E77" s="1635"/>
      <c r="F77" s="1635"/>
      <c r="G77" s="1635"/>
      <c r="H77" s="1635"/>
      <c r="I77" s="1635"/>
    </row>
    <row r="78" spans="1:9" ht="48" x14ac:dyDescent="0.25">
      <c r="A78" s="546" t="s">
        <v>364</v>
      </c>
      <c r="B78" s="1636" t="s">
        <v>365</v>
      </c>
      <c r="C78" s="1636"/>
      <c r="D78" s="546" t="s">
        <v>366</v>
      </c>
      <c r="E78" s="547" t="s">
        <v>367</v>
      </c>
      <c r="F78" s="548" t="s">
        <v>368</v>
      </c>
      <c r="G78" s="548" t="s">
        <v>369</v>
      </c>
      <c r="H78" s="547" t="s">
        <v>26</v>
      </c>
      <c r="I78" s="546" t="s">
        <v>370</v>
      </c>
    </row>
    <row r="79" spans="1:9" x14ac:dyDescent="0.25">
      <c r="A79" s="1637" t="s">
        <v>371</v>
      </c>
      <c r="B79" s="1637"/>
      <c r="C79" s="1637"/>
      <c r="D79" s="549"/>
      <c r="E79" s="549">
        <f>SUM(E80:E80)</f>
        <v>31588</v>
      </c>
      <c r="F79" s="549">
        <f>SUM(F80:F80)</f>
        <v>0</v>
      </c>
      <c r="G79" s="549">
        <f>SUM(G80:G80)</f>
        <v>31588</v>
      </c>
      <c r="H79" s="549"/>
      <c r="I79" s="580"/>
    </row>
    <row r="80" spans="1:9" x14ac:dyDescent="0.25">
      <c r="A80" s="562">
        <v>1</v>
      </c>
      <c r="B80" s="1655" t="s">
        <v>425</v>
      </c>
      <c r="C80" s="1656"/>
      <c r="D80" s="553">
        <v>5240</v>
      </c>
      <c r="E80" s="554">
        <f>57700-26112</f>
        <v>31588</v>
      </c>
      <c r="F80" s="557"/>
      <c r="G80" s="554">
        <f>E80+F80</f>
        <v>31588</v>
      </c>
      <c r="H80" s="565"/>
      <c r="I80" s="556" t="s">
        <v>394</v>
      </c>
    </row>
    <row r="81" spans="1:9" x14ac:dyDescent="0.25">
      <c r="A81" s="563"/>
      <c r="B81" s="581"/>
      <c r="C81" s="581"/>
      <c r="D81" s="560"/>
      <c r="E81" s="561"/>
      <c r="F81" s="561"/>
      <c r="G81" s="561"/>
      <c r="H81" s="561"/>
      <c r="I81" s="558"/>
    </row>
    <row r="82" spans="1:9" x14ac:dyDescent="0.25">
      <c r="A82" s="1632" t="s">
        <v>360</v>
      </c>
      <c r="B82" s="1632"/>
      <c r="C82" s="1632" t="s">
        <v>426</v>
      </c>
      <c r="D82" s="1632"/>
      <c r="E82" s="1632"/>
      <c r="F82" s="1632"/>
      <c r="G82" s="1632"/>
      <c r="H82" s="1632"/>
      <c r="I82" s="1632"/>
    </row>
    <row r="83" spans="1:9" x14ac:dyDescent="0.25">
      <c r="A83" s="1632" t="s">
        <v>362</v>
      </c>
      <c r="B83" s="1632"/>
      <c r="C83" s="1635" t="s">
        <v>427</v>
      </c>
      <c r="D83" s="1635"/>
      <c r="E83" s="1635"/>
      <c r="F83" s="1635"/>
      <c r="G83" s="1635"/>
      <c r="H83" s="1635"/>
      <c r="I83" s="1635"/>
    </row>
    <row r="84" spans="1:9" ht="48" x14ac:dyDescent="0.25">
      <c r="A84" s="546" t="s">
        <v>364</v>
      </c>
      <c r="B84" s="1636" t="s">
        <v>365</v>
      </c>
      <c r="C84" s="1636"/>
      <c r="D84" s="546" t="s">
        <v>366</v>
      </c>
      <c r="E84" s="547" t="s">
        <v>367</v>
      </c>
      <c r="F84" s="548" t="s">
        <v>368</v>
      </c>
      <c r="G84" s="548" t="s">
        <v>369</v>
      </c>
      <c r="H84" s="547" t="s">
        <v>26</v>
      </c>
      <c r="I84" s="546" t="s">
        <v>370</v>
      </c>
    </row>
    <row r="85" spans="1:9" x14ac:dyDescent="0.25">
      <c r="A85" s="1637" t="s">
        <v>371</v>
      </c>
      <c r="B85" s="1637"/>
      <c r="C85" s="1637"/>
      <c r="D85" s="549"/>
      <c r="E85" s="549">
        <f>SUM(E86:E88)</f>
        <v>38535</v>
      </c>
      <c r="F85" s="549">
        <f>SUM(F86:F88)</f>
        <v>0</v>
      </c>
      <c r="G85" s="549">
        <f>SUM(G86:G88)</f>
        <v>38535</v>
      </c>
      <c r="H85" s="549"/>
      <c r="I85" s="556" t="s">
        <v>428</v>
      </c>
    </row>
    <row r="86" spans="1:9" ht="24" customHeight="1" x14ac:dyDescent="0.25">
      <c r="A86" s="562">
        <v>1</v>
      </c>
      <c r="B86" s="1638" t="s">
        <v>429</v>
      </c>
      <c r="C86" s="1638"/>
      <c r="D86" s="553">
        <v>5240</v>
      </c>
      <c r="E86" s="554">
        <f>77300-77300</f>
        <v>0</v>
      </c>
      <c r="F86" s="554"/>
      <c r="G86" s="554">
        <f>E86+F86</f>
        <v>0</v>
      </c>
      <c r="H86" s="554"/>
      <c r="I86" s="554"/>
    </row>
    <row r="87" spans="1:9" x14ac:dyDescent="0.25">
      <c r="A87" s="564">
        <v>2</v>
      </c>
      <c r="B87" s="1645" t="s">
        <v>430</v>
      </c>
      <c r="C87" s="1646"/>
      <c r="D87" s="553">
        <v>5250</v>
      </c>
      <c r="E87" s="554">
        <f>52200-48900</f>
        <v>3300</v>
      </c>
      <c r="F87" s="557"/>
      <c r="G87" s="554">
        <f>E87+F87</f>
        <v>3300</v>
      </c>
      <c r="H87" s="565"/>
      <c r="I87" s="554"/>
    </row>
    <row r="88" spans="1:9" x14ac:dyDescent="0.25">
      <c r="A88" s="562">
        <v>3</v>
      </c>
      <c r="B88" s="1638" t="s">
        <v>431</v>
      </c>
      <c r="C88" s="1638"/>
      <c r="D88" s="553">
        <v>5250</v>
      </c>
      <c r="E88" s="554">
        <f>36510-1275</f>
        <v>35235</v>
      </c>
      <c r="F88" s="557"/>
      <c r="G88" s="554">
        <f>E88+F88</f>
        <v>35235</v>
      </c>
      <c r="H88" s="554"/>
      <c r="I88" s="554"/>
    </row>
    <row r="89" spans="1:9" x14ac:dyDescent="0.25">
      <c r="A89" s="563"/>
      <c r="B89" s="559"/>
      <c r="C89" s="559"/>
      <c r="D89" s="560"/>
      <c r="E89" s="561"/>
      <c r="F89" s="561"/>
      <c r="G89" s="561"/>
      <c r="H89" s="561"/>
      <c r="I89" s="561"/>
    </row>
    <row r="90" spans="1:9" x14ac:dyDescent="0.25">
      <c r="A90" s="1632" t="s">
        <v>360</v>
      </c>
      <c r="B90" s="1632"/>
      <c r="C90" s="1632" t="s">
        <v>432</v>
      </c>
      <c r="D90" s="1632"/>
      <c r="E90" s="1632"/>
      <c r="F90" s="1632"/>
      <c r="G90" s="1632"/>
      <c r="H90" s="1632"/>
      <c r="I90" s="1632"/>
    </row>
    <row r="91" spans="1:9" x14ac:dyDescent="0.25">
      <c r="A91" s="1632" t="s">
        <v>362</v>
      </c>
      <c r="B91" s="1632"/>
      <c r="C91" s="1635" t="s">
        <v>433</v>
      </c>
      <c r="D91" s="1635"/>
      <c r="E91" s="1635"/>
      <c r="F91" s="1635"/>
      <c r="G91" s="1635"/>
      <c r="H91" s="1635"/>
      <c r="I91" s="1635"/>
    </row>
    <row r="92" spans="1:9" ht="48" x14ac:dyDescent="0.25">
      <c r="A92" s="546" t="s">
        <v>364</v>
      </c>
      <c r="B92" s="1658" t="s">
        <v>365</v>
      </c>
      <c r="C92" s="1659"/>
      <c r="D92" s="546" t="s">
        <v>366</v>
      </c>
      <c r="E92" s="547" t="s">
        <v>367</v>
      </c>
      <c r="F92" s="548" t="s">
        <v>368</v>
      </c>
      <c r="G92" s="548" t="s">
        <v>369</v>
      </c>
      <c r="H92" s="547" t="s">
        <v>26</v>
      </c>
      <c r="I92" s="546" t="s">
        <v>370</v>
      </c>
    </row>
    <row r="93" spans="1:9" x14ac:dyDescent="0.25">
      <c r="A93" s="1660" t="s">
        <v>371</v>
      </c>
      <c r="B93" s="1661"/>
      <c r="C93" s="1662"/>
      <c r="D93" s="549"/>
      <c r="E93" s="549">
        <f>SUM(E94:E97)</f>
        <v>619677</v>
      </c>
      <c r="F93" s="549">
        <f>SUM(F94:F97)</f>
        <v>0</v>
      </c>
      <c r="G93" s="549">
        <f>SUM(G94:G97)</f>
        <v>619677</v>
      </c>
      <c r="H93" s="549"/>
      <c r="I93" s="556" t="s">
        <v>390</v>
      </c>
    </row>
    <row r="94" spans="1:9" ht="27.75" customHeight="1" x14ac:dyDescent="0.25">
      <c r="A94" s="562">
        <v>1</v>
      </c>
      <c r="B94" s="1640" t="s">
        <v>434</v>
      </c>
      <c r="C94" s="1641"/>
      <c r="D94" s="553">
        <v>5250</v>
      </c>
      <c r="E94" s="554">
        <v>579191</v>
      </c>
      <c r="F94" s="557"/>
      <c r="G94" s="554">
        <f>E94+F94</f>
        <v>579191</v>
      </c>
      <c r="H94" s="582"/>
      <c r="I94" s="554"/>
    </row>
    <row r="95" spans="1:9" x14ac:dyDescent="0.25">
      <c r="A95" s="1642">
        <v>2</v>
      </c>
      <c r="B95" s="1645" t="s">
        <v>435</v>
      </c>
      <c r="C95" s="1646"/>
      <c r="D95" s="553">
        <v>5250</v>
      </c>
      <c r="E95" s="554">
        <v>34430</v>
      </c>
      <c r="F95" s="557"/>
      <c r="G95" s="554">
        <f>E95+F95</f>
        <v>34430</v>
      </c>
      <c r="H95" s="554"/>
      <c r="I95" s="554"/>
    </row>
    <row r="96" spans="1:9" x14ac:dyDescent="0.25">
      <c r="A96" s="1644"/>
      <c r="B96" s="1649"/>
      <c r="C96" s="1650"/>
      <c r="D96" s="553">
        <v>2241</v>
      </c>
      <c r="E96" s="554">
        <v>0</v>
      </c>
      <c r="F96" s="557"/>
      <c r="G96" s="554">
        <f>E96+F96</f>
        <v>0</v>
      </c>
      <c r="H96" s="565"/>
      <c r="I96" s="554"/>
    </row>
    <row r="97" spans="1:9" ht="15" customHeight="1" x14ac:dyDescent="0.25">
      <c r="A97" s="562">
        <v>3</v>
      </c>
      <c r="B97" s="1640" t="s">
        <v>436</v>
      </c>
      <c r="C97" s="1641"/>
      <c r="D97" s="553">
        <v>5250</v>
      </c>
      <c r="E97" s="554">
        <f>800+5256</f>
        <v>6056</v>
      </c>
      <c r="F97" s="557"/>
      <c r="G97" s="554">
        <f>E97+F97</f>
        <v>6056</v>
      </c>
      <c r="H97" s="583"/>
      <c r="I97" s="554"/>
    </row>
    <row r="98" spans="1:9" ht="15" customHeight="1" x14ac:dyDescent="0.25">
      <c r="A98" s="563"/>
      <c r="B98" s="559"/>
      <c r="C98" s="559"/>
      <c r="D98" s="560"/>
      <c r="E98" s="561"/>
      <c r="F98" s="561"/>
      <c r="G98" s="561"/>
      <c r="H98" s="561"/>
      <c r="I98" s="561"/>
    </row>
    <row r="99" spans="1:9" x14ac:dyDescent="0.25">
      <c r="A99" s="1632" t="s">
        <v>360</v>
      </c>
      <c r="B99" s="1632"/>
      <c r="C99" s="1632" t="s">
        <v>437</v>
      </c>
      <c r="D99" s="1632"/>
      <c r="E99" s="1632"/>
      <c r="F99" s="1632"/>
      <c r="G99" s="1632"/>
      <c r="H99" s="1632"/>
      <c r="I99" s="1632"/>
    </row>
    <row r="100" spans="1:9" x14ac:dyDescent="0.25">
      <c r="A100" s="1632" t="s">
        <v>362</v>
      </c>
      <c r="B100" s="1632"/>
      <c r="C100" s="1635" t="s">
        <v>438</v>
      </c>
      <c r="D100" s="1635"/>
      <c r="E100" s="1635"/>
      <c r="F100" s="1635"/>
      <c r="G100" s="1635"/>
      <c r="H100" s="1635"/>
      <c r="I100" s="1635"/>
    </row>
    <row r="101" spans="1:9" ht="48" x14ac:dyDescent="0.25">
      <c r="A101" s="546" t="s">
        <v>364</v>
      </c>
      <c r="B101" s="1658" t="s">
        <v>365</v>
      </c>
      <c r="C101" s="1659"/>
      <c r="D101" s="546" t="s">
        <v>366</v>
      </c>
      <c r="E101" s="547" t="s">
        <v>367</v>
      </c>
      <c r="F101" s="548" t="s">
        <v>368</v>
      </c>
      <c r="G101" s="548" t="s">
        <v>369</v>
      </c>
      <c r="H101" s="547" t="s">
        <v>26</v>
      </c>
      <c r="I101" s="546" t="s">
        <v>370</v>
      </c>
    </row>
    <row r="102" spans="1:9" x14ac:dyDescent="0.25">
      <c r="A102" s="1660" t="s">
        <v>371</v>
      </c>
      <c r="B102" s="1661"/>
      <c r="C102" s="1662"/>
      <c r="D102" s="549"/>
      <c r="E102" s="549">
        <f>SUM(E103:E117)</f>
        <v>556443</v>
      </c>
      <c r="F102" s="550">
        <f>SUM(F103:F117)</f>
        <v>0</v>
      </c>
      <c r="G102" s="549">
        <f>SUM(G103:G117)</f>
        <v>556443</v>
      </c>
      <c r="H102" s="549"/>
      <c r="I102" s="556" t="s">
        <v>439</v>
      </c>
    </row>
    <row r="103" spans="1:9" x14ac:dyDescent="0.25">
      <c r="A103" s="584">
        <v>1</v>
      </c>
      <c r="B103" s="1640" t="s">
        <v>440</v>
      </c>
      <c r="C103" s="1641"/>
      <c r="D103" s="553">
        <v>2241</v>
      </c>
      <c r="E103" s="585">
        <f>48979+8000+10000</f>
        <v>66979</v>
      </c>
      <c r="F103" s="586"/>
      <c r="G103" s="585">
        <f t="shared" ref="G103:G117" si="1">E103+F103</f>
        <v>66979</v>
      </c>
      <c r="H103" s="585"/>
      <c r="I103" s="549"/>
    </row>
    <row r="104" spans="1:9" ht="24.75" customHeight="1" x14ac:dyDescent="0.25">
      <c r="A104" s="587">
        <v>2</v>
      </c>
      <c r="B104" s="1645" t="s">
        <v>441</v>
      </c>
      <c r="C104" s="1646"/>
      <c r="D104" s="553">
        <v>5250</v>
      </c>
      <c r="E104" s="585">
        <v>0</v>
      </c>
      <c r="F104" s="586"/>
      <c r="G104" s="585">
        <f t="shared" si="1"/>
        <v>0</v>
      </c>
      <c r="H104" s="585"/>
      <c r="I104" s="549"/>
    </row>
    <row r="105" spans="1:9" ht="15" customHeight="1" x14ac:dyDescent="0.25">
      <c r="A105" s="1663">
        <v>3</v>
      </c>
      <c r="B105" s="1645" t="s">
        <v>442</v>
      </c>
      <c r="C105" s="1646"/>
      <c r="D105" s="553">
        <v>5250</v>
      </c>
      <c r="E105" s="585">
        <v>20233</v>
      </c>
      <c r="F105" s="586"/>
      <c r="G105" s="585">
        <f t="shared" si="1"/>
        <v>20233</v>
      </c>
      <c r="H105" s="585"/>
      <c r="I105" s="549"/>
    </row>
    <row r="106" spans="1:9" x14ac:dyDescent="0.25">
      <c r="A106" s="1664"/>
      <c r="B106" s="1649"/>
      <c r="C106" s="1650"/>
      <c r="D106" s="553">
        <v>2279</v>
      </c>
      <c r="E106" s="585">
        <v>167</v>
      </c>
      <c r="F106" s="586"/>
      <c r="G106" s="585">
        <f t="shared" si="1"/>
        <v>167</v>
      </c>
      <c r="H106" s="585"/>
      <c r="I106" s="549"/>
    </row>
    <row r="107" spans="1:9" x14ac:dyDescent="0.25">
      <c r="A107" s="587">
        <v>4</v>
      </c>
      <c r="B107" s="1638" t="s">
        <v>443</v>
      </c>
      <c r="C107" s="1638"/>
      <c r="D107" s="553">
        <v>5250</v>
      </c>
      <c r="E107" s="585">
        <v>1609</v>
      </c>
      <c r="F107" s="586"/>
      <c r="G107" s="585">
        <f t="shared" si="1"/>
        <v>1609</v>
      </c>
      <c r="H107" s="585"/>
      <c r="I107" s="549"/>
    </row>
    <row r="108" spans="1:9" x14ac:dyDescent="0.25">
      <c r="A108" s="587">
        <v>5</v>
      </c>
      <c r="B108" s="1638" t="s">
        <v>444</v>
      </c>
      <c r="C108" s="1638"/>
      <c r="D108" s="553">
        <v>5250</v>
      </c>
      <c r="E108" s="585">
        <f>26005-958</f>
        <v>25047</v>
      </c>
      <c r="F108" s="586"/>
      <c r="G108" s="585">
        <f t="shared" si="1"/>
        <v>25047</v>
      </c>
      <c r="H108" s="583"/>
      <c r="I108" s="549"/>
    </row>
    <row r="109" spans="1:9" x14ac:dyDescent="0.25">
      <c r="A109" s="587">
        <v>6</v>
      </c>
      <c r="B109" s="1638" t="s">
        <v>445</v>
      </c>
      <c r="C109" s="1638"/>
      <c r="D109" s="553">
        <v>5250</v>
      </c>
      <c r="E109" s="585">
        <v>0</v>
      </c>
      <c r="F109" s="586"/>
      <c r="G109" s="585">
        <f t="shared" si="1"/>
        <v>0</v>
      </c>
      <c r="H109" s="583"/>
      <c r="I109" s="549"/>
    </row>
    <row r="110" spans="1:9" x14ac:dyDescent="0.25">
      <c r="A110" s="587">
        <v>7</v>
      </c>
      <c r="B110" s="1638" t="s">
        <v>446</v>
      </c>
      <c r="C110" s="1638"/>
      <c r="D110" s="553">
        <v>5250</v>
      </c>
      <c r="E110" s="585">
        <v>0</v>
      </c>
      <c r="F110" s="586"/>
      <c r="G110" s="585">
        <f t="shared" si="1"/>
        <v>0</v>
      </c>
      <c r="H110" s="583"/>
      <c r="I110" s="549"/>
    </row>
    <row r="111" spans="1:9" x14ac:dyDescent="0.25">
      <c r="A111" s="587">
        <v>8</v>
      </c>
      <c r="B111" s="1638" t="s">
        <v>447</v>
      </c>
      <c r="C111" s="1638"/>
      <c r="D111" s="553">
        <v>5250</v>
      </c>
      <c r="E111" s="585">
        <f>79725-14</f>
        <v>79711</v>
      </c>
      <c r="F111" s="586"/>
      <c r="G111" s="585">
        <f t="shared" si="1"/>
        <v>79711</v>
      </c>
      <c r="I111" s="549"/>
    </row>
    <row r="112" spans="1:9" x14ac:dyDescent="0.25">
      <c r="A112" s="587">
        <v>9</v>
      </c>
      <c r="B112" s="1638" t="s">
        <v>448</v>
      </c>
      <c r="C112" s="1638"/>
      <c r="D112" s="553">
        <v>5250</v>
      </c>
      <c r="E112" s="585">
        <f>13663-10</f>
        <v>13653</v>
      </c>
      <c r="F112" s="586"/>
      <c r="G112" s="585">
        <f t="shared" si="1"/>
        <v>13653</v>
      </c>
      <c r="H112" s="583"/>
      <c r="I112" s="549"/>
    </row>
    <row r="113" spans="1:9" x14ac:dyDescent="0.25">
      <c r="A113" s="587">
        <v>10</v>
      </c>
      <c r="B113" s="1638" t="s">
        <v>449</v>
      </c>
      <c r="C113" s="1638"/>
      <c r="D113" s="553">
        <v>5250</v>
      </c>
      <c r="E113" s="585">
        <v>35206</v>
      </c>
      <c r="F113" s="586"/>
      <c r="G113" s="585">
        <f t="shared" si="1"/>
        <v>35206</v>
      </c>
      <c r="H113" s="585"/>
      <c r="I113" s="549"/>
    </row>
    <row r="114" spans="1:9" x14ac:dyDescent="0.25">
      <c r="A114" s="587">
        <v>11</v>
      </c>
      <c r="B114" s="1638" t="s">
        <v>450</v>
      </c>
      <c r="C114" s="1638"/>
      <c r="D114" s="553">
        <v>5250</v>
      </c>
      <c r="E114" s="585">
        <f>37225-11</f>
        <v>37214</v>
      </c>
      <c r="F114" s="586"/>
      <c r="G114" s="585">
        <f t="shared" si="1"/>
        <v>37214</v>
      </c>
      <c r="H114" s="583"/>
      <c r="I114" s="549"/>
    </row>
    <row r="115" spans="1:9" x14ac:dyDescent="0.25">
      <c r="A115" s="587">
        <v>12</v>
      </c>
      <c r="B115" s="1638" t="s">
        <v>451</v>
      </c>
      <c r="C115" s="1638"/>
      <c r="D115" s="553">
        <v>5250</v>
      </c>
      <c r="E115" s="585">
        <v>0</v>
      </c>
      <c r="F115" s="586"/>
      <c r="G115" s="585">
        <f t="shared" si="1"/>
        <v>0</v>
      </c>
      <c r="H115" s="583"/>
      <c r="I115" s="549"/>
    </row>
    <row r="116" spans="1:9" x14ac:dyDescent="0.25">
      <c r="A116" s="587">
        <v>13</v>
      </c>
      <c r="B116" s="1645" t="s">
        <v>452</v>
      </c>
      <c r="C116" s="1646"/>
      <c r="D116" s="553">
        <v>5250</v>
      </c>
      <c r="E116" s="585">
        <v>8293</v>
      </c>
      <c r="F116" s="586"/>
      <c r="G116" s="585">
        <f t="shared" si="1"/>
        <v>8293</v>
      </c>
      <c r="H116" s="585"/>
      <c r="I116" s="549"/>
    </row>
    <row r="117" spans="1:9" ht="28.5" customHeight="1" x14ac:dyDescent="0.25">
      <c r="A117" s="589">
        <v>14</v>
      </c>
      <c r="B117" s="1655" t="s">
        <v>453</v>
      </c>
      <c r="C117" s="1656"/>
      <c r="D117" s="578">
        <v>5250</v>
      </c>
      <c r="E117" s="590">
        <f>139932+128399</f>
        <v>268331</v>
      </c>
      <c r="F117" s="586"/>
      <c r="G117" s="590">
        <f t="shared" si="1"/>
        <v>268331</v>
      </c>
      <c r="H117" s="590"/>
      <c r="I117" s="550"/>
    </row>
    <row r="118" spans="1:9" x14ac:dyDescent="0.25">
      <c r="A118" s="591"/>
      <c r="B118" s="581"/>
      <c r="C118" s="581"/>
      <c r="D118" s="592"/>
      <c r="E118" s="593"/>
      <c r="F118" s="594"/>
      <c r="G118" s="593"/>
      <c r="H118" s="593"/>
      <c r="I118" s="594"/>
    </row>
    <row r="119" spans="1:9" x14ac:dyDescent="0.25">
      <c r="A119" s="1632" t="s">
        <v>360</v>
      </c>
      <c r="B119" s="1632"/>
      <c r="C119" s="542" t="s">
        <v>454</v>
      </c>
      <c r="D119" s="542"/>
      <c r="E119" s="542"/>
      <c r="F119" s="542"/>
      <c r="G119" s="542"/>
      <c r="H119" s="542"/>
      <c r="I119" s="542"/>
    </row>
    <row r="120" spans="1:9" x14ac:dyDescent="0.25">
      <c r="A120" s="1632" t="s">
        <v>362</v>
      </c>
      <c r="B120" s="1632"/>
      <c r="C120" s="1635" t="s">
        <v>455</v>
      </c>
      <c r="D120" s="1635"/>
      <c r="E120" s="1635"/>
      <c r="F120" s="1635"/>
      <c r="G120" s="1635"/>
      <c r="H120" s="1635"/>
      <c r="I120" s="1635"/>
    </row>
    <row r="121" spans="1:9" ht="48" x14ac:dyDescent="0.25">
      <c r="A121" s="546" t="s">
        <v>364</v>
      </c>
      <c r="B121" s="1636" t="s">
        <v>365</v>
      </c>
      <c r="C121" s="1636"/>
      <c r="D121" s="546" t="s">
        <v>366</v>
      </c>
      <c r="E121" s="547" t="s">
        <v>367</v>
      </c>
      <c r="F121" s="548" t="s">
        <v>368</v>
      </c>
      <c r="G121" s="548" t="s">
        <v>369</v>
      </c>
      <c r="H121" s="547" t="s">
        <v>26</v>
      </c>
      <c r="I121" s="546" t="s">
        <v>370</v>
      </c>
    </row>
    <row r="122" spans="1:9" x14ac:dyDescent="0.25">
      <c r="A122" s="1637" t="s">
        <v>371</v>
      </c>
      <c r="B122" s="1637"/>
      <c r="C122" s="1637"/>
      <c r="D122" s="549"/>
      <c r="E122" s="549">
        <f>SUM(E123:E146)</f>
        <v>2891245</v>
      </c>
      <c r="F122" s="550">
        <f>SUM(F123:F146)</f>
        <v>0</v>
      </c>
      <c r="G122" s="549">
        <f>SUM(G123:G146)</f>
        <v>2891245</v>
      </c>
      <c r="H122" s="549"/>
      <c r="I122" s="556" t="s">
        <v>456</v>
      </c>
    </row>
    <row r="123" spans="1:9" x14ac:dyDescent="0.25">
      <c r="A123" s="562">
        <v>1</v>
      </c>
      <c r="B123" s="1638" t="s">
        <v>440</v>
      </c>
      <c r="C123" s="1638"/>
      <c r="D123" s="553">
        <v>2241</v>
      </c>
      <c r="E123" s="554">
        <f>62245+8000+30000</f>
        <v>100245</v>
      </c>
      <c r="F123" s="555"/>
      <c r="G123" s="554">
        <f t="shared" ref="G123:G146" si="2">E123+F123</f>
        <v>100245</v>
      </c>
      <c r="H123" s="585"/>
      <c r="I123" s="554"/>
    </row>
    <row r="124" spans="1:9" ht="25.5" customHeight="1" x14ac:dyDescent="0.25">
      <c r="A124" s="587">
        <v>2</v>
      </c>
      <c r="B124" s="1645" t="s">
        <v>457</v>
      </c>
      <c r="C124" s="1646"/>
      <c r="D124" s="553">
        <v>5250</v>
      </c>
      <c r="E124" s="585">
        <v>0</v>
      </c>
      <c r="F124" s="586"/>
      <c r="G124" s="585">
        <f t="shared" si="2"/>
        <v>0</v>
      </c>
      <c r="H124" s="585"/>
      <c r="I124" s="549"/>
    </row>
    <row r="125" spans="1:9" ht="15" customHeight="1" x14ac:dyDescent="0.25">
      <c r="A125" s="1663">
        <v>3</v>
      </c>
      <c r="B125" s="1645" t="s">
        <v>458</v>
      </c>
      <c r="C125" s="1646"/>
      <c r="D125" s="553">
        <v>5250</v>
      </c>
      <c r="E125" s="585">
        <v>39072</v>
      </c>
      <c r="F125" s="586"/>
      <c r="G125" s="585">
        <f t="shared" si="2"/>
        <v>39072</v>
      </c>
      <c r="H125" s="585"/>
      <c r="I125" s="549"/>
    </row>
    <row r="126" spans="1:9" x14ac:dyDescent="0.25">
      <c r="A126" s="1664"/>
      <c r="B126" s="1649"/>
      <c r="C126" s="1650"/>
      <c r="D126" s="553">
        <v>2279</v>
      </c>
      <c r="E126" s="585">
        <v>378</v>
      </c>
      <c r="F126" s="586"/>
      <c r="G126" s="585">
        <f t="shared" si="2"/>
        <v>378</v>
      </c>
      <c r="H126" s="585"/>
      <c r="I126" s="549"/>
    </row>
    <row r="127" spans="1:9" x14ac:dyDescent="0.25">
      <c r="A127" s="587">
        <v>4</v>
      </c>
      <c r="B127" s="1645" t="s">
        <v>459</v>
      </c>
      <c r="C127" s="1646"/>
      <c r="D127" s="553">
        <v>5250</v>
      </c>
      <c r="E127" s="585">
        <f>19509+11801</f>
        <v>31310</v>
      </c>
      <c r="F127" s="586"/>
      <c r="G127" s="585">
        <f t="shared" si="2"/>
        <v>31310</v>
      </c>
      <c r="H127" s="583"/>
      <c r="I127" s="549"/>
    </row>
    <row r="128" spans="1:9" x14ac:dyDescent="0.25">
      <c r="A128" s="587">
        <v>5</v>
      </c>
      <c r="B128" s="1645" t="s">
        <v>460</v>
      </c>
      <c r="C128" s="1646"/>
      <c r="D128" s="553">
        <v>5250</v>
      </c>
      <c r="E128" s="585">
        <v>16784</v>
      </c>
      <c r="F128" s="586"/>
      <c r="G128" s="585">
        <f t="shared" si="2"/>
        <v>16784</v>
      </c>
      <c r="H128" s="585"/>
      <c r="I128" s="549"/>
    </row>
    <row r="129" spans="1:9" x14ac:dyDescent="0.25">
      <c r="A129" s="587">
        <v>6</v>
      </c>
      <c r="B129" s="1645" t="s">
        <v>461</v>
      </c>
      <c r="C129" s="1646"/>
      <c r="D129" s="553">
        <v>5250</v>
      </c>
      <c r="E129" s="585">
        <v>41376</v>
      </c>
      <c r="F129" s="586"/>
      <c r="G129" s="585">
        <f t="shared" si="2"/>
        <v>41376</v>
      </c>
      <c r="H129" s="585"/>
      <c r="I129" s="549"/>
    </row>
    <row r="130" spans="1:9" x14ac:dyDescent="0.25">
      <c r="A130" s="587">
        <v>7</v>
      </c>
      <c r="B130" s="1645" t="s">
        <v>462</v>
      </c>
      <c r="C130" s="1646"/>
      <c r="D130" s="553">
        <v>5250</v>
      </c>
      <c r="E130" s="585">
        <v>32672</v>
      </c>
      <c r="F130" s="586"/>
      <c r="G130" s="585">
        <f t="shared" si="2"/>
        <v>32672</v>
      </c>
      <c r="H130" s="585"/>
      <c r="I130" s="549"/>
    </row>
    <row r="131" spans="1:9" x14ac:dyDescent="0.25">
      <c r="A131" s="587">
        <v>8</v>
      </c>
      <c r="B131" s="1640" t="s">
        <v>463</v>
      </c>
      <c r="C131" s="1641"/>
      <c r="D131" s="553">
        <v>5250</v>
      </c>
      <c r="E131" s="585">
        <f>33545+7401</f>
        <v>40946</v>
      </c>
      <c r="F131" s="586"/>
      <c r="G131" s="585">
        <f t="shared" si="2"/>
        <v>40946</v>
      </c>
      <c r="H131" s="583"/>
      <c r="I131" s="549"/>
    </row>
    <row r="132" spans="1:9" x14ac:dyDescent="0.25">
      <c r="A132" s="587">
        <v>9</v>
      </c>
      <c r="B132" s="1640" t="s">
        <v>464</v>
      </c>
      <c r="C132" s="1641"/>
      <c r="D132" s="553">
        <v>5250</v>
      </c>
      <c r="E132" s="585">
        <f>55171-275</f>
        <v>54896</v>
      </c>
      <c r="F132" s="586">
        <v>3</v>
      </c>
      <c r="G132" s="585">
        <f t="shared" si="2"/>
        <v>54899</v>
      </c>
      <c r="H132" s="583"/>
      <c r="I132" s="549"/>
    </row>
    <row r="133" spans="1:9" x14ac:dyDescent="0.25">
      <c r="A133" s="587">
        <v>10</v>
      </c>
      <c r="B133" s="1640" t="s">
        <v>465</v>
      </c>
      <c r="C133" s="1641"/>
      <c r="D133" s="553">
        <v>5250</v>
      </c>
      <c r="E133" s="585">
        <f>16940-242</f>
        <v>16698</v>
      </c>
      <c r="F133" s="586"/>
      <c r="G133" s="585">
        <f t="shared" si="2"/>
        <v>16698</v>
      </c>
      <c r="H133" s="583"/>
      <c r="I133" s="549"/>
    </row>
    <row r="134" spans="1:9" x14ac:dyDescent="0.25">
      <c r="A134" s="587">
        <v>11</v>
      </c>
      <c r="B134" s="1640" t="s">
        <v>466</v>
      </c>
      <c r="C134" s="1641"/>
      <c r="D134" s="553">
        <v>5250</v>
      </c>
      <c r="E134" s="585">
        <v>28258</v>
      </c>
      <c r="F134" s="586"/>
      <c r="G134" s="585">
        <f t="shared" si="2"/>
        <v>28258</v>
      </c>
      <c r="H134" s="585"/>
      <c r="I134" s="549"/>
    </row>
    <row r="135" spans="1:9" x14ac:dyDescent="0.25">
      <c r="A135" s="587">
        <v>12</v>
      </c>
      <c r="B135" s="1640" t="s">
        <v>467</v>
      </c>
      <c r="C135" s="1641"/>
      <c r="D135" s="553">
        <v>5250</v>
      </c>
      <c r="E135" s="585">
        <f>5000-3</f>
        <v>4997</v>
      </c>
      <c r="F135" s="586"/>
      <c r="G135" s="585">
        <f t="shared" si="2"/>
        <v>4997</v>
      </c>
      <c r="H135" s="583"/>
      <c r="I135" s="549"/>
    </row>
    <row r="136" spans="1:9" x14ac:dyDescent="0.25">
      <c r="A136" s="587">
        <v>13</v>
      </c>
      <c r="B136" s="1640" t="s">
        <v>468</v>
      </c>
      <c r="C136" s="1641"/>
      <c r="D136" s="553">
        <v>5250</v>
      </c>
      <c r="E136" s="585">
        <f>53682+9967</f>
        <v>63649</v>
      </c>
      <c r="F136" s="586"/>
      <c r="G136" s="585">
        <f t="shared" si="2"/>
        <v>63649</v>
      </c>
      <c r="H136" s="583"/>
      <c r="I136" s="549"/>
    </row>
    <row r="137" spans="1:9" x14ac:dyDescent="0.25">
      <c r="A137" s="587">
        <v>14</v>
      </c>
      <c r="B137" s="1640" t="s">
        <v>469</v>
      </c>
      <c r="C137" s="1641"/>
      <c r="D137" s="553">
        <v>5250</v>
      </c>
      <c r="E137" s="585">
        <f>38243+14706-11</f>
        <v>52938</v>
      </c>
      <c r="F137" s="586"/>
      <c r="G137" s="585">
        <f t="shared" si="2"/>
        <v>52938</v>
      </c>
      <c r="H137" s="583"/>
      <c r="I137" s="549"/>
    </row>
    <row r="138" spans="1:9" ht="25.5" customHeight="1" x14ac:dyDescent="0.25">
      <c r="A138" s="587">
        <v>15</v>
      </c>
      <c r="B138" s="1655" t="s">
        <v>470</v>
      </c>
      <c r="C138" s="1656"/>
      <c r="D138" s="578">
        <v>5250</v>
      </c>
      <c r="E138" s="590">
        <f>24000-14706-7994</f>
        <v>1300</v>
      </c>
      <c r="F138" s="586"/>
      <c r="G138" s="590">
        <f t="shared" si="2"/>
        <v>1300</v>
      </c>
      <c r="H138" s="583"/>
      <c r="I138" s="550"/>
    </row>
    <row r="139" spans="1:9" ht="36.75" customHeight="1" x14ac:dyDescent="0.25">
      <c r="A139" s="587">
        <v>16</v>
      </c>
      <c r="B139" s="1638" t="s">
        <v>471</v>
      </c>
      <c r="C139" s="1638"/>
      <c r="D139" s="553">
        <v>5240</v>
      </c>
      <c r="E139" s="554">
        <f>1694+7321+500+3000+2140970-28630</f>
        <v>2124855</v>
      </c>
      <c r="F139" s="555"/>
      <c r="G139" s="554">
        <f t="shared" si="2"/>
        <v>2124855</v>
      </c>
      <c r="H139" s="554"/>
      <c r="I139" s="554"/>
    </row>
    <row r="140" spans="1:9" x14ac:dyDescent="0.25">
      <c r="A140" s="1665">
        <v>17</v>
      </c>
      <c r="B140" s="1638" t="s">
        <v>472</v>
      </c>
      <c r="C140" s="1638"/>
      <c r="D140" s="595">
        <v>5240</v>
      </c>
      <c r="E140" s="565">
        <v>0</v>
      </c>
      <c r="F140" s="555"/>
      <c r="G140" s="554">
        <f t="shared" si="2"/>
        <v>0</v>
      </c>
      <c r="H140" s="554"/>
      <c r="I140" s="554"/>
    </row>
    <row r="141" spans="1:9" x14ac:dyDescent="0.25">
      <c r="A141" s="1665"/>
      <c r="B141" s="1638"/>
      <c r="C141" s="1638"/>
      <c r="D141" s="595">
        <v>2239</v>
      </c>
      <c r="E141" s="565">
        <f>630-133</f>
        <v>497</v>
      </c>
      <c r="F141" s="555"/>
      <c r="G141" s="554">
        <f t="shared" si="2"/>
        <v>497</v>
      </c>
      <c r="H141" s="554"/>
      <c r="I141" s="554"/>
    </row>
    <row r="142" spans="1:9" x14ac:dyDescent="0.25">
      <c r="A142" s="1665"/>
      <c r="B142" s="1666"/>
      <c r="C142" s="1666"/>
      <c r="D142" s="578">
        <v>5250</v>
      </c>
      <c r="E142" s="565">
        <v>0</v>
      </c>
      <c r="F142" s="555"/>
      <c r="G142" s="554">
        <f t="shared" si="2"/>
        <v>0</v>
      </c>
      <c r="H142" s="554"/>
      <c r="I142" s="554"/>
    </row>
    <row r="143" spans="1:9" ht="24.75" customHeight="1" x14ac:dyDescent="0.25">
      <c r="A143" s="562">
        <v>18</v>
      </c>
      <c r="B143" s="1638" t="s">
        <v>473</v>
      </c>
      <c r="C143" s="1638"/>
      <c r="D143" s="553">
        <v>5250</v>
      </c>
      <c r="E143" s="554">
        <v>63050</v>
      </c>
      <c r="F143" s="555">
        <v>-3</v>
      </c>
      <c r="G143" s="554">
        <f t="shared" si="2"/>
        <v>63047</v>
      </c>
      <c r="H143" s="583"/>
      <c r="I143" s="554"/>
    </row>
    <row r="144" spans="1:9" x14ac:dyDescent="0.25">
      <c r="A144" s="564">
        <v>19</v>
      </c>
      <c r="B144" s="1667" t="s">
        <v>474</v>
      </c>
      <c r="C144" s="1668"/>
      <c r="D144" s="553">
        <v>5250</v>
      </c>
      <c r="E144" s="554">
        <v>95496</v>
      </c>
      <c r="F144" s="555"/>
      <c r="G144" s="554">
        <f t="shared" si="2"/>
        <v>95496</v>
      </c>
      <c r="H144" s="585"/>
      <c r="I144" s="554"/>
    </row>
    <row r="145" spans="1:9" x14ac:dyDescent="0.25">
      <c r="A145" s="562">
        <v>20</v>
      </c>
      <c r="B145" s="1669" t="s">
        <v>475</v>
      </c>
      <c r="C145" s="1669"/>
      <c r="D145" s="553">
        <v>5250</v>
      </c>
      <c r="E145" s="554">
        <f>77849-27847</f>
        <v>50002</v>
      </c>
      <c r="F145" s="555"/>
      <c r="G145" s="554">
        <f t="shared" si="2"/>
        <v>50002</v>
      </c>
      <c r="H145" s="583"/>
      <c r="I145" s="554"/>
    </row>
    <row r="146" spans="1:9" x14ac:dyDescent="0.25">
      <c r="A146" s="596">
        <v>21</v>
      </c>
      <c r="B146" s="1669" t="s">
        <v>330</v>
      </c>
      <c r="C146" s="1669"/>
      <c r="D146" s="553">
        <v>5250</v>
      </c>
      <c r="E146" s="554">
        <f>49870-15506-2538</f>
        <v>31826</v>
      </c>
      <c r="F146" s="555"/>
      <c r="G146" s="554">
        <f t="shared" si="2"/>
        <v>31826</v>
      </c>
      <c r="H146" s="583"/>
      <c r="I146" s="554"/>
    </row>
    <row r="147" spans="1:9" x14ac:dyDescent="0.25">
      <c r="A147" s="597"/>
      <c r="B147" s="581"/>
      <c r="C147" s="581"/>
      <c r="D147" s="560"/>
      <c r="E147" s="561"/>
      <c r="F147" s="598"/>
      <c r="G147" s="561"/>
      <c r="H147" s="561"/>
      <c r="I147" s="561"/>
    </row>
    <row r="148" spans="1:9" x14ac:dyDescent="0.25">
      <c r="A148" s="1632" t="s">
        <v>360</v>
      </c>
      <c r="B148" s="1632"/>
      <c r="C148" s="542" t="s">
        <v>476</v>
      </c>
      <c r="D148" s="542"/>
      <c r="E148" s="542"/>
      <c r="F148" s="542"/>
      <c r="G148" s="542"/>
      <c r="H148" s="542"/>
      <c r="I148" s="542"/>
    </row>
    <row r="149" spans="1:9" x14ac:dyDescent="0.25">
      <c r="A149" s="1632" t="s">
        <v>362</v>
      </c>
      <c r="B149" s="1632"/>
      <c r="C149" s="1635" t="s">
        <v>477</v>
      </c>
      <c r="D149" s="1635"/>
      <c r="E149" s="1635"/>
      <c r="F149" s="1635"/>
      <c r="G149" s="1635"/>
      <c r="H149" s="1635"/>
      <c r="I149" s="1635"/>
    </row>
    <row r="150" spans="1:9" ht="48" x14ac:dyDescent="0.25">
      <c r="A150" s="546" t="s">
        <v>364</v>
      </c>
      <c r="B150" s="1636" t="s">
        <v>365</v>
      </c>
      <c r="C150" s="1636"/>
      <c r="D150" s="546" t="s">
        <v>366</v>
      </c>
      <c r="E150" s="547" t="s">
        <v>367</v>
      </c>
      <c r="F150" s="548" t="s">
        <v>368</v>
      </c>
      <c r="G150" s="548" t="s">
        <v>369</v>
      </c>
      <c r="H150" s="547" t="s">
        <v>26</v>
      </c>
      <c r="I150" s="546" t="s">
        <v>370</v>
      </c>
    </row>
    <row r="151" spans="1:9" x14ac:dyDescent="0.25">
      <c r="A151" s="1637" t="s">
        <v>371</v>
      </c>
      <c r="B151" s="1637"/>
      <c r="C151" s="1637"/>
      <c r="D151" s="549"/>
      <c r="E151" s="549">
        <f>SUM(E152:E158)</f>
        <v>146885</v>
      </c>
      <c r="F151" s="550">
        <f>SUM(F152:F158)</f>
        <v>0</v>
      </c>
      <c r="G151" s="549">
        <f>SUM(G152:G158)</f>
        <v>146885</v>
      </c>
      <c r="H151" s="549"/>
      <c r="I151" s="556" t="s">
        <v>478</v>
      </c>
    </row>
    <row r="152" spans="1:9" ht="37.5" customHeight="1" x14ac:dyDescent="0.25">
      <c r="A152" s="562">
        <v>1</v>
      </c>
      <c r="B152" s="1638" t="s">
        <v>479</v>
      </c>
      <c r="C152" s="1638"/>
      <c r="D152" s="553">
        <v>5250</v>
      </c>
      <c r="E152" s="554">
        <v>16392</v>
      </c>
      <c r="F152" s="555"/>
      <c r="G152" s="554">
        <f t="shared" ref="G152:G158" si="3">E152+F152</f>
        <v>16392</v>
      </c>
      <c r="H152" s="554"/>
      <c r="I152" s="554"/>
    </row>
    <row r="153" spans="1:9" x14ac:dyDescent="0.25">
      <c r="A153" s="562">
        <v>2</v>
      </c>
      <c r="B153" s="1638" t="s">
        <v>440</v>
      </c>
      <c r="C153" s="1638"/>
      <c r="D153" s="553">
        <v>2241</v>
      </c>
      <c r="E153" s="554">
        <v>8767</v>
      </c>
      <c r="F153" s="555"/>
      <c r="G153" s="554">
        <f t="shared" si="3"/>
        <v>8767</v>
      </c>
      <c r="H153" s="585"/>
      <c r="I153" s="554"/>
    </row>
    <row r="154" spans="1:9" x14ac:dyDescent="0.25">
      <c r="A154" s="562">
        <v>3</v>
      </c>
      <c r="B154" s="1638" t="s">
        <v>480</v>
      </c>
      <c r="C154" s="1638"/>
      <c r="D154" s="553">
        <v>5250</v>
      </c>
      <c r="E154" s="554">
        <v>0</v>
      </c>
      <c r="F154" s="555"/>
      <c r="G154" s="554">
        <f t="shared" si="3"/>
        <v>0</v>
      </c>
      <c r="H154" s="554"/>
      <c r="I154" s="554"/>
    </row>
    <row r="155" spans="1:9" x14ac:dyDescent="0.25">
      <c r="A155" s="564">
        <v>4</v>
      </c>
      <c r="B155" s="1640" t="s">
        <v>481</v>
      </c>
      <c r="C155" s="1641"/>
      <c r="D155" s="553">
        <v>5250</v>
      </c>
      <c r="E155" s="554">
        <f>39082+605</f>
        <v>39687</v>
      </c>
      <c r="F155" s="555"/>
      <c r="G155" s="554">
        <f t="shared" si="3"/>
        <v>39687</v>
      </c>
      <c r="H155" s="554"/>
      <c r="I155" s="554"/>
    </row>
    <row r="156" spans="1:9" x14ac:dyDescent="0.25">
      <c r="A156" s="599">
        <v>5</v>
      </c>
      <c r="B156" s="1645" t="s">
        <v>482</v>
      </c>
      <c r="C156" s="1646"/>
      <c r="D156" s="553">
        <v>5250</v>
      </c>
      <c r="E156" s="554">
        <v>73550</v>
      </c>
      <c r="F156" s="555"/>
      <c r="G156" s="554">
        <f t="shared" si="3"/>
        <v>73550</v>
      </c>
      <c r="H156" s="583"/>
      <c r="I156" s="554"/>
    </row>
    <row r="157" spans="1:9" x14ac:dyDescent="0.25">
      <c r="A157" s="596">
        <v>6</v>
      </c>
      <c r="B157" s="1638" t="s">
        <v>483</v>
      </c>
      <c r="C157" s="1638"/>
      <c r="D157" s="553">
        <v>5250</v>
      </c>
      <c r="E157" s="554">
        <f>8382+1</f>
        <v>8383</v>
      </c>
      <c r="F157" s="555"/>
      <c r="G157" s="554">
        <f t="shared" si="3"/>
        <v>8383</v>
      </c>
      <c r="H157" s="554"/>
      <c r="I157" s="554"/>
    </row>
    <row r="158" spans="1:9" x14ac:dyDescent="0.25">
      <c r="A158" s="596">
        <v>7</v>
      </c>
      <c r="B158" s="1638" t="s">
        <v>484</v>
      </c>
      <c r="C158" s="1638"/>
      <c r="D158" s="553">
        <v>2279</v>
      </c>
      <c r="E158" s="554">
        <v>106</v>
      </c>
      <c r="F158" s="555"/>
      <c r="G158" s="554">
        <f t="shared" si="3"/>
        <v>106</v>
      </c>
      <c r="H158" s="554"/>
      <c r="I158" s="554"/>
    </row>
    <row r="159" spans="1:9" x14ac:dyDescent="0.25">
      <c r="A159" s="597"/>
      <c r="B159" s="559"/>
      <c r="C159" s="559"/>
      <c r="D159" s="560"/>
      <c r="E159" s="561"/>
      <c r="F159" s="600"/>
      <c r="G159" s="561"/>
      <c r="H159" s="561"/>
      <c r="I159" s="561"/>
    </row>
    <row r="160" spans="1:9" x14ac:dyDescent="0.25">
      <c r="A160" s="1632" t="s">
        <v>360</v>
      </c>
      <c r="B160" s="1632"/>
      <c r="C160" s="542" t="s">
        <v>485</v>
      </c>
      <c r="D160" s="542"/>
      <c r="E160" s="542"/>
      <c r="F160" s="542"/>
      <c r="G160" s="542"/>
      <c r="H160" s="542"/>
      <c r="I160" s="542"/>
    </row>
    <row r="161" spans="1:9" x14ac:dyDescent="0.25">
      <c r="A161" s="1632" t="s">
        <v>362</v>
      </c>
      <c r="B161" s="1632"/>
      <c r="C161" s="1635" t="s">
        <v>486</v>
      </c>
      <c r="D161" s="1635"/>
      <c r="E161" s="1635"/>
      <c r="F161" s="1635"/>
      <c r="G161" s="1635"/>
      <c r="H161" s="1635"/>
      <c r="I161" s="1635"/>
    </row>
    <row r="162" spans="1:9" ht="48" x14ac:dyDescent="0.25">
      <c r="A162" s="546" t="s">
        <v>364</v>
      </c>
      <c r="B162" s="1636" t="s">
        <v>365</v>
      </c>
      <c r="C162" s="1636"/>
      <c r="D162" s="546" t="s">
        <v>366</v>
      </c>
      <c r="E162" s="547" t="s">
        <v>367</v>
      </c>
      <c r="F162" s="548" t="s">
        <v>368</v>
      </c>
      <c r="G162" s="548" t="s">
        <v>369</v>
      </c>
      <c r="H162" s="547" t="s">
        <v>26</v>
      </c>
      <c r="I162" s="546" t="s">
        <v>370</v>
      </c>
    </row>
    <row r="163" spans="1:9" x14ac:dyDescent="0.25">
      <c r="A163" s="1637" t="s">
        <v>371</v>
      </c>
      <c r="B163" s="1637"/>
      <c r="C163" s="1637"/>
      <c r="D163" s="549"/>
      <c r="E163" s="549">
        <f>SUM(E164:E164)</f>
        <v>4492</v>
      </c>
      <c r="F163" s="550">
        <f>SUM(F164:F164)</f>
        <v>0</v>
      </c>
      <c r="G163" s="549">
        <f>SUM(G164:G164)</f>
        <v>4492</v>
      </c>
      <c r="H163" s="549"/>
      <c r="I163" s="556" t="s">
        <v>487</v>
      </c>
    </row>
    <row r="164" spans="1:9" ht="27" customHeight="1" x14ac:dyDescent="0.25">
      <c r="A164" s="562">
        <v>1</v>
      </c>
      <c r="B164" s="1638" t="s">
        <v>488</v>
      </c>
      <c r="C164" s="1638"/>
      <c r="D164" s="553">
        <v>5250</v>
      </c>
      <c r="E164" s="554">
        <v>4492</v>
      </c>
      <c r="F164" s="555"/>
      <c r="G164" s="554">
        <f>E164+F164</f>
        <v>4492</v>
      </c>
      <c r="H164" s="565"/>
      <c r="I164" s="554"/>
    </row>
    <row r="165" spans="1:9" x14ac:dyDescent="0.25">
      <c r="A165" s="563"/>
      <c r="B165" s="559"/>
      <c r="C165" s="559"/>
      <c r="D165" s="560"/>
      <c r="E165" s="561"/>
      <c r="F165" s="598"/>
      <c r="G165" s="561"/>
      <c r="H165" s="561"/>
      <c r="I165" s="561"/>
    </row>
    <row r="166" spans="1:9" x14ac:dyDescent="0.25">
      <c r="A166" s="1632" t="s">
        <v>360</v>
      </c>
      <c r="B166" s="1632"/>
      <c r="C166" s="542" t="s">
        <v>489</v>
      </c>
      <c r="D166" s="542"/>
      <c r="E166" s="542"/>
      <c r="F166" s="542"/>
      <c r="G166" s="542"/>
      <c r="H166" s="542"/>
      <c r="I166" s="542"/>
    </row>
    <row r="167" spans="1:9" x14ac:dyDescent="0.25">
      <c r="A167" s="1632" t="s">
        <v>362</v>
      </c>
      <c r="B167" s="1632"/>
      <c r="C167" s="1635" t="s">
        <v>490</v>
      </c>
      <c r="D167" s="1635"/>
      <c r="E167" s="1635"/>
      <c r="F167" s="1635"/>
      <c r="G167" s="1635"/>
      <c r="H167" s="1635"/>
      <c r="I167" s="1635"/>
    </row>
    <row r="168" spans="1:9" ht="48" x14ac:dyDescent="0.25">
      <c r="A168" s="546" t="s">
        <v>364</v>
      </c>
      <c r="B168" s="1636" t="s">
        <v>365</v>
      </c>
      <c r="C168" s="1636"/>
      <c r="D168" s="546" t="s">
        <v>366</v>
      </c>
      <c r="E168" s="547" t="s">
        <v>367</v>
      </c>
      <c r="F168" s="548" t="s">
        <v>368</v>
      </c>
      <c r="G168" s="548" t="s">
        <v>369</v>
      </c>
      <c r="H168" s="547" t="s">
        <v>26</v>
      </c>
      <c r="I168" s="546" t="s">
        <v>370</v>
      </c>
    </row>
    <row r="169" spans="1:9" x14ac:dyDescent="0.25">
      <c r="A169" s="1637" t="s">
        <v>371</v>
      </c>
      <c r="B169" s="1637"/>
      <c r="C169" s="1637"/>
      <c r="D169" s="549"/>
      <c r="E169" s="549">
        <f>SUM(E170:E170)</f>
        <v>16697</v>
      </c>
      <c r="F169" s="549">
        <f>SUM(F170:F170)</f>
        <v>0</v>
      </c>
      <c r="G169" s="549">
        <f>SUM(G170:G170)</f>
        <v>16697</v>
      </c>
      <c r="H169" s="549"/>
      <c r="I169" s="556" t="s">
        <v>487</v>
      </c>
    </row>
    <row r="170" spans="1:9" ht="27" customHeight="1" x14ac:dyDescent="0.25">
      <c r="A170" s="562">
        <v>1</v>
      </c>
      <c r="B170" s="1638" t="s">
        <v>491</v>
      </c>
      <c r="C170" s="1638"/>
      <c r="D170" s="553">
        <v>5250</v>
      </c>
      <c r="E170" s="554">
        <v>16697</v>
      </c>
      <c r="F170" s="554"/>
      <c r="G170" s="554">
        <f>E170+F170</f>
        <v>16697</v>
      </c>
      <c r="H170" s="554"/>
      <c r="I170" s="554"/>
    </row>
    <row r="171" spans="1:9" x14ac:dyDescent="0.25">
      <c r="A171" s="563"/>
      <c r="B171" s="559"/>
      <c r="C171" s="559"/>
      <c r="D171" s="560"/>
      <c r="E171" s="561"/>
      <c r="F171" s="561"/>
      <c r="G171" s="561"/>
      <c r="H171" s="561"/>
      <c r="I171" s="561"/>
    </row>
    <row r="172" spans="1:9" x14ac:dyDescent="0.25">
      <c r="A172" s="1632" t="s">
        <v>360</v>
      </c>
      <c r="B172" s="1632"/>
      <c r="C172" s="1632" t="s">
        <v>492</v>
      </c>
      <c r="D172" s="1632"/>
      <c r="E172" s="1632"/>
      <c r="F172" s="1632"/>
      <c r="G172" s="1632"/>
      <c r="H172" s="1632"/>
      <c r="I172" s="1632"/>
    </row>
    <row r="173" spans="1:9" x14ac:dyDescent="0.25">
      <c r="A173" s="1632" t="s">
        <v>362</v>
      </c>
      <c r="B173" s="1632"/>
      <c r="C173" s="1635" t="s">
        <v>493</v>
      </c>
      <c r="D173" s="1635"/>
      <c r="E173" s="1635"/>
      <c r="F173" s="1635"/>
      <c r="G173" s="1635"/>
      <c r="H173" s="1635"/>
      <c r="I173" s="1635"/>
    </row>
    <row r="174" spans="1:9" ht="48" x14ac:dyDescent="0.25">
      <c r="A174" s="546" t="s">
        <v>364</v>
      </c>
      <c r="B174" s="1636" t="s">
        <v>365</v>
      </c>
      <c r="C174" s="1636"/>
      <c r="D174" s="546" t="s">
        <v>366</v>
      </c>
      <c r="E174" s="547" t="s">
        <v>367</v>
      </c>
      <c r="F174" s="548" t="s">
        <v>368</v>
      </c>
      <c r="G174" s="548" t="s">
        <v>369</v>
      </c>
      <c r="H174" s="547" t="s">
        <v>26</v>
      </c>
      <c r="I174" s="546" t="s">
        <v>370</v>
      </c>
    </row>
    <row r="175" spans="1:9" x14ac:dyDescent="0.25">
      <c r="A175" s="1637" t="s">
        <v>371</v>
      </c>
      <c r="B175" s="1637"/>
      <c r="C175" s="1637"/>
      <c r="D175" s="549"/>
      <c r="E175" s="549">
        <f>SUM(E176:E178)</f>
        <v>21679</v>
      </c>
      <c r="F175" s="549">
        <f>SUM(F176:F178)</f>
        <v>0</v>
      </c>
      <c r="G175" s="549">
        <f>SUM(G176:G178)</f>
        <v>21679</v>
      </c>
      <c r="H175" s="549"/>
      <c r="I175" s="556" t="s">
        <v>487</v>
      </c>
    </row>
    <row r="176" spans="1:9" ht="37.5" customHeight="1" x14ac:dyDescent="0.25">
      <c r="A176" s="564">
        <v>1</v>
      </c>
      <c r="B176" s="1645" t="s">
        <v>494</v>
      </c>
      <c r="C176" s="1646"/>
      <c r="D176" s="553">
        <v>5250</v>
      </c>
      <c r="E176" s="554">
        <v>10402</v>
      </c>
      <c r="F176" s="554"/>
      <c r="G176" s="554">
        <f>E176+F176</f>
        <v>10402</v>
      </c>
      <c r="H176" s="554"/>
      <c r="I176" s="554"/>
    </row>
    <row r="177" spans="1:9" x14ac:dyDescent="0.25">
      <c r="A177" s="1642">
        <v>2</v>
      </c>
      <c r="B177" s="1670" t="s">
        <v>495</v>
      </c>
      <c r="C177" s="1670"/>
      <c r="D177" s="553">
        <v>2279</v>
      </c>
      <c r="E177" s="554">
        <v>31</v>
      </c>
      <c r="F177" s="554"/>
      <c r="G177" s="554">
        <f>E177+F177</f>
        <v>31</v>
      </c>
      <c r="H177" s="554"/>
      <c r="I177" s="554"/>
    </row>
    <row r="178" spans="1:9" x14ac:dyDescent="0.25">
      <c r="A178" s="1644"/>
      <c r="B178" s="1671"/>
      <c r="C178" s="1671"/>
      <c r="D178" s="553">
        <v>5250</v>
      </c>
      <c r="E178" s="554">
        <v>11246</v>
      </c>
      <c r="F178" s="565"/>
      <c r="G178" s="554">
        <f>E178+F178</f>
        <v>11246</v>
      </c>
      <c r="H178" s="551"/>
      <c r="I178" s="554"/>
    </row>
    <row r="179" spans="1:9" x14ac:dyDescent="0.25">
      <c r="A179" s="601"/>
      <c r="B179" s="601"/>
      <c r="C179" s="601"/>
      <c r="D179" s="601"/>
      <c r="E179" s="602"/>
      <c r="F179" s="602"/>
      <c r="G179" s="602"/>
      <c r="H179" s="602"/>
      <c r="I179" s="602"/>
    </row>
    <row r="180" spans="1:9" ht="36" customHeight="1" x14ac:dyDescent="0.25">
      <c r="A180" s="1672" t="s">
        <v>496</v>
      </c>
      <c r="B180" s="1672"/>
      <c r="C180" s="1672"/>
      <c r="D180" s="1672"/>
      <c r="E180" s="1672"/>
      <c r="F180" s="1672"/>
      <c r="G180" s="1672"/>
      <c r="H180" s="1672"/>
      <c r="I180" s="1672"/>
    </row>
    <row r="181" spans="1:9" x14ac:dyDescent="0.25">
      <c r="A181" s="603" t="s">
        <v>497</v>
      </c>
      <c r="B181" s="603"/>
      <c r="C181" s="603"/>
      <c r="D181" s="603"/>
      <c r="E181" s="603"/>
      <c r="F181" s="603"/>
      <c r="G181" s="603"/>
      <c r="H181" s="603"/>
      <c r="I181" s="603"/>
    </row>
    <row r="182" spans="1:9" x14ac:dyDescent="0.25">
      <c r="A182" s="603" t="s">
        <v>498</v>
      </c>
      <c r="B182" s="603"/>
      <c r="C182" s="603"/>
      <c r="D182" s="603"/>
      <c r="E182" s="603"/>
      <c r="F182" s="603"/>
      <c r="G182" s="603"/>
      <c r="H182" s="603"/>
      <c r="I182" s="603"/>
    </row>
    <row r="184" spans="1:9" x14ac:dyDescent="0.25">
      <c r="A184" s="604"/>
      <c r="B184" s="604"/>
      <c r="C184" s="604"/>
      <c r="D184" s="604"/>
      <c r="E184" s="604"/>
      <c r="F184" s="604"/>
      <c r="G184" s="604"/>
      <c r="H184" s="604"/>
      <c r="I184" s="604"/>
    </row>
    <row r="185" spans="1:9" x14ac:dyDescent="0.25">
      <c r="A185" s="605"/>
      <c r="B185" s="605"/>
      <c r="C185" s="605"/>
      <c r="D185" s="606"/>
      <c r="E185" s="605"/>
      <c r="F185" s="605"/>
      <c r="G185" s="605"/>
      <c r="H185" s="604"/>
      <c r="I185" s="604"/>
    </row>
    <row r="186" spans="1:9" x14ac:dyDescent="0.25">
      <c r="A186" s="604"/>
      <c r="B186" s="604"/>
      <c r="C186" s="604"/>
      <c r="D186" s="604"/>
      <c r="E186" s="604"/>
      <c r="F186" s="604"/>
      <c r="G186" s="604"/>
      <c r="H186" s="604"/>
      <c r="I186" s="604"/>
    </row>
  </sheetData>
  <sheetProtection algorithmName="SHA-512" hashValue="9FkCMRWzcyW9qlZVoH1RNpn8nYtppi9dsHj3a8gMRpY+itvuy3J74TE63ofLQEQX8dtIodhvoT4eJSwUzdiuXA==" saltValue="rFDI0hUJkozEnhB8iIDOVQ==" spinCount="100000" sheet="1" objects="1" scenarios="1"/>
  <mergeCells count="181">
    <mergeCell ref="B174:C174"/>
    <mergeCell ref="A175:C175"/>
    <mergeCell ref="B176:C176"/>
    <mergeCell ref="A177:A178"/>
    <mergeCell ref="B177:C178"/>
    <mergeCell ref="A180:I180"/>
    <mergeCell ref="B168:C168"/>
    <mergeCell ref="A169:C169"/>
    <mergeCell ref="B170:C170"/>
    <mergeCell ref="A172:B172"/>
    <mergeCell ref="C172:I172"/>
    <mergeCell ref="A173:B173"/>
    <mergeCell ref="C173:I173"/>
    <mergeCell ref="B162:C162"/>
    <mergeCell ref="A163:C163"/>
    <mergeCell ref="B164:C164"/>
    <mergeCell ref="A166:B166"/>
    <mergeCell ref="A167:B167"/>
    <mergeCell ref="C167:I167"/>
    <mergeCell ref="B156:C156"/>
    <mergeCell ref="B157:C157"/>
    <mergeCell ref="B158:C158"/>
    <mergeCell ref="A160:B160"/>
    <mergeCell ref="A161:B161"/>
    <mergeCell ref="C161:I161"/>
    <mergeCell ref="B150:C150"/>
    <mergeCell ref="A151:C151"/>
    <mergeCell ref="B152:C152"/>
    <mergeCell ref="B153:C153"/>
    <mergeCell ref="B154:C154"/>
    <mergeCell ref="B155:C155"/>
    <mergeCell ref="B143:C143"/>
    <mergeCell ref="B144:C144"/>
    <mergeCell ref="B145:C145"/>
    <mergeCell ref="B146:C146"/>
    <mergeCell ref="A148:B148"/>
    <mergeCell ref="A149:B149"/>
    <mergeCell ref="C149:I149"/>
    <mergeCell ref="B135:C135"/>
    <mergeCell ref="B136:C136"/>
    <mergeCell ref="B137:C137"/>
    <mergeCell ref="B138:C138"/>
    <mergeCell ref="B139:C139"/>
    <mergeCell ref="A140:A142"/>
    <mergeCell ref="B140:C142"/>
    <mergeCell ref="B129:C129"/>
    <mergeCell ref="B130:C130"/>
    <mergeCell ref="B131:C131"/>
    <mergeCell ref="B132:C132"/>
    <mergeCell ref="B133:C133"/>
    <mergeCell ref="B134:C134"/>
    <mergeCell ref="B123:C123"/>
    <mergeCell ref="B124:C124"/>
    <mergeCell ref="A125:A126"/>
    <mergeCell ref="B125:C126"/>
    <mergeCell ref="B127:C127"/>
    <mergeCell ref="B128:C128"/>
    <mergeCell ref="B117:C117"/>
    <mergeCell ref="A119:B119"/>
    <mergeCell ref="A120:B120"/>
    <mergeCell ref="C120:I120"/>
    <mergeCell ref="B121:C121"/>
    <mergeCell ref="A122:C122"/>
    <mergeCell ref="B111:C111"/>
    <mergeCell ref="B112:C112"/>
    <mergeCell ref="B113:C113"/>
    <mergeCell ref="B114:C114"/>
    <mergeCell ref="B115:C115"/>
    <mergeCell ref="B116:C116"/>
    <mergeCell ref="A105:A106"/>
    <mergeCell ref="B105:C106"/>
    <mergeCell ref="B107:C107"/>
    <mergeCell ref="B108:C108"/>
    <mergeCell ref="B109:C109"/>
    <mergeCell ref="B110:C110"/>
    <mergeCell ref="A100:B100"/>
    <mergeCell ref="C100:I100"/>
    <mergeCell ref="B101:C101"/>
    <mergeCell ref="A102:C102"/>
    <mergeCell ref="B103:C103"/>
    <mergeCell ref="B104:C104"/>
    <mergeCell ref="A93:C93"/>
    <mergeCell ref="B94:C94"/>
    <mergeCell ref="A95:A96"/>
    <mergeCell ref="B95:C96"/>
    <mergeCell ref="B97:C97"/>
    <mergeCell ref="A99:B99"/>
    <mergeCell ref="C99:I99"/>
    <mergeCell ref="B88:C88"/>
    <mergeCell ref="A90:B90"/>
    <mergeCell ref="C90:I90"/>
    <mergeCell ref="A91:B91"/>
    <mergeCell ref="C91:I91"/>
    <mergeCell ref="B92:C92"/>
    <mergeCell ref="A83:B83"/>
    <mergeCell ref="C83:I83"/>
    <mergeCell ref="B84:C84"/>
    <mergeCell ref="A85:C85"/>
    <mergeCell ref="B86:C86"/>
    <mergeCell ref="B87:C87"/>
    <mergeCell ref="A77:B77"/>
    <mergeCell ref="C77:I77"/>
    <mergeCell ref="B78:C78"/>
    <mergeCell ref="A79:C79"/>
    <mergeCell ref="B80:C80"/>
    <mergeCell ref="A82:B82"/>
    <mergeCell ref="C82:I82"/>
    <mergeCell ref="A71:B71"/>
    <mergeCell ref="C71:I71"/>
    <mergeCell ref="B72:C72"/>
    <mergeCell ref="A73:C73"/>
    <mergeCell ref="B74:C74"/>
    <mergeCell ref="A76:B76"/>
    <mergeCell ref="C76:I76"/>
    <mergeCell ref="B65:C65"/>
    <mergeCell ref="B66:C66"/>
    <mergeCell ref="B67:C67"/>
    <mergeCell ref="B68:C68"/>
    <mergeCell ref="A70:B70"/>
    <mergeCell ref="C70:I70"/>
    <mergeCell ref="A61:B61"/>
    <mergeCell ref="C61:I61"/>
    <mergeCell ref="A62:B62"/>
    <mergeCell ref="C62:I62"/>
    <mergeCell ref="B63:C63"/>
    <mergeCell ref="A64:C64"/>
    <mergeCell ref="B54:C54"/>
    <mergeCell ref="A55:A56"/>
    <mergeCell ref="B55:C56"/>
    <mergeCell ref="B57:C57"/>
    <mergeCell ref="B58:C58"/>
    <mergeCell ref="B59:C59"/>
    <mergeCell ref="B48:C48"/>
    <mergeCell ref="B49:C49"/>
    <mergeCell ref="A50:A51"/>
    <mergeCell ref="B50:C51"/>
    <mergeCell ref="B52:C52"/>
    <mergeCell ref="B53:C53"/>
    <mergeCell ref="B43:C43"/>
    <mergeCell ref="A44:A45"/>
    <mergeCell ref="B44:C44"/>
    <mergeCell ref="B45:C45"/>
    <mergeCell ref="B46:C46"/>
    <mergeCell ref="B47:C47"/>
    <mergeCell ref="A35:C35"/>
    <mergeCell ref="B36:C36"/>
    <mergeCell ref="B37:C37"/>
    <mergeCell ref="A38:A41"/>
    <mergeCell ref="B38:C41"/>
    <mergeCell ref="B42:C42"/>
    <mergeCell ref="B29:C29"/>
    <mergeCell ref="B30:C30"/>
    <mergeCell ref="A32:B32"/>
    <mergeCell ref="A33:B33"/>
    <mergeCell ref="C33:I33"/>
    <mergeCell ref="B34:C34"/>
    <mergeCell ref="A25:B25"/>
    <mergeCell ref="C25:I25"/>
    <mergeCell ref="A26:B26"/>
    <mergeCell ref="C26:I26"/>
    <mergeCell ref="B27:C27"/>
    <mergeCell ref="A28:C28"/>
    <mergeCell ref="B20:C20"/>
    <mergeCell ref="A21:C21"/>
    <mergeCell ref="B22:C22"/>
    <mergeCell ref="B23:C23"/>
    <mergeCell ref="B11:C11"/>
    <mergeCell ref="A12:C12"/>
    <mergeCell ref="A13:A16"/>
    <mergeCell ref="B13:C16"/>
    <mergeCell ref="A18:B18"/>
    <mergeCell ref="C18:I18"/>
    <mergeCell ref="A5:B5"/>
    <mergeCell ref="A6:I6"/>
    <mergeCell ref="A7:B7"/>
    <mergeCell ref="A9:B9"/>
    <mergeCell ref="C9:I9"/>
    <mergeCell ref="A10:B10"/>
    <mergeCell ref="C10:I10"/>
    <mergeCell ref="A19:B19"/>
    <mergeCell ref="C19:I19"/>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111.pielikums Jūrmalas pilsētas domes
2017.gada 30.janvāra saistošajiem noteikumiem Nr.10
(Protokols Nr.4, 1.punkts)
 </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21"/>
  <sheetViews>
    <sheetView view="pageLayout" zoomScaleNormal="90" workbookViewId="0">
      <selection activeCell="C7" sqref="C7:P7"/>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862</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7"/>
    </row>
    <row r="4" spans="1:17" ht="15.75"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501</v>
      </c>
      <c r="D6" s="1555"/>
      <c r="E6" s="1555"/>
      <c r="F6" s="1555"/>
      <c r="G6" s="1555"/>
      <c r="H6" s="1555"/>
      <c r="I6" s="1555"/>
      <c r="J6" s="1555"/>
      <c r="K6" s="1555"/>
      <c r="L6" s="1555"/>
      <c r="M6" s="1555"/>
      <c r="N6" s="1555"/>
      <c r="O6" s="1555"/>
      <c r="P6" s="1556"/>
      <c r="Q6" s="7"/>
    </row>
    <row r="7" spans="1:17" ht="12.75" x14ac:dyDescent="0.25">
      <c r="A7" s="13" t="s">
        <v>4</v>
      </c>
      <c r="B7" s="14"/>
      <c r="C7" s="1555" t="s">
        <v>502</v>
      </c>
      <c r="D7" s="1555"/>
      <c r="E7" s="1555"/>
      <c r="F7" s="1555"/>
      <c r="G7" s="1555"/>
      <c r="H7" s="1555"/>
      <c r="I7" s="1555"/>
      <c r="J7" s="1555"/>
      <c r="K7" s="1555"/>
      <c r="L7" s="1555"/>
      <c r="M7" s="1555"/>
      <c r="N7" s="1555"/>
      <c r="O7" s="1555"/>
      <c r="P7" s="1556"/>
      <c r="Q7" s="7"/>
    </row>
    <row r="8" spans="1:17" x14ac:dyDescent="0.25">
      <c r="A8" s="8" t="s">
        <v>6</v>
      </c>
      <c r="B8" s="9"/>
      <c r="C8" s="1553" t="s">
        <v>503</v>
      </c>
      <c r="D8" s="1553"/>
      <c r="E8" s="1553"/>
      <c r="F8" s="1553"/>
      <c r="G8" s="1553"/>
      <c r="H8" s="1553"/>
      <c r="I8" s="1553"/>
      <c r="J8" s="1553"/>
      <c r="K8" s="1553"/>
      <c r="L8" s="1553"/>
      <c r="M8" s="1553"/>
      <c r="N8" s="1553"/>
      <c r="O8" s="1553"/>
      <c r="P8" s="1554"/>
      <c r="Q8" s="7"/>
    </row>
    <row r="9" spans="1:17" x14ac:dyDescent="0.25">
      <c r="A9" s="8" t="s">
        <v>8</v>
      </c>
      <c r="B9" s="9"/>
      <c r="C9" s="1553" t="s">
        <v>863</v>
      </c>
      <c r="D9" s="1553"/>
      <c r="E9" s="1553"/>
      <c r="F9" s="1553"/>
      <c r="G9" s="1553"/>
      <c r="H9" s="1553"/>
      <c r="I9" s="1553"/>
      <c r="J9" s="1553"/>
      <c r="K9" s="1553"/>
      <c r="L9" s="1553"/>
      <c r="M9" s="1553"/>
      <c r="N9" s="1553"/>
      <c r="O9" s="1553"/>
      <c r="P9" s="1554"/>
      <c r="Q9" s="7"/>
    </row>
    <row r="10" spans="1:17" x14ac:dyDescent="0.25">
      <c r="A10" s="8" t="s">
        <v>10</v>
      </c>
      <c r="B10" s="9"/>
      <c r="C10" s="1555" t="s">
        <v>525</v>
      </c>
      <c r="D10" s="1555"/>
      <c r="E10" s="1555"/>
      <c r="F10" s="1555"/>
      <c r="G10" s="1555"/>
      <c r="H10" s="1555"/>
      <c r="I10" s="1555"/>
      <c r="J10" s="1555"/>
      <c r="K10" s="1555"/>
      <c r="L10" s="1555"/>
      <c r="M10" s="1555"/>
      <c r="N10" s="1555"/>
      <c r="O10" s="1555"/>
      <c r="P10" s="1556"/>
      <c r="Q10" s="7"/>
    </row>
    <row r="11" spans="1:17" x14ac:dyDescent="0.25">
      <c r="A11" s="8" t="s">
        <v>12</v>
      </c>
      <c r="B11" s="9"/>
      <c r="C11" s="1555"/>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864</v>
      </c>
      <c r="D13" s="1553"/>
      <c r="E13" s="1553"/>
      <c r="F13" s="1553"/>
      <c r="G13" s="1553"/>
      <c r="H13" s="1553"/>
      <c r="I13" s="1553"/>
      <c r="J13" s="1553"/>
      <c r="K13" s="1553"/>
      <c r="L13" s="1553"/>
      <c r="M13" s="1553"/>
      <c r="N13" s="1553"/>
      <c r="O13" s="1553"/>
      <c r="P13" s="1554"/>
      <c r="Q13" s="7"/>
    </row>
    <row r="14" spans="1:17" x14ac:dyDescent="0.25">
      <c r="A14" s="8"/>
      <c r="B14" s="9" t="s">
        <v>17</v>
      </c>
      <c r="C14" s="1553"/>
      <c r="D14" s="1553"/>
      <c r="E14" s="1553"/>
      <c r="F14" s="1553"/>
      <c r="G14" s="1553"/>
      <c r="H14" s="1553"/>
      <c r="I14" s="1553"/>
      <c r="J14" s="1553"/>
      <c r="K14" s="1553"/>
      <c r="L14" s="1553"/>
      <c r="M14" s="1553"/>
      <c r="N14" s="1553"/>
      <c r="O14" s="1553"/>
      <c r="P14" s="1554"/>
      <c r="Q14" s="7"/>
    </row>
    <row r="15" spans="1:17" x14ac:dyDescent="0.25">
      <c r="A15" s="8"/>
      <c r="B15" s="9" t="s">
        <v>19</v>
      </c>
      <c r="C15" s="1553"/>
      <c r="D15" s="1553"/>
      <c r="E15" s="1553"/>
      <c r="F15" s="1553"/>
      <c r="G15" s="1553"/>
      <c r="H15" s="1553"/>
      <c r="I15" s="1553"/>
      <c r="J15" s="1553"/>
      <c r="K15" s="1553"/>
      <c r="L15" s="1553"/>
      <c r="M15" s="1553"/>
      <c r="N15" s="1553"/>
      <c r="O15" s="1553"/>
      <c r="P15" s="1554"/>
      <c r="Q15" s="7"/>
    </row>
    <row r="16" spans="1:17" x14ac:dyDescent="0.25">
      <c r="A16" s="8"/>
      <c r="B16" s="9" t="s">
        <v>20</v>
      </c>
      <c r="C16" s="1553" t="s">
        <v>865</v>
      </c>
      <c r="D16" s="1553"/>
      <c r="E16" s="1553"/>
      <c r="F16" s="1553"/>
      <c r="G16" s="1553"/>
      <c r="H16" s="1553"/>
      <c r="I16" s="1553"/>
      <c r="J16" s="1553"/>
      <c r="K16" s="1553"/>
      <c r="L16" s="1553"/>
      <c r="M16" s="1553"/>
      <c r="N16" s="1553"/>
      <c r="O16" s="1553"/>
      <c r="P16" s="1554"/>
      <c r="Q16" s="7"/>
    </row>
    <row r="17" spans="1:19" x14ac:dyDescent="0.25">
      <c r="A17" s="8"/>
      <c r="B17" s="9" t="s">
        <v>22</v>
      </c>
      <c r="C17" s="1553"/>
      <c r="D17" s="1553"/>
      <c r="E17" s="1553"/>
      <c r="F17" s="1553"/>
      <c r="G17" s="1553"/>
      <c r="H17" s="1553"/>
      <c r="I17" s="1553"/>
      <c r="J17" s="1553"/>
      <c r="K17" s="1553"/>
      <c r="L17" s="1553"/>
      <c r="M17" s="1553"/>
      <c r="N17" s="1553"/>
      <c r="O17" s="1553"/>
      <c r="P17" s="1554"/>
      <c r="Q17" s="7"/>
    </row>
    <row r="18" spans="1:19" x14ac:dyDescent="0.25">
      <c r="A18" s="18"/>
      <c r="B18" s="19"/>
      <c r="C18" s="1569"/>
      <c r="D18" s="1569"/>
      <c r="E18" s="1569"/>
      <c r="F18" s="1569"/>
      <c r="G18" s="1569"/>
      <c r="H18" s="1569"/>
      <c r="I18" s="1569"/>
      <c r="J18" s="1569"/>
      <c r="K18" s="1569"/>
      <c r="L18" s="1569"/>
      <c r="M18" s="1569"/>
      <c r="N18" s="1569"/>
      <c r="O18" s="1569"/>
      <c r="P18" s="1570"/>
      <c r="Q18" s="7"/>
    </row>
    <row r="19" spans="1:19"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19" s="20" customFormat="1" x14ac:dyDescent="0.25">
      <c r="A20" s="1572"/>
      <c r="B20" s="1575"/>
      <c r="C20" s="1580" t="s">
        <v>27</v>
      </c>
      <c r="D20" s="1565" t="s">
        <v>28</v>
      </c>
      <c r="E20" s="1567" t="s">
        <v>29</v>
      </c>
      <c r="F20" s="1563" t="s">
        <v>30</v>
      </c>
      <c r="G20" s="1565" t="s">
        <v>31</v>
      </c>
      <c r="H20" s="1567" t="s">
        <v>32</v>
      </c>
      <c r="I20" s="1563" t="s">
        <v>33</v>
      </c>
      <c r="J20" s="1565" t="s">
        <v>34</v>
      </c>
      <c r="K20" s="1567" t="s">
        <v>35</v>
      </c>
      <c r="L20" s="1563" t="s">
        <v>36</v>
      </c>
      <c r="M20" s="1565" t="s">
        <v>37</v>
      </c>
      <c r="N20" s="1567" t="s">
        <v>38</v>
      </c>
      <c r="O20" s="1563" t="s">
        <v>39</v>
      </c>
      <c r="P20" s="1575"/>
    </row>
    <row r="21" spans="1:19" s="21" customFormat="1" ht="70.5" customHeight="1" thickBot="1" x14ac:dyDescent="0.3">
      <c r="A21" s="1573"/>
      <c r="B21" s="1576"/>
      <c r="C21" s="1581"/>
      <c r="D21" s="1566"/>
      <c r="E21" s="1568"/>
      <c r="F21" s="1564"/>
      <c r="G21" s="1566"/>
      <c r="H21" s="1568"/>
      <c r="I21" s="1564"/>
      <c r="J21" s="1566"/>
      <c r="K21" s="1568"/>
      <c r="L21" s="1564"/>
      <c r="M21" s="1566"/>
      <c r="N21" s="1568"/>
      <c r="O21" s="1564"/>
      <c r="P21" s="1576"/>
    </row>
    <row r="22" spans="1:19" s="21" customFormat="1" ht="9" thickTop="1" x14ac:dyDescent="0.25">
      <c r="A22" s="22" t="s">
        <v>40</v>
      </c>
      <c r="B22" s="22">
        <v>2</v>
      </c>
      <c r="C22" s="22">
        <v>3</v>
      </c>
      <c r="D22" s="24">
        <v>4</v>
      </c>
      <c r="E22" s="29">
        <v>5</v>
      </c>
      <c r="F22" s="661">
        <v>6</v>
      </c>
      <c r="G22" s="24">
        <v>7</v>
      </c>
      <c r="H22" s="26">
        <v>8</v>
      </c>
      <c r="I22" s="27">
        <v>9</v>
      </c>
      <c r="J22" s="24">
        <v>10</v>
      </c>
      <c r="K22" s="28">
        <v>11</v>
      </c>
      <c r="L22" s="27">
        <v>12</v>
      </c>
      <c r="M22" s="28">
        <v>13</v>
      </c>
      <c r="N22" s="29">
        <v>14</v>
      </c>
      <c r="O22" s="27">
        <v>15</v>
      </c>
      <c r="P22" s="27">
        <v>16</v>
      </c>
    </row>
    <row r="23" spans="1:19" s="41" customFormat="1" x14ac:dyDescent="0.25">
      <c r="A23" s="30"/>
      <c r="B23" s="31" t="s">
        <v>41</v>
      </c>
      <c r="C23" s="35"/>
      <c r="D23" s="33"/>
      <c r="E23" s="39"/>
      <c r="F23" s="421"/>
      <c r="G23" s="33"/>
      <c r="H23" s="36"/>
      <c r="I23" s="37"/>
      <c r="J23" s="33"/>
      <c r="K23" s="38"/>
      <c r="L23" s="37"/>
      <c r="M23" s="38"/>
      <c r="N23" s="39"/>
      <c r="O23" s="37"/>
      <c r="P23" s="40"/>
    </row>
    <row r="24" spans="1:19" s="41" customFormat="1" ht="12.75" thickBot="1" x14ac:dyDescent="0.3">
      <c r="A24" s="42"/>
      <c r="B24" s="43" t="s">
        <v>42</v>
      </c>
      <c r="C24" s="47">
        <f>F24+I24+L24+O24</f>
        <v>858379</v>
      </c>
      <c r="D24" s="45">
        <f>SUM(D25,D28,D29,D45,D46)</f>
        <v>838333</v>
      </c>
      <c r="E24" s="51">
        <f>SUM(E25,E28,E29,E45,E46)</f>
        <v>0</v>
      </c>
      <c r="F24" s="425">
        <f t="shared" ref="F24:F29" si="0">D24+E24</f>
        <v>838333</v>
      </c>
      <c r="G24" s="45">
        <f>SUM(G25,G28,G46)</f>
        <v>0</v>
      </c>
      <c r="H24" s="48">
        <f>SUM(H25,H28,H46)</f>
        <v>0</v>
      </c>
      <c r="I24" s="49">
        <f>G24+H24</f>
        <v>0</v>
      </c>
      <c r="J24" s="45">
        <f>SUM(J25,J30,J46)</f>
        <v>20046</v>
      </c>
      <c r="K24" s="48">
        <f>SUM(K25,K30,K46)</f>
        <v>0</v>
      </c>
      <c r="L24" s="49">
        <f>J24+K24</f>
        <v>20046</v>
      </c>
      <c r="M24" s="50">
        <f>SUM(M25,M48)</f>
        <v>0</v>
      </c>
      <c r="N24" s="51">
        <f>SUM(N25,N48)</f>
        <v>0</v>
      </c>
      <c r="O24" s="49">
        <f>M24+N24</f>
        <v>0</v>
      </c>
      <c r="P24" s="52"/>
      <c r="R24" s="53"/>
      <c r="S24" s="53"/>
    </row>
    <row r="25" spans="1:19" ht="12.75" hidden="1" thickTop="1" x14ac:dyDescent="0.25">
      <c r="A25" s="54"/>
      <c r="B25" s="55" t="s">
        <v>43</v>
      </c>
      <c r="C25" s="59">
        <f>F25+I25+L25+O25</f>
        <v>0</v>
      </c>
      <c r="D25" s="57">
        <f>SUM(D26:D27)</f>
        <v>0</v>
      </c>
      <c r="E25" s="63">
        <f>SUM(E26:E27)</f>
        <v>0</v>
      </c>
      <c r="F25" s="426">
        <f t="shared" si="0"/>
        <v>0</v>
      </c>
      <c r="G25" s="57">
        <f>SUM(G26:G27)</f>
        <v>0</v>
      </c>
      <c r="H25" s="60">
        <f>SUM(H26:H27)</f>
        <v>0</v>
      </c>
      <c r="I25" s="61">
        <f>G25+H25</f>
        <v>0</v>
      </c>
      <c r="J25" s="57">
        <f>SUM(J26:J27)</f>
        <v>0</v>
      </c>
      <c r="K25" s="60">
        <f>SUM(K26:K27)</f>
        <v>0</v>
      </c>
      <c r="L25" s="61">
        <f>J25+K25</f>
        <v>0</v>
      </c>
      <c r="M25" s="62">
        <f>SUM(M26:M27)</f>
        <v>0</v>
      </c>
      <c r="N25" s="63">
        <f>SUM(N26:N27)</f>
        <v>0</v>
      </c>
      <c r="O25" s="61">
        <f>M25+N25</f>
        <v>0</v>
      </c>
      <c r="P25" s="64"/>
      <c r="R25" s="53"/>
      <c r="S25" s="53"/>
    </row>
    <row r="26" spans="1:19" ht="12.75" hidden="1" thickTop="1" x14ac:dyDescent="0.25">
      <c r="A26" s="65"/>
      <c r="B26" s="66" t="s">
        <v>44</v>
      </c>
      <c r="C26" s="625">
        <f>F26+I26+L26+O26</f>
        <v>0</v>
      </c>
      <c r="D26" s="68"/>
      <c r="E26" s="69"/>
      <c r="F26" s="70">
        <f t="shared" si="0"/>
        <v>0</v>
      </c>
      <c r="G26" s="68"/>
      <c r="H26" s="71"/>
      <c r="I26" s="72">
        <f>G26+H26</f>
        <v>0</v>
      </c>
      <c r="J26" s="68"/>
      <c r="K26" s="71"/>
      <c r="L26" s="72">
        <f>J26+K26</f>
        <v>0</v>
      </c>
      <c r="M26" s="73"/>
      <c r="N26" s="69"/>
      <c r="O26" s="72">
        <f>M26+N26</f>
        <v>0</v>
      </c>
      <c r="P26" s="74"/>
      <c r="R26" s="53"/>
      <c r="S26" s="53"/>
    </row>
    <row r="27" spans="1:19" ht="12.75" hidden="1" thickTop="1" x14ac:dyDescent="0.25">
      <c r="A27" s="75"/>
      <c r="B27" s="76" t="s">
        <v>45</v>
      </c>
      <c r="C27" s="80">
        <f>F27+I27+L27+O27</f>
        <v>0</v>
      </c>
      <c r="D27" s="78"/>
      <c r="E27" s="84"/>
      <c r="F27" s="429">
        <f t="shared" si="0"/>
        <v>0</v>
      </c>
      <c r="G27" s="78"/>
      <c r="H27" s="81"/>
      <c r="I27" s="82">
        <f>G27+H27</f>
        <v>0</v>
      </c>
      <c r="J27" s="78">
        <f>11641-11641</f>
        <v>0</v>
      </c>
      <c r="K27" s="81"/>
      <c r="L27" s="82">
        <f>J27+K27</f>
        <v>0</v>
      </c>
      <c r="M27" s="83"/>
      <c r="N27" s="84"/>
      <c r="O27" s="82">
        <f>M27+N27</f>
        <v>0</v>
      </c>
      <c r="P27" s="85"/>
      <c r="R27" s="53"/>
      <c r="S27" s="53"/>
    </row>
    <row r="28" spans="1:19" s="41" customFormat="1" ht="25.5" thickTop="1" thickBot="1" x14ac:dyDescent="0.3">
      <c r="A28" s="86">
        <v>19300</v>
      </c>
      <c r="B28" s="86" t="s">
        <v>46</v>
      </c>
      <c r="C28" s="90">
        <f>SUM(F28,I28)</f>
        <v>838333</v>
      </c>
      <c r="D28" s="88">
        <f>D54</f>
        <v>838333</v>
      </c>
      <c r="E28" s="434"/>
      <c r="F28" s="433">
        <f t="shared" si="0"/>
        <v>838333</v>
      </c>
      <c r="G28" s="88"/>
      <c r="H28" s="91"/>
      <c r="I28" s="92">
        <f>G28+H28</f>
        <v>0</v>
      </c>
      <c r="J28" s="93" t="s">
        <v>47</v>
      </c>
      <c r="K28" s="94" t="s">
        <v>47</v>
      </c>
      <c r="L28" s="95" t="s">
        <v>47</v>
      </c>
      <c r="M28" s="96" t="s">
        <v>47</v>
      </c>
      <c r="N28" s="97" t="s">
        <v>47</v>
      </c>
      <c r="O28" s="95" t="s">
        <v>47</v>
      </c>
      <c r="P28" s="98"/>
      <c r="R28" s="53"/>
      <c r="S28" s="53"/>
    </row>
    <row r="29" spans="1:19" s="41" customFormat="1" ht="31.5" hidden="1" customHeight="1" thickTop="1" x14ac:dyDescent="0.25">
      <c r="A29" s="99"/>
      <c r="B29" s="99" t="s">
        <v>48</v>
      </c>
      <c r="C29" s="249">
        <f>F29</f>
        <v>0</v>
      </c>
      <c r="D29" s="101"/>
      <c r="E29" s="102"/>
      <c r="F29" s="103">
        <f t="shared" si="0"/>
        <v>0</v>
      </c>
      <c r="G29" s="104" t="s">
        <v>47</v>
      </c>
      <c r="H29" s="105" t="s">
        <v>47</v>
      </c>
      <c r="I29" s="106" t="s">
        <v>47</v>
      </c>
      <c r="J29" s="104" t="s">
        <v>47</v>
      </c>
      <c r="K29" s="105" t="s">
        <v>47</v>
      </c>
      <c r="L29" s="106" t="s">
        <v>47</v>
      </c>
      <c r="M29" s="107" t="s">
        <v>47</v>
      </c>
      <c r="N29" s="108" t="s">
        <v>47</v>
      </c>
      <c r="O29" s="106" t="s">
        <v>47</v>
      </c>
      <c r="P29" s="109"/>
      <c r="R29" s="53"/>
      <c r="S29" s="53"/>
    </row>
    <row r="30" spans="1:19" s="41" customFormat="1" ht="36.75" thickTop="1" x14ac:dyDescent="0.25">
      <c r="A30" s="99">
        <v>21300</v>
      </c>
      <c r="B30" s="99" t="s">
        <v>49</v>
      </c>
      <c r="C30" s="249">
        <f t="shared" ref="C30:C44" si="1">L30</f>
        <v>20046</v>
      </c>
      <c r="D30" s="104" t="s">
        <v>47</v>
      </c>
      <c r="E30" s="108" t="s">
        <v>47</v>
      </c>
      <c r="F30" s="140" t="s">
        <v>47</v>
      </c>
      <c r="G30" s="104" t="s">
        <v>47</v>
      </c>
      <c r="H30" s="105" t="s">
        <v>47</v>
      </c>
      <c r="I30" s="106" t="s">
        <v>47</v>
      </c>
      <c r="J30" s="112">
        <f>SUM(J31,J35,J37,J40)</f>
        <v>20046</v>
      </c>
      <c r="K30" s="113">
        <f>SUM(K31,K35,K37,K40)</f>
        <v>0</v>
      </c>
      <c r="L30" s="114">
        <f t="shared" ref="L30:L44" si="2">J30+K30</f>
        <v>20046</v>
      </c>
      <c r="M30" s="107" t="s">
        <v>47</v>
      </c>
      <c r="N30" s="108" t="s">
        <v>47</v>
      </c>
      <c r="O30" s="106" t="s">
        <v>47</v>
      </c>
      <c r="P30" s="109"/>
      <c r="R30" s="53"/>
      <c r="S30" s="53"/>
    </row>
    <row r="31" spans="1:19" s="41" customFormat="1" ht="24" hidden="1" x14ac:dyDescent="0.25">
      <c r="A31" s="115">
        <v>21350</v>
      </c>
      <c r="B31" s="99" t="s">
        <v>50</v>
      </c>
      <c r="C31" s="249">
        <f t="shared" si="1"/>
        <v>0</v>
      </c>
      <c r="D31" s="104" t="s">
        <v>47</v>
      </c>
      <c r="E31" s="108" t="s">
        <v>47</v>
      </c>
      <c r="F31" s="140" t="s">
        <v>47</v>
      </c>
      <c r="G31" s="104" t="s">
        <v>47</v>
      </c>
      <c r="H31" s="105" t="s">
        <v>47</v>
      </c>
      <c r="I31" s="106" t="s">
        <v>47</v>
      </c>
      <c r="J31" s="112">
        <f>SUM(J32:J34)</f>
        <v>0</v>
      </c>
      <c r="K31" s="113">
        <f>SUM(K32:K34)</f>
        <v>0</v>
      </c>
      <c r="L31" s="114">
        <f t="shared" si="2"/>
        <v>0</v>
      </c>
      <c r="M31" s="107" t="s">
        <v>47</v>
      </c>
      <c r="N31" s="108" t="s">
        <v>47</v>
      </c>
      <c r="O31" s="106" t="s">
        <v>47</v>
      </c>
      <c r="P31" s="109"/>
      <c r="R31" s="53"/>
      <c r="S31" s="53"/>
    </row>
    <row r="32" spans="1:19" hidden="1" x14ac:dyDescent="0.25">
      <c r="A32" s="65">
        <v>21351</v>
      </c>
      <c r="B32" s="116" t="s">
        <v>51</v>
      </c>
      <c r="C32" s="296">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c r="R32" s="53"/>
      <c r="S32" s="53"/>
    </row>
    <row r="33" spans="1:19" hidden="1" x14ac:dyDescent="0.25">
      <c r="A33" s="75">
        <v>21352</v>
      </c>
      <c r="B33" s="127" t="s">
        <v>52</v>
      </c>
      <c r="C33" s="279">
        <f t="shared" si="1"/>
        <v>0</v>
      </c>
      <c r="D33" s="129" t="s">
        <v>47</v>
      </c>
      <c r="E33" s="138" t="s">
        <v>47</v>
      </c>
      <c r="F33" s="139" t="s">
        <v>47</v>
      </c>
      <c r="G33" s="129" t="s">
        <v>47</v>
      </c>
      <c r="H33" s="132" t="s">
        <v>47</v>
      </c>
      <c r="I33" s="133" t="s">
        <v>47</v>
      </c>
      <c r="J33" s="134"/>
      <c r="K33" s="135"/>
      <c r="L33" s="136">
        <f t="shared" si="2"/>
        <v>0</v>
      </c>
      <c r="M33" s="137" t="s">
        <v>47</v>
      </c>
      <c r="N33" s="138" t="s">
        <v>47</v>
      </c>
      <c r="O33" s="133" t="s">
        <v>47</v>
      </c>
      <c r="P33" s="85"/>
      <c r="R33" s="53"/>
      <c r="S33" s="53"/>
    </row>
    <row r="34" spans="1:19" ht="24" hidden="1" x14ac:dyDescent="0.25">
      <c r="A34" s="75">
        <v>21359</v>
      </c>
      <c r="B34" s="127" t="s">
        <v>53</v>
      </c>
      <c r="C34" s="279">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c r="R34" s="53"/>
      <c r="S34" s="53"/>
    </row>
    <row r="35" spans="1:19" s="41" customFormat="1" ht="36" hidden="1" x14ac:dyDescent="0.25">
      <c r="A35" s="115">
        <v>21370</v>
      </c>
      <c r="B35" s="99" t="s">
        <v>54</v>
      </c>
      <c r="C35" s="249">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c r="R35" s="53"/>
      <c r="S35" s="53"/>
    </row>
    <row r="36" spans="1:19" ht="36" hidden="1" x14ac:dyDescent="0.25">
      <c r="A36" s="141">
        <v>21379</v>
      </c>
      <c r="B36" s="142" t="s">
        <v>55</v>
      </c>
      <c r="C36" s="362">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c r="R36" s="53"/>
      <c r="S36" s="53"/>
    </row>
    <row r="37" spans="1:19" s="41" customFormat="1" hidden="1" x14ac:dyDescent="0.25">
      <c r="A37" s="115">
        <v>21380</v>
      </c>
      <c r="B37" s="99" t="s">
        <v>56</v>
      </c>
      <c r="C37" s="249">
        <f t="shared" si="1"/>
        <v>0</v>
      </c>
      <c r="D37" s="104" t="s">
        <v>47</v>
      </c>
      <c r="E37" s="108" t="s">
        <v>47</v>
      </c>
      <c r="F37" s="140" t="s">
        <v>47</v>
      </c>
      <c r="G37" s="104" t="s">
        <v>47</v>
      </c>
      <c r="H37" s="105" t="s">
        <v>47</v>
      </c>
      <c r="I37" s="106" t="s">
        <v>47</v>
      </c>
      <c r="J37" s="112">
        <f>SUM(J38:J39)</f>
        <v>0</v>
      </c>
      <c r="K37" s="113">
        <f>SUM(K38:K39)</f>
        <v>0</v>
      </c>
      <c r="L37" s="114">
        <f t="shared" si="2"/>
        <v>0</v>
      </c>
      <c r="M37" s="107" t="s">
        <v>47</v>
      </c>
      <c r="N37" s="108" t="s">
        <v>47</v>
      </c>
      <c r="O37" s="106" t="s">
        <v>47</v>
      </c>
      <c r="P37" s="109"/>
      <c r="R37" s="53"/>
      <c r="S37" s="53"/>
    </row>
    <row r="38" spans="1:19" hidden="1" x14ac:dyDescent="0.25">
      <c r="A38" s="66">
        <v>21381</v>
      </c>
      <c r="B38" s="116" t="s">
        <v>57</v>
      </c>
      <c r="C38" s="296">
        <f t="shared" si="1"/>
        <v>0</v>
      </c>
      <c r="D38" s="118" t="s">
        <v>47</v>
      </c>
      <c r="E38" s="119" t="s">
        <v>47</v>
      </c>
      <c r="F38" s="120" t="s">
        <v>47</v>
      </c>
      <c r="G38" s="118" t="s">
        <v>47</v>
      </c>
      <c r="H38" s="121" t="s">
        <v>47</v>
      </c>
      <c r="I38" s="122" t="s">
        <v>47</v>
      </c>
      <c r="J38" s="123"/>
      <c r="K38" s="124"/>
      <c r="L38" s="125">
        <f t="shared" si="2"/>
        <v>0</v>
      </c>
      <c r="M38" s="126" t="s">
        <v>47</v>
      </c>
      <c r="N38" s="119" t="s">
        <v>47</v>
      </c>
      <c r="O38" s="122" t="s">
        <v>47</v>
      </c>
      <c r="P38" s="74"/>
      <c r="R38" s="53"/>
      <c r="S38" s="53"/>
    </row>
    <row r="39" spans="1:19" ht="24" hidden="1" x14ac:dyDescent="0.25">
      <c r="A39" s="76">
        <v>21383</v>
      </c>
      <c r="B39" s="127" t="s">
        <v>58</v>
      </c>
      <c r="C39" s="279">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c r="R39" s="53"/>
      <c r="S39" s="53"/>
    </row>
    <row r="40" spans="1:19" s="41" customFormat="1" ht="24" x14ac:dyDescent="0.25">
      <c r="A40" s="115">
        <v>21390</v>
      </c>
      <c r="B40" s="99" t="s">
        <v>59</v>
      </c>
      <c r="C40" s="249">
        <f t="shared" si="1"/>
        <v>20046</v>
      </c>
      <c r="D40" s="104" t="s">
        <v>47</v>
      </c>
      <c r="E40" s="108" t="s">
        <v>47</v>
      </c>
      <c r="F40" s="140" t="s">
        <v>47</v>
      </c>
      <c r="G40" s="104" t="s">
        <v>47</v>
      </c>
      <c r="H40" s="105" t="s">
        <v>47</v>
      </c>
      <c r="I40" s="106" t="s">
        <v>47</v>
      </c>
      <c r="J40" s="112">
        <f>SUM(J41:J44)</f>
        <v>20046</v>
      </c>
      <c r="K40" s="113">
        <f>SUM(K41:K44)</f>
        <v>0</v>
      </c>
      <c r="L40" s="114">
        <f t="shared" si="2"/>
        <v>20046</v>
      </c>
      <c r="M40" s="107" t="s">
        <v>47</v>
      </c>
      <c r="N40" s="108" t="s">
        <v>47</v>
      </c>
      <c r="O40" s="106" t="s">
        <v>47</v>
      </c>
      <c r="P40" s="109"/>
      <c r="R40" s="53"/>
      <c r="S40" s="53"/>
    </row>
    <row r="41" spans="1:19" ht="24" hidden="1" x14ac:dyDescent="0.25">
      <c r="A41" s="66">
        <v>21391</v>
      </c>
      <c r="B41" s="116" t="s">
        <v>60</v>
      </c>
      <c r="C41" s="296">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c r="R41" s="53"/>
      <c r="S41" s="53"/>
    </row>
    <row r="42" spans="1:19" hidden="1" x14ac:dyDescent="0.25">
      <c r="A42" s="76">
        <v>21393</v>
      </c>
      <c r="B42" s="127" t="s">
        <v>61</v>
      </c>
      <c r="C42" s="279">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c r="R42" s="53"/>
      <c r="S42" s="53"/>
    </row>
    <row r="43" spans="1:19" hidden="1" x14ac:dyDescent="0.25">
      <c r="A43" s="76">
        <v>21395</v>
      </c>
      <c r="B43" s="127" t="s">
        <v>62</v>
      </c>
      <c r="C43" s="279">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c r="R43" s="53"/>
      <c r="S43" s="53"/>
    </row>
    <row r="44" spans="1:19" ht="24" x14ac:dyDescent="0.25">
      <c r="A44" s="76">
        <v>21399</v>
      </c>
      <c r="B44" s="127" t="s">
        <v>63</v>
      </c>
      <c r="C44" s="279">
        <f t="shared" si="1"/>
        <v>20046</v>
      </c>
      <c r="D44" s="129" t="s">
        <v>47</v>
      </c>
      <c r="E44" s="138" t="s">
        <v>47</v>
      </c>
      <c r="F44" s="139" t="s">
        <v>47</v>
      </c>
      <c r="G44" s="129" t="s">
        <v>47</v>
      </c>
      <c r="H44" s="132" t="s">
        <v>47</v>
      </c>
      <c r="I44" s="133" t="s">
        <v>47</v>
      </c>
      <c r="J44" s="134">
        <f>18870+1176</f>
        <v>20046</v>
      </c>
      <c r="K44" s="135"/>
      <c r="L44" s="136">
        <f t="shared" si="2"/>
        <v>20046</v>
      </c>
      <c r="M44" s="137" t="s">
        <v>47</v>
      </c>
      <c r="N44" s="138" t="s">
        <v>47</v>
      </c>
      <c r="O44" s="133" t="s">
        <v>47</v>
      </c>
      <c r="P44" s="85"/>
      <c r="R44" s="53"/>
      <c r="S44" s="53"/>
    </row>
    <row r="45" spans="1:19" s="41" customFormat="1" ht="34.5" hidden="1" customHeight="1" x14ac:dyDescent="0.25">
      <c r="A45" s="115">
        <v>21420</v>
      </c>
      <c r="B45" s="99" t="s">
        <v>64</v>
      </c>
      <c r="C45" s="634">
        <f>F45</f>
        <v>0</v>
      </c>
      <c r="D45" s="157"/>
      <c r="E45" s="158"/>
      <c r="F45" s="103">
        <f>D45+E45</f>
        <v>0</v>
      </c>
      <c r="G45" s="104" t="s">
        <v>47</v>
      </c>
      <c r="H45" s="105" t="s">
        <v>47</v>
      </c>
      <c r="I45" s="106" t="s">
        <v>47</v>
      </c>
      <c r="J45" s="104" t="s">
        <v>47</v>
      </c>
      <c r="K45" s="105" t="s">
        <v>47</v>
      </c>
      <c r="L45" s="106" t="s">
        <v>47</v>
      </c>
      <c r="M45" s="107" t="s">
        <v>47</v>
      </c>
      <c r="N45" s="108" t="s">
        <v>47</v>
      </c>
      <c r="O45" s="106" t="s">
        <v>47</v>
      </c>
      <c r="P45" s="109"/>
      <c r="R45" s="53"/>
      <c r="S45" s="53"/>
    </row>
    <row r="46" spans="1:19" s="41" customFormat="1" ht="24" hidden="1" x14ac:dyDescent="0.25">
      <c r="A46" s="159">
        <v>21490</v>
      </c>
      <c r="B46" s="160" t="s">
        <v>65</v>
      </c>
      <c r="C46" s="634">
        <f>F46+I46+L46</f>
        <v>0</v>
      </c>
      <c r="D46" s="161">
        <f>D47</f>
        <v>0</v>
      </c>
      <c r="E46" s="162">
        <f>E47</f>
        <v>0</v>
      </c>
      <c r="F46" s="163">
        <f>D46+E46</f>
        <v>0</v>
      </c>
      <c r="G46" s="161">
        <f>G47</f>
        <v>0</v>
      </c>
      <c r="H46" s="164">
        <f t="shared" ref="H46:K46" si="3">H47</f>
        <v>0</v>
      </c>
      <c r="I46" s="165">
        <f>G46+H46</f>
        <v>0</v>
      </c>
      <c r="J46" s="161">
        <f>J47</f>
        <v>0</v>
      </c>
      <c r="K46" s="164">
        <f t="shared" si="3"/>
        <v>0</v>
      </c>
      <c r="L46" s="165">
        <f>J46+K46</f>
        <v>0</v>
      </c>
      <c r="M46" s="107" t="s">
        <v>47</v>
      </c>
      <c r="N46" s="108" t="s">
        <v>47</v>
      </c>
      <c r="O46" s="106" t="s">
        <v>47</v>
      </c>
      <c r="P46" s="109"/>
      <c r="R46" s="53"/>
      <c r="S46" s="53"/>
    </row>
    <row r="47" spans="1:19" s="41" customFormat="1" ht="24" hidden="1" x14ac:dyDescent="0.25">
      <c r="A47" s="76">
        <v>21499</v>
      </c>
      <c r="B47" s="127" t="s">
        <v>66</v>
      </c>
      <c r="C47" s="638">
        <f>F47+I47+L47</f>
        <v>0</v>
      </c>
      <c r="D47" s="68"/>
      <c r="E47" s="69"/>
      <c r="F47" s="70">
        <f>D47+E47</f>
        <v>0</v>
      </c>
      <c r="G47" s="167"/>
      <c r="H47" s="71"/>
      <c r="I47" s="72">
        <f>G47+H47</f>
        <v>0</v>
      </c>
      <c r="J47" s="68"/>
      <c r="K47" s="71"/>
      <c r="L47" s="72">
        <f>J47+K47</f>
        <v>0</v>
      </c>
      <c r="M47" s="152" t="s">
        <v>47</v>
      </c>
      <c r="N47" s="145" t="s">
        <v>47</v>
      </c>
      <c r="O47" s="148" t="s">
        <v>47</v>
      </c>
      <c r="P47" s="153"/>
      <c r="R47" s="53"/>
      <c r="S47" s="53"/>
    </row>
    <row r="48" spans="1:19" ht="24" hidden="1" x14ac:dyDescent="0.25">
      <c r="A48" s="168">
        <v>23000</v>
      </c>
      <c r="B48" s="169" t="s">
        <v>67</v>
      </c>
      <c r="C48" s="634">
        <f>O48</f>
        <v>0</v>
      </c>
      <c r="D48" s="170" t="s">
        <v>47</v>
      </c>
      <c r="E48" s="171" t="s">
        <v>47</v>
      </c>
      <c r="F48" s="172" t="s">
        <v>47</v>
      </c>
      <c r="G48" s="170" t="s">
        <v>47</v>
      </c>
      <c r="H48" s="173" t="s">
        <v>47</v>
      </c>
      <c r="I48" s="174" t="s">
        <v>47</v>
      </c>
      <c r="J48" s="170" t="s">
        <v>47</v>
      </c>
      <c r="K48" s="173" t="s">
        <v>47</v>
      </c>
      <c r="L48" s="174" t="s">
        <v>47</v>
      </c>
      <c r="M48" s="175">
        <f>SUM(M49:M50)</f>
        <v>0</v>
      </c>
      <c r="N48" s="176">
        <f>SUM(N49:N50)</f>
        <v>0</v>
      </c>
      <c r="O48" s="177">
        <f>M48+N48</f>
        <v>0</v>
      </c>
      <c r="P48" s="109"/>
      <c r="R48" s="53"/>
      <c r="S48" s="53"/>
    </row>
    <row r="49" spans="1:19" ht="24" hidden="1" x14ac:dyDescent="0.25">
      <c r="A49" s="178">
        <v>23410</v>
      </c>
      <c r="B49" s="179" t="s">
        <v>68</v>
      </c>
      <c r="C49" s="194">
        <f>O49</f>
        <v>0</v>
      </c>
      <c r="D49" s="181" t="s">
        <v>47</v>
      </c>
      <c r="E49" s="182" t="s">
        <v>47</v>
      </c>
      <c r="F49" s="183" t="s">
        <v>47</v>
      </c>
      <c r="G49" s="181" t="s">
        <v>47</v>
      </c>
      <c r="H49" s="184" t="s">
        <v>47</v>
      </c>
      <c r="I49" s="185" t="s">
        <v>47</v>
      </c>
      <c r="J49" s="181" t="s">
        <v>47</v>
      </c>
      <c r="K49" s="184" t="s">
        <v>47</v>
      </c>
      <c r="L49" s="185" t="s">
        <v>47</v>
      </c>
      <c r="M49" s="186"/>
      <c r="N49" s="187"/>
      <c r="O49" s="188">
        <f>M49+N49</f>
        <v>0</v>
      </c>
      <c r="P49" s="189"/>
      <c r="R49" s="53"/>
      <c r="S49" s="53"/>
    </row>
    <row r="50" spans="1:19" ht="24" hidden="1" x14ac:dyDescent="0.25">
      <c r="A50" s="178">
        <v>23510</v>
      </c>
      <c r="B50" s="179" t="s">
        <v>69</v>
      </c>
      <c r="C50" s="194">
        <f>O50</f>
        <v>0</v>
      </c>
      <c r="D50" s="181" t="s">
        <v>47</v>
      </c>
      <c r="E50" s="182" t="s">
        <v>47</v>
      </c>
      <c r="F50" s="183" t="s">
        <v>47</v>
      </c>
      <c r="G50" s="181" t="s">
        <v>47</v>
      </c>
      <c r="H50" s="184" t="s">
        <v>47</v>
      </c>
      <c r="I50" s="185" t="s">
        <v>47</v>
      </c>
      <c r="J50" s="181" t="s">
        <v>47</v>
      </c>
      <c r="K50" s="184" t="s">
        <v>47</v>
      </c>
      <c r="L50" s="185" t="s">
        <v>47</v>
      </c>
      <c r="M50" s="186"/>
      <c r="N50" s="187"/>
      <c r="O50" s="188">
        <f>M50+N50</f>
        <v>0</v>
      </c>
      <c r="P50" s="189"/>
      <c r="R50" s="53"/>
      <c r="S50" s="53"/>
    </row>
    <row r="51" spans="1:19" x14ac:dyDescent="0.25">
      <c r="A51" s="190"/>
      <c r="B51" s="179"/>
      <c r="C51" s="257"/>
      <c r="D51" s="192"/>
      <c r="E51" s="689"/>
      <c r="F51" s="454"/>
      <c r="G51" s="192"/>
      <c r="H51" s="195"/>
      <c r="I51" s="185"/>
      <c r="J51" s="196"/>
      <c r="K51" s="197"/>
      <c r="L51" s="188"/>
      <c r="M51" s="186"/>
      <c r="N51" s="187"/>
      <c r="O51" s="188"/>
      <c r="P51" s="189"/>
      <c r="R51" s="53"/>
      <c r="S51" s="53"/>
    </row>
    <row r="52" spans="1:19" s="41" customFormat="1" x14ac:dyDescent="0.25">
      <c r="A52" s="198"/>
      <c r="B52" s="199" t="s">
        <v>70</v>
      </c>
      <c r="C52" s="640"/>
      <c r="D52" s="201"/>
      <c r="E52" s="207"/>
      <c r="F52" s="770"/>
      <c r="G52" s="201"/>
      <c r="H52" s="204"/>
      <c r="I52" s="205"/>
      <c r="J52" s="201"/>
      <c r="K52" s="204"/>
      <c r="L52" s="205"/>
      <c r="M52" s="206"/>
      <c r="N52" s="207"/>
      <c r="O52" s="205"/>
      <c r="P52" s="208"/>
      <c r="R52" s="53"/>
      <c r="S52" s="53"/>
    </row>
    <row r="53" spans="1:19" s="41" customFormat="1" ht="12.75" thickBot="1" x14ac:dyDescent="0.3">
      <c r="A53" s="209"/>
      <c r="B53" s="42" t="s">
        <v>71</v>
      </c>
      <c r="C53" s="213">
        <f t="shared" ref="C53:C116" si="4">F53+I53+L53+O53</f>
        <v>858379</v>
      </c>
      <c r="D53" s="211">
        <f>SUM(D54,D284)</f>
        <v>838333</v>
      </c>
      <c r="E53" s="217">
        <f>SUM(E54,E284)</f>
        <v>0</v>
      </c>
      <c r="F53" s="463">
        <f t="shared" ref="F53:F117" si="5">D53+E53</f>
        <v>838333</v>
      </c>
      <c r="G53" s="211">
        <f>SUM(G54,G284)</f>
        <v>0</v>
      </c>
      <c r="H53" s="214">
        <f>SUM(H54,H284)</f>
        <v>0</v>
      </c>
      <c r="I53" s="215">
        <f t="shared" ref="I53:I117" si="6">G53+H53</f>
        <v>0</v>
      </c>
      <c r="J53" s="211">
        <f>SUM(J54,J284)</f>
        <v>20046</v>
      </c>
      <c r="K53" s="214">
        <f>SUM(K54,K284)</f>
        <v>0</v>
      </c>
      <c r="L53" s="215">
        <f t="shared" ref="L53:L117" si="7">J53+K53</f>
        <v>20046</v>
      </c>
      <c r="M53" s="216">
        <f>SUM(M54,M284)</f>
        <v>0</v>
      </c>
      <c r="N53" s="217">
        <f>SUM(N54,N284)</f>
        <v>0</v>
      </c>
      <c r="O53" s="215">
        <f t="shared" ref="O53:O117" si="8">M53+N53</f>
        <v>0</v>
      </c>
      <c r="P53" s="52"/>
      <c r="R53" s="53"/>
      <c r="S53" s="53"/>
    </row>
    <row r="54" spans="1:19" s="41" customFormat="1" ht="36.75" thickTop="1" x14ac:dyDescent="0.25">
      <c r="A54" s="218"/>
      <c r="B54" s="219" t="s">
        <v>72</v>
      </c>
      <c r="C54" s="223">
        <f t="shared" si="4"/>
        <v>858379</v>
      </c>
      <c r="D54" s="221">
        <f>SUM(D55,D197)</f>
        <v>838333</v>
      </c>
      <c r="E54" s="227">
        <f>SUM(E55,E197)</f>
        <v>0</v>
      </c>
      <c r="F54" s="464">
        <f t="shared" si="5"/>
        <v>838333</v>
      </c>
      <c r="G54" s="221">
        <f>SUM(G55,G197)</f>
        <v>0</v>
      </c>
      <c r="H54" s="224">
        <f>SUM(H55,H197)</f>
        <v>0</v>
      </c>
      <c r="I54" s="225">
        <f t="shared" si="6"/>
        <v>0</v>
      </c>
      <c r="J54" s="221">
        <f>SUM(J55,J197)</f>
        <v>20046</v>
      </c>
      <c r="K54" s="224">
        <f>SUM(K55,K197)</f>
        <v>0</v>
      </c>
      <c r="L54" s="225">
        <f t="shared" si="7"/>
        <v>20046</v>
      </c>
      <c r="M54" s="226">
        <f>SUM(M55,M197)</f>
        <v>0</v>
      </c>
      <c r="N54" s="227">
        <f>SUM(N55,N197)</f>
        <v>0</v>
      </c>
      <c r="O54" s="225">
        <f t="shared" si="8"/>
        <v>0</v>
      </c>
      <c r="P54" s="228"/>
      <c r="R54" s="53"/>
      <c r="S54" s="53"/>
    </row>
    <row r="55" spans="1:19" s="41" customFormat="1" ht="24" x14ac:dyDescent="0.25">
      <c r="A55" s="35"/>
      <c r="B55" s="30" t="s">
        <v>73</v>
      </c>
      <c r="C55" s="232">
        <f t="shared" si="4"/>
        <v>841482</v>
      </c>
      <c r="D55" s="230">
        <f>SUM(D56,D78,D176,D190)</f>
        <v>821436</v>
      </c>
      <c r="E55" s="235">
        <f>SUM(E56,E78,E176,E190)</f>
        <v>0</v>
      </c>
      <c r="F55" s="459">
        <f t="shared" si="5"/>
        <v>821436</v>
      </c>
      <c r="G55" s="230">
        <f>SUM(G56,G78,G176,G190)</f>
        <v>0</v>
      </c>
      <c r="H55" s="233">
        <f>SUM(H56,H78,H176,H190)</f>
        <v>0</v>
      </c>
      <c r="I55" s="234">
        <f t="shared" si="6"/>
        <v>0</v>
      </c>
      <c r="J55" s="230">
        <f>SUM(J56,J78,J176,J190)</f>
        <v>20046</v>
      </c>
      <c r="K55" s="233">
        <f>SUM(K56,K78,K176,K190)</f>
        <v>0</v>
      </c>
      <c r="L55" s="234">
        <f t="shared" si="7"/>
        <v>20046</v>
      </c>
      <c r="M55" s="53">
        <f>SUM(M56,M78,M176,M190)</f>
        <v>0</v>
      </c>
      <c r="N55" s="235">
        <f>SUM(N56,N78,N176,N190)</f>
        <v>0</v>
      </c>
      <c r="O55" s="234">
        <f t="shared" si="8"/>
        <v>0</v>
      </c>
      <c r="P55" s="236"/>
      <c r="R55" s="53"/>
      <c r="S55" s="53"/>
    </row>
    <row r="56" spans="1:19" s="41" customFormat="1" x14ac:dyDescent="0.25">
      <c r="A56" s="237">
        <v>1000</v>
      </c>
      <c r="B56" s="237" t="s">
        <v>74</v>
      </c>
      <c r="C56" s="241">
        <f t="shared" si="4"/>
        <v>646332</v>
      </c>
      <c r="D56" s="239">
        <f>SUM(D57,D70)</f>
        <v>647832</v>
      </c>
      <c r="E56" s="245">
        <f>SUM(E57,E70)</f>
        <v>-1500</v>
      </c>
      <c r="F56" s="320">
        <f t="shared" si="5"/>
        <v>646332</v>
      </c>
      <c r="G56" s="239">
        <f>SUM(G57,G70)</f>
        <v>0</v>
      </c>
      <c r="H56" s="242">
        <f>SUM(H57,H70)</f>
        <v>0</v>
      </c>
      <c r="I56" s="243">
        <f t="shared" si="6"/>
        <v>0</v>
      </c>
      <c r="J56" s="239">
        <f>SUM(J57,J70)</f>
        <v>0</v>
      </c>
      <c r="K56" s="242">
        <f>SUM(K57,K70)</f>
        <v>0</v>
      </c>
      <c r="L56" s="243">
        <f t="shared" si="7"/>
        <v>0</v>
      </c>
      <c r="M56" s="244">
        <f>SUM(M57,M70)</f>
        <v>0</v>
      </c>
      <c r="N56" s="245">
        <f>SUM(N57,N70)</f>
        <v>0</v>
      </c>
      <c r="O56" s="243">
        <f t="shared" si="8"/>
        <v>0</v>
      </c>
      <c r="P56" s="246"/>
      <c r="R56" s="53"/>
      <c r="S56" s="53"/>
    </row>
    <row r="57" spans="1:19" x14ac:dyDescent="0.25">
      <c r="A57" s="99">
        <v>1100</v>
      </c>
      <c r="B57" s="247" t="s">
        <v>75</v>
      </c>
      <c r="C57" s="249">
        <f t="shared" si="4"/>
        <v>504165</v>
      </c>
      <c r="D57" s="112">
        <f>SUM(D58,D61,D69)</f>
        <v>505665</v>
      </c>
      <c r="E57" s="293">
        <f>SUM(E58,E61,E69)</f>
        <v>-1500</v>
      </c>
      <c r="F57" s="313">
        <f t="shared" si="5"/>
        <v>504165</v>
      </c>
      <c r="G57" s="112">
        <f>SUM(G58,G61,G69)</f>
        <v>0</v>
      </c>
      <c r="H57" s="113">
        <f>SUM(H58,H61,H69)</f>
        <v>0</v>
      </c>
      <c r="I57" s="114">
        <f t="shared" si="6"/>
        <v>0</v>
      </c>
      <c r="J57" s="112">
        <f>SUM(J58,J61,J69)</f>
        <v>0</v>
      </c>
      <c r="K57" s="113">
        <f>SUM(K58,K61,K69)</f>
        <v>0</v>
      </c>
      <c r="L57" s="114">
        <f t="shared" si="7"/>
        <v>0</v>
      </c>
      <c r="M57" s="250">
        <f>SUM(M58,M61,M69)</f>
        <v>0</v>
      </c>
      <c r="N57" s="251">
        <f>SUM(N58,N61,N69)</f>
        <v>0</v>
      </c>
      <c r="O57" s="252">
        <f t="shared" si="8"/>
        <v>0</v>
      </c>
      <c r="P57" s="253"/>
      <c r="R57" s="53"/>
      <c r="S57" s="53"/>
    </row>
    <row r="58" spans="1:19" x14ac:dyDescent="0.25">
      <c r="A58" s="254">
        <v>1110</v>
      </c>
      <c r="B58" s="179" t="s">
        <v>76</v>
      </c>
      <c r="C58" s="257">
        <f t="shared" si="4"/>
        <v>446604</v>
      </c>
      <c r="D58" s="255">
        <f>SUM(D59:D60)</f>
        <v>446604</v>
      </c>
      <c r="E58" s="261">
        <f>SUM(E59:E60)</f>
        <v>0</v>
      </c>
      <c r="F58" s="310">
        <f t="shared" si="5"/>
        <v>446604</v>
      </c>
      <c r="G58" s="255">
        <f>SUM(G59:G60)</f>
        <v>0</v>
      </c>
      <c r="H58" s="258">
        <f>SUM(H59:H60)</f>
        <v>0</v>
      </c>
      <c r="I58" s="259">
        <f t="shared" si="6"/>
        <v>0</v>
      </c>
      <c r="J58" s="255">
        <f>SUM(J59:J60)</f>
        <v>0</v>
      </c>
      <c r="K58" s="258">
        <f>SUM(K59:K60)</f>
        <v>0</v>
      </c>
      <c r="L58" s="259">
        <f t="shared" si="7"/>
        <v>0</v>
      </c>
      <c r="M58" s="260">
        <f>SUM(M59:M60)</f>
        <v>0</v>
      </c>
      <c r="N58" s="261">
        <f>SUM(N59:N60)</f>
        <v>0</v>
      </c>
      <c r="O58" s="259">
        <f t="shared" si="8"/>
        <v>0</v>
      </c>
      <c r="P58" s="189"/>
      <c r="R58" s="53"/>
      <c r="S58" s="53"/>
    </row>
    <row r="59" spans="1:19" x14ac:dyDescent="0.25">
      <c r="A59" s="66">
        <v>1111</v>
      </c>
      <c r="B59" s="116" t="s">
        <v>77</v>
      </c>
      <c r="C59" s="296">
        <f t="shared" si="4"/>
        <v>38762</v>
      </c>
      <c r="D59" s="123">
        <f>32962-5800+11600</f>
        <v>38762</v>
      </c>
      <c r="E59" s="262"/>
      <c r="F59" s="263">
        <f t="shared" si="5"/>
        <v>38762</v>
      </c>
      <c r="G59" s="123"/>
      <c r="H59" s="124"/>
      <c r="I59" s="125">
        <f t="shared" si="6"/>
        <v>0</v>
      </c>
      <c r="J59" s="123">
        <v>0</v>
      </c>
      <c r="K59" s="124"/>
      <c r="L59" s="125">
        <f t="shared" si="7"/>
        <v>0</v>
      </c>
      <c r="M59" s="264"/>
      <c r="N59" s="262"/>
      <c r="O59" s="125">
        <f t="shared" si="8"/>
        <v>0</v>
      </c>
      <c r="P59" s="74"/>
      <c r="R59" s="53"/>
      <c r="S59" s="53"/>
    </row>
    <row r="60" spans="1:19" ht="24" x14ac:dyDescent="0.25">
      <c r="A60" s="76">
        <v>1119</v>
      </c>
      <c r="B60" s="127" t="s">
        <v>78</v>
      </c>
      <c r="C60" s="279">
        <f t="shared" si="4"/>
        <v>407842</v>
      </c>
      <c r="D60" s="134">
        <f>415497-6655-1000</f>
        <v>407842</v>
      </c>
      <c r="E60" s="285"/>
      <c r="F60" s="286">
        <f t="shared" si="5"/>
        <v>407842</v>
      </c>
      <c r="G60" s="134"/>
      <c r="H60" s="135"/>
      <c r="I60" s="136">
        <f t="shared" si="6"/>
        <v>0</v>
      </c>
      <c r="J60" s="134">
        <v>0</v>
      </c>
      <c r="K60" s="135"/>
      <c r="L60" s="136">
        <f t="shared" si="7"/>
        <v>0</v>
      </c>
      <c r="M60" s="284"/>
      <c r="N60" s="285"/>
      <c r="O60" s="136">
        <f t="shared" si="8"/>
        <v>0</v>
      </c>
      <c r="P60" s="85"/>
      <c r="R60" s="53"/>
      <c r="S60" s="53"/>
    </row>
    <row r="61" spans="1:19" ht="24" x14ac:dyDescent="0.25">
      <c r="A61" s="276">
        <v>1140</v>
      </c>
      <c r="B61" s="127" t="s">
        <v>79</v>
      </c>
      <c r="C61" s="279">
        <f t="shared" si="4"/>
        <v>35799</v>
      </c>
      <c r="D61" s="277">
        <f>SUM(D62:D68)</f>
        <v>35799</v>
      </c>
      <c r="E61" s="282">
        <f>SUM(E62:E68)</f>
        <v>0</v>
      </c>
      <c r="F61" s="286">
        <f>D61+E61</f>
        <v>35799</v>
      </c>
      <c r="G61" s="277">
        <f>SUM(G62:G68)</f>
        <v>0</v>
      </c>
      <c r="H61" s="280">
        <f>SUM(H62:H68)</f>
        <v>0</v>
      </c>
      <c r="I61" s="136">
        <f t="shared" si="6"/>
        <v>0</v>
      </c>
      <c r="J61" s="277">
        <f>SUM(J62:J68)</f>
        <v>0</v>
      </c>
      <c r="K61" s="280">
        <f>SUM(K62:K68)</f>
        <v>0</v>
      </c>
      <c r="L61" s="136">
        <f t="shared" si="7"/>
        <v>0</v>
      </c>
      <c r="M61" s="281">
        <f>SUM(M62:M68)</f>
        <v>0</v>
      </c>
      <c r="N61" s="282">
        <f>SUM(N62:N68)</f>
        <v>0</v>
      </c>
      <c r="O61" s="136">
        <f t="shared" si="8"/>
        <v>0</v>
      </c>
      <c r="P61" s="85"/>
      <c r="R61" s="53"/>
      <c r="S61" s="53"/>
    </row>
    <row r="62" spans="1:19" hidden="1" x14ac:dyDescent="0.25">
      <c r="A62" s="76">
        <v>1141</v>
      </c>
      <c r="B62" s="127" t="s">
        <v>80</v>
      </c>
      <c r="C62" s="279">
        <f t="shared" si="4"/>
        <v>0</v>
      </c>
      <c r="D62" s="134">
        <v>0</v>
      </c>
      <c r="E62" s="285"/>
      <c r="F62" s="286">
        <f t="shared" si="5"/>
        <v>0</v>
      </c>
      <c r="G62" s="134"/>
      <c r="H62" s="135"/>
      <c r="I62" s="136">
        <f t="shared" si="6"/>
        <v>0</v>
      </c>
      <c r="J62" s="134">
        <v>0</v>
      </c>
      <c r="K62" s="135"/>
      <c r="L62" s="136">
        <f t="shared" si="7"/>
        <v>0</v>
      </c>
      <c r="M62" s="284"/>
      <c r="N62" s="285"/>
      <c r="O62" s="136">
        <f t="shared" si="8"/>
        <v>0</v>
      </c>
      <c r="P62" s="85"/>
      <c r="R62" s="53"/>
      <c r="S62" s="53"/>
    </row>
    <row r="63" spans="1:19" ht="24" x14ac:dyDescent="0.25">
      <c r="A63" s="76">
        <v>1142</v>
      </c>
      <c r="B63" s="127" t="s">
        <v>81</v>
      </c>
      <c r="C63" s="279">
        <f t="shared" si="4"/>
        <v>3558</v>
      </c>
      <c r="D63" s="134">
        <v>3558</v>
      </c>
      <c r="E63" s="285"/>
      <c r="F63" s="286">
        <f t="shared" si="5"/>
        <v>3558</v>
      </c>
      <c r="G63" s="134"/>
      <c r="H63" s="135"/>
      <c r="I63" s="136">
        <f t="shared" si="6"/>
        <v>0</v>
      </c>
      <c r="J63" s="134">
        <v>0</v>
      </c>
      <c r="K63" s="135"/>
      <c r="L63" s="136">
        <f t="shared" si="7"/>
        <v>0</v>
      </c>
      <c r="M63" s="284"/>
      <c r="N63" s="285"/>
      <c r="O63" s="136">
        <f t="shared" si="8"/>
        <v>0</v>
      </c>
      <c r="P63" s="85"/>
      <c r="R63" s="53"/>
      <c r="S63" s="53"/>
    </row>
    <row r="64" spans="1:19" ht="24" hidden="1" x14ac:dyDescent="0.25">
      <c r="A64" s="76">
        <v>1145</v>
      </c>
      <c r="B64" s="127" t="s">
        <v>82</v>
      </c>
      <c r="C64" s="279">
        <f t="shared" si="4"/>
        <v>0</v>
      </c>
      <c r="D64" s="134">
        <v>0</v>
      </c>
      <c r="E64" s="285"/>
      <c r="F64" s="286">
        <f t="shared" si="5"/>
        <v>0</v>
      </c>
      <c r="G64" s="134"/>
      <c r="H64" s="135"/>
      <c r="I64" s="136">
        <f t="shared" si="6"/>
        <v>0</v>
      </c>
      <c r="J64" s="134">
        <v>0</v>
      </c>
      <c r="K64" s="135"/>
      <c r="L64" s="136">
        <f t="shared" si="7"/>
        <v>0</v>
      </c>
      <c r="M64" s="284"/>
      <c r="N64" s="285"/>
      <c r="O64" s="136">
        <f t="shared" si="8"/>
        <v>0</v>
      </c>
      <c r="P64" s="85"/>
      <c r="R64" s="53"/>
      <c r="S64" s="53"/>
    </row>
    <row r="65" spans="1:19" ht="24" x14ac:dyDescent="0.25">
      <c r="A65" s="76">
        <v>1146</v>
      </c>
      <c r="B65" s="127" t="s">
        <v>83</v>
      </c>
      <c r="C65" s="279">
        <f t="shared" si="4"/>
        <v>16920</v>
      </c>
      <c r="D65" s="134">
        <v>16920</v>
      </c>
      <c r="E65" s="285"/>
      <c r="F65" s="286">
        <f t="shared" si="5"/>
        <v>16920</v>
      </c>
      <c r="G65" s="134"/>
      <c r="H65" s="135"/>
      <c r="I65" s="136">
        <f t="shared" si="6"/>
        <v>0</v>
      </c>
      <c r="J65" s="134">
        <v>0</v>
      </c>
      <c r="K65" s="135"/>
      <c r="L65" s="136">
        <f t="shared" si="7"/>
        <v>0</v>
      </c>
      <c r="M65" s="284"/>
      <c r="N65" s="285"/>
      <c r="O65" s="136">
        <f t="shared" si="8"/>
        <v>0</v>
      </c>
      <c r="P65" s="85"/>
      <c r="R65" s="53"/>
      <c r="S65" s="53"/>
    </row>
    <row r="66" spans="1:19" x14ac:dyDescent="0.25">
      <c r="A66" s="76">
        <v>1147</v>
      </c>
      <c r="B66" s="127" t="s">
        <v>84</v>
      </c>
      <c r="C66" s="279">
        <f t="shared" si="4"/>
        <v>5380</v>
      </c>
      <c r="D66" s="134">
        <v>5380</v>
      </c>
      <c r="E66" s="285"/>
      <c r="F66" s="286">
        <f t="shared" si="5"/>
        <v>5380</v>
      </c>
      <c r="G66" s="134"/>
      <c r="H66" s="135"/>
      <c r="I66" s="136">
        <f t="shared" si="6"/>
        <v>0</v>
      </c>
      <c r="J66" s="134">
        <v>0</v>
      </c>
      <c r="K66" s="135"/>
      <c r="L66" s="136">
        <f t="shared" si="7"/>
        <v>0</v>
      </c>
      <c r="M66" s="284"/>
      <c r="N66" s="285"/>
      <c r="O66" s="136">
        <f t="shared" si="8"/>
        <v>0</v>
      </c>
      <c r="P66" s="85"/>
      <c r="R66" s="53"/>
      <c r="S66" s="53"/>
    </row>
    <row r="67" spans="1:19" x14ac:dyDescent="0.25">
      <c r="A67" s="76">
        <v>1148</v>
      </c>
      <c r="B67" s="127" t="s">
        <v>85</v>
      </c>
      <c r="C67" s="279">
        <f t="shared" si="4"/>
        <v>9941</v>
      </c>
      <c r="D67" s="134">
        <v>9941</v>
      </c>
      <c r="E67" s="285"/>
      <c r="F67" s="286">
        <f t="shared" si="5"/>
        <v>9941</v>
      </c>
      <c r="G67" s="134"/>
      <c r="H67" s="135"/>
      <c r="I67" s="136">
        <f t="shared" si="6"/>
        <v>0</v>
      </c>
      <c r="J67" s="134">
        <v>0</v>
      </c>
      <c r="K67" s="135"/>
      <c r="L67" s="136">
        <f t="shared" si="7"/>
        <v>0</v>
      </c>
      <c r="M67" s="284"/>
      <c r="N67" s="285"/>
      <c r="O67" s="136">
        <f t="shared" si="8"/>
        <v>0</v>
      </c>
      <c r="P67" s="85"/>
      <c r="R67" s="53"/>
      <c r="S67" s="53"/>
    </row>
    <row r="68" spans="1:19" ht="36" hidden="1" x14ac:dyDescent="0.25">
      <c r="A68" s="76">
        <v>1149</v>
      </c>
      <c r="B68" s="127" t="s">
        <v>86</v>
      </c>
      <c r="C68" s="279">
        <f t="shared" si="4"/>
        <v>0</v>
      </c>
      <c r="D68" s="134">
        <v>0</v>
      </c>
      <c r="E68" s="285"/>
      <c r="F68" s="286">
        <f t="shared" si="5"/>
        <v>0</v>
      </c>
      <c r="G68" s="134"/>
      <c r="H68" s="135"/>
      <c r="I68" s="136">
        <f t="shared" si="6"/>
        <v>0</v>
      </c>
      <c r="J68" s="134">
        <v>0</v>
      </c>
      <c r="K68" s="135"/>
      <c r="L68" s="136">
        <f t="shared" si="7"/>
        <v>0</v>
      </c>
      <c r="M68" s="284"/>
      <c r="N68" s="285"/>
      <c r="O68" s="136">
        <f t="shared" si="8"/>
        <v>0</v>
      </c>
      <c r="P68" s="85"/>
      <c r="R68" s="53"/>
      <c r="S68" s="53"/>
    </row>
    <row r="69" spans="1:19" ht="36" x14ac:dyDescent="0.25">
      <c r="A69" s="254">
        <v>1150</v>
      </c>
      <c r="B69" s="179" t="s">
        <v>87</v>
      </c>
      <c r="C69" s="279">
        <f t="shared" si="4"/>
        <v>21762</v>
      </c>
      <c r="D69" s="287">
        <f>26862-4100+500</f>
        <v>23262</v>
      </c>
      <c r="E69" s="291">
        <v>-1500</v>
      </c>
      <c r="F69" s="310">
        <f t="shared" si="5"/>
        <v>21762</v>
      </c>
      <c r="G69" s="287"/>
      <c r="H69" s="289"/>
      <c r="I69" s="259">
        <f t="shared" si="6"/>
        <v>0</v>
      </c>
      <c r="J69" s="287">
        <v>0</v>
      </c>
      <c r="K69" s="289"/>
      <c r="L69" s="259">
        <f t="shared" si="7"/>
        <v>0</v>
      </c>
      <c r="M69" s="290"/>
      <c r="N69" s="291"/>
      <c r="O69" s="259">
        <f t="shared" si="8"/>
        <v>0</v>
      </c>
      <c r="P69" s="771"/>
      <c r="R69" s="53"/>
      <c r="S69" s="53"/>
    </row>
    <row r="70" spans="1:19" ht="36" x14ac:dyDescent="0.25">
      <c r="A70" s="99">
        <v>1200</v>
      </c>
      <c r="B70" s="247" t="s">
        <v>88</v>
      </c>
      <c r="C70" s="249">
        <f t="shared" si="4"/>
        <v>142167</v>
      </c>
      <c r="D70" s="112">
        <f>SUM(D71:D72)</f>
        <v>142167</v>
      </c>
      <c r="E70" s="293">
        <f>SUM(E71:E72)</f>
        <v>0</v>
      </c>
      <c r="F70" s="313">
        <f>D70+E70</f>
        <v>142167</v>
      </c>
      <c r="G70" s="112">
        <f>SUM(G71:G72)</f>
        <v>0</v>
      </c>
      <c r="H70" s="113">
        <f>SUM(H71:H72)</f>
        <v>0</v>
      </c>
      <c r="I70" s="114">
        <f t="shared" si="6"/>
        <v>0</v>
      </c>
      <c r="J70" s="112">
        <f>SUM(J71:J72)</f>
        <v>0</v>
      </c>
      <c r="K70" s="113">
        <f>SUM(K71:K72)</f>
        <v>0</v>
      </c>
      <c r="L70" s="114">
        <f t="shared" si="7"/>
        <v>0</v>
      </c>
      <c r="M70" s="292">
        <f>SUM(M71:M72)</f>
        <v>0</v>
      </c>
      <c r="N70" s="293">
        <f>SUM(N71:N72)</f>
        <v>0</v>
      </c>
      <c r="O70" s="114">
        <f t="shared" si="8"/>
        <v>0</v>
      </c>
      <c r="P70" s="109"/>
      <c r="R70" s="53"/>
      <c r="S70" s="53"/>
    </row>
    <row r="71" spans="1:19" ht="24" x14ac:dyDescent="0.25">
      <c r="A71" s="656">
        <v>1210</v>
      </c>
      <c r="B71" s="116" t="s">
        <v>89</v>
      </c>
      <c r="C71" s="296">
        <f t="shared" si="4"/>
        <v>123565</v>
      </c>
      <c r="D71" s="123">
        <v>123565</v>
      </c>
      <c r="E71" s="262"/>
      <c r="F71" s="263">
        <f t="shared" si="5"/>
        <v>123565</v>
      </c>
      <c r="G71" s="123"/>
      <c r="H71" s="124"/>
      <c r="I71" s="125">
        <f t="shared" si="6"/>
        <v>0</v>
      </c>
      <c r="J71" s="123">
        <v>0</v>
      </c>
      <c r="K71" s="124"/>
      <c r="L71" s="125">
        <f t="shared" si="7"/>
        <v>0</v>
      </c>
      <c r="M71" s="264"/>
      <c r="N71" s="262"/>
      <c r="O71" s="125">
        <f t="shared" si="8"/>
        <v>0</v>
      </c>
      <c r="P71" s="74"/>
      <c r="R71" s="53"/>
      <c r="S71" s="53"/>
    </row>
    <row r="72" spans="1:19" ht="24" x14ac:dyDescent="0.25">
      <c r="A72" s="276">
        <v>1220</v>
      </c>
      <c r="B72" s="127" t="s">
        <v>90</v>
      </c>
      <c r="C72" s="279">
        <f t="shared" si="4"/>
        <v>18602</v>
      </c>
      <c r="D72" s="277">
        <f>SUM(D73:D77)</f>
        <v>18602</v>
      </c>
      <c r="E72" s="282">
        <f>SUM(E73:E77)</f>
        <v>0</v>
      </c>
      <c r="F72" s="286">
        <f t="shared" si="5"/>
        <v>18602</v>
      </c>
      <c r="G72" s="277">
        <f>SUM(G73:G77)</f>
        <v>0</v>
      </c>
      <c r="H72" s="280">
        <f>SUM(H73:H77)</f>
        <v>0</v>
      </c>
      <c r="I72" s="136">
        <f t="shared" si="6"/>
        <v>0</v>
      </c>
      <c r="J72" s="277">
        <f>SUM(J73:J77)</f>
        <v>0</v>
      </c>
      <c r="K72" s="280">
        <f>SUM(K73:K77)</f>
        <v>0</v>
      </c>
      <c r="L72" s="136">
        <f t="shared" si="7"/>
        <v>0</v>
      </c>
      <c r="M72" s="281">
        <f>SUM(M73:M77)</f>
        <v>0</v>
      </c>
      <c r="N72" s="282">
        <f>SUM(N73:N77)</f>
        <v>0</v>
      </c>
      <c r="O72" s="136">
        <f t="shared" si="8"/>
        <v>0</v>
      </c>
      <c r="P72" s="85"/>
      <c r="R72" s="53"/>
      <c r="S72" s="53"/>
    </row>
    <row r="73" spans="1:19" ht="60" x14ac:dyDescent="0.25">
      <c r="A73" s="76">
        <v>1221</v>
      </c>
      <c r="B73" s="127" t="s">
        <v>91</v>
      </c>
      <c r="C73" s="279">
        <f t="shared" si="4"/>
        <v>9627</v>
      </c>
      <c r="D73" s="134">
        <f>8627+1000</f>
        <v>9627</v>
      </c>
      <c r="E73" s="285"/>
      <c r="F73" s="286">
        <f t="shared" si="5"/>
        <v>9627</v>
      </c>
      <c r="G73" s="134"/>
      <c r="H73" s="135"/>
      <c r="I73" s="136">
        <f t="shared" si="6"/>
        <v>0</v>
      </c>
      <c r="J73" s="134">
        <v>0</v>
      </c>
      <c r="K73" s="135"/>
      <c r="L73" s="136">
        <f t="shared" si="7"/>
        <v>0</v>
      </c>
      <c r="M73" s="284"/>
      <c r="N73" s="285"/>
      <c r="O73" s="136">
        <f t="shared" si="8"/>
        <v>0</v>
      </c>
      <c r="P73" s="771"/>
      <c r="R73" s="53"/>
      <c r="S73" s="53"/>
    </row>
    <row r="74" spans="1:19" hidden="1" x14ac:dyDescent="0.25">
      <c r="A74" s="76">
        <v>1223</v>
      </c>
      <c r="B74" s="127" t="s">
        <v>92</v>
      </c>
      <c r="C74" s="279">
        <f t="shared" si="4"/>
        <v>0</v>
      </c>
      <c r="D74" s="134">
        <v>0</v>
      </c>
      <c r="E74" s="285"/>
      <c r="F74" s="286">
        <f t="shared" si="5"/>
        <v>0</v>
      </c>
      <c r="G74" s="134"/>
      <c r="H74" s="135"/>
      <c r="I74" s="136">
        <f t="shared" si="6"/>
        <v>0</v>
      </c>
      <c r="J74" s="134">
        <v>0</v>
      </c>
      <c r="K74" s="135"/>
      <c r="L74" s="136">
        <f t="shared" si="7"/>
        <v>0</v>
      </c>
      <c r="M74" s="284"/>
      <c r="N74" s="285"/>
      <c r="O74" s="136">
        <f t="shared" si="8"/>
        <v>0</v>
      </c>
      <c r="P74" s="85"/>
      <c r="R74" s="53"/>
      <c r="S74" s="53"/>
    </row>
    <row r="75" spans="1:19" hidden="1" x14ac:dyDescent="0.25">
      <c r="A75" s="76">
        <v>1225</v>
      </c>
      <c r="B75" s="127" t="s">
        <v>93</v>
      </c>
      <c r="C75" s="279">
        <f t="shared" si="4"/>
        <v>0</v>
      </c>
      <c r="D75" s="134">
        <v>0</v>
      </c>
      <c r="E75" s="285"/>
      <c r="F75" s="286">
        <f t="shared" si="5"/>
        <v>0</v>
      </c>
      <c r="G75" s="134"/>
      <c r="H75" s="135"/>
      <c r="I75" s="136">
        <f t="shared" si="6"/>
        <v>0</v>
      </c>
      <c r="J75" s="134">
        <v>0</v>
      </c>
      <c r="K75" s="135"/>
      <c r="L75" s="136">
        <f t="shared" si="7"/>
        <v>0</v>
      </c>
      <c r="M75" s="284"/>
      <c r="N75" s="285"/>
      <c r="O75" s="136">
        <f t="shared" si="8"/>
        <v>0</v>
      </c>
      <c r="P75" s="85"/>
      <c r="R75" s="53"/>
      <c r="S75" s="53"/>
    </row>
    <row r="76" spans="1:19" ht="36" x14ac:dyDescent="0.25">
      <c r="A76" s="76">
        <v>1227</v>
      </c>
      <c r="B76" s="127" t="s">
        <v>94</v>
      </c>
      <c r="C76" s="279">
        <f t="shared" si="4"/>
        <v>4065</v>
      </c>
      <c r="D76" s="134">
        <f>2065+2000</f>
        <v>4065</v>
      </c>
      <c r="E76" s="285"/>
      <c r="F76" s="286">
        <f t="shared" si="5"/>
        <v>4065</v>
      </c>
      <c r="G76" s="134"/>
      <c r="H76" s="135"/>
      <c r="I76" s="136">
        <f t="shared" si="6"/>
        <v>0</v>
      </c>
      <c r="J76" s="134">
        <v>0</v>
      </c>
      <c r="K76" s="135"/>
      <c r="L76" s="136">
        <f t="shared" si="7"/>
        <v>0</v>
      </c>
      <c r="M76" s="284"/>
      <c r="N76" s="285"/>
      <c r="O76" s="136">
        <f t="shared" si="8"/>
        <v>0</v>
      </c>
      <c r="P76" s="771"/>
      <c r="R76" s="53"/>
      <c r="S76" s="53"/>
    </row>
    <row r="77" spans="1:19" ht="60" x14ac:dyDescent="0.25">
      <c r="A77" s="76">
        <v>1228</v>
      </c>
      <c r="B77" s="127" t="s">
        <v>95</v>
      </c>
      <c r="C77" s="279">
        <f t="shared" si="4"/>
        <v>4910</v>
      </c>
      <c r="D77" s="134">
        <f>4055+855</f>
        <v>4910</v>
      </c>
      <c r="E77" s="285"/>
      <c r="F77" s="286">
        <f t="shared" si="5"/>
        <v>4910</v>
      </c>
      <c r="G77" s="134"/>
      <c r="H77" s="135"/>
      <c r="I77" s="136">
        <f t="shared" si="6"/>
        <v>0</v>
      </c>
      <c r="J77" s="134">
        <v>0</v>
      </c>
      <c r="K77" s="135"/>
      <c r="L77" s="136">
        <f t="shared" si="7"/>
        <v>0</v>
      </c>
      <c r="M77" s="284"/>
      <c r="N77" s="285"/>
      <c r="O77" s="136">
        <f t="shared" si="8"/>
        <v>0</v>
      </c>
      <c r="P77" s="85"/>
      <c r="R77" s="53"/>
      <c r="S77" s="53"/>
    </row>
    <row r="78" spans="1:19" x14ac:dyDescent="0.25">
      <c r="A78" s="237">
        <v>2000</v>
      </c>
      <c r="B78" s="237" t="s">
        <v>96</v>
      </c>
      <c r="C78" s="241">
        <f t="shared" si="4"/>
        <v>195150</v>
      </c>
      <c r="D78" s="239">
        <f>SUM(D79,D86,D133,D167,D168,D175)</f>
        <v>173604</v>
      </c>
      <c r="E78" s="245">
        <f>SUM(E79,E86,E133,E167,E168,E175)</f>
        <v>1500</v>
      </c>
      <c r="F78" s="320">
        <f t="shared" si="5"/>
        <v>175104</v>
      </c>
      <c r="G78" s="239">
        <f>SUM(G79,G86,G133,G167,G168,G175)</f>
        <v>0</v>
      </c>
      <c r="H78" s="242">
        <f>SUM(H79,H86,H133,H167,H168,H175)</f>
        <v>0</v>
      </c>
      <c r="I78" s="243">
        <f t="shared" si="6"/>
        <v>0</v>
      </c>
      <c r="J78" s="239">
        <f>SUM(J79,J86,J133,J167,J168,J175)</f>
        <v>20046</v>
      </c>
      <c r="K78" s="242">
        <f>SUM(K79,K86,K133,K167,K168,K175)</f>
        <v>0</v>
      </c>
      <c r="L78" s="243">
        <f t="shared" si="7"/>
        <v>20046</v>
      </c>
      <c r="M78" s="244">
        <f>SUM(M79,M86,M133,M167,M168,M175)</f>
        <v>0</v>
      </c>
      <c r="N78" s="245">
        <f>SUM(N79,N86,N133,N167,N168,N175)</f>
        <v>0</v>
      </c>
      <c r="O78" s="243">
        <f t="shared" si="8"/>
        <v>0</v>
      </c>
      <c r="P78" s="246"/>
      <c r="R78" s="53"/>
      <c r="S78" s="53"/>
    </row>
    <row r="79" spans="1:19" ht="24" x14ac:dyDescent="0.25">
      <c r="A79" s="99">
        <v>2100</v>
      </c>
      <c r="B79" s="247" t="s">
        <v>97</v>
      </c>
      <c r="C79" s="249">
        <f t="shared" si="4"/>
        <v>79766</v>
      </c>
      <c r="D79" s="112">
        <f>SUM(D80,D83)</f>
        <v>79766</v>
      </c>
      <c r="E79" s="293">
        <f>SUM(E80,E83)</f>
        <v>0</v>
      </c>
      <c r="F79" s="313">
        <f t="shared" si="5"/>
        <v>79766</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c r="R79" s="53"/>
      <c r="S79" s="53"/>
    </row>
    <row r="80" spans="1:19" ht="24" x14ac:dyDescent="0.25">
      <c r="A80" s="656">
        <v>2110</v>
      </c>
      <c r="B80" s="116" t="s">
        <v>98</v>
      </c>
      <c r="C80" s="296">
        <f t="shared" si="4"/>
        <v>1844</v>
      </c>
      <c r="D80" s="297">
        <f>SUM(D81:D82)</f>
        <v>1844</v>
      </c>
      <c r="E80" s="301">
        <f>SUM(E81:E82)</f>
        <v>0</v>
      </c>
      <c r="F80" s="263">
        <f t="shared" si="5"/>
        <v>1844</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c r="R80" s="53"/>
      <c r="S80" s="53"/>
    </row>
    <row r="81" spans="1:19" x14ac:dyDescent="0.25">
      <c r="A81" s="76">
        <v>2111</v>
      </c>
      <c r="B81" s="127" t="s">
        <v>99</v>
      </c>
      <c r="C81" s="279">
        <f t="shared" si="4"/>
        <v>844</v>
      </c>
      <c r="D81" s="134">
        <f>550+198+96</f>
        <v>844</v>
      </c>
      <c r="E81" s="285"/>
      <c r="F81" s="286">
        <f t="shared" si="5"/>
        <v>844</v>
      </c>
      <c r="G81" s="134"/>
      <c r="H81" s="135"/>
      <c r="I81" s="136">
        <f t="shared" si="6"/>
        <v>0</v>
      </c>
      <c r="J81" s="134">
        <v>0</v>
      </c>
      <c r="K81" s="135"/>
      <c r="L81" s="136">
        <f t="shared" si="7"/>
        <v>0</v>
      </c>
      <c r="M81" s="284"/>
      <c r="N81" s="285"/>
      <c r="O81" s="136">
        <f t="shared" si="8"/>
        <v>0</v>
      </c>
      <c r="P81" s="771"/>
      <c r="R81" s="53"/>
      <c r="S81" s="53"/>
    </row>
    <row r="82" spans="1:19" ht="24" x14ac:dyDescent="0.25">
      <c r="A82" s="76">
        <v>2112</v>
      </c>
      <c r="B82" s="127" t="s">
        <v>100</v>
      </c>
      <c r="C82" s="279">
        <f t="shared" si="4"/>
        <v>1000</v>
      </c>
      <c r="D82" s="134">
        <v>1000</v>
      </c>
      <c r="E82" s="285"/>
      <c r="F82" s="286">
        <f t="shared" si="5"/>
        <v>1000</v>
      </c>
      <c r="G82" s="134"/>
      <c r="H82" s="135"/>
      <c r="I82" s="136">
        <f t="shared" si="6"/>
        <v>0</v>
      </c>
      <c r="J82" s="134">
        <v>0</v>
      </c>
      <c r="K82" s="135"/>
      <c r="L82" s="136">
        <f t="shared" si="7"/>
        <v>0</v>
      </c>
      <c r="M82" s="284"/>
      <c r="N82" s="285"/>
      <c r="O82" s="136">
        <f t="shared" si="8"/>
        <v>0</v>
      </c>
      <c r="P82" s="85"/>
      <c r="R82" s="53"/>
      <c r="S82" s="53"/>
    </row>
    <row r="83" spans="1:19" ht="24" x14ac:dyDescent="0.25">
      <c r="A83" s="276">
        <v>2120</v>
      </c>
      <c r="B83" s="127" t="s">
        <v>101</v>
      </c>
      <c r="C83" s="279">
        <f t="shared" si="4"/>
        <v>77922</v>
      </c>
      <c r="D83" s="277">
        <f>SUM(D84:D85)</f>
        <v>77922</v>
      </c>
      <c r="E83" s="282">
        <f>SUM(E84:E85)</f>
        <v>0</v>
      </c>
      <c r="F83" s="286">
        <f t="shared" si="5"/>
        <v>77922</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c r="R83" s="53"/>
      <c r="S83" s="53"/>
    </row>
    <row r="84" spans="1:19" x14ac:dyDescent="0.25">
      <c r="A84" s="76">
        <v>2121</v>
      </c>
      <c r="B84" s="127" t="s">
        <v>99</v>
      </c>
      <c r="C84" s="279">
        <f t="shared" si="4"/>
        <v>17172</v>
      </c>
      <c r="D84" s="134">
        <v>17172</v>
      </c>
      <c r="E84" s="285"/>
      <c r="F84" s="286">
        <f t="shared" si="5"/>
        <v>17172</v>
      </c>
      <c r="G84" s="134"/>
      <c r="H84" s="135"/>
      <c r="I84" s="136">
        <f t="shared" si="6"/>
        <v>0</v>
      </c>
      <c r="J84" s="134">
        <v>0</v>
      </c>
      <c r="K84" s="135"/>
      <c r="L84" s="136">
        <f t="shared" si="7"/>
        <v>0</v>
      </c>
      <c r="M84" s="284"/>
      <c r="N84" s="285"/>
      <c r="O84" s="136">
        <f t="shared" si="8"/>
        <v>0</v>
      </c>
      <c r="P84" s="85"/>
      <c r="R84" s="53"/>
      <c r="S84" s="53"/>
    </row>
    <row r="85" spans="1:19" ht="24" x14ac:dyDescent="0.25">
      <c r="A85" s="76">
        <v>2122</v>
      </c>
      <c r="B85" s="127" t="s">
        <v>100</v>
      </c>
      <c r="C85" s="279">
        <f t="shared" si="4"/>
        <v>60750</v>
      </c>
      <c r="D85" s="134">
        <f>61044-198-96</f>
        <v>60750</v>
      </c>
      <c r="E85" s="285"/>
      <c r="F85" s="286">
        <f t="shared" si="5"/>
        <v>60750</v>
      </c>
      <c r="G85" s="134"/>
      <c r="H85" s="135"/>
      <c r="I85" s="136">
        <f t="shared" si="6"/>
        <v>0</v>
      </c>
      <c r="J85" s="134">
        <v>0</v>
      </c>
      <c r="K85" s="135"/>
      <c r="L85" s="136">
        <f t="shared" si="7"/>
        <v>0</v>
      </c>
      <c r="M85" s="284"/>
      <c r="N85" s="285"/>
      <c r="O85" s="136">
        <f t="shared" si="8"/>
        <v>0</v>
      </c>
      <c r="P85" s="85"/>
      <c r="R85" s="53"/>
      <c r="S85" s="53"/>
    </row>
    <row r="86" spans="1:19" x14ac:dyDescent="0.25">
      <c r="A86" s="99">
        <v>2200</v>
      </c>
      <c r="B86" s="247" t="s">
        <v>102</v>
      </c>
      <c r="C86" s="302">
        <f t="shared" si="4"/>
        <v>58298</v>
      </c>
      <c r="D86" s="112">
        <f>SUM(D87,D92,D98,D106,D115,D119,D125,D131)</f>
        <v>59358</v>
      </c>
      <c r="E86" s="293">
        <f>SUM(E87,E92,E98,E106,E115,E119,E125,E131)</f>
        <v>-1060</v>
      </c>
      <c r="F86" s="313">
        <f t="shared" si="5"/>
        <v>58298</v>
      </c>
      <c r="G86" s="112">
        <f>SUM(G87,G92,G98,G106,G115,G119,G125,G131)</f>
        <v>0</v>
      </c>
      <c r="H86" s="113">
        <f>SUM(H87,H92,H98,H106,H115,H119,H125,H131)</f>
        <v>0</v>
      </c>
      <c r="I86" s="114">
        <f t="shared" si="6"/>
        <v>0</v>
      </c>
      <c r="J86" s="112">
        <f>SUM(J87,J92,J98,J106,J115,J119,J125,J131)</f>
        <v>0</v>
      </c>
      <c r="K86" s="113">
        <f>SUM(K87,K92,K98,K106,K115,K119,K125,K131)</f>
        <v>0</v>
      </c>
      <c r="L86" s="114">
        <f t="shared" si="7"/>
        <v>0</v>
      </c>
      <c r="M86" s="303">
        <f>SUM(M87,M92,M98,M106,M115,M119,M125,M131)</f>
        <v>0</v>
      </c>
      <c r="N86" s="304">
        <f>SUM(N87,N92,N98,N106,N115,N119,N125,N131)</f>
        <v>0</v>
      </c>
      <c r="O86" s="305">
        <f t="shared" si="8"/>
        <v>0</v>
      </c>
      <c r="P86" s="306"/>
      <c r="R86" s="53"/>
      <c r="S86" s="53"/>
    </row>
    <row r="87" spans="1:19" ht="24" x14ac:dyDescent="0.25">
      <c r="A87" s="254">
        <v>2210</v>
      </c>
      <c r="B87" s="179" t="s">
        <v>103</v>
      </c>
      <c r="C87" s="257">
        <f t="shared" si="4"/>
        <v>22500</v>
      </c>
      <c r="D87" s="255">
        <f>SUM(D88:D91)</f>
        <v>22500</v>
      </c>
      <c r="E87" s="261">
        <f>SUM(E88:E91)</f>
        <v>0</v>
      </c>
      <c r="F87" s="310">
        <f t="shared" si="5"/>
        <v>22500</v>
      </c>
      <c r="G87" s="255">
        <f>SUM(G88:G91)</f>
        <v>0</v>
      </c>
      <c r="H87" s="258">
        <f>SUM(H88:H91)</f>
        <v>0</v>
      </c>
      <c r="I87" s="259">
        <f t="shared" si="6"/>
        <v>0</v>
      </c>
      <c r="J87" s="255">
        <f>SUM(J88:J91)</f>
        <v>0</v>
      </c>
      <c r="K87" s="258">
        <f>SUM(K88:K91)</f>
        <v>0</v>
      </c>
      <c r="L87" s="259">
        <f t="shared" si="7"/>
        <v>0</v>
      </c>
      <c r="M87" s="260">
        <f>SUM(M88:M91)</f>
        <v>0</v>
      </c>
      <c r="N87" s="261">
        <f>SUM(N88:N91)</f>
        <v>0</v>
      </c>
      <c r="O87" s="259">
        <f t="shared" si="8"/>
        <v>0</v>
      </c>
      <c r="P87" s="189"/>
      <c r="R87" s="53"/>
      <c r="S87" s="53"/>
    </row>
    <row r="88" spans="1:19" ht="24" hidden="1" x14ac:dyDescent="0.25">
      <c r="A88" s="66">
        <v>2211</v>
      </c>
      <c r="B88" s="116" t="s">
        <v>104</v>
      </c>
      <c r="C88" s="279">
        <f t="shared" si="4"/>
        <v>0</v>
      </c>
      <c r="D88" s="123">
        <v>0</v>
      </c>
      <c r="E88" s="262"/>
      <c r="F88" s="263">
        <f t="shared" si="5"/>
        <v>0</v>
      </c>
      <c r="G88" s="123"/>
      <c r="H88" s="124"/>
      <c r="I88" s="125">
        <f t="shared" si="6"/>
        <v>0</v>
      </c>
      <c r="J88" s="123">
        <v>0</v>
      </c>
      <c r="K88" s="124"/>
      <c r="L88" s="125">
        <f t="shared" si="7"/>
        <v>0</v>
      </c>
      <c r="M88" s="264"/>
      <c r="N88" s="262"/>
      <c r="O88" s="125">
        <f t="shared" si="8"/>
        <v>0</v>
      </c>
      <c r="P88" s="74"/>
      <c r="R88" s="53"/>
      <c r="S88" s="53"/>
    </row>
    <row r="89" spans="1:19" ht="36" hidden="1" x14ac:dyDescent="0.25">
      <c r="A89" s="76">
        <v>2212</v>
      </c>
      <c r="B89" s="127" t="s">
        <v>105</v>
      </c>
      <c r="C89" s="279">
        <f t="shared" si="4"/>
        <v>0</v>
      </c>
      <c r="D89" s="134">
        <v>0</v>
      </c>
      <c r="E89" s="285"/>
      <c r="F89" s="286">
        <f t="shared" si="5"/>
        <v>0</v>
      </c>
      <c r="G89" s="134"/>
      <c r="H89" s="135"/>
      <c r="I89" s="136">
        <f t="shared" si="6"/>
        <v>0</v>
      </c>
      <c r="J89" s="134">
        <v>0</v>
      </c>
      <c r="K89" s="135"/>
      <c r="L89" s="136">
        <f t="shared" si="7"/>
        <v>0</v>
      </c>
      <c r="M89" s="284"/>
      <c r="N89" s="285"/>
      <c r="O89" s="136">
        <f t="shared" si="8"/>
        <v>0</v>
      </c>
      <c r="P89" s="85"/>
      <c r="R89" s="53"/>
      <c r="S89" s="53"/>
    </row>
    <row r="90" spans="1:19" ht="24" hidden="1" x14ac:dyDescent="0.25">
      <c r="A90" s="76">
        <v>2214</v>
      </c>
      <c r="B90" s="127" t="s">
        <v>106</v>
      </c>
      <c r="C90" s="279">
        <f t="shared" si="4"/>
        <v>0</v>
      </c>
      <c r="D90" s="134">
        <v>0</v>
      </c>
      <c r="E90" s="285"/>
      <c r="F90" s="286">
        <f t="shared" si="5"/>
        <v>0</v>
      </c>
      <c r="G90" s="134"/>
      <c r="H90" s="135"/>
      <c r="I90" s="136">
        <f t="shared" si="6"/>
        <v>0</v>
      </c>
      <c r="J90" s="134">
        <v>0</v>
      </c>
      <c r="K90" s="135"/>
      <c r="L90" s="136">
        <f t="shared" si="7"/>
        <v>0</v>
      </c>
      <c r="M90" s="284"/>
      <c r="N90" s="285"/>
      <c r="O90" s="136">
        <f t="shared" si="8"/>
        <v>0</v>
      </c>
      <c r="P90" s="85"/>
      <c r="R90" s="53"/>
      <c r="S90" s="53"/>
    </row>
    <row r="91" spans="1:19" x14ac:dyDescent="0.25">
      <c r="A91" s="76">
        <v>2219</v>
      </c>
      <c r="B91" s="127" t="s">
        <v>107</v>
      </c>
      <c r="C91" s="279">
        <f t="shared" si="4"/>
        <v>22500</v>
      </c>
      <c r="D91" s="134">
        <v>22500</v>
      </c>
      <c r="E91" s="285"/>
      <c r="F91" s="286">
        <f t="shared" si="5"/>
        <v>22500</v>
      </c>
      <c r="G91" s="134"/>
      <c r="H91" s="135"/>
      <c r="I91" s="136">
        <f t="shared" si="6"/>
        <v>0</v>
      </c>
      <c r="J91" s="134">
        <v>0</v>
      </c>
      <c r="K91" s="135"/>
      <c r="L91" s="136">
        <f t="shared" si="7"/>
        <v>0</v>
      </c>
      <c r="M91" s="284"/>
      <c r="N91" s="285"/>
      <c r="O91" s="136">
        <f t="shared" si="8"/>
        <v>0</v>
      </c>
      <c r="P91" s="85"/>
      <c r="R91" s="53"/>
      <c r="S91" s="53"/>
    </row>
    <row r="92" spans="1:19" ht="24" hidden="1" x14ac:dyDescent="0.25">
      <c r="A92" s="276">
        <v>2220</v>
      </c>
      <c r="B92" s="127" t="s">
        <v>108</v>
      </c>
      <c r="C92" s="279">
        <f t="shared" si="4"/>
        <v>0</v>
      </c>
      <c r="D92" s="277">
        <f>SUM(D93:D97)</f>
        <v>0</v>
      </c>
      <c r="E92" s="282">
        <f>SUM(E93:E97)</f>
        <v>0</v>
      </c>
      <c r="F92" s="286">
        <f t="shared" si="5"/>
        <v>0</v>
      </c>
      <c r="G92" s="277">
        <f>SUM(G93:G97)</f>
        <v>0</v>
      </c>
      <c r="H92" s="280">
        <f>SUM(H93:H97)</f>
        <v>0</v>
      </c>
      <c r="I92" s="136">
        <f t="shared" si="6"/>
        <v>0</v>
      </c>
      <c r="J92" s="277">
        <f>SUM(J93:J97)</f>
        <v>0</v>
      </c>
      <c r="K92" s="280">
        <f>SUM(K93:K97)</f>
        <v>0</v>
      </c>
      <c r="L92" s="136">
        <f t="shared" si="7"/>
        <v>0</v>
      </c>
      <c r="M92" s="281">
        <f>SUM(M93:M97)</f>
        <v>0</v>
      </c>
      <c r="N92" s="282">
        <f>SUM(N93:N97)</f>
        <v>0</v>
      </c>
      <c r="O92" s="136">
        <f t="shared" si="8"/>
        <v>0</v>
      </c>
      <c r="P92" s="85"/>
      <c r="R92" s="53"/>
      <c r="S92" s="53"/>
    </row>
    <row r="93" spans="1:19" hidden="1" x14ac:dyDescent="0.25">
      <c r="A93" s="76">
        <v>2221</v>
      </c>
      <c r="B93" s="127" t="s">
        <v>109</v>
      </c>
      <c r="C93" s="279">
        <f t="shared" si="4"/>
        <v>0</v>
      </c>
      <c r="D93" s="134">
        <v>0</v>
      </c>
      <c r="E93" s="285"/>
      <c r="F93" s="286">
        <f t="shared" si="5"/>
        <v>0</v>
      </c>
      <c r="G93" s="134"/>
      <c r="H93" s="135"/>
      <c r="I93" s="136">
        <f t="shared" si="6"/>
        <v>0</v>
      </c>
      <c r="J93" s="134">
        <v>0</v>
      </c>
      <c r="K93" s="135"/>
      <c r="L93" s="136">
        <f t="shared" si="7"/>
        <v>0</v>
      </c>
      <c r="M93" s="284"/>
      <c r="N93" s="285"/>
      <c r="O93" s="136">
        <f t="shared" si="8"/>
        <v>0</v>
      </c>
      <c r="P93" s="85"/>
      <c r="R93" s="53"/>
      <c r="S93" s="53"/>
    </row>
    <row r="94" spans="1:19" hidden="1" x14ac:dyDescent="0.25">
      <c r="A94" s="76">
        <v>2222</v>
      </c>
      <c r="B94" s="127" t="s">
        <v>110</v>
      </c>
      <c r="C94" s="279">
        <f t="shared" si="4"/>
        <v>0</v>
      </c>
      <c r="D94" s="134">
        <v>0</v>
      </c>
      <c r="E94" s="285"/>
      <c r="F94" s="286">
        <f t="shared" si="5"/>
        <v>0</v>
      </c>
      <c r="G94" s="134"/>
      <c r="H94" s="135"/>
      <c r="I94" s="136">
        <f t="shared" si="6"/>
        <v>0</v>
      </c>
      <c r="J94" s="134">
        <v>0</v>
      </c>
      <c r="K94" s="135"/>
      <c r="L94" s="136">
        <f t="shared" si="7"/>
        <v>0</v>
      </c>
      <c r="M94" s="284"/>
      <c r="N94" s="285"/>
      <c r="O94" s="136">
        <f t="shared" si="8"/>
        <v>0</v>
      </c>
      <c r="P94" s="85"/>
      <c r="R94" s="53"/>
      <c r="S94" s="53"/>
    </row>
    <row r="95" spans="1:19" hidden="1" x14ac:dyDescent="0.25">
      <c r="A95" s="76">
        <v>2223</v>
      </c>
      <c r="B95" s="127" t="s">
        <v>111</v>
      </c>
      <c r="C95" s="279">
        <f t="shared" si="4"/>
        <v>0</v>
      </c>
      <c r="D95" s="134">
        <v>0</v>
      </c>
      <c r="E95" s="285"/>
      <c r="F95" s="286">
        <f t="shared" si="5"/>
        <v>0</v>
      </c>
      <c r="G95" s="134"/>
      <c r="H95" s="135"/>
      <c r="I95" s="136">
        <f t="shared" si="6"/>
        <v>0</v>
      </c>
      <c r="J95" s="134">
        <v>0</v>
      </c>
      <c r="K95" s="135"/>
      <c r="L95" s="136">
        <f t="shared" si="7"/>
        <v>0</v>
      </c>
      <c r="M95" s="284"/>
      <c r="N95" s="285"/>
      <c r="O95" s="136">
        <f t="shared" si="8"/>
        <v>0</v>
      </c>
      <c r="P95" s="85"/>
      <c r="R95" s="53"/>
      <c r="S95" s="53"/>
    </row>
    <row r="96" spans="1:19" ht="48" hidden="1" x14ac:dyDescent="0.25">
      <c r="A96" s="76">
        <v>2224</v>
      </c>
      <c r="B96" s="127" t="s">
        <v>112</v>
      </c>
      <c r="C96" s="279">
        <f t="shared" si="4"/>
        <v>0</v>
      </c>
      <c r="D96" s="134">
        <v>0</v>
      </c>
      <c r="E96" s="285"/>
      <c r="F96" s="286">
        <f t="shared" si="5"/>
        <v>0</v>
      </c>
      <c r="G96" s="134"/>
      <c r="H96" s="135"/>
      <c r="I96" s="136">
        <f t="shared" si="6"/>
        <v>0</v>
      </c>
      <c r="J96" s="134">
        <v>0</v>
      </c>
      <c r="K96" s="135"/>
      <c r="L96" s="136">
        <f t="shared" si="7"/>
        <v>0</v>
      </c>
      <c r="M96" s="284"/>
      <c r="N96" s="285"/>
      <c r="O96" s="136">
        <f t="shared" si="8"/>
        <v>0</v>
      </c>
      <c r="P96" s="85"/>
      <c r="R96" s="53"/>
      <c r="S96" s="53"/>
    </row>
    <row r="97" spans="1:19" ht="24" hidden="1" x14ac:dyDescent="0.25">
      <c r="A97" s="76">
        <v>2229</v>
      </c>
      <c r="B97" s="127" t="s">
        <v>113</v>
      </c>
      <c r="C97" s="279">
        <f t="shared" si="4"/>
        <v>0</v>
      </c>
      <c r="D97" s="134">
        <v>0</v>
      </c>
      <c r="E97" s="285"/>
      <c r="F97" s="286">
        <f t="shared" si="5"/>
        <v>0</v>
      </c>
      <c r="G97" s="134"/>
      <c r="H97" s="135"/>
      <c r="I97" s="136">
        <f t="shared" si="6"/>
        <v>0</v>
      </c>
      <c r="J97" s="134">
        <v>0</v>
      </c>
      <c r="K97" s="135"/>
      <c r="L97" s="136">
        <f t="shared" si="7"/>
        <v>0</v>
      </c>
      <c r="M97" s="284"/>
      <c r="N97" s="285"/>
      <c r="O97" s="136">
        <f t="shared" si="8"/>
        <v>0</v>
      </c>
      <c r="P97" s="85"/>
      <c r="R97" s="53"/>
      <c r="S97" s="53"/>
    </row>
    <row r="98" spans="1:19" ht="36" x14ac:dyDescent="0.25">
      <c r="A98" s="276">
        <v>2230</v>
      </c>
      <c r="B98" s="127" t="s">
        <v>114</v>
      </c>
      <c r="C98" s="279">
        <f t="shared" si="4"/>
        <v>32768</v>
      </c>
      <c r="D98" s="277">
        <f>SUM(D99:D105)</f>
        <v>33828</v>
      </c>
      <c r="E98" s="282">
        <f>SUM(E99:E105)</f>
        <v>-1060</v>
      </c>
      <c r="F98" s="286">
        <f t="shared" si="5"/>
        <v>32768</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c r="R98" s="53"/>
      <c r="S98" s="53"/>
    </row>
    <row r="99" spans="1:19" ht="33.75" customHeight="1" x14ac:dyDescent="0.25">
      <c r="A99" s="76">
        <v>2231</v>
      </c>
      <c r="B99" s="127" t="s">
        <v>115</v>
      </c>
      <c r="C99" s="279">
        <f t="shared" si="4"/>
        <v>10192</v>
      </c>
      <c r="D99" s="134">
        <f>8000+752+2500</f>
        <v>11252</v>
      </c>
      <c r="E99" s="285">
        <v>-1060</v>
      </c>
      <c r="F99" s="286">
        <f t="shared" si="5"/>
        <v>10192</v>
      </c>
      <c r="G99" s="134"/>
      <c r="H99" s="135"/>
      <c r="I99" s="136">
        <f t="shared" si="6"/>
        <v>0</v>
      </c>
      <c r="J99" s="134">
        <v>0</v>
      </c>
      <c r="K99" s="135"/>
      <c r="L99" s="136">
        <f t="shared" si="7"/>
        <v>0</v>
      </c>
      <c r="M99" s="284"/>
      <c r="N99" s="285"/>
      <c r="O99" s="136">
        <f t="shared" si="8"/>
        <v>0</v>
      </c>
      <c r="P99" s="771"/>
      <c r="R99" s="53"/>
      <c r="S99" s="53"/>
    </row>
    <row r="100" spans="1:19" ht="36" hidden="1" x14ac:dyDescent="0.25">
      <c r="A100" s="76">
        <v>2232</v>
      </c>
      <c r="B100" s="127" t="s">
        <v>116</v>
      </c>
      <c r="C100" s="279">
        <f t="shared" si="4"/>
        <v>0</v>
      </c>
      <c r="D100" s="134">
        <v>0</v>
      </c>
      <c r="E100" s="285"/>
      <c r="F100" s="286">
        <f t="shared" si="5"/>
        <v>0</v>
      </c>
      <c r="G100" s="134"/>
      <c r="H100" s="135"/>
      <c r="I100" s="136">
        <f t="shared" si="6"/>
        <v>0</v>
      </c>
      <c r="J100" s="134">
        <v>0</v>
      </c>
      <c r="K100" s="135"/>
      <c r="L100" s="136">
        <f t="shared" si="7"/>
        <v>0</v>
      </c>
      <c r="M100" s="284"/>
      <c r="N100" s="285"/>
      <c r="O100" s="136">
        <f t="shared" si="8"/>
        <v>0</v>
      </c>
      <c r="P100" s="85"/>
      <c r="R100" s="53"/>
      <c r="S100" s="53"/>
    </row>
    <row r="101" spans="1:19" ht="24" hidden="1" x14ac:dyDescent="0.25">
      <c r="A101" s="66">
        <v>2233</v>
      </c>
      <c r="B101" s="116" t="s">
        <v>117</v>
      </c>
      <c r="C101" s="279">
        <f t="shared" si="4"/>
        <v>0</v>
      </c>
      <c r="D101" s="123">
        <v>0</v>
      </c>
      <c r="E101" s="262"/>
      <c r="F101" s="263">
        <f t="shared" si="5"/>
        <v>0</v>
      </c>
      <c r="G101" s="123"/>
      <c r="H101" s="124"/>
      <c r="I101" s="125">
        <f t="shared" si="6"/>
        <v>0</v>
      </c>
      <c r="J101" s="123">
        <v>0</v>
      </c>
      <c r="K101" s="124"/>
      <c r="L101" s="125">
        <f t="shared" si="7"/>
        <v>0</v>
      </c>
      <c r="M101" s="264"/>
      <c r="N101" s="262"/>
      <c r="O101" s="125">
        <f t="shared" si="8"/>
        <v>0</v>
      </c>
      <c r="P101" s="74"/>
      <c r="R101" s="53"/>
      <c r="S101" s="53"/>
    </row>
    <row r="102" spans="1:19" ht="36" hidden="1" x14ac:dyDescent="0.25">
      <c r="A102" s="76">
        <v>2234</v>
      </c>
      <c r="B102" s="127" t="s">
        <v>118</v>
      </c>
      <c r="C102" s="279">
        <f t="shared" si="4"/>
        <v>0</v>
      </c>
      <c r="D102" s="134">
        <v>0</v>
      </c>
      <c r="E102" s="285"/>
      <c r="F102" s="286">
        <f t="shared" si="5"/>
        <v>0</v>
      </c>
      <c r="G102" s="134"/>
      <c r="H102" s="135"/>
      <c r="I102" s="136">
        <f t="shared" si="6"/>
        <v>0</v>
      </c>
      <c r="J102" s="134">
        <v>0</v>
      </c>
      <c r="K102" s="135"/>
      <c r="L102" s="136">
        <f t="shared" si="7"/>
        <v>0</v>
      </c>
      <c r="M102" s="284"/>
      <c r="N102" s="285"/>
      <c r="O102" s="136">
        <f t="shared" si="8"/>
        <v>0</v>
      </c>
      <c r="P102" s="85"/>
      <c r="R102" s="53"/>
      <c r="S102" s="53"/>
    </row>
    <row r="103" spans="1:19" ht="24" x14ac:dyDescent="0.25">
      <c r="A103" s="76">
        <v>2235</v>
      </c>
      <c r="B103" s="127" t="s">
        <v>119</v>
      </c>
      <c r="C103" s="279">
        <f t="shared" si="4"/>
        <v>17436</v>
      </c>
      <c r="D103" s="134">
        <v>17436</v>
      </c>
      <c r="E103" s="285"/>
      <c r="F103" s="286">
        <f t="shared" si="5"/>
        <v>17436</v>
      </c>
      <c r="G103" s="134"/>
      <c r="H103" s="135"/>
      <c r="I103" s="136">
        <f t="shared" si="6"/>
        <v>0</v>
      </c>
      <c r="J103" s="134">
        <v>0</v>
      </c>
      <c r="K103" s="135"/>
      <c r="L103" s="136">
        <f t="shared" si="7"/>
        <v>0</v>
      </c>
      <c r="M103" s="284"/>
      <c r="N103" s="285"/>
      <c r="O103" s="136">
        <f t="shared" si="8"/>
        <v>0</v>
      </c>
      <c r="P103" s="85"/>
      <c r="R103" s="53"/>
      <c r="S103" s="53"/>
    </row>
    <row r="104" spans="1:19" hidden="1" x14ac:dyDescent="0.25">
      <c r="A104" s="76">
        <v>2236</v>
      </c>
      <c r="B104" s="127" t="s">
        <v>120</v>
      </c>
      <c r="C104" s="279">
        <f t="shared" si="4"/>
        <v>0</v>
      </c>
      <c r="D104" s="134">
        <v>0</v>
      </c>
      <c r="E104" s="285"/>
      <c r="F104" s="286">
        <f t="shared" si="5"/>
        <v>0</v>
      </c>
      <c r="G104" s="134"/>
      <c r="H104" s="135"/>
      <c r="I104" s="136">
        <f t="shared" si="6"/>
        <v>0</v>
      </c>
      <c r="J104" s="134">
        <v>0</v>
      </c>
      <c r="K104" s="135"/>
      <c r="L104" s="136">
        <f t="shared" si="7"/>
        <v>0</v>
      </c>
      <c r="M104" s="284"/>
      <c r="N104" s="285"/>
      <c r="O104" s="136">
        <f t="shared" si="8"/>
        <v>0</v>
      </c>
      <c r="P104" s="85"/>
      <c r="R104" s="53"/>
      <c r="S104" s="53"/>
    </row>
    <row r="105" spans="1:19" ht="24" x14ac:dyDescent="0.25">
      <c r="A105" s="76">
        <v>2239</v>
      </c>
      <c r="B105" s="127" t="s">
        <v>121</v>
      </c>
      <c r="C105" s="279">
        <f t="shared" si="4"/>
        <v>5140</v>
      </c>
      <c r="D105" s="134">
        <f>3156+1984</f>
        <v>5140</v>
      </c>
      <c r="E105" s="285"/>
      <c r="F105" s="286">
        <f t="shared" si="5"/>
        <v>5140</v>
      </c>
      <c r="G105" s="134"/>
      <c r="H105" s="135"/>
      <c r="I105" s="136">
        <f t="shared" si="6"/>
        <v>0</v>
      </c>
      <c r="J105" s="134">
        <v>0</v>
      </c>
      <c r="K105" s="135"/>
      <c r="L105" s="136">
        <f t="shared" si="7"/>
        <v>0</v>
      </c>
      <c r="M105" s="284"/>
      <c r="N105" s="285"/>
      <c r="O105" s="136">
        <f t="shared" si="8"/>
        <v>0</v>
      </c>
      <c r="P105" s="771"/>
      <c r="R105" s="53"/>
      <c r="S105" s="53"/>
    </row>
    <row r="106" spans="1:19" ht="36" hidden="1" x14ac:dyDescent="0.25">
      <c r="A106" s="276">
        <v>2240</v>
      </c>
      <c r="B106" s="127" t="s">
        <v>122</v>
      </c>
      <c r="C106" s="279">
        <f t="shared" si="4"/>
        <v>0</v>
      </c>
      <c r="D106" s="277">
        <f>SUM(D107:D114)</f>
        <v>0</v>
      </c>
      <c r="E106" s="282">
        <f>SUM(E107:E114)</f>
        <v>0</v>
      </c>
      <c r="F106" s="286">
        <f t="shared" si="5"/>
        <v>0</v>
      </c>
      <c r="G106" s="277">
        <f>SUM(G107:G114)</f>
        <v>0</v>
      </c>
      <c r="H106" s="280">
        <f>SUM(H107:H114)</f>
        <v>0</v>
      </c>
      <c r="I106" s="136">
        <f t="shared" si="6"/>
        <v>0</v>
      </c>
      <c r="J106" s="277">
        <f>SUM(J107:J114)</f>
        <v>0</v>
      </c>
      <c r="K106" s="280">
        <f>SUM(K107:K114)</f>
        <v>0</v>
      </c>
      <c r="L106" s="136">
        <f t="shared" si="7"/>
        <v>0</v>
      </c>
      <c r="M106" s="281">
        <f>SUM(M107:M114)</f>
        <v>0</v>
      </c>
      <c r="N106" s="282">
        <f>SUM(N107:N114)</f>
        <v>0</v>
      </c>
      <c r="O106" s="136">
        <f t="shared" si="8"/>
        <v>0</v>
      </c>
      <c r="P106" s="85"/>
      <c r="R106" s="53"/>
      <c r="S106" s="53"/>
    </row>
    <row r="107" spans="1:19" hidden="1" x14ac:dyDescent="0.25">
      <c r="A107" s="76">
        <v>2241</v>
      </c>
      <c r="B107" s="127" t="s">
        <v>123</v>
      </c>
      <c r="C107" s="279">
        <f t="shared" si="4"/>
        <v>0</v>
      </c>
      <c r="D107" s="134">
        <v>0</v>
      </c>
      <c r="E107" s="285"/>
      <c r="F107" s="286">
        <f t="shared" si="5"/>
        <v>0</v>
      </c>
      <c r="G107" s="134"/>
      <c r="H107" s="135"/>
      <c r="I107" s="136">
        <f t="shared" si="6"/>
        <v>0</v>
      </c>
      <c r="J107" s="134">
        <v>0</v>
      </c>
      <c r="K107" s="135"/>
      <c r="L107" s="136">
        <f t="shared" si="7"/>
        <v>0</v>
      </c>
      <c r="M107" s="284"/>
      <c r="N107" s="285"/>
      <c r="O107" s="136">
        <f t="shared" si="8"/>
        <v>0</v>
      </c>
      <c r="P107" s="85"/>
      <c r="R107" s="53"/>
      <c r="S107" s="53"/>
    </row>
    <row r="108" spans="1:19" ht="24" hidden="1" x14ac:dyDescent="0.25">
      <c r="A108" s="76">
        <v>2242</v>
      </c>
      <c r="B108" s="127" t="s">
        <v>124</v>
      </c>
      <c r="C108" s="279">
        <f t="shared" si="4"/>
        <v>0</v>
      </c>
      <c r="D108" s="134">
        <v>0</v>
      </c>
      <c r="E108" s="285"/>
      <c r="F108" s="286">
        <f t="shared" si="5"/>
        <v>0</v>
      </c>
      <c r="G108" s="134"/>
      <c r="H108" s="135"/>
      <c r="I108" s="136">
        <f t="shared" si="6"/>
        <v>0</v>
      </c>
      <c r="J108" s="134">
        <v>0</v>
      </c>
      <c r="K108" s="135"/>
      <c r="L108" s="136">
        <f t="shared" si="7"/>
        <v>0</v>
      </c>
      <c r="M108" s="284"/>
      <c r="N108" s="285"/>
      <c r="O108" s="136">
        <f t="shared" si="8"/>
        <v>0</v>
      </c>
      <c r="P108" s="85"/>
      <c r="R108" s="53"/>
      <c r="S108" s="53"/>
    </row>
    <row r="109" spans="1:19" ht="24" hidden="1" x14ac:dyDescent="0.25">
      <c r="A109" s="76">
        <v>2243</v>
      </c>
      <c r="B109" s="127" t="s">
        <v>125</v>
      </c>
      <c r="C109" s="279">
        <f t="shared" si="4"/>
        <v>0</v>
      </c>
      <c r="D109" s="134">
        <v>0</v>
      </c>
      <c r="E109" s="285"/>
      <c r="F109" s="286">
        <f t="shared" si="5"/>
        <v>0</v>
      </c>
      <c r="G109" s="134"/>
      <c r="H109" s="135"/>
      <c r="I109" s="136">
        <f t="shared" si="6"/>
        <v>0</v>
      </c>
      <c r="J109" s="134">
        <v>0</v>
      </c>
      <c r="K109" s="135"/>
      <c r="L109" s="136">
        <f t="shared" si="7"/>
        <v>0</v>
      </c>
      <c r="M109" s="284"/>
      <c r="N109" s="285"/>
      <c r="O109" s="136">
        <f t="shared" si="8"/>
        <v>0</v>
      </c>
      <c r="P109" s="85"/>
      <c r="R109" s="53"/>
      <c r="S109" s="53"/>
    </row>
    <row r="110" spans="1:19" hidden="1" x14ac:dyDescent="0.25">
      <c r="A110" s="76">
        <v>2244</v>
      </c>
      <c r="B110" s="127" t="s">
        <v>126</v>
      </c>
      <c r="C110" s="279">
        <f t="shared" si="4"/>
        <v>0</v>
      </c>
      <c r="D110" s="134">
        <v>0</v>
      </c>
      <c r="E110" s="285"/>
      <c r="F110" s="286">
        <f t="shared" si="5"/>
        <v>0</v>
      </c>
      <c r="G110" s="134"/>
      <c r="H110" s="135"/>
      <c r="I110" s="136">
        <f t="shared" si="6"/>
        <v>0</v>
      </c>
      <c r="J110" s="134">
        <v>0</v>
      </c>
      <c r="K110" s="135"/>
      <c r="L110" s="136">
        <f t="shared" si="7"/>
        <v>0</v>
      </c>
      <c r="M110" s="284"/>
      <c r="N110" s="285"/>
      <c r="O110" s="136">
        <f t="shared" si="8"/>
        <v>0</v>
      </c>
      <c r="P110" s="85"/>
      <c r="R110" s="53"/>
      <c r="S110" s="53"/>
    </row>
    <row r="111" spans="1:19" ht="24" hidden="1" x14ac:dyDescent="0.25">
      <c r="A111" s="76">
        <v>2246</v>
      </c>
      <c r="B111" s="127" t="s">
        <v>127</v>
      </c>
      <c r="C111" s="279">
        <f t="shared" si="4"/>
        <v>0</v>
      </c>
      <c r="D111" s="134">
        <v>0</v>
      </c>
      <c r="E111" s="285"/>
      <c r="F111" s="286">
        <f t="shared" si="5"/>
        <v>0</v>
      </c>
      <c r="G111" s="134"/>
      <c r="H111" s="135"/>
      <c r="I111" s="136">
        <f t="shared" si="6"/>
        <v>0</v>
      </c>
      <c r="J111" s="134">
        <v>0</v>
      </c>
      <c r="K111" s="135"/>
      <c r="L111" s="136">
        <f t="shared" si="7"/>
        <v>0</v>
      </c>
      <c r="M111" s="284"/>
      <c r="N111" s="285"/>
      <c r="O111" s="136">
        <f t="shared" si="8"/>
        <v>0</v>
      </c>
      <c r="P111" s="85"/>
      <c r="R111" s="53"/>
      <c r="S111" s="53"/>
    </row>
    <row r="112" spans="1:19" hidden="1" x14ac:dyDescent="0.25">
      <c r="A112" s="76">
        <v>2247</v>
      </c>
      <c r="B112" s="127" t="s">
        <v>128</v>
      </c>
      <c r="C112" s="279">
        <f t="shared" si="4"/>
        <v>0</v>
      </c>
      <c r="D112" s="134">
        <v>0</v>
      </c>
      <c r="E112" s="285"/>
      <c r="F112" s="286">
        <f t="shared" si="5"/>
        <v>0</v>
      </c>
      <c r="G112" s="134"/>
      <c r="H112" s="135"/>
      <c r="I112" s="136">
        <f t="shared" si="6"/>
        <v>0</v>
      </c>
      <c r="J112" s="134">
        <v>0</v>
      </c>
      <c r="K112" s="135"/>
      <c r="L112" s="136">
        <f t="shared" si="7"/>
        <v>0</v>
      </c>
      <c r="M112" s="284"/>
      <c r="N112" s="285"/>
      <c r="O112" s="136">
        <f t="shared" si="8"/>
        <v>0</v>
      </c>
      <c r="P112" s="85"/>
      <c r="R112" s="53"/>
      <c r="S112" s="53"/>
    </row>
    <row r="113" spans="1:19" ht="24" hidden="1" x14ac:dyDescent="0.25">
      <c r="A113" s="76">
        <v>2248</v>
      </c>
      <c r="B113" s="127" t="s">
        <v>129</v>
      </c>
      <c r="C113" s="279">
        <f t="shared" si="4"/>
        <v>0</v>
      </c>
      <c r="D113" s="134">
        <v>0</v>
      </c>
      <c r="E113" s="285"/>
      <c r="F113" s="286">
        <f t="shared" si="5"/>
        <v>0</v>
      </c>
      <c r="G113" s="134"/>
      <c r="H113" s="135"/>
      <c r="I113" s="136">
        <f t="shared" si="6"/>
        <v>0</v>
      </c>
      <c r="J113" s="134">
        <v>0</v>
      </c>
      <c r="K113" s="135"/>
      <c r="L113" s="136">
        <f t="shared" si="7"/>
        <v>0</v>
      </c>
      <c r="M113" s="284"/>
      <c r="N113" s="285"/>
      <c r="O113" s="136">
        <f t="shared" si="8"/>
        <v>0</v>
      </c>
      <c r="P113" s="85"/>
      <c r="R113" s="53"/>
      <c r="S113" s="53"/>
    </row>
    <row r="114" spans="1:19" ht="24" hidden="1" x14ac:dyDescent="0.25">
      <c r="A114" s="76">
        <v>2249</v>
      </c>
      <c r="B114" s="127" t="s">
        <v>130</v>
      </c>
      <c r="C114" s="279">
        <f t="shared" si="4"/>
        <v>0</v>
      </c>
      <c r="D114" s="134">
        <v>0</v>
      </c>
      <c r="E114" s="285"/>
      <c r="F114" s="286">
        <f t="shared" si="5"/>
        <v>0</v>
      </c>
      <c r="G114" s="134"/>
      <c r="H114" s="135"/>
      <c r="I114" s="136">
        <f t="shared" si="6"/>
        <v>0</v>
      </c>
      <c r="J114" s="134">
        <v>0</v>
      </c>
      <c r="K114" s="135"/>
      <c r="L114" s="136">
        <f t="shared" si="7"/>
        <v>0</v>
      </c>
      <c r="M114" s="284"/>
      <c r="N114" s="285"/>
      <c r="O114" s="136">
        <f t="shared" si="8"/>
        <v>0</v>
      </c>
      <c r="P114" s="85"/>
      <c r="R114" s="53"/>
      <c r="S114" s="53"/>
    </row>
    <row r="115" spans="1:19" hidden="1" x14ac:dyDescent="0.25">
      <c r="A115" s="276">
        <v>2250</v>
      </c>
      <c r="B115" s="127" t="s">
        <v>131</v>
      </c>
      <c r="C115" s="279">
        <f t="shared" si="4"/>
        <v>0</v>
      </c>
      <c r="D115" s="277">
        <f>SUM(D116:D118)</f>
        <v>0</v>
      </c>
      <c r="E115" s="282">
        <f>SUM(E116:E118)</f>
        <v>0</v>
      </c>
      <c r="F115" s="286">
        <f t="shared" si="5"/>
        <v>0</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c r="R115" s="53"/>
      <c r="S115" s="53"/>
    </row>
    <row r="116" spans="1:19" hidden="1" x14ac:dyDescent="0.25">
      <c r="A116" s="76">
        <v>2251</v>
      </c>
      <c r="B116" s="127" t="s">
        <v>132</v>
      </c>
      <c r="C116" s="279">
        <f t="shared" si="4"/>
        <v>0</v>
      </c>
      <c r="D116" s="134">
        <v>0</v>
      </c>
      <c r="E116" s="285"/>
      <c r="F116" s="286">
        <f t="shared" si="5"/>
        <v>0</v>
      </c>
      <c r="G116" s="134"/>
      <c r="H116" s="135"/>
      <c r="I116" s="136">
        <f t="shared" si="6"/>
        <v>0</v>
      </c>
      <c r="J116" s="134">
        <v>0</v>
      </c>
      <c r="K116" s="135"/>
      <c r="L116" s="136">
        <f t="shared" si="7"/>
        <v>0</v>
      </c>
      <c r="M116" s="284"/>
      <c r="N116" s="285"/>
      <c r="O116" s="136">
        <f t="shared" si="8"/>
        <v>0</v>
      </c>
      <c r="P116" s="85"/>
      <c r="R116" s="53"/>
      <c r="S116" s="53"/>
    </row>
    <row r="117" spans="1:19" ht="24" hidden="1" x14ac:dyDescent="0.25">
      <c r="A117" s="76">
        <v>2252</v>
      </c>
      <c r="B117" s="127" t="s">
        <v>133</v>
      </c>
      <c r="C117" s="279">
        <f t="shared" ref="C117:C181" si="9">F117+I117+L117+O117</f>
        <v>0</v>
      </c>
      <c r="D117" s="134">
        <v>0</v>
      </c>
      <c r="E117" s="285"/>
      <c r="F117" s="286">
        <f t="shared" si="5"/>
        <v>0</v>
      </c>
      <c r="G117" s="134"/>
      <c r="H117" s="135"/>
      <c r="I117" s="136">
        <f t="shared" si="6"/>
        <v>0</v>
      </c>
      <c r="J117" s="134">
        <v>0</v>
      </c>
      <c r="K117" s="135"/>
      <c r="L117" s="136">
        <f t="shared" si="7"/>
        <v>0</v>
      </c>
      <c r="M117" s="284"/>
      <c r="N117" s="285"/>
      <c r="O117" s="136">
        <f t="shared" si="8"/>
        <v>0</v>
      </c>
      <c r="P117" s="85"/>
      <c r="R117" s="53"/>
      <c r="S117" s="53"/>
    </row>
    <row r="118" spans="1:19" ht="24" hidden="1" x14ac:dyDescent="0.25">
      <c r="A118" s="76">
        <v>2259</v>
      </c>
      <c r="B118" s="127" t="s">
        <v>134</v>
      </c>
      <c r="C118" s="279">
        <f t="shared" si="9"/>
        <v>0</v>
      </c>
      <c r="D118" s="134">
        <v>0</v>
      </c>
      <c r="E118" s="285"/>
      <c r="F118" s="286">
        <f t="shared" ref="F118:F182" si="10">D118+E118</f>
        <v>0</v>
      </c>
      <c r="G118" s="134"/>
      <c r="H118" s="135"/>
      <c r="I118" s="136">
        <f t="shared" ref="I118:I182" si="11">G118+H118</f>
        <v>0</v>
      </c>
      <c r="J118" s="134">
        <v>0</v>
      </c>
      <c r="K118" s="135"/>
      <c r="L118" s="136">
        <f t="shared" ref="L118:L182" si="12">J118+K118</f>
        <v>0</v>
      </c>
      <c r="M118" s="284"/>
      <c r="N118" s="285"/>
      <c r="O118" s="136">
        <f t="shared" ref="O118:O182" si="13">M118+N118</f>
        <v>0</v>
      </c>
      <c r="P118" s="85"/>
      <c r="R118" s="53"/>
      <c r="S118" s="53"/>
    </row>
    <row r="119" spans="1:19" x14ac:dyDescent="0.25">
      <c r="A119" s="276">
        <v>2260</v>
      </c>
      <c r="B119" s="127" t="s">
        <v>135</v>
      </c>
      <c r="C119" s="279">
        <f t="shared" si="9"/>
        <v>100</v>
      </c>
      <c r="D119" s="277">
        <f>SUM(D120:D124)</f>
        <v>100</v>
      </c>
      <c r="E119" s="282">
        <f>SUM(E120:E124)</f>
        <v>0</v>
      </c>
      <c r="F119" s="286">
        <f t="shared" si="10"/>
        <v>100</v>
      </c>
      <c r="G119" s="277">
        <f>SUM(G120:G124)</f>
        <v>0</v>
      </c>
      <c r="H119" s="280">
        <f>SUM(H120:H124)</f>
        <v>0</v>
      </c>
      <c r="I119" s="136">
        <f t="shared" si="11"/>
        <v>0</v>
      </c>
      <c r="J119" s="277">
        <f>SUM(J120:J124)</f>
        <v>0</v>
      </c>
      <c r="K119" s="280">
        <f>SUM(K120:K124)</f>
        <v>0</v>
      </c>
      <c r="L119" s="136">
        <f t="shared" si="12"/>
        <v>0</v>
      </c>
      <c r="M119" s="281">
        <f>SUM(M120:M124)</f>
        <v>0</v>
      </c>
      <c r="N119" s="282">
        <f>SUM(N120:N124)</f>
        <v>0</v>
      </c>
      <c r="O119" s="136">
        <f t="shared" si="13"/>
        <v>0</v>
      </c>
      <c r="P119" s="85"/>
      <c r="R119" s="53"/>
      <c r="S119" s="53"/>
    </row>
    <row r="120" spans="1:19" hidden="1" x14ac:dyDescent="0.25">
      <c r="A120" s="76">
        <v>2261</v>
      </c>
      <c r="B120" s="127" t="s">
        <v>136</v>
      </c>
      <c r="C120" s="279">
        <f t="shared" si="9"/>
        <v>0</v>
      </c>
      <c r="D120" s="134">
        <v>0</v>
      </c>
      <c r="E120" s="285"/>
      <c r="F120" s="286">
        <f t="shared" si="10"/>
        <v>0</v>
      </c>
      <c r="G120" s="134"/>
      <c r="H120" s="135"/>
      <c r="I120" s="136">
        <f t="shared" si="11"/>
        <v>0</v>
      </c>
      <c r="J120" s="134">
        <v>0</v>
      </c>
      <c r="K120" s="135"/>
      <c r="L120" s="136">
        <f t="shared" si="12"/>
        <v>0</v>
      </c>
      <c r="M120" s="284"/>
      <c r="N120" s="285"/>
      <c r="O120" s="136">
        <f t="shared" si="13"/>
        <v>0</v>
      </c>
      <c r="P120" s="85"/>
      <c r="R120" s="53"/>
      <c r="S120" s="53"/>
    </row>
    <row r="121" spans="1:19" ht="24.75" customHeight="1" x14ac:dyDescent="0.25">
      <c r="A121" s="76">
        <v>2262</v>
      </c>
      <c r="B121" s="127" t="s">
        <v>137</v>
      </c>
      <c r="C121" s="279">
        <f t="shared" si="9"/>
        <v>100</v>
      </c>
      <c r="D121" s="134">
        <v>100</v>
      </c>
      <c r="E121" s="285"/>
      <c r="F121" s="286">
        <f t="shared" si="10"/>
        <v>100</v>
      </c>
      <c r="G121" s="134"/>
      <c r="H121" s="135"/>
      <c r="I121" s="136">
        <f t="shared" si="11"/>
        <v>0</v>
      </c>
      <c r="J121" s="134">
        <v>0</v>
      </c>
      <c r="K121" s="135"/>
      <c r="L121" s="136">
        <f t="shared" si="12"/>
        <v>0</v>
      </c>
      <c r="M121" s="284"/>
      <c r="N121" s="285"/>
      <c r="O121" s="136">
        <f t="shared" si="13"/>
        <v>0</v>
      </c>
      <c r="P121" s="85"/>
      <c r="R121" s="53"/>
      <c r="S121" s="53"/>
    </row>
    <row r="122" spans="1:19" hidden="1" x14ac:dyDescent="0.25">
      <c r="A122" s="76">
        <v>2263</v>
      </c>
      <c r="B122" s="127" t="s">
        <v>138</v>
      </c>
      <c r="C122" s="279">
        <f t="shared" si="9"/>
        <v>0</v>
      </c>
      <c r="D122" s="134">
        <v>0</v>
      </c>
      <c r="E122" s="285"/>
      <c r="F122" s="286">
        <f t="shared" si="10"/>
        <v>0</v>
      </c>
      <c r="G122" s="134"/>
      <c r="H122" s="135"/>
      <c r="I122" s="136">
        <f t="shared" si="11"/>
        <v>0</v>
      </c>
      <c r="J122" s="134">
        <v>0</v>
      </c>
      <c r="K122" s="135"/>
      <c r="L122" s="136">
        <f t="shared" si="12"/>
        <v>0</v>
      </c>
      <c r="M122" s="284"/>
      <c r="N122" s="285"/>
      <c r="O122" s="136">
        <f t="shared" si="13"/>
        <v>0</v>
      </c>
      <c r="P122" s="85"/>
      <c r="R122" s="53"/>
      <c r="S122" s="53"/>
    </row>
    <row r="123" spans="1:19" ht="24" hidden="1" x14ac:dyDescent="0.25">
      <c r="A123" s="76">
        <v>2264</v>
      </c>
      <c r="B123" s="127" t="s">
        <v>139</v>
      </c>
      <c r="C123" s="279">
        <f t="shared" si="9"/>
        <v>0</v>
      </c>
      <c r="D123" s="134">
        <v>0</v>
      </c>
      <c r="E123" s="285"/>
      <c r="F123" s="286">
        <f t="shared" si="10"/>
        <v>0</v>
      </c>
      <c r="G123" s="134"/>
      <c r="H123" s="135"/>
      <c r="I123" s="136">
        <f t="shared" si="11"/>
        <v>0</v>
      </c>
      <c r="J123" s="134">
        <v>0</v>
      </c>
      <c r="K123" s="135"/>
      <c r="L123" s="136">
        <f t="shared" si="12"/>
        <v>0</v>
      </c>
      <c r="M123" s="284"/>
      <c r="N123" s="285"/>
      <c r="O123" s="136">
        <f t="shared" si="13"/>
        <v>0</v>
      </c>
      <c r="P123" s="85"/>
      <c r="R123" s="53"/>
      <c r="S123" s="53"/>
    </row>
    <row r="124" spans="1:19" hidden="1" x14ac:dyDescent="0.25">
      <c r="A124" s="76">
        <v>2269</v>
      </c>
      <c r="B124" s="127" t="s">
        <v>140</v>
      </c>
      <c r="C124" s="279">
        <f t="shared" si="9"/>
        <v>0</v>
      </c>
      <c r="D124" s="134">
        <v>0</v>
      </c>
      <c r="E124" s="285"/>
      <c r="F124" s="286">
        <f t="shared" si="10"/>
        <v>0</v>
      </c>
      <c r="G124" s="134"/>
      <c r="H124" s="135"/>
      <c r="I124" s="136">
        <f t="shared" si="11"/>
        <v>0</v>
      </c>
      <c r="J124" s="134">
        <v>0</v>
      </c>
      <c r="K124" s="135"/>
      <c r="L124" s="136">
        <f t="shared" si="12"/>
        <v>0</v>
      </c>
      <c r="M124" s="284"/>
      <c r="N124" s="285"/>
      <c r="O124" s="136">
        <f t="shared" si="13"/>
        <v>0</v>
      </c>
      <c r="P124" s="85"/>
      <c r="R124" s="53"/>
      <c r="S124" s="53"/>
    </row>
    <row r="125" spans="1:19" x14ac:dyDescent="0.25">
      <c r="A125" s="276">
        <v>2270</v>
      </c>
      <c r="B125" s="127" t="s">
        <v>141</v>
      </c>
      <c r="C125" s="279">
        <f t="shared" si="9"/>
        <v>2930</v>
      </c>
      <c r="D125" s="277">
        <f>SUM(D126:D130)</f>
        <v>2930</v>
      </c>
      <c r="E125" s="282">
        <f>SUM(E126:E130)</f>
        <v>0</v>
      </c>
      <c r="F125" s="286">
        <f t="shared" si="10"/>
        <v>2930</v>
      </c>
      <c r="G125" s="277">
        <f>SUM(G126:G130)</f>
        <v>0</v>
      </c>
      <c r="H125" s="280">
        <f>SUM(H126:H130)</f>
        <v>0</v>
      </c>
      <c r="I125" s="136">
        <f t="shared" si="11"/>
        <v>0</v>
      </c>
      <c r="J125" s="277">
        <f>SUM(J126:J130)</f>
        <v>0</v>
      </c>
      <c r="K125" s="280">
        <f>SUM(K126:K130)</f>
        <v>0</v>
      </c>
      <c r="L125" s="136">
        <f t="shared" si="12"/>
        <v>0</v>
      </c>
      <c r="M125" s="281">
        <f>SUM(M126:M130)</f>
        <v>0</v>
      </c>
      <c r="N125" s="282">
        <f>SUM(N126:N130)</f>
        <v>0</v>
      </c>
      <c r="O125" s="136">
        <f t="shared" si="13"/>
        <v>0</v>
      </c>
      <c r="P125" s="85"/>
      <c r="R125" s="53"/>
      <c r="S125" s="53"/>
    </row>
    <row r="126" spans="1:19" hidden="1" x14ac:dyDescent="0.25">
      <c r="A126" s="76">
        <v>2272</v>
      </c>
      <c r="B126" s="5" t="s">
        <v>142</v>
      </c>
      <c r="C126" s="279">
        <f t="shared" si="9"/>
        <v>0</v>
      </c>
      <c r="D126" s="134">
        <v>0</v>
      </c>
      <c r="E126" s="285"/>
      <c r="F126" s="286">
        <f t="shared" si="10"/>
        <v>0</v>
      </c>
      <c r="G126" s="134"/>
      <c r="H126" s="135"/>
      <c r="I126" s="136">
        <f t="shared" si="11"/>
        <v>0</v>
      </c>
      <c r="J126" s="134">
        <v>0</v>
      </c>
      <c r="K126" s="135"/>
      <c r="L126" s="136">
        <f t="shared" si="12"/>
        <v>0</v>
      </c>
      <c r="M126" s="284"/>
      <c r="N126" s="285"/>
      <c r="O126" s="136">
        <f t="shared" si="13"/>
        <v>0</v>
      </c>
      <c r="P126" s="85"/>
      <c r="R126" s="53"/>
      <c r="S126" s="53"/>
    </row>
    <row r="127" spans="1:19" ht="24" hidden="1" x14ac:dyDescent="0.25">
      <c r="A127" s="76">
        <v>2275</v>
      </c>
      <c r="B127" s="127" t="s">
        <v>143</v>
      </c>
      <c r="C127" s="279">
        <f t="shared" si="9"/>
        <v>0</v>
      </c>
      <c r="D127" s="134">
        <v>0</v>
      </c>
      <c r="E127" s="285"/>
      <c r="F127" s="286">
        <f t="shared" si="10"/>
        <v>0</v>
      </c>
      <c r="G127" s="134"/>
      <c r="H127" s="135"/>
      <c r="I127" s="136">
        <f t="shared" si="11"/>
        <v>0</v>
      </c>
      <c r="J127" s="134">
        <v>0</v>
      </c>
      <c r="K127" s="135"/>
      <c r="L127" s="136">
        <f t="shared" si="12"/>
        <v>0</v>
      </c>
      <c r="M127" s="284"/>
      <c r="N127" s="285"/>
      <c r="O127" s="136">
        <f t="shared" si="13"/>
        <v>0</v>
      </c>
      <c r="P127" s="85"/>
      <c r="R127" s="53"/>
      <c r="S127" s="53"/>
    </row>
    <row r="128" spans="1:19" ht="36" hidden="1" x14ac:dyDescent="0.25">
      <c r="A128" s="76">
        <v>2276</v>
      </c>
      <c r="B128" s="127" t="s">
        <v>144</v>
      </c>
      <c r="C128" s="279">
        <f t="shared" si="9"/>
        <v>0</v>
      </c>
      <c r="D128" s="134">
        <v>0</v>
      </c>
      <c r="E128" s="285"/>
      <c r="F128" s="286">
        <f t="shared" si="10"/>
        <v>0</v>
      </c>
      <c r="G128" s="134"/>
      <c r="H128" s="135"/>
      <c r="I128" s="136">
        <f t="shared" si="11"/>
        <v>0</v>
      </c>
      <c r="J128" s="134">
        <v>0</v>
      </c>
      <c r="K128" s="135"/>
      <c r="L128" s="136">
        <f t="shared" si="12"/>
        <v>0</v>
      </c>
      <c r="M128" s="284"/>
      <c r="N128" s="285"/>
      <c r="O128" s="136">
        <f t="shared" si="13"/>
        <v>0</v>
      </c>
      <c r="P128" s="85"/>
      <c r="R128" s="53"/>
      <c r="S128" s="53"/>
    </row>
    <row r="129" spans="1:19" ht="24" hidden="1" x14ac:dyDescent="0.25">
      <c r="A129" s="76">
        <v>2278</v>
      </c>
      <c r="B129" s="127" t="s">
        <v>145</v>
      </c>
      <c r="C129" s="279">
        <f t="shared" si="9"/>
        <v>0</v>
      </c>
      <c r="D129" s="134">
        <v>0</v>
      </c>
      <c r="E129" s="285"/>
      <c r="F129" s="286">
        <f t="shared" si="10"/>
        <v>0</v>
      </c>
      <c r="G129" s="134"/>
      <c r="H129" s="135"/>
      <c r="I129" s="136">
        <f t="shared" si="11"/>
        <v>0</v>
      </c>
      <c r="J129" s="134">
        <v>0</v>
      </c>
      <c r="K129" s="135"/>
      <c r="L129" s="136">
        <f t="shared" si="12"/>
        <v>0</v>
      </c>
      <c r="M129" s="284"/>
      <c r="N129" s="285"/>
      <c r="O129" s="136">
        <f t="shared" si="13"/>
        <v>0</v>
      </c>
      <c r="P129" s="85"/>
      <c r="R129" s="53"/>
      <c r="S129" s="53"/>
    </row>
    <row r="130" spans="1:19" ht="24" x14ac:dyDescent="0.25">
      <c r="A130" s="76">
        <v>2279</v>
      </c>
      <c r="B130" s="127" t="s">
        <v>146</v>
      </c>
      <c r="C130" s="279">
        <f t="shared" si="9"/>
        <v>2930</v>
      </c>
      <c r="D130" s="134">
        <f>4930-2000</f>
        <v>2930</v>
      </c>
      <c r="E130" s="285"/>
      <c r="F130" s="286">
        <f t="shared" si="10"/>
        <v>2930</v>
      </c>
      <c r="G130" s="134"/>
      <c r="H130" s="135"/>
      <c r="I130" s="136">
        <f t="shared" si="11"/>
        <v>0</v>
      </c>
      <c r="J130" s="134">
        <v>0</v>
      </c>
      <c r="K130" s="135"/>
      <c r="L130" s="136">
        <f t="shared" si="12"/>
        <v>0</v>
      </c>
      <c r="M130" s="284"/>
      <c r="N130" s="285"/>
      <c r="O130" s="136">
        <f t="shared" si="13"/>
        <v>0</v>
      </c>
      <c r="P130" s="772"/>
      <c r="R130" s="53"/>
      <c r="S130" s="53"/>
    </row>
    <row r="131" spans="1:19" ht="24" hidden="1" x14ac:dyDescent="0.25">
      <c r="A131" s="656">
        <v>2280</v>
      </c>
      <c r="B131" s="116" t="s">
        <v>147</v>
      </c>
      <c r="C131" s="279">
        <f t="shared" si="9"/>
        <v>0</v>
      </c>
      <c r="D131" s="297">
        <f t="shared" ref="D131" si="14">SUM(D132)</f>
        <v>0</v>
      </c>
      <c r="E131" s="301">
        <f t="shared" ref="E131:N131" si="15">SUM(E132)</f>
        <v>0</v>
      </c>
      <c r="F131" s="263">
        <f t="shared" si="10"/>
        <v>0</v>
      </c>
      <c r="G131" s="297">
        <f t="shared" ref="G131" si="16">SUM(G132)</f>
        <v>0</v>
      </c>
      <c r="H131" s="299">
        <f t="shared" si="15"/>
        <v>0</v>
      </c>
      <c r="I131" s="125">
        <f t="shared" si="11"/>
        <v>0</v>
      </c>
      <c r="J131" s="297">
        <f t="shared" ref="J131" si="17">SUM(J132)</f>
        <v>0</v>
      </c>
      <c r="K131" s="299">
        <f t="shared" si="15"/>
        <v>0</v>
      </c>
      <c r="L131" s="125">
        <f t="shared" si="12"/>
        <v>0</v>
      </c>
      <c r="M131" s="281">
        <f t="shared" si="15"/>
        <v>0</v>
      </c>
      <c r="N131" s="282">
        <f t="shared" si="15"/>
        <v>0</v>
      </c>
      <c r="O131" s="136">
        <f t="shared" si="13"/>
        <v>0</v>
      </c>
      <c r="P131" s="85"/>
      <c r="R131" s="53"/>
      <c r="S131" s="53"/>
    </row>
    <row r="132" spans="1:19" ht="24" hidden="1" x14ac:dyDescent="0.25">
      <c r="A132" s="76">
        <v>2283</v>
      </c>
      <c r="B132" s="127" t="s">
        <v>148</v>
      </c>
      <c r="C132" s="279">
        <f t="shared" si="9"/>
        <v>0</v>
      </c>
      <c r="D132" s="134">
        <v>0</v>
      </c>
      <c r="E132" s="285"/>
      <c r="F132" s="286">
        <f t="shared" si="10"/>
        <v>0</v>
      </c>
      <c r="G132" s="134"/>
      <c r="H132" s="135"/>
      <c r="I132" s="136">
        <f t="shared" si="11"/>
        <v>0</v>
      </c>
      <c r="J132" s="134">
        <v>0</v>
      </c>
      <c r="K132" s="135"/>
      <c r="L132" s="136">
        <f t="shared" si="12"/>
        <v>0</v>
      </c>
      <c r="M132" s="284"/>
      <c r="N132" s="285"/>
      <c r="O132" s="136">
        <f t="shared" si="13"/>
        <v>0</v>
      </c>
      <c r="P132" s="85"/>
      <c r="R132" s="53"/>
      <c r="S132" s="53"/>
    </row>
    <row r="133" spans="1:19" ht="36" x14ac:dyDescent="0.25">
      <c r="A133" s="99">
        <v>2300</v>
      </c>
      <c r="B133" s="247" t="s">
        <v>149</v>
      </c>
      <c r="C133" s="249">
        <f t="shared" si="9"/>
        <v>51700</v>
      </c>
      <c r="D133" s="112">
        <f>SUM(D134,D139,D143,D144,D147,D154,D162,D163,D166)</f>
        <v>34480</v>
      </c>
      <c r="E133" s="293">
        <f>SUM(E134,E139,E143,E144,E147,E154,E162,E163,E166)</f>
        <v>1060</v>
      </c>
      <c r="F133" s="313">
        <f t="shared" si="10"/>
        <v>35540</v>
      </c>
      <c r="G133" s="112">
        <f>SUM(G134,G139,G143,G144,G147,G154,G162,G163,G166)</f>
        <v>0</v>
      </c>
      <c r="H133" s="113">
        <f>SUM(H134,H139,H143,H144,H147,H154,H162,H163,H166)</f>
        <v>0</v>
      </c>
      <c r="I133" s="114">
        <f t="shared" si="11"/>
        <v>0</v>
      </c>
      <c r="J133" s="112">
        <f>SUM(J134,J139,J143,J144,J147,J154,J162,J163,J166)</f>
        <v>16160</v>
      </c>
      <c r="K133" s="113">
        <f>SUM(K134,K139,K143,K144,K147,K154,K162,K163,K166)</f>
        <v>0</v>
      </c>
      <c r="L133" s="114">
        <f t="shared" si="12"/>
        <v>16160</v>
      </c>
      <c r="M133" s="292">
        <f>SUM(M134,M139,M143,M144,M147,M154,M162,M163,M166)</f>
        <v>0</v>
      </c>
      <c r="N133" s="293">
        <f>SUM(N134,N139,N143,N144,N147,N154,N162,N163,N166)</f>
        <v>0</v>
      </c>
      <c r="O133" s="114">
        <f t="shared" si="13"/>
        <v>0</v>
      </c>
      <c r="P133" s="109"/>
      <c r="R133" s="53"/>
      <c r="S133" s="53"/>
    </row>
    <row r="134" spans="1:19" ht="24" x14ac:dyDescent="0.25">
      <c r="A134" s="656">
        <v>2310</v>
      </c>
      <c r="B134" s="116" t="s">
        <v>150</v>
      </c>
      <c r="C134" s="296">
        <f t="shared" si="9"/>
        <v>51700</v>
      </c>
      <c r="D134" s="308">
        <f>SUM(D135:D138)</f>
        <v>34480</v>
      </c>
      <c r="E134" s="299">
        <f>SUM(E135:E138)</f>
        <v>1060</v>
      </c>
      <c r="F134" s="263">
        <f t="shared" si="10"/>
        <v>35540</v>
      </c>
      <c r="G134" s="297">
        <f>SUM(G135:G138)</f>
        <v>0</v>
      </c>
      <c r="H134" s="299">
        <f>SUM(H135:H138)</f>
        <v>0</v>
      </c>
      <c r="I134" s="125">
        <f t="shared" si="11"/>
        <v>0</v>
      </c>
      <c r="J134" s="297">
        <f>SUM(J135:J138)</f>
        <v>16160</v>
      </c>
      <c r="K134" s="299">
        <f>SUM(K135:K138)</f>
        <v>0</v>
      </c>
      <c r="L134" s="125">
        <f t="shared" si="12"/>
        <v>16160</v>
      </c>
      <c r="M134" s="300">
        <f>SUM(M135:M138)</f>
        <v>0</v>
      </c>
      <c r="N134" s="301">
        <f>SUM(N135:N138)</f>
        <v>0</v>
      </c>
      <c r="O134" s="125">
        <f t="shared" si="13"/>
        <v>0</v>
      </c>
      <c r="P134" s="74"/>
      <c r="R134" s="53"/>
      <c r="S134" s="53"/>
    </row>
    <row r="135" spans="1:19" x14ac:dyDescent="0.25">
      <c r="A135" s="76">
        <v>2311</v>
      </c>
      <c r="B135" s="127" t="s">
        <v>151</v>
      </c>
      <c r="C135" s="279">
        <f t="shared" si="9"/>
        <v>2600</v>
      </c>
      <c r="D135" s="134">
        <v>840</v>
      </c>
      <c r="E135" s="285">
        <v>160</v>
      </c>
      <c r="F135" s="286">
        <f t="shared" si="10"/>
        <v>1000</v>
      </c>
      <c r="G135" s="134"/>
      <c r="H135" s="135"/>
      <c r="I135" s="136">
        <f t="shared" si="11"/>
        <v>0</v>
      </c>
      <c r="J135" s="134">
        <v>1600</v>
      </c>
      <c r="K135" s="135"/>
      <c r="L135" s="136">
        <f t="shared" si="12"/>
        <v>1600</v>
      </c>
      <c r="M135" s="284"/>
      <c r="N135" s="285"/>
      <c r="O135" s="136">
        <f t="shared" si="13"/>
        <v>0</v>
      </c>
      <c r="P135" s="85"/>
      <c r="R135" s="53"/>
      <c r="S135" s="53"/>
    </row>
    <row r="136" spans="1:19" hidden="1" x14ac:dyDescent="0.25">
      <c r="A136" s="76">
        <v>2312</v>
      </c>
      <c r="B136" s="127" t="s">
        <v>152</v>
      </c>
      <c r="C136" s="279">
        <f t="shared" si="9"/>
        <v>0</v>
      </c>
      <c r="D136" s="134">
        <v>0</v>
      </c>
      <c r="E136" s="285"/>
      <c r="F136" s="286">
        <f t="shared" si="10"/>
        <v>0</v>
      </c>
      <c r="G136" s="134"/>
      <c r="H136" s="135"/>
      <c r="I136" s="136">
        <f t="shared" si="11"/>
        <v>0</v>
      </c>
      <c r="J136" s="134">
        <v>0</v>
      </c>
      <c r="K136" s="135"/>
      <c r="L136" s="136">
        <f t="shared" si="12"/>
        <v>0</v>
      </c>
      <c r="M136" s="284"/>
      <c r="N136" s="285"/>
      <c r="O136" s="136">
        <f t="shared" si="13"/>
        <v>0</v>
      </c>
      <c r="P136" s="85"/>
      <c r="R136" s="53"/>
      <c r="S136" s="53"/>
    </row>
    <row r="137" spans="1:19" hidden="1" x14ac:dyDescent="0.25">
      <c r="A137" s="76">
        <v>2313</v>
      </c>
      <c r="B137" s="127" t="s">
        <v>153</v>
      </c>
      <c r="C137" s="279">
        <f t="shared" si="9"/>
        <v>0</v>
      </c>
      <c r="D137" s="134">
        <v>0</v>
      </c>
      <c r="E137" s="285"/>
      <c r="F137" s="286">
        <f t="shared" si="10"/>
        <v>0</v>
      </c>
      <c r="G137" s="134"/>
      <c r="H137" s="135"/>
      <c r="I137" s="136">
        <f t="shared" si="11"/>
        <v>0</v>
      </c>
      <c r="J137" s="134">
        <v>0</v>
      </c>
      <c r="K137" s="135"/>
      <c r="L137" s="136">
        <f t="shared" si="12"/>
        <v>0</v>
      </c>
      <c r="M137" s="284"/>
      <c r="N137" s="285"/>
      <c r="O137" s="136">
        <f t="shared" si="13"/>
        <v>0</v>
      </c>
      <c r="P137" s="85"/>
      <c r="R137" s="53"/>
      <c r="S137" s="53"/>
    </row>
    <row r="138" spans="1:19" ht="36" x14ac:dyDescent="0.25">
      <c r="A138" s="76">
        <v>2314</v>
      </c>
      <c r="B138" s="127" t="s">
        <v>154</v>
      </c>
      <c r="C138" s="279">
        <f t="shared" si="9"/>
        <v>49100</v>
      </c>
      <c r="D138" s="134">
        <f>23700+10440-500</f>
        <v>33640</v>
      </c>
      <c r="E138" s="285">
        <v>900</v>
      </c>
      <c r="F138" s="286">
        <f t="shared" si="10"/>
        <v>34540</v>
      </c>
      <c r="G138" s="134"/>
      <c r="H138" s="135"/>
      <c r="I138" s="136">
        <f t="shared" si="11"/>
        <v>0</v>
      </c>
      <c r="J138" s="134">
        <f>25000-10440</f>
        <v>14560</v>
      </c>
      <c r="K138" s="135"/>
      <c r="L138" s="136">
        <f t="shared" si="12"/>
        <v>14560</v>
      </c>
      <c r="M138" s="284"/>
      <c r="N138" s="285"/>
      <c r="O138" s="136">
        <f t="shared" si="13"/>
        <v>0</v>
      </c>
      <c r="P138" s="85"/>
      <c r="R138" s="53"/>
      <c r="S138" s="53"/>
    </row>
    <row r="139" spans="1:19" hidden="1" x14ac:dyDescent="0.25">
      <c r="A139" s="276">
        <v>2320</v>
      </c>
      <c r="B139" s="127" t="s">
        <v>155</v>
      </c>
      <c r="C139" s="279">
        <f t="shared" si="9"/>
        <v>0</v>
      </c>
      <c r="D139" s="277">
        <f>SUM(D140:D142)</f>
        <v>0</v>
      </c>
      <c r="E139" s="282">
        <f>SUM(E140:E142)</f>
        <v>0</v>
      </c>
      <c r="F139" s="286">
        <f t="shared" si="10"/>
        <v>0</v>
      </c>
      <c r="G139" s="277">
        <f>SUM(G140:G142)</f>
        <v>0</v>
      </c>
      <c r="H139" s="280">
        <f>SUM(H140:H142)</f>
        <v>0</v>
      </c>
      <c r="I139" s="136">
        <f t="shared" si="11"/>
        <v>0</v>
      </c>
      <c r="J139" s="277">
        <f>SUM(J140:J142)</f>
        <v>0</v>
      </c>
      <c r="K139" s="280">
        <f>SUM(K140:K142)</f>
        <v>0</v>
      </c>
      <c r="L139" s="136">
        <f t="shared" si="12"/>
        <v>0</v>
      </c>
      <c r="M139" s="281">
        <f>SUM(M140:M142)</f>
        <v>0</v>
      </c>
      <c r="N139" s="282">
        <f>SUM(N140:N142)</f>
        <v>0</v>
      </c>
      <c r="O139" s="136">
        <f t="shared" si="13"/>
        <v>0</v>
      </c>
      <c r="P139" s="85"/>
      <c r="R139" s="53"/>
      <c r="S139" s="53"/>
    </row>
    <row r="140" spans="1:19" hidden="1" x14ac:dyDescent="0.25">
      <c r="A140" s="76">
        <v>2321</v>
      </c>
      <c r="B140" s="127" t="s">
        <v>156</v>
      </c>
      <c r="C140" s="279">
        <f t="shared" si="9"/>
        <v>0</v>
      </c>
      <c r="D140" s="134">
        <v>0</v>
      </c>
      <c r="E140" s="285"/>
      <c r="F140" s="286">
        <f t="shared" si="10"/>
        <v>0</v>
      </c>
      <c r="G140" s="134"/>
      <c r="H140" s="135"/>
      <c r="I140" s="136">
        <f t="shared" si="11"/>
        <v>0</v>
      </c>
      <c r="J140" s="134">
        <v>0</v>
      </c>
      <c r="K140" s="135"/>
      <c r="L140" s="136">
        <f t="shared" si="12"/>
        <v>0</v>
      </c>
      <c r="M140" s="284"/>
      <c r="N140" s="285"/>
      <c r="O140" s="136">
        <f t="shared" si="13"/>
        <v>0</v>
      </c>
      <c r="P140" s="85"/>
      <c r="R140" s="53"/>
      <c r="S140" s="53"/>
    </row>
    <row r="141" spans="1:19" hidden="1" x14ac:dyDescent="0.25">
      <c r="A141" s="76">
        <v>2322</v>
      </c>
      <c r="B141" s="127" t="s">
        <v>157</v>
      </c>
      <c r="C141" s="279">
        <f t="shared" si="9"/>
        <v>0</v>
      </c>
      <c r="D141" s="134">
        <v>0</v>
      </c>
      <c r="E141" s="285"/>
      <c r="F141" s="286">
        <f t="shared" si="10"/>
        <v>0</v>
      </c>
      <c r="G141" s="134"/>
      <c r="H141" s="135"/>
      <c r="I141" s="136">
        <f t="shared" si="11"/>
        <v>0</v>
      </c>
      <c r="J141" s="134">
        <v>0</v>
      </c>
      <c r="K141" s="135"/>
      <c r="L141" s="136">
        <f t="shared" si="12"/>
        <v>0</v>
      </c>
      <c r="M141" s="284"/>
      <c r="N141" s="285"/>
      <c r="O141" s="136">
        <f t="shared" si="13"/>
        <v>0</v>
      </c>
      <c r="P141" s="85"/>
      <c r="R141" s="53"/>
      <c r="S141" s="53"/>
    </row>
    <row r="142" spans="1:19" hidden="1" x14ac:dyDescent="0.25">
      <c r="A142" s="76">
        <v>2329</v>
      </c>
      <c r="B142" s="127" t="s">
        <v>158</v>
      </c>
      <c r="C142" s="279">
        <f t="shared" si="9"/>
        <v>0</v>
      </c>
      <c r="D142" s="134">
        <v>0</v>
      </c>
      <c r="E142" s="285"/>
      <c r="F142" s="286">
        <f t="shared" si="10"/>
        <v>0</v>
      </c>
      <c r="G142" s="134"/>
      <c r="H142" s="135"/>
      <c r="I142" s="136">
        <f t="shared" si="11"/>
        <v>0</v>
      </c>
      <c r="J142" s="134">
        <v>0</v>
      </c>
      <c r="K142" s="135"/>
      <c r="L142" s="136">
        <f t="shared" si="12"/>
        <v>0</v>
      </c>
      <c r="M142" s="284"/>
      <c r="N142" s="285"/>
      <c r="O142" s="136">
        <f t="shared" si="13"/>
        <v>0</v>
      </c>
      <c r="P142" s="85"/>
      <c r="R142" s="53"/>
      <c r="S142" s="53"/>
    </row>
    <row r="143" spans="1:19" hidden="1" x14ac:dyDescent="0.25">
      <c r="A143" s="276">
        <v>2330</v>
      </c>
      <c r="B143" s="127" t="s">
        <v>159</v>
      </c>
      <c r="C143" s="279">
        <f t="shared" si="9"/>
        <v>0</v>
      </c>
      <c r="D143" s="134">
        <v>0</v>
      </c>
      <c r="E143" s="285"/>
      <c r="F143" s="286">
        <f t="shared" si="10"/>
        <v>0</v>
      </c>
      <c r="G143" s="134"/>
      <c r="H143" s="135"/>
      <c r="I143" s="136">
        <f t="shared" si="11"/>
        <v>0</v>
      </c>
      <c r="J143" s="134">
        <v>0</v>
      </c>
      <c r="K143" s="135"/>
      <c r="L143" s="136">
        <f t="shared" si="12"/>
        <v>0</v>
      </c>
      <c r="M143" s="284"/>
      <c r="N143" s="285"/>
      <c r="O143" s="136">
        <f t="shared" si="13"/>
        <v>0</v>
      </c>
      <c r="P143" s="85"/>
      <c r="R143" s="53"/>
      <c r="S143" s="53"/>
    </row>
    <row r="144" spans="1:19" ht="48" hidden="1" x14ac:dyDescent="0.25">
      <c r="A144" s="276">
        <v>2340</v>
      </c>
      <c r="B144" s="127" t="s">
        <v>160</v>
      </c>
      <c r="C144" s="279">
        <f t="shared" si="9"/>
        <v>0</v>
      </c>
      <c r="D144" s="277">
        <f>SUM(D145:D146)</f>
        <v>0</v>
      </c>
      <c r="E144" s="282">
        <f>SUM(E145:E146)</f>
        <v>0</v>
      </c>
      <c r="F144" s="286">
        <f t="shared" si="10"/>
        <v>0</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c r="R144" s="53"/>
      <c r="S144" s="53"/>
    </row>
    <row r="145" spans="1:19" hidden="1" x14ac:dyDescent="0.25">
      <c r="A145" s="76">
        <v>2341</v>
      </c>
      <c r="B145" s="127" t="s">
        <v>161</v>
      </c>
      <c r="C145" s="279">
        <f t="shared" si="9"/>
        <v>0</v>
      </c>
      <c r="D145" s="134">
        <v>0</v>
      </c>
      <c r="E145" s="285"/>
      <c r="F145" s="286">
        <f t="shared" si="10"/>
        <v>0</v>
      </c>
      <c r="G145" s="134"/>
      <c r="H145" s="135"/>
      <c r="I145" s="136">
        <f t="shared" si="11"/>
        <v>0</v>
      </c>
      <c r="J145" s="134">
        <v>0</v>
      </c>
      <c r="K145" s="135"/>
      <c r="L145" s="136">
        <f t="shared" si="12"/>
        <v>0</v>
      </c>
      <c r="M145" s="284"/>
      <c r="N145" s="285"/>
      <c r="O145" s="136">
        <f t="shared" si="13"/>
        <v>0</v>
      </c>
      <c r="P145" s="85"/>
      <c r="R145" s="53"/>
      <c r="S145" s="53"/>
    </row>
    <row r="146" spans="1:19" ht="24" hidden="1" x14ac:dyDescent="0.25">
      <c r="A146" s="76">
        <v>2344</v>
      </c>
      <c r="B146" s="127" t="s">
        <v>162</v>
      </c>
      <c r="C146" s="279">
        <f t="shared" si="9"/>
        <v>0</v>
      </c>
      <c r="D146" s="134">
        <v>0</v>
      </c>
      <c r="E146" s="285"/>
      <c r="F146" s="286">
        <f t="shared" si="10"/>
        <v>0</v>
      </c>
      <c r="G146" s="134"/>
      <c r="H146" s="135"/>
      <c r="I146" s="136">
        <f t="shared" si="11"/>
        <v>0</v>
      </c>
      <c r="J146" s="134">
        <v>0</v>
      </c>
      <c r="K146" s="135"/>
      <c r="L146" s="136">
        <f t="shared" si="12"/>
        <v>0</v>
      </c>
      <c r="M146" s="284"/>
      <c r="N146" s="285"/>
      <c r="O146" s="136">
        <f t="shared" si="13"/>
        <v>0</v>
      </c>
      <c r="P146" s="85"/>
      <c r="R146" s="53"/>
      <c r="S146" s="53"/>
    </row>
    <row r="147" spans="1:19" ht="24" hidden="1" x14ac:dyDescent="0.25">
      <c r="A147" s="254">
        <v>2350</v>
      </c>
      <c r="B147" s="179" t="s">
        <v>163</v>
      </c>
      <c r="C147" s="279">
        <f t="shared" si="9"/>
        <v>0</v>
      </c>
      <c r="D147" s="255">
        <f>SUM(D148:D153)</f>
        <v>0</v>
      </c>
      <c r="E147" s="261">
        <f>SUM(E148:E153)</f>
        <v>0</v>
      </c>
      <c r="F147" s="310">
        <f t="shared" si="10"/>
        <v>0</v>
      </c>
      <c r="G147" s="255">
        <f>SUM(G148:G153)</f>
        <v>0</v>
      </c>
      <c r="H147" s="258">
        <f>SUM(H148:H153)</f>
        <v>0</v>
      </c>
      <c r="I147" s="259">
        <f t="shared" si="11"/>
        <v>0</v>
      </c>
      <c r="J147" s="255">
        <f>SUM(J148:J153)</f>
        <v>0</v>
      </c>
      <c r="K147" s="258">
        <f>SUM(K148:K153)</f>
        <v>0</v>
      </c>
      <c r="L147" s="259">
        <f t="shared" si="12"/>
        <v>0</v>
      </c>
      <c r="M147" s="260">
        <f>SUM(M148:M153)</f>
        <v>0</v>
      </c>
      <c r="N147" s="261">
        <f>SUM(N148:N153)</f>
        <v>0</v>
      </c>
      <c r="O147" s="259">
        <f t="shared" si="13"/>
        <v>0</v>
      </c>
      <c r="P147" s="189"/>
      <c r="R147" s="53"/>
      <c r="S147" s="53"/>
    </row>
    <row r="148" spans="1:19" hidden="1" x14ac:dyDescent="0.25">
      <c r="A148" s="66">
        <v>2351</v>
      </c>
      <c r="B148" s="116" t="s">
        <v>164</v>
      </c>
      <c r="C148" s="279">
        <f t="shared" si="9"/>
        <v>0</v>
      </c>
      <c r="D148" s="123">
        <v>0</v>
      </c>
      <c r="E148" s="262"/>
      <c r="F148" s="263">
        <f t="shared" si="10"/>
        <v>0</v>
      </c>
      <c r="G148" s="123"/>
      <c r="H148" s="124"/>
      <c r="I148" s="125">
        <f t="shared" si="11"/>
        <v>0</v>
      </c>
      <c r="J148" s="123">
        <v>0</v>
      </c>
      <c r="K148" s="124"/>
      <c r="L148" s="125">
        <f t="shared" si="12"/>
        <v>0</v>
      </c>
      <c r="M148" s="264"/>
      <c r="N148" s="262"/>
      <c r="O148" s="125">
        <f t="shared" si="13"/>
        <v>0</v>
      </c>
      <c r="P148" s="74"/>
      <c r="R148" s="53"/>
      <c r="S148" s="53"/>
    </row>
    <row r="149" spans="1:19" hidden="1" x14ac:dyDescent="0.25">
      <c r="A149" s="76">
        <v>2352</v>
      </c>
      <c r="B149" s="127" t="s">
        <v>165</v>
      </c>
      <c r="C149" s="279">
        <f t="shared" si="9"/>
        <v>0</v>
      </c>
      <c r="D149" s="134">
        <v>0</v>
      </c>
      <c r="E149" s="285"/>
      <c r="F149" s="286">
        <f t="shared" si="10"/>
        <v>0</v>
      </c>
      <c r="G149" s="134"/>
      <c r="H149" s="135"/>
      <c r="I149" s="136">
        <f t="shared" si="11"/>
        <v>0</v>
      </c>
      <c r="J149" s="134">
        <v>0</v>
      </c>
      <c r="K149" s="135"/>
      <c r="L149" s="136">
        <f t="shared" si="12"/>
        <v>0</v>
      </c>
      <c r="M149" s="284"/>
      <c r="N149" s="285"/>
      <c r="O149" s="136">
        <f t="shared" si="13"/>
        <v>0</v>
      </c>
      <c r="P149" s="85"/>
      <c r="R149" s="53"/>
      <c r="S149" s="53"/>
    </row>
    <row r="150" spans="1:19" ht="24" hidden="1" x14ac:dyDescent="0.25">
      <c r="A150" s="76">
        <v>2353</v>
      </c>
      <c r="B150" s="127" t="s">
        <v>166</v>
      </c>
      <c r="C150" s="279">
        <f t="shared" si="9"/>
        <v>0</v>
      </c>
      <c r="D150" s="134">
        <v>0</v>
      </c>
      <c r="E150" s="285"/>
      <c r="F150" s="286">
        <f t="shared" si="10"/>
        <v>0</v>
      </c>
      <c r="G150" s="134"/>
      <c r="H150" s="135"/>
      <c r="I150" s="136">
        <f t="shared" si="11"/>
        <v>0</v>
      </c>
      <c r="J150" s="134">
        <v>0</v>
      </c>
      <c r="K150" s="135"/>
      <c r="L150" s="136">
        <f t="shared" si="12"/>
        <v>0</v>
      </c>
      <c r="M150" s="284"/>
      <c r="N150" s="285"/>
      <c r="O150" s="136">
        <f t="shared" si="13"/>
        <v>0</v>
      </c>
      <c r="P150" s="85"/>
      <c r="R150" s="53"/>
      <c r="S150" s="53"/>
    </row>
    <row r="151" spans="1:19" ht="24" hidden="1" x14ac:dyDescent="0.25">
      <c r="A151" s="76">
        <v>2354</v>
      </c>
      <c r="B151" s="127" t="s">
        <v>167</v>
      </c>
      <c r="C151" s="279">
        <f t="shared" si="9"/>
        <v>0</v>
      </c>
      <c r="D151" s="134">
        <v>0</v>
      </c>
      <c r="E151" s="285"/>
      <c r="F151" s="286">
        <f t="shared" si="10"/>
        <v>0</v>
      </c>
      <c r="G151" s="134"/>
      <c r="H151" s="135"/>
      <c r="I151" s="136">
        <f t="shared" si="11"/>
        <v>0</v>
      </c>
      <c r="J151" s="134">
        <v>0</v>
      </c>
      <c r="K151" s="135"/>
      <c r="L151" s="136">
        <f t="shared" si="12"/>
        <v>0</v>
      </c>
      <c r="M151" s="284"/>
      <c r="N151" s="285"/>
      <c r="O151" s="136">
        <f t="shared" si="13"/>
        <v>0</v>
      </c>
      <c r="P151" s="85"/>
      <c r="R151" s="53"/>
      <c r="S151" s="53"/>
    </row>
    <row r="152" spans="1:19" ht="24" hidden="1" x14ac:dyDescent="0.25">
      <c r="A152" s="76">
        <v>2355</v>
      </c>
      <c r="B152" s="127" t="s">
        <v>168</v>
      </c>
      <c r="C152" s="279">
        <f t="shared" si="9"/>
        <v>0</v>
      </c>
      <c r="D152" s="134">
        <v>0</v>
      </c>
      <c r="E152" s="285"/>
      <c r="F152" s="286">
        <f t="shared" si="10"/>
        <v>0</v>
      </c>
      <c r="G152" s="134"/>
      <c r="H152" s="135"/>
      <c r="I152" s="136">
        <f t="shared" si="11"/>
        <v>0</v>
      </c>
      <c r="J152" s="134">
        <v>0</v>
      </c>
      <c r="K152" s="135"/>
      <c r="L152" s="136">
        <f t="shared" si="12"/>
        <v>0</v>
      </c>
      <c r="M152" s="284"/>
      <c r="N152" s="285"/>
      <c r="O152" s="136">
        <f t="shared" si="13"/>
        <v>0</v>
      </c>
      <c r="P152" s="85"/>
      <c r="R152" s="53"/>
      <c r="S152" s="53"/>
    </row>
    <row r="153" spans="1:19" ht="24" hidden="1" x14ac:dyDescent="0.25">
      <c r="A153" s="76">
        <v>2359</v>
      </c>
      <c r="B153" s="127" t="s">
        <v>169</v>
      </c>
      <c r="C153" s="279">
        <f t="shared" si="9"/>
        <v>0</v>
      </c>
      <c r="D153" s="134">
        <v>0</v>
      </c>
      <c r="E153" s="285"/>
      <c r="F153" s="286">
        <f t="shared" si="10"/>
        <v>0</v>
      </c>
      <c r="G153" s="134"/>
      <c r="H153" s="135"/>
      <c r="I153" s="136">
        <f t="shared" si="11"/>
        <v>0</v>
      </c>
      <c r="J153" s="134">
        <v>0</v>
      </c>
      <c r="K153" s="135"/>
      <c r="L153" s="136">
        <f t="shared" si="12"/>
        <v>0</v>
      </c>
      <c r="M153" s="284"/>
      <c r="N153" s="285"/>
      <c r="O153" s="136">
        <f t="shared" si="13"/>
        <v>0</v>
      </c>
      <c r="P153" s="85"/>
      <c r="R153" s="53"/>
      <c r="S153" s="53"/>
    </row>
    <row r="154" spans="1:19" ht="24" hidden="1" x14ac:dyDescent="0.25">
      <c r="A154" s="276">
        <v>2360</v>
      </c>
      <c r="B154" s="127" t="s">
        <v>170</v>
      </c>
      <c r="C154" s="279">
        <f t="shared" si="9"/>
        <v>0</v>
      </c>
      <c r="D154" s="277">
        <f>SUM(D155:D161)</f>
        <v>0</v>
      </c>
      <c r="E154" s="282">
        <f>SUM(E155:E161)</f>
        <v>0</v>
      </c>
      <c r="F154" s="286">
        <f t="shared" si="10"/>
        <v>0</v>
      </c>
      <c r="G154" s="277">
        <f>SUM(G155:G161)</f>
        <v>0</v>
      </c>
      <c r="H154" s="280">
        <f>SUM(H155:H161)</f>
        <v>0</v>
      </c>
      <c r="I154" s="136">
        <f t="shared" si="11"/>
        <v>0</v>
      </c>
      <c r="J154" s="277">
        <f>SUM(J155:J161)</f>
        <v>0</v>
      </c>
      <c r="K154" s="280">
        <f>SUM(K155:K161)</f>
        <v>0</v>
      </c>
      <c r="L154" s="136">
        <f t="shared" si="12"/>
        <v>0</v>
      </c>
      <c r="M154" s="281">
        <f>SUM(M155:M161)</f>
        <v>0</v>
      </c>
      <c r="N154" s="282">
        <f>SUM(N155:N161)</f>
        <v>0</v>
      </c>
      <c r="O154" s="136">
        <f t="shared" si="13"/>
        <v>0</v>
      </c>
      <c r="P154" s="85"/>
      <c r="R154" s="53"/>
      <c r="S154" s="53"/>
    </row>
    <row r="155" spans="1:19" hidden="1" x14ac:dyDescent="0.25">
      <c r="A155" s="75">
        <v>2361</v>
      </c>
      <c r="B155" s="127" t="s">
        <v>171</v>
      </c>
      <c r="C155" s="279">
        <f t="shared" si="9"/>
        <v>0</v>
      </c>
      <c r="D155" s="134">
        <v>0</v>
      </c>
      <c r="E155" s="285"/>
      <c r="F155" s="286">
        <f t="shared" si="10"/>
        <v>0</v>
      </c>
      <c r="G155" s="134"/>
      <c r="H155" s="135"/>
      <c r="I155" s="136">
        <f t="shared" si="11"/>
        <v>0</v>
      </c>
      <c r="J155" s="134">
        <v>0</v>
      </c>
      <c r="K155" s="135"/>
      <c r="L155" s="136">
        <f t="shared" si="12"/>
        <v>0</v>
      </c>
      <c r="M155" s="284"/>
      <c r="N155" s="285"/>
      <c r="O155" s="136">
        <f t="shared" si="13"/>
        <v>0</v>
      </c>
      <c r="P155" s="85"/>
      <c r="R155" s="53"/>
      <c r="S155" s="53"/>
    </row>
    <row r="156" spans="1:19" ht="24" hidden="1" x14ac:dyDescent="0.25">
      <c r="A156" s="75">
        <v>2362</v>
      </c>
      <c r="B156" s="127" t="s">
        <v>172</v>
      </c>
      <c r="C156" s="279">
        <f t="shared" si="9"/>
        <v>0</v>
      </c>
      <c r="D156" s="134">
        <v>0</v>
      </c>
      <c r="E156" s="285"/>
      <c r="F156" s="286">
        <f t="shared" si="10"/>
        <v>0</v>
      </c>
      <c r="G156" s="134"/>
      <c r="H156" s="135"/>
      <c r="I156" s="136">
        <f t="shared" si="11"/>
        <v>0</v>
      </c>
      <c r="J156" s="134">
        <v>0</v>
      </c>
      <c r="K156" s="135"/>
      <c r="L156" s="136">
        <f t="shared" si="12"/>
        <v>0</v>
      </c>
      <c r="M156" s="284"/>
      <c r="N156" s="285"/>
      <c r="O156" s="136">
        <f t="shared" si="13"/>
        <v>0</v>
      </c>
      <c r="P156" s="85"/>
      <c r="R156" s="53"/>
      <c r="S156" s="53"/>
    </row>
    <row r="157" spans="1:19" hidden="1" x14ac:dyDescent="0.25">
      <c r="A157" s="75">
        <v>2363</v>
      </c>
      <c r="B157" s="127" t="s">
        <v>173</v>
      </c>
      <c r="C157" s="279">
        <f t="shared" si="9"/>
        <v>0</v>
      </c>
      <c r="D157" s="134">
        <v>0</v>
      </c>
      <c r="E157" s="285"/>
      <c r="F157" s="286">
        <f t="shared" si="10"/>
        <v>0</v>
      </c>
      <c r="G157" s="134"/>
      <c r="H157" s="135"/>
      <c r="I157" s="136">
        <f t="shared" si="11"/>
        <v>0</v>
      </c>
      <c r="J157" s="134">
        <v>0</v>
      </c>
      <c r="K157" s="135"/>
      <c r="L157" s="136">
        <f t="shared" si="12"/>
        <v>0</v>
      </c>
      <c r="M157" s="284"/>
      <c r="N157" s="285"/>
      <c r="O157" s="136">
        <f t="shared" si="13"/>
        <v>0</v>
      </c>
      <c r="P157" s="85"/>
      <c r="R157" s="53"/>
      <c r="S157" s="53"/>
    </row>
    <row r="158" spans="1:19" hidden="1" x14ac:dyDescent="0.25">
      <c r="A158" s="75">
        <v>2364</v>
      </c>
      <c r="B158" s="127" t="s">
        <v>174</v>
      </c>
      <c r="C158" s="279">
        <f t="shared" si="9"/>
        <v>0</v>
      </c>
      <c r="D158" s="134">
        <v>0</v>
      </c>
      <c r="E158" s="285"/>
      <c r="F158" s="286">
        <f t="shared" si="10"/>
        <v>0</v>
      </c>
      <c r="G158" s="134"/>
      <c r="H158" s="135"/>
      <c r="I158" s="136">
        <f t="shared" si="11"/>
        <v>0</v>
      </c>
      <c r="J158" s="134">
        <v>0</v>
      </c>
      <c r="K158" s="135"/>
      <c r="L158" s="136">
        <f t="shared" si="12"/>
        <v>0</v>
      </c>
      <c r="M158" s="284"/>
      <c r="N158" s="285"/>
      <c r="O158" s="136">
        <f t="shared" si="13"/>
        <v>0</v>
      </c>
      <c r="P158" s="85"/>
      <c r="R158" s="53"/>
      <c r="S158" s="53"/>
    </row>
    <row r="159" spans="1:19" hidden="1" x14ac:dyDescent="0.25">
      <c r="A159" s="75">
        <v>2365</v>
      </c>
      <c r="B159" s="127" t="s">
        <v>175</v>
      </c>
      <c r="C159" s="279">
        <f t="shared" si="9"/>
        <v>0</v>
      </c>
      <c r="D159" s="134">
        <v>0</v>
      </c>
      <c r="E159" s="285"/>
      <c r="F159" s="286">
        <f t="shared" si="10"/>
        <v>0</v>
      </c>
      <c r="G159" s="134"/>
      <c r="H159" s="135"/>
      <c r="I159" s="136">
        <f t="shared" si="11"/>
        <v>0</v>
      </c>
      <c r="J159" s="134">
        <v>0</v>
      </c>
      <c r="K159" s="135"/>
      <c r="L159" s="136">
        <f t="shared" si="12"/>
        <v>0</v>
      </c>
      <c r="M159" s="284"/>
      <c r="N159" s="285"/>
      <c r="O159" s="136">
        <f t="shared" si="13"/>
        <v>0</v>
      </c>
      <c r="P159" s="85"/>
      <c r="R159" s="53"/>
      <c r="S159" s="53"/>
    </row>
    <row r="160" spans="1:19" ht="36" hidden="1" x14ac:dyDescent="0.25">
      <c r="A160" s="75">
        <v>2366</v>
      </c>
      <c r="B160" s="127" t="s">
        <v>176</v>
      </c>
      <c r="C160" s="279">
        <f t="shared" si="9"/>
        <v>0</v>
      </c>
      <c r="D160" s="134">
        <v>0</v>
      </c>
      <c r="E160" s="285"/>
      <c r="F160" s="286">
        <f t="shared" si="10"/>
        <v>0</v>
      </c>
      <c r="G160" s="134"/>
      <c r="H160" s="135"/>
      <c r="I160" s="136">
        <f t="shared" si="11"/>
        <v>0</v>
      </c>
      <c r="J160" s="134">
        <v>0</v>
      </c>
      <c r="K160" s="135"/>
      <c r="L160" s="136">
        <f t="shared" si="12"/>
        <v>0</v>
      </c>
      <c r="M160" s="284"/>
      <c r="N160" s="285"/>
      <c r="O160" s="136">
        <f t="shared" si="13"/>
        <v>0</v>
      </c>
      <c r="P160" s="85"/>
      <c r="R160" s="53"/>
      <c r="S160" s="53"/>
    </row>
    <row r="161" spans="1:19" ht="48" hidden="1" x14ac:dyDescent="0.25">
      <c r="A161" s="75">
        <v>2369</v>
      </c>
      <c r="B161" s="127" t="s">
        <v>177</v>
      </c>
      <c r="C161" s="279">
        <f t="shared" si="9"/>
        <v>0</v>
      </c>
      <c r="D161" s="134">
        <v>0</v>
      </c>
      <c r="E161" s="285"/>
      <c r="F161" s="286">
        <f t="shared" si="10"/>
        <v>0</v>
      </c>
      <c r="G161" s="134"/>
      <c r="H161" s="135"/>
      <c r="I161" s="136">
        <f t="shared" si="11"/>
        <v>0</v>
      </c>
      <c r="J161" s="134">
        <v>0</v>
      </c>
      <c r="K161" s="135"/>
      <c r="L161" s="136">
        <f t="shared" si="12"/>
        <v>0</v>
      </c>
      <c r="M161" s="284"/>
      <c r="N161" s="285"/>
      <c r="O161" s="136">
        <f t="shared" si="13"/>
        <v>0</v>
      </c>
      <c r="P161" s="85"/>
      <c r="R161" s="53"/>
      <c r="S161" s="53"/>
    </row>
    <row r="162" spans="1:19" hidden="1" x14ac:dyDescent="0.25">
      <c r="A162" s="254">
        <v>2370</v>
      </c>
      <c r="B162" s="179" t="s">
        <v>178</v>
      </c>
      <c r="C162" s="279">
        <f t="shared" si="9"/>
        <v>0</v>
      </c>
      <c r="D162" s="287">
        <v>0</v>
      </c>
      <c r="E162" s="291"/>
      <c r="F162" s="310">
        <f t="shared" si="10"/>
        <v>0</v>
      </c>
      <c r="G162" s="287"/>
      <c r="H162" s="289"/>
      <c r="I162" s="259">
        <f t="shared" si="11"/>
        <v>0</v>
      </c>
      <c r="J162" s="287">
        <v>0</v>
      </c>
      <c r="K162" s="289"/>
      <c r="L162" s="259">
        <f t="shared" si="12"/>
        <v>0</v>
      </c>
      <c r="M162" s="290"/>
      <c r="N162" s="291"/>
      <c r="O162" s="259">
        <f t="shared" si="13"/>
        <v>0</v>
      </c>
      <c r="P162" s="189"/>
      <c r="R162" s="53"/>
      <c r="S162" s="53"/>
    </row>
    <row r="163" spans="1:19" hidden="1" x14ac:dyDescent="0.25">
      <c r="A163" s="254">
        <v>2380</v>
      </c>
      <c r="B163" s="179" t="s">
        <v>179</v>
      </c>
      <c r="C163" s="279">
        <f t="shared" si="9"/>
        <v>0</v>
      </c>
      <c r="D163" s="255">
        <f>SUM(D164:D165)</f>
        <v>0</v>
      </c>
      <c r="E163" s="261">
        <f>SUM(E164:E165)</f>
        <v>0</v>
      </c>
      <c r="F163" s="310">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c r="S163" s="53"/>
    </row>
    <row r="164" spans="1:19" hidden="1" x14ac:dyDescent="0.25">
      <c r="A164" s="65">
        <v>2381</v>
      </c>
      <c r="B164" s="116" t="s">
        <v>180</v>
      </c>
      <c r="C164" s="279">
        <f t="shared" si="9"/>
        <v>0</v>
      </c>
      <c r="D164" s="123">
        <v>0</v>
      </c>
      <c r="E164" s="262"/>
      <c r="F164" s="263">
        <f t="shared" si="10"/>
        <v>0</v>
      </c>
      <c r="G164" s="123"/>
      <c r="H164" s="124"/>
      <c r="I164" s="125">
        <f t="shared" si="11"/>
        <v>0</v>
      </c>
      <c r="J164" s="123">
        <v>0</v>
      </c>
      <c r="K164" s="124"/>
      <c r="L164" s="125">
        <f t="shared" si="12"/>
        <v>0</v>
      </c>
      <c r="M164" s="264"/>
      <c r="N164" s="262"/>
      <c r="O164" s="125">
        <f t="shared" si="13"/>
        <v>0</v>
      </c>
      <c r="P164" s="74"/>
      <c r="R164" s="53"/>
      <c r="S164" s="53"/>
    </row>
    <row r="165" spans="1:19" ht="24" hidden="1" x14ac:dyDescent="0.25">
      <c r="A165" s="75">
        <v>2389</v>
      </c>
      <c r="B165" s="127" t="s">
        <v>181</v>
      </c>
      <c r="C165" s="279">
        <f t="shared" si="9"/>
        <v>0</v>
      </c>
      <c r="D165" s="134">
        <v>0</v>
      </c>
      <c r="E165" s="285"/>
      <c r="F165" s="286">
        <f t="shared" si="10"/>
        <v>0</v>
      </c>
      <c r="G165" s="134"/>
      <c r="H165" s="135"/>
      <c r="I165" s="136">
        <f t="shared" si="11"/>
        <v>0</v>
      </c>
      <c r="J165" s="134">
        <v>0</v>
      </c>
      <c r="K165" s="135"/>
      <c r="L165" s="136">
        <f t="shared" si="12"/>
        <v>0</v>
      </c>
      <c r="M165" s="284"/>
      <c r="N165" s="285"/>
      <c r="O165" s="136">
        <f t="shared" si="13"/>
        <v>0</v>
      </c>
      <c r="P165" s="85"/>
      <c r="R165" s="53"/>
      <c r="S165" s="53"/>
    </row>
    <row r="166" spans="1:19" hidden="1" x14ac:dyDescent="0.25">
      <c r="A166" s="254">
        <v>2390</v>
      </c>
      <c r="B166" s="179" t="s">
        <v>182</v>
      </c>
      <c r="C166" s="279">
        <f t="shared" si="9"/>
        <v>0</v>
      </c>
      <c r="D166" s="287">
        <v>0</v>
      </c>
      <c r="E166" s="291"/>
      <c r="F166" s="310">
        <f t="shared" si="10"/>
        <v>0</v>
      </c>
      <c r="G166" s="287"/>
      <c r="H166" s="289"/>
      <c r="I166" s="259">
        <f t="shared" si="11"/>
        <v>0</v>
      </c>
      <c r="J166" s="287">
        <v>0</v>
      </c>
      <c r="K166" s="289"/>
      <c r="L166" s="259">
        <f t="shared" si="12"/>
        <v>0</v>
      </c>
      <c r="M166" s="290"/>
      <c r="N166" s="291"/>
      <c r="O166" s="259">
        <f t="shared" si="13"/>
        <v>0</v>
      </c>
      <c r="P166" s="189"/>
      <c r="R166" s="53"/>
      <c r="S166" s="53"/>
    </row>
    <row r="167" spans="1:19" hidden="1" x14ac:dyDescent="0.25">
      <c r="A167" s="99">
        <v>2400</v>
      </c>
      <c r="B167" s="247" t="s">
        <v>183</v>
      </c>
      <c r="C167" s="249">
        <f t="shared" si="9"/>
        <v>0</v>
      </c>
      <c r="D167" s="311">
        <v>0</v>
      </c>
      <c r="E167" s="312"/>
      <c r="F167" s="313">
        <f t="shared" si="10"/>
        <v>0</v>
      </c>
      <c r="G167" s="311"/>
      <c r="H167" s="314"/>
      <c r="I167" s="114">
        <f t="shared" si="11"/>
        <v>0</v>
      </c>
      <c r="J167" s="311">
        <v>0</v>
      </c>
      <c r="K167" s="314"/>
      <c r="L167" s="114">
        <f t="shared" si="12"/>
        <v>0</v>
      </c>
      <c r="M167" s="315"/>
      <c r="N167" s="312"/>
      <c r="O167" s="114">
        <f t="shared" si="13"/>
        <v>0</v>
      </c>
      <c r="P167" s="109"/>
      <c r="R167" s="53"/>
      <c r="S167" s="53"/>
    </row>
    <row r="168" spans="1:19" ht="24" x14ac:dyDescent="0.25">
      <c r="A168" s="99">
        <v>2500</v>
      </c>
      <c r="B168" s="247" t="s">
        <v>184</v>
      </c>
      <c r="C168" s="249">
        <f t="shared" si="9"/>
        <v>5386</v>
      </c>
      <c r="D168" s="112">
        <f>SUM(D169,D174)</f>
        <v>0</v>
      </c>
      <c r="E168" s="293">
        <f>SUM(E169,E174)</f>
        <v>1500</v>
      </c>
      <c r="F168" s="313">
        <f t="shared" si="10"/>
        <v>1500</v>
      </c>
      <c r="G168" s="112">
        <f>SUM(G169,G174)</f>
        <v>0</v>
      </c>
      <c r="H168" s="113">
        <f t="shared" ref="H168" si="18">SUM(H169,H174)</f>
        <v>0</v>
      </c>
      <c r="I168" s="114">
        <f t="shared" si="11"/>
        <v>0</v>
      </c>
      <c r="J168" s="112">
        <f>SUM(J169,J174)</f>
        <v>3886</v>
      </c>
      <c r="K168" s="113">
        <f t="shared" ref="K168" si="19">SUM(K169,K174)</f>
        <v>0</v>
      </c>
      <c r="L168" s="114">
        <f t="shared" si="12"/>
        <v>3886</v>
      </c>
      <c r="M168" s="250">
        <f t="shared" ref="M168:N168" si="20">SUM(M169,M174)</f>
        <v>0</v>
      </c>
      <c r="N168" s="251">
        <f t="shared" si="20"/>
        <v>0</v>
      </c>
      <c r="O168" s="252">
        <f t="shared" si="13"/>
        <v>0</v>
      </c>
      <c r="P168" s="253"/>
      <c r="R168" s="53"/>
      <c r="S168" s="53"/>
    </row>
    <row r="169" spans="1:19" x14ac:dyDescent="0.25">
      <c r="A169" s="656">
        <v>2510</v>
      </c>
      <c r="B169" s="116" t="s">
        <v>185</v>
      </c>
      <c r="C169" s="296">
        <f t="shared" si="9"/>
        <v>5386</v>
      </c>
      <c r="D169" s="297">
        <f>SUM(D170:D173)</f>
        <v>0</v>
      </c>
      <c r="E169" s="301">
        <f>SUM(E170:E173)</f>
        <v>1500</v>
      </c>
      <c r="F169" s="263">
        <f t="shared" si="10"/>
        <v>1500</v>
      </c>
      <c r="G169" s="297">
        <f>SUM(G170:G173)</f>
        <v>0</v>
      </c>
      <c r="H169" s="299">
        <f t="shared" ref="H169" si="21">SUM(H170:H173)</f>
        <v>0</v>
      </c>
      <c r="I169" s="125">
        <f t="shared" si="11"/>
        <v>0</v>
      </c>
      <c r="J169" s="297">
        <f>SUM(J170:J173)</f>
        <v>3886</v>
      </c>
      <c r="K169" s="299">
        <f t="shared" ref="K169" si="22">SUM(K170:K173)</f>
        <v>0</v>
      </c>
      <c r="L169" s="125">
        <f t="shared" si="12"/>
        <v>3886</v>
      </c>
      <c r="M169" s="317">
        <f t="shared" ref="M169:N169" si="23">SUM(M170:M173)</f>
        <v>0</v>
      </c>
      <c r="N169" s="318">
        <f t="shared" si="23"/>
        <v>0</v>
      </c>
      <c r="O169" s="151">
        <f t="shared" si="13"/>
        <v>0</v>
      </c>
      <c r="P169" s="153"/>
      <c r="R169" s="53"/>
      <c r="S169" s="53"/>
    </row>
    <row r="170" spans="1:19" ht="24" x14ac:dyDescent="0.25">
      <c r="A170" s="76">
        <v>2512</v>
      </c>
      <c r="B170" s="127" t="s">
        <v>186</v>
      </c>
      <c r="C170" s="279">
        <f t="shared" si="9"/>
        <v>5386</v>
      </c>
      <c r="D170" s="134">
        <v>0</v>
      </c>
      <c r="E170" s="285">
        <v>1500</v>
      </c>
      <c r="F170" s="286">
        <f t="shared" si="10"/>
        <v>1500</v>
      </c>
      <c r="G170" s="134"/>
      <c r="H170" s="135"/>
      <c r="I170" s="136">
        <f t="shared" si="11"/>
        <v>0</v>
      </c>
      <c r="J170" s="134">
        <v>3886</v>
      </c>
      <c r="K170" s="135"/>
      <c r="L170" s="136">
        <f t="shared" si="12"/>
        <v>3886</v>
      </c>
      <c r="M170" s="284"/>
      <c r="N170" s="285"/>
      <c r="O170" s="136">
        <f t="shared" si="13"/>
        <v>0</v>
      </c>
      <c r="P170" s="85"/>
      <c r="R170" s="53"/>
      <c r="S170" s="53"/>
    </row>
    <row r="171" spans="1:19" ht="36" hidden="1" x14ac:dyDescent="0.25">
      <c r="A171" s="76">
        <v>2513</v>
      </c>
      <c r="B171" s="127" t="s">
        <v>187</v>
      </c>
      <c r="C171" s="279">
        <f t="shared" si="9"/>
        <v>0</v>
      </c>
      <c r="D171" s="134">
        <v>0</v>
      </c>
      <c r="E171" s="285"/>
      <c r="F171" s="286">
        <f t="shared" si="10"/>
        <v>0</v>
      </c>
      <c r="G171" s="134"/>
      <c r="H171" s="135"/>
      <c r="I171" s="136">
        <f t="shared" si="11"/>
        <v>0</v>
      </c>
      <c r="J171" s="134">
        <v>0</v>
      </c>
      <c r="K171" s="135"/>
      <c r="L171" s="136">
        <f t="shared" si="12"/>
        <v>0</v>
      </c>
      <c r="M171" s="284"/>
      <c r="N171" s="285"/>
      <c r="O171" s="136">
        <f t="shared" si="13"/>
        <v>0</v>
      </c>
      <c r="P171" s="85"/>
      <c r="R171" s="53"/>
      <c r="S171" s="53"/>
    </row>
    <row r="172" spans="1:19" ht="24" hidden="1" x14ac:dyDescent="0.25">
      <c r="A172" s="76">
        <v>2515</v>
      </c>
      <c r="B172" s="127" t="s">
        <v>188</v>
      </c>
      <c r="C172" s="279">
        <f t="shared" si="9"/>
        <v>0</v>
      </c>
      <c r="D172" s="134">
        <v>0</v>
      </c>
      <c r="E172" s="285"/>
      <c r="F172" s="286">
        <f t="shared" si="10"/>
        <v>0</v>
      </c>
      <c r="G172" s="134"/>
      <c r="H172" s="135"/>
      <c r="I172" s="136">
        <f t="shared" si="11"/>
        <v>0</v>
      </c>
      <c r="J172" s="134">
        <v>0</v>
      </c>
      <c r="K172" s="135"/>
      <c r="L172" s="136">
        <f t="shared" si="12"/>
        <v>0</v>
      </c>
      <c r="M172" s="284"/>
      <c r="N172" s="285"/>
      <c r="O172" s="136">
        <f t="shared" si="13"/>
        <v>0</v>
      </c>
      <c r="P172" s="85"/>
      <c r="R172" s="53"/>
      <c r="S172" s="53"/>
    </row>
    <row r="173" spans="1:19" ht="24" hidden="1" x14ac:dyDescent="0.25">
      <c r="A173" s="76">
        <v>2519</v>
      </c>
      <c r="B173" s="127" t="s">
        <v>189</v>
      </c>
      <c r="C173" s="279">
        <f t="shared" si="9"/>
        <v>0</v>
      </c>
      <c r="D173" s="134">
        <v>0</v>
      </c>
      <c r="E173" s="285"/>
      <c r="F173" s="286">
        <f t="shared" si="10"/>
        <v>0</v>
      </c>
      <c r="G173" s="134"/>
      <c r="H173" s="135"/>
      <c r="I173" s="136">
        <f t="shared" si="11"/>
        <v>0</v>
      </c>
      <c r="J173" s="134">
        <v>0</v>
      </c>
      <c r="K173" s="135"/>
      <c r="L173" s="136">
        <f t="shared" si="12"/>
        <v>0</v>
      </c>
      <c r="M173" s="284"/>
      <c r="N173" s="285"/>
      <c r="O173" s="136">
        <f t="shared" si="13"/>
        <v>0</v>
      </c>
      <c r="P173" s="85"/>
      <c r="R173" s="53"/>
      <c r="S173" s="53"/>
    </row>
    <row r="174" spans="1:19" ht="24" hidden="1" x14ac:dyDescent="0.25">
      <c r="A174" s="276">
        <v>2520</v>
      </c>
      <c r="B174" s="127" t="s">
        <v>190</v>
      </c>
      <c r="C174" s="279">
        <f t="shared" si="9"/>
        <v>0</v>
      </c>
      <c r="D174" s="134">
        <v>0</v>
      </c>
      <c r="E174" s="285"/>
      <c r="F174" s="286">
        <f t="shared" si="10"/>
        <v>0</v>
      </c>
      <c r="G174" s="134"/>
      <c r="H174" s="135"/>
      <c r="I174" s="136">
        <f t="shared" si="11"/>
        <v>0</v>
      </c>
      <c r="J174" s="134">
        <v>0</v>
      </c>
      <c r="K174" s="135"/>
      <c r="L174" s="136">
        <f t="shared" si="12"/>
        <v>0</v>
      </c>
      <c r="M174" s="284"/>
      <c r="N174" s="285"/>
      <c r="O174" s="136">
        <f t="shared" si="13"/>
        <v>0</v>
      </c>
      <c r="P174" s="85"/>
      <c r="R174" s="53"/>
      <c r="S174" s="53"/>
    </row>
    <row r="175" spans="1:19" s="319" customFormat="1" ht="48" hidden="1" x14ac:dyDescent="0.25">
      <c r="A175" s="31">
        <v>2800</v>
      </c>
      <c r="B175" s="116" t="s">
        <v>191</v>
      </c>
      <c r="C175" s="296">
        <f t="shared" si="9"/>
        <v>0</v>
      </c>
      <c r="D175" s="68">
        <v>0</v>
      </c>
      <c r="E175" s="69"/>
      <c r="F175" s="70">
        <f t="shared" si="10"/>
        <v>0</v>
      </c>
      <c r="G175" s="68"/>
      <c r="H175" s="71"/>
      <c r="I175" s="72">
        <f t="shared" si="11"/>
        <v>0</v>
      </c>
      <c r="J175" s="68">
        <v>0</v>
      </c>
      <c r="K175" s="71"/>
      <c r="L175" s="72">
        <f t="shared" si="12"/>
        <v>0</v>
      </c>
      <c r="M175" s="73"/>
      <c r="N175" s="69"/>
      <c r="O175" s="72">
        <f t="shared" si="13"/>
        <v>0</v>
      </c>
      <c r="P175" s="74"/>
      <c r="R175" s="53"/>
      <c r="S175" s="53"/>
    </row>
    <row r="176" spans="1:19" hidden="1" x14ac:dyDescent="0.25">
      <c r="A176" s="237">
        <v>3000</v>
      </c>
      <c r="B176" s="237" t="s">
        <v>192</v>
      </c>
      <c r="C176" s="241">
        <f t="shared" si="9"/>
        <v>0</v>
      </c>
      <c r="D176" s="239">
        <f>SUM(D177,D187)</f>
        <v>0</v>
      </c>
      <c r="E176" s="245">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c r="S176" s="53"/>
    </row>
    <row r="177" spans="1:19" ht="24" hidden="1" x14ac:dyDescent="0.25">
      <c r="A177" s="99">
        <v>3200</v>
      </c>
      <c r="B177" s="321" t="s">
        <v>193</v>
      </c>
      <c r="C177" s="249">
        <f t="shared" si="9"/>
        <v>0</v>
      </c>
      <c r="D177" s="112">
        <f>SUM(D178,D182)</f>
        <v>0</v>
      </c>
      <c r="E177" s="293">
        <f>SUM(E178,E182)</f>
        <v>0</v>
      </c>
      <c r="F177" s="313">
        <f t="shared" si="10"/>
        <v>0</v>
      </c>
      <c r="G177" s="112">
        <f>SUM(G178,G182)</f>
        <v>0</v>
      </c>
      <c r="H177" s="113">
        <f t="shared" ref="H177" si="24">SUM(H178,H182)</f>
        <v>0</v>
      </c>
      <c r="I177" s="114">
        <f t="shared" si="11"/>
        <v>0</v>
      </c>
      <c r="J177" s="112">
        <f>SUM(J178,J182)</f>
        <v>0</v>
      </c>
      <c r="K177" s="113">
        <f t="shared" ref="K177" si="25">SUM(K178,K182)</f>
        <v>0</v>
      </c>
      <c r="L177" s="114">
        <f t="shared" si="12"/>
        <v>0</v>
      </c>
      <c r="M177" s="250">
        <f t="shared" ref="M177:N177" si="26">SUM(M178,M182)</f>
        <v>0</v>
      </c>
      <c r="N177" s="251">
        <f t="shared" si="26"/>
        <v>0</v>
      </c>
      <c r="O177" s="252">
        <f t="shared" si="13"/>
        <v>0</v>
      </c>
      <c r="P177" s="253"/>
      <c r="R177" s="53"/>
      <c r="S177" s="53"/>
    </row>
    <row r="178" spans="1:19" ht="36" hidden="1" x14ac:dyDescent="0.25">
      <c r="A178" s="656">
        <v>3260</v>
      </c>
      <c r="B178" s="116" t="s">
        <v>194</v>
      </c>
      <c r="C178" s="296">
        <f t="shared" si="9"/>
        <v>0</v>
      </c>
      <c r="D178" s="297">
        <f>SUM(D179:D181)</f>
        <v>0</v>
      </c>
      <c r="E178" s="301">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c r="S178" s="53"/>
    </row>
    <row r="179" spans="1:19" ht="24" hidden="1" x14ac:dyDescent="0.25">
      <c r="A179" s="76">
        <v>3261</v>
      </c>
      <c r="B179" s="127" t="s">
        <v>195</v>
      </c>
      <c r="C179" s="279">
        <f t="shared" si="9"/>
        <v>0</v>
      </c>
      <c r="D179" s="134">
        <v>0</v>
      </c>
      <c r="E179" s="285"/>
      <c r="F179" s="286">
        <f t="shared" si="10"/>
        <v>0</v>
      </c>
      <c r="G179" s="134"/>
      <c r="H179" s="135"/>
      <c r="I179" s="136">
        <f t="shared" si="11"/>
        <v>0</v>
      </c>
      <c r="J179" s="134">
        <v>0</v>
      </c>
      <c r="K179" s="135"/>
      <c r="L179" s="136">
        <f t="shared" si="12"/>
        <v>0</v>
      </c>
      <c r="M179" s="284"/>
      <c r="N179" s="285"/>
      <c r="O179" s="136">
        <f t="shared" si="13"/>
        <v>0</v>
      </c>
      <c r="P179" s="85"/>
      <c r="R179" s="53"/>
      <c r="S179" s="53"/>
    </row>
    <row r="180" spans="1:19" ht="36" hidden="1" x14ac:dyDescent="0.25">
      <c r="A180" s="76">
        <v>3262</v>
      </c>
      <c r="B180" s="127" t="s">
        <v>196</v>
      </c>
      <c r="C180" s="279">
        <f t="shared" si="9"/>
        <v>0</v>
      </c>
      <c r="D180" s="134">
        <v>0</v>
      </c>
      <c r="E180" s="285"/>
      <c r="F180" s="286">
        <f t="shared" si="10"/>
        <v>0</v>
      </c>
      <c r="G180" s="134"/>
      <c r="H180" s="135"/>
      <c r="I180" s="136">
        <f t="shared" si="11"/>
        <v>0</v>
      </c>
      <c r="J180" s="134">
        <v>0</v>
      </c>
      <c r="K180" s="135"/>
      <c r="L180" s="136">
        <f t="shared" si="12"/>
        <v>0</v>
      </c>
      <c r="M180" s="284"/>
      <c r="N180" s="285"/>
      <c r="O180" s="136">
        <f t="shared" si="13"/>
        <v>0</v>
      </c>
      <c r="P180" s="85"/>
      <c r="R180" s="53"/>
      <c r="S180" s="53"/>
    </row>
    <row r="181" spans="1:19" ht="24" hidden="1" x14ac:dyDescent="0.25">
      <c r="A181" s="76">
        <v>3263</v>
      </c>
      <c r="B181" s="127" t="s">
        <v>197</v>
      </c>
      <c r="C181" s="279">
        <f t="shared" si="9"/>
        <v>0</v>
      </c>
      <c r="D181" s="134">
        <v>0</v>
      </c>
      <c r="E181" s="285"/>
      <c r="F181" s="286">
        <f t="shared" si="10"/>
        <v>0</v>
      </c>
      <c r="G181" s="134"/>
      <c r="H181" s="135"/>
      <c r="I181" s="136">
        <f t="shared" si="11"/>
        <v>0</v>
      </c>
      <c r="J181" s="134">
        <v>0</v>
      </c>
      <c r="K181" s="135"/>
      <c r="L181" s="136">
        <f t="shared" si="12"/>
        <v>0</v>
      </c>
      <c r="M181" s="284"/>
      <c r="N181" s="285"/>
      <c r="O181" s="136">
        <f t="shared" si="13"/>
        <v>0</v>
      </c>
      <c r="P181" s="85"/>
      <c r="R181" s="53"/>
      <c r="S181" s="53"/>
    </row>
    <row r="182" spans="1:19" ht="84" hidden="1" x14ac:dyDescent="0.25">
      <c r="A182" s="656">
        <v>3290</v>
      </c>
      <c r="B182" s="116" t="s">
        <v>198</v>
      </c>
      <c r="C182" s="279">
        <f t="shared" ref="C182:C258" si="27">F182+I182+L182+O182</f>
        <v>0</v>
      </c>
      <c r="D182" s="297">
        <f>SUM(D183:D186)</f>
        <v>0</v>
      </c>
      <c r="E182" s="301">
        <f>SUM(E183:E186)</f>
        <v>0</v>
      </c>
      <c r="F182" s="263">
        <f t="shared" si="10"/>
        <v>0</v>
      </c>
      <c r="G182" s="297">
        <f>SUM(G183:G186)</f>
        <v>0</v>
      </c>
      <c r="H182" s="299">
        <f t="shared" ref="H182" si="28">SUM(H183:H186)</f>
        <v>0</v>
      </c>
      <c r="I182" s="125">
        <f t="shared" si="11"/>
        <v>0</v>
      </c>
      <c r="J182" s="297">
        <f>SUM(J183:J186)</f>
        <v>0</v>
      </c>
      <c r="K182" s="299">
        <f t="shared" ref="K182" si="29">SUM(K183:K186)</f>
        <v>0</v>
      </c>
      <c r="L182" s="125">
        <f t="shared" si="12"/>
        <v>0</v>
      </c>
      <c r="M182" s="322">
        <f t="shared" ref="M182:N182" si="30">SUM(M183:M186)</f>
        <v>0</v>
      </c>
      <c r="N182" s="323">
        <f t="shared" si="30"/>
        <v>0</v>
      </c>
      <c r="O182" s="324">
        <f t="shared" si="13"/>
        <v>0</v>
      </c>
      <c r="P182" s="325"/>
      <c r="R182" s="53"/>
      <c r="S182" s="53"/>
    </row>
    <row r="183" spans="1:19" ht="72" hidden="1" x14ac:dyDescent="0.25">
      <c r="A183" s="76">
        <v>3291</v>
      </c>
      <c r="B183" s="127" t="s">
        <v>199</v>
      </c>
      <c r="C183" s="279">
        <f t="shared" si="27"/>
        <v>0</v>
      </c>
      <c r="D183" s="134">
        <v>0</v>
      </c>
      <c r="E183" s="285"/>
      <c r="F183" s="286">
        <f t="shared" ref="F183:F246" si="31">D183+E183</f>
        <v>0</v>
      </c>
      <c r="G183" s="134"/>
      <c r="H183" s="135"/>
      <c r="I183" s="136">
        <f t="shared" ref="I183:I246" si="32">G183+H183</f>
        <v>0</v>
      </c>
      <c r="J183" s="134">
        <v>0</v>
      </c>
      <c r="K183" s="135"/>
      <c r="L183" s="136">
        <f t="shared" ref="L183:L246" si="33">J183+K183</f>
        <v>0</v>
      </c>
      <c r="M183" s="284"/>
      <c r="N183" s="285"/>
      <c r="O183" s="136">
        <f t="shared" ref="O183:O246" si="34">M183+N183</f>
        <v>0</v>
      </c>
      <c r="P183" s="85"/>
      <c r="R183" s="53"/>
      <c r="S183" s="53"/>
    </row>
    <row r="184" spans="1:19" ht="72" hidden="1" x14ac:dyDescent="0.25">
      <c r="A184" s="76">
        <v>3292</v>
      </c>
      <c r="B184" s="127" t="s">
        <v>200</v>
      </c>
      <c r="C184" s="279">
        <f t="shared" si="27"/>
        <v>0</v>
      </c>
      <c r="D184" s="134">
        <v>0</v>
      </c>
      <c r="E184" s="285"/>
      <c r="F184" s="286">
        <f t="shared" si="31"/>
        <v>0</v>
      </c>
      <c r="G184" s="134"/>
      <c r="H184" s="135"/>
      <c r="I184" s="136">
        <f t="shared" si="32"/>
        <v>0</v>
      </c>
      <c r="J184" s="134">
        <v>0</v>
      </c>
      <c r="K184" s="135"/>
      <c r="L184" s="136">
        <f t="shared" si="33"/>
        <v>0</v>
      </c>
      <c r="M184" s="284"/>
      <c r="N184" s="285"/>
      <c r="O184" s="136">
        <f t="shared" si="34"/>
        <v>0</v>
      </c>
      <c r="P184" s="85"/>
      <c r="R184" s="53"/>
      <c r="S184" s="53"/>
    </row>
    <row r="185" spans="1:19" ht="72" hidden="1" x14ac:dyDescent="0.25">
      <c r="A185" s="76">
        <v>3293</v>
      </c>
      <c r="B185" s="127" t="s">
        <v>201</v>
      </c>
      <c r="C185" s="279">
        <f t="shared" si="27"/>
        <v>0</v>
      </c>
      <c r="D185" s="134">
        <v>0</v>
      </c>
      <c r="E185" s="285"/>
      <c r="F185" s="286">
        <f t="shared" si="31"/>
        <v>0</v>
      </c>
      <c r="G185" s="134"/>
      <c r="H185" s="135"/>
      <c r="I185" s="136">
        <f t="shared" si="32"/>
        <v>0</v>
      </c>
      <c r="J185" s="134">
        <v>0</v>
      </c>
      <c r="K185" s="135"/>
      <c r="L185" s="136">
        <f t="shared" si="33"/>
        <v>0</v>
      </c>
      <c r="M185" s="284"/>
      <c r="N185" s="285"/>
      <c r="O185" s="136">
        <f t="shared" si="34"/>
        <v>0</v>
      </c>
      <c r="P185" s="85"/>
      <c r="R185" s="53"/>
      <c r="S185" s="53"/>
    </row>
    <row r="186" spans="1:19" ht="60" hidden="1" x14ac:dyDescent="0.25">
      <c r="A186" s="326">
        <v>3294</v>
      </c>
      <c r="B186" s="127" t="s">
        <v>202</v>
      </c>
      <c r="C186" s="647">
        <f t="shared" si="27"/>
        <v>0</v>
      </c>
      <c r="D186" s="328">
        <v>0</v>
      </c>
      <c r="E186" s="329"/>
      <c r="F186" s="330">
        <f t="shared" si="31"/>
        <v>0</v>
      </c>
      <c r="G186" s="328"/>
      <c r="H186" s="331"/>
      <c r="I186" s="324">
        <f t="shared" si="32"/>
        <v>0</v>
      </c>
      <c r="J186" s="328">
        <v>0</v>
      </c>
      <c r="K186" s="331"/>
      <c r="L186" s="324">
        <f t="shared" si="33"/>
        <v>0</v>
      </c>
      <c r="M186" s="332"/>
      <c r="N186" s="329"/>
      <c r="O186" s="324">
        <f t="shared" si="34"/>
        <v>0</v>
      </c>
      <c r="P186" s="325"/>
      <c r="R186" s="53"/>
      <c r="S186" s="53"/>
    </row>
    <row r="187" spans="1:19" ht="48" hidden="1" x14ac:dyDescent="0.25">
      <c r="A187" s="160">
        <v>3300</v>
      </c>
      <c r="B187" s="321" t="s">
        <v>203</v>
      </c>
      <c r="C187" s="648">
        <f t="shared" si="27"/>
        <v>0</v>
      </c>
      <c r="D187" s="334">
        <f>SUM(D188:D189)</f>
        <v>0</v>
      </c>
      <c r="E187" s="251">
        <f>SUM(E188:E189)</f>
        <v>0</v>
      </c>
      <c r="F187" s="335">
        <f t="shared" si="31"/>
        <v>0</v>
      </c>
      <c r="G187" s="334">
        <f>SUM(G188:G189)</f>
        <v>0</v>
      </c>
      <c r="H187" s="336">
        <f t="shared" ref="H187" si="35">SUM(H188:H189)</f>
        <v>0</v>
      </c>
      <c r="I187" s="252">
        <f t="shared" si="32"/>
        <v>0</v>
      </c>
      <c r="J187" s="334">
        <f>SUM(J188:J189)</f>
        <v>0</v>
      </c>
      <c r="K187" s="336">
        <f t="shared" ref="K187" si="36">SUM(K188:K189)</f>
        <v>0</v>
      </c>
      <c r="L187" s="252">
        <f t="shared" si="33"/>
        <v>0</v>
      </c>
      <c r="M187" s="250">
        <f t="shared" ref="M187:N187" si="37">SUM(M188:M189)</f>
        <v>0</v>
      </c>
      <c r="N187" s="251">
        <f t="shared" si="37"/>
        <v>0</v>
      </c>
      <c r="O187" s="252">
        <f t="shared" si="34"/>
        <v>0</v>
      </c>
      <c r="P187" s="253"/>
      <c r="R187" s="53"/>
      <c r="S187" s="53"/>
    </row>
    <row r="188" spans="1:19" ht="48" hidden="1" x14ac:dyDescent="0.25">
      <c r="A188" s="178">
        <v>3310</v>
      </c>
      <c r="B188" s="179" t="s">
        <v>204</v>
      </c>
      <c r="C188" s="257">
        <f t="shared" si="27"/>
        <v>0</v>
      </c>
      <c r="D188" s="287">
        <v>0</v>
      </c>
      <c r="E188" s="291"/>
      <c r="F188" s="310">
        <f t="shared" si="31"/>
        <v>0</v>
      </c>
      <c r="G188" s="287"/>
      <c r="H188" s="289"/>
      <c r="I188" s="259">
        <f t="shared" si="32"/>
        <v>0</v>
      </c>
      <c r="J188" s="287">
        <v>0</v>
      </c>
      <c r="K188" s="289"/>
      <c r="L188" s="259">
        <f t="shared" si="33"/>
        <v>0</v>
      </c>
      <c r="M188" s="290"/>
      <c r="N188" s="291"/>
      <c r="O188" s="259">
        <f t="shared" si="34"/>
        <v>0</v>
      </c>
      <c r="P188" s="189"/>
      <c r="R188" s="53"/>
      <c r="S188" s="53"/>
    </row>
    <row r="189" spans="1:19" ht="60" hidden="1" x14ac:dyDescent="0.25">
      <c r="A189" s="66">
        <v>3320</v>
      </c>
      <c r="B189" s="116" t="s">
        <v>205</v>
      </c>
      <c r="C189" s="296">
        <f t="shared" si="27"/>
        <v>0</v>
      </c>
      <c r="D189" s="123">
        <v>0</v>
      </c>
      <c r="E189" s="262"/>
      <c r="F189" s="263">
        <f t="shared" si="31"/>
        <v>0</v>
      </c>
      <c r="G189" s="123"/>
      <c r="H189" s="124"/>
      <c r="I189" s="125">
        <f t="shared" si="32"/>
        <v>0</v>
      </c>
      <c r="J189" s="123">
        <v>0</v>
      </c>
      <c r="K189" s="124"/>
      <c r="L189" s="125">
        <f t="shared" si="33"/>
        <v>0</v>
      </c>
      <c r="M189" s="264"/>
      <c r="N189" s="262"/>
      <c r="O189" s="125">
        <f t="shared" si="34"/>
        <v>0</v>
      </c>
      <c r="P189" s="74"/>
      <c r="R189" s="53"/>
      <c r="S189" s="53"/>
    </row>
    <row r="190" spans="1:19" hidden="1" x14ac:dyDescent="0.25">
      <c r="A190" s="337">
        <v>4000</v>
      </c>
      <c r="B190" s="237" t="s">
        <v>206</v>
      </c>
      <c r="C190" s="241">
        <f t="shared" si="27"/>
        <v>0</v>
      </c>
      <c r="D190" s="239">
        <f>SUM(D191,D194)</f>
        <v>0</v>
      </c>
      <c r="E190" s="245">
        <f>SUM(E191,E194)</f>
        <v>0</v>
      </c>
      <c r="F190" s="320">
        <f t="shared" si="31"/>
        <v>0</v>
      </c>
      <c r="G190" s="239">
        <f>SUM(G191,G194)</f>
        <v>0</v>
      </c>
      <c r="H190" s="242">
        <f>SUM(H191,H194)</f>
        <v>0</v>
      </c>
      <c r="I190" s="243">
        <f t="shared" si="32"/>
        <v>0</v>
      </c>
      <c r="J190" s="239">
        <f>SUM(J191,J194)</f>
        <v>0</v>
      </c>
      <c r="K190" s="242">
        <f>SUM(K191,K194)</f>
        <v>0</v>
      </c>
      <c r="L190" s="243">
        <f t="shared" si="33"/>
        <v>0</v>
      </c>
      <c r="M190" s="244">
        <f>SUM(M191,M194)</f>
        <v>0</v>
      </c>
      <c r="N190" s="245">
        <f>SUM(N191,N194)</f>
        <v>0</v>
      </c>
      <c r="O190" s="243">
        <f t="shared" si="34"/>
        <v>0</v>
      </c>
      <c r="P190" s="246"/>
      <c r="R190" s="53"/>
      <c r="S190" s="53"/>
    </row>
    <row r="191" spans="1:19" ht="24" hidden="1" x14ac:dyDescent="0.25">
      <c r="A191" s="338">
        <v>4200</v>
      </c>
      <c r="B191" s="247" t="s">
        <v>207</v>
      </c>
      <c r="C191" s="249">
        <f t="shared" si="27"/>
        <v>0</v>
      </c>
      <c r="D191" s="112">
        <f>SUM(D192,D193)</f>
        <v>0</v>
      </c>
      <c r="E191" s="293">
        <f>SUM(E192,E193)</f>
        <v>0</v>
      </c>
      <c r="F191" s="313">
        <f t="shared" si="31"/>
        <v>0</v>
      </c>
      <c r="G191" s="112">
        <f>SUM(G192,G193)</f>
        <v>0</v>
      </c>
      <c r="H191" s="113">
        <f>SUM(H192,H193)</f>
        <v>0</v>
      </c>
      <c r="I191" s="114">
        <f t="shared" si="32"/>
        <v>0</v>
      </c>
      <c r="J191" s="112">
        <f>SUM(J192,J193)</f>
        <v>0</v>
      </c>
      <c r="K191" s="113">
        <f>SUM(K192,K193)</f>
        <v>0</v>
      </c>
      <c r="L191" s="114">
        <f t="shared" si="33"/>
        <v>0</v>
      </c>
      <c r="M191" s="292">
        <f>SUM(M192,M193)</f>
        <v>0</v>
      </c>
      <c r="N191" s="293">
        <f>SUM(N192,N193)</f>
        <v>0</v>
      </c>
      <c r="O191" s="114">
        <f t="shared" si="34"/>
        <v>0</v>
      </c>
      <c r="P191" s="109"/>
      <c r="R191" s="53"/>
      <c r="S191" s="53"/>
    </row>
    <row r="192" spans="1:19" ht="36" hidden="1" x14ac:dyDescent="0.25">
      <c r="A192" s="656">
        <v>4240</v>
      </c>
      <c r="B192" s="116" t="s">
        <v>208</v>
      </c>
      <c r="C192" s="296">
        <f t="shared" si="27"/>
        <v>0</v>
      </c>
      <c r="D192" s="123">
        <v>0</v>
      </c>
      <c r="E192" s="262"/>
      <c r="F192" s="263">
        <f t="shared" si="31"/>
        <v>0</v>
      </c>
      <c r="G192" s="123"/>
      <c r="H192" s="124"/>
      <c r="I192" s="125">
        <f t="shared" si="32"/>
        <v>0</v>
      </c>
      <c r="J192" s="123">
        <v>0</v>
      </c>
      <c r="K192" s="124"/>
      <c r="L192" s="125">
        <f t="shared" si="33"/>
        <v>0</v>
      </c>
      <c r="M192" s="264"/>
      <c r="N192" s="262"/>
      <c r="O192" s="125">
        <f t="shared" si="34"/>
        <v>0</v>
      </c>
      <c r="P192" s="74"/>
      <c r="R192" s="53"/>
      <c r="S192" s="53"/>
    </row>
    <row r="193" spans="1:19" ht="24" hidden="1" x14ac:dyDescent="0.25">
      <c r="A193" s="276">
        <v>4250</v>
      </c>
      <c r="B193" s="127" t="s">
        <v>209</v>
      </c>
      <c r="C193" s="279">
        <f t="shared" si="27"/>
        <v>0</v>
      </c>
      <c r="D193" s="134">
        <v>0</v>
      </c>
      <c r="E193" s="285"/>
      <c r="F193" s="286">
        <f t="shared" si="31"/>
        <v>0</v>
      </c>
      <c r="G193" s="134"/>
      <c r="H193" s="135"/>
      <c r="I193" s="136">
        <f t="shared" si="32"/>
        <v>0</v>
      </c>
      <c r="J193" s="134">
        <v>0</v>
      </c>
      <c r="K193" s="135"/>
      <c r="L193" s="136">
        <f t="shared" si="33"/>
        <v>0</v>
      </c>
      <c r="M193" s="284"/>
      <c r="N193" s="285"/>
      <c r="O193" s="136">
        <f t="shared" si="34"/>
        <v>0</v>
      </c>
      <c r="P193" s="85"/>
      <c r="R193" s="53"/>
      <c r="S193" s="53"/>
    </row>
    <row r="194" spans="1:19" hidden="1" x14ac:dyDescent="0.25">
      <c r="A194" s="99">
        <v>4300</v>
      </c>
      <c r="B194" s="247" t="s">
        <v>210</v>
      </c>
      <c r="C194" s="249">
        <f t="shared" si="27"/>
        <v>0</v>
      </c>
      <c r="D194" s="112">
        <f>SUM(D195)</f>
        <v>0</v>
      </c>
      <c r="E194" s="293">
        <f>SUM(E195)</f>
        <v>0</v>
      </c>
      <c r="F194" s="313">
        <f t="shared" si="31"/>
        <v>0</v>
      </c>
      <c r="G194" s="112">
        <f>SUM(G195)</f>
        <v>0</v>
      </c>
      <c r="H194" s="113">
        <f>SUM(H195)</f>
        <v>0</v>
      </c>
      <c r="I194" s="114">
        <f t="shared" si="32"/>
        <v>0</v>
      </c>
      <c r="J194" s="112">
        <f>SUM(J195)</f>
        <v>0</v>
      </c>
      <c r="K194" s="113">
        <f>SUM(K195)</f>
        <v>0</v>
      </c>
      <c r="L194" s="114">
        <f t="shared" si="33"/>
        <v>0</v>
      </c>
      <c r="M194" s="292">
        <f>SUM(M195)</f>
        <v>0</v>
      </c>
      <c r="N194" s="293">
        <f>SUM(N195)</f>
        <v>0</v>
      </c>
      <c r="O194" s="114">
        <f t="shared" si="34"/>
        <v>0</v>
      </c>
      <c r="P194" s="109"/>
      <c r="R194" s="53"/>
      <c r="S194" s="53"/>
    </row>
    <row r="195" spans="1:19" ht="24" hidden="1" x14ac:dyDescent="0.25">
      <c r="A195" s="656">
        <v>4310</v>
      </c>
      <c r="B195" s="116" t="s">
        <v>211</v>
      </c>
      <c r="C195" s="296">
        <f t="shared" si="27"/>
        <v>0</v>
      </c>
      <c r="D195" s="297">
        <f>SUM(D196:D196)</f>
        <v>0</v>
      </c>
      <c r="E195" s="301">
        <f>SUM(E196:E196)</f>
        <v>0</v>
      </c>
      <c r="F195" s="263">
        <f t="shared" si="31"/>
        <v>0</v>
      </c>
      <c r="G195" s="297">
        <f>SUM(G196:G196)</f>
        <v>0</v>
      </c>
      <c r="H195" s="299">
        <f>SUM(H196:H196)</f>
        <v>0</v>
      </c>
      <c r="I195" s="125">
        <f t="shared" si="32"/>
        <v>0</v>
      </c>
      <c r="J195" s="297">
        <f>SUM(J196:J196)</f>
        <v>0</v>
      </c>
      <c r="K195" s="299">
        <f>SUM(K196:K196)</f>
        <v>0</v>
      </c>
      <c r="L195" s="125">
        <f t="shared" si="33"/>
        <v>0</v>
      </c>
      <c r="M195" s="300">
        <f>SUM(M196:M196)</f>
        <v>0</v>
      </c>
      <c r="N195" s="301">
        <f>SUM(N196:N196)</f>
        <v>0</v>
      </c>
      <c r="O195" s="125">
        <f t="shared" si="34"/>
        <v>0</v>
      </c>
      <c r="P195" s="74"/>
      <c r="R195" s="53"/>
      <c r="S195" s="53"/>
    </row>
    <row r="196" spans="1:19" ht="36" hidden="1" x14ac:dyDescent="0.25">
      <c r="A196" s="76">
        <v>4311</v>
      </c>
      <c r="B196" s="127" t="s">
        <v>212</v>
      </c>
      <c r="C196" s="279">
        <f t="shared" si="27"/>
        <v>0</v>
      </c>
      <c r="D196" s="134">
        <v>0</v>
      </c>
      <c r="E196" s="285"/>
      <c r="F196" s="286">
        <f t="shared" si="31"/>
        <v>0</v>
      </c>
      <c r="G196" s="134"/>
      <c r="H196" s="135"/>
      <c r="I196" s="136">
        <f t="shared" si="32"/>
        <v>0</v>
      </c>
      <c r="J196" s="134">
        <v>0</v>
      </c>
      <c r="K196" s="135"/>
      <c r="L196" s="136">
        <f t="shared" si="33"/>
        <v>0</v>
      </c>
      <c r="M196" s="284"/>
      <c r="N196" s="285"/>
      <c r="O196" s="136">
        <f t="shared" si="34"/>
        <v>0</v>
      </c>
      <c r="P196" s="85"/>
      <c r="R196" s="53"/>
      <c r="S196" s="53"/>
    </row>
    <row r="197" spans="1:19" s="41" customFormat="1" ht="24" x14ac:dyDescent="0.25">
      <c r="A197" s="339"/>
      <c r="B197" s="31" t="s">
        <v>213</v>
      </c>
      <c r="C197" s="232">
        <f t="shared" si="27"/>
        <v>16897</v>
      </c>
      <c r="D197" s="230">
        <f>SUM(D198,D233,D271)</f>
        <v>16897</v>
      </c>
      <c r="E197" s="235">
        <f>SUM(E198,E233,E271)</f>
        <v>0</v>
      </c>
      <c r="F197" s="459">
        <f t="shared" si="31"/>
        <v>16897</v>
      </c>
      <c r="G197" s="230">
        <f>SUM(G198,G233,G271)</f>
        <v>0</v>
      </c>
      <c r="H197" s="233">
        <f>SUM(H198,H233,H271)</f>
        <v>0</v>
      </c>
      <c r="I197" s="234">
        <f t="shared" si="32"/>
        <v>0</v>
      </c>
      <c r="J197" s="230">
        <f>SUM(J198,J233,J271)</f>
        <v>0</v>
      </c>
      <c r="K197" s="233">
        <f>SUM(K198,K233,K271)</f>
        <v>0</v>
      </c>
      <c r="L197" s="234">
        <f t="shared" si="33"/>
        <v>0</v>
      </c>
      <c r="M197" s="340">
        <f>SUM(M198,M233,M271)</f>
        <v>0</v>
      </c>
      <c r="N197" s="341">
        <f>SUM(N198,N233,N271)</f>
        <v>0</v>
      </c>
      <c r="O197" s="342">
        <f t="shared" si="34"/>
        <v>0</v>
      </c>
      <c r="P197" s="343"/>
      <c r="R197" s="53"/>
      <c r="S197" s="53"/>
    </row>
    <row r="198" spans="1:19" hidden="1" x14ac:dyDescent="0.25">
      <c r="A198" s="237">
        <v>5000</v>
      </c>
      <c r="B198" s="237" t="s">
        <v>214</v>
      </c>
      <c r="C198" s="241">
        <f>F198+I198+L198+O198</f>
        <v>0</v>
      </c>
      <c r="D198" s="239">
        <f>D199+D207</f>
        <v>0</v>
      </c>
      <c r="E198" s="245">
        <f>E199+E207</f>
        <v>0</v>
      </c>
      <c r="F198" s="320">
        <f t="shared" si="31"/>
        <v>0</v>
      </c>
      <c r="G198" s="239">
        <f>G199+G207</f>
        <v>0</v>
      </c>
      <c r="H198" s="242">
        <f>H199+H207</f>
        <v>0</v>
      </c>
      <c r="I198" s="243">
        <f t="shared" si="32"/>
        <v>0</v>
      </c>
      <c r="J198" s="239">
        <f>J199+J207</f>
        <v>0</v>
      </c>
      <c r="K198" s="242">
        <f>K199+K207</f>
        <v>0</v>
      </c>
      <c r="L198" s="243">
        <f t="shared" si="33"/>
        <v>0</v>
      </c>
      <c r="M198" s="244">
        <f>M199+M207</f>
        <v>0</v>
      </c>
      <c r="N198" s="245">
        <f>N199+N207</f>
        <v>0</v>
      </c>
      <c r="O198" s="243">
        <f t="shared" si="34"/>
        <v>0</v>
      </c>
      <c r="P198" s="246"/>
      <c r="R198" s="53"/>
      <c r="S198" s="53"/>
    </row>
    <row r="199" spans="1:19" hidden="1" x14ac:dyDescent="0.25">
      <c r="A199" s="99">
        <v>5100</v>
      </c>
      <c r="B199" s="247" t="s">
        <v>215</v>
      </c>
      <c r="C199" s="249">
        <f t="shared" si="27"/>
        <v>0</v>
      </c>
      <c r="D199" s="112">
        <f>D200+D201+D204+D205+D206</f>
        <v>0</v>
      </c>
      <c r="E199" s="293">
        <f>E200+E201+E204+E205+E206</f>
        <v>0</v>
      </c>
      <c r="F199" s="313">
        <f t="shared" si="31"/>
        <v>0</v>
      </c>
      <c r="G199" s="112">
        <f>G200+G201+G204+G205+G206</f>
        <v>0</v>
      </c>
      <c r="H199" s="113">
        <f>H200+H201+H204+H205+H206</f>
        <v>0</v>
      </c>
      <c r="I199" s="114">
        <f t="shared" si="32"/>
        <v>0</v>
      </c>
      <c r="J199" s="112">
        <f>J200+J201+J204+J205+J206</f>
        <v>0</v>
      </c>
      <c r="K199" s="113">
        <f>K200+K201+K204+K205+K206</f>
        <v>0</v>
      </c>
      <c r="L199" s="114">
        <f t="shared" si="33"/>
        <v>0</v>
      </c>
      <c r="M199" s="292">
        <f>M200+M201+M204+M205+M206</f>
        <v>0</v>
      </c>
      <c r="N199" s="293">
        <f>N200+N201+N204+N205+N206</f>
        <v>0</v>
      </c>
      <c r="O199" s="114">
        <f t="shared" si="34"/>
        <v>0</v>
      </c>
      <c r="P199" s="109"/>
      <c r="R199" s="53"/>
      <c r="S199" s="53"/>
    </row>
    <row r="200" spans="1:19" hidden="1" x14ac:dyDescent="0.25">
      <c r="A200" s="656">
        <v>5110</v>
      </c>
      <c r="B200" s="116" t="s">
        <v>216</v>
      </c>
      <c r="C200" s="296">
        <f t="shared" si="27"/>
        <v>0</v>
      </c>
      <c r="D200" s="123">
        <v>0</v>
      </c>
      <c r="E200" s="262"/>
      <c r="F200" s="263">
        <f t="shared" si="31"/>
        <v>0</v>
      </c>
      <c r="G200" s="123"/>
      <c r="H200" s="124"/>
      <c r="I200" s="125">
        <f t="shared" si="32"/>
        <v>0</v>
      </c>
      <c r="J200" s="123">
        <v>0</v>
      </c>
      <c r="K200" s="124"/>
      <c r="L200" s="125">
        <f t="shared" si="33"/>
        <v>0</v>
      </c>
      <c r="M200" s="264"/>
      <c r="N200" s="262"/>
      <c r="O200" s="125">
        <f t="shared" si="34"/>
        <v>0</v>
      </c>
      <c r="P200" s="74"/>
      <c r="R200" s="53"/>
      <c r="S200" s="53"/>
    </row>
    <row r="201" spans="1:19" ht="24" hidden="1" x14ac:dyDescent="0.25">
      <c r="A201" s="276">
        <v>5120</v>
      </c>
      <c r="B201" s="127" t="s">
        <v>217</v>
      </c>
      <c r="C201" s="279">
        <f t="shared" si="27"/>
        <v>0</v>
      </c>
      <c r="D201" s="277">
        <f>D202+D203</f>
        <v>0</v>
      </c>
      <c r="E201" s="282">
        <f>E202+E203</f>
        <v>0</v>
      </c>
      <c r="F201" s="286">
        <f t="shared" si="31"/>
        <v>0</v>
      </c>
      <c r="G201" s="277">
        <f>G202+G203</f>
        <v>0</v>
      </c>
      <c r="H201" s="280">
        <f>H202+H203</f>
        <v>0</v>
      </c>
      <c r="I201" s="136">
        <f t="shared" si="32"/>
        <v>0</v>
      </c>
      <c r="J201" s="277">
        <f>J202+J203</f>
        <v>0</v>
      </c>
      <c r="K201" s="280">
        <f>K202+K203</f>
        <v>0</v>
      </c>
      <c r="L201" s="136">
        <f t="shared" si="33"/>
        <v>0</v>
      </c>
      <c r="M201" s="281">
        <f>M202+M203</f>
        <v>0</v>
      </c>
      <c r="N201" s="282">
        <f>N202+N203</f>
        <v>0</v>
      </c>
      <c r="O201" s="136">
        <f t="shared" si="34"/>
        <v>0</v>
      </c>
      <c r="P201" s="85"/>
      <c r="R201" s="53"/>
      <c r="S201" s="53"/>
    </row>
    <row r="202" spans="1:19" hidden="1" x14ac:dyDescent="0.25">
      <c r="A202" s="76">
        <v>5121</v>
      </c>
      <c r="B202" s="127" t="s">
        <v>218</v>
      </c>
      <c r="C202" s="279">
        <f t="shared" si="27"/>
        <v>0</v>
      </c>
      <c r="D202" s="134">
        <v>0</v>
      </c>
      <c r="E202" s="285"/>
      <c r="F202" s="286">
        <f t="shared" si="31"/>
        <v>0</v>
      </c>
      <c r="G202" s="134"/>
      <c r="H202" s="135"/>
      <c r="I202" s="136">
        <f t="shared" si="32"/>
        <v>0</v>
      </c>
      <c r="J202" s="134">
        <v>0</v>
      </c>
      <c r="K202" s="135"/>
      <c r="L202" s="136">
        <f t="shared" si="33"/>
        <v>0</v>
      </c>
      <c r="M202" s="284"/>
      <c r="N202" s="285"/>
      <c r="O202" s="136">
        <f t="shared" si="34"/>
        <v>0</v>
      </c>
      <c r="P202" s="85"/>
      <c r="R202" s="53"/>
      <c r="S202" s="53"/>
    </row>
    <row r="203" spans="1:19" ht="24" hidden="1" x14ac:dyDescent="0.25">
      <c r="A203" s="76">
        <v>5129</v>
      </c>
      <c r="B203" s="127" t="s">
        <v>219</v>
      </c>
      <c r="C203" s="279">
        <f t="shared" si="27"/>
        <v>0</v>
      </c>
      <c r="D203" s="134">
        <v>0</v>
      </c>
      <c r="E203" s="285"/>
      <c r="F203" s="286">
        <f t="shared" si="31"/>
        <v>0</v>
      </c>
      <c r="G203" s="134"/>
      <c r="H203" s="135"/>
      <c r="I203" s="136">
        <f t="shared" si="32"/>
        <v>0</v>
      </c>
      <c r="J203" s="134">
        <v>0</v>
      </c>
      <c r="K203" s="135"/>
      <c r="L203" s="136">
        <f t="shared" si="33"/>
        <v>0</v>
      </c>
      <c r="M203" s="284"/>
      <c r="N203" s="285"/>
      <c r="O203" s="136">
        <f t="shared" si="34"/>
        <v>0</v>
      </c>
      <c r="P203" s="85"/>
      <c r="R203" s="53"/>
      <c r="S203" s="53"/>
    </row>
    <row r="204" spans="1:19" hidden="1" x14ac:dyDescent="0.25">
      <c r="A204" s="276">
        <v>5130</v>
      </c>
      <c r="B204" s="127" t="s">
        <v>220</v>
      </c>
      <c r="C204" s="279">
        <f t="shared" si="27"/>
        <v>0</v>
      </c>
      <c r="D204" s="134">
        <v>0</v>
      </c>
      <c r="E204" s="285"/>
      <c r="F204" s="286">
        <f t="shared" si="31"/>
        <v>0</v>
      </c>
      <c r="G204" s="134"/>
      <c r="H204" s="135"/>
      <c r="I204" s="136">
        <f t="shared" si="32"/>
        <v>0</v>
      </c>
      <c r="J204" s="134">
        <v>0</v>
      </c>
      <c r="K204" s="135"/>
      <c r="L204" s="136">
        <f t="shared" si="33"/>
        <v>0</v>
      </c>
      <c r="M204" s="284"/>
      <c r="N204" s="285"/>
      <c r="O204" s="136">
        <f t="shared" si="34"/>
        <v>0</v>
      </c>
      <c r="P204" s="85"/>
      <c r="R204" s="53"/>
      <c r="S204" s="53"/>
    </row>
    <row r="205" spans="1:19" hidden="1" x14ac:dyDescent="0.25">
      <c r="A205" s="276">
        <v>5140</v>
      </c>
      <c r="B205" s="127" t="s">
        <v>221</v>
      </c>
      <c r="C205" s="279">
        <f t="shared" si="27"/>
        <v>0</v>
      </c>
      <c r="D205" s="134">
        <v>0</v>
      </c>
      <c r="E205" s="285"/>
      <c r="F205" s="286">
        <f t="shared" si="31"/>
        <v>0</v>
      </c>
      <c r="G205" s="134"/>
      <c r="H205" s="135"/>
      <c r="I205" s="136">
        <f t="shared" si="32"/>
        <v>0</v>
      </c>
      <c r="J205" s="134">
        <v>0</v>
      </c>
      <c r="K205" s="135"/>
      <c r="L205" s="136">
        <f t="shared" si="33"/>
        <v>0</v>
      </c>
      <c r="M205" s="284"/>
      <c r="N205" s="285"/>
      <c r="O205" s="136">
        <f t="shared" si="34"/>
        <v>0</v>
      </c>
      <c r="P205" s="85"/>
      <c r="R205" s="53"/>
      <c r="S205" s="53"/>
    </row>
    <row r="206" spans="1:19" ht="24" hidden="1" x14ac:dyDescent="0.25">
      <c r="A206" s="276">
        <v>5170</v>
      </c>
      <c r="B206" s="127" t="s">
        <v>222</v>
      </c>
      <c r="C206" s="279">
        <f t="shared" si="27"/>
        <v>0</v>
      </c>
      <c r="D206" s="134">
        <v>0</v>
      </c>
      <c r="E206" s="285"/>
      <c r="F206" s="286">
        <f t="shared" si="31"/>
        <v>0</v>
      </c>
      <c r="G206" s="134"/>
      <c r="H206" s="135"/>
      <c r="I206" s="136">
        <f t="shared" si="32"/>
        <v>0</v>
      </c>
      <c r="J206" s="134">
        <v>0</v>
      </c>
      <c r="K206" s="135"/>
      <c r="L206" s="136">
        <f t="shared" si="33"/>
        <v>0</v>
      </c>
      <c r="M206" s="284"/>
      <c r="N206" s="285"/>
      <c r="O206" s="136">
        <f t="shared" si="34"/>
        <v>0</v>
      </c>
      <c r="P206" s="85"/>
      <c r="R206" s="53"/>
      <c r="S206" s="53"/>
    </row>
    <row r="207" spans="1:19" hidden="1" x14ac:dyDescent="0.25">
      <c r="A207" s="99">
        <v>5200</v>
      </c>
      <c r="B207" s="247" t="s">
        <v>223</v>
      </c>
      <c r="C207" s="249">
        <f t="shared" si="27"/>
        <v>0</v>
      </c>
      <c r="D207" s="112">
        <f>D208+D218+D219+D228+D229+D230+D232</f>
        <v>0</v>
      </c>
      <c r="E207" s="293">
        <f>E208+E218+E219+E228+E229+E230+E232</f>
        <v>0</v>
      </c>
      <c r="F207" s="313">
        <f t="shared" si="31"/>
        <v>0</v>
      </c>
      <c r="G207" s="112">
        <f>G208+G218+G219+G228+G229+G230+G232</f>
        <v>0</v>
      </c>
      <c r="H207" s="113">
        <f>H208+H218+H219+H228+H229+H230+H232</f>
        <v>0</v>
      </c>
      <c r="I207" s="114">
        <f t="shared" si="32"/>
        <v>0</v>
      </c>
      <c r="J207" s="112">
        <f>J208+J218+J219+J228+J229+J230+J232</f>
        <v>0</v>
      </c>
      <c r="K207" s="113">
        <f>K208+K218+K219+K228+K229+K230+K232</f>
        <v>0</v>
      </c>
      <c r="L207" s="114">
        <f t="shared" si="33"/>
        <v>0</v>
      </c>
      <c r="M207" s="292">
        <f>M208+M218+M219+M228+M229+M230+M232</f>
        <v>0</v>
      </c>
      <c r="N207" s="293">
        <f>N208+N218+N219+N228+N229+N230+N232</f>
        <v>0</v>
      </c>
      <c r="O207" s="114">
        <f t="shared" si="34"/>
        <v>0</v>
      </c>
      <c r="P207" s="109"/>
      <c r="R207" s="53"/>
      <c r="S207" s="53"/>
    </row>
    <row r="208" spans="1:19" hidden="1" x14ac:dyDescent="0.25">
      <c r="A208" s="254">
        <v>5210</v>
      </c>
      <c r="B208" s="179" t="s">
        <v>224</v>
      </c>
      <c r="C208" s="257">
        <f t="shared" si="27"/>
        <v>0</v>
      </c>
      <c r="D208" s="255">
        <f>SUM(D209:D217)</f>
        <v>0</v>
      </c>
      <c r="E208" s="261">
        <f>SUM(E209:E217)</f>
        <v>0</v>
      </c>
      <c r="F208" s="310">
        <f t="shared" si="31"/>
        <v>0</v>
      </c>
      <c r="G208" s="255">
        <f>SUM(G209:G217)</f>
        <v>0</v>
      </c>
      <c r="H208" s="258">
        <f>SUM(H209:H217)</f>
        <v>0</v>
      </c>
      <c r="I208" s="259">
        <f t="shared" si="32"/>
        <v>0</v>
      </c>
      <c r="J208" s="255">
        <f>SUM(J209:J217)</f>
        <v>0</v>
      </c>
      <c r="K208" s="258">
        <f>SUM(K209:K217)</f>
        <v>0</v>
      </c>
      <c r="L208" s="259">
        <f t="shared" si="33"/>
        <v>0</v>
      </c>
      <c r="M208" s="260">
        <f>SUM(M209:M217)</f>
        <v>0</v>
      </c>
      <c r="N208" s="261">
        <f>SUM(N209:N217)</f>
        <v>0</v>
      </c>
      <c r="O208" s="259">
        <f t="shared" si="34"/>
        <v>0</v>
      </c>
      <c r="P208" s="189"/>
      <c r="R208" s="53"/>
      <c r="S208" s="53"/>
    </row>
    <row r="209" spans="1:19" hidden="1" x14ac:dyDescent="0.25">
      <c r="A209" s="66">
        <v>5211</v>
      </c>
      <c r="B209" s="116" t="s">
        <v>225</v>
      </c>
      <c r="C209" s="279">
        <f t="shared" si="27"/>
        <v>0</v>
      </c>
      <c r="D209" s="123">
        <v>0</v>
      </c>
      <c r="E209" s="262"/>
      <c r="F209" s="263">
        <f t="shared" si="31"/>
        <v>0</v>
      </c>
      <c r="G209" s="123"/>
      <c r="H209" s="124"/>
      <c r="I209" s="125">
        <f t="shared" si="32"/>
        <v>0</v>
      </c>
      <c r="J209" s="123">
        <v>0</v>
      </c>
      <c r="K209" s="124"/>
      <c r="L209" s="125">
        <f t="shared" si="33"/>
        <v>0</v>
      </c>
      <c r="M209" s="264"/>
      <c r="N209" s="262"/>
      <c r="O209" s="125">
        <f t="shared" si="34"/>
        <v>0</v>
      </c>
      <c r="P209" s="74"/>
      <c r="R209" s="53"/>
      <c r="S209" s="53"/>
    </row>
    <row r="210" spans="1:19" hidden="1" x14ac:dyDescent="0.25">
      <c r="A210" s="76">
        <v>5212</v>
      </c>
      <c r="B210" s="127" t="s">
        <v>226</v>
      </c>
      <c r="C210" s="279">
        <f t="shared" si="27"/>
        <v>0</v>
      </c>
      <c r="D210" s="134">
        <v>0</v>
      </c>
      <c r="E210" s="285"/>
      <c r="F210" s="286">
        <f t="shared" si="31"/>
        <v>0</v>
      </c>
      <c r="G210" s="134"/>
      <c r="H210" s="135"/>
      <c r="I210" s="136">
        <f t="shared" si="32"/>
        <v>0</v>
      </c>
      <c r="J210" s="134">
        <v>0</v>
      </c>
      <c r="K210" s="135"/>
      <c r="L210" s="136">
        <f t="shared" si="33"/>
        <v>0</v>
      </c>
      <c r="M210" s="284"/>
      <c r="N210" s="285"/>
      <c r="O210" s="136">
        <f t="shared" si="34"/>
        <v>0</v>
      </c>
      <c r="P210" s="85"/>
      <c r="R210" s="53"/>
      <c r="S210" s="53"/>
    </row>
    <row r="211" spans="1:19" hidden="1" x14ac:dyDescent="0.25">
      <c r="A211" s="76">
        <v>5213</v>
      </c>
      <c r="B211" s="127" t="s">
        <v>227</v>
      </c>
      <c r="C211" s="279">
        <f t="shared" si="27"/>
        <v>0</v>
      </c>
      <c r="D211" s="134">
        <v>0</v>
      </c>
      <c r="E211" s="285"/>
      <c r="F211" s="286">
        <f t="shared" si="31"/>
        <v>0</v>
      </c>
      <c r="G211" s="134"/>
      <c r="H211" s="135"/>
      <c r="I211" s="136">
        <f t="shared" si="32"/>
        <v>0</v>
      </c>
      <c r="J211" s="134">
        <v>0</v>
      </c>
      <c r="K211" s="135"/>
      <c r="L211" s="136">
        <f t="shared" si="33"/>
        <v>0</v>
      </c>
      <c r="M211" s="284"/>
      <c r="N211" s="285"/>
      <c r="O211" s="136">
        <f t="shared" si="34"/>
        <v>0</v>
      </c>
      <c r="P211" s="85"/>
      <c r="R211" s="53"/>
      <c r="S211" s="53"/>
    </row>
    <row r="212" spans="1:19" hidden="1" x14ac:dyDescent="0.25">
      <c r="A212" s="76">
        <v>5214</v>
      </c>
      <c r="B212" s="127" t="s">
        <v>228</v>
      </c>
      <c r="C212" s="279">
        <f t="shared" si="27"/>
        <v>0</v>
      </c>
      <c r="D212" s="134">
        <v>0</v>
      </c>
      <c r="E212" s="285"/>
      <c r="F212" s="286">
        <f t="shared" si="31"/>
        <v>0</v>
      </c>
      <c r="G212" s="134"/>
      <c r="H212" s="135"/>
      <c r="I212" s="136">
        <f t="shared" si="32"/>
        <v>0</v>
      </c>
      <c r="J212" s="134">
        <v>0</v>
      </c>
      <c r="K212" s="135"/>
      <c r="L212" s="136">
        <f t="shared" si="33"/>
        <v>0</v>
      </c>
      <c r="M212" s="284"/>
      <c r="N212" s="285"/>
      <c r="O212" s="136">
        <f t="shared" si="34"/>
        <v>0</v>
      </c>
      <c r="P212" s="85"/>
      <c r="R212" s="53"/>
      <c r="S212" s="53"/>
    </row>
    <row r="213" spans="1:19" hidden="1" x14ac:dyDescent="0.25">
      <c r="A213" s="76">
        <v>5215</v>
      </c>
      <c r="B213" s="127" t="s">
        <v>229</v>
      </c>
      <c r="C213" s="279">
        <f t="shared" si="27"/>
        <v>0</v>
      </c>
      <c r="D213" s="134">
        <v>0</v>
      </c>
      <c r="E213" s="285"/>
      <c r="F213" s="286">
        <f t="shared" si="31"/>
        <v>0</v>
      </c>
      <c r="G213" s="134"/>
      <c r="H213" s="135"/>
      <c r="I213" s="136">
        <f t="shared" si="32"/>
        <v>0</v>
      </c>
      <c r="J213" s="134">
        <v>0</v>
      </c>
      <c r="K213" s="135"/>
      <c r="L213" s="136">
        <f t="shared" si="33"/>
        <v>0</v>
      </c>
      <c r="M213" s="284"/>
      <c r="N213" s="285"/>
      <c r="O213" s="136">
        <f t="shared" si="34"/>
        <v>0</v>
      </c>
      <c r="P213" s="85"/>
      <c r="R213" s="53"/>
      <c r="S213" s="53"/>
    </row>
    <row r="214" spans="1:19" ht="24" hidden="1" x14ac:dyDescent="0.25">
      <c r="A214" s="76">
        <v>5216</v>
      </c>
      <c r="B214" s="127" t="s">
        <v>230</v>
      </c>
      <c r="C214" s="279">
        <f t="shared" si="27"/>
        <v>0</v>
      </c>
      <c r="D214" s="134">
        <v>0</v>
      </c>
      <c r="E214" s="285"/>
      <c r="F214" s="286">
        <f t="shared" si="31"/>
        <v>0</v>
      </c>
      <c r="G214" s="134"/>
      <c r="H214" s="135"/>
      <c r="I214" s="136">
        <f t="shared" si="32"/>
        <v>0</v>
      </c>
      <c r="J214" s="134">
        <v>0</v>
      </c>
      <c r="K214" s="135"/>
      <c r="L214" s="136">
        <f t="shared" si="33"/>
        <v>0</v>
      </c>
      <c r="M214" s="284"/>
      <c r="N214" s="285"/>
      <c r="O214" s="136">
        <f t="shared" si="34"/>
        <v>0</v>
      </c>
      <c r="P214" s="85"/>
      <c r="R214" s="53"/>
      <c r="S214" s="53"/>
    </row>
    <row r="215" spans="1:19" hidden="1" x14ac:dyDescent="0.25">
      <c r="A215" s="76">
        <v>5217</v>
      </c>
      <c r="B215" s="127" t="s">
        <v>231</v>
      </c>
      <c r="C215" s="279">
        <f t="shared" si="27"/>
        <v>0</v>
      </c>
      <c r="D215" s="134">
        <v>0</v>
      </c>
      <c r="E215" s="285"/>
      <c r="F215" s="286">
        <f t="shared" si="31"/>
        <v>0</v>
      </c>
      <c r="G215" s="134"/>
      <c r="H215" s="135"/>
      <c r="I215" s="136">
        <f t="shared" si="32"/>
        <v>0</v>
      </c>
      <c r="J215" s="134">
        <v>0</v>
      </c>
      <c r="K215" s="135"/>
      <c r="L215" s="136">
        <f t="shared" si="33"/>
        <v>0</v>
      </c>
      <c r="M215" s="284"/>
      <c r="N215" s="285"/>
      <c r="O215" s="136">
        <f t="shared" si="34"/>
        <v>0</v>
      </c>
      <c r="P215" s="85"/>
      <c r="R215" s="53"/>
      <c r="S215" s="53"/>
    </row>
    <row r="216" spans="1:19" hidden="1" x14ac:dyDescent="0.25">
      <c r="A216" s="76">
        <v>5218</v>
      </c>
      <c r="B216" s="127" t="s">
        <v>232</v>
      </c>
      <c r="C216" s="279">
        <f t="shared" si="27"/>
        <v>0</v>
      </c>
      <c r="D216" s="134">
        <v>0</v>
      </c>
      <c r="E216" s="285"/>
      <c r="F216" s="286">
        <f t="shared" si="31"/>
        <v>0</v>
      </c>
      <c r="G216" s="134"/>
      <c r="H216" s="135"/>
      <c r="I216" s="136">
        <f t="shared" si="32"/>
        <v>0</v>
      </c>
      <c r="J216" s="134">
        <v>0</v>
      </c>
      <c r="K216" s="135"/>
      <c r="L216" s="136">
        <f t="shared" si="33"/>
        <v>0</v>
      </c>
      <c r="M216" s="284"/>
      <c r="N216" s="285"/>
      <c r="O216" s="136">
        <f t="shared" si="34"/>
        <v>0</v>
      </c>
      <c r="P216" s="85"/>
      <c r="R216" s="53"/>
      <c r="S216" s="53"/>
    </row>
    <row r="217" spans="1:19" hidden="1" x14ac:dyDescent="0.25">
      <c r="A217" s="76">
        <v>5219</v>
      </c>
      <c r="B217" s="127" t="s">
        <v>233</v>
      </c>
      <c r="C217" s="279">
        <f t="shared" si="27"/>
        <v>0</v>
      </c>
      <c r="D217" s="134">
        <v>0</v>
      </c>
      <c r="E217" s="285"/>
      <c r="F217" s="286">
        <f t="shared" si="31"/>
        <v>0</v>
      </c>
      <c r="G217" s="134"/>
      <c r="H217" s="135"/>
      <c r="I217" s="136">
        <f t="shared" si="32"/>
        <v>0</v>
      </c>
      <c r="J217" s="134">
        <v>0</v>
      </c>
      <c r="K217" s="135"/>
      <c r="L217" s="136">
        <f t="shared" si="33"/>
        <v>0</v>
      </c>
      <c r="M217" s="284"/>
      <c r="N217" s="285"/>
      <c r="O217" s="136">
        <f t="shared" si="34"/>
        <v>0</v>
      </c>
      <c r="P217" s="85"/>
      <c r="R217" s="53"/>
      <c r="S217" s="53"/>
    </row>
    <row r="218" spans="1:19" hidden="1" x14ac:dyDescent="0.25">
      <c r="A218" s="276">
        <v>5220</v>
      </c>
      <c r="B218" s="127" t="s">
        <v>234</v>
      </c>
      <c r="C218" s="279">
        <f t="shared" si="27"/>
        <v>0</v>
      </c>
      <c r="D218" s="134">
        <v>0</v>
      </c>
      <c r="E218" s="285"/>
      <c r="F218" s="286">
        <f t="shared" si="31"/>
        <v>0</v>
      </c>
      <c r="G218" s="134"/>
      <c r="H218" s="135"/>
      <c r="I218" s="136">
        <f t="shared" si="32"/>
        <v>0</v>
      </c>
      <c r="J218" s="134">
        <v>0</v>
      </c>
      <c r="K218" s="135"/>
      <c r="L218" s="136">
        <f t="shared" si="33"/>
        <v>0</v>
      </c>
      <c r="M218" s="284"/>
      <c r="N218" s="285"/>
      <c r="O218" s="136">
        <f t="shared" si="34"/>
        <v>0</v>
      </c>
      <c r="P218" s="85"/>
      <c r="R218" s="53"/>
      <c r="S218" s="53"/>
    </row>
    <row r="219" spans="1:19" hidden="1" x14ac:dyDescent="0.25">
      <c r="A219" s="276">
        <v>5230</v>
      </c>
      <c r="B219" s="127" t="s">
        <v>235</v>
      </c>
      <c r="C219" s="279">
        <f t="shared" si="27"/>
        <v>0</v>
      </c>
      <c r="D219" s="277">
        <f>SUM(D220:D227)</f>
        <v>0</v>
      </c>
      <c r="E219" s="282">
        <f>SUM(E220:E227)</f>
        <v>0</v>
      </c>
      <c r="F219" s="286">
        <f t="shared" si="31"/>
        <v>0</v>
      </c>
      <c r="G219" s="277">
        <f>SUM(G220:G227)</f>
        <v>0</v>
      </c>
      <c r="H219" s="280">
        <f>SUM(H220:H227)</f>
        <v>0</v>
      </c>
      <c r="I219" s="136">
        <f t="shared" si="32"/>
        <v>0</v>
      </c>
      <c r="J219" s="277">
        <f>SUM(J220:J227)</f>
        <v>0</v>
      </c>
      <c r="K219" s="280">
        <f>SUM(K220:K227)</f>
        <v>0</v>
      </c>
      <c r="L219" s="136">
        <f t="shared" si="33"/>
        <v>0</v>
      </c>
      <c r="M219" s="281">
        <f>SUM(M220:M227)</f>
        <v>0</v>
      </c>
      <c r="N219" s="282">
        <f>SUM(N220:N227)</f>
        <v>0</v>
      </c>
      <c r="O219" s="136">
        <f t="shared" si="34"/>
        <v>0</v>
      </c>
      <c r="P219" s="85"/>
      <c r="R219" s="53"/>
      <c r="S219" s="53"/>
    </row>
    <row r="220" spans="1:19" hidden="1" x14ac:dyDescent="0.25">
      <c r="A220" s="76">
        <v>5231</v>
      </c>
      <c r="B220" s="127" t="s">
        <v>236</v>
      </c>
      <c r="C220" s="279">
        <f t="shared" si="27"/>
        <v>0</v>
      </c>
      <c r="D220" s="134">
        <v>0</v>
      </c>
      <c r="E220" s="285"/>
      <c r="F220" s="286">
        <f t="shared" si="31"/>
        <v>0</v>
      </c>
      <c r="G220" s="134"/>
      <c r="H220" s="135"/>
      <c r="I220" s="136">
        <f t="shared" si="32"/>
        <v>0</v>
      </c>
      <c r="J220" s="134">
        <v>0</v>
      </c>
      <c r="K220" s="135"/>
      <c r="L220" s="136">
        <f t="shared" si="33"/>
        <v>0</v>
      </c>
      <c r="M220" s="284"/>
      <c r="N220" s="285"/>
      <c r="O220" s="136">
        <f t="shared" si="34"/>
        <v>0</v>
      </c>
      <c r="P220" s="85"/>
      <c r="R220" s="53"/>
      <c r="S220" s="53"/>
    </row>
    <row r="221" spans="1:19" hidden="1" x14ac:dyDescent="0.25">
      <c r="A221" s="76">
        <v>5232</v>
      </c>
      <c r="B221" s="127" t="s">
        <v>237</v>
      </c>
      <c r="C221" s="279">
        <f t="shared" si="27"/>
        <v>0</v>
      </c>
      <c r="D221" s="134">
        <v>0</v>
      </c>
      <c r="E221" s="285"/>
      <c r="F221" s="286">
        <f t="shared" si="31"/>
        <v>0</v>
      </c>
      <c r="G221" s="134"/>
      <c r="H221" s="135"/>
      <c r="I221" s="136">
        <f t="shared" si="32"/>
        <v>0</v>
      </c>
      <c r="J221" s="134">
        <v>0</v>
      </c>
      <c r="K221" s="135"/>
      <c r="L221" s="136">
        <f t="shared" si="33"/>
        <v>0</v>
      </c>
      <c r="M221" s="284"/>
      <c r="N221" s="285"/>
      <c r="O221" s="136">
        <f t="shared" si="34"/>
        <v>0</v>
      </c>
      <c r="P221" s="85"/>
      <c r="R221" s="53"/>
      <c r="S221" s="53"/>
    </row>
    <row r="222" spans="1:19" hidden="1" x14ac:dyDescent="0.25">
      <c r="A222" s="76">
        <v>5233</v>
      </c>
      <c r="B222" s="127" t="s">
        <v>238</v>
      </c>
      <c r="C222" s="279">
        <f t="shared" si="27"/>
        <v>0</v>
      </c>
      <c r="D222" s="134">
        <v>0</v>
      </c>
      <c r="E222" s="285"/>
      <c r="F222" s="286">
        <f t="shared" si="31"/>
        <v>0</v>
      </c>
      <c r="G222" s="134"/>
      <c r="H222" s="135"/>
      <c r="I222" s="136">
        <f t="shared" si="32"/>
        <v>0</v>
      </c>
      <c r="J222" s="134">
        <v>0</v>
      </c>
      <c r="K222" s="135"/>
      <c r="L222" s="136">
        <f t="shared" si="33"/>
        <v>0</v>
      </c>
      <c r="M222" s="284"/>
      <c r="N222" s="285"/>
      <c r="O222" s="136">
        <f t="shared" si="34"/>
        <v>0</v>
      </c>
      <c r="P222" s="85"/>
      <c r="R222" s="53"/>
      <c r="S222" s="53"/>
    </row>
    <row r="223" spans="1:19" ht="24" hidden="1" x14ac:dyDescent="0.25">
      <c r="A223" s="76">
        <v>5234</v>
      </c>
      <c r="B223" s="127" t="s">
        <v>239</v>
      </c>
      <c r="C223" s="279">
        <f t="shared" si="27"/>
        <v>0</v>
      </c>
      <c r="D223" s="134">
        <v>0</v>
      </c>
      <c r="E223" s="285"/>
      <c r="F223" s="286">
        <f t="shared" si="31"/>
        <v>0</v>
      </c>
      <c r="G223" s="134"/>
      <c r="H223" s="135"/>
      <c r="I223" s="136">
        <f t="shared" si="32"/>
        <v>0</v>
      </c>
      <c r="J223" s="134">
        <v>0</v>
      </c>
      <c r="K223" s="135"/>
      <c r="L223" s="136">
        <f t="shared" si="33"/>
        <v>0</v>
      </c>
      <c r="M223" s="284"/>
      <c r="N223" s="285"/>
      <c r="O223" s="136">
        <f t="shared" si="34"/>
        <v>0</v>
      </c>
      <c r="P223" s="85"/>
      <c r="R223" s="53"/>
      <c r="S223" s="53"/>
    </row>
    <row r="224" spans="1:19" hidden="1" x14ac:dyDescent="0.25">
      <c r="A224" s="76">
        <v>5236</v>
      </c>
      <c r="B224" s="127" t="s">
        <v>240</v>
      </c>
      <c r="C224" s="279">
        <f t="shared" si="27"/>
        <v>0</v>
      </c>
      <c r="D224" s="134">
        <v>0</v>
      </c>
      <c r="E224" s="285"/>
      <c r="F224" s="286">
        <f t="shared" si="31"/>
        <v>0</v>
      </c>
      <c r="G224" s="134"/>
      <c r="H224" s="135"/>
      <c r="I224" s="136">
        <f t="shared" si="32"/>
        <v>0</v>
      </c>
      <c r="J224" s="134">
        <v>0</v>
      </c>
      <c r="K224" s="135"/>
      <c r="L224" s="136">
        <f t="shared" si="33"/>
        <v>0</v>
      </c>
      <c r="M224" s="284"/>
      <c r="N224" s="285"/>
      <c r="O224" s="136">
        <f t="shared" si="34"/>
        <v>0</v>
      </c>
      <c r="P224" s="85"/>
      <c r="R224" s="53"/>
      <c r="S224" s="53"/>
    </row>
    <row r="225" spans="1:19" hidden="1" x14ac:dyDescent="0.25">
      <c r="A225" s="76">
        <v>5237</v>
      </c>
      <c r="B225" s="127" t="s">
        <v>241</v>
      </c>
      <c r="C225" s="279">
        <f t="shared" si="27"/>
        <v>0</v>
      </c>
      <c r="D225" s="134">
        <v>0</v>
      </c>
      <c r="E225" s="285"/>
      <c r="F225" s="286">
        <f t="shared" si="31"/>
        <v>0</v>
      </c>
      <c r="G225" s="134"/>
      <c r="H225" s="135"/>
      <c r="I225" s="136">
        <f t="shared" si="32"/>
        <v>0</v>
      </c>
      <c r="J225" s="134">
        <v>0</v>
      </c>
      <c r="K225" s="135"/>
      <c r="L225" s="136">
        <f t="shared" si="33"/>
        <v>0</v>
      </c>
      <c r="M225" s="284"/>
      <c r="N225" s="285"/>
      <c r="O225" s="136">
        <f t="shared" si="34"/>
        <v>0</v>
      </c>
      <c r="P225" s="85"/>
      <c r="R225" s="53"/>
      <c r="S225" s="53"/>
    </row>
    <row r="226" spans="1:19" ht="24" hidden="1" x14ac:dyDescent="0.25">
      <c r="A226" s="76">
        <v>5238</v>
      </c>
      <c r="B226" s="127" t="s">
        <v>242</v>
      </c>
      <c r="C226" s="279">
        <f t="shared" si="27"/>
        <v>0</v>
      </c>
      <c r="D226" s="134">
        <v>0</v>
      </c>
      <c r="E226" s="285"/>
      <c r="F226" s="286">
        <f t="shared" si="31"/>
        <v>0</v>
      </c>
      <c r="G226" s="134"/>
      <c r="H226" s="135"/>
      <c r="I226" s="136">
        <f t="shared" si="32"/>
        <v>0</v>
      </c>
      <c r="J226" s="134">
        <v>0</v>
      </c>
      <c r="K226" s="135"/>
      <c r="L226" s="136">
        <f t="shared" si="33"/>
        <v>0</v>
      </c>
      <c r="M226" s="284"/>
      <c r="N226" s="285"/>
      <c r="O226" s="136">
        <f t="shared" si="34"/>
        <v>0</v>
      </c>
      <c r="P226" s="85"/>
      <c r="R226" s="53"/>
      <c r="S226" s="53"/>
    </row>
    <row r="227" spans="1:19" ht="24" hidden="1" x14ac:dyDescent="0.25">
      <c r="A227" s="76">
        <v>5239</v>
      </c>
      <c r="B227" s="127" t="s">
        <v>243</v>
      </c>
      <c r="C227" s="279">
        <f t="shared" si="27"/>
        <v>0</v>
      </c>
      <c r="D227" s="134">
        <v>0</v>
      </c>
      <c r="E227" s="285"/>
      <c r="F227" s="286">
        <f t="shared" si="31"/>
        <v>0</v>
      </c>
      <c r="G227" s="134"/>
      <c r="H227" s="135"/>
      <c r="I227" s="136">
        <f t="shared" si="32"/>
        <v>0</v>
      </c>
      <c r="J227" s="134">
        <v>0</v>
      </c>
      <c r="K227" s="135"/>
      <c r="L227" s="136">
        <f t="shared" si="33"/>
        <v>0</v>
      </c>
      <c r="M227" s="284"/>
      <c r="N227" s="285"/>
      <c r="O227" s="136">
        <f t="shared" si="34"/>
        <v>0</v>
      </c>
      <c r="P227" s="85"/>
      <c r="R227" s="53"/>
      <c r="S227" s="53"/>
    </row>
    <row r="228" spans="1:19" ht="24" hidden="1" x14ac:dyDescent="0.25">
      <c r="A228" s="276">
        <v>5240</v>
      </c>
      <c r="B228" s="127" t="s">
        <v>244</v>
      </c>
      <c r="C228" s="279">
        <f t="shared" si="27"/>
        <v>0</v>
      </c>
      <c r="D228" s="134">
        <v>0</v>
      </c>
      <c r="E228" s="285"/>
      <c r="F228" s="286">
        <f t="shared" si="31"/>
        <v>0</v>
      </c>
      <c r="G228" s="134"/>
      <c r="H228" s="135"/>
      <c r="I228" s="136">
        <f t="shared" si="32"/>
        <v>0</v>
      </c>
      <c r="J228" s="134">
        <v>0</v>
      </c>
      <c r="K228" s="135"/>
      <c r="L228" s="136">
        <f t="shared" si="33"/>
        <v>0</v>
      </c>
      <c r="M228" s="284"/>
      <c r="N228" s="285"/>
      <c r="O228" s="136">
        <f t="shared" si="34"/>
        <v>0</v>
      </c>
      <c r="P228" s="85"/>
      <c r="R228" s="53"/>
      <c r="S228" s="53"/>
    </row>
    <row r="229" spans="1:19" hidden="1" x14ac:dyDescent="0.25">
      <c r="A229" s="276">
        <v>5250</v>
      </c>
      <c r="B229" s="127" t="s">
        <v>245</v>
      </c>
      <c r="C229" s="279">
        <f t="shared" si="27"/>
        <v>0</v>
      </c>
      <c r="D229" s="134">
        <v>0</v>
      </c>
      <c r="E229" s="285"/>
      <c r="F229" s="286">
        <f t="shared" si="31"/>
        <v>0</v>
      </c>
      <c r="G229" s="134"/>
      <c r="H229" s="135"/>
      <c r="I229" s="136">
        <f t="shared" si="32"/>
        <v>0</v>
      </c>
      <c r="J229" s="134">
        <v>0</v>
      </c>
      <c r="K229" s="135"/>
      <c r="L229" s="136">
        <f t="shared" si="33"/>
        <v>0</v>
      </c>
      <c r="M229" s="284"/>
      <c r="N229" s="285"/>
      <c r="O229" s="136">
        <f t="shared" si="34"/>
        <v>0</v>
      </c>
      <c r="P229" s="85"/>
      <c r="R229" s="53"/>
      <c r="S229" s="53"/>
    </row>
    <row r="230" spans="1:19" hidden="1" x14ac:dyDescent="0.25">
      <c r="A230" s="276">
        <v>5260</v>
      </c>
      <c r="B230" s="127" t="s">
        <v>246</v>
      </c>
      <c r="C230" s="279">
        <f t="shared" si="27"/>
        <v>0</v>
      </c>
      <c r="D230" s="277">
        <f>SUM(D231)</f>
        <v>0</v>
      </c>
      <c r="E230" s="282">
        <f>SUM(E231)</f>
        <v>0</v>
      </c>
      <c r="F230" s="286">
        <f t="shared" si="31"/>
        <v>0</v>
      </c>
      <c r="G230" s="277">
        <f>SUM(G231)</f>
        <v>0</v>
      </c>
      <c r="H230" s="280">
        <f>SUM(H231)</f>
        <v>0</v>
      </c>
      <c r="I230" s="136">
        <f t="shared" si="32"/>
        <v>0</v>
      </c>
      <c r="J230" s="277">
        <f>SUM(J231)</f>
        <v>0</v>
      </c>
      <c r="K230" s="280">
        <f>SUM(K231)</f>
        <v>0</v>
      </c>
      <c r="L230" s="136">
        <f t="shared" si="33"/>
        <v>0</v>
      </c>
      <c r="M230" s="281">
        <f>SUM(M231)</f>
        <v>0</v>
      </c>
      <c r="N230" s="282">
        <f>SUM(N231)</f>
        <v>0</v>
      </c>
      <c r="O230" s="136">
        <f t="shared" si="34"/>
        <v>0</v>
      </c>
      <c r="P230" s="85"/>
      <c r="R230" s="53"/>
      <c r="S230" s="53"/>
    </row>
    <row r="231" spans="1:19" ht="24" hidden="1" x14ac:dyDescent="0.25">
      <c r="A231" s="76">
        <v>5269</v>
      </c>
      <c r="B231" s="127" t="s">
        <v>247</v>
      </c>
      <c r="C231" s="279">
        <f t="shared" si="27"/>
        <v>0</v>
      </c>
      <c r="D231" s="134">
        <v>0</v>
      </c>
      <c r="E231" s="285"/>
      <c r="F231" s="286">
        <f t="shared" si="31"/>
        <v>0</v>
      </c>
      <c r="G231" s="134"/>
      <c r="H231" s="135"/>
      <c r="I231" s="136">
        <f t="shared" si="32"/>
        <v>0</v>
      </c>
      <c r="J231" s="134">
        <v>0</v>
      </c>
      <c r="K231" s="135"/>
      <c r="L231" s="136">
        <f t="shared" si="33"/>
        <v>0</v>
      </c>
      <c r="M231" s="284"/>
      <c r="N231" s="285"/>
      <c r="O231" s="136">
        <f t="shared" si="34"/>
        <v>0</v>
      </c>
      <c r="P231" s="85"/>
      <c r="R231" s="53"/>
      <c r="S231" s="53"/>
    </row>
    <row r="232" spans="1:19" ht="24" hidden="1" x14ac:dyDescent="0.25">
      <c r="A232" s="254">
        <v>5270</v>
      </c>
      <c r="B232" s="179" t="s">
        <v>248</v>
      </c>
      <c r="C232" s="302">
        <f t="shared" si="27"/>
        <v>0</v>
      </c>
      <c r="D232" s="287">
        <v>0</v>
      </c>
      <c r="E232" s="291"/>
      <c r="F232" s="310">
        <f t="shared" si="31"/>
        <v>0</v>
      </c>
      <c r="G232" s="287"/>
      <c r="H232" s="289"/>
      <c r="I232" s="259">
        <f t="shared" si="32"/>
        <v>0</v>
      </c>
      <c r="J232" s="287">
        <v>0</v>
      </c>
      <c r="K232" s="289"/>
      <c r="L232" s="259">
        <f t="shared" si="33"/>
        <v>0</v>
      </c>
      <c r="M232" s="290"/>
      <c r="N232" s="291"/>
      <c r="O232" s="259">
        <f t="shared" si="34"/>
        <v>0</v>
      </c>
      <c r="P232" s="189"/>
      <c r="R232" s="53"/>
      <c r="S232" s="53"/>
    </row>
    <row r="233" spans="1:19" x14ac:dyDescent="0.25">
      <c r="A233" s="237">
        <v>6000</v>
      </c>
      <c r="B233" s="237" t="s">
        <v>249</v>
      </c>
      <c r="C233" s="241">
        <f t="shared" si="27"/>
        <v>16897</v>
      </c>
      <c r="D233" s="239">
        <f>D234+D254+D261</f>
        <v>16897</v>
      </c>
      <c r="E233" s="245">
        <f>E234+E254+E261</f>
        <v>0</v>
      </c>
      <c r="F233" s="320">
        <f t="shared" si="31"/>
        <v>16897</v>
      </c>
      <c r="G233" s="239">
        <f>G234+G254+G261</f>
        <v>0</v>
      </c>
      <c r="H233" s="242">
        <f>H234+H254+H261</f>
        <v>0</v>
      </c>
      <c r="I233" s="243">
        <f t="shared" si="32"/>
        <v>0</v>
      </c>
      <c r="J233" s="239">
        <f>J234+J254+J261</f>
        <v>0</v>
      </c>
      <c r="K233" s="242">
        <f>K234+K254+K261</f>
        <v>0</v>
      </c>
      <c r="L233" s="243">
        <f t="shared" si="33"/>
        <v>0</v>
      </c>
      <c r="M233" s="244">
        <f>M234+M254+M261</f>
        <v>0</v>
      </c>
      <c r="N233" s="245">
        <f>N234+N254+N261</f>
        <v>0</v>
      </c>
      <c r="O233" s="243">
        <f t="shared" si="34"/>
        <v>0</v>
      </c>
      <c r="P233" s="246"/>
      <c r="R233" s="53"/>
      <c r="S233" s="53"/>
    </row>
    <row r="234" spans="1:19" hidden="1" x14ac:dyDescent="0.25">
      <c r="A234" s="160">
        <v>6200</v>
      </c>
      <c r="B234" s="321" t="s">
        <v>250</v>
      </c>
      <c r="C234" s="648">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32"/>
        <v>0</v>
      </c>
      <c r="J234" s="334">
        <f>SUM(J235,J236,J238,J241,J247,J248,J249)</f>
        <v>0</v>
      </c>
      <c r="K234" s="336">
        <f>SUM(K235,K236,K238,K241,K247,K248,K249)</f>
        <v>0</v>
      </c>
      <c r="L234" s="252">
        <f t="shared" si="33"/>
        <v>0</v>
      </c>
      <c r="M234" s="250">
        <f>SUM(M235,M236,M238,M241,M247,M248,M249)</f>
        <v>0</v>
      </c>
      <c r="N234" s="251">
        <f>SUM(N235,N236,N238,N241,N247,N248,N249)</f>
        <v>0</v>
      </c>
      <c r="O234" s="252">
        <f t="shared" si="34"/>
        <v>0</v>
      </c>
      <c r="P234" s="253"/>
      <c r="R234" s="53"/>
      <c r="S234" s="53"/>
    </row>
    <row r="235" spans="1:19" ht="24" hidden="1" x14ac:dyDescent="0.25">
      <c r="A235" s="656">
        <v>6220</v>
      </c>
      <c r="B235" s="116" t="s">
        <v>251</v>
      </c>
      <c r="C235" s="296">
        <f t="shared" si="27"/>
        <v>0</v>
      </c>
      <c r="D235" s="123">
        <v>0</v>
      </c>
      <c r="E235" s="262"/>
      <c r="F235" s="263">
        <f t="shared" si="31"/>
        <v>0</v>
      </c>
      <c r="G235" s="123"/>
      <c r="H235" s="124"/>
      <c r="I235" s="125">
        <f t="shared" si="32"/>
        <v>0</v>
      </c>
      <c r="J235" s="123">
        <v>0</v>
      </c>
      <c r="K235" s="124"/>
      <c r="L235" s="125">
        <f t="shared" si="33"/>
        <v>0</v>
      </c>
      <c r="M235" s="264"/>
      <c r="N235" s="262"/>
      <c r="O235" s="125">
        <f t="shared" si="34"/>
        <v>0</v>
      </c>
      <c r="P235" s="74"/>
      <c r="R235" s="53"/>
      <c r="S235" s="53"/>
    </row>
    <row r="236" spans="1:19" hidden="1" x14ac:dyDescent="0.25">
      <c r="A236" s="276">
        <v>6230</v>
      </c>
      <c r="B236" s="127" t="s">
        <v>252</v>
      </c>
      <c r="C236" s="279">
        <f t="shared" si="27"/>
        <v>0</v>
      </c>
      <c r="D236" s="277">
        <f>SUM(D237)</f>
        <v>0</v>
      </c>
      <c r="E236" s="280">
        <f>SUM(E237)</f>
        <v>0</v>
      </c>
      <c r="F236" s="286">
        <f t="shared" si="31"/>
        <v>0</v>
      </c>
      <c r="G236" s="277">
        <f>SUM(G237)</f>
        <v>0</v>
      </c>
      <c r="H236" s="280">
        <f>SUM(H237)</f>
        <v>0</v>
      </c>
      <c r="I236" s="136">
        <f t="shared" si="32"/>
        <v>0</v>
      </c>
      <c r="J236" s="277">
        <f>SUM(J237)</f>
        <v>0</v>
      </c>
      <c r="K236" s="280">
        <f>SUM(K237)</f>
        <v>0</v>
      </c>
      <c r="L236" s="136">
        <f t="shared" si="33"/>
        <v>0</v>
      </c>
      <c r="M236" s="277">
        <f>SUM(M237)</f>
        <v>0</v>
      </c>
      <c r="N236" s="280">
        <f>SUM(N237)</f>
        <v>0</v>
      </c>
      <c r="O236" s="136">
        <f t="shared" si="34"/>
        <v>0</v>
      </c>
      <c r="P236" s="85"/>
      <c r="R236" s="53"/>
      <c r="S236" s="53"/>
    </row>
    <row r="237" spans="1:19" ht="24" hidden="1" x14ac:dyDescent="0.25">
      <c r="A237" s="76">
        <v>6239</v>
      </c>
      <c r="B237" s="116" t="s">
        <v>253</v>
      </c>
      <c r="C237" s="279">
        <f t="shared" si="27"/>
        <v>0</v>
      </c>
      <c r="D237" s="134">
        <v>0</v>
      </c>
      <c r="E237" s="285"/>
      <c r="F237" s="286">
        <f t="shared" si="31"/>
        <v>0</v>
      </c>
      <c r="G237" s="134"/>
      <c r="H237" s="135"/>
      <c r="I237" s="136">
        <f t="shared" si="32"/>
        <v>0</v>
      </c>
      <c r="J237" s="134">
        <v>0</v>
      </c>
      <c r="K237" s="135"/>
      <c r="L237" s="136">
        <f t="shared" si="33"/>
        <v>0</v>
      </c>
      <c r="M237" s="284"/>
      <c r="N237" s="285"/>
      <c r="O237" s="136">
        <f t="shared" si="34"/>
        <v>0</v>
      </c>
      <c r="P237" s="85"/>
      <c r="R237" s="53"/>
      <c r="S237" s="53"/>
    </row>
    <row r="238" spans="1:19" ht="24" hidden="1" x14ac:dyDescent="0.25">
      <c r="A238" s="276">
        <v>6240</v>
      </c>
      <c r="B238" s="127" t="s">
        <v>254</v>
      </c>
      <c r="C238" s="279">
        <f t="shared" si="27"/>
        <v>0</v>
      </c>
      <c r="D238" s="277">
        <f>SUM(D239:D240)</f>
        <v>0</v>
      </c>
      <c r="E238" s="282">
        <f>SUM(E239:E240)</f>
        <v>0</v>
      </c>
      <c r="F238" s="286">
        <f t="shared" si="31"/>
        <v>0</v>
      </c>
      <c r="G238" s="277">
        <f>SUM(G239:G240)</f>
        <v>0</v>
      </c>
      <c r="H238" s="280">
        <f>SUM(H239:H240)</f>
        <v>0</v>
      </c>
      <c r="I238" s="136">
        <f t="shared" si="32"/>
        <v>0</v>
      </c>
      <c r="J238" s="277">
        <f>SUM(J239:J240)</f>
        <v>0</v>
      </c>
      <c r="K238" s="280">
        <f>SUM(K239:K240)</f>
        <v>0</v>
      </c>
      <c r="L238" s="136">
        <f t="shared" si="33"/>
        <v>0</v>
      </c>
      <c r="M238" s="281">
        <f>SUM(M239:M240)</f>
        <v>0</v>
      </c>
      <c r="N238" s="282">
        <f>SUM(N239:N240)</f>
        <v>0</v>
      </c>
      <c r="O238" s="136">
        <f t="shared" si="34"/>
        <v>0</v>
      </c>
      <c r="P238" s="85"/>
      <c r="R238" s="53"/>
      <c r="S238" s="53"/>
    </row>
    <row r="239" spans="1:19" hidden="1" x14ac:dyDescent="0.25">
      <c r="A239" s="76">
        <v>6241</v>
      </c>
      <c r="B239" s="127" t="s">
        <v>255</v>
      </c>
      <c r="C239" s="279">
        <f t="shared" si="27"/>
        <v>0</v>
      </c>
      <c r="D239" s="134">
        <v>0</v>
      </c>
      <c r="E239" s="285"/>
      <c r="F239" s="286">
        <f t="shared" si="31"/>
        <v>0</v>
      </c>
      <c r="G239" s="134"/>
      <c r="H239" s="135"/>
      <c r="I239" s="136">
        <f t="shared" si="32"/>
        <v>0</v>
      </c>
      <c r="J239" s="134">
        <v>0</v>
      </c>
      <c r="K239" s="135"/>
      <c r="L239" s="136">
        <f t="shared" si="33"/>
        <v>0</v>
      </c>
      <c r="M239" s="284"/>
      <c r="N239" s="285"/>
      <c r="O239" s="136">
        <f t="shared" si="34"/>
        <v>0</v>
      </c>
      <c r="P239" s="85"/>
      <c r="R239" s="53"/>
      <c r="S239" s="53"/>
    </row>
    <row r="240" spans="1:19" hidden="1" x14ac:dyDescent="0.25">
      <c r="A240" s="76">
        <v>6242</v>
      </c>
      <c r="B240" s="127" t="s">
        <v>256</v>
      </c>
      <c r="C240" s="279">
        <f t="shared" si="27"/>
        <v>0</v>
      </c>
      <c r="D240" s="134">
        <v>0</v>
      </c>
      <c r="E240" s="285"/>
      <c r="F240" s="286">
        <f t="shared" si="31"/>
        <v>0</v>
      </c>
      <c r="G240" s="134"/>
      <c r="H240" s="135"/>
      <c r="I240" s="136">
        <f t="shared" si="32"/>
        <v>0</v>
      </c>
      <c r="J240" s="134">
        <v>0</v>
      </c>
      <c r="K240" s="135"/>
      <c r="L240" s="136">
        <f t="shared" si="33"/>
        <v>0</v>
      </c>
      <c r="M240" s="284"/>
      <c r="N240" s="285"/>
      <c r="O240" s="136">
        <f t="shared" si="34"/>
        <v>0</v>
      </c>
      <c r="P240" s="85"/>
      <c r="R240" s="53"/>
      <c r="S240" s="53"/>
    </row>
    <row r="241" spans="1:19" ht="24" hidden="1" x14ac:dyDescent="0.25">
      <c r="A241" s="276">
        <v>6250</v>
      </c>
      <c r="B241" s="127" t="s">
        <v>257</v>
      </c>
      <c r="C241" s="279">
        <f t="shared" si="27"/>
        <v>0</v>
      </c>
      <c r="D241" s="277">
        <f>SUM(D242:D246)</f>
        <v>0</v>
      </c>
      <c r="E241" s="282">
        <f>SUM(E242:E246)</f>
        <v>0</v>
      </c>
      <c r="F241" s="286">
        <f t="shared" si="31"/>
        <v>0</v>
      </c>
      <c r="G241" s="277">
        <f>SUM(G242:G246)</f>
        <v>0</v>
      </c>
      <c r="H241" s="280">
        <f>SUM(H242:H246)</f>
        <v>0</v>
      </c>
      <c r="I241" s="136">
        <f t="shared" si="32"/>
        <v>0</v>
      </c>
      <c r="J241" s="277">
        <f>SUM(J242:J246)</f>
        <v>0</v>
      </c>
      <c r="K241" s="280">
        <f>SUM(K242:K246)</f>
        <v>0</v>
      </c>
      <c r="L241" s="136">
        <f t="shared" si="33"/>
        <v>0</v>
      </c>
      <c r="M241" s="281">
        <f>SUM(M242:M246)</f>
        <v>0</v>
      </c>
      <c r="N241" s="282">
        <f>SUM(N242:N246)</f>
        <v>0</v>
      </c>
      <c r="O241" s="136">
        <f t="shared" si="34"/>
        <v>0</v>
      </c>
      <c r="P241" s="85"/>
      <c r="R241" s="53"/>
      <c r="S241" s="53"/>
    </row>
    <row r="242" spans="1:19" hidden="1" x14ac:dyDescent="0.25">
      <c r="A242" s="76">
        <v>6252</v>
      </c>
      <c r="B242" s="127" t="s">
        <v>258</v>
      </c>
      <c r="C242" s="279">
        <f t="shared" si="27"/>
        <v>0</v>
      </c>
      <c r="D242" s="134">
        <v>0</v>
      </c>
      <c r="E242" s="285"/>
      <c r="F242" s="286">
        <f t="shared" si="31"/>
        <v>0</v>
      </c>
      <c r="G242" s="134"/>
      <c r="H242" s="135"/>
      <c r="I242" s="136">
        <f t="shared" si="32"/>
        <v>0</v>
      </c>
      <c r="J242" s="134">
        <v>0</v>
      </c>
      <c r="K242" s="135"/>
      <c r="L242" s="136">
        <f t="shared" si="33"/>
        <v>0</v>
      </c>
      <c r="M242" s="284"/>
      <c r="N242" s="285"/>
      <c r="O242" s="136">
        <f t="shared" si="34"/>
        <v>0</v>
      </c>
      <c r="P242" s="85"/>
      <c r="R242" s="53"/>
      <c r="S242" s="53"/>
    </row>
    <row r="243" spans="1:19" hidden="1" x14ac:dyDescent="0.25">
      <c r="A243" s="76">
        <v>6253</v>
      </c>
      <c r="B243" s="127" t="s">
        <v>259</v>
      </c>
      <c r="C243" s="279">
        <f t="shared" si="27"/>
        <v>0</v>
      </c>
      <c r="D243" s="134">
        <v>0</v>
      </c>
      <c r="E243" s="285"/>
      <c r="F243" s="286">
        <f t="shared" si="31"/>
        <v>0</v>
      </c>
      <c r="G243" s="134"/>
      <c r="H243" s="135"/>
      <c r="I243" s="136">
        <f t="shared" si="32"/>
        <v>0</v>
      </c>
      <c r="J243" s="134">
        <v>0</v>
      </c>
      <c r="K243" s="135"/>
      <c r="L243" s="136">
        <f t="shared" si="33"/>
        <v>0</v>
      </c>
      <c r="M243" s="284"/>
      <c r="N243" s="285"/>
      <c r="O243" s="136">
        <f t="shared" si="34"/>
        <v>0</v>
      </c>
      <c r="P243" s="85"/>
      <c r="R243" s="53"/>
      <c r="S243" s="53"/>
    </row>
    <row r="244" spans="1:19" ht="24" hidden="1" x14ac:dyDescent="0.25">
      <c r="A244" s="76">
        <v>6254</v>
      </c>
      <c r="B244" s="127" t="s">
        <v>260</v>
      </c>
      <c r="C244" s="279">
        <f t="shared" si="27"/>
        <v>0</v>
      </c>
      <c r="D244" s="134">
        <v>0</v>
      </c>
      <c r="E244" s="285"/>
      <c r="F244" s="286">
        <f t="shared" si="31"/>
        <v>0</v>
      </c>
      <c r="G244" s="134"/>
      <c r="H244" s="135"/>
      <c r="I244" s="136">
        <f t="shared" si="32"/>
        <v>0</v>
      </c>
      <c r="J244" s="134">
        <v>0</v>
      </c>
      <c r="K244" s="135"/>
      <c r="L244" s="136">
        <f t="shared" si="33"/>
        <v>0</v>
      </c>
      <c r="M244" s="284"/>
      <c r="N244" s="285"/>
      <c r="O244" s="136">
        <f t="shared" si="34"/>
        <v>0</v>
      </c>
      <c r="P244" s="85"/>
      <c r="R244" s="53"/>
      <c r="S244" s="53"/>
    </row>
    <row r="245" spans="1:19" ht="24" hidden="1" x14ac:dyDescent="0.25">
      <c r="A245" s="76">
        <v>6255</v>
      </c>
      <c r="B245" s="127" t="s">
        <v>261</v>
      </c>
      <c r="C245" s="279">
        <f t="shared" si="27"/>
        <v>0</v>
      </c>
      <c r="D245" s="134">
        <v>0</v>
      </c>
      <c r="E245" s="285"/>
      <c r="F245" s="286">
        <f t="shared" si="31"/>
        <v>0</v>
      </c>
      <c r="G245" s="134"/>
      <c r="H245" s="135"/>
      <c r="I245" s="136">
        <f t="shared" si="32"/>
        <v>0</v>
      </c>
      <c r="J245" s="134">
        <v>0</v>
      </c>
      <c r="K245" s="135"/>
      <c r="L245" s="136">
        <f t="shared" si="33"/>
        <v>0</v>
      </c>
      <c r="M245" s="284"/>
      <c r="N245" s="285"/>
      <c r="O245" s="136">
        <f t="shared" si="34"/>
        <v>0</v>
      </c>
      <c r="P245" s="85"/>
      <c r="R245" s="53"/>
      <c r="S245" s="53"/>
    </row>
    <row r="246" spans="1:19" hidden="1" x14ac:dyDescent="0.25">
      <c r="A246" s="76">
        <v>6259</v>
      </c>
      <c r="B246" s="127" t="s">
        <v>262</v>
      </c>
      <c r="C246" s="279">
        <f t="shared" si="27"/>
        <v>0</v>
      </c>
      <c r="D246" s="134">
        <v>0</v>
      </c>
      <c r="E246" s="285"/>
      <c r="F246" s="286">
        <f t="shared" si="31"/>
        <v>0</v>
      </c>
      <c r="G246" s="134"/>
      <c r="H246" s="135"/>
      <c r="I246" s="136">
        <f t="shared" si="32"/>
        <v>0</v>
      </c>
      <c r="J246" s="134">
        <v>0</v>
      </c>
      <c r="K246" s="135"/>
      <c r="L246" s="136">
        <f t="shared" si="33"/>
        <v>0</v>
      </c>
      <c r="M246" s="284"/>
      <c r="N246" s="285"/>
      <c r="O246" s="136">
        <f t="shared" si="34"/>
        <v>0</v>
      </c>
      <c r="P246" s="85"/>
      <c r="R246" s="53"/>
      <c r="S246" s="53"/>
    </row>
    <row r="247" spans="1:19" ht="24" hidden="1" x14ac:dyDescent="0.25">
      <c r="A247" s="276">
        <v>6260</v>
      </c>
      <c r="B247" s="127" t="s">
        <v>263</v>
      </c>
      <c r="C247" s="279">
        <f t="shared" si="27"/>
        <v>0</v>
      </c>
      <c r="D247" s="134">
        <v>0</v>
      </c>
      <c r="E247" s="285"/>
      <c r="F247" s="286">
        <f t="shared" ref="F247:F299" si="38">D247+E247</f>
        <v>0</v>
      </c>
      <c r="G247" s="134"/>
      <c r="H247" s="135"/>
      <c r="I247" s="136">
        <f t="shared" ref="I247:I299" si="39">G247+H247</f>
        <v>0</v>
      </c>
      <c r="J247" s="134">
        <v>0</v>
      </c>
      <c r="K247" s="135"/>
      <c r="L247" s="136">
        <f t="shared" ref="L247:L299" si="40">J247+K247</f>
        <v>0</v>
      </c>
      <c r="M247" s="284"/>
      <c r="N247" s="285"/>
      <c r="O247" s="136">
        <f t="shared" ref="O247:O276" si="41">M247+N247</f>
        <v>0</v>
      </c>
      <c r="P247" s="85"/>
      <c r="R247" s="53"/>
      <c r="S247" s="53"/>
    </row>
    <row r="248" spans="1:19" hidden="1" x14ac:dyDescent="0.25">
      <c r="A248" s="276">
        <v>6270</v>
      </c>
      <c r="B248" s="127" t="s">
        <v>264</v>
      </c>
      <c r="C248" s="279">
        <f t="shared" si="27"/>
        <v>0</v>
      </c>
      <c r="D248" s="134">
        <v>0</v>
      </c>
      <c r="E248" s="285"/>
      <c r="F248" s="286">
        <f t="shared" si="38"/>
        <v>0</v>
      </c>
      <c r="G248" s="134"/>
      <c r="H248" s="135"/>
      <c r="I248" s="136">
        <f t="shared" si="39"/>
        <v>0</v>
      </c>
      <c r="J248" s="134">
        <v>0</v>
      </c>
      <c r="K248" s="135"/>
      <c r="L248" s="136">
        <f t="shared" si="40"/>
        <v>0</v>
      </c>
      <c r="M248" s="284"/>
      <c r="N248" s="285"/>
      <c r="O248" s="136">
        <f t="shared" si="41"/>
        <v>0</v>
      </c>
      <c r="P248" s="85"/>
      <c r="R248" s="53"/>
      <c r="S248" s="53"/>
    </row>
    <row r="249" spans="1:19" ht="24" hidden="1" x14ac:dyDescent="0.25">
      <c r="A249" s="656">
        <v>6290</v>
      </c>
      <c r="B249" s="116" t="s">
        <v>265</v>
      </c>
      <c r="C249" s="279">
        <f t="shared" si="27"/>
        <v>0</v>
      </c>
      <c r="D249" s="297">
        <f>SUM(D250:D253)</f>
        <v>0</v>
      </c>
      <c r="E249" s="301">
        <f>SUM(E250:E253)</f>
        <v>0</v>
      </c>
      <c r="F249" s="263">
        <f t="shared" si="38"/>
        <v>0</v>
      </c>
      <c r="G249" s="297">
        <f>SUM(G250:G253)</f>
        <v>0</v>
      </c>
      <c r="H249" s="299">
        <f t="shared" ref="H249" si="42">SUM(H250:H253)</f>
        <v>0</v>
      </c>
      <c r="I249" s="125">
        <f t="shared" si="39"/>
        <v>0</v>
      </c>
      <c r="J249" s="297">
        <f>SUM(J250:J253)</f>
        <v>0</v>
      </c>
      <c r="K249" s="299">
        <f t="shared" ref="K249" si="43">SUM(K250:K253)</f>
        <v>0</v>
      </c>
      <c r="L249" s="125">
        <f t="shared" si="40"/>
        <v>0</v>
      </c>
      <c r="M249" s="322">
        <f t="shared" ref="M249:N249" si="44">SUM(M250:M253)</f>
        <v>0</v>
      </c>
      <c r="N249" s="323">
        <f t="shared" si="44"/>
        <v>0</v>
      </c>
      <c r="O249" s="324">
        <f t="shared" si="41"/>
        <v>0</v>
      </c>
      <c r="P249" s="325"/>
      <c r="R249" s="53"/>
      <c r="S249" s="53"/>
    </row>
    <row r="250" spans="1:19" hidden="1" x14ac:dyDescent="0.25">
      <c r="A250" s="76">
        <v>6291</v>
      </c>
      <c r="B250" s="127" t="s">
        <v>266</v>
      </c>
      <c r="C250" s="279">
        <f t="shared" si="27"/>
        <v>0</v>
      </c>
      <c r="D250" s="134">
        <v>0</v>
      </c>
      <c r="E250" s="285"/>
      <c r="F250" s="286">
        <f t="shared" si="38"/>
        <v>0</v>
      </c>
      <c r="G250" s="134"/>
      <c r="H250" s="135"/>
      <c r="I250" s="136">
        <f t="shared" si="39"/>
        <v>0</v>
      </c>
      <c r="J250" s="134">
        <v>0</v>
      </c>
      <c r="K250" s="135"/>
      <c r="L250" s="136">
        <f t="shared" si="40"/>
        <v>0</v>
      </c>
      <c r="M250" s="284"/>
      <c r="N250" s="285"/>
      <c r="O250" s="136">
        <f t="shared" si="41"/>
        <v>0</v>
      </c>
      <c r="P250" s="85"/>
      <c r="R250" s="53"/>
      <c r="S250" s="53"/>
    </row>
    <row r="251" spans="1:19" hidden="1" x14ac:dyDescent="0.25">
      <c r="A251" s="76">
        <v>6292</v>
      </c>
      <c r="B251" s="127" t="s">
        <v>267</v>
      </c>
      <c r="C251" s="279">
        <f t="shared" si="27"/>
        <v>0</v>
      </c>
      <c r="D251" s="134">
        <v>0</v>
      </c>
      <c r="E251" s="285"/>
      <c r="F251" s="286">
        <f t="shared" si="38"/>
        <v>0</v>
      </c>
      <c r="G251" s="134"/>
      <c r="H251" s="135"/>
      <c r="I251" s="136">
        <f t="shared" si="39"/>
        <v>0</v>
      </c>
      <c r="J251" s="134">
        <v>0</v>
      </c>
      <c r="K251" s="135"/>
      <c r="L251" s="136">
        <f t="shared" si="40"/>
        <v>0</v>
      </c>
      <c r="M251" s="284"/>
      <c r="N251" s="285"/>
      <c r="O251" s="136">
        <f t="shared" si="41"/>
        <v>0</v>
      </c>
      <c r="P251" s="85"/>
      <c r="R251" s="53"/>
      <c r="S251" s="53"/>
    </row>
    <row r="252" spans="1:19" ht="72" hidden="1" x14ac:dyDescent="0.25">
      <c r="A252" s="76">
        <v>6296</v>
      </c>
      <c r="B252" s="127" t="s">
        <v>268</v>
      </c>
      <c r="C252" s="279">
        <f t="shared" si="27"/>
        <v>0</v>
      </c>
      <c r="D252" s="134">
        <v>0</v>
      </c>
      <c r="E252" s="285"/>
      <c r="F252" s="286">
        <f t="shared" si="38"/>
        <v>0</v>
      </c>
      <c r="G252" s="134"/>
      <c r="H252" s="135"/>
      <c r="I252" s="136">
        <f t="shared" si="39"/>
        <v>0</v>
      </c>
      <c r="J252" s="134">
        <v>0</v>
      </c>
      <c r="K252" s="135"/>
      <c r="L252" s="136">
        <f t="shared" si="40"/>
        <v>0</v>
      </c>
      <c r="M252" s="284"/>
      <c r="N252" s="285"/>
      <c r="O252" s="136">
        <f t="shared" si="41"/>
        <v>0</v>
      </c>
      <c r="P252" s="85"/>
      <c r="R252" s="53"/>
      <c r="S252" s="53"/>
    </row>
    <row r="253" spans="1:19" ht="36" hidden="1" x14ac:dyDescent="0.25">
      <c r="A253" s="76">
        <v>6299</v>
      </c>
      <c r="B253" s="127" t="s">
        <v>269</v>
      </c>
      <c r="C253" s="279">
        <f t="shared" si="27"/>
        <v>0</v>
      </c>
      <c r="D253" s="134">
        <v>0</v>
      </c>
      <c r="E253" s="285"/>
      <c r="F253" s="286">
        <f t="shared" si="38"/>
        <v>0</v>
      </c>
      <c r="G253" s="134"/>
      <c r="H253" s="135"/>
      <c r="I253" s="136">
        <f t="shared" si="39"/>
        <v>0</v>
      </c>
      <c r="J253" s="134">
        <v>0</v>
      </c>
      <c r="K253" s="135"/>
      <c r="L253" s="136">
        <f t="shared" si="40"/>
        <v>0</v>
      </c>
      <c r="M253" s="284"/>
      <c r="N253" s="285"/>
      <c r="O253" s="136">
        <f t="shared" si="41"/>
        <v>0</v>
      </c>
      <c r="P253" s="85"/>
      <c r="R253" s="53"/>
      <c r="S253" s="53"/>
    </row>
    <row r="254" spans="1:19" hidden="1" x14ac:dyDescent="0.25">
      <c r="A254" s="99">
        <v>6300</v>
      </c>
      <c r="B254" s="247" t="s">
        <v>270</v>
      </c>
      <c r="C254" s="249">
        <f t="shared" si="27"/>
        <v>0</v>
      </c>
      <c r="D254" s="112">
        <f>SUM(D255,D259,D260)</f>
        <v>0</v>
      </c>
      <c r="E254" s="293">
        <f>SUM(E255,E259,E260)</f>
        <v>0</v>
      </c>
      <c r="F254" s="313">
        <f t="shared" si="38"/>
        <v>0</v>
      </c>
      <c r="G254" s="112">
        <f>SUM(G255,G259,G260)</f>
        <v>0</v>
      </c>
      <c r="H254" s="113">
        <f t="shared" ref="H254" si="45">SUM(H255,H259,H260)</f>
        <v>0</v>
      </c>
      <c r="I254" s="114">
        <f t="shared" si="39"/>
        <v>0</v>
      </c>
      <c r="J254" s="112">
        <f>SUM(J255,J259,J260)</f>
        <v>0</v>
      </c>
      <c r="K254" s="113">
        <f t="shared" ref="K254" si="46">SUM(K255,K259,K260)</f>
        <v>0</v>
      </c>
      <c r="L254" s="114">
        <f t="shared" si="40"/>
        <v>0</v>
      </c>
      <c r="M254" s="303">
        <f t="shared" ref="M254:N254" si="47">SUM(M255,M259,M260)</f>
        <v>0</v>
      </c>
      <c r="N254" s="304">
        <f t="shared" si="47"/>
        <v>0</v>
      </c>
      <c r="O254" s="305">
        <f t="shared" si="41"/>
        <v>0</v>
      </c>
      <c r="P254" s="306"/>
      <c r="R254" s="53"/>
      <c r="S254" s="53"/>
    </row>
    <row r="255" spans="1:19" ht="24" hidden="1" x14ac:dyDescent="0.25">
      <c r="A255" s="656">
        <v>6320</v>
      </c>
      <c r="B255" s="116" t="s">
        <v>271</v>
      </c>
      <c r="C255" s="647">
        <f t="shared" si="27"/>
        <v>0</v>
      </c>
      <c r="D255" s="297">
        <f>SUM(D256:D258)</f>
        <v>0</v>
      </c>
      <c r="E255" s="301">
        <f>SUM(E256:E258)</f>
        <v>0</v>
      </c>
      <c r="F255" s="263">
        <f t="shared" si="38"/>
        <v>0</v>
      </c>
      <c r="G255" s="297">
        <f>SUM(G256:G258)</f>
        <v>0</v>
      </c>
      <c r="H255" s="299">
        <f t="shared" ref="H255" si="48">SUM(H256:H258)</f>
        <v>0</v>
      </c>
      <c r="I255" s="125">
        <f t="shared" si="39"/>
        <v>0</v>
      </c>
      <c r="J255" s="297">
        <f>SUM(J256:J258)</f>
        <v>0</v>
      </c>
      <c r="K255" s="299">
        <f t="shared" ref="K255" si="49">SUM(K256:K258)</f>
        <v>0</v>
      </c>
      <c r="L255" s="125">
        <f t="shared" si="40"/>
        <v>0</v>
      </c>
      <c r="M255" s="300">
        <f t="shared" ref="M255:N255" si="50">SUM(M256:M258)</f>
        <v>0</v>
      </c>
      <c r="N255" s="301">
        <f t="shared" si="50"/>
        <v>0</v>
      </c>
      <c r="O255" s="125">
        <f t="shared" si="41"/>
        <v>0</v>
      </c>
      <c r="P255" s="74"/>
      <c r="R255" s="53"/>
      <c r="S255" s="53"/>
    </row>
    <row r="256" spans="1:19" hidden="1" x14ac:dyDescent="0.25">
      <c r="A256" s="76">
        <v>6322</v>
      </c>
      <c r="B256" s="127" t="s">
        <v>272</v>
      </c>
      <c r="C256" s="279">
        <f t="shared" si="27"/>
        <v>0</v>
      </c>
      <c r="D256" s="134">
        <v>0</v>
      </c>
      <c r="E256" s="285"/>
      <c r="F256" s="286">
        <f t="shared" si="38"/>
        <v>0</v>
      </c>
      <c r="G256" s="134"/>
      <c r="H256" s="135"/>
      <c r="I256" s="136">
        <f t="shared" si="39"/>
        <v>0</v>
      </c>
      <c r="J256" s="134">
        <v>0</v>
      </c>
      <c r="K256" s="135"/>
      <c r="L256" s="136">
        <f t="shared" si="40"/>
        <v>0</v>
      </c>
      <c r="M256" s="284"/>
      <c r="N256" s="285"/>
      <c r="O256" s="136">
        <f t="shared" si="41"/>
        <v>0</v>
      </c>
      <c r="P256" s="85"/>
      <c r="R256" s="53"/>
      <c r="S256" s="53"/>
    </row>
    <row r="257" spans="1:19" ht="24" hidden="1" x14ac:dyDescent="0.25">
      <c r="A257" s="76">
        <v>6323</v>
      </c>
      <c r="B257" s="127" t="s">
        <v>273</v>
      </c>
      <c r="C257" s="279">
        <f t="shared" si="27"/>
        <v>0</v>
      </c>
      <c r="D257" s="134">
        <v>0</v>
      </c>
      <c r="E257" s="285"/>
      <c r="F257" s="286">
        <f t="shared" si="38"/>
        <v>0</v>
      </c>
      <c r="G257" s="134"/>
      <c r="H257" s="135"/>
      <c r="I257" s="136">
        <f t="shared" si="39"/>
        <v>0</v>
      </c>
      <c r="J257" s="134">
        <v>0</v>
      </c>
      <c r="K257" s="135"/>
      <c r="L257" s="136">
        <f t="shared" si="40"/>
        <v>0</v>
      </c>
      <c r="M257" s="284"/>
      <c r="N257" s="285"/>
      <c r="O257" s="136">
        <f t="shared" si="41"/>
        <v>0</v>
      </c>
      <c r="P257" s="85"/>
      <c r="R257" s="53"/>
      <c r="S257" s="53"/>
    </row>
    <row r="258" spans="1:19" ht="24" hidden="1" x14ac:dyDescent="0.25">
      <c r="A258" s="66">
        <v>6324</v>
      </c>
      <c r="B258" s="116" t="s">
        <v>274</v>
      </c>
      <c r="C258" s="279">
        <f t="shared" si="27"/>
        <v>0</v>
      </c>
      <c r="D258" s="123">
        <v>0</v>
      </c>
      <c r="E258" s="262"/>
      <c r="F258" s="263">
        <f t="shared" si="38"/>
        <v>0</v>
      </c>
      <c r="G258" s="123"/>
      <c r="H258" s="124"/>
      <c r="I258" s="125">
        <f t="shared" si="39"/>
        <v>0</v>
      </c>
      <c r="J258" s="123">
        <v>0</v>
      </c>
      <c r="K258" s="124"/>
      <c r="L258" s="125">
        <f t="shared" si="40"/>
        <v>0</v>
      </c>
      <c r="M258" s="264"/>
      <c r="N258" s="262"/>
      <c r="O258" s="125">
        <f t="shared" si="41"/>
        <v>0</v>
      </c>
      <c r="P258" s="74"/>
      <c r="R258" s="53"/>
      <c r="S258" s="53"/>
    </row>
    <row r="259" spans="1:19" ht="24" hidden="1" x14ac:dyDescent="0.25">
      <c r="A259" s="344">
        <v>6330</v>
      </c>
      <c r="B259" s="345" t="s">
        <v>275</v>
      </c>
      <c r="C259" s="279">
        <f t="shared" ref="C259:C286" si="51">F259+I259+L259+O259</f>
        <v>0</v>
      </c>
      <c r="D259" s="328">
        <v>0</v>
      </c>
      <c r="E259" s="329"/>
      <c r="F259" s="330">
        <f t="shared" si="38"/>
        <v>0</v>
      </c>
      <c r="G259" s="328"/>
      <c r="H259" s="331"/>
      <c r="I259" s="324">
        <f t="shared" si="39"/>
        <v>0</v>
      </c>
      <c r="J259" s="328">
        <v>0</v>
      </c>
      <c r="K259" s="331"/>
      <c r="L259" s="324">
        <f t="shared" si="40"/>
        <v>0</v>
      </c>
      <c r="M259" s="332"/>
      <c r="N259" s="329"/>
      <c r="O259" s="324">
        <f t="shared" si="41"/>
        <v>0</v>
      </c>
      <c r="P259" s="325"/>
      <c r="R259" s="53"/>
      <c r="S259" s="53"/>
    </row>
    <row r="260" spans="1:19" hidden="1" x14ac:dyDescent="0.25">
      <c r="A260" s="276">
        <v>6360</v>
      </c>
      <c r="B260" s="127" t="s">
        <v>276</v>
      </c>
      <c r="C260" s="279">
        <f t="shared" si="51"/>
        <v>0</v>
      </c>
      <c r="D260" s="134">
        <v>0</v>
      </c>
      <c r="E260" s="285"/>
      <c r="F260" s="286">
        <f t="shared" si="38"/>
        <v>0</v>
      </c>
      <c r="G260" s="134"/>
      <c r="H260" s="135"/>
      <c r="I260" s="136">
        <f t="shared" si="39"/>
        <v>0</v>
      </c>
      <c r="J260" s="134">
        <v>0</v>
      </c>
      <c r="K260" s="135"/>
      <c r="L260" s="136">
        <f t="shared" si="40"/>
        <v>0</v>
      </c>
      <c r="M260" s="284"/>
      <c r="N260" s="285"/>
      <c r="O260" s="136">
        <f t="shared" si="41"/>
        <v>0</v>
      </c>
      <c r="P260" s="85"/>
      <c r="R260" s="53"/>
      <c r="S260" s="53"/>
    </row>
    <row r="261" spans="1:19" ht="36" x14ac:dyDescent="0.25">
      <c r="A261" s="99">
        <v>6400</v>
      </c>
      <c r="B261" s="247" t="s">
        <v>277</v>
      </c>
      <c r="C261" s="249">
        <f t="shared" si="51"/>
        <v>16897</v>
      </c>
      <c r="D261" s="112">
        <f>SUM(D262,D266)</f>
        <v>16897</v>
      </c>
      <c r="E261" s="293">
        <f>SUM(E262,E266)</f>
        <v>0</v>
      </c>
      <c r="F261" s="313">
        <f t="shared" si="38"/>
        <v>16897</v>
      </c>
      <c r="G261" s="112">
        <f>SUM(G262,G266)</f>
        <v>0</v>
      </c>
      <c r="H261" s="113">
        <f t="shared" ref="H261" si="52">SUM(H262,H266)</f>
        <v>0</v>
      </c>
      <c r="I261" s="114">
        <f t="shared" si="39"/>
        <v>0</v>
      </c>
      <c r="J261" s="112">
        <f>SUM(J262,J266)</f>
        <v>0</v>
      </c>
      <c r="K261" s="113">
        <f t="shared" ref="K261" si="53">SUM(K262,K266)</f>
        <v>0</v>
      </c>
      <c r="L261" s="114">
        <f t="shared" si="40"/>
        <v>0</v>
      </c>
      <c r="M261" s="303">
        <f t="shared" ref="M261:N261" si="54">SUM(M262,M266)</f>
        <v>0</v>
      </c>
      <c r="N261" s="304">
        <f t="shared" si="54"/>
        <v>0</v>
      </c>
      <c r="O261" s="305">
        <f t="shared" si="41"/>
        <v>0</v>
      </c>
      <c r="P261" s="306"/>
      <c r="R261" s="53"/>
      <c r="S261" s="53"/>
    </row>
    <row r="262" spans="1:19" ht="24" hidden="1" x14ac:dyDescent="0.25">
      <c r="A262" s="656">
        <v>6410</v>
      </c>
      <c r="B262" s="116" t="s">
        <v>278</v>
      </c>
      <c r="C262" s="296">
        <f t="shared" si="51"/>
        <v>0</v>
      </c>
      <c r="D262" s="297">
        <f>SUM(D263:D265)</f>
        <v>0</v>
      </c>
      <c r="E262" s="301">
        <f>SUM(E263:E265)</f>
        <v>0</v>
      </c>
      <c r="F262" s="263">
        <f t="shared" si="38"/>
        <v>0</v>
      </c>
      <c r="G262" s="297">
        <f>SUM(G263:G265)</f>
        <v>0</v>
      </c>
      <c r="H262" s="299">
        <f t="shared" ref="H262" si="55">SUM(H263:H265)</f>
        <v>0</v>
      </c>
      <c r="I262" s="125">
        <f t="shared" si="39"/>
        <v>0</v>
      </c>
      <c r="J262" s="297">
        <f>SUM(J263:J265)</f>
        <v>0</v>
      </c>
      <c r="K262" s="299">
        <f t="shared" ref="K262" si="56">SUM(K263:K265)</f>
        <v>0</v>
      </c>
      <c r="L262" s="125">
        <f t="shared" si="40"/>
        <v>0</v>
      </c>
      <c r="M262" s="317">
        <f t="shared" ref="M262:N262" si="57">SUM(M263:M265)</f>
        <v>0</v>
      </c>
      <c r="N262" s="318">
        <f t="shared" si="57"/>
        <v>0</v>
      </c>
      <c r="O262" s="151">
        <f t="shared" si="41"/>
        <v>0</v>
      </c>
      <c r="P262" s="153"/>
      <c r="R262" s="53"/>
      <c r="S262" s="53"/>
    </row>
    <row r="263" spans="1:19" hidden="1" x14ac:dyDescent="0.25">
      <c r="A263" s="76">
        <v>6411</v>
      </c>
      <c r="B263" s="346" t="s">
        <v>279</v>
      </c>
      <c r="C263" s="279">
        <f t="shared" si="51"/>
        <v>0</v>
      </c>
      <c r="D263" s="134">
        <v>0</v>
      </c>
      <c r="E263" s="285"/>
      <c r="F263" s="286">
        <f t="shared" si="38"/>
        <v>0</v>
      </c>
      <c r="G263" s="134"/>
      <c r="H263" s="135"/>
      <c r="I263" s="136">
        <f t="shared" si="39"/>
        <v>0</v>
      </c>
      <c r="J263" s="134">
        <v>0</v>
      </c>
      <c r="K263" s="135"/>
      <c r="L263" s="136">
        <f t="shared" si="40"/>
        <v>0</v>
      </c>
      <c r="M263" s="284"/>
      <c r="N263" s="285"/>
      <c r="O263" s="136">
        <f t="shared" si="41"/>
        <v>0</v>
      </c>
      <c r="P263" s="85"/>
      <c r="R263" s="53"/>
      <c r="S263" s="53"/>
    </row>
    <row r="264" spans="1:19" ht="36" hidden="1" x14ac:dyDescent="0.25">
      <c r="A264" s="76">
        <v>6412</v>
      </c>
      <c r="B264" s="127" t="s">
        <v>280</v>
      </c>
      <c r="C264" s="279">
        <f t="shared" si="51"/>
        <v>0</v>
      </c>
      <c r="D264" s="134">
        <v>0</v>
      </c>
      <c r="E264" s="285"/>
      <c r="F264" s="286">
        <f t="shared" si="38"/>
        <v>0</v>
      </c>
      <c r="G264" s="134"/>
      <c r="H264" s="135"/>
      <c r="I264" s="136">
        <f t="shared" si="39"/>
        <v>0</v>
      </c>
      <c r="J264" s="134">
        <v>0</v>
      </c>
      <c r="K264" s="135"/>
      <c r="L264" s="136">
        <f t="shared" si="40"/>
        <v>0</v>
      </c>
      <c r="M264" s="284"/>
      <c r="N264" s="285"/>
      <c r="O264" s="136">
        <f t="shared" si="41"/>
        <v>0</v>
      </c>
      <c r="P264" s="85"/>
      <c r="R264" s="53"/>
      <c r="S264" s="53"/>
    </row>
    <row r="265" spans="1:19" ht="36" hidden="1" x14ac:dyDescent="0.25">
      <c r="A265" s="76">
        <v>6419</v>
      </c>
      <c r="B265" s="127" t="s">
        <v>281</v>
      </c>
      <c r="C265" s="279">
        <f t="shared" si="51"/>
        <v>0</v>
      </c>
      <c r="D265" s="134">
        <v>0</v>
      </c>
      <c r="E265" s="285"/>
      <c r="F265" s="286">
        <f t="shared" si="38"/>
        <v>0</v>
      </c>
      <c r="G265" s="134"/>
      <c r="H265" s="135"/>
      <c r="I265" s="136">
        <f t="shared" si="39"/>
        <v>0</v>
      </c>
      <c r="J265" s="134">
        <v>0</v>
      </c>
      <c r="K265" s="135"/>
      <c r="L265" s="136">
        <f t="shared" si="40"/>
        <v>0</v>
      </c>
      <c r="M265" s="284"/>
      <c r="N265" s="285"/>
      <c r="O265" s="136">
        <f t="shared" si="41"/>
        <v>0</v>
      </c>
      <c r="P265" s="85"/>
      <c r="R265" s="53"/>
      <c r="S265" s="53"/>
    </row>
    <row r="266" spans="1:19" ht="36" x14ac:dyDescent="0.25">
      <c r="A266" s="276">
        <v>6420</v>
      </c>
      <c r="B266" s="127" t="s">
        <v>282</v>
      </c>
      <c r="C266" s="279">
        <f t="shared" si="51"/>
        <v>16897</v>
      </c>
      <c r="D266" s="277">
        <f>SUM(D267:D270)</f>
        <v>16897</v>
      </c>
      <c r="E266" s="282">
        <f>SUM(E267:E270)</f>
        <v>0</v>
      </c>
      <c r="F266" s="286">
        <f t="shared" si="38"/>
        <v>16897</v>
      </c>
      <c r="G266" s="277">
        <f>SUM(G267:G270)</f>
        <v>0</v>
      </c>
      <c r="H266" s="280">
        <f>SUM(H267:H270)</f>
        <v>0</v>
      </c>
      <c r="I266" s="136">
        <f t="shared" si="39"/>
        <v>0</v>
      </c>
      <c r="J266" s="277">
        <f>SUM(J267:J270)</f>
        <v>0</v>
      </c>
      <c r="K266" s="280">
        <f>SUM(K267:K270)</f>
        <v>0</v>
      </c>
      <c r="L266" s="136">
        <f t="shared" si="40"/>
        <v>0</v>
      </c>
      <c r="M266" s="281">
        <f>SUM(M267:M270)</f>
        <v>0</v>
      </c>
      <c r="N266" s="282">
        <f>SUM(N267:N270)</f>
        <v>0</v>
      </c>
      <c r="O266" s="136">
        <f t="shared" si="41"/>
        <v>0</v>
      </c>
      <c r="P266" s="85"/>
      <c r="R266" s="53"/>
      <c r="S266" s="53"/>
    </row>
    <row r="267" spans="1:19" hidden="1" x14ac:dyDescent="0.25">
      <c r="A267" s="76">
        <v>6421</v>
      </c>
      <c r="B267" s="127" t="s">
        <v>283</v>
      </c>
      <c r="C267" s="279">
        <f t="shared" si="51"/>
        <v>0</v>
      </c>
      <c r="D267" s="134">
        <v>0</v>
      </c>
      <c r="E267" s="285"/>
      <c r="F267" s="286">
        <f t="shared" si="38"/>
        <v>0</v>
      </c>
      <c r="G267" s="134"/>
      <c r="H267" s="135"/>
      <c r="I267" s="136">
        <f t="shared" si="39"/>
        <v>0</v>
      </c>
      <c r="J267" s="134">
        <v>0</v>
      </c>
      <c r="K267" s="135"/>
      <c r="L267" s="136">
        <f t="shared" si="40"/>
        <v>0</v>
      </c>
      <c r="M267" s="284"/>
      <c r="N267" s="285"/>
      <c r="O267" s="136">
        <f t="shared" si="41"/>
        <v>0</v>
      </c>
      <c r="P267" s="85"/>
      <c r="R267" s="53"/>
      <c r="S267" s="53"/>
    </row>
    <row r="268" spans="1:19" ht="14.25" customHeight="1" x14ac:dyDescent="0.25">
      <c r="A268" s="76">
        <v>6422</v>
      </c>
      <c r="B268" s="127" t="s">
        <v>284</v>
      </c>
      <c r="C268" s="279">
        <f t="shared" si="51"/>
        <v>16897</v>
      </c>
      <c r="D268" s="134">
        <f>13000+3897</f>
        <v>16897</v>
      </c>
      <c r="E268" s="285"/>
      <c r="F268" s="286">
        <f t="shared" si="38"/>
        <v>16897</v>
      </c>
      <c r="G268" s="134"/>
      <c r="H268" s="135"/>
      <c r="I268" s="136">
        <f t="shared" si="39"/>
        <v>0</v>
      </c>
      <c r="J268" s="134">
        <v>0</v>
      </c>
      <c r="K268" s="135"/>
      <c r="L268" s="136">
        <f t="shared" si="40"/>
        <v>0</v>
      </c>
      <c r="M268" s="284"/>
      <c r="N268" s="285"/>
      <c r="O268" s="136">
        <f t="shared" si="41"/>
        <v>0</v>
      </c>
      <c r="P268" s="85"/>
      <c r="R268" s="53"/>
      <c r="S268" s="53"/>
    </row>
    <row r="269" spans="1:19" ht="24" hidden="1" x14ac:dyDescent="0.25">
      <c r="A269" s="76">
        <v>6423</v>
      </c>
      <c r="B269" s="127" t="s">
        <v>285</v>
      </c>
      <c r="C269" s="279">
        <f t="shared" si="51"/>
        <v>0</v>
      </c>
      <c r="D269" s="134">
        <v>0</v>
      </c>
      <c r="E269" s="285"/>
      <c r="F269" s="286">
        <f t="shared" si="38"/>
        <v>0</v>
      </c>
      <c r="G269" s="134"/>
      <c r="H269" s="135"/>
      <c r="I269" s="136">
        <f t="shared" si="39"/>
        <v>0</v>
      </c>
      <c r="J269" s="134">
        <v>0</v>
      </c>
      <c r="K269" s="135"/>
      <c r="L269" s="136">
        <f t="shared" si="40"/>
        <v>0</v>
      </c>
      <c r="M269" s="284"/>
      <c r="N269" s="285"/>
      <c r="O269" s="136">
        <f t="shared" si="41"/>
        <v>0</v>
      </c>
      <c r="P269" s="85"/>
      <c r="R269" s="53"/>
      <c r="S269" s="53"/>
    </row>
    <row r="270" spans="1:19" ht="36" hidden="1" x14ac:dyDescent="0.25">
      <c r="A270" s="76">
        <v>6424</v>
      </c>
      <c r="B270" s="127" t="s">
        <v>286</v>
      </c>
      <c r="C270" s="279">
        <f t="shared" si="51"/>
        <v>0</v>
      </c>
      <c r="D270" s="134">
        <v>0</v>
      </c>
      <c r="E270" s="285"/>
      <c r="F270" s="286">
        <f t="shared" si="38"/>
        <v>0</v>
      </c>
      <c r="G270" s="134"/>
      <c r="H270" s="135"/>
      <c r="I270" s="136">
        <f t="shared" si="39"/>
        <v>0</v>
      </c>
      <c r="J270" s="134">
        <v>0</v>
      </c>
      <c r="K270" s="135"/>
      <c r="L270" s="136">
        <f t="shared" si="40"/>
        <v>0</v>
      </c>
      <c r="M270" s="284"/>
      <c r="N270" s="285"/>
      <c r="O270" s="136">
        <f t="shared" si="41"/>
        <v>0</v>
      </c>
      <c r="P270" s="85"/>
      <c r="R270" s="53"/>
      <c r="S270" s="53"/>
    </row>
    <row r="271" spans="1:19" ht="36" hidden="1" x14ac:dyDescent="0.25">
      <c r="A271" s="347">
        <v>7000</v>
      </c>
      <c r="B271" s="347" t="s">
        <v>287</v>
      </c>
      <c r="C271" s="351">
        <f t="shared" si="51"/>
        <v>0</v>
      </c>
      <c r="D271" s="349">
        <f>SUM(D272,D282)</f>
        <v>0</v>
      </c>
      <c r="E271" s="407">
        <f>SUM(E272,E282)</f>
        <v>0</v>
      </c>
      <c r="F271" s="408">
        <f t="shared" si="38"/>
        <v>0</v>
      </c>
      <c r="G271" s="349">
        <f>SUM(G272,G282)</f>
        <v>0</v>
      </c>
      <c r="H271" s="352">
        <f>SUM(H272,H282)</f>
        <v>0</v>
      </c>
      <c r="I271" s="353">
        <f t="shared" si="39"/>
        <v>0</v>
      </c>
      <c r="J271" s="349">
        <f>SUM(J272,J282)</f>
        <v>0</v>
      </c>
      <c r="K271" s="352">
        <f>SUM(K272,K282)</f>
        <v>0</v>
      </c>
      <c r="L271" s="353">
        <f t="shared" si="40"/>
        <v>0</v>
      </c>
      <c r="M271" s="354">
        <f>SUM(M272,M282)</f>
        <v>0</v>
      </c>
      <c r="N271" s="355">
        <f>SUM(N272,N282)</f>
        <v>0</v>
      </c>
      <c r="O271" s="356">
        <f t="shared" si="41"/>
        <v>0</v>
      </c>
      <c r="P271" s="357"/>
      <c r="R271" s="53"/>
      <c r="S271" s="53"/>
    </row>
    <row r="272" spans="1:19" ht="24" hidden="1" x14ac:dyDescent="0.25">
      <c r="A272" s="99">
        <v>7200</v>
      </c>
      <c r="B272" s="247" t="s">
        <v>288</v>
      </c>
      <c r="C272" s="249">
        <f t="shared" si="51"/>
        <v>0</v>
      </c>
      <c r="D272" s="112">
        <f>SUM(D273,D274,D277,D278,D281)</f>
        <v>0</v>
      </c>
      <c r="E272" s="293">
        <f>SUM(E273,E274,E277,E278,E281)</f>
        <v>0</v>
      </c>
      <c r="F272" s="313">
        <f t="shared" si="38"/>
        <v>0</v>
      </c>
      <c r="G272" s="112">
        <f>SUM(G273,G274,G277,G278,G281)</f>
        <v>0</v>
      </c>
      <c r="H272" s="113">
        <f>SUM(H273,H274,H277,H278,H281)</f>
        <v>0</v>
      </c>
      <c r="I272" s="114">
        <f t="shared" si="39"/>
        <v>0</v>
      </c>
      <c r="J272" s="112">
        <f>SUM(J273,J274,J277,J278,J281)</f>
        <v>0</v>
      </c>
      <c r="K272" s="113">
        <f>SUM(K273,K274,K277,K278,K281)</f>
        <v>0</v>
      </c>
      <c r="L272" s="114">
        <f t="shared" si="40"/>
        <v>0</v>
      </c>
      <c r="M272" s="250">
        <f>SUM(M273,M274,M277,M278,M281)</f>
        <v>0</v>
      </c>
      <c r="N272" s="251">
        <f>SUM(N273,N274,N277,N278,N281)</f>
        <v>0</v>
      </c>
      <c r="O272" s="252">
        <f t="shared" si="41"/>
        <v>0</v>
      </c>
      <c r="P272" s="253"/>
      <c r="R272" s="53"/>
      <c r="S272" s="53"/>
    </row>
    <row r="273" spans="1:19" ht="24" hidden="1" x14ac:dyDescent="0.25">
      <c r="A273" s="656">
        <v>7210</v>
      </c>
      <c r="B273" s="116" t="s">
        <v>289</v>
      </c>
      <c r="C273" s="296">
        <f t="shared" si="51"/>
        <v>0</v>
      </c>
      <c r="D273" s="123">
        <v>0</v>
      </c>
      <c r="E273" s="262"/>
      <c r="F273" s="263">
        <f t="shared" si="38"/>
        <v>0</v>
      </c>
      <c r="G273" s="123"/>
      <c r="H273" s="124"/>
      <c r="I273" s="125">
        <f t="shared" si="39"/>
        <v>0</v>
      </c>
      <c r="J273" s="123">
        <v>0</v>
      </c>
      <c r="K273" s="124"/>
      <c r="L273" s="125">
        <f t="shared" si="40"/>
        <v>0</v>
      </c>
      <c r="M273" s="264"/>
      <c r="N273" s="262"/>
      <c r="O273" s="125">
        <f t="shared" si="41"/>
        <v>0</v>
      </c>
      <c r="P273" s="74"/>
      <c r="R273" s="53"/>
      <c r="S273" s="53"/>
    </row>
    <row r="274" spans="1:19" s="358" customFormat="1" ht="36" hidden="1" x14ac:dyDescent="0.25">
      <c r="A274" s="276">
        <v>7220</v>
      </c>
      <c r="B274" s="127" t="s">
        <v>290</v>
      </c>
      <c r="C274" s="279">
        <f t="shared" si="51"/>
        <v>0</v>
      </c>
      <c r="D274" s="277">
        <f>SUM(D275:D276)</f>
        <v>0</v>
      </c>
      <c r="E274" s="282">
        <f>SUM(E275:E276)</f>
        <v>0</v>
      </c>
      <c r="F274" s="286">
        <f t="shared" si="38"/>
        <v>0</v>
      </c>
      <c r="G274" s="277">
        <f>SUM(G275:G276)</f>
        <v>0</v>
      </c>
      <c r="H274" s="280">
        <f>SUM(H275:H276)</f>
        <v>0</v>
      </c>
      <c r="I274" s="136">
        <f t="shared" si="39"/>
        <v>0</v>
      </c>
      <c r="J274" s="277">
        <f>SUM(J275:J276)</f>
        <v>0</v>
      </c>
      <c r="K274" s="280">
        <f>SUM(K275:K276)</f>
        <v>0</v>
      </c>
      <c r="L274" s="136">
        <f t="shared" si="40"/>
        <v>0</v>
      </c>
      <c r="M274" s="281">
        <f>SUM(M275:M276)</f>
        <v>0</v>
      </c>
      <c r="N274" s="282">
        <f>SUM(N275:N276)</f>
        <v>0</v>
      </c>
      <c r="O274" s="136">
        <f t="shared" si="41"/>
        <v>0</v>
      </c>
      <c r="P274" s="85"/>
      <c r="R274" s="53"/>
      <c r="S274" s="53"/>
    </row>
    <row r="275" spans="1:19" s="358" customFormat="1" ht="36" hidden="1" x14ac:dyDescent="0.25">
      <c r="A275" s="76">
        <v>7221</v>
      </c>
      <c r="B275" s="127" t="s">
        <v>291</v>
      </c>
      <c r="C275" s="279">
        <f t="shared" si="51"/>
        <v>0</v>
      </c>
      <c r="D275" s="134">
        <v>0</v>
      </c>
      <c r="E275" s="285"/>
      <c r="F275" s="286">
        <f t="shared" si="38"/>
        <v>0</v>
      </c>
      <c r="G275" s="134"/>
      <c r="H275" s="135"/>
      <c r="I275" s="136">
        <f t="shared" si="39"/>
        <v>0</v>
      </c>
      <c r="J275" s="134">
        <v>0</v>
      </c>
      <c r="K275" s="135"/>
      <c r="L275" s="136">
        <f t="shared" si="40"/>
        <v>0</v>
      </c>
      <c r="M275" s="284"/>
      <c r="N275" s="285"/>
      <c r="O275" s="136">
        <f t="shared" si="41"/>
        <v>0</v>
      </c>
      <c r="P275" s="85"/>
      <c r="R275" s="53"/>
      <c r="S275" s="53"/>
    </row>
    <row r="276" spans="1:19" s="358" customFormat="1" ht="36" hidden="1" x14ac:dyDescent="0.25">
      <c r="A276" s="76">
        <v>7222</v>
      </c>
      <c r="B276" s="127" t="s">
        <v>292</v>
      </c>
      <c r="C276" s="279">
        <f t="shared" si="51"/>
        <v>0</v>
      </c>
      <c r="D276" s="134">
        <v>0</v>
      </c>
      <c r="E276" s="285"/>
      <c r="F276" s="286">
        <f t="shared" si="38"/>
        <v>0</v>
      </c>
      <c r="G276" s="134"/>
      <c r="H276" s="135"/>
      <c r="I276" s="136">
        <f t="shared" si="39"/>
        <v>0</v>
      </c>
      <c r="J276" s="134">
        <v>0</v>
      </c>
      <c r="K276" s="135"/>
      <c r="L276" s="136">
        <f t="shared" si="40"/>
        <v>0</v>
      </c>
      <c r="M276" s="284"/>
      <c r="N276" s="285"/>
      <c r="O276" s="136">
        <f t="shared" si="41"/>
        <v>0</v>
      </c>
      <c r="P276" s="85"/>
      <c r="R276" s="53"/>
      <c r="S276" s="53"/>
    </row>
    <row r="277" spans="1:19" s="358" customFormat="1" ht="24" hidden="1" x14ac:dyDescent="0.25">
      <c r="A277" s="276">
        <v>7230</v>
      </c>
      <c r="B277" s="127" t="s">
        <v>293</v>
      </c>
      <c r="C277" s="279">
        <f t="shared" si="51"/>
        <v>0</v>
      </c>
      <c r="D277" s="134">
        <v>0</v>
      </c>
      <c r="E277" s="285"/>
      <c r="F277" s="286">
        <f t="shared" si="38"/>
        <v>0</v>
      </c>
      <c r="G277" s="134"/>
      <c r="H277" s="135"/>
      <c r="I277" s="136">
        <f t="shared" si="39"/>
        <v>0</v>
      </c>
      <c r="J277" s="134">
        <v>0</v>
      </c>
      <c r="K277" s="135"/>
      <c r="L277" s="136">
        <f t="shared" si="40"/>
        <v>0</v>
      </c>
      <c r="M277" s="284"/>
      <c r="N277" s="285"/>
      <c r="O277" s="136">
        <f>M277+N277</f>
        <v>0</v>
      </c>
      <c r="P277" s="85"/>
      <c r="R277" s="53"/>
      <c r="S277" s="53"/>
    </row>
    <row r="278" spans="1:19" ht="24" hidden="1" x14ac:dyDescent="0.25">
      <c r="A278" s="276">
        <v>7240</v>
      </c>
      <c r="B278" s="127" t="s">
        <v>294</v>
      </c>
      <c r="C278" s="279">
        <f t="shared" si="51"/>
        <v>0</v>
      </c>
      <c r="D278" s="277">
        <f>SUM(D279:D280)</f>
        <v>0</v>
      </c>
      <c r="E278" s="282">
        <f>SUM(E279:E280)</f>
        <v>0</v>
      </c>
      <c r="F278" s="286">
        <f t="shared" si="38"/>
        <v>0</v>
      </c>
      <c r="G278" s="277">
        <f>SUM(G279:G280)</f>
        <v>0</v>
      </c>
      <c r="H278" s="280">
        <f>SUM(H279:H280)</f>
        <v>0</v>
      </c>
      <c r="I278" s="136">
        <f t="shared" si="39"/>
        <v>0</v>
      </c>
      <c r="J278" s="277">
        <f>SUM(J279:J280)</f>
        <v>0</v>
      </c>
      <c r="K278" s="280">
        <f>SUM(K279:K280)</f>
        <v>0</v>
      </c>
      <c r="L278" s="136">
        <f t="shared" si="40"/>
        <v>0</v>
      </c>
      <c r="M278" s="281">
        <f>SUM(M279:M280)</f>
        <v>0</v>
      </c>
      <c r="N278" s="282">
        <f>SUM(N279:N280)</f>
        <v>0</v>
      </c>
      <c r="O278" s="136">
        <f>SUM(O279:O280)</f>
        <v>0</v>
      </c>
      <c r="P278" s="85"/>
      <c r="R278" s="53"/>
      <c r="S278" s="53"/>
    </row>
    <row r="279" spans="1:19" ht="48" hidden="1" x14ac:dyDescent="0.25">
      <c r="A279" s="76">
        <v>7245</v>
      </c>
      <c r="B279" s="127" t="s">
        <v>295</v>
      </c>
      <c r="C279" s="279">
        <f t="shared" si="51"/>
        <v>0</v>
      </c>
      <c r="D279" s="134">
        <v>0</v>
      </c>
      <c r="E279" s="285"/>
      <c r="F279" s="286">
        <f t="shared" si="38"/>
        <v>0</v>
      </c>
      <c r="G279" s="134"/>
      <c r="H279" s="135"/>
      <c r="I279" s="136">
        <f t="shared" si="39"/>
        <v>0</v>
      </c>
      <c r="J279" s="134">
        <v>0</v>
      </c>
      <c r="K279" s="135"/>
      <c r="L279" s="136">
        <f t="shared" si="40"/>
        <v>0</v>
      </c>
      <c r="M279" s="284"/>
      <c r="N279" s="285"/>
      <c r="O279" s="136">
        <f t="shared" ref="O279:O282" si="58">M279+N279</f>
        <v>0</v>
      </c>
      <c r="P279" s="85"/>
      <c r="R279" s="53"/>
      <c r="S279" s="53"/>
    </row>
    <row r="280" spans="1:19" ht="96" hidden="1" x14ac:dyDescent="0.25">
      <c r="A280" s="76">
        <v>7246</v>
      </c>
      <c r="B280" s="127" t="s">
        <v>296</v>
      </c>
      <c r="C280" s="279">
        <f t="shared" si="51"/>
        <v>0</v>
      </c>
      <c r="D280" s="134">
        <v>0</v>
      </c>
      <c r="E280" s="285"/>
      <c r="F280" s="286">
        <f t="shared" si="38"/>
        <v>0</v>
      </c>
      <c r="G280" s="134"/>
      <c r="H280" s="135"/>
      <c r="I280" s="136">
        <f t="shared" si="39"/>
        <v>0</v>
      </c>
      <c r="J280" s="134">
        <v>0</v>
      </c>
      <c r="K280" s="135"/>
      <c r="L280" s="136">
        <f t="shared" si="40"/>
        <v>0</v>
      </c>
      <c r="M280" s="284"/>
      <c r="N280" s="285"/>
      <c r="O280" s="136">
        <f t="shared" si="58"/>
        <v>0</v>
      </c>
      <c r="P280" s="85"/>
      <c r="R280" s="53"/>
      <c r="S280" s="53"/>
    </row>
    <row r="281" spans="1:19" ht="24" hidden="1" x14ac:dyDescent="0.25">
      <c r="A281" s="276">
        <v>7260</v>
      </c>
      <c r="B281" s="127" t="s">
        <v>297</v>
      </c>
      <c r="C281" s="279">
        <f t="shared" si="51"/>
        <v>0</v>
      </c>
      <c r="D281" s="123">
        <v>0</v>
      </c>
      <c r="E281" s="262"/>
      <c r="F281" s="263">
        <f t="shared" si="38"/>
        <v>0</v>
      </c>
      <c r="G281" s="123"/>
      <c r="H281" s="124"/>
      <c r="I281" s="125">
        <f t="shared" si="39"/>
        <v>0</v>
      </c>
      <c r="J281" s="123">
        <v>0</v>
      </c>
      <c r="K281" s="124"/>
      <c r="L281" s="125">
        <f t="shared" si="40"/>
        <v>0</v>
      </c>
      <c r="M281" s="264"/>
      <c r="N281" s="262"/>
      <c r="O281" s="125">
        <f t="shared" si="58"/>
        <v>0</v>
      </c>
      <c r="P281" s="74"/>
      <c r="R281" s="53"/>
      <c r="S281" s="53"/>
    </row>
    <row r="282" spans="1:19" hidden="1" x14ac:dyDescent="0.25">
      <c r="A282" s="99">
        <v>7700</v>
      </c>
      <c r="B282" s="247" t="s">
        <v>298</v>
      </c>
      <c r="C282" s="302">
        <f t="shared" si="51"/>
        <v>0</v>
      </c>
      <c r="D282" s="360">
        <f>D283</f>
        <v>0</v>
      </c>
      <c r="E282" s="304">
        <f>SUM(E283)</f>
        <v>0</v>
      </c>
      <c r="F282" s="316">
        <f t="shared" si="38"/>
        <v>0</v>
      </c>
      <c r="G282" s="360">
        <f>G283</f>
        <v>0</v>
      </c>
      <c r="H282" s="361">
        <f>SUM(H283)</f>
        <v>0</v>
      </c>
      <c r="I282" s="305">
        <f t="shared" si="39"/>
        <v>0</v>
      </c>
      <c r="J282" s="360">
        <f>J283</f>
        <v>0</v>
      </c>
      <c r="K282" s="361">
        <f>SUM(K283)</f>
        <v>0</v>
      </c>
      <c r="L282" s="305">
        <f t="shared" si="40"/>
        <v>0</v>
      </c>
      <c r="M282" s="303">
        <f>SUM(M283)</f>
        <v>0</v>
      </c>
      <c r="N282" s="304">
        <f>SUM(N283)</f>
        <v>0</v>
      </c>
      <c r="O282" s="305">
        <f t="shared" si="58"/>
        <v>0</v>
      </c>
      <c r="P282" s="306"/>
      <c r="R282" s="53"/>
      <c r="S282" s="53"/>
    </row>
    <row r="283" spans="1:19" hidden="1" x14ac:dyDescent="0.25">
      <c r="A283" s="141">
        <v>7720</v>
      </c>
      <c r="B283" s="142" t="s">
        <v>299</v>
      </c>
      <c r="C283" s="362">
        <f t="shared" si="51"/>
        <v>0</v>
      </c>
      <c r="D283" s="149">
        <v>0</v>
      </c>
      <c r="E283" s="363"/>
      <c r="F283" s="364">
        <f t="shared" si="38"/>
        <v>0</v>
      </c>
      <c r="G283" s="149"/>
      <c r="H283" s="150"/>
      <c r="I283" s="151">
        <f t="shared" si="39"/>
        <v>0</v>
      </c>
      <c r="J283" s="149">
        <v>0</v>
      </c>
      <c r="K283" s="150"/>
      <c r="L283" s="151">
        <f t="shared" si="40"/>
        <v>0</v>
      </c>
      <c r="M283" s="365"/>
      <c r="N283" s="363"/>
      <c r="O283" s="151">
        <f>M283+N283</f>
        <v>0</v>
      </c>
      <c r="P283" s="153"/>
      <c r="R283" s="53"/>
      <c r="S283" s="53"/>
    </row>
    <row r="284" spans="1:19" hidden="1" x14ac:dyDescent="0.25">
      <c r="A284" s="366"/>
      <c r="B284" s="179" t="s">
        <v>300</v>
      </c>
      <c r="C284" s="296">
        <f t="shared" si="51"/>
        <v>0</v>
      </c>
      <c r="D284" s="255">
        <f>SUM(D285:D286)</f>
        <v>0</v>
      </c>
      <c r="E284" s="261">
        <f>SUM(E285:E286)</f>
        <v>0</v>
      </c>
      <c r="F284" s="310">
        <f t="shared" si="38"/>
        <v>0</v>
      </c>
      <c r="G284" s="255">
        <f>SUM(G285:G286)</f>
        <v>0</v>
      </c>
      <c r="H284" s="258">
        <f>SUM(H285:H286)</f>
        <v>0</v>
      </c>
      <c r="I284" s="259">
        <f t="shared" si="39"/>
        <v>0</v>
      </c>
      <c r="J284" s="255">
        <f>SUM(J285:J286)</f>
        <v>0</v>
      </c>
      <c r="K284" s="258">
        <f>SUM(K285:K286)</f>
        <v>0</v>
      </c>
      <c r="L284" s="259">
        <f t="shared" si="40"/>
        <v>0</v>
      </c>
      <c r="M284" s="260">
        <f>SUM(M285:M286)</f>
        <v>0</v>
      </c>
      <c r="N284" s="261">
        <f>SUM(N285:N286)</f>
        <v>0</v>
      </c>
      <c r="O284" s="259">
        <f t="shared" ref="O284:O299" si="59">M284+N284</f>
        <v>0</v>
      </c>
      <c r="P284" s="189"/>
      <c r="R284" s="53"/>
      <c r="S284" s="53"/>
    </row>
    <row r="285" spans="1:19" hidden="1" x14ac:dyDescent="0.25">
      <c r="A285" s="346" t="s">
        <v>301</v>
      </c>
      <c r="B285" s="76" t="s">
        <v>302</v>
      </c>
      <c r="C285" s="279">
        <f t="shared" si="51"/>
        <v>0</v>
      </c>
      <c r="D285" s="134"/>
      <c r="E285" s="285"/>
      <c r="F285" s="286">
        <f t="shared" si="38"/>
        <v>0</v>
      </c>
      <c r="G285" s="134"/>
      <c r="H285" s="135"/>
      <c r="I285" s="136">
        <f t="shared" si="39"/>
        <v>0</v>
      </c>
      <c r="J285" s="134">
        <f>25-25</f>
        <v>0</v>
      </c>
      <c r="K285" s="135"/>
      <c r="L285" s="136">
        <f t="shared" si="40"/>
        <v>0</v>
      </c>
      <c r="M285" s="284"/>
      <c r="N285" s="285"/>
      <c r="O285" s="136">
        <f t="shared" si="59"/>
        <v>0</v>
      </c>
      <c r="P285" s="85"/>
      <c r="R285" s="53"/>
      <c r="S285" s="53"/>
    </row>
    <row r="286" spans="1:19" ht="24" hidden="1" x14ac:dyDescent="0.25">
      <c r="A286" s="346" t="s">
        <v>303</v>
      </c>
      <c r="B286" s="367" t="s">
        <v>304</v>
      </c>
      <c r="C286" s="296">
        <f t="shared" si="51"/>
        <v>0</v>
      </c>
      <c r="D286" s="123"/>
      <c r="E286" s="262"/>
      <c r="F286" s="263">
        <f t="shared" si="38"/>
        <v>0</v>
      </c>
      <c r="G286" s="123"/>
      <c r="H286" s="124"/>
      <c r="I286" s="125">
        <f t="shared" si="39"/>
        <v>0</v>
      </c>
      <c r="J286" s="123"/>
      <c r="K286" s="124"/>
      <c r="L286" s="125">
        <f t="shared" si="40"/>
        <v>0</v>
      </c>
      <c r="M286" s="264"/>
      <c r="N286" s="262"/>
      <c r="O286" s="125">
        <f t="shared" si="59"/>
        <v>0</v>
      </c>
      <c r="P286" s="74"/>
      <c r="R286" s="53"/>
      <c r="S286" s="53"/>
    </row>
    <row r="287" spans="1:19" x14ac:dyDescent="0.25">
      <c r="A287" s="368"/>
      <c r="B287" s="369" t="s">
        <v>305</v>
      </c>
      <c r="C287" s="373">
        <f>SUM(C284,C271,C233,C198,C190,C176,C78,C56)</f>
        <v>858379</v>
      </c>
      <c r="D287" s="371">
        <f t="shared" ref="D287" si="60">SUM(D284,D271,D233,D198,D190,D176,D78,D56)</f>
        <v>838333</v>
      </c>
      <c r="E287" s="692">
        <f>SUM(E284,E271,E233,E198,E190,E176,E78,E56)</f>
        <v>0</v>
      </c>
      <c r="F287" s="681">
        <f t="shared" si="38"/>
        <v>838333</v>
      </c>
      <c r="G287" s="371">
        <f>SUM(G284,G271,G233,G198,G190,G176,G78,G56)</f>
        <v>0</v>
      </c>
      <c r="H287" s="374">
        <f>SUM(H284,H271,H233,H198,H190,H176,H78,H56)</f>
        <v>0</v>
      </c>
      <c r="I287" s="375">
        <f t="shared" si="39"/>
        <v>0</v>
      </c>
      <c r="J287" s="371">
        <f t="shared" ref="J287" si="61">SUM(J284,J271,J233,J198,J190,J176,J78,J56)</f>
        <v>20046</v>
      </c>
      <c r="K287" s="374">
        <f>SUM(K284,K271,K233,K198,K190,K176,K78,K56)</f>
        <v>0</v>
      </c>
      <c r="L287" s="375">
        <f t="shared" si="40"/>
        <v>20046</v>
      </c>
      <c r="M287" s="250">
        <f>SUM(M284,M271,M233,M198,M190,M176,M78,M56)</f>
        <v>0</v>
      </c>
      <c r="N287" s="251">
        <f>SUM(N284,N271,N233,N198,N190,N176,N78,N56)</f>
        <v>0</v>
      </c>
      <c r="O287" s="252">
        <f t="shared" si="59"/>
        <v>0</v>
      </c>
      <c r="P287" s="253"/>
      <c r="R287" s="53"/>
      <c r="S287" s="53"/>
    </row>
    <row r="288" spans="1:19" hidden="1" x14ac:dyDescent="0.25">
      <c r="A288" s="376" t="s">
        <v>306</v>
      </c>
      <c r="B288" s="377"/>
      <c r="C288" s="381">
        <f t="shared" ref="C288" si="62">F288+I288+L288+O288</f>
        <v>0</v>
      </c>
      <c r="D288" s="379">
        <f>SUM(D28,D29,D45)-D54</f>
        <v>0</v>
      </c>
      <c r="E288" s="384">
        <f>SUM(E28,E29,E45)-E54</f>
        <v>0</v>
      </c>
      <c r="F288" s="388">
        <f t="shared" si="38"/>
        <v>0</v>
      </c>
      <c r="G288" s="379">
        <f>SUM(G28,G29,G45)-G54</f>
        <v>0</v>
      </c>
      <c r="H288" s="382">
        <f>SUM(H28,H29,H45)-H54</f>
        <v>0</v>
      </c>
      <c r="I288" s="383">
        <f t="shared" si="39"/>
        <v>0</v>
      </c>
      <c r="J288" s="379">
        <f>(J30+J46)-J54</f>
        <v>0</v>
      </c>
      <c r="K288" s="382">
        <f>(K30+K46)-K54</f>
        <v>0</v>
      </c>
      <c r="L288" s="383">
        <f t="shared" si="40"/>
        <v>0</v>
      </c>
      <c r="M288" s="378">
        <f>M48-M54</f>
        <v>0</v>
      </c>
      <c r="N288" s="384">
        <f>N48-N54</f>
        <v>0</v>
      </c>
      <c r="O288" s="383">
        <f t="shared" si="59"/>
        <v>0</v>
      </c>
      <c r="P288" s="385"/>
      <c r="R288" s="53"/>
      <c r="S288" s="53"/>
    </row>
    <row r="289" spans="1:19" s="41" customFormat="1" hidden="1" x14ac:dyDescent="0.25">
      <c r="A289" s="376" t="s">
        <v>307</v>
      </c>
      <c r="B289" s="377"/>
      <c r="C289" s="381">
        <f>SUM(C290,C291)-C298+C299</f>
        <v>0</v>
      </c>
      <c r="D289" s="379">
        <f t="shared" ref="D289" si="63">SUM(D290,D291)-D298+D299</f>
        <v>0</v>
      </c>
      <c r="E289" s="384">
        <f>SUM(E290,E291)-E298+E299</f>
        <v>0</v>
      </c>
      <c r="F289" s="388">
        <f t="shared" si="38"/>
        <v>0</v>
      </c>
      <c r="G289" s="379">
        <f>SUM(G290,G291)-G298+G299</f>
        <v>0</v>
      </c>
      <c r="H289" s="382">
        <f>SUM(H290,H291)-H298+H299</f>
        <v>0</v>
      </c>
      <c r="I289" s="383">
        <f t="shared" si="39"/>
        <v>0</v>
      </c>
      <c r="J289" s="379">
        <f t="shared" ref="J289" si="64">SUM(J290,J291)-J298+J299</f>
        <v>0</v>
      </c>
      <c r="K289" s="382">
        <f>SUM(K290,K291)-K298+K299</f>
        <v>0</v>
      </c>
      <c r="L289" s="383">
        <f t="shared" si="40"/>
        <v>0</v>
      </c>
      <c r="M289" s="378">
        <f>SUM(M290,M291)-M298+M299</f>
        <v>0</v>
      </c>
      <c r="N289" s="384">
        <f>SUM(N290,N291)-N298+N299</f>
        <v>0</v>
      </c>
      <c r="O289" s="383">
        <f t="shared" si="59"/>
        <v>0</v>
      </c>
      <c r="P289" s="385"/>
      <c r="R289" s="53"/>
      <c r="S289" s="53"/>
    </row>
    <row r="290" spans="1:19" s="41" customFormat="1" hidden="1" x14ac:dyDescent="0.25">
      <c r="A290" s="386" t="s">
        <v>308</v>
      </c>
      <c r="B290" s="386" t="s">
        <v>309</v>
      </c>
      <c r="C290" s="381">
        <f>C25-C284</f>
        <v>0</v>
      </c>
      <c r="D290" s="379">
        <f t="shared" ref="D290" si="65">D25-D284</f>
        <v>0</v>
      </c>
      <c r="E290" s="384">
        <f>E25-E284</f>
        <v>0</v>
      </c>
      <c r="F290" s="388">
        <f t="shared" si="38"/>
        <v>0</v>
      </c>
      <c r="G290" s="379">
        <f>G25-G284</f>
        <v>0</v>
      </c>
      <c r="H290" s="382">
        <f>H25-H284</f>
        <v>0</v>
      </c>
      <c r="I290" s="383">
        <f t="shared" si="39"/>
        <v>0</v>
      </c>
      <c r="J290" s="379">
        <f t="shared" ref="J290" si="66">J25-J284</f>
        <v>0</v>
      </c>
      <c r="K290" s="382">
        <f>K25-K284</f>
        <v>0</v>
      </c>
      <c r="L290" s="383">
        <f t="shared" si="40"/>
        <v>0</v>
      </c>
      <c r="M290" s="378">
        <f>M25-M284</f>
        <v>0</v>
      </c>
      <c r="N290" s="384">
        <f>N25-N284</f>
        <v>0</v>
      </c>
      <c r="O290" s="383">
        <f t="shared" si="59"/>
        <v>0</v>
      </c>
      <c r="P290" s="385"/>
      <c r="R290" s="53"/>
      <c r="S290" s="53"/>
    </row>
    <row r="291" spans="1:19" s="41" customFormat="1" hidden="1" x14ac:dyDescent="0.25">
      <c r="A291" s="387" t="s">
        <v>310</v>
      </c>
      <c r="B291" s="387" t="s">
        <v>311</v>
      </c>
      <c r="C291" s="381">
        <f>SUM(C292,C294,C296)-SUM(C293,C295,C297)</f>
        <v>0</v>
      </c>
      <c r="D291" s="379">
        <f t="shared" ref="D291:E291" si="67">SUM(D292,D294,D296)-SUM(D293,D295,D297)</f>
        <v>0</v>
      </c>
      <c r="E291" s="384">
        <f t="shared" si="67"/>
        <v>0</v>
      </c>
      <c r="F291" s="388">
        <f t="shared" si="38"/>
        <v>0</v>
      </c>
      <c r="G291" s="379">
        <f t="shared" ref="G291:H291" si="68">SUM(G292,G294,G296)-SUM(G293,G295,G297)</f>
        <v>0</v>
      </c>
      <c r="H291" s="382">
        <f t="shared" si="68"/>
        <v>0</v>
      </c>
      <c r="I291" s="383">
        <f t="shared" si="39"/>
        <v>0</v>
      </c>
      <c r="J291" s="379">
        <f t="shared" ref="J291:K291" si="69">SUM(J292,J294,J296)-SUM(J293,J295,J297)</f>
        <v>0</v>
      </c>
      <c r="K291" s="382">
        <f t="shared" si="69"/>
        <v>0</v>
      </c>
      <c r="L291" s="383">
        <f t="shared" si="40"/>
        <v>0</v>
      </c>
      <c r="M291" s="378">
        <f t="shared" ref="M291:N291" si="70">SUM(M292,M294,M296)-SUM(M293,M295,M297)</f>
        <v>0</v>
      </c>
      <c r="N291" s="384">
        <f t="shared" si="70"/>
        <v>0</v>
      </c>
      <c r="O291" s="383">
        <f t="shared" si="59"/>
        <v>0</v>
      </c>
      <c r="P291" s="385"/>
      <c r="R291" s="53"/>
      <c r="S291" s="53"/>
    </row>
    <row r="292" spans="1:19" s="41" customFormat="1" hidden="1" x14ac:dyDescent="0.25">
      <c r="A292" s="366" t="s">
        <v>312</v>
      </c>
      <c r="B292" s="190" t="s">
        <v>313</v>
      </c>
      <c r="C292" s="362">
        <f t="shared" ref="C292:C299" si="71">F292+I292+L292+O292</f>
        <v>0</v>
      </c>
      <c r="D292" s="149"/>
      <c r="E292" s="363"/>
      <c r="F292" s="364">
        <f t="shared" si="38"/>
        <v>0</v>
      </c>
      <c r="G292" s="149"/>
      <c r="H292" s="150"/>
      <c r="I292" s="151">
        <f t="shared" si="39"/>
        <v>0</v>
      </c>
      <c r="J292" s="149"/>
      <c r="K292" s="150"/>
      <c r="L292" s="151">
        <f t="shared" si="40"/>
        <v>0</v>
      </c>
      <c r="M292" s="365"/>
      <c r="N292" s="363"/>
      <c r="O292" s="151">
        <f t="shared" si="59"/>
        <v>0</v>
      </c>
      <c r="P292" s="153"/>
      <c r="R292" s="53"/>
      <c r="S292" s="53"/>
    </row>
    <row r="293" spans="1:19" ht="24" hidden="1" x14ac:dyDescent="0.25">
      <c r="A293" s="346" t="s">
        <v>314</v>
      </c>
      <c r="B293" s="75" t="s">
        <v>315</v>
      </c>
      <c r="C293" s="279">
        <f t="shared" si="71"/>
        <v>0</v>
      </c>
      <c r="D293" s="134"/>
      <c r="E293" s="285"/>
      <c r="F293" s="286">
        <f t="shared" si="38"/>
        <v>0</v>
      </c>
      <c r="G293" s="134"/>
      <c r="H293" s="135"/>
      <c r="I293" s="136">
        <f t="shared" si="39"/>
        <v>0</v>
      </c>
      <c r="J293" s="134"/>
      <c r="K293" s="135"/>
      <c r="L293" s="136">
        <f t="shared" si="40"/>
        <v>0</v>
      </c>
      <c r="M293" s="284"/>
      <c r="N293" s="285"/>
      <c r="O293" s="136">
        <f t="shared" si="59"/>
        <v>0</v>
      </c>
      <c r="P293" s="85"/>
      <c r="R293" s="53"/>
      <c r="S293" s="53"/>
    </row>
    <row r="294" spans="1:19" hidden="1" x14ac:dyDescent="0.25">
      <c r="A294" s="346" t="s">
        <v>316</v>
      </c>
      <c r="B294" s="75" t="s">
        <v>317</v>
      </c>
      <c r="C294" s="279">
        <f t="shared" si="71"/>
        <v>0</v>
      </c>
      <c r="D294" s="134"/>
      <c r="E294" s="285"/>
      <c r="F294" s="286">
        <f t="shared" si="38"/>
        <v>0</v>
      </c>
      <c r="G294" s="134"/>
      <c r="H294" s="135"/>
      <c r="I294" s="136">
        <f t="shared" si="39"/>
        <v>0</v>
      </c>
      <c r="J294" s="134"/>
      <c r="K294" s="135"/>
      <c r="L294" s="136">
        <f t="shared" si="40"/>
        <v>0</v>
      </c>
      <c r="M294" s="284"/>
      <c r="N294" s="285"/>
      <c r="O294" s="136">
        <f t="shared" si="59"/>
        <v>0</v>
      </c>
      <c r="P294" s="85"/>
      <c r="R294" s="53"/>
      <c r="S294" s="53"/>
    </row>
    <row r="295" spans="1:19" ht="24" hidden="1" x14ac:dyDescent="0.25">
      <c r="A295" s="346" t="s">
        <v>318</v>
      </c>
      <c r="B295" s="75" t="s">
        <v>319</v>
      </c>
      <c r="C295" s="279">
        <f t="shared" si="71"/>
        <v>0</v>
      </c>
      <c r="D295" s="134"/>
      <c r="E295" s="285"/>
      <c r="F295" s="286">
        <f t="shared" si="38"/>
        <v>0</v>
      </c>
      <c r="G295" s="134"/>
      <c r="H295" s="135"/>
      <c r="I295" s="136">
        <f t="shared" si="39"/>
        <v>0</v>
      </c>
      <c r="J295" s="134"/>
      <c r="K295" s="135"/>
      <c r="L295" s="136">
        <f t="shared" si="40"/>
        <v>0</v>
      </c>
      <c r="M295" s="284"/>
      <c r="N295" s="285"/>
      <c r="O295" s="136">
        <f t="shared" si="59"/>
        <v>0</v>
      </c>
      <c r="P295" s="85"/>
      <c r="R295" s="53"/>
      <c r="S295" s="53"/>
    </row>
    <row r="296" spans="1:19" hidden="1" x14ac:dyDescent="0.25">
      <c r="A296" s="346" t="s">
        <v>320</v>
      </c>
      <c r="B296" s="75" t="s">
        <v>321</v>
      </c>
      <c r="C296" s="279">
        <f t="shared" si="71"/>
        <v>0</v>
      </c>
      <c r="D296" s="134"/>
      <c r="E296" s="285"/>
      <c r="F296" s="286">
        <f t="shared" si="38"/>
        <v>0</v>
      </c>
      <c r="G296" s="134"/>
      <c r="H296" s="135"/>
      <c r="I296" s="136">
        <f t="shared" si="39"/>
        <v>0</v>
      </c>
      <c r="J296" s="134"/>
      <c r="K296" s="135"/>
      <c r="L296" s="136">
        <f t="shared" si="40"/>
        <v>0</v>
      </c>
      <c r="M296" s="284"/>
      <c r="N296" s="285"/>
      <c r="O296" s="136">
        <f t="shared" si="59"/>
        <v>0</v>
      </c>
      <c r="P296" s="85"/>
      <c r="R296" s="53"/>
      <c r="S296" s="53"/>
    </row>
    <row r="297" spans="1:19" ht="24" hidden="1" x14ac:dyDescent="0.25">
      <c r="A297" s="389" t="s">
        <v>322</v>
      </c>
      <c r="B297" s="390" t="s">
        <v>323</v>
      </c>
      <c r="C297" s="647">
        <f t="shared" si="71"/>
        <v>0</v>
      </c>
      <c r="D297" s="328"/>
      <c r="E297" s="329"/>
      <c r="F297" s="330">
        <f t="shared" si="38"/>
        <v>0</v>
      </c>
      <c r="G297" s="328"/>
      <c r="H297" s="331"/>
      <c r="I297" s="324">
        <f t="shared" si="39"/>
        <v>0</v>
      </c>
      <c r="J297" s="328"/>
      <c r="K297" s="331"/>
      <c r="L297" s="324">
        <f t="shared" si="40"/>
        <v>0</v>
      </c>
      <c r="M297" s="332"/>
      <c r="N297" s="329"/>
      <c r="O297" s="324">
        <f t="shared" si="59"/>
        <v>0</v>
      </c>
      <c r="P297" s="325"/>
      <c r="R297" s="53"/>
      <c r="S297" s="53"/>
    </row>
    <row r="298" spans="1:19" hidden="1" x14ac:dyDescent="0.25">
      <c r="A298" s="387" t="s">
        <v>324</v>
      </c>
      <c r="B298" s="387" t="s">
        <v>325</v>
      </c>
      <c r="C298" s="381">
        <f t="shared" si="71"/>
        <v>0</v>
      </c>
      <c r="D298" s="392"/>
      <c r="E298" s="393"/>
      <c r="F298" s="388">
        <f t="shared" si="38"/>
        <v>0</v>
      </c>
      <c r="G298" s="392"/>
      <c r="H298" s="394"/>
      <c r="I298" s="383">
        <f t="shared" si="39"/>
        <v>0</v>
      </c>
      <c r="J298" s="392"/>
      <c r="K298" s="394"/>
      <c r="L298" s="383">
        <f t="shared" si="40"/>
        <v>0</v>
      </c>
      <c r="M298" s="395"/>
      <c r="N298" s="393"/>
      <c r="O298" s="383">
        <f t="shared" si="59"/>
        <v>0</v>
      </c>
      <c r="P298" s="385"/>
      <c r="R298" s="53"/>
      <c r="S298" s="53"/>
    </row>
    <row r="299" spans="1:19" s="41" customFormat="1" ht="48" hidden="1" x14ac:dyDescent="0.25">
      <c r="A299" s="387" t="s">
        <v>326</v>
      </c>
      <c r="B299" s="396" t="s">
        <v>327</v>
      </c>
      <c r="C299" s="651">
        <f t="shared" si="71"/>
        <v>0</v>
      </c>
      <c r="D299" s="398"/>
      <c r="E299" s="399"/>
      <c r="F299" s="400">
        <f t="shared" si="38"/>
        <v>0</v>
      </c>
      <c r="G299" s="392"/>
      <c r="H299" s="394"/>
      <c r="I299" s="383">
        <f t="shared" si="39"/>
        <v>0</v>
      </c>
      <c r="J299" s="392"/>
      <c r="K299" s="394"/>
      <c r="L299" s="383">
        <f t="shared" si="40"/>
        <v>0</v>
      </c>
      <c r="M299" s="395"/>
      <c r="N299" s="393"/>
      <c r="O299" s="383">
        <f t="shared" si="59"/>
        <v>0</v>
      </c>
      <c r="P299" s="385"/>
      <c r="R299" s="53"/>
      <c r="S299" s="53"/>
    </row>
    <row r="300" spans="1:19"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19" ht="12.75" thickBot="1" x14ac:dyDescent="0.3">
      <c r="A301" s="404"/>
      <c r="B301" s="405"/>
      <c r="C301" s="405"/>
      <c r="D301" s="405"/>
      <c r="E301" s="405"/>
      <c r="F301" s="405"/>
      <c r="G301" s="405"/>
      <c r="H301" s="405"/>
      <c r="I301" s="405"/>
      <c r="J301" s="405"/>
      <c r="K301" s="405"/>
      <c r="L301" s="405"/>
      <c r="M301" s="405"/>
      <c r="N301" s="405"/>
      <c r="O301" s="405"/>
      <c r="P301" s="406"/>
      <c r="Q301" s="7"/>
    </row>
    <row r="302" spans="1:19" x14ac:dyDescent="0.25">
      <c r="A302" s="5"/>
      <c r="B302" s="5"/>
      <c r="C302" s="5"/>
      <c r="D302" s="5"/>
      <c r="E302" s="5"/>
      <c r="F302" s="5"/>
      <c r="G302" s="5"/>
      <c r="H302" s="5"/>
      <c r="I302" s="5"/>
      <c r="J302" s="5"/>
      <c r="K302" s="5"/>
      <c r="L302" s="5"/>
      <c r="M302" s="5"/>
      <c r="N302" s="5"/>
      <c r="O302" s="5"/>
    </row>
    <row r="303" spans="1:19" x14ac:dyDescent="0.25">
      <c r="A303" s="5"/>
      <c r="B303" s="5"/>
      <c r="C303" s="5"/>
      <c r="D303" s="5"/>
      <c r="E303" s="5"/>
      <c r="F303" s="5"/>
      <c r="G303" s="5"/>
      <c r="H303" s="5"/>
      <c r="I303" s="5"/>
      <c r="J303" s="5"/>
      <c r="K303" s="5"/>
      <c r="L303" s="5"/>
      <c r="M303" s="5"/>
      <c r="N303" s="5"/>
      <c r="O303" s="5"/>
    </row>
    <row r="304" spans="1:19"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JffcKO1+7xofOHqEgxEqrkAsWx+xFcDJMLoAGuxu9RwuClWq5T6r3ynb0nKbpAUlIf0S2DmNrYW7+TJCFS39aQ==" saltValue="4MLVTSwQGBtRM4pEk94dRA==" spinCount="100000" sheet="1" objects="1" scenarios="1" formatCells="0" formatColumns="0" formatRows="0"/>
  <autoFilter ref="A22:P300">
    <filterColumn colId="2">
      <filters blank="1">
        <filter val="1 000"/>
        <filter val="1 844"/>
        <filter val="10 192"/>
        <filter val="100"/>
        <filter val="123 565"/>
        <filter val="142 167"/>
        <filter val="16 897"/>
        <filter val="16 920"/>
        <filter val="17 172"/>
        <filter val="17 436"/>
        <filter val="18 602"/>
        <filter val="195 150"/>
        <filter val="2 600"/>
        <filter val="2 930"/>
        <filter val="20 046"/>
        <filter val="21 762"/>
        <filter val="22 500"/>
        <filter val="3 558"/>
        <filter val="32 768"/>
        <filter val="35 799"/>
        <filter val="38 762"/>
        <filter val="4 065"/>
        <filter val="4 910"/>
        <filter val="407 842"/>
        <filter val="446 604"/>
        <filter val="49 100"/>
        <filter val="5 140"/>
        <filter val="5 380"/>
        <filter val="5 386"/>
        <filter val="504 165"/>
        <filter val="51 700"/>
        <filter val="58 298"/>
        <filter val="60 750"/>
        <filter val="646 332"/>
        <filter val="77 922"/>
        <filter val="79 766"/>
        <filter val="838 333"/>
        <filter val="841 482"/>
        <filter val="844"/>
        <filter val="858 379"/>
        <filter val="9 627"/>
        <filter val="9 941"/>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67.pielikums Jūrmalas pilsētas domes
2017.gada 30.janvāra saistošajiem noteikumiem Nr.10
(Protokols Nr.4, 1.punkts)
 </firstHeader>
    <firstFooter>&amp;L&amp;9&amp;D; &amp;T&amp;R&amp;9&amp;P (&amp;N)</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76"/>
  <sheetViews>
    <sheetView view="pageLayout" zoomScaleNormal="100" workbookViewId="0">
      <selection activeCell="L5" sqref="L5"/>
    </sheetView>
  </sheetViews>
  <sheetFormatPr defaultRowHeight="12" outlineLevelCol="1" x14ac:dyDescent="0.2"/>
  <cols>
    <col min="1" max="1" width="6.140625" style="588" customWidth="1"/>
    <col min="2" max="2" width="35.140625" style="588" customWidth="1"/>
    <col min="3" max="3" width="16.7109375" style="588" customWidth="1"/>
    <col min="4" max="4" width="10.5703125" style="588" customWidth="1"/>
    <col min="5" max="5" width="12.42578125" style="588" hidden="1" customWidth="1" outlineLevel="1"/>
    <col min="6" max="6" width="11.140625" style="588" hidden="1" customWidth="1" outlineLevel="1"/>
    <col min="7" max="7" width="14.85546875" style="588" customWidth="1" collapsed="1"/>
    <col min="8" max="8" width="29" style="588" hidden="1" customWidth="1" outlineLevel="1"/>
    <col min="9" max="9" width="12" style="588" customWidth="1" collapsed="1"/>
    <col min="10" max="16384" width="9.140625" style="588"/>
  </cols>
  <sheetData>
    <row r="1" spans="1:12" x14ac:dyDescent="0.2">
      <c r="I1" s="726" t="s">
        <v>536</v>
      </c>
    </row>
    <row r="2" spans="1:12" x14ac:dyDescent="0.2">
      <c r="I2" s="726" t="s">
        <v>353</v>
      </c>
    </row>
    <row r="3" spans="1:12" x14ac:dyDescent="0.2">
      <c r="I3" s="726" t="s">
        <v>354</v>
      </c>
    </row>
    <row r="4" spans="1:12" x14ac:dyDescent="0.2">
      <c r="A4" s="588" t="s">
        <v>355</v>
      </c>
      <c r="B4" s="727"/>
      <c r="C4" s="727"/>
      <c r="D4" s="727"/>
      <c r="E4" s="727"/>
      <c r="F4" s="727"/>
      <c r="G4" s="727"/>
      <c r="H4" s="727"/>
      <c r="I4" s="727"/>
    </row>
    <row r="5" spans="1:12" x14ac:dyDescent="0.2">
      <c r="A5" s="1673" t="s">
        <v>356</v>
      </c>
      <c r="B5" s="1673"/>
      <c r="C5" s="727"/>
      <c r="D5" s="727"/>
      <c r="E5" s="727"/>
      <c r="F5" s="727"/>
      <c r="G5" s="727"/>
      <c r="H5" s="727"/>
      <c r="I5" s="727"/>
    </row>
    <row r="6" spans="1:12" ht="15.75" x14ac:dyDescent="0.25">
      <c r="A6" s="1674" t="s">
        <v>357</v>
      </c>
      <c r="B6" s="1674"/>
      <c r="C6" s="1674"/>
      <c r="D6" s="1674"/>
      <c r="E6" s="1674"/>
      <c r="F6" s="1674"/>
      <c r="G6" s="1674"/>
      <c r="H6" s="1674"/>
      <c r="I6" s="1674"/>
    </row>
    <row r="7" spans="1:12" ht="9.75" customHeight="1" x14ac:dyDescent="0.25">
      <c r="A7" s="728"/>
      <c r="B7" s="728"/>
      <c r="C7" s="728"/>
      <c r="D7" s="728"/>
      <c r="E7" s="728"/>
      <c r="F7" s="728"/>
      <c r="G7" s="728"/>
      <c r="H7" s="728"/>
      <c r="I7" s="728"/>
    </row>
    <row r="8" spans="1:12" ht="15.75" x14ac:dyDescent="0.25">
      <c r="A8" s="1673" t="s">
        <v>358</v>
      </c>
      <c r="B8" s="1673"/>
      <c r="C8" s="1675" t="s">
        <v>537</v>
      </c>
      <c r="D8" s="1675"/>
      <c r="E8" s="1675"/>
      <c r="F8" s="1675"/>
      <c r="G8" s="1675"/>
      <c r="H8" s="1675"/>
      <c r="I8" s="1675"/>
    </row>
    <row r="9" spans="1:12" x14ac:dyDescent="0.2">
      <c r="A9" s="1673" t="s">
        <v>360</v>
      </c>
      <c r="B9" s="1673"/>
      <c r="C9" s="1673" t="s">
        <v>519</v>
      </c>
      <c r="D9" s="1673"/>
      <c r="E9" s="1673"/>
      <c r="F9" s="1673"/>
      <c r="G9" s="1673"/>
      <c r="H9" s="1673"/>
      <c r="I9" s="1673"/>
    </row>
    <row r="10" spans="1:12" x14ac:dyDescent="0.2">
      <c r="A10" s="1673" t="s">
        <v>362</v>
      </c>
      <c r="B10" s="1673"/>
      <c r="C10" s="1679" t="s">
        <v>518</v>
      </c>
      <c r="D10" s="1679"/>
      <c r="E10" s="1679"/>
      <c r="F10" s="1679"/>
      <c r="G10" s="1679"/>
      <c r="H10" s="1679"/>
      <c r="I10" s="1679"/>
    </row>
    <row r="11" spans="1:12" ht="12" customHeight="1" x14ac:dyDescent="0.2">
      <c r="A11" s="1636" t="s">
        <v>364</v>
      </c>
      <c r="B11" s="1636" t="s">
        <v>365</v>
      </c>
      <c r="C11" s="1636"/>
      <c r="D11" s="1636" t="s">
        <v>366</v>
      </c>
      <c r="E11" s="1636" t="s">
        <v>367</v>
      </c>
      <c r="F11" s="1680" t="s">
        <v>538</v>
      </c>
      <c r="G11" s="1680" t="s">
        <v>369</v>
      </c>
      <c r="H11" s="1680" t="s">
        <v>26</v>
      </c>
      <c r="I11" s="1636" t="s">
        <v>370</v>
      </c>
    </row>
    <row r="12" spans="1:12" ht="23.25" customHeight="1" x14ac:dyDescent="0.2">
      <c r="A12" s="1636"/>
      <c r="B12" s="1636"/>
      <c r="C12" s="1636"/>
      <c r="D12" s="1636"/>
      <c r="E12" s="1636"/>
      <c r="F12" s="1680"/>
      <c r="G12" s="1680"/>
      <c r="H12" s="1680"/>
      <c r="I12" s="1636"/>
    </row>
    <row r="13" spans="1:12" x14ac:dyDescent="0.2">
      <c r="A13" s="1696" t="s">
        <v>371</v>
      </c>
      <c r="B13" s="1696"/>
      <c r="C13" s="1696"/>
      <c r="D13" s="550"/>
      <c r="E13" s="550">
        <f>E14+E181+E259</f>
        <v>1739844</v>
      </c>
      <c r="F13" s="550">
        <f>F14+F181+F259</f>
        <v>8906</v>
      </c>
      <c r="G13" s="550">
        <f>G14+G181+G259</f>
        <v>1748750</v>
      </c>
      <c r="H13" s="550"/>
      <c r="I13" s="550"/>
      <c r="K13" s="729"/>
      <c r="L13" s="729"/>
    </row>
    <row r="14" spans="1:12" x14ac:dyDescent="0.2">
      <c r="A14" s="1697" t="s">
        <v>539</v>
      </c>
      <c r="B14" s="1698"/>
      <c r="C14" s="1699"/>
      <c r="D14" s="730"/>
      <c r="E14" s="730">
        <f>E15+E27+E35+E38+E45+E53+E65+E81+E91+E106+E112+E114+E119+E124+E129+E132+E139+E144+E163+E167+E170+E172+E175+E179</f>
        <v>1175055</v>
      </c>
      <c r="F14" s="730">
        <f>F15+F27+F35+F38+F45+F53+F65+F81+F91+F106+F112+F114+F119+F124+F129+F132+F139+F144+F163+F167+F170+F172+F175+F179</f>
        <v>13935</v>
      </c>
      <c r="G14" s="730">
        <f>G15+G27+G35+G38+G45+G53+G65+G81+G91+G106+G112+G114+G119+G124+G129+G132+G139+G144+G163+G167+G170+G172+G175+G179</f>
        <v>1188990</v>
      </c>
      <c r="H14" s="730"/>
      <c r="I14" s="579" t="s">
        <v>540</v>
      </c>
      <c r="K14" s="729"/>
      <c r="L14" s="729"/>
    </row>
    <row r="15" spans="1:12" x14ac:dyDescent="0.2">
      <c r="A15" s="731">
        <v>1</v>
      </c>
      <c r="B15" s="1693"/>
      <c r="C15" s="1694"/>
      <c r="D15" s="730"/>
      <c r="E15" s="730">
        <f>SUM(E16:E26)</f>
        <v>16109</v>
      </c>
      <c r="F15" s="730">
        <f>SUM(F16:F26)</f>
        <v>14535</v>
      </c>
      <c r="G15" s="730">
        <f>SUM(G16:G26)</f>
        <v>30644</v>
      </c>
      <c r="H15" s="730"/>
      <c r="I15" s="565"/>
      <c r="K15" s="729"/>
      <c r="L15" s="729"/>
    </row>
    <row r="16" spans="1:12" ht="24" x14ac:dyDescent="0.2">
      <c r="A16" s="1695" t="s">
        <v>541</v>
      </c>
      <c r="B16" s="1684" t="s">
        <v>542</v>
      </c>
      <c r="C16" s="1685"/>
      <c r="D16" s="732">
        <v>2231</v>
      </c>
      <c r="E16" s="565">
        <v>2066</v>
      </c>
      <c r="F16" s="565"/>
      <c r="G16" s="565">
        <f>E16+F16</f>
        <v>2066</v>
      </c>
      <c r="H16" s="565" t="s">
        <v>529</v>
      </c>
      <c r="I16" s="1676" t="s">
        <v>543</v>
      </c>
      <c r="K16" s="729"/>
      <c r="L16" s="729"/>
    </row>
    <row r="17" spans="1:12" ht="12.75" customHeight="1" x14ac:dyDescent="0.2">
      <c r="A17" s="1695"/>
      <c r="B17" s="1686"/>
      <c r="C17" s="1687"/>
      <c r="D17" s="732">
        <v>2264</v>
      </c>
      <c r="E17" s="565">
        <v>570</v>
      </c>
      <c r="F17" s="565">
        <v>2181</v>
      </c>
      <c r="G17" s="565">
        <f t="shared" ref="G17:G23" si="0">E17+F17</f>
        <v>2751</v>
      </c>
      <c r="H17" s="565" t="s">
        <v>544</v>
      </c>
      <c r="I17" s="1677"/>
      <c r="K17" s="729"/>
      <c r="L17" s="729"/>
    </row>
    <row r="18" spans="1:12" ht="24" x14ac:dyDescent="0.2">
      <c r="A18" s="1695"/>
      <c r="B18" s="1686"/>
      <c r="C18" s="1687"/>
      <c r="D18" s="732">
        <v>2279</v>
      </c>
      <c r="E18" s="565">
        <v>2400</v>
      </c>
      <c r="F18" s="565">
        <v>6070</v>
      </c>
      <c r="G18" s="565">
        <f t="shared" si="0"/>
        <v>8470</v>
      </c>
      <c r="H18" s="565" t="s">
        <v>529</v>
      </c>
      <c r="I18" s="1677"/>
      <c r="K18" s="729"/>
      <c r="L18" s="729"/>
    </row>
    <row r="19" spans="1:12" ht="24" x14ac:dyDescent="0.2">
      <c r="A19" s="1695"/>
      <c r="B19" s="1686"/>
      <c r="C19" s="1687"/>
      <c r="D19" s="732">
        <v>1150</v>
      </c>
      <c r="E19" s="565"/>
      <c r="F19" s="565">
        <v>5209</v>
      </c>
      <c r="G19" s="565">
        <v>5209</v>
      </c>
      <c r="H19" s="565" t="s">
        <v>529</v>
      </c>
      <c r="I19" s="1677"/>
      <c r="K19" s="729"/>
      <c r="L19" s="729"/>
    </row>
    <row r="20" spans="1:12" ht="24" x14ac:dyDescent="0.2">
      <c r="A20" s="1695"/>
      <c r="B20" s="1686"/>
      <c r="C20" s="1687"/>
      <c r="D20" s="732">
        <v>6422</v>
      </c>
      <c r="E20" s="565"/>
      <c r="F20" s="565">
        <v>2210</v>
      </c>
      <c r="G20" s="565">
        <v>2210</v>
      </c>
      <c r="H20" s="565" t="s">
        <v>529</v>
      </c>
      <c r="I20" s="1677"/>
      <c r="K20" s="729"/>
      <c r="L20" s="729"/>
    </row>
    <row r="21" spans="1:12" ht="24" x14ac:dyDescent="0.2">
      <c r="A21" s="1695"/>
      <c r="B21" s="1688"/>
      <c r="C21" s="1689"/>
      <c r="D21" s="732">
        <v>2314</v>
      </c>
      <c r="E21" s="565">
        <v>3225</v>
      </c>
      <c r="F21" s="565">
        <v>-1135</v>
      </c>
      <c r="G21" s="565">
        <f t="shared" si="0"/>
        <v>2090</v>
      </c>
      <c r="H21" s="565" t="s">
        <v>529</v>
      </c>
      <c r="I21" s="1678"/>
      <c r="K21" s="729"/>
      <c r="L21" s="729"/>
    </row>
    <row r="22" spans="1:12" ht="12.75" customHeight="1" x14ac:dyDescent="0.2">
      <c r="A22" s="1681">
        <v>1.2</v>
      </c>
      <c r="B22" s="1684" t="s">
        <v>545</v>
      </c>
      <c r="C22" s="1685"/>
      <c r="D22" s="732">
        <v>2231</v>
      </c>
      <c r="E22" s="565">
        <v>3986</v>
      </c>
      <c r="F22" s="565"/>
      <c r="G22" s="565">
        <f t="shared" si="0"/>
        <v>3986</v>
      </c>
      <c r="H22" s="1690"/>
      <c r="I22" s="733" t="s">
        <v>546</v>
      </c>
      <c r="K22" s="729"/>
      <c r="L22" s="729"/>
    </row>
    <row r="23" spans="1:12" ht="12.75" customHeight="1" x14ac:dyDescent="0.2">
      <c r="A23" s="1682"/>
      <c r="B23" s="1686"/>
      <c r="C23" s="1687"/>
      <c r="D23" s="732">
        <v>2232</v>
      </c>
      <c r="E23" s="565">
        <v>388</v>
      </c>
      <c r="F23" s="565"/>
      <c r="G23" s="565">
        <f t="shared" si="0"/>
        <v>388</v>
      </c>
      <c r="H23" s="1691"/>
      <c r="I23" s="733"/>
      <c r="K23" s="729"/>
      <c r="L23" s="729"/>
    </row>
    <row r="24" spans="1:12" ht="12.75" customHeight="1" x14ac:dyDescent="0.2">
      <c r="A24" s="1682"/>
      <c r="B24" s="1686"/>
      <c r="C24" s="1687"/>
      <c r="D24" s="732">
        <v>5234</v>
      </c>
      <c r="E24" s="565">
        <v>1500</v>
      </c>
      <c r="F24" s="565"/>
      <c r="G24" s="565">
        <v>1500</v>
      </c>
      <c r="H24" s="1691"/>
      <c r="I24" s="733" t="s">
        <v>546</v>
      </c>
      <c r="K24" s="729"/>
      <c r="L24" s="729"/>
    </row>
    <row r="25" spans="1:12" ht="12.75" customHeight="1" x14ac:dyDescent="0.2">
      <c r="A25" s="1682"/>
      <c r="B25" s="1686"/>
      <c r="C25" s="1687"/>
      <c r="D25" s="732">
        <v>2314</v>
      </c>
      <c r="E25" s="565">
        <v>774</v>
      </c>
      <c r="F25" s="565"/>
      <c r="G25" s="565">
        <v>774</v>
      </c>
      <c r="H25" s="1691"/>
      <c r="I25" s="733" t="s">
        <v>546</v>
      </c>
      <c r="K25" s="729"/>
      <c r="L25" s="729"/>
    </row>
    <row r="26" spans="1:12" ht="18.75" customHeight="1" x14ac:dyDescent="0.2">
      <c r="A26" s="1683"/>
      <c r="B26" s="1688"/>
      <c r="C26" s="1689"/>
      <c r="D26" s="732">
        <v>2279</v>
      </c>
      <c r="E26" s="565">
        <v>1200</v>
      </c>
      <c r="F26" s="565"/>
      <c r="G26" s="565">
        <v>1200</v>
      </c>
      <c r="H26" s="1692"/>
      <c r="I26" s="733" t="s">
        <v>546</v>
      </c>
      <c r="K26" s="729"/>
      <c r="L26" s="729"/>
    </row>
    <row r="27" spans="1:12" x14ac:dyDescent="0.2">
      <c r="A27" s="731">
        <v>2</v>
      </c>
      <c r="B27" s="1693" t="s">
        <v>547</v>
      </c>
      <c r="C27" s="1694"/>
      <c r="D27" s="730"/>
      <c r="E27" s="730">
        <f>SUM(E28:E34)</f>
        <v>5447</v>
      </c>
      <c r="F27" s="730">
        <f t="shared" ref="F27:G27" si="1">SUM(F28:F34)</f>
        <v>-600</v>
      </c>
      <c r="G27" s="730">
        <f t="shared" si="1"/>
        <v>4847</v>
      </c>
      <c r="H27" s="730"/>
      <c r="I27" s="565"/>
      <c r="K27" s="729"/>
      <c r="L27" s="729"/>
    </row>
    <row r="28" spans="1:12" x14ac:dyDescent="0.2">
      <c r="A28" s="1695" t="s">
        <v>548</v>
      </c>
      <c r="B28" s="1684" t="s">
        <v>549</v>
      </c>
      <c r="C28" s="1685"/>
      <c r="D28" s="732">
        <v>2262</v>
      </c>
      <c r="E28" s="565">
        <v>600</v>
      </c>
      <c r="F28" s="565">
        <v>-600</v>
      </c>
      <c r="G28" s="565">
        <f t="shared" ref="G28:G34" si="2">E28+F28</f>
        <v>0</v>
      </c>
      <c r="H28" s="565" t="s">
        <v>550</v>
      </c>
      <c r="I28" s="1676" t="s">
        <v>540</v>
      </c>
      <c r="K28" s="729"/>
      <c r="L28" s="729"/>
    </row>
    <row r="29" spans="1:12" ht="12.75" customHeight="1" x14ac:dyDescent="0.2">
      <c r="A29" s="1695"/>
      <c r="B29" s="1686"/>
      <c r="C29" s="1687"/>
      <c r="D29" s="732">
        <v>2264</v>
      </c>
      <c r="E29" s="565">
        <v>427</v>
      </c>
      <c r="F29" s="565"/>
      <c r="G29" s="565">
        <f t="shared" si="2"/>
        <v>427</v>
      </c>
      <c r="H29" s="565"/>
      <c r="I29" s="1677"/>
      <c r="K29" s="729"/>
      <c r="L29" s="729"/>
    </row>
    <row r="30" spans="1:12" ht="12.75" customHeight="1" x14ac:dyDescent="0.2">
      <c r="A30" s="1695"/>
      <c r="B30" s="1686"/>
      <c r="C30" s="1687"/>
      <c r="D30" s="732">
        <v>2279</v>
      </c>
      <c r="E30" s="565">
        <v>3370</v>
      </c>
      <c r="F30" s="565"/>
      <c r="G30" s="565">
        <f t="shared" si="2"/>
        <v>3370</v>
      </c>
      <c r="H30" s="565"/>
      <c r="I30" s="1677"/>
      <c r="K30" s="729"/>
      <c r="L30" s="729"/>
    </row>
    <row r="31" spans="1:12" ht="12.75" customHeight="1" x14ac:dyDescent="0.2">
      <c r="A31" s="1695"/>
      <c r="B31" s="1688"/>
      <c r="C31" s="1689"/>
      <c r="D31" s="732">
        <v>2314</v>
      </c>
      <c r="E31" s="565">
        <v>300</v>
      </c>
      <c r="F31" s="565"/>
      <c r="G31" s="565">
        <f t="shared" si="2"/>
        <v>300</v>
      </c>
      <c r="H31" s="565"/>
      <c r="I31" s="1678"/>
      <c r="K31" s="729"/>
      <c r="L31" s="729"/>
    </row>
    <row r="32" spans="1:12" x14ac:dyDescent="0.2">
      <c r="A32" s="1695" t="s">
        <v>551</v>
      </c>
      <c r="B32" s="1684" t="s">
        <v>552</v>
      </c>
      <c r="C32" s="1685"/>
      <c r="D32" s="732">
        <v>2279</v>
      </c>
      <c r="E32" s="565">
        <v>300</v>
      </c>
      <c r="F32" s="565"/>
      <c r="G32" s="565">
        <f t="shared" si="2"/>
        <v>300</v>
      </c>
      <c r="H32" s="565"/>
      <c r="I32" s="1676" t="s">
        <v>540</v>
      </c>
      <c r="K32" s="729"/>
      <c r="L32" s="729"/>
    </row>
    <row r="33" spans="1:12" ht="12.75" customHeight="1" x14ac:dyDescent="0.2">
      <c r="A33" s="1695"/>
      <c r="B33" s="1686"/>
      <c r="C33" s="1687"/>
      <c r="D33" s="732">
        <v>2264</v>
      </c>
      <c r="E33" s="565">
        <v>210</v>
      </c>
      <c r="F33" s="565"/>
      <c r="G33" s="565">
        <f t="shared" si="2"/>
        <v>210</v>
      </c>
      <c r="H33" s="565"/>
      <c r="I33" s="1677"/>
      <c r="K33" s="729"/>
      <c r="L33" s="729"/>
    </row>
    <row r="34" spans="1:12" ht="12.75" customHeight="1" x14ac:dyDescent="0.2">
      <c r="A34" s="1695"/>
      <c r="B34" s="1688"/>
      <c r="C34" s="1689"/>
      <c r="D34" s="732">
        <v>2314</v>
      </c>
      <c r="E34" s="565">
        <v>240</v>
      </c>
      <c r="F34" s="565"/>
      <c r="G34" s="565">
        <f t="shared" si="2"/>
        <v>240</v>
      </c>
      <c r="H34" s="565"/>
      <c r="I34" s="1678"/>
      <c r="K34" s="729"/>
      <c r="L34" s="729"/>
    </row>
    <row r="35" spans="1:12" x14ac:dyDescent="0.2">
      <c r="A35" s="731">
        <v>3</v>
      </c>
      <c r="B35" s="1693" t="s">
        <v>553</v>
      </c>
      <c r="C35" s="1694"/>
      <c r="D35" s="730"/>
      <c r="E35" s="730">
        <f>SUM(E36:E37)</f>
        <v>10000</v>
      </c>
      <c r="F35" s="730">
        <f t="shared" ref="F35:G35" si="3">SUM(F36:F37)</f>
        <v>0</v>
      </c>
      <c r="G35" s="730">
        <f t="shared" si="3"/>
        <v>10000</v>
      </c>
      <c r="H35" s="730"/>
      <c r="I35" s="565"/>
      <c r="K35" s="729"/>
      <c r="L35" s="729"/>
    </row>
    <row r="36" spans="1:12" x14ac:dyDescent="0.2">
      <c r="A36" s="734" t="s">
        <v>554</v>
      </c>
      <c r="B36" s="1700" t="s">
        <v>555</v>
      </c>
      <c r="C36" s="1701"/>
      <c r="D36" s="732">
        <v>2279</v>
      </c>
      <c r="E36" s="565">
        <v>6000</v>
      </c>
      <c r="F36" s="565"/>
      <c r="G36" s="565">
        <f t="shared" ref="G36:G37" si="4">E36+F36</f>
        <v>6000</v>
      </c>
      <c r="H36" s="565"/>
      <c r="I36" s="579" t="s">
        <v>540</v>
      </c>
      <c r="K36" s="729"/>
      <c r="L36" s="729"/>
    </row>
    <row r="37" spans="1:12" x14ac:dyDescent="0.2">
      <c r="A37" s="734" t="s">
        <v>556</v>
      </c>
      <c r="B37" s="1700" t="s">
        <v>557</v>
      </c>
      <c r="C37" s="1701"/>
      <c r="D37" s="732">
        <v>2279</v>
      </c>
      <c r="E37" s="565">
        <v>4000</v>
      </c>
      <c r="F37" s="565"/>
      <c r="G37" s="565">
        <f t="shared" si="4"/>
        <v>4000</v>
      </c>
      <c r="H37" s="565"/>
      <c r="I37" s="579" t="s">
        <v>540</v>
      </c>
      <c r="K37" s="729"/>
      <c r="L37" s="729"/>
    </row>
    <row r="38" spans="1:12" x14ac:dyDescent="0.2">
      <c r="A38" s="731">
        <v>4</v>
      </c>
      <c r="B38" s="1693" t="s">
        <v>558</v>
      </c>
      <c r="C38" s="1694"/>
      <c r="D38" s="730"/>
      <c r="E38" s="730">
        <f>SUM(E39:E44)</f>
        <v>3710</v>
      </c>
      <c r="F38" s="730">
        <f t="shared" ref="F38:G38" si="5">SUM(F39:F44)</f>
        <v>0</v>
      </c>
      <c r="G38" s="730">
        <f t="shared" si="5"/>
        <v>3710</v>
      </c>
      <c r="H38" s="730"/>
      <c r="I38" s="565"/>
      <c r="K38" s="729"/>
      <c r="L38" s="729"/>
    </row>
    <row r="39" spans="1:12" ht="25.5" customHeight="1" x14ac:dyDescent="0.2">
      <c r="A39" s="734" t="s">
        <v>559</v>
      </c>
      <c r="B39" s="1700" t="s">
        <v>560</v>
      </c>
      <c r="C39" s="1701"/>
      <c r="D39" s="732">
        <v>2279</v>
      </c>
      <c r="E39" s="565">
        <v>2000</v>
      </c>
      <c r="F39" s="565"/>
      <c r="G39" s="565">
        <f t="shared" ref="G39:G44" si="6">E39+F39</f>
        <v>2000</v>
      </c>
      <c r="H39" s="565"/>
      <c r="I39" s="579" t="s">
        <v>540</v>
      </c>
      <c r="K39" s="729"/>
      <c r="L39" s="729"/>
    </row>
    <row r="40" spans="1:12" x14ac:dyDescent="0.2">
      <c r="A40" s="1695" t="s">
        <v>561</v>
      </c>
      <c r="B40" s="1684" t="s">
        <v>562</v>
      </c>
      <c r="C40" s="1685"/>
      <c r="D40" s="732">
        <v>2261</v>
      </c>
      <c r="E40" s="565">
        <v>143</v>
      </c>
      <c r="F40" s="565"/>
      <c r="G40" s="565">
        <f t="shared" si="6"/>
        <v>143</v>
      </c>
      <c r="H40" s="565"/>
      <c r="I40" s="1676" t="s">
        <v>540</v>
      </c>
      <c r="K40" s="729"/>
      <c r="L40" s="729"/>
    </row>
    <row r="41" spans="1:12" ht="12.75" customHeight="1" x14ac:dyDescent="0.2">
      <c r="A41" s="1695"/>
      <c r="B41" s="1686"/>
      <c r="C41" s="1687"/>
      <c r="D41" s="732">
        <v>2262</v>
      </c>
      <c r="E41" s="565">
        <v>285</v>
      </c>
      <c r="F41" s="565"/>
      <c r="G41" s="565">
        <f t="shared" si="6"/>
        <v>285</v>
      </c>
      <c r="H41" s="565"/>
      <c r="I41" s="1677"/>
      <c r="K41" s="729"/>
      <c r="L41" s="729"/>
    </row>
    <row r="42" spans="1:12" ht="12.75" customHeight="1" x14ac:dyDescent="0.2">
      <c r="A42" s="1695"/>
      <c r="B42" s="1686"/>
      <c r="C42" s="1687"/>
      <c r="D42" s="732">
        <v>2264</v>
      </c>
      <c r="E42" s="565">
        <v>570</v>
      </c>
      <c r="F42" s="565"/>
      <c r="G42" s="565">
        <f t="shared" si="6"/>
        <v>570</v>
      </c>
      <c r="H42" s="565"/>
      <c r="I42" s="1677"/>
      <c r="K42" s="729"/>
      <c r="L42" s="729"/>
    </row>
    <row r="43" spans="1:12" ht="12.75" customHeight="1" x14ac:dyDescent="0.2">
      <c r="A43" s="1695"/>
      <c r="B43" s="1686"/>
      <c r="C43" s="1687"/>
      <c r="D43" s="732">
        <v>2279</v>
      </c>
      <c r="E43" s="565">
        <v>427</v>
      </c>
      <c r="F43" s="565"/>
      <c r="G43" s="565">
        <f t="shared" si="6"/>
        <v>427</v>
      </c>
      <c r="H43" s="565"/>
      <c r="I43" s="1677"/>
      <c r="K43" s="729"/>
      <c r="L43" s="729"/>
    </row>
    <row r="44" spans="1:12" ht="12.75" customHeight="1" x14ac:dyDescent="0.2">
      <c r="A44" s="1695"/>
      <c r="B44" s="1688"/>
      <c r="C44" s="1689"/>
      <c r="D44" s="732">
        <v>2314</v>
      </c>
      <c r="E44" s="565">
        <v>285</v>
      </c>
      <c r="F44" s="565"/>
      <c r="G44" s="565">
        <f t="shared" si="6"/>
        <v>285</v>
      </c>
      <c r="H44" s="565"/>
      <c r="I44" s="1678"/>
      <c r="K44" s="729"/>
      <c r="L44" s="729"/>
    </row>
    <row r="45" spans="1:12" x14ac:dyDescent="0.2">
      <c r="A45" s="731">
        <v>5</v>
      </c>
      <c r="B45" s="1693" t="s">
        <v>563</v>
      </c>
      <c r="C45" s="1694"/>
      <c r="D45" s="730"/>
      <c r="E45" s="730">
        <f>SUM(E46:E52)</f>
        <v>1800</v>
      </c>
      <c r="F45" s="730">
        <f t="shared" ref="F45:G45" si="7">SUM(F46:F52)</f>
        <v>0</v>
      </c>
      <c r="G45" s="730">
        <f t="shared" si="7"/>
        <v>1800</v>
      </c>
      <c r="H45" s="730"/>
      <c r="I45" s="565"/>
      <c r="K45" s="729"/>
      <c r="L45" s="729"/>
    </row>
    <row r="46" spans="1:12" x14ac:dyDescent="0.2">
      <c r="A46" s="1695" t="s">
        <v>564</v>
      </c>
      <c r="B46" s="1684" t="s">
        <v>565</v>
      </c>
      <c r="C46" s="1685"/>
      <c r="D46" s="732">
        <v>2279</v>
      </c>
      <c r="E46" s="565">
        <v>100</v>
      </c>
      <c r="F46" s="565"/>
      <c r="G46" s="565">
        <f t="shared" ref="G46:G52" si="8">E46+F46</f>
        <v>100</v>
      </c>
      <c r="H46" s="565"/>
      <c r="I46" s="1676" t="s">
        <v>566</v>
      </c>
      <c r="K46" s="729"/>
      <c r="L46" s="729"/>
    </row>
    <row r="47" spans="1:12" ht="12.75" customHeight="1" x14ac:dyDescent="0.2">
      <c r="A47" s="1695"/>
      <c r="B47" s="1688"/>
      <c r="C47" s="1689"/>
      <c r="D47" s="732">
        <v>2314</v>
      </c>
      <c r="E47" s="565">
        <v>150</v>
      </c>
      <c r="F47" s="565"/>
      <c r="G47" s="565">
        <f t="shared" si="8"/>
        <v>150</v>
      </c>
      <c r="H47" s="565"/>
      <c r="I47" s="1678"/>
      <c r="K47" s="729"/>
      <c r="L47" s="729"/>
    </row>
    <row r="48" spans="1:12" x14ac:dyDescent="0.2">
      <c r="A48" s="1695" t="s">
        <v>567</v>
      </c>
      <c r="B48" s="1684" t="s">
        <v>568</v>
      </c>
      <c r="C48" s="1685"/>
      <c r="D48" s="732">
        <v>2279</v>
      </c>
      <c r="E48" s="565">
        <v>100</v>
      </c>
      <c r="F48" s="565"/>
      <c r="G48" s="565">
        <f t="shared" si="8"/>
        <v>100</v>
      </c>
      <c r="H48" s="565"/>
      <c r="I48" s="1676" t="s">
        <v>566</v>
      </c>
      <c r="K48" s="729"/>
      <c r="L48" s="729"/>
    </row>
    <row r="49" spans="1:12" ht="12.75" customHeight="1" x14ac:dyDescent="0.2">
      <c r="A49" s="1695"/>
      <c r="B49" s="1688"/>
      <c r="C49" s="1689"/>
      <c r="D49" s="732">
        <v>2314</v>
      </c>
      <c r="E49" s="565">
        <v>150</v>
      </c>
      <c r="F49" s="565"/>
      <c r="G49" s="565">
        <f t="shared" si="8"/>
        <v>150</v>
      </c>
      <c r="H49" s="565"/>
      <c r="I49" s="1678"/>
      <c r="K49" s="729"/>
      <c r="L49" s="729"/>
    </row>
    <row r="50" spans="1:12" x14ac:dyDescent="0.2">
      <c r="A50" s="734" t="s">
        <v>569</v>
      </c>
      <c r="B50" s="1700" t="s">
        <v>570</v>
      </c>
      <c r="C50" s="1701"/>
      <c r="D50" s="735">
        <v>2279</v>
      </c>
      <c r="E50" s="565">
        <v>1030</v>
      </c>
      <c r="F50" s="565"/>
      <c r="G50" s="565">
        <f t="shared" si="8"/>
        <v>1030</v>
      </c>
      <c r="H50" s="565"/>
      <c r="I50" s="579" t="s">
        <v>566</v>
      </c>
      <c r="K50" s="729"/>
      <c r="L50" s="729"/>
    </row>
    <row r="51" spans="1:12" x14ac:dyDescent="0.2">
      <c r="A51" s="1695" t="s">
        <v>571</v>
      </c>
      <c r="B51" s="1684" t="s">
        <v>572</v>
      </c>
      <c r="C51" s="1685"/>
      <c r="D51" s="735">
        <v>2311</v>
      </c>
      <c r="E51" s="565">
        <v>110</v>
      </c>
      <c r="F51" s="565"/>
      <c r="G51" s="565">
        <f t="shared" si="8"/>
        <v>110</v>
      </c>
      <c r="H51" s="565"/>
      <c r="I51" s="1676" t="s">
        <v>566</v>
      </c>
      <c r="K51" s="729"/>
      <c r="L51" s="729"/>
    </row>
    <row r="52" spans="1:12" ht="12.75" customHeight="1" x14ac:dyDescent="0.2">
      <c r="A52" s="1695"/>
      <c r="B52" s="1688"/>
      <c r="C52" s="1689"/>
      <c r="D52" s="732">
        <v>2314</v>
      </c>
      <c r="E52" s="565">
        <v>160</v>
      </c>
      <c r="F52" s="565"/>
      <c r="G52" s="565">
        <f t="shared" si="8"/>
        <v>160</v>
      </c>
      <c r="H52" s="565"/>
      <c r="I52" s="1678"/>
      <c r="K52" s="729"/>
      <c r="L52" s="729"/>
    </row>
    <row r="53" spans="1:12" x14ac:dyDescent="0.2">
      <c r="A53" s="731">
        <v>6</v>
      </c>
      <c r="B53" s="1693" t="s">
        <v>573</v>
      </c>
      <c r="C53" s="1694"/>
      <c r="D53" s="730"/>
      <c r="E53" s="730">
        <f>SUM(E54:E64)</f>
        <v>1578</v>
      </c>
      <c r="F53" s="730">
        <f t="shared" ref="F53:G53" si="9">SUM(F54:F64)</f>
        <v>0</v>
      </c>
      <c r="G53" s="730">
        <f t="shared" si="9"/>
        <v>1578</v>
      </c>
      <c r="H53" s="730"/>
      <c r="I53" s="565"/>
      <c r="K53" s="729"/>
      <c r="L53" s="729"/>
    </row>
    <row r="54" spans="1:12" x14ac:dyDescent="0.2">
      <c r="A54" s="1695" t="s">
        <v>574</v>
      </c>
      <c r="B54" s="1684" t="s">
        <v>575</v>
      </c>
      <c r="C54" s="1685"/>
      <c r="D54" s="732">
        <v>2261</v>
      </c>
      <c r="E54" s="565">
        <v>144</v>
      </c>
      <c r="F54" s="565"/>
      <c r="G54" s="565">
        <f t="shared" ref="G54:G64" si="10">E54+F54</f>
        <v>144</v>
      </c>
      <c r="H54" s="565"/>
      <c r="I54" s="1702" t="s">
        <v>540</v>
      </c>
      <c r="K54" s="729"/>
      <c r="L54" s="729"/>
    </row>
    <row r="55" spans="1:12" ht="12.75" customHeight="1" x14ac:dyDescent="0.2">
      <c r="A55" s="1695"/>
      <c r="B55" s="1686"/>
      <c r="C55" s="1687"/>
      <c r="D55" s="732">
        <v>2264</v>
      </c>
      <c r="E55" s="565">
        <v>72</v>
      </c>
      <c r="F55" s="565"/>
      <c r="G55" s="565">
        <f t="shared" si="10"/>
        <v>72</v>
      </c>
      <c r="H55" s="565"/>
      <c r="I55" s="1703"/>
      <c r="K55" s="729"/>
      <c r="L55" s="729"/>
    </row>
    <row r="56" spans="1:12" ht="12.75" customHeight="1" x14ac:dyDescent="0.2">
      <c r="A56" s="1695"/>
      <c r="B56" s="1688"/>
      <c r="C56" s="1689"/>
      <c r="D56" s="732">
        <v>2314</v>
      </c>
      <c r="E56" s="565">
        <v>285</v>
      </c>
      <c r="F56" s="565"/>
      <c r="G56" s="565">
        <f t="shared" si="10"/>
        <v>285</v>
      </c>
      <c r="H56" s="565"/>
      <c r="I56" s="1704"/>
      <c r="K56" s="729"/>
      <c r="L56" s="729"/>
    </row>
    <row r="57" spans="1:12" x14ac:dyDescent="0.2">
      <c r="A57" s="1695" t="s">
        <v>576</v>
      </c>
      <c r="B57" s="1684" t="s">
        <v>577</v>
      </c>
      <c r="C57" s="1685"/>
      <c r="D57" s="732">
        <v>2261</v>
      </c>
      <c r="E57" s="736">
        <v>72</v>
      </c>
      <c r="F57" s="736"/>
      <c r="G57" s="736">
        <f t="shared" si="10"/>
        <v>72</v>
      </c>
      <c r="H57" s="736"/>
      <c r="I57" s="1676" t="s">
        <v>540</v>
      </c>
      <c r="K57" s="729"/>
      <c r="L57" s="729"/>
    </row>
    <row r="58" spans="1:12" ht="12.75" customHeight="1" x14ac:dyDescent="0.2">
      <c r="A58" s="1695"/>
      <c r="B58" s="1686"/>
      <c r="C58" s="1687"/>
      <c r="D58" s="732">
        <v>2264</v>
      </c>
      <c r="E58" s="565">
        <v>72</v>
      </c>
      <c r="F58" s="565"/>
      <c r="G58" s="565">
        <f t="shared" si="10"/>
        <v>72</v>
      </c>
      <c r="H58" s="565"/>
      <c r="I58" s="1677"/>
      <c r="K58" s="729"/>
      <c r="L58" s="729"/>
    </row>
    <row r="59" spans="1:12" ht="12.75" customHeight="1" x14ac:dyDescent="0.2">
      <c r="A59" s="1695"/>
      <c r="B59" s="1688"/>
      <c r="C59" s="1689"/>
      <c r="D59" s="732">
        <v>2314</v>
      </c>
      <c r="E59" s="565">
        <v>150</v>
      </c>
      <c r="F59" s="565"/>
      <c r="G59" s="565">
        <f t="shared" si="10"/>
        <v>150</v>
      </c>
      <c r="H59" s="565"/>
      <c r="I59" s="1678"/>
      <c r="K59" s="729"/>
      <c r="L59" s="729"/>
    </row>
    <row r="60" spans="1:12" x14ac:dyDescent="0.2">
      <c r="A60" s="1705" t="s">
        <v>578</v>
      </c>
      <c r="B60" s="1684" t="s">
        <v>579</v>
      </c>
      <c r="C60" s="1685"/>
      <c r="D60" s="732">
        <v>2261</v>
      </c>
      <c r="E60" s="565">
        <v>144</v>
      </c>
      <c r="F60" s="565"/>
      <c r="G60" s="565">
        <f t="shared" si="10"/>
        <v>144</v>
      </c>
      <c r="H60" s="565"/>
      <c r="I60" s="1676" t="s">
        <v>540</v>
      </c>
      <c r="K60" s="729"/>
      <c r="L60" s="729"/>
    </row>
    <row r="61" spans="1:12" ht="12.75" customHeight="1" x14ac:dyDescent="0.2">
      <c r="A61" s="1705"/>
      <c r="B61" s="1686"/>
      <c r="C61" s="1687"/>
      <c r="D61" s="732">
        <v>2264</v>
      </c>
      <c r="E61" s="565">
        <v>72</v>
      </c>
      <c r="F61" s="565"/>
      <c r="G61" s="565">
        <f t="shared" si="10"/>
        <v>72</v>
      </c>
      <c r="H61" s="565"/>
      <c r="I61" s="1677"/>
      <c r="K61" s="729"/>
      <c r="L61" s="729"/>
    </row>
    <row r="62" spans="1:12" ht="12.75" customHeight="1" x14ac:dyDescent="0.2">
      <c r="A62" s="1705"/>
      <c r="B62" s="1688"/>
      <c r="C62" s="1689"/>
      <c r="D62" s="732">
        <v>2314</v>
      </c>
      <c r="E62" s="565">
        <v>285</v>
      </c>
      <c r="F62" s="565"/>
      <c r="G62" s="565">
        <f t="shared" si="10"/>
        <v>285</v>
      </c>
      <c r="H62" s="565"/>
      <c r="I62" s="1678"/>
      <c r="K62" s="729"/>
      <c r="L62" s="729"/>
    </row>
    <row r="63" spans="1:12" x14ac:dyDescent="0.2">
      <c r="A63" s="1695" t="s">
        <v>580</v>
      </c>
      <c r="B63" s="1684" t="s">
        <v>581</v>
      </c>
      <c r="C63" s="1685"/>
      <c r="D63" s="732">
        <v>2261</v>
      </c>
      <c r="E63" s="565">
        <v>72</v>
      </c>
      <c r="F63" s="565"/>
      <c r="G63" s="565">
        <f t="shared" si="10"/>
        <v>72</v>
      </c>
      <c r="H63" s="565"/>
      <c r="I63" s="1676" t="s">
        <v>540</v>
      </c>
      <c r="K63" s="729"/>
      <c r="L63" s="729"/>
    </row>
    <row r="64" spans="1:12" ht="12.75" customHeight="1" x14ac:dyDescent="0.2">
      <c r="A64" s="1695"/>
      <c r="B64" s="1688"/>
      <c r="C64" s="1689"/>
      <c r="D64" s="732">
        <v>2314</v>
      </c>
      <c r="E64" s="565">
        <v>210</v>
      </c>
      <c r="F64" s="565"/>
      <c r="G64" s="565">
        <f t="shared" si="10"/>
        <v>210</v>
      </c>
      <c r="H64" s="565"/>
      <c r="I64" s="1678"/>
      <c r="K64" s="729"/>
      <c r="L64" s="729"/>
    </row>
    <row r="65" spans="1:12" x14ac:dyDescent="0.2">
      <c r="A65" s="731">
        <v>7</v>
      </c>
      <c r="B65" s="1693" t="s">
        <v>582</v>
      </c>
      <c r="C65" s="1694"/>
      <c r="D65" s="730"/>
      <c r="E65" s="730">
        <f>SUM(E66:E80)</f>
        <v>3634</v>
      </c>
      <c r="F65" s="730">
        <f t="shared" ref="F65:G65" si="11">SUM(F66:F80)</f>
        <v>0</v>
      </c>
      <c r="G65" s="730">
        <f t="shared" si="11"/>
        <v>3634</v>
      </c>
      <c r="H65" s="730"/>
      <c r="I65" s="565"/>
      <c r="K65" s="729"/>
      <c r="L65" s="729"/>
    </row>
    <row r="66" spans="1:12" x14ac:dyDescent="0.2">
      <c r="A66" s="734" t="s">
        <v>583</v>
      </c>
      <c r="B66" s="1700" t="s">
        <v>584</v>
      </c>
      <c r="C66" s="1701"/>
      <c r="D66" s="732">
        <v>2279</v>
      </c>
      <c r="E66" s="565">
        <v>84</v>
      </c>
      <c r="F66" s="565"/>
      <c r="G66" s="565">
        <f t="shared" ref="G66:G80" si="12">E66+F66</f>
        <v>84</v>
      </c>
      <c r="H66" s="565"/>
      <c r="I66" s="579" t="s">
        <v>540</v>
      </c>
      <c r="K66" s="729"/>
      <c r="L66" s="729"/>
    </row>
    <row r="67" spans="1:12" x14ac:dyDescent="0.2">
      <c r="A67" s="734" t="s">
        <v>585</v>
      </c>
      <c r="B67" s="1700" t="s">
        <v>586</v>
      </c>
      <c r="C67" s="1701"/>
      <c r="D67" s="732">
        <v>2279</v>
      </c>
      <c r="E67" s="565">
        <v>108</v>
      </c>
      <c r="F67" s="565"/>
      <c r="G67" s="565">
        <f t="shared" si="12"/>
        <v>108</v>
      </c>
      <c r="H67" s="565"/>
      <c r="I67" s="579" t="s">
        <v>540</v>
      </c>
      <c r="K67" s="729"/>
      <c r="L67" s="729"/>
    </row>
    <row r="68" spans="1:12" x14ac:dyDescent="0.2">
      <c r="A68" s="734" t="s">
        <v>587</v>
      </c>
      <c r="B68" s="1700" t="s">
        <v>588</v>
      </c>
      <c r="C68" s="1701"/>
      <c r="D68" s="732">
        <v>2279</v>
      </c>
      <c r="E68" s="565">
        <v>186</v>
      </c>
      <c r="F68" s="565"/>
      <c r="G68" s="565">
        <f t="shared" si="12"/>
        <v>186</v>
      </c>
      <c r="H68" s="565"/>
      <c r="I68" s="579" t="s">
        <v>540</v>
      </c>
      <c r="K68" s="729"/>
      <c r="L68" s="729"/>
    </row>
    <row r="69" spans="1:12" x14ac:dyDescent="0.2">
      <c r="A69" s="734" t="s">
        <v>589</v>
      </c>
      <c r="B69" s="1700" t="s">
        <v>590</v>
      </c>
      <c r="C69" s="1701"/>
      <c r="D69" s="732">
        <v>2279</v>
      </c>
      <c r="E69" s="565">
        <v>288</v>
      </c>
      <c r="F69" s="565"/>
      <c r="G69" s="565">
        <f t="shared" si="12"/>
        <v>288</v>
      </c>
      <c r="H69" s="565"/>
      <c r="I69" s="579" t="s">
        <v>540</v>
      </c>
      <c r="K69" s="729"/>
      <c r="L69" s="729"/>
    </row>
    <row r="70" spans="1:12" x14ac:dyDescent="0.2">
      <c r="A70" s="734" t="s">
        <v>591</v>
      </c>
      <c r="B70" s="1700" t="s">
        <v>592</v>
      </c>
      <c r="C70" s="1701"/>
      <c r="D70" s="732">
        <v>2279</v>
      </c>
      <c r="E70" s="565">
        <v>216</v>
      </c>
      <c r="F70" s="565"/>
      <c r="G70" s="565">
        <f t="shared" si="12"/>
        <v>216</v>
      </c>
      <c r="H70" s="565"/>
      <c r="I70" s="579" t="s">
        <v>540</v>
      </c>
      <c r="K70" s="729"/>
      <c r="L70" s="729"/>
    </row>
    <row r="71" spans="1:12" x14ac:dyDescent="0.2">
      <c r="A71" s="734" t="s">
        <v>593</v>
      </c>
      <c r="B71" s="1700" t="s">
        <v>594</v>
      </c>
      <c r="C71" s="1701"/>
      <c r="D71" s="732">
        <v>2279</v>
      </c>
      <c r="E71" s="565">
        <v>360</v>
      </c>
      <c r="F71" s="565"/>
      <c r="G71" s="565">
        <f t="shared" si="12"/>
        <v>360</v>
      </c>
      <c r="H71" s="565"/>
      <c r="I71" s="579" t="s">
        <v>540</v>
      </c>
      <c r="K71" s="729"/>
      <c r="L71" s="729"/>
    </row>
    <row r="72" spans="1:12" x14ac:dyDescent="0.2">
      <c r="A72" s="734" t="s">
        <v>595</v>
      </c>
      <c r="B72" s="1700" t="s">
        <v>596</v>
      </c>
      <c r="C72" s="1701"/>
      <c r="D72" s="732">
        <v>2279</v>
      </c>
      <c r="E72" s="565">
        <v>120</v>
      </c>
      <c r="F72" s="565"/>
      <c r="G72" s="565">
        <f t="shared" si="12"/>
        <v>120</v>
      </c>
      <c r="H72" s="565"/>
      <c r="I72" s="579" t="s">
        <v>540</v>
      </c>
      <c r="K72" s="729"/>
      <c r="L72" s="729"/>
    </row>
    <row r="73" spans="1:12" x14ac:dyDescent="0.2">
      <c r="A73" s="737" t="s">
        <v>597</v>
      </c>
      <c r="B73" s="1684" t="s">
        <v>598</v>
      </c>
      <c r="C73" s="1685"/>
      <c r="D73" s="732">
        <v>2279</v>
      </c>
      <c r="E73" s="565">
        <v>240</v>
      </c>
      <c r="F73" s="565"/>
      <c r="G73" s="565">
        <f t="shared" si="12"/>
        <v>240</v>
      </c>
      <c r="H73" s="565"/>
      <c r="I73" s="738" t="s">
        <v>540</v>
      </c>
      <c r="K73" s="729"/>
      <c r="L73" s="729"/>
    </row>
    <row r="74" spans="1:12" x14ac:dyDescent="0.2">
      <c r="A74" s="737" t="s">
        <v>599</v>
      </c>
      <c r="B74" s="1684" t="s">
        <v>600</v>
      </c>
      <c r="C74" s="1685"/>
      <c r="D74" s="732">
        <v>2279</v>
      </c>
      <c r="E74" s="565">
        <v>240</v>
      </c>
      <c r="F74" s="565"/>
      <c r="G74" s="565">
        <f t="shared" si="12"/>
        <v>240</v>
      </c>
      <c r="H74" s="565"/>
      <c r="I74" s="738" t="s">
        <v>540</v>
      </c>
      <c r="K74" s="729"/>
      <c r="L74" s="729"/>
    </row>
    <row r="75" spans="1:12" x14ac:dyDescent="0.2">
      <c r="A75" s="734" t="s">
        <v>601</v>
      </c>
      <c r="B75" s="1700" t="s">
        <v>602</v>
      </c>
      <c r="C75" s="1701"/>
      <c r="D75" s="732">
        <v>2279</v>
      </c>
      <c r="E75" s="565">
        <v>210</v>
      </c>
      <c r="F75" s="565"/>
      <c r="G75" s="565">
        <f t="shared" si="12"/>
        <v>210</v>
      </c>
      <c r="H75" s="565"/>
      <c r="I75" s="579" t="s">
        <v>540</v>
      </c>
      <c r="K75" s="729"/>
      <c r="L75" s="729"/>
    </row>
    <row r="76" spans="1:12" x14ac:dyDescent="0.2">
      <c r="A76" s="734" t="s">
        <v>603</v>
      </c>
      <c r="B76" s="1700" t="s">
        <v>604</v>
      </c>
      <c r="C76" s="1701"/>
      <c r="D76" s="732">
        <v>2279</v>
      </c>
      <c r="E76" s="565">
        <v>84</v>
      </c>
      <c r="F76" s="565"/>
      <c r="G76" s="565">
        <f t="shared" si="12"/>
        <v>84</v>
      </c>
      <c r="H76" s="565"/>
      <c r="I76" s="579" t="s">
        <v>540</v>
      </c>
      <c r="K76" s="729"/>
      <c r="L76" s="729"/>
    </row>
    <row r="77" spans="1:12" ht="12" customHeight="1" x14ac:dyDescent="0.2">
      <c r="A77" s="1706" t="s">
        <v>605</v>
      </c>
      <c r="B77" s="1684" t="s">
        <v>606</v>
      </c>
      <c r="C77" s="1685"/>
      <c r="D77" s="732">
        <v>2314</v>
      </c>
      <c r="E77" s="565">
        <v>345</v>
      </c>
      <c r="F77" s="565"/>
      <c r="G77" s="565">
        <f t="shared" si="12"/>
        <v>345</v>
      </c>
      <c r="H77" s="565"/>
      <c r="I77" s="1676" t="s">
        <v>540</v>
      </c>
      <c r="K77" s="729"/>
      <c r="L77" s="729"/>
    </row>
    <row r="78" spans="1:12" ht="12.75" customHeight="1" x14ac:dyDescent="0.2">
      <c r="A78" s="1707"/>
      <c r="B78" s="1686"/>
      <c r="C78" s="1687"/>
      <c r="D78" s="732">
        <v>2311</v>
      </c>
      <c r="E78" s="565">
        <v>15</v>
      </c>
      <c r="F78" s="565"/>
      <c r="G78" s="565">
        <f t="shared" si="12"/>
        <v>15</v>
      </c>
      <c r="H78" s="565"/>
      <c r="I78" s="1677"/>
      <c r="K78" s="729"/>
      <c r="L78" s="729"/>
    </row>
    <row r="79" spans="1:12" ht="12.75" customHeight="1" x14ac:dyDescent="0.2">
      <c r="A79" s="1708"/>
      <c r="B79" s="1688"/>
      <c r="C79" s="1689"/>
      <c r="D79" s="732">
        <v>2279</v>
      </c>
      <c r="E79" s="565">
        <v>138</v>
      </c>
      <c r="F79" s="565"/>
      <c r="G79" s="565">
        <f t="shared" si="12"/>
        <v>138</v>
      </c>
      <c r="H79" s="565"/>
      <c r="I79" s="1678"/>
      <c r="K79" s="729"/>
      <c r="L79" s="729"/>
    </row>
    <row r="80" spans="1:12" x14ac:dyDescent="0.2">
      <c r="A80" s="734" t="s">
        <v>607</v>
      </c>
      <c r="B80" s="1700" t="s">
        <v>608</v>
      </c>
      <c r="C80" s="1701"/>
      <c r="D80" s="732">
        <v>2279</v>
      </c>
      <c r="E80" s="565">
        <v>1000</v>
      </c>
      <c r="F80" s="565"/>
      <c r="G80" s="565">
        <f t="shared" si="12"/>
        <v>1000</v>
      </c>
      <c r="H80" s="565"/>
      <c r="I80" s="579" t="s">
        <v>540</v>
      </c>
      <c r="K80" s="729"/>
      <c r="L80" s="729"/>
    </row>
    <row r="81" spans="1:12" x14ac:dyDescent="0.2">
      <c r="A81" s="731">
        <v>8</v>
      </c>
      <c r="B81" s="1693" t="s">
        <v>609</v>
      </c>
      <c r="C81" s="1694"/>
      <c r="D81" s="730"/>
      <c r="E81" s="730">
        <f>SUM(E82:E90)</f>
        <v>2476</v>
      </c>
      <c r="F81" s="730">
        <f t="shared" ref="F81:G81" si="13">SUM(F82:F90)</f>
        <v>0</v>
      </c>
      <c r="G81" s="730">
        <f t="shared" si="13"/>
        <v>2476</v>
      </c>
      <c r="H81" s="730"/>
      <c r="I81" s="565"/>
      <c r="K81" s="729"/>
      <c r="L81" s="729"/>
    </row>
    <row r="82" spans="1:12" x14ac:dyDescent="0.2">
      <c r="A82" s="734" t="s">
        <v>610</v>
      </c>
      <c r="B82" s="1700" t="s">
        <v>611</v>
      </c>
      <c r="C82" s="1701"/>
      <c r="D82" s="732">
        <v>2279</v>
      </c>
      <c r="E82" s="565">
        <v>350</v>
      </c>
      <c r="F82" s="565"/>
      <c r="G82" s="565">
        <f t="shared" ref="G82:G90" si="14">E82+F82</f>
        <v>350</v>
      </c>
      <c r="H82" s="565"/>
      <c r="I82" s="579" t="s">
        <v>540</v>
      </c>
      <c r="K82" s="729"/>
      <c r="L82" s="729"/>
    </row>
    <row r="83" spans="1:12" ht="24" customHeight="1" x14ac:dyDescent="0.2">
      <c r="A83" s="734" t="s">
        <v>612</v>
      </c>
      <c r="B83" s="1700" t="s">
        <v>613</v>
      </c>
      <c r="C83" s="1701"/>
      <c r="D83" s="732">
        <v>2279</v>
      </c>
      <c r="E83" s="565">
        <v>426</v>
      </c>
      <c r="F83" s="565"/>
      <c r="G83" s="565">
        <f t="shared" si="14"/>
        <v>426</v>
      </c>
      <c r="H83" s="565"/>
      <c r="I83" s="579" t="s">
        <v>540</v>
      </c>
      <c r="K83" s="729"/>
      <c r="L83" s="729"/>
    </row>
    <row r="84" spans="1:12" x14ac:dyDescent="0.2">
      <c r="A84" s="734" t="s">
        <v>614</v>
      </c>
      <c r="B84" s="1700" t="s">
        <v>615</v>
      </c>
      <c r="C84" s="1701"/>
      <c r="D84" s="732">
        <v>2279</v>
      </c>
      <c r="E84" s="565">
        <v>171</v>
      </c>
      <c r="F84" s="565"/>
      <c r="G84" s="565">
        <f t="shared" si="14"/>
        <v>171</v>
      </c>
      <c r="H84" s="565"/>
      <c r="I84" s="579" t="s">
        <v>540</v>
      </c>
      <c r="K84" s="729"/>
      <c r="L84" s="729"/>
    </row>
    <row r="85" spans="1:12" ht="26.25" customHeight="1" x14ac:dyDescent="0.2">
      <c r="A85" s="734" t="s">
        <v>616</v>
      </c>
      <c r="B85" s="1700" t="s">
        <v>617</v>
      </c>
      <c r="C85" s="1701"/>
      <c r="D85" s="732">
        <v>2279</v>
      </c>
      <c r="E85" s="565">
        <v>171</v>
      </c>
      <c r="F85" s="565"/>
      <c r="G85" s="565">
        <f t="shared" si="14"/>
        <v>171</v>
      </c>
      <c r="H85" s="565"/>
      <c r="I85" s="579" t="s">
        <v>540</v>
      </c>
      <c r="K85" s="729"/>
      <c r="L85" s="729"/>
    </row>
    <row r="86" spans="1:12" x14ac:dyDescent="0.2">
      <c r="A86" s="734" t="s">
        <v>618</v>
      </c>
      <c r="B86" s="1700" t="s">
        <v>619</v>
      </c>
      <c r="C86" s="1701"/>
      <c r="D86" s="732">
        <v>2279</v>
      </c>
      <c r="E86" s="565">
        <v>220</v>
      </c>
      <c r="F86" s="565"/>
      <c r="G86" s="565">
        <f t="shared" si="14"/>
        <v>220</v>
      </c>
      <c r="H86" s="565"/>
      <c r="I86" s="579" t="s">
        <v>540</v>
      </c>
      <c r="K86" s="729"/>
      <c r="L86" s="729"/>
    </row>
    <row r="87" spans="1:12" x14ac:dyDescent="0.2">
      <c r="A87" s="734" t="s">
        <v>620</v>
      </c>
      <c r="B87" s="1700" t="s">
        <v>621</v>
      </c>
      <c r="C87" s="1701"/>
      <c r="D87" s="732">
        <v>2279</v>
      </c>
      <c r="E87" s="736">
        <v>150</v>
      </c>
      <c r="F87" s="736"/>
      <c r="G87" s="736">
        <f t="shared" si="14"/>
        <v>150</v>
      </c>
      <c r="H87" s="736"/>
      <c r="I87" s="579" t="s">
        <v>540</v>
      </c>
      <c r="K87" s="729"/>
      <c r="L87" s="729"/>
    </row>
    <row r="88" spans="1:12" x14ac:dyDescent="0.2">
      <c r="A88" s="739" t="s">
        <v>622</v>
      </c>
      <c r="B88" s="1700" t="s">
        <v>623</v>
      </c>
      <c r="C88" s="1701"/>
      <c r="D88" s="732">
        <v>2279</v>
      </c>
      <c r="E88" s="565">
        <v>150</v>
      </c>
      <c r="F88" s="565"/>
      <c r="G88" s="565">
        <f t="shared" si="14"/>
        <v>150</v>
      </c>
      <c r="H88" s="565"/>
      <c r="I88" s="579" t="s">
        <v>540</v>
      </c>
      <c r="K88" s="729"/>
      <c r="L88" s="729"/>
    </row>
    <row r="89" spans="1:12" x14ac:dyDescent="0.2">
      <c r="A89" s="734" t="s">
        <v>624</v>
      </c>
      <c r="B89" s="1700" t="s">
        <v>625</v>
      </c>
      <c r="C89" s="1701"/>
      <c r="D89" s="732">
        <v>2279</v>
      </c>
      <c r="E89" s="565">
        <v>618</v>
      </c>
      <c r="F89" s="565"/>
      <c r="G89" s="565">
        <f t="shared" si="14"/>
        <v>618</v>
      </c>
      <c r="H89" s="565"/>
      <c r="I89" s="579" t="s">
        <v>540</v>
      </c>
      <c r="K89" s="729"/>
      <c r="L89" s="729"/>
    </row>
    <row r="90" spans="1:12" x14ac:dyDescent="0.2">
      <c r="A90" s="734" t="s">
        <v>626</v>
      </c>
      <c r="B90" s="1700" t="s">
        <v>627</v>
      </c>
      <c r="C90" s="1701"/>
      <c r="D90" s="732">
        <v>2279</v>
      </c>
      <c r="E90" s="565">
        <v>220</v>
      </c>
      <c r="F90" s="565"/>
      <c r="G90" s="565">
        <f t="shared" si="14"/>
        <v>220</v>
      </c>
      <c r="H90" s="565"/>
      <c r="I90" s="579" t="s">
        <v>540</v>
      </c>
      <c r="K90" s="729"/>
      <c r="L90" s="729"/>
    </row>
    <row r="91" spans="1:12" x14ac:dyDescent="0.2">
      <c r="A91" s="731">
        <v>9</v>
      </c>
      <c r="B91" s="1693" t="s">
        <v>628</v>
      </c>
      <c r="C91" s="1694"/>
      <c r="D91" s="730"/>
      <c r="E91" s="730">
        <f>SUM(E92:E105)</f>
        <v>5705</v>
      </c>
      <c r="F91" s="730">
        <f t="shared" ref="F91:G91" si="15">SUM(F92:F105)</f>
        <v>0</v>
      </c>
      <c r="G91" s="730">
        <f t="shared" si="15"/>
        <v>5705</v>
      </c>
      <c r="H91" s="730"/>
      <c r="I91" s="565"/>
      <c r="K91" s="729"/>
      <c r="L91" s="729"/>
    </row>
    <row r="92" spans="1:12" x14ac:dyDescent="0.2">
      <c r="A92" s="1695" t="s">
        <v>629</v>
      </c>
      <c r="B92" s="1684" t="s">
        <v>630</v>
      </c>
      <c r="C92" s="1685"/>
      <c r="D92" s="732">
        <v>2264</v>
      </c>
      <c r="E92" s="565">
        <v>570</v>
      </c>
      <c r="F92" s="565"/>
      <c r="G92" s="565">
        <f t="shared" ref="G92:G105" si="16">E92+F92</f>
        <v>570</v>
      </c>
      <c r="H92" s="565"/>
      <c r="I92" s="1676" t="s">
        <v>540</v>
      </c>
      <c r="K92" s="729"/>
      <c r="L92" s="729"/>
    </row>
    <row r="93" spans="1:12" ht="12.75" customHeight="1" x14ac:dyDescent="0.2">
      <c r="A93" s="1695"/>
      <c r="B93" s="1686"/>
      <c r="C93" s="1687"/>
      <c r="D93" s="732">
        <v>2279</v>
      </c>
      <c r="E93" s="565">
        <v>720</v>
      </c>
      <c r="F93" s="565"/>
      <c r="G93" s="565">
        <f t="shared" si="16"/>
        <v>720</v>
      </c>
      <c r="H93" s="565"/>
      <c r="I93" s="1677"/>
      <c r="K93" s="729"/>
      <c r="L93" s="729"/>
    </row>
    <row r="94" spans="1:12" ht="12.75" customHeight="1" x14ac:dyDescent="0.2">
      <c r="A94" s="1695"/>
      <c r="B94" s="1688"/>
      <c r="C94" s="1689"/>
      <c r="D94" s="732">
        <v>2314</v>
      </c>
      <c r="E94" s="565">
        <v>1485</v>
      </c>
      <c r="F94" s="565"/>
      <c r="G94" s="565">
        <f t="shared" si="16"/>
        <v>1485</v>
      </c>
      <c r="H94" s="565"/>
      <c r="I94" s="1678"/>
      <c r="K94" s="729"/>
      <c r="L94" s="729"/>
    </row>
    <row r="95" spans="1:12" x14ac:dyDescent="0.2">
      <c r="A95" s="1695" t="s">
        <v>631</v>
      </c>
      <c r="B95" s="1684" t="s">
        <v>632</v>
      </c>
      <c r="C95" s="1685"/>
      <c r="D95" s="732">
        <v>2264</v>
      </c>
      <c r="E95" s="736">
        <v>600</v>
      </c>
      <c r="F95" s="736"/>
      <c r="G95" s="736">
        <f t="shared" si="16"/>
        <v>600</v>
      </c>
      <c r="H95" s="736"/>
      <c r="I95" s="1676" t="s">
        <v>540</v>
      </c>
      <c r="K95" s="729"/>
      <c r="L95" s="729"/>
    </row>
    <row r="96" spans="1:12" ht="12.75" customHeight="1" x14ac:dyDescent="0.2">
      <c r="A96" s="1695"/>
      <c r="B96" s="1686"/>
      <c r="C96" s="1687"/>
      <c r="D96" s="732">
        <v>2279</v>
      </c>
      <c r="E96" s="565">
        <v>712</v>
      </c>
      <c r="F96" s="565"/>
      <c r="G96" s="565">
        <f t="shared" si="16"/>
        <v>712</v>
      </c>
      <c r="H96" s="565"/>
      <c r="I96" s="1677"/>
      <c r="K96" s="729"/>
      <c r="L96" s="729"/>
    </row>
    <row r="97" spans="1:14" ht="12.75" customHeight="1" x14ac:dyDescent="0.2">
      <c r="A97" s="1695"/>
      <c r="B97" s="1688"/>
      <c r="C97" s="1689"/>
      <c r="D97" s="732">
        <v>2314</v>
      </c>
      <c r="E97" s="565">
        <v>870</v>
      </c>
      <c r="F97" s="565"/>
      <c r="G97" s="565">
        <f t="shared" si="16"/>
        <v>870</v>
      </c>
      <c r="H97" s="565"/>
      <c r="I97" s="1678"/>
      <c r="K97" s="729"/>
      <c r="L97" s="729"/>
    </row>
    <row r="98" spans="1:14" s="604" customFormat="1" ht="12.75" customHeight="1" x14ac:dyDescent="0.2">
      <c r="A98" s="1681" t="s">
        <v>633</v>
      </c>
      <c r="B98" s="1684" t="s">
        <v>634</v>
      </c>
      <c r="C98" s="1685"/>
      <c r="D98" s="732">
        <v>2279</v>
      </c>
      <c r="E98" s="565">
        <v>96</v>
      </c>
      <c r="F98" s="565"/>
      <c r="G98" s="565">
        <f t="shared" si="16"/>
        <v>96</v>
      </c>
      <c r="H98" s="565"/>
      <c r="I98" s="1676" t="s">
        <v>540</v>
      </c>
      <c r="K98" s="729"/>
      <c r="L98" s="729"/>
      <c r="M98" s="588"/>
      <c r="N98" s="588"/>
    </row>
    <row r="99" spans="1:14" s="604" customFormat="1" ht="12.75" customHeight="1" x14ac:dyDescent="0.2">
      <c r="A99" s="1682"/>
      <c r="B99" s="1686"/>
      <c r="C99" s="1687"/>
      <c r="D99" s="732">
        <v>2314</v>
      </c>
      <c r="E99" s="565">
        <v>200</v>
      </c>
      <c r="F99" s="565"/>
      <c r="G99" s="565">
        <f t="shared" si="16"/>
        <v>200</v>
      </c>
      <c r="H99" s="565"/>
      <c r="I99" s="1677"/>
      <c r="K99" s="729"/>
      <c r="L99" s="729"/>
      <c r="M99" s="588"/>
      <c r="N99" s="588"/>
    </row>
    <row r="100" spans="1:14" s="604" customFormat="1" ht="12.75" customHeight="1" x14ac:dyDescent="0.2">
      <c r="A100" s="1683"/>
      <c r="B100" s="1688"/>
      <c r="C100" s="1689"/>
      <c r="D100" s="732">
        <v>2261</v>
      </c>
      <c r="E100" s="565">
        <v>207</v>
      </c>
      <c r="F100" s="565"/>
      <c r="G100" s="565">
        <f t="shared" si="16"/>
        <v>207</v>
      </c>
      <c r="H100" s="565"/>
      <c r="I100" s="1678"/>
      <c r="K100" s="729"/>
      <c r="L100" s="729"/>
    </row>
    <row r="101" spans="1:14" s="604" customFormat="1" ht="12.75" customHeight="1" x14ac:dyDescent="0.2">
      <c r="A101" s="1681" t="s">
        <v>635</v>
      </c>
      <c r="B101" s="1684" t="s">
        <v>636</v>
      </c>
      <c r="C101" s="1685"/>
      <c r="D101" s="732">
        <v>2279</v>
      </c>
      <c r="E101" s="565">
        <v>50</v>
      </c>
      <c r="F101" s="565"/>
      <c r="G101" s="565">
        <f t="shared" si="16"/>
        <v>50</v>
      </c>
      <c r="H101" s="565"/>
      <c r="I101" s="1676" t="s">
        <v>540</v>
      </c>
      <c r="K101" s="729"/>
      <c r="L101" s="729"/>
    </row>
    <row r="102" spans="1:14" s="604" customFormat="1" ht="12.75" customHeight="1" x14ac:dyDescent="0.2">
      <c r="A102" s="1682"/>
      <c r="B102" s="1686"/>
      <c r="C102" s="1687"/>
      <c r="D102" s="732">
        <v>2279</v>
      </c>
      <c r="E102" s="565">
        <v>50</v>
      </c>
      <c r="F102" s="565"/>
      <c r="G102" s="565">
        <f t="shared" si="16"/>
        <v>50</v>
      </c>
      <c r="H102" s="565"/>
      <c r="I102" s="1677"/>
      <c r="K102" s="729"/>
      <c r="L102" s="729"/>
    </row>
    <row r="103" spans="1:14" s="604" customFormat="1" ht="12.75" customHeight="1" x14ac:dyDescent="0.2">
      <c r="A103" s="1682"/>
      <c r="B103" s="1686"/>
      <c r="C103" s="1687"/>
      <c r="D103" s="732">
        <v>2264</v>
      </c>
      <c r="E103" s="565">
        <v>40</v>
      </c>
      <c r="F103" s="565"/>
      <c r="G103" s="565">
        <f t="shared" si="16"/>
        <v>40</v>
      </c>
      <c r="H103" s="565"/>
      <c r="I103" s="1677"/>
      <c r="K103" s="729"/>
      <c r="L103" s="729"/>
    </row>
    <row r="104" spans="1:14" s="604" customFormat="1" ht="12.75" customHeight="1" x14ac:dyDescent="0.2">
      <c r="A104" s="1682"/>
      <c r="B104" s="1686"/>
      <c r="C104" s="1687"/>
      <c r="D104" s="732">
        <v>2223</v>
      </c>
      <c r="E104" s="565">
        <v>40</v>
      </c>
      <c r="F104" s="565"/>
      <c r="G104" s="565">
        <f t="shared" si="16"/>
        <v>40</v>
      </c>
      <c r="H104" s="565"/>
      <c r="I104" s="1677"/>
      <c r="K104" s="729"/>
      <c r="L104" s="729"/>
    </row>
    <row r="105" spans="1:14" s="604" customFormat="1" ht="12.75" customHeight="1" x14ac:dyDescent="0.2">
      <c r="A105" s="1683"/>
      <c r="B105" s="1688"/>
      <c r="C105" s="1689"/>
      <c r="D105" s="732">
        <v>2314</v>
      </c>
      <c r="E105" s="565">
        <v>65</v>
      </c>
      <c r="F105" s="565"/>
      <c r="G105" s="565">
        <f t="shared" si="16"/>
        <v>65</v>
      </c>
      <c r="H105" s="565"/>
      <c r="I105" s="1678"/>
      <c r="K105" s="729"/>
      <c r="L105" s="729"/>
    </row>
    <row r="106" spans="1:14" x14ac:dyDescent="0.2">
      <c r="A106" s="731">
        <v>10</v>
      </c>
      <c r="B106" s="1693" t="s">
        <v>637</v>
      </c>
      <c r="C106" s="1694"/>
      <c r="D106" s="730"/>
      <c r="E106" s="730">
        <f>SUM(E107:E111)</f>
        <v>313565</v>
      </c>
      <c r="F106" s="730">
        <f t="shared" ref="F106:G106" si="17">SUM(F107:F111)</f>
        <v>0</v>
      </c>
      <c r="G106" s="730">
        <f t="shared" si="17"/>
        <v>313565</v>
      </c>
      <c r="H106" s="730"/>
      <c r="I106" s="565"/>
      <c r="K106" s="729"/>
      <c r="L106" s="729"/>
      <c r="M106" s="604"/>
      <c r="N106" s="604"/>
    </row>
    <row r="107" spans="1:14" x14ac:dyDescent="0.2">
      <c r="A107" s="734" t="s">
        <v>638</v>
      </c>
      <c r="B107" s="1700" t="s">
        <v>639</v>
      </c>
      <c r="C107" s="1701"/>
      <c r="D107" s="735">
        <v>2279</v>
      </c>
      <c r="E107" s="565">
        <v>6000</v>
      </c>
      <c r="F107" s="565"/>
      <c r="G107" s="565">
        <f t="shared" ref="G107:G111" si="18">E107+F107</f>
        <v>6000</v>
      </c>
      <c r="H107" s="565"/>
      <c r="I107" s="579" t="s">
        <v>540</v>
      </c>
      <c r="K107" s="729"/>
      <c r="L107" s="729"/>
      <c r="M107" s="604"/>
      <c r="N107" s="604"/>
    </row>
    <row r="108" spans="1:14" ht="21" customHeight="1" x14ac:dyDescent="0.2">
      <c r="A108" s="734" t="s">
        <v>640</v>
      </c>
      <c r="B108" s="1700" t="s">
        <v>641</v>
      </c>
      <c r="C108" s="1701"/>
      <c r="D108" s="735">
        <v>2279</v>
      </c>
      <c r="E108" s="565">
        <v>4625</v>
      </c>
      <c r="F108" s="565"/>
      <c r="G108" s="565">
        <f t="shared" si="18"/>
        <v>4625</v>
      </c>
      <c r="H108" s="565"/>
      <c r="I108" s="579" t="s">
        <v>540</v>
      </c>
      <c r="K108" s="729"/>
      <c r="L108" s="729"/>
    </row>
    <row r="109" spans="1:14" ht="43.5" customHeight="1" x14ac:dyDescent="0.2">
      <c r="A109" s="734" t="s">
        <v>642</v>
      </c>
      <c r="B109" s="1700" t="s">
        <v>643</v>
      </c>
      <c r="C109" s="1701"/>
      <c r="D109" s="740">
        <v>2279</v>
      </c>
      <c r="E109" s="565">
        <f>350000-50000</f>
        <v>300000</v>
      </c>
      <c r="F109" s="565"/>
      <c r="G109" s="565">
        <f t="shared" si="18"/>
        <v>300000</v>
      </c>
      <c r="H109" s="565"/>
      <c r="I109" s="579" t="s">
        <v>540</v>
      </c>
      <c r="K109" s="729"/>
      <c r="L109" s="729"/>
    </row>
    <row r="110" spans="1:14" ht="24" customHeight="1" x14ac:dyDescent="0.2">
      <c r="A110" s="734" t="s">
        <v>644</v>
      </c>
      <c r="B110" s="1700" t="s">
        <v>645</v>
      </c>
      <c r="C110" s="1701"/>
      <c r="D110" s="735">
        <v>2279</v>
      </c>
      <c r="E110" s="565">
        <v>1440</v>
      </c>
      <c r="F110" s="565"/>
      <c r="G110" s="565">
        <f t="shared" si="18"/>
        <v>1440</v>
      </c>
      <c r="H110" s="565"/>
      <c r="I110" s="579" t="s">
        <v>540</v>
      </c>
      <c r="K110" s="729"/>
      <c r="L110" s="729"/>
    </row>
    <row r="111" spans="1:14" ht="22.5" customHeight="1" x14ac:dyDescent="0.2">
      <c r="A111" s="734" t="s">
        <v>646</v>
      </c>
      <c r="B111" s="1700" t="s">
        <v>647</v>
      </c>
      <c r="C111" s="1701"/>
      <c r="D111" s="735">
        <v>2279</v>
      </c>
      <c r="E111" s="565">
        <v>1500</v>
      </c>
      <c r="F111" s="565"/>
      <c r="G111" s="565">
        <f t="shared" si="18"/>
        <v>1500</v>
      </c>
      <c r="H111" s="565"/>
      <c r="I111" s="579" t="s">
        <v>540</v>
      </c>
      <c r="K111" s="729"/>
      <c r="L111" s="729"/>
    </row>
    <row r="112" spans="1:14" x14ac:dyDescent="0.2">
      <c r="A112" s="731">
        <v>11</v>
      </c>
      <c r="B112" s="1693" t="s">
        <v>648</v>
      </c>
      <c r="C112" s="1694"/>
      <c r="D112" s="730"/>
      <c r="E112" s="730">
        <f>SUM(E113)</f>
        <v>1425</v>
      </c>
      <c r="F112" s="730">
        <f t="shared" ref="F112:G112" si="19">SUM(F113)</f>
        <v>0</v>
      </c>
      <c r="G112" s="730">
        <f t="shared" si="19"/>
        <v>1425</v>
      </c>
      <c r="H112" s="730"/>
      <c r="I112" s="565"/>
      <c r="K112" s="729"/>
      <c r="L112" s="729"/>
    </row>
    <row r="113" spans="1:12" x14ac:dyDescent="0.2">
      <c r="A113" s="734" t="s">
        <v>649</v>
      </c>
      <c r="B113" s="1700" t="s">
        <v>650</v>
      </c>
      <c r="C113" s="1701"/>
      <c r="D113" s="735">
        <v>2279</v>
      </c>
      <c r="E113" s="565">
        <v>1425</v>
      </c>
      <c r="F113" s="565"/>
      <c r="G113" s="565">
        <f>E113+F113</f>
        <v>1425</v>
      </c>
      <c r="H113" s="565"/>
      <c r="I113" s="579" t="s">
        <v>540</v>
      </c>
      <c r="K113" s="729"/>
      <c r="L113" s="729"/>
    </row>
    <row r="114" spans="1:12" x14ac:dyDescent="0.2">
      <c r="A114" s="731">
        <v>12</v>
      </c>
      <c r="B114" s="1693" t="s">
        <v>651</v>
      </c>
      <c r="C114" s="1694"/>
      <c r="D114" s="730"/>
      <c r="E114" s="730">
        <f>SUM(E115:E118)</f>
        <v>10200</v>
      </c>
      <c r="F114" s="730">
        <f t="shared" ref="F114:G114" si="20">SUM(F115:F118)</f>
        <v>0</v>
      </c>
      <c r="G114" s="730">
        <f t="shared" si="20"/>
        <v>10200</v>
      </c>
      <c r="H114" s="730"/>
      <c r="I114" s="565"/>
      <c r="K114" s="729"/>
      <c r="L114" s="729"/>
    </row>
    <row r="115" spans="1:12" x14ac:dyDescent="0.2">
      <c r="A115" s="734" t="s">
        <v>652</v>
      </c>
      <c r="B115" s="1700" t="s">
        <v>653</v>
      </c>
      <c r="C115" s="1701"/>
      <c r="D115" s="732">
        <v>2279</v>
      </c>
      <c r="E115" s="565">
        <v>200</v>
      </c>
      <c r="F115" s="565"/>
      <c r="G115" s="565">
        <f t="shared" ref="G115:G118" si="21">E115+F115</f>
        <v>200</v>
      </c>
      <c r="H115" s="565"/>
      <c r="I115" s="565" t="s">
        <v>540</v>
      </c>
      <c r="K115" s="729"/>
      <c r="L115" s="729"/>
    </row>
    <row r="116" spans="1:12" ht="12.75" customHeight="1" x14ac:dyDescent="0.2">
      <c r="A116" s="734" t="s">
        <v>654</v>
      </c>
      <c r="B116" s="1700" t="s">
        <v>655</v>
      </c>
      <c r="C116" s="1701"/>
      <c r="D116" s="732">
        <v>2279</v>
      </c>
      <c r="E116" s="565">
        <v>4000</v>
      </c>
      <c r="F116" s="565"/>
      <c r="G116" s="565">
        <f t="shared" si="21"/>
        <v>4000</v>
      </c>
      <c r="H116" s="565"/>
      <c r="I116" s="565" t="s">
        <v>540</v>
      </c>
      <c r="K116" s="729"/>
      <c r="L116" s="729"/>
    </row>
    <row r="117" spans="1:12" ht="12.75" customHeight="1" x14ac:dyDescent="0.2">
      <c r="A117" s="734" t="s">
        <v>656</v>
      </c>
      <c r="B117" s="1700" t="s">
        <v>657</v>
      </c>
      <c r="C117" s="1701"/>
      <c r="D117" s="732">
        <v>2279</v>
      </c>
      <c r="E117" s="565">
        <v>4000</v>
      </c>
      <c r="F117" s="565"/>
      <c r="G117" s="565">
        <f t="shared" si="21"/>
        <v>4000</v>
      </c>
      <c r="H117" s="565"/>
      <c r="I117" s="565" t="s">
        <v>540</v>
      </c>
      <c r="K117" s="729"/>
      <c r="L117" s="729"/>
    </row>
    <row r="118" spans="1:12" ht="26.25" customHeight="1" x14ac:dyDescent="0.2">
      <c r="A118" s="734" t="s">
        <v>658</v>
      </c>
      <c r="B118" s="1700" t="s">
        <v>659</v>
      </c>
      <c r="C118" s="1701"/>
      <c r="D118" s="732">
        <v>2279</v>
      </c>
      <c r="E118" s="565">
        <v>2000</v>
      </c>
      <c r="F118" s="565"/>
      <c r="G118" s="565">
        <f t="shared" si="21"/>
        <v>2000</v>
      </c>
      <c r="H118" s="565"/>
      <c r="I118" s="565" t="s">
        <v>540</v>
      </c>
      <c r="K118" s="729"/>
      <c r="L118" s="729"/>
    </row>
    <row r="119" spans="1:12" x14ac:dyDescent="0.2">
      <c r="A119" s="731">
        <v>13</v>
      </c>
      <c r="B119" s="1693" t="s">
        <v>660</v>
      </c>
      <c r="C119" s="1694"/>
      <c r="D119" s="730"/>
      <c r="E119" s="730">
        <f>SUM(E120:E123)</f>
        <v>4980</v>
      </c>
      <c r="F119" s="730">
        <f>SUM(F120:F123)</f>
        <v>0</v>
      </c>
      <c r="G119" s="730">
        <f>SUM(G120:G123)</f>
        <v>4980</v>
      </c>
      <c r="H119" s="730"/>
      <c r="I119" s="565"/>
      <c r="K119" s="729"/>
      <c r="L119" s="729"/>
    </row>
    <row r="120" spans="1:12" ht="25.5" customHeight="1" x14ac:dyDescent="0.2">
      <c r="A120" s="734" t="s">
        <v>661</v>
      </c>
      <c r="B120" s="1700" t="s">
        <v>662</v>
      </c>
      <c r="C120" s="1701"/>
      <c r="D120" s="740">
        <v>2279</v>
      </c>
      <c r="E120" s="565">
        <v>550</v>
      </c>
      <c r="F120" s="565"/>
      <c r="G120" s="565">
        <f t="shared" ref="G120:G123" si="22">E120+F120</f>
        <v>550</v>
      </c>
      <c r="H120" s="565"/>
      <c r="I120" s="565" t="s">
        <v>540</v>
      </c>
      <c r="K120" s="729"/>
      <c r="L120" s="729"/>
    </row>
    <row r="121" spans="1:12" ht="18" customHeight="1" x14ac:dyDescent="0.2">
      <c r="A121" s="734" t="s">
        <v>663</v>
      </c>
      <c r="B121" s="1700" t="s">
        <v>664</v>
      </c>
      <c r="C121" s="1701"/>
      <c r="D121" s="740">
        <v>2279</v>
      </c>
      <c r="E121" s="565">
        <v>700</v>
      </c>
      <c r="F121" s="565"/>
      <c r="G121" s="565">
        <f t="shared" si="22"/>
        <v>700</v>
      </c>
      <c r="H121" s="565"/>
      <c r="I121" s="565" t="s">
        <v>540</v>
      </c>
      <c r="K121" s="729"/>
      <c r="L121" s="729"/>
    </row>
    <row r="122" spans="1:12" ht="18" customHeight="1" x14ac:dyDescent="0.2">
      <c r="A122" s="734" t="s">
        <v>665</v>
      </c>
      <c r="B122" s="1700" t="s">
        <v>666</v>
      </c>
      <c r="C122" s="1701"/>
      <c r="D122" s="740">
        <v>2279</v>
      </c>
      <c r="E122" s="565">
        <v>300</v>
      </c>
      <c r="F122" s="565"/>
      <c r="G122" s="565">
        <f t="shared" si="22"/>
        <v>300</v>
      </c>
      <c r="H122" s="565"/>
      <c r="I122" s="565" t="s">
        <v>540</v>
      </c>
      <c r="K122" s="729"/>
      <c r="L122" s="729"/>
    </row>
    <row r="123" spans="1:12" ht="18" customHeight="1" x14ac:dyDescent="0.2">
      <c r="A123" s="734">
        <v>13.4</v>
      </c>
      <c r="B123" s="1700" t="s">
        <v>667</v>
      </c>
      <c r="C123" s="1701"/>
      <c r="D123" s="740">
        <v>2279</v>
      </c>
      <c r="E123" s="565">
        <v>3430</v>
      </c>
      <c r="F123" s="565"/>
      <c r="G123" s="565">
        <f t="shared" si="22"/>
        <v>3430</v>
      </c>
      <c r="H123" s="565"/>
      <c r="I123" s="565" t="s">
        <v>540</v>
      </c>
      <c r="K123" s="729"/>
      <c r="L123" s="729"/>
    </row>
    <row r="124" spans="1:12" x14ac:dyDescent="0.2">
      <c r="A124" s="731">
        <v>14</v>
      </c>
      <c r="B124" s="1693" t="s">
        <v>668</v>
      </c>
      <c r="C124" s="1694"/>
      <c r="D124" s="730"/>
      <c r="E124" s="730">
        <f>SUM(E125:E128)</f>
        <v>0</v>
      </c>
      <c r="F124" s="730">
        <f t="shared" ref="F124:G124" si="23">SUM(F125:F128)</f>
        <v>0</v>
      </c>
      <c r="G124" s="730">
        <f t="shared" si="23"/>
        <v>0</v>
      </c>
      <c r="H124" s="730"/>
      <c r="I124" s="565"/>
      <c r="K124" s="729"/>
      <c r="L124" s="729"/>
    </row>
    <row r="125" spans="1:12" ht="24" customHeight="1" x14ac:dyDescent="0.2">
      <c r="A125" s="1695" t="s">
        <v>669</v>
      </c>
      <c r="B125" s="1684" t="s">
        <v>670</v>
      </c>
      <c r="C125" s="1685"/>
      <c r="D125" s="735">
        <v>2264</v>
      </c>
      <c r="E125" s="565">
        <f>50-50</f>
        <v>0</v>
      </c>
      <c r="F125" s="565"/>
      <c r="G125" s="565">
        <f t="shared" ref="G125:G128" si="24">E125+F125</f>
        <v>0</v>
      </c>
      <c r="H125" s="1676"/>
      <c r="I125" s="579" t="s">
        <v>540</v>
      </c>
      <c r="K125" s="729"/>
      <c r="L125" s="729"/>
    </row>
    <row r="126" spans="1:12" ht="12.75" customHeight="1" x14ac:dyDescent="0.2">
      <c r="A126" s="1695"/>
      <c r="B126" s="1686"/>
      <c r="C126" s="1687"/>
      <c r="D126" s="735">
        <v>2322</v>
      </c>
      <c r="E126" s="565">
        <f>250-250</f>
        <v>0</v>
      </c>
      <c r="F126" s="565"/>
      <c r="G126" s="565">
        <f t="shared" si="24"/>
        <v>0</v>
      </c>
      <c r="H126" s="1677"/>
      <c r="I126" s="579" t="s">
        <v>540</v>
      </c>
      <c r="K126" s="729"/>
      <c r="L126" s="729"/>
    </row>
    <row r="127" spans="1:12" ht="12.75" customHeight="1" x14ac:dyDescent="0.2">
      <c r="A127" s="1695"/>
      <c r="B127" s="1686"/>
      <c r="C127" s="1687"/>
      <c r="D127" s="735">
        <v>2261</v>
      </c>
      <c r="E127" s="565">
        <f>300-300</f>
        <v>0</v>
      </c>
      <c r="F127" s="565"/>
      <c r="G127" s="565">
        <f t="shared" si="24"/>
        <v>0</v>
      </c>
      <c r="H127" s="1677"/>
      <c r="I127" s="579" t="s">
        <v>540</v>
      </c>
      <c r="K127" s="729"/>
      <c r="L127" s="729"/>
    </row>
    <row r="128" spans="1:12" ht="12.75" customHeight="1" x14ac:dyDescent="0.2">
      <c r="A128" s="1695"/>
      <c r="B128" s="1688"/>
      <c r="C128" s="1689"/>
      <c r="D128" s="732">
        <v>2314</v>
      </c>
      <c r="E128" s="565">
        <f>400-400</f>
        <v>0</v>
      </c>
      <c r="F128" s="565"/>
      <c r="G128" s="565">
        <f t="shared" si="24"/>
        <v>0</v>
      </c>
      <c r="H128" s="1678"/>
      <c r="I128" s="579" t="s">
        <v>540</v>
      </c>
      <c r="K128" s="729"/>
      <c r="L128" s="729"/>
    </row>
    <row r="129" spans="1:12" x14ac:dyDescent="0.2">
      <c r="A129" s="731">
        <v>15</v>
      </c>
      <c r="B129" s="1693" t="s">
        <v>671</v>
      </c>
      <c r="C129" s="1694"/>
      <c r="D129" s="730"/>
      <c r="E129" s="730">
        <f>SUM(E130:E131)</f>
        <v>3600</v>
      </c>
      <c r="F129" s="730">
        <f t="shared" ref="F129:G129" si="25">SUM(F130:F131)</f>
        <v>0</v>
      </c>
      <c r="G129" s="730">
        <f t="shared" si="25"/>
        <v>3600</v>
      </c>
      <c r="H129" s="730"/>
      <c r="I129" s="565"/>
      <c r="K129" s="729"/>
      <c r="L129" s="729"/>
    </row>
    <row r="130" spans="1:12" x14ac:dyDescent="0.2">
      <c r="A130" s="734" t="s">
        <v>672</v>
      </c>
      <c r="B130" s="1700" t="s">
        <v>673</v>
      </c>
      <c r="C130" s="1701"/>
      <c r="D130" s="732">
        <v>2279</v>
      </c>
      <c r="E130" s="565">
        <v>3600</v>
      </c>
      <c r="F130" s="565"/>
      <c r="G130" s="565">
        <f t="shared" ref="G130:G131" si="26">E130+F130</f>
        <v>3600</v>
      </c>
      <c r="H130" s="565"/>
      <c r="I130" s="579" t="s">
        <v>540</v>
      </c>
      <c r="K130" s="729"/>
      <c r="L130" s="729"/>
    </row>
    <row r="131" spans="1:12" ht="12.75" customHeight="1" x14ac:dyDescent="0.2">
      <c r="A131" s="734" t="s">
        <v>674</v>
      </c>
      <c r="B131" s="1700" t="s">
        <v>675</v>
      </c>
      <c r="C131" s="1701"/>
      <c r="D131" s="732">
        <v>2279</v>
      </c>
      <c r="E131" s="565">
        <f>2000-2000</f>
        <v>0</v>
      </c>
      <c r="F131" s="565"/>
      <c r="G131" s="565">
        <f t="shared" si="26"/>
        <v>0</v>
      </c>
      <c r="H131" s="565"/>
      <c r="I131" s="579" t="s">
        <v>540</v>
      </c>
      <c r="K131" s="729"/>
      <c r="L131" s="729"/>
    </row>
    <row r="132" spans="1:12" x14ac:dyDescent="0.2">
      <c r="A132" s="731">
        <v>16</v>
      </c>
      <c r="B132" s="1693" t="s">
        <v>676</v>
      </c>
      <c r="C132" s="1694"/>
      <c r="D132" s="730"/>
      <c r="E132" s="730">
        <f>SUM(E133:E138)</f>
        <v>210900</v>
      </c>
      <c r="F132" s="730">
        <f t="shared" ref="F132:G132" si="27">SUM(F133:F138)</f>
        <v>0</v>
      </c>
      <c r="G132" s="730">
        <f t="shared" si="27"/>
        <v>210900</v>
      </c>
      <c r="H132" s="730"/>
      <c r="I132" s="565"/>
      <c r="K132" s="729"/>
      <c r="L132" s="729"/>
    </row>
    <row r="133" spans="1:12" x14ac:dyDescent="0.2">
      <c r="A133" s="734" t="s">
        <v>677</v>
      </c>
      <c r="B133" s="1700" t="s">
        <v>678</v>
      </c>
      <c r="C133" s="1701"/>
      <c r="D133" s="732">
        <v>2314</v>
      </c>
      <c r="E133" s="565">
        <v>320</v>
      </c>
      <c r="F133" s="565"/>
      <c r="G133" s="565">
        <f t="shared" ref="G133:G138" si="28">E133+F133</f>
        <v>320</v>
      </c>
      <c r="H133" s="565"/>
      <c r="I133" s="579" t="s">
        <v>540</v>
      </c>
      <c r="K133" s="729"/>
      <c r="L133" s="729"/>
    </row>
    <row r="134" spans="1:12" x14ac:dyDescent="0.2">
      <c r="A134" s="1695" t="s">
        <v>679</v>
      </c>
      <c r="B134" s="1684" t="s">
        <v>680</v>
      </c>
      <c r="C134" s="1685"/>
      <c r="D134" s="732">
        <v>2264</v>
      </c>
      <c r="E134" s="565">
        <v>150</v>
      </c>
      <c r="F134" s="565"/>
      <c r="G134" s="565">
        <f t="shared" si="28"/>
        <v>150</v>
      </c>
      <c r="H134" s="565"/>
      <c r="I134" s="1676" t="s">
        <v>540</v>
      </c>
      <c r="K134" s="729"/>
      <c r="L134" s="729"/>
    </row>
    <row r="135" spans="1:12" ht="12.75" customHeight="1" x14ac:dyDescent="0.2">
      <c r="A135" s="1695"/>
      <c r="B135" s="1686"/>
      <c r="C135" s="1687"/>
      <c r="D135" s="732">
        <v>2279</v>
      </c>
      <c r="E135" s="565">
        <v>70</v>
      </c>
      <c r="F135" s="565"/>
      <c r="G135" s="565">
        <f t="shared" si="28"/>
        <v>70</v>
      </c>
      <c r="H135" s="565"/>
      <c r="I135" s="1677"/>
      <c r="K135" s="729"/>
      <c r="L135" s="729"/>
    </row>
    <row r="136" spans="1:12" ht="12.75" customHeight="1" x14ac:dyDescent="0.2">
      <c r="A136" s="1695"/>
      <c r="B136" s="1688"/>
      <c r="C136" s="1689"/>
      <c r="D136" s="732">
        <v>2314</v>
      </c>
      <c r="E136" s="565">
        <v>360</v>
      </c>
      <c r="F136" s="565"/>
      <c r="G136" s="565">
        <f t="shared" si="28"/>
        <v>360</v>
      </c>
      <c r="H136" s="565"/>
      <c r="I136" s="1678"/>
      <c r="K136" s="729"/>
      <c r="L136" s="729"/>
    </row>
    <row r="137" spans="1:12" ht="12.75" customHeight="1" x14ac:dyDescent="0.2">
      <c r="A137" s="734" t="s">
        <v>681</v>
      </c>
      <c r="B137" s="1700" t="s">
        <v>682</v>
      </c>
      <c r="C137" s="1701"/>
      <c r="D137" s="732">
        <v>2279</v>
      </c>
      <c r="E137" s="565">
        <v>110000</v>
      </c>
      <c r="F137" s="565"/>
      <c r="G137" s="565">
        <f t="shared" si="28"/>
        <v>110000</v>
      </c>
      <c r="H137" s="565"/>
      <c r="I137" s="579" t="s">
        <v>540</v>
      </c>
      <c r="K137" s="729"/>
      <c r="L137" s="729"/>
    </row>
    <row r="138" spans="1:12" x14ac:dyDescent="0.2">
      <c r="A138" s="734" t="s">
        <v>683</v>
      </c>
      <c r="B138" s="1700" t="s">
        <v>684</v>
      </c>
      <c r="C138" s="1701"/>
      <c r="D138" s="732">
        <v>2279</v>
      </c>
      <c r="E138" s="565">
        <v>100000</v>
      </c>
      <c r="F138" s="565"/>
      <c r="G138" s="565">
        <f t="shared" si="28"/>
        <v>100000</v>
      </c>
      <c r="H138" s="565"/>
      <c r="I138" s="579" t="s">
        <v>540</v>
      </c>
      <c r="K138" s="729"/>
      <c r="L138" s="729"/>
    </row>
    <row r="139" spans="1:12" x14ac:dyDescent="0.2">
      <c r="A139" s="731">
        <v>17</v>
      </c>
      <c r="B139" s="1693" t="s">
        <v>685</v>
      </c>
      <c r="C139" s="1694"/>
      <c r="D139" s="730"/>
      <c r="E139" s="730">
        <f>SUM(E140:E143)</f>
        <v>29421</v>
      </c>
      <c r="F139" s="730">
        <f t="shared" ref="F139:G139" si="29">SUM(F140:F143)</f>
        <v>0</v>
      </c>
      <c r="G139" s="730">
        <f t="shared" si="29"/>
        <v>29421</v>
      </c>
      <c r="H139" s="730"/>
      <c r="I139" s="565"/>
      <c r="K139" s="729"/>
      <c r="L139" s="729"/>
    </row>
    <row r="140" spans="1:12" ht="14.25" customHeight="1" x14ac:dyDescent="0.2">
      <c r="A140" s="741" t="s">
        <v>686</v>
      </c>
      <c r="B140" s="1700" t="s">
        <v>687</v>
      </c>
      <c r="C140" s="1701"/>
      <c r="D140" s="732">
        <v>2279</v>
      </c>
      <c r="E140" s="565">
        <v>2000</v>
      </c>
      <c r="F140" s="565"/>
      <c r="G140" s="565">
        <f t="shared" ref="G140:G143" si="30">E140+F140</f>
        <v>2000</v>
      </c>
      <c r="H140" s="565"/>
      <c r="I140" s="579" t="s">
        <v>540</v>
      </c>
      <c r="K140" s="729"/>
      <c r="L140" s="729"/>
    </row>
    <row r="141" spans="1:12" ht="12.75" customHeight="1" x14ac:dyDescent="0.2">
      <c r="A141" s="741" t="s">
        <v>688</v>
      </c>
      <c r="B141" s="1700" t="s">
        <v>689</v>
      </c>
      <c r="C141" s="1701"/>
      <c r="D141" s="732">
        <v>2279</v>
      </c>
      <c r="E141" s="565">
        <v>1421</v>
      </c>
      <c r="F141" s="565"/>
      <c r="G141" s="565">
        <f t="shared" si="30"/>
        <v>1421</v>
      </c>
      <c r="H141" s="565"/>
      <c r="I141" s="579" t="s">
        <v>540</v>
      </c>
      <c r="K141" s="729"/>
      <c r="L141" s="729"/>
    </row>
    <row r="142" spans="1:12" ht="25.5" customHeight="1" x14ac:dyDescent="0.2">
      <c r="A142" s="742" t="s">
        <v>690</v>
      </c>
      <c r="B142" s="1709" t="s">
        <v>691</v>
      </c>
      <c r="C142" s="1710"/>
      <c r="D142" s="732">
        <v>2279</v>
      </c>
      <c r="E142" s="565">
        <v>1000</v>
      </c>
      <c r="F142" s="565"/>
      <c r="G142" s="565">
        <f t="shared" si="30"/>
        <v>1000</v>
      </c>
      <c r="H142" s="565"/>
      <c r="I142" s="579" t="s">
        <v>540</v>
      </c>
      <c r="K142" s="729"/>
      <c r="L142" s="729"/>
    </row>
    <row r="143" spans="1:12" ht="22.5" customHeight="1" x14ac:dyDescent="0.2">
      <c r="A143" s="742" t="s">
        <v>692</v>
      </c>
      <c r="B143" s="1709" t="s">
        <v>693</v>
      </c>
      <c r="C143" s="1710"/>
      <c r="D143" s="732">
        <v>2279</v>
      </c>
      <c r="E143" s="565">
        <v>25000</v>
      </c>
      <c r="F143" s="565"/>
      <c r="G143" s="565">
        <f t="shared" si="30"/>
        <v>25000</v>
      </c>
      <c r="H143" s="565"/>
      <c r="I143" s="579" t="s">
        <v>540</v>
      </c>
      <c r="K143" s="729"/>
      <c r="L143" s="729"/>
    </row>
    <row r="144" spans="1:12" x14ac:dyDescent="0.2">
      <c r="A144" s="731">
        <v>18</v>
      </c>
      <c r="B144" s="1693" t="s">
        <v>694</v>
      </c>
      <c r="C144" s="1694"/>
      <c r="D144" s="730"/>
      <c r="E144" s="730">
        <f>SUM(E145:E162)</f>
        <v>259737</v>
      </c>
      <c r="F144" s="730">
        <f t="shared" ref="F144" si="31">SUM(F145:F161)</f>
        <v>0</v>
      </c>
      <c r="G144" s="730">
        <f>SUM(G145:G162)</f>
        <v>259737</v>
      </c>
      <c r="H144" s="730"/>
      <c r="I144" s="565"/>
      <c r="K144" s="729"/>
      <c r="L144" s="729"/>
    </row>
    <row r="145" spans="1:12" x14ac:dyDescent="0.2">
      <c r="A145" s="734" t="s">
        <v>695</v>
      </c>
      <c r="B145" s="1700" t="s">
        <v>696</v>
      </c>
      <c r="C145" s="1701"/>
      <c r="D145" s="732">
        <v>2279</v>
      </c>
      <c r="E145" s="565">
        <v>2100</v>
      </c>
      <c r="F145" s="565"/>
      <c r="G145" s="565">
        <f t="shared" ref="G145:G162" si="32">E145+F145</f>
        <v>2100</v>
      </c>
      <c r="H145" s="565"/>
      <c r="I145" s="579" t="s">
        <v>540</v>
      </c>
      <c r="K145" s="729"/>
      <c r="L145" s="729"/>
    </row>
    <row r="146" spans="1:12" x14ac:dyDescent="0.2">
      <c r="A146" s="734" t="s">
        <v>697</v>
      </c>
      <c r="B146" s="1700" t="s">
        <v>698</v>
      </c>
      <c r="C146" s="1701"/>
      <c r="D146" s="732">
        <v>2279</v>
      </c>
      <c r="E146" s="565">
        <v>3679</v>
      </c>
      <c r="F146" s="565"/>
      <c r="G146" s="565">
        <f t="shared" si="32"/>
        <v>3679</v>
      </c>
      <c r="H146" s="565"/>
      <c r="I146" s="579" t="s">
        <v>540</v>
      </c>
      <c r="K146" s="729"/>
      <c r="L146" s="729"/>
    </row>
    <row r="147" spans="1:12" x14ac:dyDescent="0.2">
      <c r="A147" s="734" t="s">
        <v>699</v>
      </c>
      <c r="B147" s="1700" t="s">
        <v>700</v>
      </c>
      <c r="C147" s="1701"/>
      <c r="D147" s="732">
        <v>2279</v>
      </c>
      <c r="E147" s="565">
        <v>2135</v>
      </c>
      <c r="F147" s="565"/>
      <c r="G147" s="565">
        <f t="shared" si="32"/>
        <v>2135</v>
      </c>
      <c r="H147" s="565"/>
      <c r="I147" s="579" t="s">
        <v>540</v>
      </c>
      <c r="K147" s="729"/>
      <c r="L147" s="729"/>
    </row>
    <row r="148" spans="1:12" x14ac:dyDescent="0.2">
      <c r="A148" s="734" t="s">
        <v>701</v>
      </c>
      <c r="B148" s="1711" t="s">
        <v>702</v>
      </c>
      <c r="C148" s="1712"/>
      <c r="D148" s="732">
        <v>2279</v>
      </c>
      <c r="E148" s="565">
        <v>12100</v>
      </c>
      <c r="F148" s="565"/>
      <c r="G148" s="565">
        <f t="shared" si="32"/>
        <v>12100</v>
      </c>
      <c r="H148" s="565"/>
      <c r="I148" s="579" t="s">
        <v>540</v>
      </c>
      <c r="K148" s="729"/>
      <c r="L148" s="729"/>
    </row>
    <row r="149" spans="1:12" x14ac:dyDescent="0.2">
      <c r="A149" s="734" t="s">
        <v>703</v>
      </c>
      <c r="B149" s="1711" t="s">
        <v>704</v>
      </c>
      <c r="C149" s="1712"/>
      <c r="D149" s="732">
        <v>2279</v>
      </c>
      <c r="E149" s="565">
        <f>30000+5000</f>
        <v>35000</v>
      </c>
      <c r="F149" s="565"/>
      <c r="G149" s="565">
        <f t="shared" si="32"/>
        <v>35000</v>
      </c>
      <c r="H149" s="565"/>
      <c r="I149" s="579" t="s">
        <v>540</v>
      </c>
      <c r="K149" s="729"/>
      <c r="L149" s="729"/>
    </row>
    <row r="150" spans="1:12" x14ac:dyDescent="0.2">
      <c r="A150" s="734" t="s">
        <v>705</v>
      </c>
      <c r="B150" s="1700" t="s">
        <v>706</v>
      </c>
      <c r="C150" s="1701"/>
      <c r="D150" s="732">
        <v>2279</v>
      </c>
      <c r="E150" s="565">
        <v>3000</v>
      </c>
      <c r="F150" s="565"/>
      <c r="G150" s="565">
        <f t="shared" si="32"/>
        <v>3000</v>
      </c>
      <c r="H150" s="565"/>
      <c r="I150" s="579" t="s">
        <v>540</v>
      </c>
      <c r="K150" s="729"/>
      <c r="L150" s="729"/>
    </row>
    <row r="151" spans="1:12" ht="19.5" customHeight="1" x14ac:dyDescent="0.2">
      <c r="A151" s="734" t="s">
        <v>707</v>
      </c>
      <c r="B151" s="1700" t="s">
        <v>708</v>
      </c>
      <c r="C151" s="1701"/>
      <c r="D151" s="732">
        <v>2279</v>
      </c>
      <c r="E151" s="565">
        <v>70000</v>
      </c>
      <c r="F151" s="565"/>
      <c r="G151" s="565">
        <f t="shared" si="32"/>
        <v>70000</v>
      </c>
      <c r="H151" s="565"/>
      <c r="I151" s="579" t="s">
        <v>540</v>
      </c>
      <c r="K151" s="729"/>
      <c r="L151" s="729"/>
    </row>
    <row r="152" spans="1:12" x14ac:dyDescent="0.2">
      <c r="A152" s="734" t="s">
        <v>709</v>
      </c>
      <c r="B152" s="1700" t="s">
        <v>710</v>
      </c>
      <c r="C152" s="1701"/>
      <c r="D152" s="732">
        <v>2279</v>
      </c>
      <c r="E152" s="565">
        <v>1421</v>
      </c>
      <c r="F152" s="565"/>
      <c r="G152" s="565">
        <f t="shared" si="32"/>
        <v>1421</v>
      </c>
      <c r="H152" s="565"/>
      <c r="I152" s="579" t="s">
        <v>540</v>
      </c>
      <c r="K152" s="729"/>
      <c r="L152" s="729"/>
    </row>
    <row r="153" spans="1:12" x14ac:dyDescent="0.2">
      <c r="A153" s="734" t="s">
        <v>711</v>
      </c>
      <c r="B153" s="1700" t="s">
        <v>712</v>
      </c>
      <c r="C153" s="1701"/>
      <c r="D153" s="732">
        <v>2279</v>
      </c>
      <c r="E153" s="565">
        <v>70000</v>
      </c>
      <c r="F153" s="565"/>
      <c r="G153" s="565">
        <f t="shared" si="32"/>
        <v>70000</v>
      </c>
      <c r="H153" s="565"/>
      <c r="I153" s="579" t="s">
        <v>540</v>
      </c>
      <c r="K153" s="729"/>
      <c r="L153" s="729"/>
    </row>
    <row r="154" spans="1:12" x14ac:dyDescent="0.2">
      <c r="A154" s="734" t="s">
        <v>713</v>
      </c>
      <c r="B154" s="1700" t="s">
        <v>714</v>
      </c>
      <c r="C154" s="1701"/>
      <c r="D154" s="732">
        <v>2279</v>
      </c>
      <c r="E154" s="565">
        <v>1500</v>
      </c>
      <c r="F154" s="565"/>
      <c r="G154" s="565">
        <f t="shared" si="32"/>
        <v>1500</v>
      </c>
      <c r="H154" s="565"/>
      <c r="I154" s="579" t="s">
        <v>540</v>
      </c>
      <c r="K154" s="729"/>
      <c r="L154" s="729"/>
    </row>
    <row r="155" spans="1:12" ht="24" customHeight="1" x14ac:dyDescent="0.2">
      <c r="A155" s="734" t="s">
        <v>715</v>
      </c>
      <c r="B155" s="1700" t="s">
        <v>716</v>
      </c>
      <c r="C155" s="1701"/>
      <c r="D155" s="732">
        <v>2279</v>
      </c>
      <c r="E155" s="565">
        <v>5000</v>
      </c>
      <c r="F155" s="565"/>
      <c r="G155" s="565">
        <f t="shared" si="32"/>
        <v>5000</v>
      </c>
      <c r="H155" s="565"/>
      <c r="I155" s="579" t="s">
        <v>540</v>
      </c>
      <c r="K155" s="729"/>
      <c r="L155" s="729"/>
    </row>
    <row r="156" spans="1:12" x14ac:dyDescent="0.2">
      <c r="A156" s="734" t="s">
        <v>717</v>
      </c>
      <c r="B156" s="1700" t="s">
        <v>718</v>
      </c>
      <c r="C156" s="1701"/>
      <c r="D156" s="732">
        <v>2279</v>
      </c>
      <c r="E156" s="565">
        <v>551</v>
      </c>
      <c r="F156" s="565"/>
      <c r="G156" s="565">
        <f t="shared" si="32"/>
        <v>551</v>
      </c>
      <c r="H156" s="565"/>
      <c r="I156" s="579" t="s">
        <v>540</v>
      </c>
      <c r="K156" s="729"/>
      <c r="L156" s="729"/>
    </row>
    <row r="157" spans="1:12" ht="24.75" customHeight="1" x14ac:dyDescent="0.2">
      <c r="A157" s="734" t="s">
        <v>719</v>
      </c>
      <c r="B157" s="1700" t="s">
        <v>720</v>
      </c>
      <c r="C157" s="1701"/>
      <c r="D157" s="732">
        <v>2279</v>
      </c>
      <c r="E157" s="565">
        <v>30000</v>
      </c>
      <c r="F157" s="565"/>
      <c r="G157" s="565">
        <f t="shared" si="32"/>
        <v>30000</v>
      </c>
      <c r="H157" s="565"/>
      <c r="I157" s="579" t="s">
        <v>540</v>
      </c>
      <c r="K157" s="729"/>
      <c r="L157" s="729"/>
    </row>
    <row r="158" spans="1:12" ht="12.75" customHeight="1" x14ac:dyDescent="0.2">
      <c r="A158" s="734" t="s">
        <v>721</v>
      </c>
      <c r="B158" s="1700" t="s">
        <v>722</v>
      </c>
      <c r="C158" s="1701"/>
      <c r="D158" s="732">
        <v>2279</v>
      </c>
      <c r="E158" s="565">
        <v>1300</v>
      </c>
      <c r="F158" s="565"/>
      <c r="G158" s="565">
        <f t="shared" si="32"/>
        <v>1300</v>
      </c>
      <c r="H158" s="565"/>
      <c r="I158" s="579" t="s">
        <v>540</v>
      </c>
      <c r="K158" s="729"/>
      <c r="L158" s="729"/>
    </row>
    <row r="159" spans="1:12" ht="12.75" customHeight="1" x14ac:dyDescent="0.2">
      <c r="A159" s="734" t="s">
        <v>723</v>
      </c>
      <c r="B159" s="1700" t="s">
        <v>724</v>
      </c>
      <c r="C159" s="1701"/>
      <c r="D159" s="732">
        <v>2279</v>
      </c>
      <c r="E159" s="565">
        <v>551</v>
      </c>
      <c r="F159" s="565"/>
      <c r="G159" s="565">
        <f t="shared" si="32"/>
        <v>551</v>
      </c>
      <c r="H159" s="565"/>
      <c r="I159" s="579" t="s">
        <v>540</v>
      </c>
      <c r="K159" s="729"/>
      <c r="L159" s="729"/>
    </row>
    <row r="160" spans="1:12" x14ac:dyDescent="0.2">
      <c r="A160" s="734" t="s">
        <v>725</v>
      </c>
      <c r="B160" s="1700" t="s">
        <v>726</v>
      </c>
      <c r="C160" s="1701"/>
      <c r="D160" s="732">
        <v>2279</v>
      </c>
      <c r="E160" s="565">
        <v>5400</v>
      </c>
      <c r="F160" s="565"/>
      <c r="G160" s="565">
        <f t="shared" si="32"/>
        <v>5400</v>
      </c>
      <c r="H160" s="565"/>
      <c r="I160" s="579" t="s">
        <v>540</v>
      </c>
      <c r="K160" s="729"/>
      <c r="L160" s="729"/>
    </row>
    <row r="161" spans="1:12" ht="12.75" customHeight="1" x14ac:dyDescent="0.2">
      <c r="A161" s="734" t="s">
        <v>727</v>
      </c>
      <c r="B161" s="1700" t="s">
        <v>728</v>
      </c>
      <c r="C161" s="1701"/>
      <c r="D161" s="732">
        <v>2279</v>
      </c>
      <c r="E161" s="565">
        <v>1000</v>
      </c>
      <c r="F161" s="565"/>
      <c r="G161" s="565">
        <f t="shared" si="32"/>
        <v>1000</v>
      </c>
      <c r="H161" s="565"/>
      <c r="I161" s="579" t="s">
        <v>540</v>
      </c>
      <c r="K161" s="729"/>
      <c r="L161" s="729"/>
    </row>
    <row r="162" spans="1:12" ht="20.25" customHeight="1" x14ac:dyDescent="0.2">
      <c r="A162" s="734" t="s">
        <v>729</v>
      </c>
      <c r="B162" s="1700" t="s">
        <v>730</v>
      </c>
      <c r="C162" s="1701"/>
      <c r="D162" s="732">
        <v>2279</v>
      </c>
      <c r="E162" s="565">
        <v>15000</v>
      </c>
      <c r="F162" s="565"/>
      <c r="G162" s="565">
        <f t="shared" si="32"/>
        <v>15000</v>
      </c>
      <c r="H162" s="565"/>
      <c r="I162" s="579" t="s">
        <v>540</v>
      </c>
      <c r="K162" s="729"/>
      <c r="L162" s="729"/>
    </row>
    <row r="163" spans="1:12" x14ac:dyDescent="0.2">
      <c r="A163" s="731">
        <v>19</v>
      </c>
      <c r="B163" s="1693" t="s">
        <v>731</v>
      </c>
      <c r="C163" s="1694"/>
      <c r="D163" s="730"/>
      <c r="E163" s="730">
        <f>SUM(E164:E166)</f>
        <v>2860</v>
      </c>
      <c r="F163" s="730">
        <f t="shared" ref="F163:G163" si="33">SUM(F164:F166)</f>
        <v>0</v>
      </c>
      <c r="G163" s="730">
        <f t="shared" si="33"/>
        <v>2860</v>
      </c>
      <c r="H163" s="730"/>
      <c r="I163" s="565"/>
      <c r="K163" s="729"/>
      <c r="L163" s="729"/>
    </row>
    <row r="164" spans="1:12" ht="12.75" customHeight="1" x14ac:dyDescent="0.2">
      <c r="A164" s="734" t="s">
        <v>732</v>
      </c>
      <c r="B164" s="1700" t="s">
        <v>733</v>
      </c>
      <c r="C164" s="1701"/>
      <c r="D164" s="732">
        <v>2279</v>
      </c>
      <c r="E164" s="565">
        <v>785</v>
      </c>
      <c r="F164" s="565"/>
      <c r="G164" s="565">
        <f t="shared" ref="G164:G166" si="34">E164+F164</f>
        <v>785</v>
      </c>
      <c r="H164" s="565"/>
      <c r="I164" s="579" t="s">
        <v>540</v>
      </c>
      <c r="K164" s="729"/>
      <c r="L164" s="729"/>
    </row>
    <row r="165" spans="1:12" x14ac:dyDescent="0.2">
      <c r="A165" s="734" t="s">
        <v>734</v>
      </c>
      <c r="B165" s="1700" t="s">
        <v>735</v>
      </c>
      <c r="C165" s="1701"/>
      <c r="D165" s="732">
        <v>2279</v>
      </c>
      <c r="E165" s="565">
        <v>650</v>
      </c>
      <c r="F165" s="565"/>
      <c r="G165" s="565">
        <f t="shared" si="34"/>
        <v>650</v>
      </c>
      <c r="H165" s="565"/>
      <c r="I165" s="579" t="s">
        <v>540</v>
      </c>
      <c r="K165" s="729"/>
      <c r="L165" s="729"/>
    </row>
    <row r="166" spans="1:12" x14ac:dyDescent="0.2">
      <c r="A166" s="734" t="s">
        <v>736</v>
      </c>
      <c r="B166" s="1700" t="s">
        <v>737</v>
      </c>
      <c r="C166" s="1701"/>
      <c r="D166" s="732">
        <v>2279</v>
      </c>
      <c r="E166" s="565">
        <v>1425</v>
      </c>
      <c r="F166" s="565"/>
      <c r="G166" s="565">
        <f t="shared" si="34"/>
        <v>1425</v>
      </c>
      <c r="H166" s="565"/>
      <c r="I166" s="579" t="s">
        <v>540</v>
      </c>
      <c r="K166" s="729"/>
      <c r="L166" s="729"/>
    </row>
    <row r="167" spans="1:12" x14ac:dyDescent="0.2">
      <c r="A167" s="731">
        <v>20</v>
      </c>
      <c r="B167" s="1693" t="s">
        <v>738</v>
      </c>
      <c r="C167" s="1694"/>
      <c r="D167" s="730"/>
      <c r="E167" s="730">
        <f>SUM(E168:E169)</f>
        <v>1850</v>
      </c>
      <c r="F167" s="730">
        <f t="shared" ref="F167:G167" si="35">SUM(F168:F169)</f>
        <v>0</v>
      </c>
      <c r="G167" s="730">
        <f t="shared" si="35"/>
        <v>1850</v>
      </c>
      <c r="H167" s="730"/>
      <c r="I167" s="565"/>
      <c r="K167" s="729"/>
      <c r="L167" s="729"/>
    </row>
    <row r="168" spans="1:12" x14ac:dyDescent="0.2">
      <c r="A168" s="1695" t="s">
        <v>739</v>
      </c>
      <c r="B168" s="1684" t="s">
        <v>740</v>
      </c>
      <c r="C168" s="1685"/>
      <c r="D168" s="732">
        <v>2279</v>
      </c>
      <c r="E168" s="565">
        <v>500</v>
      </c>
      <c r="F168" s="565"/>
      <c r="G168" s="565">
        <f t="shared" ref="G168:G169" si="36">E168+F168</f>
        <v>500</v>
      </c>
      <c r="H168" s="565"/>
      <c r="I168" s="1676" t="s">
        <v>540</v>
      </c>
      <c r="K168" s="729"/>
      <c r="L168" s="729"/>
    </row>
    <row r="169" spans="1:12" ht="12.75" customHeight="1" x14ac:dyDescent="0.2">
      <c r="A169" s="1695"/>
      <c r="B169" s="1688"/>
      <c r="C169" s="1689"/>
      <c r="D169" s="732">
        <v>2314</v>
      </c>
      <c r="E169" s="565">
        <v>1350</v>
      </c>
      <c r="F169" s="565"/>
      <c r="G169" s="565">
        <f t="shared" si="36"/>
        <v>1350</v>
      </c>
      <c r="H169" s="565"/>
      <c r="I169" s="1678"/>
      <c r="K169" s="729"/>
      <c r="L169" s="729"/>
    </row>
    <row r="170" spans="1:12" x14ac:dyDescent="0.2">
      <c r="A170" s="731">
        <v>21</v>
      </c>
      <c r="B170" s="1693" t="s">
        <v>741</v>
      </c>
      <c r="C170" s="1694"/>
      <c r="D170" s="730"/>
      <c r="E170" s="730">
        <f>SUM(E171:E171)</f>
        <v>2135</v>
      </c>
      <c r="F170" s="730">
        <f t="shared" ref="F170:G170" si="37">SUM(F171:F171)</f>
        <v>0</v>
      </c>
      <c r="G170" s="730">
        <f t="shared" si="37"/>
        <v>2135</v>
      </c>
      <c r="H170" s="730"/>
      <c r="I170" s="565"/>
      <c r="K170" s="729"/>
      <c r="L170" s="729"/>
    </row>
    <row r="171" spans="1:12" x14ac:dyDescent="0.2">
      <c r="A171" s="734" t="s">
        <v>742</v>
      </c>
      <c r="B171" s="1700" t="s">
        <v>743</v>
      </c>
      <c r="C171" s="1701"/>
      <c r="D171" s="732">
        <v>2279</v>
      </c>
      <c r="E171" s="736">
        <v>2135</v>
      </c>
      <c r="F171" s="736"/>
      <c r="G171" s="736">
        <f>E171+F171</f>
        <v>2135</v>
      </c>
      <c r="H171" s="736"/>
      <c r="I171" s="579" t="s">
        <v>540</v>
      </c>
      <c r="K171" s="729"/>
      <c r="L171" s="729"/>
    </row>
    <row r="172" spans="1:12" x14ac:dyDescent="0.2">
      <c r="A172" s="731">
        <v>22</v>
      </c>
      <c r="B172" s="1693" t="s">
        <v>744</v>
      </c>
      <c r="C172" s="1694"/>
      <c r="D172" s="730"/>
      <c r="E172" s="730">
        <f>SUM(E173:E174)</f>
        <v>3923</v>
      </c>
      <c r="F172" s="730">
        <f t="shared" ref="F172:G172" si="38">SUM(F173:F174)</f>
        <v>0</v>
      </c>
      <c r="G172" s="730">
        <f t="shared" si="38"/>
        <v>3923</v>
      </c>
      <c r="H172" s="730"/>
      <c r="I172" s="565"/>
      <c r="K172" s="729"/>
      <c r="L172" s="729"/>
    </row>
    <row r="173" spans="1:12" x14ac:dyDescent="0.2">
      <c r="A173" s="734" t="s">
        <v>745</v>
      </c>
      <c r="B173" s="1700" t="s">
        <v>746</v>
      </c>
      <c r="C173" s="1701"/>
      <c r="D173" s="732">
        <v>2279</v>
      </c>
      <c r="E173" s="565">
        <v>2500</v>
      </c>
      <c r="F173" s="565"/>
      <c r="G173" s="565">
        <f t="shared" ref="G173:G174" si="39">E173+F173</f>
        <v>2500</v>
      </c>
      <c r="H173" s="565"/>
      <c r="I173" s="579" t="s">
        <v>540</v>
      </c>
      <c r="K173" s="729"/>
      <c r="L173" s="729"/>
    </row>
    <row r="174" spans="1:12" x14ac:dyDescent="0.2">
      <c r="A174" s="734" t="s">
        <v>747</v>
      </c>
      <c r="B174" s="1700" t="s">
        <v>748</v>
      </c>
      <c r="C174" s="1701"/>
      <c r="D174" s="732">
        <v>2279</v>
      </c>
      <c r="E174" s="565">
        <v>1423</v>
      </c>
      <c r="F174" s="565"/>
      <c r="G174" s="565">
        <f t="shared" si="39"/>
        <v>1423</v>
      </c>
      <c r="H174" s="565"/>
      <c r="I174" s="579" t="s">
        <v>540</v>
      </c>
      <c r="K174" s="729"/>
      <c r="L174" s="729"/>
    </row>
    <row r="175" spans="1:12" x14ac:dyDescent="0.2">
      <c r="A175" s="731">
        <v>23</v>
      </c>
      <c r="B175" s="1693" t="s">
        <v>749</v>
      </c>
      <c r="C175" s="1694"/>
      <c r="D175" s="730"/>
      <c r="E175" s="730">
        <f>SUM(E176:E178)</f>
        <v>170000</v>
      </c>
      <c r="F175" s="730">
        <f t="shared" ref="F175:G175" si="40">SUM(F176:F178)</f>
        <v>0</v>
      </c>
      <c r="G175" s="730">
        <f t="shared" si="40"/>
        <v>170000</v>
      </c>
      <c r="H175" s="730"/>
      <c r="I175" s="565"/>
      <c r="K175" s="729"/>
      <c r="L175" s="729"/>
    </row>
    <row r="176" spans="1:12" x14ac:dyDescent="0.2">
      <c r="A176" s="734" t="s">
        <v>750</v>
      </c>
      <c r="B176" s="1700" t="s">
        <v>751</v>
      </c>
      <c r="C176" s="1701"/>
      <c r="D176" s="732">
        <v>2279</v>
      </c>
      <c r="E176" s="565">
        <v>70000</v>
      </c>
      <c r="F176" s="565"/>
      <c r="G176" s="565">
        <f t="shared" ref="G176:G178" si="41">E176+F176</f>
        <v>70000</v>
      </c>
      <c r="H176" s="565"/>
      <c r="I176" s="579" t="s">
        <v>540</v>
      </c>
      <c r="K176" s="729"/>
      <c r="L176" s="729"/>
    </row>
    <row r="177" spans="1:12" x14ac:dyDescent="0.2">
      <c r="A177" s="734" t="s">
        <v>752</v>
      </c>
      <c r="B177" s="1700" t="s">
        <v>753</v>
      </c>
      <c r="C177" s="1701"/>
      <c r="D177" s="732">
        <v>2279</v>
      </c>
      <c r="E177" s="565">
        <v>70000</v>
      </c>
      <c r="F177" s="565"/>
      <c r="G177" s="565">
        <f t="shared" si="41"/>
        <v>70000</v>
      </c>
      <c r="H177" s="565"/>
      <c r="I177" s="579" t="s">
        <v>540</v>
      </c>
      <c r="K177" s="729"/>
      <c r="L177" s="729"/>
    </row>
    <row r="178" spans="1:12" x14ac:dyDescent="0.2">
      <c r="A178" s="734" t="s">
        <v>754</v>
      </c>
      <c r="B178" s="1700" t="s">
        <v>755</v>
      </c>
      <c r="C178" s="1701"/>
      <c r="D178" s="732">
        <v>2279</v>
      </c>
      <c r="E178" s="565">
        <v>30000</v>
      </c>
      <c r="F178" s="565"/>
      <c r="G178" s="565">
        <f t="shared" si="41"/>
        <v>30000</v>
      </c>
      <c r="H178" s="565"/>
      <c r="I178" s="579" t="s">
        <v>540</v>
      </c>
      <c r="K178" s="729"/>
      <c r="L178" s="729"/>
    </row>
    <row r="179" spans="1:12" x14ac:dyDescent="0.2">
      <c r="A179" s="731">
        <v>24</v>
      </c>
      <c r="B179" s="1693" t="s">
        <v>756</v>
      </c>
      <c r="C179" s="1694"/>
      <c r="D179" s="730"/>
      <c r="E179" s="730">
        <f>SUM(E180)</f>
        <v>110000</v>
      </c>
      <c r="F179" s="730">
        <f t="shared" ref="F179:G179" si="42">SUM(F180)</f>
        <v>0</v>
      </c>
      <c r="G179" s="730">
        <f t="shared" si="42"/>
        <v>110000</v>
      </c>
      <c r="H179" s="730"/>
      <c r="I179" s="565"/>
      <c r="K179" s="729"/>
      <c r="L179" s="729"/>
    </row>
    <row r="180" spans="1:12" x14ac:dyDescent="0.2">
      <c r="A180" s="734" t="s">
        <v>757</v>
      </c>
      <c r="B180" s="1700" t="s">
        <v>758</v>
      </c>
      <c r="C180" s="1701"/>
      <c r="D180" s="732">
        <v>2279</v>
      </c>
      <c r="E180" s="565">
        <v>110000</v>
      </c>
      <c r="F180" s="565"/>
      <c r="G180" s="565">
        <f>E180+F180</f>
        <v>110000</v>
      </c>
      <c r="H180" s="565"/>
      <c r="I180" s="579" t="s">
        <v>540</v>
      </c>
      <c r="K180" s="729"/>
      <c r="L180" s="729"/>
    </row>
    <row r="181" spans="1:12" ht="39" customHeight="1" x14ac:dyDescent="0.2">
      <c r="A181" s="1697" t="s">
        <v>759</v>
      </c>
      <c r="B181" s="1698"/>
      <c r="C181" s="1699"/>
      <c r="D181" s="743"/>
      <c r="E181" s="743">
        <f>SUM(E182:E258)</f>
        <v>564003</v>
      </c>
      <c r="F181" s="743">
        <f>SUM(F182:F256)</f>
        <v>-5029</v>
      </c>
      <c r="G181" s="743">
        <f>SUM(G182:G258)</f>
        <v>558974</v>
      </c>
      <c r="H181" s="743"/>
      <c r="I181" s="565"/>
      <c r="K181" s="729"/>
      <c r="L181" s="729"/>
    </row>
    <row r="182" spans="1:12" x14ac:dyDescent="0.2">
      <c r="A182" s="734">
        <v>1</v>
      </c>
      <c r="B182" s="1700" t="s">
        <v>760</v>
      </c>
      <c r="C182" s="1701"/>
      <c r="D182" s="732">
        <v>2279</v>
      </c>
      <c r="E182" s="565">
        <v>140000</v>
      </c>
      <c r="F182" s="565"/>
      <c r="G182" s="565">
        <f t="shared" ref="G182:G245" si="43">E182+F182</f>
        <v>140000</v>
      </c>
      <c r="H182" s="565"/>
      <c r="I182" s="579" t="s">
        <v>761</v>
      </c>
      <c r="K182" s="729"/>
      <c r="L182" s="729"/>
    </row>
    <row r="183" spans="1:12" x14ac:dyDescent="0.2">
      <c r="A183" s="734">
        <v>2</v>
      </c>
      <c r="B183" s="1700" t="s">
        <v>762</v>
      </c>
      <c r="C183" s="1701"/>
      <c r="D183" s="732">
        <v>2279</v>
      </c>
      <c r="E183" s="565">
        <v>60000</v>
      </c>
      <c r="F183" s="565"/>
      <c r="G183" s="565">
        <f t="shared" si="43"/>
        <v>60000</v>
      </c>
      <c r="H183" s="565"/>
      <c r="I183" s="579" t="s">
        <v>761</v>
      </c>
      <c r="K183" s="729"/>
      <c r="L183" s="729"/>
    </row>
    <row r="184" spans="1:12" x14ac:dyDescent="0.2">
      <c r="A184" s="734">
        <v>3</v>
      </c>
      <c r="B184" s="1700" t="s">
        <v>763</v>
      </c>
      <c r="C184" s="1701"/>
      <c r="D184" s="732">
        <v>2279</v>
      </c>
      <c r="E184" s="565">
        <v>30000</v>
      </c>
      <c r="F184" s="565"/>
      <c r="G184" s="565">
        <f t="shared" si="43"/>
        <v>30000</v>
      </c>
      <c r="H184" s="565"/>
      <c r="I184" s="579" t="s">
        <v>761</v>
      </c>
      <c r="K184" s="729"/>
      <c r="L184" s="729"/>
    </row>
    <row r="185" spans="1:12" x14ac:dyDescent="0.2">
      <c r="A185" s="1695">
        <v>4</v>
      </c>
      <c r="B185" s="1684" t="s">
        <v>764</v>
      </c>
      <c r="C185" s="1685"/>
      <c r="D185" s="732">
        <v>2262</v>
      </c>
      <c r="E185" s="565">
        <v>3685</v>
      </c>
      <c r="F185" s="565">
        <v>-2603</v>
      </c>
      <c r="G185" s="565">
        <f t="shared" si="43"/>
        <v>1082</v>
      </c>
      <c r="H185" s="565" t="s">
        <v>550</v>
      </c>
      <c r="I185" s="1676" t="s">
        <v>761</v>
      </c>
      <c r="K185" s="729"/>
      <c r="L185" s="729"/>
    </row>
    <row r="186" spans="1:12" ht="12.75" customHeight="1" x14ac:dyDescent="0.2">
      <c r="A186" s="1695"/>
      <c r="B186" s="1686"/>
      <c r="C186" s="1687"/>
      <c r="D186" s="732">
        <v>2279</v>
      </c>
      <c r="E186" s="565">
        <v>3100</v>
      </c>
      <c r="F186" s="565"/>
      <c r="G186" s="565">
        <f t="shared" si="43"/>
        <v>3100</v>
      </c>
      <c r="H186" s="565"/>
      <c r="I186" s="1677"/>
      <c r="K186" s="729"/>
      <c r="L186" s="729"/>
    </row>
    <row r="187" spans="1:12" ht="12.75" customHeight="1" x14ac:dyDescent="0.2">
      <c r="A187" s="1695"/>
      <c r="B187" s="1688"/>
      <c r="C187" s="1689"/>
      <c r="D187" s="732">
        <v>2361</v>
      </c>
      <c r="E187" s="565">
        <v>1562</v>
      </c>
      <c r="F187" s="565">
        <v>-536</v>
      </c>
      <c r="G187" s="565">
        <f t="shared" si="43"/>
        <v>1026</v>
      </c>
      <c r="H187" s="565" t="s">
        <v>550</v>
      </c>
      <c r="I187" s="1678"/>
      <c r="K187" s="729"/>
      <c r="L187" s="729"/>
    </row>
    <row r="188" spans="1:12" ht="12.75" customHeight="1" x14ac:dyDescent="0.2">
      <c r="A188" s="1681">
        <v>5</v>
      </c>
      <c r="B188" s="1684" t="s">
        <v>765</v>
      </c>
      <c r="C188" s="1685"/>
      <c r="D188" s="732">
        <v>2363</v>
      </c>
      <c r="E188" s="565">
        <f>7595-1000</f>
        <v>6595</v>
      </c>
      <c r="F188" s="565"/>
      <c r="G188" s="565">
        <f t="shared" si="43"/>
        <v>6595</v>
      </c>
      <c r="H188" s="565"/>
      <c r="I188" s="1676" t="s">
        <v>761</v>
      </c>
      <c r="K188" s="729"/>
      <c r="L188" s="729"/>
    </row>
    <row r="189" spans="1:12" ht="12.75" customHeight="1" x14ac:dyDescent="0.2">
      <c r="A189" s="1682"/>
      <c r="B189" s="1686"/>
      <c r="C189" s="1687"/>
      <c r="D189" s="732">
        <v>2247</v>
      </c>
      <c r="E189" s="565">
        <v>150</v>
      </c>
      <c r="F189" s="565"/>
      <c r="G189" s="565">
        <f t="shared" si="43"/>
        <v>150</v>
      </c>
      <c r="H189" s="565"/>
      <c r="I189" s="1677"/>
      <c r="K189" s="729"/>
      <c r="L189" s="729"/>
    </row>
    <row r="190" spans="1:12" ht="12.75" customHeight="1" x14ac:dyDescent="0.2">
      <c r="A190" s="1682"/>
      <c r="B190" s="1686"/>
      <c r="C190" s="1687"/>
      <c r="D190" s="732">
        <v>2261</v>
      </c>
      <c r="E190" s="565">
        <f>11000-1000</f>
        <v>10000</v>
      </c>
      <c r="F190" s="565"/>
      <c r="G190" s="565">
        <f t="shared" si="43"/>
        <v>10000</v>
      </c>
      <c r="H190" s="565"/>
      <c r="I190" s="1677"/>
      <c r="K190" s="729"/>
      <c r="L190" s="729"/>
    </row>
    <row r="191" spans="1:12" ht="12.75" customHeight="1" x14ac:dyDescent="0.2">
      <c r="A191" s="1682"/>
      <c r="B191" s="1686"/>
      <c r="C191" s="1687"/>
      <c r="D191" s="732">
        <v>2262</v>
      </c>
      <c r="E191" s="565">
        <f>6317-1000</f>
        <v>5317</v>
      </c>
      <c r="F191" s="565"/>
      <c r="G191" s="565">
        <f t="shared" si="43"/>
        <v>5317</v>
      </c>
      <c r="H191" s="565"/>
      <c r="I191" s="1677"/>
      <c r="K191" s="729"/>
      <c r="L191" s="729"/>
    </row>
    <row r="192" spans="1:12" ht="12.75" customHeight="1" x14ac:dyDescent="0.2">
      <c r="A192" s="1682"/>
      <c r="B192" s="1686"/>
      <c r="C192" s="1687"/>
      <c r="D192" s="732">
        <v>2322</v>
      </c>
      <c r="E192" s="565">
        <v>215</v>
      </c>
      <c r="F192" s="565"/>
      <c r="G192" s="565">
        <f t="shared" si="43"/>
        <v>215</v>
      </c>
      <c r="H192" s="565"/>
      <c r="I192" s="1677"/>
      <c r="K192" s="729"/>
      <c r="L192" s="729"/>
    </row>
    <row r="193" spans="1:12" x14ac:dyDescent="0.2">
      <c r="A193" s="1682"/>
      <c r="B193" s="1686"/>
      <c r="C193" s="1687"/>
      <c r="D193" s="732">
        <v>2361</v>
      </c>
      <c r="E193" s="565">
        <f>13688+3367</f>
        <v>17055</v>
      </c>
      <c r="F193" s="565"/>
      <c r="G193" s="565">
        <f t="shared" si="43"/>
        <v>17055</v>
      </c>
      <c r="H193" s="565"/>
      <c r="I193" s="1677"/>
      <c r="K193" s="729"/>
      <c r="L193" s="729"/>
    </row>
    <row r="194" spans="1:12" ht="12.75" customHeight="1" x14ac:dyDescent="0.2">
      <c r="A194" s="1682"/>
      <c r="B194" s="1686"/>
      <c r="C194" s="1687"/>
      <c r="D194" s="732">
        <v>2311</v>
      </c>
      <c r="E194" s="565">
        <v>28</v>
      </c>
      <c r="F194" s="565"/>
      <c r="G194" s="565">
        <f t="shared" si="43"/>
        <v>28</v>
      </c>
      <c r="H194" s="565"/>
      <c r="I194" s="1677"/>
      <c r="K194" s="729"/>
      <c r="L194" s="729"/>
    </row>
    <row r="195" spans="1:12" ht="12.75" customHeight="1" x14ac:dyDescent="0.2">
      <c r="A195" s="1683"/>
      <c r="B195" s="1688"/>
      <c r="C195" s="1689"/>
      <c r="D195" s="732">
        <v>2312</v>
      </c>
      <c r="E195" s="565">
        <v>250</v>
      </c>
      <c r="F195" s="565"/>
      <c r="G195" s="565">
        <f t="shared" si="43"/>
        <v>250</v>
      </c>
      <c r="H195" s="565"/>
      <c r="I195" s="1678"/>
      <c r="K195" s="729"/>
      <c r="L195" s="729"/>
    </row>
    <row r="196" spans="1:12" x14ac:dyDescent="0.2">
      <c r="A196" s="734">
        <v>6</v>
      </c>
      <c r="B196" s="1700" t="s">
        <v>766</v>
      </c>
      <c r="C196" s="1701"/>
      <c r="D196" s="732">
        <v>2279</v>
      </c>
      <c r="E196" s="565">
        <v>25000</v>
      </c>
      <c r="F196" s="565"/>
      <c r="G196" s="565">
        <f t="shared" si="43"/>
        <v>25000</v>
      </c>
      <c r="H196" s="565"/>
      <c r="I196" s="579" t="s">
        <v>761</v>
      </c>
      <c r="K196" s="729"/>
      <c r="L196" s="729"/>
    </row>
    <row r="197" spans="1:12" ht="25.5" customHeight="1" x14ac:dyDescent="0.2">
      <c r="A197" s="734">
        <v>7</v>
      </c>
      <c r="B197" s="1700" t="s">
        <v>767</v>
      </c>
      <c r="C197" s="1701"/>
      <c r="D197" s="732">
        <v>2279</v>
      </c>
      <c r="E197" s="565">
        <v>7300</v>
      </c>
      <c r="F197" s="565"/>
      <c r="G197" s="565">
        <f t="shared" si="43"/>
        <v>7300</v>
      </c>
      <c r="H197" s="565"/>
      <c r="I197" s="579" t="s">
        <v>761</v>
      </c>
      <c r="K197" s="729"/>
      <c r="L197" s="729"/>
    </row>
    <row r="198" spans="1:12" x14ac:dyDescent="0.2">
      <c r="A198" s="734">
        <v>8</v>
      </c>
      <c r="B198" s="1700" t="s">
        <v>768</v>
      </c>
      <c r="C198" s="1701"/>
      <c r="D198" s="732">
        <v>2279</v>
      </c>
      <c r="E198" s="565">
        <v>7300</v>
      </c>
      <c r="F198" s="565"/>
      <c r="G198" s="565">
        <f t="shared" si="43"/>
        <v>7300</v>
      </c>
      <c r="H198" s="565"/>
      <c r="I198" s="579" t="s">
        <v>761</v>
      </c>
      <c r="K198" s="729"/>
      <c r="L198" s="729"/>
    </row>
    <row r="199" spans="1:12" x14ac:dyDescent="0.2">
      <c r="A199" s="734">
        <v>9</v>
      </c>
      <c r="B199" s="1700" t="s">
        <v>769</v>
      </c>
      <c r="C199" s="1701"/>
      <c r="D199" s="732">
        <v>2279</v>
      </c>
      <c r="E199" s="565">
        <v>712</v>
      </c>
      <c r="F199" s="565"/>
      <c r="G199" s="565">
        <f t="shared" si="43"/>
        <v>712</v>
      </c>
      <c r="H199" s="565"/>
      <c r="I199" s="579" t="s">
        <v>761</v>
      </c>
      <c r="K199" s="729"/>
      <c r="L199" s="729"/>
    </row>
    <row r="200" spans="1:12" ht="22.5" customHeight="1" x14ac:dyDescent="0.2">
      <c r="A200" s="734">
        <v>10</v>
      </c>
      <c r="B200" s="1700" t="s">
        <v>770</v>
      </c>
      <c r="C200" s="1701"/>
      <c r="D200" s="732">
        <v>2279</v>
      </c>
      <c r="E200" s="565">
        <v>7300</v>
      </c>
      <c r="F200" s="565"/>
      <c r="G200" s="565">
        <f t="shared" si="43"/>
        <v>7300</v>
      </c>
      <c r="H200" s="565"/>
      <c r="I200" s="579" t="s">
        <v>761</v>
      </c>
      <c r="K200" s="729"/>
      <c r="L200" s="729"/>
    </row>
    <row r="201" spans="1:12" x14ac:dyDescent="0.2">
      <c r="A201" s="734">
        <v>11</v>
      </c>
      <c r="B201" s="1700" t="s">
        <v>771</v>
      </c>
      <c r="C201" s="1701"/>
      <c r="D201" s="732">
        <v>2279</v>
      </c>
      <c r="E201" s="565">
        <v>2000</v>
      </c>
      <c r="F201" s="565"/>
      <c r="G201" s="565">
        <f t="shared" si="43"/>
        <v>2000</v>
      </c>
      <c r="H201" s="565"/>
      <c r="I201" s="579" t="s">
        <v>761</v>
      </c>
      <c r="K201" s="729"/>
      <c r="L201" s="729"/>
    </row>
    <row r="202" spans="1:12" x14ac:dyDescent="0.2">
      <c r="A202" s="734">
        <v>12</v>
      </c>
      <c r="B202" s="1700" t="s">
        <v>772</v>
      </c>
      <c r="C202" s="1701"/>
      <c r="D202" s="732">
        <v>2279</v>
      </c>
      <c r="E202" s="565">
        <v>2000</v>
      </c>
      <c r="F202" s="565"/>
      <c r="G202" s="565">
        <f t="shared" si="43"/>
        <v>2000</v>
      </c>
      <c r="H202" s="565"/>
      <c r="I202" s="579" t="s">
        <v>761</v>
      </c>
      <c r="K202" s="729"/>
      <c r="L202" s="729"/>
    </row>
    <row r="203" spans="1:12" x14ac:dyDescent="0.2">
      <c r="A203" s="1695">
        <v>13</v>
      </c>
      <c r="B203" s="1684" t="s">
        <v>773</v>
      </c>
      <c r="C203" s="1685"/>
      <c r="D203" s="732">
        <v>2262</v>
      </c>
      <c r="E203" s="565">
        <v>641</v>
      </c>
      <c r="F203" s="565"/>
      <c r="G203" s="565">
        <f t="shared" si="43"/>
        <v>641</v>
      </c>
      <c r="H203" s="565"/>
      <c r="I203" s="1676" t="s">
        <v>761</v>
      </c>
      <c r="K203" s="729"/>
      <c r="L203" s="729"/>
    </row>
    <row r="204" spans="1:12" ht="12.75" customHeight="1" x14ac:dyDescent="0.2">
      <c r="A204" s="1695"/>
      <c r="B204" s="1686"/>
      <c r="C204" s="1687"/>
      <c r="D204" s="732">
        <v>2279</v>
      </c>
      <c r="E204" s="565">
        <v>700</v>
      </c>
      <c r="F204" s="565"/>
      <c r="G204" s="565">
        <f t="shared" si="43"/>
        <v>700</v>
      </c>
      <c r="H204" s="565"/>
      <c r="I204" s="1677"/>
      <c r="K204" s="729"/>
      <c r="L204" s="729"/>
    </row>
    <row r="205" spans="1:12" x14ac:dyDescent="0.2">
      <c r="A205" s="742">
        <v>14</v>
      </c>
      <c r="B205" s="1713" t="s">
        <v>774</v>
      </c>
      <c r="C205" s="1714"/>
      <c r="D205" s="732">
        <v>2361</v>
      </c>
      <c r="E205" s="565">
        <v>825</v>
      </c>
      <c r="F205" s="565"/>
      <c r="G205" s="565">
        <f t="shared" si="43"/>
        <v>825</v>
      </c>
      <c r="H205" s="565"/>
      <c r="I205" s="579" t="s">
        <v>761</v>
      </c>
      <c r="K205" s="729"/>
      <c r="L205" s="729"/>
    </row>
    <row r="206" spans="1:12" x14ac:dyDescent="0.2">
      <c r="A206" s="741">
        <v>15</v>
      </c>
      <c r="B206" s="1715" t="s">
        <v>775</v>
      </c>
      <c r="C206" s="1716"/>
      <c r="D206" s="732">
        <v>2279</v>
      </c>
      <c r="E206" s="565">
        <v>2704</v>
      </c>
      <c r="F206" s="565"/>
      <c r="G206" s="565">
        <f t="shared" si="43"/>
        <v>2704</v>
      </c>
      <c r="H206" s="565"/>
      <c r="I206" s="579" t="s">
        <v>761</v>
      </c>
      <c r="K206" s="729"/>
      <c r="L206" s="729"/>
    </row>
    <row r="207" spans="1:12" x14ac:dyDescent="0.2">
      <c r="A207" s="742">
        <v>16</v>
      </c>
      <c r="B207" s="1715" t="s">
        <v>776</v>
      </c>
      <c r="C207" s="1716"/>
      <c r="D207" s="732">
        <v>2279</v>
      </c>
      <c r="E207" s="565">
        <v>8500</v>
      </c>
      <c r="F207" s="565"/>
      <c r="G207" s="565">
        <f t="shared" si="43"/>
        <v>8500</v>
      </c>
      <c r="H207" s="565"/>
      <c r="I207" s="579" t="s">
        <v>761</v>
      </c>
      <c r="K207" s="729"/>
      <c r="L207" s="729"/>
    </row>
    <row r="208" spans="1:12" x14ac:dyDescent="0.2">
      <c r="A208" s="741">
        <v>17</v>
      </c>
      <c r="B208" s="1700" t="s">
        <v>777</v>
      </c>
      <c r="C208" s="1701"/>
      <c r="D208" s="732">
        <v>2279</v>
      </c>
      <c r="E208" s="565">
        <v>2000</v>
      </c>
      <c r="F208" s="565"/>
      <c r="G208" s="565">
        <f t="shared" si="43"/>
        <v>2000</v>
      </c>
      <c r="H208" s="565"/>
      <c r="I208" s="579" t="s">
        <v>761</v>
      </c>
      <c r="K208" s="729"/>
      <c r="L208" s="729"/>
    </row>
    <row r="209" spans="1:12" x14ac:dyDescent="0.2">
      <c r="A209" s="742">
        <v>18</v>
      </c>
      <c r="B209" s="1700" t="s">
        <v>778</v>
      </c>
      <c r="C209" s="1701"/>
      <c r="D209" s="732">
        <v>2279</v>
      </c>
      <c r="E209" s="565">
        <v>3819</v>
      </c>
      <c r="F209" s="565"/>
      <c r="G209" s="565">
        <f t="shared" si="43"/>
        <v>3819</v>
      </c>
      <c r="H209" s="565"/>
      <c r="I209" s="579" t="s">
        <v>761</v>
      </c>
      <c r="K209" s="729"/>
      <c r="L209" s="729"/>
    </row>
    <row r="210" spans="1:12" x14ac:dyDescent="0.2">
      <c r="A210" s="741">
        <v>19</v>
      </c>
      <c r="B210" s="1700" t="s">
        <v>779</v>
      </c>
      <c r="C210" s="1701"/>
      <c r="D210" s="732">
        <v>2279</v>
      </c>
      <c r="E210" s="565">
        <v>2000</v>
      </c>
      <c r="F210" s="565"/>
      <c r="G210" s="565">
        <f t="shared" si="43"/>
        <v>2000</v>
      </c>
      <c r="H210" s="565"/>
      <c r="I210" s="579" t="s">
        <v>761</v>
      </c>
      <c r="K210" s="729"/>
      <c r="L210" s="729"/>
    </row>
    <row r="211" spans="1:12" x14ac:dyDescent="0.2">
      <c r="A211" s="742">
        <v>20</v>
      </c>
      <c r="B211" s="1700" t="s">
        <v>780</v>
      </c>
      <c r="C211" s="1701"/>
      <c r="D211" s="732">
        <v>2279</v>
      </c>
      <c r="E211" s="565">
        <v>3000</v>
      </c>
      <c r="F211" s="565"/>
      <c r="G211" s="565">
        <f t="shared" si="43"/>
        <v>3000</v>
      </c>
      <c r="H211" s="565"/>
      <c r="I211" s="579" t="s">
        <v>761</v>
      </c>
      <c r="K211" s="729"/>
      <c r="L211" s="729"/>
    </row>
    <row r="212" spans="1:12" ht="23.25" customHeight="1" x14ac:dyDescent="0.2">
      <c r="A212" s="741">
        <v>21</v>
      </c>
      <c r="B212" s="1700" t="s">
        <v>781</v>
      </c>
      <c r="C212" s="1701"/>
      <c r="D212" s="732">
        <v>2279</v>
      </c>
      <c r="E212" s="565">
        <v>10000</v>
      </c>
      <c r="F212" s="565"/>
      <c r="G212" s="565">
        <f t="shared" si="43"/>
        <v>10000</v>
      </c>
      <c r="H212" s="565"/>
      <c r="I212" s="579" t="s">
        <v>761</v>
      </c>
      <c r="K212" s="729"/>
      <c r="L212" s="729"/>
    </row>
    <row r="213" spans="1:12" x14ac:dyDescent="0.2">
      <c r="A213" s="742">
        <v>22</v>
      </c>
      <c r="B213" s="1700" t="s">
        <v>782</v>
      </c>
      <c r="C213" s="1701"/>
      <c r="D213" s="732">
        <v>2279</v>
      </c>
      <c r="E213" s="565">
        <v>5400</v>
      </c>
      <c r="F213" s="565"/>
      <c r="G213" s="565">
        <f t="shared" si="43"/>
        <v>5400</v>
      </c>
      <c r="H213" s="565"/>
      <c r="I213" s="579" t="s">
        <v>761</v>
      </c>
      <c r="K213" s="729"/>
      <c r="L213" s="729"/>
    </row>
    <row r="214" spans="1:12" x14ac:dyDescent="0.2">
      <c r="A214" s="741">
        <v>23</v>
      </c>
      <c r="B214" s="1700" t="s">
        <v>783</v>
      </c>
      <c r="C214" s="1701"/>
      <c r="D214" s="732">
        <v>2279</v>
      </c>
      <c r="E214" s="565">
        <v>2419</v>
      </c>
      <c r="F214" s="565"/>
      <c r="G214" s="565">
        <f t="shared" si="43"/>
        <v>2419</v>
      </c>
      <c r="H214" s="565"/>
      <c r="I214" s="579" t="s">
        <v>761</v>
      </c>
      <c r="K214" s="729"/>
      <c r="L214" s="729"/>
    </row>
    <row r="215" spans="1:12" x14ac:dyDescent="0.2">
      <c r="A215" s="742">
        <v>24</v>
      </c>
      <c r="B215" s="1700" t="s">
        <v>784</v>
      </c>
      <c r="C215" s="1701"/>
      <c r="D215" s="732">
        <v>2279</v>
      </c>
      <c r="E215" s="565">
        <v>5000</v>
      </c>
      <c r="F215" s="565"/>
      <c r="G215" s="565">
        <f t="shared" si="43"/>
        <v>5000</v>
      </c>
      <c r="H215" s="565"/>
      <c r="I215" s="579" t="s">
        <v>761</v>
      </c>
      <c r="K215" s="729"/>
      <c r="L215" s="729"/>
    </row>
    <row r="216" spans="1:12" ht="12.75" customHeight="1" x14ac:dyDescent="0.2">
      <c r="A216" s="741">
        <v>25</v>
      </c>
      <c r="B216" s="1700" t="s">
        <v>785</v>
      </c>
      <c r="C216" s="1701"/>
      <c r="D216" s="732">
        <v>2279</v>
      </c>
      <c r="E216" s="565">
        <v>1000</v>
      </c>
      <c r="F216" s="565"/>
      <c r="G216" s="565">
        <f t="shared" si="43"/>
        <v>1000</v>
      </c>
      <c r="H216" s="565"/>
      <c r="I216" s="579" t="s">
        <v>761</v>
      </c>
      <c r="K216" s="729"/>
      <c r="L216" s="729"/>
    </row>
    <row r="217" spans="1:12" x14ac:dyDescent="0.2">
      <c r="A217" s="742">
        <v>26</v>
      </c>
      <c r="B217" s="1700" t="s">
        <v>786</v>
      </c>
      <c r="C217" s="1701"/>
      <c r="D217" s="732">
        <v>2279</v>
      </c>
      <c r="E217" s="565">
        <v>2846</v>
      </c>
      <c r="F217" s="565"/>
      <c r="G217" s="565">
        <f t="shared" si="43"/>
        <v>2846</v>
      </c>
      <c r="H217" s="565"/>
      <c r="I217" s="579" t="s">
        <v>761</v>
      </c>
      <c r="K217" s="729"/>
      <c r="L217" s="729"/>
    </row>
    <row r="218" spans="1:12" x14ac:dyDescent="0.2">
      <c r="A218" s="741">
        <v>27</v>
      </c>
      <c r="B218" s="1700" t="s">
        <v>787</v>
      </c>
      <c r="C218" s="1701"/>
      <c r="D218" s="732">
        <v>2279</v>
      </c>
      <c r="E218" s="565">
        <v>750</v>
      </c>
      <c r="F218" s="565"/>
      <c r="G218" s="565">
        <f t="shared" si="43"/>
        <v>750</v>
      </c>
      <c r="H218" s="565"/>
      <c r="I218" s="579" t="s">
        <v>761</v>
      </c>
      <c r="K218" s="729"/>
      <c r="L218" s="729"/>
    </row>
    <row r="219" spans="1:12" x14ac:dyDescent="0.2">
      <c r="A219" s="742">
        <v>28</v>
      </c>
      <c r="B219" s="1713" t="s">
        <v>788</v>
      </c>
      <c r="C219" s="1714"/>
      <c r="D219" s="732">
        <v>2279</v>
      </c>
      <c r="E219" s="565">
        <v>1055</v>
      </c>
      <c r="F219" s="565"/>
      <c r="G219" s="565">
        <f t="shared" si="43"/>
        <v>1055</v>
      </c>
      <c r="H219" s="565"/>
      <c r="I219" s="579" t="s">
        <v>761</v>
      </c>
      <c r="K219" s="729"/>
      <c r="L219" s="729"/>
    </row>
    <row r="220" spans="1:12" ht="12.75" customHeight="1" x14ac:dyDescent="0.2">
      <c r="A220" s="741">
        <v>29</v>
      </c>
      <c r="B220" s="1713" t="s">
        <v>789</v>
      </c>
      <c r="C220" s="1714"/>
      <c r="D220" s="732">
        <v>2279</v>
      </c>
      <c r="E220" s="565">
        <v>2000</v>
      </c>
      <c r="F220" s="565"/>
      <c r="G220" s="565">
        <f t="shared" si="43"/>
        <v>2000</v>
      </c>
      <c r="H220" s="565"/>
      <c r="I220" s="579" t="s">
        <v>761</v>
      </c>
      <c r="K220" s="729"/>
      <c r="L220" s="729"/>
    </row>
    <row r="221" spans="1:12" ht="12.75" customHeight="1" x14ac:dyDescent="0.2">
      <c r="A221" s="742">
        <v>30</v>
      </c>
      <c r="B221" s="1713" t="s">
        <v>790</v>
      </c>
      <c r="C221" s="1714"/>
      <c r="D221" s="732">
        <v>2279</v>
      </c>
      <c r="E221" s="565">
        <v>2000</v>
      </c>
      <c r="F221" s="565"/>
      <c r="G221" s="565">
        <f t="shared" si="43"/>
        <v>2000</v>
      </c>
      <c r="H221" s="565"/>
      <c r="I221" s="579" t="s">
        <v>761</v>
      </c>
      <c r="K221" s="729"/>
      <c r="L221" s="729"/>
    </row>
    <row r="222" spans="1:12" x14ac:dyDescent="0.2">
      <c r="A222" s="741">
        <v>31</v>
      </c>
      <c r="B222" s="1700" t="s">
        <v>791</v>
      </c>
      <c r="C222" s="1701"/>
      <c r="D222" s="732">
        <v>2279</v>
      </c>
      <c r="E222" s="565">
        <v>2925</v>
      </c>
      <c r="F222" s="565"/>
      <c r="G222" s="565">
        <f t="shared" si="43"/>
        <v>2925</v>
      </c>
      <c r="H222" s="565"/>
      <c r="I222" s="579" t="s">
        <v>761</v>
      </c>
      <c r="K222" s="729"/>
      <c r="L222" s="729"/>
    </row>
    <row r="223" spans="1:12" ht="12.75" customHeight="1" x14ac:dyDescent="0.2">
      <c r="A223" s="742">
        <v>32</v>
      </c>
      <c r="B223" s="1700" t="s">
        <v>792</v>
      </c>
      <c r="C223" s="1701"/>
      <c r="D223" s="732">
        <v>2279</v>
      </c>
      <c r="E223" s="565">
        <v>1587</v>
      </c>
      <c r="F223" s="565">
        <v>-1420</v>
      </c>
      <c r="G223" s="565">
        <f t="shared" si="43"/>
        <v>167</v>
      </c>
      <c r="H223" s="565" t="s">
        <v>550</v>
      </c>
      <c r="I223" s="579" t="s">
        <v>761</v>
      </c>
      <c r="K223" s="729"/>
      <c r="L223" s="729"/>
    </row>
    <row r="224" spans="1:12" x14ac:dyDescent="0.2">
      <c r="A224" s="741">
        <v>33</v>
      </c>
      <c r="B224" s="1713" t="s">
        <v>793</v>
      </c>
      <c r="C224" s="1714"/>
      <c r="D224" s="732">
        <v>2279</v>
      </c>
      <c r="E224" s="565">
        <v>2100</v>
      </c>
      <c r="F224" s="565"/>
      <c r="G224" s="565">
        <f t="shared" si="43"/>
        <v>2100</v>
      </c>
      <c r="H224" s="565"/>
      <c r="I224" s="579" t="s">
        <v>761</v>
      </c>
      <c r="K224" s="729"/>
      <c r="L224" s="729"/>
    </row>
    <row r="225" spans="1:12" ht="12.75" customHeight="1" x14ac:dyDescent="0.2">
      <c r="A225" s="742">
        <v>34</v>
      </c>
      <c r="B225" s="1713" t="s">
        <v>794</v>
      </c>
      <c r="C225" s="1714"/>
      <c r="D225" s="732">
        <v>2279</v>
      </c>
      <c r="E225" s="565">
        <v>3000</v>
      </c>
      <c r="F225" s="565"/>
      <c r="G225" s="565">
        <f t="shared" si="43"/>
        <v>3000</v>
      </c>
      <c r="H225" s="565"/>
      <c r="I225" s="579" t="s">
        <v>761</v>
      </c>
      <c r="K225" s="729"/>
      <c r="L225" s="729"/>
    </row>
    <row r="226" spans="1:12" x14ac:dyDescent="0.2">
      <c r="A226" s="741">
        <v>35</v>
      </c>
      <c r="B226" s="1700" t="s">
        <v>795</v>
      </c>
      <c r="C226" s="1701"/>
      <c r="D226" s="732">
        <v>2279</v>
      </c>
      <c r="E226" s="565">
        <v>1423</v>
      </c>
      <c r="F226" s="565"/>
      <c r="G226" s="565">
        <f t="shared" si="43"/>
        <v>1423</v>
      </c>
      <c r="H226" s="565"/>
      <c r="I226" s="579" t="s">
        <v>761</v>
      </c>
      <c r="K226" s="729"/>
      <c r="L226" s="729"/>
    </row>
    <row r="227" spans="1:12" x14ac:dyDescent="0.2">
      <c r="A227" s="742">
        <v>36</v>
      </c>
      <c r="B227" s="1700" t="s">
        <v>796</v>
      </c>
      <c r="C227" s="1701"/>
      <c r="D227" s="732">
        <v>2279</v>
      </c>
      <c r="E227" s="565">
        <v>2982</v>
      </c>
      <c r="F227" s="565"/>
      <c r="G227" s="565">
        <f t="shared" si="43"/>
        <v>2982</v>
      </c>
      <c r="H227" s="565"/>
      <c r="I227" s="579" t="s">
        <v>761</v>
      </c>
      <c r="K227" s="729"/>
      <c r="L227" s="729"/>
    </row>
    <row r="228" spans="1:12" x14ac:dyDescent="0.2">
      <c r="A228" s="741">
        <v>37</v>
      </c>
      <c r="B228" s="1713" t="s">
        <v>797</v>
      </c>
      <c r="C228" s="1714"/>
      <c r="D228" s="732">
        <v>2279</v>
      </c>
      <c r="E228" s="565">
        <v>3000</v>
      </c>
      <c r="F228" s="565"/>
      <c r="G228" s="565">
        <f t="shared" si="43"/>
        <v>3000</v>
      </c>
      <c r="H228" s="565"/>
      <c r="I228" s="579" t="s">
        <v>761</v>
      </c>
      <c r="K228" s="729"/>
      <c r="L228" s="729"/>
    </row>
    <row r="229" spans="1:12" x14ac:dyDescent="0.2">
      <c r="A229" s="742">
        <v>38</v>
      </c>
      <c r="B229" s="1713" t="s">
        <v>798</v>
      </c>
      <c r="C229" s="1714"/>
      <c r="D229" s="732">
        <v>2279</v>
      </c>
      <c r="E229" s="565">
        <v>3700</v>
      </c>
      <c r="F229" s="565"/>
      <c r="G229" s="565">
        <f t="shared" si="43"/>
        <v>3700</v>
      </c>
      <c r="H229" s="565"/>
      <c r="I229" s="579" t="s">
        <v>761</v>
      </c>
      <c r="K229" s="729"/>
      <c r="L229" s="729"/>
    </row>
    <row r="230" spans="1:12" x14ac:dyDescent="0.2">
      <c r="A230" s="741">
        <v>39</v>
      </c>
      <c r="B230" s="1700" t="s">
        <v>799</v>
      </c>
      <c r="C230" s="1701"/>
      <c r="D230" s="732">
        <v>2279</v>
      </c>
      <c r="E230" s="565">
        <v>3000</v>
      </c>
      <c r="F230" s="565"/>
      <c r="G230" s="565">
        <f t="shared" si="43"/>
        <v>3000</v>
      </c>
      <c r="H230" s="565"/>
      <c r="I230" s="579" t="s">
        <v>761</v>
      </c>
      <c r="K230" s="729"/>
      <c r="L230" s="729"/>
    </row>
    <row r="231" spans="1:12" x14ac:dyDescent="0.2">
      <c r="A231" s="742">
        <v>40</v>
      </c>
      <c r="B231" s="1713" t="s">
        <v>800</v>
      </c>
      <c r="C231" s="1714"/>
      <c r="D231" s="732">
        <v>2279</v>
      </c>
      <c r="E231" s="565">
        <v>3000</v>
      </c>
      <c r="F231" s="565"/>
      <c r="G231" s="565">
        <f t="shared" si="43"/>
        <v>3000</v>
      </c>
      <c r="H231" s="565"/>
      <c r="I231" s="579" t="s">
        <v>761</v>
      </c>
      <c r="K231" s="729"/>
      <c r="L231" s="729"/>
    </row>
    <row r="232" spans="1:12" x14ac:dyDescent="0.2">
      <c r="A232" s="741">
        <v>41</v>
      </c>
      <c r="B232" s="1700" t="s">
        <v>801</v>
      </c>
      <c r="C232" s="1701"/>
      <c r="D232" s="732">
        <v>2279</v>
      </c>
      <c r="E232" s="565">
        <v>4269</v>
      </c>
      <c r="F232" s="565"/>
      <c r="G232" s="565">
        <f t="shared" si="43"/>
        <v>4269</v>
      </c>
      <c r="H232" s="565"/>
      <c r="I232" s="579" t="s">
        <v>761</v>
      </c>
      <c r="K232" s="729"/>
      <c r="L232" s="729"/>
    </row>
    <row r="233" spans="1:12" x14ac:dyDescent="0.2">
      <c r="A233" s="742">
        <v>42</v>
      </c>
      <c r="B233" s="1713" t="s">
        <v>802</v>
      </c>
      <c r="C233" s="1714"/>
      <c r="D233" s="732">
        <v>2279</v>
      </c>
      <c r="E233" s="565">
        <v>25000</v>
      </c>
      <c r="F233" s="565"/>
      <c r="G233" s="565">
        <f t="shared" si="43"/>
        <v>25000</v>
      </c>
      <c r="H233" s="565"/>
      <c r="I233" s="579" t="s">
        <v>761</v>
      </c>
      <c r="K233" s="729"/>
      <c r="L233" s="729"/>
    </row>
    <row r="234" spans="1:12" x14ac:dyDescent="0.2">
      <c r="A234" s="741">
        <v>43</v>
      </c>
      <c r="B234" s="1700" t="s">
        <v>803</v>
      </c>
      <c r="C234" s="1701"/>
      <c r="D234" s="732">
        <v>2279</v>
      </c>
      <c r="E234" s="565">
        <v>3819</v>
      </c>
      <c r="F234" s="565"/>
      <c r="G234" s="565">
        <f t="shared" si="43"/>
        <v>3819</v>
      </c>
      <c r="H234" s="565"/>
      <c r="I234" s="579" t="s">
        <v>761</v>
      </c>
      <c r="K234" s="729"/>
      <c r="L234" s="729"/>
    </row>
    <row r="235" spans="1:12" x14ac:dyDescent="0.2">
      <c r="A235" s="742">
        <v>44</v>
      </c>
      <c r="B235" s="1700" t="s">
        <v>804</v>
      </c>
      <c r="C235" s="1701"/>
      <c r="D235" s="732">
        <v>2279</v>
      </c>
      <c r="E235" s="565">
        <v>3140</v>
      </c>
      <c r="F235" s="565"/>
      <c r="G235" s="565">
        <f t="shared" si="43"/>
        <v>3140</v>
      </c>
      <c r="H235" s="565"/>
      <c r="I235" s="579" t="s">
        <v>761</v>
      </c>
      <c r="K235" s="729"/>
      <c r="L235" s="729"/>
    </row>
    <row r="236" spans="1:12" ht="11.25" customHeight="1" x14ac:dyDescent="0.2">
      <c r="A236" s="741">
        <v>45</v>
      </c>
      <c r="B236" s="1713" t="s">
        <v>805</v>
      </c>
      <c r="C236" s="1714"/>
      <c r="D236" s="732">
        <v>2279</v>
      </c>
      <c r="E236" s="565">
        <v>4301</v>
      </c>
      <c r="F236" s="565"/>
      <c r="G236" s="744">
        <f t="shared" si="43"/>
        <v>4301</v>
      </c>
      <c r="H236" s="565"/>
      <c r="I236" s="745" t="s">
        <v>761</v>
      </c>
      <c r="K236" s="729"/>
      <c r="L236" s="729"/>
    </row>
    <row r="237" spans="1:12" x14ac:dyDescent="0.2">
      <c r="A237" s="742">
        <v>46</v>
      </c>
      <c r="B237" s="1713" t="s">
        <v>806</v>
      </c>
      <c r="C237" s="1714"/>
      <c r="D237" s="732">
        <v>2279</v>
      </c>
      <c r="E237" s="565">
        <v>6980</v>
      </c>
      <c r="F237" s="565"/>
      <c r="G237" s="565">
        <f t="shared" si="43"/>
        <v>6980</v>
      </c>
      <c r="H237" s="565"/>
      <c r="I237" s="579" t="s">
        <v>761</v>
      </c>
      <c r="K237" s="729"/>
      <c r="L237" s="729"/>
    </row>
    <row r="238" spans="1:12" x14ac:dyDescent="0.2">
      <c r="A238" s="741">
        <v>47</v>
      </c>
      <c r="B238" s="1700" t="s">
        <v>807</v>
      </c>
      <c r="C238" s="1701"/>
      <c r="D238" s="732">
        <v>2279</v>
      </c>
      <c r="E238" s="565">
        <v>470</v>
      </c>
      <c r="F238" s="565">
        <v>-470</v>
      </c>
      <c r="G238" s="565">
        <f t="shared" si="43"/>
        <v>0</v>
      </c>
      <c r="H238" s="565" t="s">
        <v>550</v>
      </c>
      <c r="I238" s="579" t="s">
        <v>761</v>
      </c>
      <c r="K238" s="729"/>
      <c r="L238" s="729"/>
    </row>
    <row r="239" spans="1:12" x14ac:dyDescent="0.2">
      <c r="A239" s="742">
        <v>48</v>
      </c>
      <c r="B239" s="1700" t="s">
        <v>808</v>
      </c>
      <c r="C239" s="1701"/>
      <c r="D239" s="732">
        <v>2279</v>
      </c>
      <c r="E239" s="565">
        <v>2846</v>
      </c>
      <c r="F239" s="565"/>
      <c r="G239" s="565">
        <f t="shared" si="43"/>
        <v>2846</v>
      </c>
      <c r="H239" s="565"/>
      <c r="I239" s="579" t="s">
        <v>761</v>
      </c>
      <c r="K239" s="729"/>
      <c r="L239" s="729"/>
    </row>
    <row r="240" spans="1:12" x14ac:dyDescent="0.2">
      <c r="A240" s="741">
        <v>49</v>
      </c>
      <c r="B240" s="1713" t="s">
        <v>809</v>
      </c>
      <c r="C240" s="1714"/>
      <c r="D240" s="732">
        <v>2279</v>
      </c>
      <c r="E240" s="565">
        <v>1423</v>
      </c>
      <c r="F240" s="565"/>
      <c r="G240" s="565">
        <f t="shared" si="43"/>
        <v>1423</v>
      </c>
      <c r="H240" s="565"/>
      <c r="I240" s="579" t="s">
        <v>761</v>
      </c>
      <c r="K240" s="729"/>
      <c r="L240" s="729"/>
    </row>
    <row r="241" spans="1:12" x14ac:dyDescent="0.2">
      <c r="A241" s="742">
        <v>50</v>
      </c>
      <c r="B241" s="1713" t="s">
        <v>810</v>
      </c>
      <c r="C241" s="1714"/>
      <c r="D241" s="732">
        <v>2279</v>
      </c>
      <c r="E241" s="565">
        <v>800</v>
      </c>
      <c r="F241" s="565"/>
      <c r="G241" s="565">
        <f t="shared" si="43"/>
        <v>800</v>
      </c>
      <c r="H241" s="565"/>
      <c r="I241" s="579" t="s">
        <v>761</v>
      </c>
      <c r="K241" s="729"/>
      <c r="L241" s="729"/>
    </row>
    <row r="242" spans="1:12" x14ac:dyDescent="0.2">
      <c r="A242" s="741">
        <v>51</v>
      </c>
      <c r="B242" s="1700" t="s">
        <v>811</v>
      </c>
      <c r="C242" s="1701"/>
      <c r="D242" s="732">
        <v>2279</v>
      </c>
      <c r="E242" s="565">
        <v>3100</v>
      </c>
      <c r="F242" s="565"/>
      <c r="G242" s="565">
        <f t="shared" si="43"/>
        <v>3100</v>
      </c>
      <c r="H242" s="565"/>
      <c r="I242" s="579" t="s">
        <v>761</v>
      </c>
      <c r="K242" s="729"/>
      <c r="L242" s="729"/>
    </row>
    <row r="243" spans="1:12" ht="22.5" customHeight="1" x14ac:dyDescent="0.2">
      <c r="A243" s="742">
        <v>52</v>
      </c>
      <c r="B243" s="1700" t="s">
        <v>812</v>
      </c>
      <c r="C243" s="1701"/>
      <c r="D243" s="732">
        <v>2279</v>
      </c>
      <c r="E243" s="565">
        <v>2000</v>
      </c>
      <c r="F243" s="565"/>
      <c r="G243" s="565">
        <f t="shared" si="43"/>
        <v>2000</v>
      </c>
      <c r="H243" s="565"/>
      <c r="I243" s="579" t="s">
        <v>761</v>
      </c>
      <c r="K243" s="729"/>
      <c r="L243" s="729"/>
    </row>
    <row r="244" spans="1:12" x14ac:dyDescent="0.2">
      <c r="A244" s="741">
        <v>53</v>
      </c>
      <c r="B244" s="1700" t="s">
        <v>813</v>
      </c>
      <c r="C244" s="1701"/>
      <c r="D244" s="732">
        <v>2279</v>
      </c>
      <c r="E244" s="565">
        <v>200</v>
      </c>
      <c r="F244" s="565"/>
      <c r="G244" s="565">
        <f t="shared" si="43"/>
        <v>200</v>
      </c>
      <c r="H244" s="565"/>
      <c r="I244" s="579" t="s">
        <v>761</v>
      </c>
      <c r="K244" s="729"/>
      <c r="L244" s="729"/>
    </row>
    <row r="245" spans="1:12" x14ac:dyDescent="0.2">
      <c r="A245" s="1705">
        <v>54</v>
      </c>
      <c r="B245" s="1684" t="s">
        <v>814</v>
      </c>
      <c r="C245" s="1685"/>
      <c r="D245" s="732">
        <v>2279</v>
      </c>
      <c r="E245" s="565">
        <v>557</v>
      </c>
      <c r="F245" s="565"/>
      <c r="G245" s="565">
        <f t="shared" si="43"/>
        <v>557</v>
      </c>
      <c r="H245" s="565"/>
      <c r="I245" s="579" t="s">
        <v>815</v>
      </c>
      <c r="K245" s="729"/>
      <c r="L245" s="729"/>
    </row>
    <row r="246" spans="1:12" ht="12.75" customHeight="1" x14ac:dyDescent="0.2">
      <c r="A246" s="1705"/>
      <c r="B246" s="1688"/>
      <c r="C246" s="1689"/>
      <c r="D246" s="732">
        <v>2361</v>
      </c>
      <c r="E246" s="565">
        <v>407</v>
      </c>
      <c r="F246" s="565"/>
      <c r="G246" s="565">
        <f t="shared" ref="G246:G258" si="44">E246+F246</f>
        <v>407</v>
      </c>
      <c r="H246" s="565"/>
      <c r="I246" s="579" t="s">
        <v>816</v>
      </c>
      <c r="K246" s="729"/>
      <c r="L246" s="729"/>
    </row>
    <row r="247" spans="1:12" ht="12.75" customHeight="1" x14ac:dyDescent="0.2">
      <c r="A247" s="734">
        <v>55</v>
      </c>
      <c r="B247" s="1700" t="s">
        <v>817</v>
      </c>
      <c r="C247" s="1701"/>
      <c r="D247" s="732">
        <v>2279</v>
      </c>
      <c r="E247" s="565">
        <v>1500</v>
      </c>
      <c r="F247" s="565"/>
      <c r="G247" s="565">
        <f t="shared" si="44"/>
        <v>1500</v>
      </c>
      <c r="H247" s="565"/>
      <c r="I247" s="579" t="s">
        <v>761</v>
      </c>
      <c r="K247" s="729"/>
      <c r="L247" s="729"/>
    </row>
    <row r="248" spans="1:12" ht="12.75" customHeight="1" x14ac:dyDescent="0.2">
      <c r="A248" s="734">
        <v>56</v>
      </c>
      <c r="B248" s="1700" t="s">
        <v>818</v>
      </c>
      <c r="C248" s="1701"/>
      <c r="D248" s="732">
        <v>2279</v>
      </c>
      <c r="E248" s="565">
        <v>2000</v>
      </c>
      <c r="F248" s="565"/>
      <c r="G248" s="565">
        <f t="shared" si="44"/>
        <v>2000</v>
      </c>
      <c r="H248" s="565"/>
      <c r="I248" s="579" t="s">
        <v>761</v>
      </c>
      <c r="K248" s="729"/>
      <c r="L248" s="729"/>
    </row>
    <row r="249" spans="1:12" ht="12.75" customHeight="1" x14ac:dyDescent="0.2">
      <c r="A249" s="734">
        <v>57</v>
      </c>
      <c r="B249" s="1700" t="s">
        <v>819</v>
      </c>
      <c r="C249" s="1701"/>
      <c r="D249" s="732">
        <v>2279</v>
      </c>
      <c r="E249" s="565">
        <v>1397</v>
      </c>
      <c r="F249" s="565"/>
      <c r="G249" s="565">
        <f t="shared" si="44"/>
        <v>1397</v>
      </c>
      <c r="H249" s="565"/>
      <c r="I249" s="579" t="s">
        <v>761</v>
      </c>
      <c r="K249" s="729"/>
      <c r="L249" s="729"/>
    </row>
    <row r="250" spans="1:12" ht="15.75" customHeight="1" x14ac:dyDescent="0.2">
      <c r="A250" s="734">
        <v>58</v>
      </c>
      <c r="B250" s="1700" t="s">
        <v>820</v>
      </c>
      <c r="C250" s="1701"/>
      <c r="D250" s="732">
        <v>2279</v>
      </c>
      <c r="E250" s="565">
        <v>2500</v>
      </c>
      <c r="F250" s="565"/>
      <c r="G250" s="565">
        <f t="shared" si="44"/>
        <v>2500</v>
      </c>
      <c r="H250" s="565"/>
      <c r="I250" s="579" t="s">
        <v>761</v>
      </c>
      <c r="K250" s="729"/>
      <c r="L250" s="729"/>
    </row>
    <row r="251" spans="1:12" ht="48.75" customHeight="1" x14ac:dyDescent="0.2">
      <c r="A251" s="734">
        <v>59</v>
      </c>
      <c r="B251" s="1700" t="s">
        <v>821</v>
      </c>
      <c r="C251" s="1701"/>
      <c r="D251" s="732">
        <v>6422</v>
      </c>
      <c r="E251" s="565">
        <f>40000+25033</f>
        <v>65033</v>
      </c>
      <c r="F251" s="565"/>
      <c r="G251" s="565">
        <f t="shared" si="44"/>
        <v>65033</v>
      </c>
      <c r="H251" s="565"/>
      <c r="I251" s="565"/>
      <c r="K251" s="729"/>
      <c r="L251" s="729"/>
    </row>
    <row r="252" spans="1:12" ht="15.75" customHeight="1" x14ac:dyDescent="0.2">
      <c r="A252" s="734">
        <v>60</v>
      </c>
      <c r="B252" s="1700" t="s">
        <v>822</v>
      </c>
      <c r="C252" s="1701"/>
      <c r="D252" s="732">
        <v>2279</v>
      </c>
      <c r="E252" s="565">
        <v>3083</v>
      </c>
      <c r="F252" s="565"/>
      <c r="G252" s="565">
        <f t="shared" si="44"/>
        <v>3083</v>
      </c>
      <c r="H252" s="565"/>
      <c r="I252" s="579" t="s">
        <v>761</v>
      </c>
      <c r="K252" s="729"/>
      <c r="L252" s="729"/>
    </row>
    <row r="253" spans="1:12" x14ac:dyDescent="0.2">
      <c r="A253" s="734">
        <v>61</v>
      </c>
      <c r="B253" s="1700" t="s">
        <v>823</v>
      </c>
      <c r="C253" s="1701"/>
      <c r="D253" s="732">
        <v>2279</v>
      </c>
      <c r="E253" s="565">
        <v>3600</v>
      </c>
      <c r="F253" s="565"/>
      <c r="G253" s="565">
        <f t="shared" si="44"/>
        <v>3600</v>
      </c>
      <c r="H253" s="565"/>
      <c r="I253" s="579" t="s">
        <v>761</v>
      </c>
      <c r="K253" s="729"/>
      <c r="L253" s="729"/>
    </row>
    <row r="254" spans="1:12" ht="12.75" customHeight="1" x14ac:dyDescent="0.2">
      <c r="A254" s="734">
        <v>62</v>
      </c>
      <c r="B254" s="1700" t="s">
        <v>824</v>
      </c>
      <c r="C254" s="1701"/>
      <c r="D254" s="732">
        <v>2279</v>
      </c>
      <c r="E254" s="565">
        <v>750</v>
      </c>
      <c r="F254" s="565"/>
      <c r="G254" s="565">
        <f t="shared" si="44"/>
        <v>750</v>
      </c>
      <c r="H254" s="565"/>
      <c r="I254" s="579" t="s">
        <v>761</v>
      </c>
      <c r="K254" s="729"/>
      <c r="L254" s="729"/>
    </row>
    <row r="255" spans="1:12" x14ac:dyDescent="0.2">
      <c r="A255" s="734">
        <v>63</v>
      </c>
      <c r="B255" s="1700" t="s">
        <v>825</v>
      </c>
      <c r="C255" s="1701"/>
      <c r="D255" s="732">
        <v>2279</v>
      </c>
      <c r="E255" s="565">
        <v>2000</v>
      </c>
      <c r="F255" s="565"/>
      <c r="G255" s="565">
        <f t="shared" si="44"/>
        <v>2000</v>
      </c>
      <c r="H255" s="565"/>
      <c r="I255" s="579" t="s">
        <v>761</v>
      </c>
      <c r="K255" s="729"/>
      <c r="L255" s="729"/>
    </row>
    <row r="256" spans="1:12" ht="26.25" customHeight="1" x14ac:dyDescent="0.2">
      <c r="A256" s="734">
        <v>64</v>
      </c>
      <c r="B256" s="1700" t="s">
        <v>826</v>
      </c>
      <c r="C256" s="1701"/>
      <c r="D256" s="732">
        <v>2279</v>
      </c>
      <c r="E256" s="565">
        <v>4210</v>
      </c>
      <c r="F256" s="565"/>
      <c r="G256" s="565">
        <f t="shared" si="44"/>
        <v>4210</v>
      </c>
      <c r="H256" s="565"/>
      <c r="I256" s="579" t="s">
        <v>540</v>
      </c>
      <c r="K256" s="729"/>
      <c r="L256" s="729"/>
    </row>
    <row r="257" spans="1:12" x14ac:dyDescent="0.2">
      <c r="A257" s="734">
        <v>65</v>
      </c>
      <c r="B257" s="1700" t="s">
        <v>827</v>
      </c>
      <c r="C257" s="1701"/>
      <c r="D257" s="732">
        <v>2279</v>
      </c>
      <c r="E257" s="565">
        <v>3493</v>
      </c>
      <c r="F257" s="565"/>
      <c r="G257" s="565">
        <f t="shared" si="44"/>
        <v>3493</v>
      </c>
      <c r="H257" s="565"/>
      <c r="I257" s="579" t="s">
        <v>566</v>
      </c>
      <c r="K257" s="729"/>
      <c r="L257" s="729"/>
    </row>
    <row r="258" spans="1:12" x14ac:dyDescent="0.2">
      <c r="A258" s="734">
        <v>66</v>
      </c>
      <c r="B258" s="1700" t="s">
        <v>828</v>
      </c>
      <c r="C258" s="1701"/>
      <c r="D258" s="732">
        <v>2279</v>
      </c>
      <c r="E258" s="565">
        <v>2180</v>
      </c>
      <c r="F258" s="565"/>
      <c r="G258" s="565">
        <f t="shared" si="44"/>
        <v>2180</v>
      </c>
      <c r="H258" s="565"/>
      <c r="I258" s="579" t="s">
        <v>761</v>
      </c>
      <c r="K258" s="729"/>
      <c r="L258" s="729"/>
    </row>
    <row r="259" spans="1:12" x14ac:dyDescent="0.2">
      <c r="A259" s="731" t="s">
        <v>829</v>
      </c>
      <c r="B259" s="1693" t="s">
        <v>830</v>
      </c>
      <c r="C259" s="1694"/>
      <c r="D259" s="730"/>
      <c r="E259" s="730">
        <f>SUM(E260)</f>
        <v>786</v>
      </c>
      <c r="F259" s="730">
        <f t="shared" ref="F259:G259" si="45">SUM(F260)</f>
        <v>0</v>
      </c>
      <c r="G259" s="730">
        <f t="shared" si="45"/>
        <v>786</v>
      </c>
      <c r="H259" s="730"/>
      <c r="I259" s="565"/>
      <c r="K259" s="729"/>
      <c r="L259" s="729"/>
    </row>
    <row r="260" spans="1:12" x14ac:dyDescent="0.2">
      <c r="A260" s="734">
        <v>1</v>
      </c>
      <c r="B260" s="1700" t="s">
        <v>831</v>
      </c>
      <c r="C260" s="1701"/>
      <c r="D260" s="732">
        <v>2275</v>
      </c>
      <c r="E260" s="565">
        <f>24819-24033</f>
        <v>786</v>
      </c>
      <c r="F260" s="565"/>
      <c r="G260" s="565">
        <f>E260+F260</f>
        <v>786</v>
      </c>
      <c r="H260" s="565"/>
      <c r="I260" s="565"/>
      <c r="K260" s="729"/>
      <c r="L260" s="729"/>
    </row>
    <row r="261" spans="1:12" x14ac:dyDescent="0.2">
      <c r="A261" s="746"/>
      <c r="B261" s="747"/>
      <c r="C261" s="747"/>
      <c r="D261" s="748"/>
      <c r="E261" s="749"/>
      <c r="F261" s="749"/>
      <c r="G261" s="749"/>
      <c r="H261" s="749"/>
      <c r="I261" s="749"/>
      <c r="K261" s="729"/>
      <c r="L261" s="729"/>
    </row>
    <row r="262" spans="1:12" ht="15.75" x14ac:dyDescent="0.25">
      <c r="A262" s="1673" t="s">
        <v>358</v>
      </c>
      <c r="B262" s="1673"/>
      <c r="C262" s="1717" t="s">
        <v>832</v>
      </c>
      <c r="D262" s="1717"/>
      <c r="E262" s="1717"/>
      <c r="F262" s="1717"/>
      <c r="G262" s="1717"/>
      <c r="H262" s="1717"/>
      <c r="I262" s="1717"/>
      <c r="J262" s="750"/>
      <c r="K262" s="729"/>
      <c r="L262" s="729"/>
    </row>
    <row r="263" spans="1:12" x14ac:dyDescent="0.2">
      <c r="A263" s="1673" t="s">
        <v>360</v>
      </c>
      <c r="B263" s="1673"/>
      <c r="C263" s="1718" t="s">
        <v>833</v>
      </c>
      <c r="D263" s="1718"/>
      <c r="E263" s="1718"/>
      <c r="F263" s="1718"/>
      <c r="G263" s="1718"/>
      <c r="H263" s="1718"/>
      <c r="I263" s="1718"/>
      <c r="K263" s="729"/>
      <c r="L263" s="729"/>
    </row>
    <row r="264" spans="1:12" x14ac:dyDescent="0.2">
      <c r="A264" s="1673" t="s">
        <v>362</v>
      </c>
      <c r="B264" s="1673"/>
      <c r="C264" s="1719">
        <v>8.6199999999999992</v>
      </c>
      <c r="D264" s="1719"/>
      <c r="E264" s="1719"/>
      <c r="F264" s="1719"/>
      <c r="G264" s="1719"/>
      <c r="H264" s="1719"/>
      <c r="I264" s="1719"/>
      <c r="K264" s="729"/>
      <c r="L264" s="729"/>
    </row>
    <row r="265" spans="1:12" ht="12" customHeight="1" x14ac:dyDescent="0.2">
      <c r="A265" s="1636" t="s">
        <v>364</v>
      </c>
      <c r="B265" s="1636" t="s">
        <v>365</v>
      </c>
      <c r="C265" s="1636"/>
      <c r="D265" s="1636" t="s">
        <v>366</v>
      </c>
      <c r="E265" s="1636" t="s">
        <v>367</v>
      </c>
      <c r="F265" s="1680" t="s">
        <v>538</v>
      </c>
      <c r="G265" s="1680" t="s">
        <v>369</v>
      </c>
      <c r="H265" s="1680" t="s">
        <v>26</v>
      </c>
      <c r="I265" s="1636" t="s">
        <v>370</v>
      </c>
      <c r="K265" s="729"/>
      <c r="L265" s="729"/>
    </row>
    <row r="266" spans="1:12" ht="24" customHeight="1" x14ac:dyDescent="0.2">
      <c r="A266" s="1636"/>
      <c r="B266" s="1636"/>
      <c r="C266" s="1636"/>
      <c r="D266" s="1636"/>
      <c r="E266" s="1636"/>
      <c r="F266" s="1680"/>
      <c r="G266" s="1680"/>
      <c r="H266" s="1680"/>
      <c r="I266" s="1636"/>
      <c r="K266" s="729"/>
      <c r="L266" s="729"/>
    </row>
    <row r="267" spans="1:12" x14ac:dyDescent="0.2">
      <c r="A267" s="1637" t="s">
        <v>371</v>
      </c>
      <c r="B267" s="1637"/>
      <c r="C267" s="1637"/>
      <c r="D267" s="550"/>
      <c r="E267" s="550">
        <f>E268+E470+E572</f>
        <v>9091</v>
      </c>
      <c r="F267" s="550">
        <f>F268+F470+F572</f>
        <v>0</v>
      </c>
      <c r="G267" s="550">
        <f>G268+G470+G572</f>
        <v>9091</v>
      </c>
      <c r="H267" s="550"/>
      <c r="I267" s="585"/>
      <c r="K267" s="729"/>
      <c r="L267" s="729"/>
    </row>
    <row r="268" spans="1:12" ht="12" customHeight="1" x14ac:dyDescent="0.2">
      <c r="A268" s="734">
        <v>1</v>
      </c>
      <c r="B268" s="1720" t="s">
        <v>834</v>
      </c>
      <c r="C268" s="1701"/>
      <c r="D268" s="565">
        <v>1150</v>
      </c>
      <c r="E268" s="565">
        <v>9091</v>
      </c>
      <c r="F268" s="565"/>
      <c r="G268" s="565">
        <f>E268+F268</f>
        <v>9091</v>
      </c>
      <c r="H268" s="565"/>
      <c r="I268" s="579"/>
      <c r="K268" s="729"/>
      <c r="L268" s="729"/>
    </row>
    <row r="269" spans="1:12" ht="7.5" customHeight="1" x14ac:dyDescent="0.2">
      <c r="A269" s="751"/>
      <c r="B269" s="747"/>
      <c r="C269" s="747"/>
      <c r="D269" s="749"/>
      <c r="E269" s="749"/>
      <c r="F269" s="749"/>
      <c r="G269" s="749"/>
      <c r="H269" s="749"/>
      <c r="I269" s="752"/>
    </row>
    <row r="271" spans="1:12" ht="12.75" x14ac:dyDescent="0.2">
      <c r="A271" s="588" t="s">
        <v>835</v>
      </c>
      <c r="C271" s="753" t="s">
        <v>836</v>
      </c>
    </row>
    <row r="272" spans="1:12" x14ac:dyDescent="0.2">
      <c r="A272" s="588" t="s">
        <v>837</v>
      </c>
    </row>
    <row r="273" spans="1:9" x14ac:dyDescent="0.2">
      <c r="A273" s="588" t="s">
        <v>838</v>
      </c>
    </row>
    <row r="274" spans="1:9" x14ac:dyDescent="0.2">
      <c r="A274" s="588" t="s">
        <v>839</v>
      </c>
    </row>
    <row r="275" spans="1:9" x14ac:dyDescent="0.2">
      <c r="A275" s="588" t="s">
        <v>840</v>
      </c>
    </row>
    <row r="276" spans="1:9" x14ac:dyDescent="0.2">
      <c r="A276" s="1721" t="s">
        <v>841</v>
      </c>
      <c r="B276" s="1721"/>
      <c r="C276" s="1721"/>
      <c r="D276" s="754"/>
      <c r="E276" s="754"/>
      <c r="F276" s="754"/>
      <c r="G276" s="754"/>
      <c r="H276" s="754"/>
      <c r="I276" s="754"/>
    </row>
  </sheetData>
  <sheetProtection algorithmName="SHA-512" hashValue="VvKdz81OVdzBOO1ZhqmgRO0cSlwe7LfBDGj3U5I6j/ZY4S1UMr2y2TVunJ4MecCHB31Q1In25Y2kiErdEDr3vg==" saltValue="FsXsefXV7CUprqol+PBgBg==" spinCount="100000" sheet="1" objects="1" scenarios="1"/>
  <mergeCells count="271">
    <mergeCell ref="H265:H266"/>
    <mergeCell ref="I265:I266"/>
    <mergeCell ref="A267:C267"/>
    <mergeCell ref="B268:C268"/>
    <mergeCell ref="A276:C276"/>
    <mergeCell ref="A265:A266"/>
    <mergeCell ref="B265:C266"/>
    <mergeCell ref="D265:D266"/>
    <mergeCell ref="E265:E266"/>
    <mergeCell ref="F265:F266"/>
    <mergeCell ref="G265:G266"/>
    <mergeCell ref="A262:B262"/>
    <mergeCell ref="C262:I262"/>
    <mergeCell ref="A263:B263"/>
    <mergeCell ref="C263:I263"/>
    <mergeCell ref="A264:B264"/>
    <mergeCell ref="C264:I264"/>
    <mergeCell ref="B255:C255"/>
    <mergeCell ref="B256:C256"/>
    <mergeCell ref="B257:C257"/>
    <mergeCell ref="B258:C258"/>
    <mergeCell ref="B259:C259"/>
    <mergeCell ref="B260:C260"/>
    <mergeCell ref="B249:C249"/>
    <mergeCell ref="B250:C250"/>
    <mergeCell ref="B251:C251"/>
    <mergeCell ref="B252:C252"/>
    <mergeCell ref="B253:C253"/>
    <mergeCell ref="B254:C254"/>
    <mergeCell ref="B243:C243"/>
    <mergeCell ref="B244:C244"/>
    <mergeCell ref="A245:A246"/>
    <mergeCell ref="B245:C246"/>
    <mergeCell ref="B247:C247"/>
    <mergeCell ref="B248:C248"/>
    <mergeCell ref="B237:C237"/>
    <mergeCell ref="B238:C238"/>
    <mergeCell ref="B239:C239"/>
    <mergeCell ref="B240:C240"/>
    <mergeCell ref="B241:C241"/>
    <mergeCell ref="B242:C242"/>
    <mergeCell ref="B231:C231"/>
    <mergeCell ref="B232:C232"/>
    <mergeCell ref="B233:C233"/>
    <mergeCell ref="B234:C234"/>
    <mergeCell ref="B235:C235"/>
    <mergeCell ref="B236:C236"/>
    <mergeCell ref="B225:C225"/>
    <mergeCell ref="B226:C226"/>
    <mergeCell ref="B227:C227"/>
    <mergeCell ref="B228:C228"/>
    <mergeCell ref="B229:C229"/>
    <mergeCell ref="B230:C230"/>
    <mergeCell ref="B219:C219"/>
    <mergeCell ref="B220:C220"/>
    <mergeCell ref="B221:C221"/>
    <mergeCell ref="B222:C222"/>
    <mergeCell ref="B223:C223"/>
    <mergeCell ref="B224:C224"/>
    <mergeCell ref="B213:C213"/>
    <mergeCell ref="B214:C214"/>
    <mergeCell ref="B215:C215"/>
    <mergeCell ref="B216:C216"/>
    <mergeCell ref="B217:C217"/>
    <mergeCell ref="B218:C218"/>
    <mergeCell ref="B207:C207"/>
    <mergeCell ref="B208:C208"/>
    <mergeCell ref="B209:C209"/>
    <mergeCell ref="B210:C210"/>
    <mergeCell ref="B211:C211"/>
    <mergeCell ref="B212:C212"/>
    <mergeCell ref="B202:C202"/>
    <mergeCell ref="A203:A204"/>
    <mergeCell ref="B203:C204"/>
    <mergeCell ref="I203:I204"/>
    <mergeCell ref="B205:C205"/>
    <mergeCell ref="B206:C206"/>
    <mergeCell ref="B196:C196"/>
    <mergeCell ref="B197:C197"/>
    <mergeCell ref="B198:C198"/>
    <mergeCell ref="B199:C199"/>
    <mergeCell ref="B200:C200"/>
    <mergeCell ref="B201:C201"/>
    <mergeCell ref="B184:C184"/>
    <mergeCell ref="A185:A187"/>
    <mergeCell ref="B185:C187"/>
    <mergeCell ref="I185:I187"/>
    <mergeCell ref="A188:A195"/>
    <mergeCell ref="B188:C195"/>
    <mergeCell ref="I188:I195"/>
    <mergeCell ref="B178:C178"/>
    <mergeCell ref="B179:C179"/>
    <mergeCell ref="B180:C180"/>
    <mergeCell ref="A181:C181"/>
    <mergeCell ref="B182:C182"/>
    <mergeCell ref="B183:C183"/>
    <mergeCell ref="B172:C172"/>
    <mergeCell ref="B173:C173"/>
    <mergeCell ref="B174:C174"/>
    <mergeCell ref="B175:C175"/>
    <mergeCell ref="B176:C176"/>
    <mergeCell ref="B177:C177"/>
    <mergeCell ref="B167:C167"/>
    <mergeCell ref="A168:A169"/>
    <mergeCell ref="B168:C169"/>
    <mergeCell ref="I168:I169"/>
    <mergeCell ref="B170:C170"/>
    <mergeCell ref="B171:C171"/>
    <mergeCell ref="B161:C161"/>
    <mergeCell ref="B162:C162"/>
    <mergeCell ref="B163:C163"/>
    <mergeCell ref="B164:C164"/>
    <mergeCell ref="B165:C165"/>
    <mergeCell ref="B166:C166"/>
    <mergeCell ref="B155:C155"/>
    <mergeCell ref="B156:C156"/>
    <mergeCell ref="B157:C157"/>
    <mergeCell ref="B158:C158"/>
    <mergeCell ref="B159:C159"/>
    <mergeCell ref="B160:C160"/>
    <mergeCell ref="B149:C149"/>
    <mergeCell ref="B150:C150"/>
    <mergeCell ref="B151:C151"/>
    <mergeCell ref="B152:C152"/>
    <mergeCell ref="B153:C153"/>
    <mergeCell ref="B154:C154"/>
    <mergeCell ref="B143:C143"/>
    <mergeCell ref="B144:C144"/>
    <mergeCell ref="B145:C145"/>
    <mergeCell ref="B146:C146"/>
    <mergeCell ref="B147:C147"/>
    <mergeCell ref="B148:C148"/>
    <mergeCell ref="B137:C137"/>
    <mergeCell ref="B138:C138"/>
    <mergeCell ref="B139:C139"/>
    <mergeCell ref="B140:C140"/>
    <mergeCell ref="B141:C141"/>
    <mergeCell ref="B142:C142"/>
    <mergeCell ref="B131:C131"/>
    <mergeCell ref="B132:C132"/>
    <mergeCell ref="B133:C133"/>
    <mergeCell ref="A134:A136"/>
    <mergeCell ref="B134:C136"/>
    <mergeCell ref="I134:I136"/>
    <mergeCell ref="B124:C124"/>
    <mergeCell ref="A125:A128"/>
    <mergeCell ref="B125:C128"/>
    <mergeCell ref="H125:H128"/>
    <mergeCell ref="B129:C129"/>
    <mergeCell ref="B130:C130"/>
    <mergeCell ref="B118:C118"/>
    <mergeCell ref="B119:C119"/>
    <mergeCell ref="B120:C120"/>
    <mergeCell ref="B121:C121"/>
    <mergeCell ref="B122:C122"/>
    <mergeCell ref="B123:C123"/>
    <mergeCell ref="B112:C112"/>
    <mergeCell ref="B113:C113"/>
    <mergeCell ref="B114:C114"/>
    <mergeCell ref="B115:C115"/>
    <mergeCell ref="B116:C116"/>
    <mergeCell ref="B117:C117"/>
    <mergeCell ref="B106:C106"/>
    <mergeCell ref="B107:C107"/>
    <mergeCell ref="B108:C108"/>
    <mergeCell ref="B109:C109"/>
    <mergeCell ref="B110:C110"/>
    <mergeCell ref="B111:C111"/>
    <mergeCell ref="A98:A100"/>
    <mergeCell ref="B98:C100"/>
    <mergeCell ref="I98:I100"/>
    <mergeCell ref="A101:A105"/>
    <mergeCell ref="B101:C105"/>
    <mergeCell ref="I101:I105"/>
    <mergeCell ref="A92:A94"/>
    <mergeCell ref="B92:C94"/>
    <mergeCell ref="I92:I94"/>
    <mergeCell ref="A95:A97"/>
    <mergeCell ref="B95:C97"/>
    <mergeCell ref="I95:I97"/>
    <mergeCell ref="B86:C86"/>
    <mergeCell ref="B87:C87"/>
    <mergeCell ref="B88:C88"/>
    <mergeCell ref="B89:C89"/>
    <mergeCell ref="B90:C90"/>
    <mergeCell ref="B91:C91"/>
    <mergeCell ref="B80:C80"/>
    <mergeCell ref="B81:C81"/>
    <mergeCell ref="B82:C82"/>
    <mergeCell ref="B83:C83"/>
    <mergeCell ref="B84:C84"/>
    <mergeCell ref="B85:C85"/>
    <mergeCell ref="B74:C74"/>
    <mergeCell ref="B75:C75"/>
    <mergeCell ref="B76:C76"/>
    <mergeCell ref="A77:A79"/>
    <mergeCell ref="B77:C79"/>
    <mergeCell ref="I77:I79"/>
    <mergeCell ref="B68:C68"/>
    <mergeCell ref="B69:C69"/>
    <mergeCell ref="B70:C70"/>
    <mergeCell ref="B71:C71"/>
    <mergeCell ref="B72:C72"/>
    <mergeCell ref="B73:C73"/>
    <mergeCell ref="A63:A64"/>
    <mergeCell ref="B63:C64"/>
    <mergeCell ref="I63:I64"/>
    <mergeCell ref="B65:C65"/>
    <mergeCell ref="B66:C66"/>
    <mergeCell ref="B67:C67"/>
    <mergeCell ref="A57:A59"/>
    <mergeCell ref="B57:C59"/>
    <mergeCell ref="I57:I59"/>
    <mergeCell ref="A60:A62"/>
    <mergeCell ref="B60:C62"/>
    <mergeCell ref="I60:I62"/>
    <mergeCell ref="B50:C50"/>
    <mergeCell ref="A51:A52"/>
    <mergeCell ref="B51:C52"/>
    <mergeCell ref="I51:I52"/>
    <mergeCell ref="B53:C53"/>
    <mergeCell ref="A54:A56"/>
    <mergeCell ref="B54:C56"/>
    <mergeCell ref="I54:I56"/>
    <mergeCell ref="B45:C45"/>
    <mergeCell ref="A46:A47"/>
    <mergeCell ref="B46:C47"/>
    <mergeCell ref="I46:I47"/>
    <mergeCell ref="A48:A49"/>
    <mergeCell ref="B48:C49"/>
    <mergeCell ref="I48:I49"/>
    <mergeCell ref="B37:C37"/>
    <mergeCell ref="B38:C38"/>
    <mergeCell ref="B39:C39"/>
    <mergeCell ref="A40:A44"/>
    <mergeCell ref="B40:C44"/>
    <mergeCell ref="I40:I44"/>
    <mergeCell ref="I28:I31"/>
    <mergeCell ref="A32:A34"/>
    <mergeCell ref="B32:C34"/>
    <mergeCell ref="I32:I34"/>
    <mergeCell ref="B35:C35"/>
    <mergeCell ref="B36:C36"/>
    <mergeCell ref="A22:A26"/>
    <mergeCell ref="B22:C26"/>
    <mergeCell ref="H22:H26"/>
    <mergeCell ref="B27:C27"/>
    <mergeCell ref="A28:A31"/>
    <mergeCell ref="B28:C31"/>
    <mergeCell ref="A13:C13"/>
    <mergeCell ref="A14:C14"/>
    <mergeCell ref="B15:C15"/>
    <mergeCell ref="A16:A21"/>
    <mergeCell ref="B16:C21"/>
    <mergeCell ref="A5:B5"/>
    <mergeCell ref="A6:I6"/>
    <mergeCell ref="A8:B8"/>
    <mergeCell ref="C8:I8"/>
    <mergeCell ref="A9:B9"/>
    <mergeCell ref="C9:I9"/>
    <mergeCell ref="I16:I21"/>
    <mergeCell ref="A10:B10"/>
    <mergeCell ref="C10:I10"/>
    <mergeCell ref="A11:A12"/>
    <mergeCell ref="B11:C12"/>
    <mergeCell ref="D11:D12"/>
    <mergeCell ref="E11:E12"/>
    <mergeCell ref="F11:F12"/>
    <mergeCell ref="G11:G12"/>
    <mergeCell ref="H11:H12"/>
    <mergeCell ref="I11:I12"/>
  </mergeCells>
  <pageMargins left="0.98425196850393704" right="0.39370078740157483" top="0.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112.pielikums Jūrmalas pilsētas domes
2017.gada 30.janvāra saistošajiem noteikumiem Nr.10
(Protokols Nr.4, 1.punkts)
 </firstHeader>
    <firstFooter>&amp;L&amp;9&amp;D; &amp;T&amp;R&amp;9&amp;P (&amp;N)</first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276"/>
  <sheetViews>
    <sheetView view="pageLayout" zoomScaleNormal="100" workbookViewId="0">
      <selection activeCell="J8" sqref="J8"/>
    </sheetView>
  </sheetViews>
  <sheetFormatPr defaultRowHeight="12" x14ac:dyDescent="0.2"/>
  <cols>
    <col min="1" max="1" width="6.140625" style="588" customWidth="1"/>
    <col min="2" max="2" width="35.140625" style="588" customWidth="1"/>
    <col min="3" max="3" width="20" style="588" customWidth="1"/>
    <col min="4" max="4" width="10.5703125" style="588" customWidth="1"/>
    <col min="5" max="5" width="12.42578125" style="588" hidden="1" customWidth="1"/>
    <col min="6" max="6" width="11.140625" style="588" hidden="1" customWidth="1"/>
    <col min="7" max="7" width="14.85546875" style="588" customWidth="1"/>
    <col min="8" max="8" width="29" style="588" hidden="1" customWidth="1"/>
    <col min="9" max="9" width="12" style="588" customWidth="1"/>
    <col min="10" max="16384" width="9.140625" style="588"/>
  </cols>
  <sheetData>
    <row r="1" spans="1:9" x14ac:dyDescent="0.2">
      <c r="I1" s="726" t="s">
        <v>1067</v>
      </c>
    </row>
    <row r="2" spans="1:9" x14ac:dyDescent="0.2">
      <c r="I2" s="726" t="s">
        <v>353</v>
      </c>
    </row>
    <row r="3" spans="1:9" x14ac:dyDescent="0.2">
      <c r="I3" s="726" t="s">
        <v>354</v>
      </c>
    </row>
    <row r="4" spans="1:9" x14ac:dyDescent="0.2">
      <c r="A4" s="588" t="s">
        <v>355</v>
      </c>
      <c r="B4" s="727"/>
      <c r="C4" s="727"/>
      <c r="D4" s="727"/>
      <c r="E4" s="727"/>
      <c r="F4" s="727"/>
      <c r="G4" s="727"/>
      <c r="H4" s="727"/>
      <c r="I4" s="727"/>
    </row>
    <row r="5" spans="1:9" x14ac:dyDescent="0.2">
      <c r="A5" s="1673" t="s">
        <v>356</v>
      </c>
      <c r="B5" s="1673"/>
      <c r="C5" s="727"/>
      <c r="D5" s="727"/>
      <c r="E5" s="727"/>
      <c r="F5" s="727"/>
      <c r="G5" s="727"/>
      <c r="H5" s="727"/>
      <c r="I5" s="727"/>
    </row>
    <row r="6" spans="1:9" ht="15.75" x14ac:dyDescent="0.25">
      <c r="A6" s="1674" t="s">
        <v>357</v>
      </c>
      <c r="B6" s="1674"/>
      <c r="C6" s="1674"/>
      <c r="D6" s="1674"/>
      <c r="E6" s="1674"/>
      <c r="F6" s="1674"/>
      <c r="G6" s="1674"/>
      <c r="H6" s="1674"/>
      <c r="I6" s="1674"/>
    </row>
    <row r="7" spans="1:9" ht="9.75" customHeight="1" x14ac:dyDescent="0.25">
      <c r="A7" s="728"/>
      <c r="B7" s="728"/>
      <c r="C7" s="728"/>
      <c r="D7" s="728"/>
      <c r="E7" s="728"/>
      <c r="F7" s="728"/>
      <c r="G7" s="728"/>
      <c r="H7" s="728"/>
      <c r="I7" s="728"/>
    </row>
    <row r="8" spans="1:9" ht="15.75" x14ac:dyDescent="0.25">
      <c r="A8" s="1673" t="s">
        <v>358</v>
      </c>
      <c r="B8" s="1673"/>
      <c r="C8" s="1675" t="s">
        <v>537</v>
      </c>
      <c r="D8" s="1675"/>
      <c r="E8" s="1675"/>
      <c r="F8" s="1675"/>
      <c r="G8" s="1675"/>
      <c r="H8" s="1675"/>
      <c r="I8" s="1675"/>
    </row>
    <row r="9" spans="1:9" x14ac:dyDescent="0.2">
      <c r="A9" s="1673" t="s">
        <v>360</v>
      </c>
      <c r="B9" s="1673"/>
      <c r="C9" s="1673" t="s">
        <v>519</v>
      </c>
      <c r="D9" s="1673"/>
      <c r="E9" s="1673"/>
      <c r="F9" s="1673"/>
      <c r="G9" s="1673"/>
      <c r="H9" s="1673"/>
      <c r="I9" s="1673"/>
    </row>
    <row r="10" spans="1:9" x14ac:dyDescent="0.2">
      <c r="A10" s="1673" t="s">
        <v>362</v>
      </c>
      <c r="B10" s="1673"/>
      <c r="C10" s="1679" t="s">
        <v>518</v>
      </c>
      <c r="D10" s="1679"/>
      <c r="E10" s="1679"/>
      <c r="F10" s="1679"/>
      <c r="G10" s="1679"/>
      <c r="H10" s="1679"/>
      <c r="I10" s="1679"/>
    </row>
    <row r="11" spans="1:9" ht="12" customHeight="1" x14ac:dyDescent="0.2">
      <c r="A11" s="1636" t="s">
        <v>364</v>
      </c>
      <c r="B11" s="1636" t="s">
        <v>365</v>
      </c>
      <c r="C11" s="1636"/>
      <c r="D11" s="1636" t="s">
        <v>366</v>
      </c>
      <c r="E11" s="1636" t="s">
        <v>367</v>
      </c>
      <c r="F11" s="1680" t="s">
        <v>538</v>
      </c>
      <c r="G11" s="1680" t="s">
        <v>369</v>
      </c>
      <c r="H11" s="1680" t="s">
        <v>26</v>
      </c>
      <c r="I11" s="1636" t="s">
        <v>370</v>
      </c>
    </row>
    <row r="12" spans="1:9" ht="23.25" customHeight="1" x14ac:dyDescent="0.2">
      <c r="A12" s="1636"/>
      <c r="B12" s="1636"/>
      <c r="C12" s="1636"/>
      <c r="D12" s="1636"/>
      <c r="E12" s="1636"/>
      <c r="F12" s="1680"/>
      <c r="G12" s="1680"/>
      <c r="H12" s="1680"/>
      <c r="I12" s="1636"/>
    </row>
    <row r="13" spans="1:9" x14ac:dyDescent="0.2">
      <c r="A13" s="1696" t="s">
        <v>371</v>
      </c>
      <c r="B13" s="1696"/>
      <c r="C13" s="1696"/>
      <c r="D13" s="550"/>
      <c r="E13" s="550">
        <f>E14+E182+E260</f>
        <v>1748750</v>
      </c>
      <c r="F13" s="550">
        <f>F14+F182+F260</f>
        <v>0</v>
      </c>
      <c r="G13" s="550">
        <f>G14+G182+G260</f>
        <v>1748750</v>
      </c>
      <c r="H13" s="550"/>
      <c r="I13" s="550"/>
    </row>
    <row r="14" spans="1:9" x14ac:dyDescent="0.2">
      <c r="A14" s="1734" t="s">
        <v>539</v>
      </c>
      <c r="B14" s="1735"/>
      <c r="C14" s="1736"/>
      <c r="D14" s="730"/>
      <c r="E14" s="730">
        <f>E15+E27+E35+E38+E45+E53+E65+E81+E91+E106+E112+E114+E119+E124+E129+E132+E139+E144+E164+E168+E171+E173+E176+E180</f>
        <v>1188990</v>
      </c>
      <c r="F14" s="730">
        <f>F15+F27+F35+F38+F45+F53+F65+F81+F91+F106+F112+F114+F119+F124+F129+F132+F139+F144+F164+F168+F171+F173+F176+F180</f>
        <v>3519</v>
      </c>
      <c r="G14" s="730">
        <f>G15+G27+G35+G38+G45+G53+G65+G81+G91+G106+G112+G114+G119+G124+G129+G132+G139+G144+G164+G168+G171+G173+G176+G180</f>
        <v>1192509</v>
      </c>
      <c r="H14" s="730"/>
      <c r="I14" s="579" t="s">
        <v>540</v>
      </c>
    </row>
    <row r="15" spans="1:9" x14ac:dyDescent="0.2">
      <c r="A15" s="731">
        <v>1</v>
      </c>
      <c r="B15" s="1693"/>
      <c r="C15" s="1694"/>
      <c r="D15" s="730"/>
      <c r="E15" s="730">
        <f>SUM(E16:E26)</f>
        <v>30644</v>
      </c>
      <c r="F15" s="730">
        <f>SUM(F16:F26)</f>
        <v>0</v>
      </c>
      <c r="G15" s="730">
        <f>SUM(G16:G26)</f>
        <v>30644</v>
      </c>
      <c r="H15" s="730"/>
      <c r="I15" s="565"/>
    </row>
    <row r="16" spans="1:9" x14ac:dyDescent="0.2">
      <c r="A16" s="1733" t="s">
        <v>541</v>
      </c>
      <c r="B16" s="1725" t="s">
        <v>542</v>
      </c>
      <c r="C16" s="1726"/>
      <c r="D16" s="912">
        <v>2231</v>
      </c>
      <c r="E16" s="565">
        <v>2066</v>
      </c>
      <c r="F16" s="565"/>
      <c r="G16" s="565">
        <f>E16+F16</f>
        <v>2066</v>
      </c>
      <c r="H16" s="565"/>
      <c r="I16" s="1676" t="s">
        <v>543</v>
      </c>
    </row>
    <row r="17" spans="1:9" ht="12.75" customHeight="1" x14ac:dyDescent="0.2">
      <c r="A17" s="1733"/>
      <c r="B17" s="1727"/>
      <c r="C17" s="1728"/>
      <c r="D17" s="912">
        <v>2264</v>
      </c>
      <c r="E17" s="565">
        <f>570+2181</f>
        <v>2751</v>
      </c>
      <c r="F17" s="565"/>
      <c r="G17" s="565">
        <f t="shared" ref="G17:G23" si="0">E17+F17</f>
        <v>2751</v>
      </c>
      <c r="H17" s="565"/>
      <c r="I17" s="1677"/>
    </row>
    <row r="18" spans="1:9" x14ac:dyDescent="0.2">
      <c r="A18" s="1733"/>
      <c r="B18" s="1727"/>
      <c r="C18" s="1728"/>
      <c r="D18" s="912">
        <v>2279</v>
      </c>
      <c r="E18" s="565">
        <f>2400+6070</f>
        <v>8470</v>
      </c>
      <c r="F18" s="565"/>
      <c r="G18" s="565">
        <f t="shared" si="0"/>
        <v>8470</v>
      </c>
      <c r="H18" s="565"/>
      <c r="I18" s="1677"/>
    </row>
    <row r="19" spans="1:9" x14ac:dyDescent="0.2">
      <c r="A19" s="1733"/>
      <c r="B19" s="1727"/>
      <c r="C19" s="1728"/>
      <c r="D19" s="912">
        <v>1150</v>
      </c>
      <c r="E19" s="565">
        <v>5209</v>
      </c>
      <c r="F19" s="565"/>
      <c r="G19" s="565">
        <f t="shared" si="0"/>
        <v>5209</v>
      </c>
      <c r="H19" s="565"/>
      <c r="I19" s="1677"/>
    </row>
    <row r="20" spans="1:9" x14ac:dyDescent="0.2">
      <c r="A20" s="1733"/>
      <c r="B20" s="1727"/>
      <c r="C20" s="1728"/>
      <c r="D20" s="912">
        <v>6422</v>
      </c>
      <c r="E20" s="565">
        <v>2210</v>
      </c>
      <c r="F20" s="565"/>
      <c r="G20" s="565">
        <f t="shared" si="0"/>
        <v>2210</v>
      </c>
      <c r="H20" s="565"/>
      <c r="I20" s="1677"/>
    </row>
    <row r="21" spans="1:9" x14ac:dyDescent="0.2">
      <c r="A21" s="1733"/>
      <c r="B21" s="1729"/>
      <c r="C21" s="1730"/>
      <c r="D21" s="912">
        <v>2314</v>
      </c>
      <c r="E21" s="565">
        <f>3225-1135</f>
        <v>2090</v>
      </c>
      <c r="F21" s="565"/>
      <c r="G21" s="565">
        <f t="shared" si="0"/>
        <v>2090</v>
      </c>
      <c r="H21" s="565"/>
      <c r="I21" s="1678"/>
    </row>
    <row r="22" spans="1:9" ht="12.75" customHeight="1" x14ac:dyDescent="0.2">
      <c r="A22" s="1722">
        <v>1.2</v>
      </c>
      <c r="B22" s="1725" t="s">
        <v>545</v>
      </c>
      <c r="C22" s="1726"/>
      <c r="D22" s="912">
        <v>2231</v>
      </c>
      <c r="E22" s="565">
        <v>3986</v>
      </c>
      <c r="F22" s="565"/>
      <c r="G22" s="565">
        <f t="shared" si="0"/>
        <v>3986</v>
      </c>
      <c r="H22" s="1690"/>
      <c r="I22" s="733" t="s">
        <v>546</v>
      </c>
    </row>
    <row r="23" spans="1:9" ht="12.75" customHeight="1" x14ac:dyDescent="0.2">
      <c r="A23" s="1723"/>
      <c r="B23" s="1727"/>
      <c r="C23" s="1728"/>
      <c r="D23" s="912">
        <v>2232</v>
      </c>
      <c r="E23" s="565">
        <v>388</v>
      </c>
      <c r="F23" s="565"/>
      <c r="G23" s="565">
        <f t="shared" si="0"/>
        <v>388</v>
      </c>
      <c r="H23" s="1691"/>
      <c r="I23" s="733"/>
    </row>
    <row r="24" spans="1:9" ht="12.75" customHeight="1" x14ac:dyDescent="0.2">
      <c r="A24" s="1723"/>
      <c r="B24" s="1727"/>
      <c r="C24" s="1728"/>
      <c r="D24" s="912">
        <v>5234</v>
      </c>
      <c r="E24" s="565">
        <v>1500</v>
      </c>
      <c r="F24" s="565"/>
      <c r="G24" s="565">
        <v>1500</v>
      </c>
      <c r="H24" s="1691"/>
      <c r="I24" s="733" t="s">
        <v>546</v>
      </c>
    </row>
    <row r="25" spans="1:9" ht="12.75" customHeight="1" x14ac:dyDescent="0.2">
      <c r="A25" s="1723"/>
      <c r="B25" s="1727"/>
      <c r="C25" s="1728"/>
      <c r="D25" s="912">
        <v>2314</v>
      </c>
      <c r="E25" s="565">
        <v>774</v>
      </c>
      <c r="F25" s="565"/>
      <c r="G25" s="565">
        <v>774</v>
      </c>
      <c r="H25" s="1691"/>
      <c r="I25" s="733" t="s">
        <v>546</v>
      </c>
    </row>
    <row r="26" spans="1:9" x14ac:dyDescent="0.2">
      <c r="A26" s="1724"/>
      <c r="B26" s="1729"/>
      <c r="C26" s="1730"/>
      <c r="D26" s="912">
        <v>2279</v>
      </c>
      <c r="E26" s="565">
        <v>1200</v>
      </c>
      <c r="F26" s="565"/>
      <c r="G26" s="565">
        <v>1200</v>
      </c>
      <c r="H26" s="1692"/>
      <c r="I26" s="733" t="s">
        <v>546</v>
      </c>
    </row>
    <row r="27" spans="1:9" x14ac:dyDescent="0.2">
      <c r="A27" s="912">
        <v>2</v>
      </c>
      <c r="B27" s="1731" t="s">
        <v>547</v>
      </c>
      <c r="C27" s="1732"/>
      <c r="D27" s="913"/>
      <c r="E27" s="730">
        <f>SUM(E28:E34)</f>
        <v>4847</v>
      </c>
      <c r="F27" s="730">
        <f t="shared" ref="F27:G27" si="1">SUM(F28:F34)</f>
        <v>0</v>
      </c>
      <c r="G27" s="730">
        <f t="shared" si="1"/>
        <v>4847</v>
      </c>
      <c r="H27" s="730"/>
      <c r="I27" s="565"/>
    </row>
    <row r="28" spans="1:9" x14ac:dyDescent="0.2">
      <c r="A28" s="1733" t="s">
        <v>548</v>
      </c>
      <c r="B28" s="1725" t="s">
        <v>549</v>
      </c>
      <c r="C28" s="1726"/>
      <c r="D28" s="912">
        <v>2262</v>
      </c>
      <c r="E28" s="565">
        <f>600-600</f>
        <v>0</v>
      </c>
      <c r="F28" s="565"/>
      <c r="G28" s="565">
        <f t="shared" ref="G28:G34" si="2">E28+F28</f>
        <v>0</v>
      </c>
      <c r="H28" s="565"/>
      <c r="I28" s="1676" t="s">
        <v>540</v>
      </c>
    </row>
    <row r="29" spans="1:9" ht="12.75" customHeight="1" x14ac:dyDescent="0.2">
      <c r="A29" s="1733"/>
      <c r="B29" s="1727"/>
      <c r="C29" s="1728"/>
      <c r="D29" s="912">
        <v>2264</v>
      </c>
      <c r="E29" s="565">
        <v>427</v>
      </c>
      <c r="F29" s="565"/>
      <c r="G29" s="565">
        <f t="shared" si="2"/>
        <v>427</v>
      </c>
      <c r="H29" s="565"/>
      <c r="I29" s="1677"/>
    </row>
    <row r="30" spans="1:9" ht="12.75" customHeight="1" x14ac:dyDescent="0.2">
      <c r="A30" s="1733"/>
      <c r="B30" s="1727"/>
      <c r="C30" s="1728"/>
      <c r="D30" s="912">
        <v>2279</v>
      </c>
      <c r="E30" s="565">
        <v>3370</v>
      </c>
      <c r="F30" s="565"/>
      <c r="G30" s="565">
        <f t="shared" si="2"/>
        <v>3370</v>
      </c>
      <c r="H30" s="565"/>
      <c r="I30" s="1677"/>
    </row>
    <row r="31" spans="1:9" ht="12.75" customHeight="1" x14ac:dyDescent="0.2">
      <c r="A31" s="1733"/>
      <c r="B31" s="1729"/>
      <c r="C31" s="1730"/>
      <c r="D31" s="912">
        <v>2314</v>
      </c>
      <c r="E31" s="565">
        <v>300</v>
      </c>
      <c r="F31" s="565"/>
      <c r="G31" s="565">
        <f t="shared" si="2"/>
        <v>300</v>
      </c>
      <c r="H31" s="565"/>
      <c r="I31" s="1678"/>
    </row>
    <row r="32" spans="1:9" x14ac:dyDescent="0.2">
      <c r="A32" s="1733" t="s">
        <v>551</v>
      </c>
      <c r="B32" s="1725" t="s">
        <v>552</v>
      </c>
      <c r="C32" s="1726"/>
      <c r="D32" s="912">
        <v>2279</v>
      </c>
      <c r="E32" s="565">
        <v>300</v>
      </c>
      <c r="F32" s="565"/>
      <c r="G32" s="565">
        <f t="shared" si="2"/>
        <v>300</v>
      </c>
      <c r="H32" s="565"/>
      <c r="I32" s="1676" t="s">
        <v>540</v>
      </c>
    </row>
    <row r="33" spans="1:9" ht="12.75" customHeight="1" x14ac:dyDescent="0.2">
      <c r="A33" s="1733"/>
      <c r="B33" s="1727"/>
      <c r="C33" s="1728"/>
      <c r="D33" s="912">
        <v>2264</v>
      </c>
      <c r="E33" s="565">
        <v>210</v>
      </c>
      <c r="F33" s="565"/>
      <c r="G33" s="565">
        <f t="shared" si="2"/>
        <v>210</v>
      </c>
      <c r="H33" s="565"/>
      <c r="I33" s="1677"/>
    </row>
    <row r="34" spans="1:9" ht="12.75" customHeight="1" x14ac:dyDescent="0.2">
      <c r="A34" s="1733"/>
      <c r="B34" s="1729"/>
      <c r="C34" s="1730"/>
      <c r="D34" s="912">
        <v>2314</v>
      </c>
      <c r="E34" s="565">
        <v>240</v>
      </c>
      <c r="F34" s="565"/>
      <c r="G34" s="565">
        <f t="shared" si="2"/>
        <v>240</v>
      </c>
      <c r="H34" s="565"/>
      <c r="I34" s="1678"/>
    </row>
    <row r="35" spans="1:9" x14ac:dyDescent="0.2">
      <c r="A35" s="912">
        <v>3</v>
      </c>
      <c r="B35" s="1731" t="s">
        <v>553</v>
      </c>
      <c r="C35" s="1732"/>
      <c r="D35" s="913"/>
      <c r="E35" s="730">
        <f>SUM(E36:E37)</f>
        <v>10000</v>
      </c>
      <c r="F35" s="730">
        <f t="shared" ref="F35:G35" si="3">SUM(F36:F37)</f>
        <v>0</v>
      </c>
      <c r="G35" s="730">
        <f t="shared" si="3"/>
        <v>10000</v>
      </c>
      <c r="H35" s="730"/>
      <c r="I35" s="565"/>
    </row>
    <row r="36" spans="1:9" x14ac:dyDescent="0.2">
      <c r="A36" s="914" t="s">
        <v>554</v>
      </c>
      <c r="B36" s="1737" t="s">
        <v>555</v>
      </c>
      <c r="C36" s="1738"/>
      <c r="D36" s="912">
        <v>2279</v>
      </c>
      <c r="E36" s="565">
        <v>6000</v>
      </c>
      <c r="F36" s="565"/>
      <c r="G36" s="565">
        <f t="shared" ref="G36:G37" si="4">E36+F36</f>
        <v>6000</v>
      </c>
      <c r="H36" s="565"/>
      <c r="I36" s="579" t="s">
        <v>540</v>
      </c>
    </row>
    <row r="37" spans="1:9" x14ac:dyDescent="0.2">
      <c r="A37" s="914" t="s">
        <v>556</v>
      </c>
      <c r="B37" s="1737" t="s">
        <v>557</v>
      </c>
      <c r="C37" s="1738"/>
      <c r="D37" s="912">
        <v>2279</v>
      </c>
      <c r="E37" s="565">
        <v>4000</v>
      </c>
      <c r="F37" s="565"/>
      <c r="G37" s="565">
        <f t="shared" si="4"/>
        <v>4000</v>
      </c>
      <c r="H37" s="565"/>
      <c r="I37" s="579" t="s">
        <v>540</v>
      </c>
    </row>
    <row r="38" spans="1:9" x14ac:dyDescent="0.2">
      <c r="A38" s="912">
        <v>4</v>
      </c>
      <c r="B38" s="1731" t="s">
        <v>558</v>
      </c>
      <c r="C38" s="1732"/>
      <c r="D38" s="913"/>
      <c r="E38" s="730">
        <f>SUM(E39:E44)</f>
        <v>3710</v>
      </c>
      <c r="F38" s="730">
        <f t="shared" ref="F38:G38" si="5">SUM(F39:F44)</f>
        <v>0</v>
      </c>
      <c r="G38" s="730">
        <f t="shared" si="5"/>
        <v>3710</v>
      </c>
      <c r="H38" s="730"/>
      <c r="I38" s="565"/>
    </row>
    <row r="39" spans="1:9" x14ac:dyDescent="0.2">
      <c r="A39" s="914" t="s">
        <v>559</v>
      </c>
      <c r="B39" s="1737" t="s">
        <v>560</v>
      </c>
      <c r="C39" s="1738"/>
      <c r="D39" s="912">
        <v>2279</v>
      </c>
      <c r="E39" s="565">
        <v>2000</v>
      </c>
      <c r="F39" s="565"/>
      <c r="G39" s="565">
        <f t="shared" ref="G39:G44" si="6">E39+F39</f>
        <v>2000</v>
      </c>
      <c r="H39" s="565"/>
      <c r="I39" s="579" t="s">
        <v>540</v>
      </c>
    </row>
    <row r="40" spans="1:9" x14ac:dyDescent="0.2">
      <c r="A40" s="1733" t="s">
        <v>561</v>
      </c>
      <c r="B40" s="1725" t="s">
        <v>562</v>
      </c>
      <c r="C40" s="1726"/>
      <c r="D40" s="912">
        <v>2261</v>
      </c>
      <c r="E40" s="565">
        <v>143</v>
      </c>
      <c r="F40" s="565"/>
      <c r="G40" s="565">
        <f t="shared" si="6"/>
        <v>143</v>
      </c>
      <c r="H40" s="565"/>
      <c r="I40" s="1676" t="s">
        <v>540</v>
      </c>
    </row>
    <row r="41" spans="1:9" ht="12.75" customHeight="1" x14ac:dyDescent="0.2">
      <c r="A41" s="1733"/>
      <c r="B41" s="1727"/>
      <c r="C41" s="1728"/>
      <c r="D41" s="912">
        <v>2262</v>
      </c>
      <c r="E41" s="565">
        <v>285</v>
      </c>
      <c r="F41" s="565"/>
      <c r="G41" s="565">
        <f t="shared" si="6"/>
        <v>285</v>
      </c>
      <c r="H41" s="565"/>
      <c r="I41" s="1677"/>
    </row>
    <row r="42" spans="1:9" ht="12.75" customHeight="1" x14ac:dyDescent="0.2">
      <c r="A42" s="1733"/>
      <c r="B42" s="1727"/>
      <c r="C42" s="1728"/>
      <c r="D42" s="912">
        <v>2264</v>
      </c>
      <c r="E42" s="565">
        <v>570</v>
      </c>
      <c r="F42" s="565"/>
      <c r="G42" s="565">
        <f t="shared" si="6"/>
        <v>570</v>
      </c>
      <c r="H42" s="565"/>
      <c r="I42" s="1677"/>
    </row>
    <row r="43" spans="1:9" ht="12.75" customHeight="1" x14ac:dyDescent="0.2">
      <c r="A43" s="1733"/>
      <c r="B43" s="1727"/>
      <c r="C43" s="1728"/>
      <c r="D43" s="912">
        <v>2279</v>
      </c>
      <c r="E43" s="565">
        <v>427</v>
      </c>
      <c r="F43" s="565"/>
      <c r="G43" s="565">
        <f t="shared" si="6"/>
        <v>427</v>
      </c>
      <c r="H43" s="565"/>
      <c r="I43" s="1677"/>
    </row>
    <row r="44" spans="1:9" ht="12.75" customHeight="1" x14ac:dyDescent="0.2">
      <c r="A44" s="1733"/>
      <c r="B44" s="1729"/>
      <c r="C44" s="1730"/>
      <c r="D44" s="912">
        <v>2314</v>
      </c>
      <c r="E44" s="565">
        <v>285</v>
      </c>
      <c r="F44" s="565"/>
      <c r="G44" s="565">
        <f t="shared" si="6"/>
        <v>285</v>
      </c>
      <c r="H44" s="565"/>
      <c r="I44" s="1678"/>
    </row>
    <row r="45" spans="1:9" x14ac:dyDescent="0.2">
      <c r="A45" s="912">
        <v>5</v>
      </c>
      <c r="B45" s="1731" t="s">
        <v>563</v>
      </c>
      <c r="C45" s="1732"/>
      <c r="D45" s="913"/>
      <c r="E45" s="730">
        <f>SUM(E46:E52)</f>
        <v>1800</v>
      </c>
      <c r="F45" s="730">
        <f t="shared" ref="F45:G45" si="7">SUM(F46:F52)</f>
        <v>0</v>
      </c>
      <c r="G45" s="730">
        <f t="shared" si="7"/>
        <v>1800</v>
      </c>
      <c r="H45" s="730"/>
      <c r="I45" s="565"/>
    </row>
    <row r="46" spans="1:9" x14ac:dyDescent="0.2">
      <c r="A46" s="1733" t="s">
        <v>564</v>
      </c>
      <c r="B46" s="1725" t="s">
        <v>565</v>
      </c>
      <c r="C46" s="1726"/>
      <c r="D46" s="912">
        <v>2279</v>
      </c>
      <c r="E46" s="565">
        <v>100</v>
      </c>
      <c r="F46" s="565"/>
      <c r="G46" s="565">
        <f t="shared" ref="G46:G52" si="8">E46+F46</f>
        <v>100</v>
      </c>
      <c r="H46" s="565"/>
      <c r="I46" s="1676" t="s">
        <v>566</v>
      </c>
    </row>
    <row r="47" spans="1:9" ht="12.75" customHeight="1" x14ac:dyDescent="0.2">
      <c r="A47" s="1733"/>
      <c r="B47" s="1729"/>
      <c r="C47" s="1730"/>
      <c r="D47" s="912">
        <v>2314</v>
      </c>
      <c r="E47" s="565">
        <v>150</v>
      </c>
      <c r="F47" s="565"/>
      <c r="G47" s="565">
        <f t="shared" si="8"/>
        <v>150</v>
      </c>
      <c r="H47" s="565"/>
      <c r="I47" s="1678"/>
    </row>
    <row r="48" spans="1:9" x14ac:dyDescent="0.2">
      <c r="A48" s="1733" t="s">
        <v>567</v>
      </c>
      <c r="B48" s="1725" t="s">
        <v>568</v>
      </c>
      <c r="C48" s="1726"/>
      <c r="D48" s="912">
        <v>2279</v>
      </c>
      <c r="E48" s="565">
        <v>100</v>
      </c>
      <c r="F48" s="565"/>
      <c r="G48" s="565">
        <f t="shared" si="8"/>
        <v>100</v>
      </c>
      <c r="H48" s="565"/>
      <c r="I48" s="1676" t="s">
        <v>566</v>
      </c>
    </row>
    <row r="49" spans="1:9" ht="12.75" customHeight="1" x14ac:dyDescent="0.2">
      <c r="A49" s="1733"/>
      <c r="B49" s="1729"/>
      <c r="C49" s="1730"/>
      <c r="D49" s="912">
        <v>2314</v>
      </c>
      <c r="E49" s="565">
        <v>150</v>
      </c>
      <c r="F49" s="565"/>
      <c r="G49" s="565">
        <f t="shared" si="8"/>
        <v>150</v>
      </c>
      <c r="H49" s="565"/>
      <c r="I49" s="1678"/>
    </row>
    <row r="50" spans="1:9" x14ac:dyDescent="0.2">
      <c r="A50" s="914" t="s">
        <v>569</v>
      </c>
      <c r="B50" s="1737" t="s">
        <v>570</v>
      </c>
      <c r="C50" s="1738"/>
      <c r="D50" s="915">
        <v>2279</v>
      </c>
      <c r="E50" s="565">
        <v>1030</v>
      </c>
      <c r="F50" s="565"/>
      <c r="G50" s="565">
        <f t="shared" si="8"/>
        <v>1030</v>
      </c>
      <c r="H50" s="565"/>
      <c r="I50" s="579" t="s">
        <v>566</v>
      </c>
    </row>
    <row r="51" spans="1:9" x14ac:dyDescent="0.2">
      <c r="A51" s="1733" t="s">
        <v>571</v>
      </c>
      <c r="B51" s="1725" t="s">
        <v>572</v>
      </c>
      <c r="C51" s="1726"/>
      <c r="D51" s="915">
        <v>2311</v>
      </c>
      <c r="E51" s="565">
        <v>110</v>
      </c>
      <c r="F51" s="565"/>
      <c r="G51" s="565">
        <f t="shared" si="8"/>
        <v>110</v>
      </c>
      <c r="H51" s="565"/>
      <c r="I51" s="1676" t="s">
        <v>566</v>
      </c>
    </row>
    <row r="52" spans="1:9" ht="12.75" customHeight="1" x14ac:dyDescent="0.2">
      <c r="A52" s="1733"/>
      <c r="B52" s="1729"/>
      <c r="C52" s="1730"/>
      <c r="D52" s="912">
        <v>2314</v>
      </c>
      <c r="E52" s="565">
        <v>160</v>
      </c>
      <c r="F52" s="565"/>
      <c r="G52" s="565">
        <f t="shared" si="8"/>
        <v>160</v>
      </c>
      <c r="H52" s="565"/>
      <c r="I52" s="1678"/>
    </row>
    <row r="53" spans="1:9" x14ac:dyDescent="0.2">
      <c r="A53" s="912">
        <v>6</v>
      </c>
      <c r="B53" s="1731" t="s">
        <v>573</v>
      </c>
      <c r="C53" s="1732"/>
      <c r="D53" s="913"/>
      <c r="E53" s="730">
        <f>SUM(E54:E64)</f>
        <v>1578</v>
      </c>
      <c r="F53" s="730">
        <f t="shared" ref="F53:G53" si="9">SUM(F54:F64)</f>
        <v>0</v>
      </c>
      <c r="G53" s="730">
        <f t="shared" si="9"/>
        <v>1578</v>
      </c>
      <c r="H53" s="730"/>
      <c r="I53" s="565"/>
    </row>
    <row r="54" spans="1:9" x14ac:dyDescent="0.2">
      <c r="A54" s="1733" t="s">
        <v>574</v>
      </c>
      <c r="B54" s="1725" t="s">
        <v>575</v>
      </c>
      <c r="C54" s="1726"/>
      <c r="D54" s="912">
        <v>2261</v>
      </c>
      <c r="E54" s="565">
        <v>144</v>
      </c>
      <c r="F54" s="565"/>
      <c r="G54" s="565">
        <f t="shared" ref="G54:G64" si="10">E54+F54</f>
        <v>144</v>
      </c>
      <c r="H54" s="565"/>
      <c r="I54" s="1702" t="s">
        <v>540</v>
      </c>
    </row>
    <row r="55" spans="1:9" ht="12.75" customHeight="1" x14ac:dyDescent="0.2">
      <c r="A55" s="1733"/>
      <c r="B55" s="1727"/>
      <c r="C55" s="1728"/>
      <c r="D55" s="912">
        <v>2264</v>
      </c>
      <c r="E55" s="565">
        <v>72</v>
      </c>
      <c r="F55" s="565"/>
      <c r="G55" s="565">
        <f t="shared" si="10"/>
        <v>72</v>
      </c>
      <c r="H55" s="565"/>
      <c r="I55" s="1703"/>
    </row>
    <row r="56" spans="1:9" ht="12.75" customHeight="1" x14ac:dyDescent="0.2">
      <c r="A56" s="1733"/>
      <c r="B56" s="1729"/>
      <c r="C56" s="1730"/>
      <c r="D56" s="912">
        <v>2314</v>
      </c>
      <c r="E56" s="565">
        <v>285</v>
      </c>
      <c r="F56" s="565"/>
      <c r="G56" s="565">
        <f t="shared" si="10"/>
        <v>285</v>
      </c>
      <c r="H56" s="565"/>
      <c r="I56" s="1704"/>
    </row>
    <row r="57" spans="1:9" x14ac:dyDescent="0.2">
      <c r="A57" s="1733" t="s">
        <v>576</v>
      </c>
      <c r="B57" s="1725" t="s">
        <v>577</v>
      </c>
      <c r="C57" s="1726"/>
      <c r="D57" s="912">
        <v>2261</v>
      </c>
      <c r="E57" s="736">
        <v>72</v>
      </c>
      <c r="F57" s="736"/>
      <c r="G57" s="736">
        <f t="shared" si="10"/>
        <v>72</v>
      </c>
      <c r="H57" s="736"/>
      <c r="I57" s="1676" t="s">
        <v>540</v>
      </c>
    </row>
    <row r="58" spans="1:9" ht="12.75" customHeight="1" x14ac:dyDescent="0.2">
      <c r="A58" s="1733"/>
      <c r="B58" s="1727"/>
      <c r="C58" s="1728"/>
      <c r="D58" s="912">
        <v>2264</v>
      </c>
      <c r="E58" s="565">
        <v>72</v>
      </c>
      <c r="F58" s="565"/>
      <c r="G58" s="565">
        <f t="shared" si="10"/>
        <v>72</v>
      </c>
      <c r="H58" s="565"/>
      <c r="I58" s="1677"/>
    </row>
    <row r="59" spans="1:9" ht="12.75" customHeight="1" x14ac:dyDescent="0.2">
      <c r="A59" s="1733"/>
      <c r="B59" s="1729"/>
      <c r="C59" s="1730"/>
      <c r="D59" s="912">
        <v>2314</v>
      </c>
      <c r="E59" s="565">
        <v>150</v>
      </c>
      <c r="F59" s="565"/>
      <c r="G59" s="565">
        <f t="shared" si="10"/>
        <v>150</v>
      </c>
      <c r="H59" s="565"/>
      <c r="I59" s="1678"/>
    </row>
    <row r="60" spans="1:9" x14ac:dyDescent="0.2">
      <c r="A60" s="1739" t="s">
        <v>578</v>
      </c>
      <c r="B60" s="1725" t="s">
        <v>579</v>
      </c>
      <c r="C60" s="1726"/>
      <c r="D60" s="912">
        <v>2261</v>
      </c>
      <c r="E60" s="565">
        <v>144</v>
      </c>
      <c r="F60" s="565"/>
      <c r="G60" s="565">
        <f t="shared" si="10"/>
        <v>144</v>
      </c>
      <c r="H60" s="565"/>
      <c r="I60" s="1676" t="s">
        <v>540</v>
      </c>
    </row>
    <row r="61" spans="1:9" ht="12.75" customHeight="1" x14ac:dyDescent="0.2">
      <c r="A61" s="1739"/>
      <c r="B61" s="1727"/>
      <c r="C61" s="1728"/>
      <c r="D61" s="912">
        <v>2264</v>
      </c>
      <c r="E61" s="565">
        <v>72</v>
      </c>
      <c r="F61" s="565"/>
      <c r="G61" s="565">
        <f t="shared" si="10"/>
        <v>72</v>
      </c>
      <c r="H61" s="565"/>
      <c r="I61" s="1677"/>
    </row>
    <row r="62" spans="1:9" ht="12.75" customHeight="1" x14ac:dyDescent="0.2">
      <c r="A62" s="1739"/>
      <c r="B62" s="1729"/>
      <c r="C62" s="1730"/>
      <c r="D62" s="912">
        <v>2314</v>
      </c>
      <c r="E62" s="565">
        <v>285</v>
      </c>
      <c r="F62" s="565"/>
      <c r="G62" s="565">
        <f t="shared" si="10"/>
        <v>285</v>
      </c>
      <c r="H62" s="565"/>
      <c r="I62" s="1678"/>
    </row>
    <row r="63" spans="1:9" x14ac:dyDescent="0.2">
      <c r="A63" s="1733" t="s">
        <v>580</v>
      </c>
      <c r="B63" s="1725" t="s">
        <v>581</v>
      </c>
      <c r="C63" s="1726"/>
      <c r="D63" s="912">
        <v>2261</v>
      </c>
      <c r="E63" s="565">
        <v>72</v>
      </c>
      <c r="F63" s="565"/>
      <c r="G63" s="565">
        <f t="shared" si="10"/>
        <v>72</v>
      </c>
      <c r="H63" s="565"/>
      <c r="I63" s="1676" t="s">
        <v>540</v>
      </c>
    </row>
    <row r="64" spans="1:9" ht="12.75" customHeight="1" x14ac:dyDescent="0.2">
      <c r="A64" s="1733"/>
      <c r="B64" s="1729"/>
      <c r="C64" s="1730"/>
      <c r="D64" s="912">
        <v>2314</v>
      </c>
      <c r="E64" s="565">
        <v>210</v>
      </c>
      <c r="F64" s="565"/>
      <c r="G64" s="565">
        <f t="shared" si="10"/>
        <v>210</v>
      </c>
      <c r="H64" s="565"/>
      <c r="I64" s="1678"/>
    </row>
    <row r="65" spans="1:9" x14ac:dyDescent="0.2">
      <c r="A65" s="912">
        <v>7</v>
      </c>
      <c r="B65" s="1731" t="s">
        <v>582</v>
      </c>
      <c r="C65" s="1732"/>
      <c r="D65" s="913"/>
      <c r="E65" s="730">
        <f>SUM(E66:E80)</f>
        <v>3634</v>
      </c>
      <c r="F65" s="730">
        <f t="shared" ref="F65:G65" si="11">SUM(F66:F80)</f>
        <v>0</v>
      </c>
      <c r="G65" s="730">
        <f t="shared" si="11"/>
        <v>3634</v>
      </c>
      <c r="H65" s="730"/>
      <c r="I65" s="565"/>
    </row>
    <row r="66" spans="1:9" x14ac:dyDescent="0.2">
      <c r="A66" s="914" t="s">
        <v>583</v>
      </c>
      <c r="B66" s="1737" t="s">
        <v>584</v>
      </c>
      <c r="C66" s="1738"/>
      <c r="D66" s="912">
        <v>2279</v>
      </c>
      <c r="E66" s="565">
        <v>84</v>
      </c>
      <c r="F66" s="565"/>
      <c r="G66" s="565">
        <f t="shared" ref="G66:G80" si="12">E66+F66</f>
        <v>84</v>
      </c>
      <c r="H66" s="565"/>
      <c r="I66" s="579" t="s">
        <v>540</v>
      </c>
    </row>
    <row r="67" spans="1:9" x14ac:dyDescent="0.2">
      <c r="A67" s="914" t="s">
        <v>585</v>
      </c>
      <c r="B67" s="1737" t="s">
        <v>586</v>
      </c>
      <c r="C67" s="1738"/>
      <c r="D67" s="912">
        <v>2279</v>
      </c>
      <c r="E67" s="565">
        <v>108</v>
      </c>
      <c r="F67" s="565"/>
      <c r="G67" s="565">
        <f t="shared" si="12"/>
        <v>108</v>
      </c>
      <c r="H67" s="565"/>
      <c r="I67" s="579" t="s">
        <v>540</v>
      </c>
    </row>
    <row r="68" spans="1:9" x14ac:dyDescent="0.2">
      <c r="A68" s="914" t="s">
        <v>587</v>
      </c>
      <c r="B68" s="1737" t="s">
        <v>588</v>
      </c>
      <c r="C68" s="1738"/>
      <c r="D68" s="912">
        <v>2279</v>
      </c>
      <c r="E68" s="565">
        <v>186</v>
      </c>
      <c r="F68" s="565"/>
      <c r="G68" s="565">
        <f t="shared" si="12"/>
        <v>186</v>
      </c>
      <c r="H68" s="565"/>
      <c r="I68" s="579" t="s">
        <v>540</v>
      </c>
    </row>
    <row r="69" spans="1:9" x14ac:dyDescent="0.2">
      <c r="A69" s="914" t="s">
        <v>589</v>
      </c>
      <c r="B69" s="1737" t="s">
        <v>590</v>
      </c>
      <c r="C69" s="1738"/>
      <c r="D69" s="912">
        <v>2279</v>
      </c>
      <c r="E69" s="565">
        <v>288</v>
      </c>
      <c r="F69" s="565"/>
      <c r="G69" s="565">
        <f t="shared" si="12"/>
        <v>288</v>
      </c>
      <c r="H69" s="565"/>
      <c r="I69" s="579" t="s">
        <v>540</v>
      </c>
    </row>
    <row r="70" spans="1:9" x14ac:dyDescent="0.2">
      <c r="A70" s="914" t="s">
        <v>591</v>
      </c>
      <c r="B70" s="1737" t="s">
        <v>592</v>
      </c>
      <c r="C70" s="1738"/>
      <c r="D70" s="912">
        <v>2279</v>
      </c>
      <c r="E70" s="565">
        <v>216</v>
      </c>
      <c r="F70" s="565"/>
      <c r="G70" s="565">
        <f t="shared" si="12"/>
        <v>216</v>
      </c>
      <c r="H70" s="565"/>
      <c r="I70" s="579" t="s">
        <v>540</v>
      </c>
    </row>
    <row r="71" spans="1:9" x14ac:dyDescent="0.2">
      <c r="A71" s="914" t="s">
        <v>593</v>
      </c>
      <c r="B71" s="1737" t="s">
        <v>594</v>
      </c>
      <c r="C71" s="1738"/>
      <c r="D71" s="912">
        <v>2279</v>
      </c>
      <c r="E71" s="565">
        <v>360</v>
      </c>
      <c r="F71" s="565"/>
      <c r="G71" s="565">
        <f t="shared" si="12"/>
        <v>360</v>
      </c>
      <c r="H71" s="565"/>
      <c r="I71" s="579" t="s">
        <v>540</v>
      </c>
    </row>
    <row r="72" spans="1:9" x14ac:dyDescent="0.2">
      <c r="A72" s="914" t="s">
        <v>595</v>
      </c>
      <c r="B72" s="1737" t="s">
        <v>596</v>
      </c>
      <c r="C72" s="1738"/>
      <c r="D72" s="912">
        <v>2279</v>
      </c>
      <c r="E72" s="565">
        <v>120</v>
      </c>
      <c r="F72" s="565"/>
      <c r="G72" s="565">
        <f t="shared" si="12"/>
        <v>120</v>
      </c>
      <c r="H72" s="565"/>
      <c r="I72" s="579" t="s">
        <v>540</v>
      </c>
    </row>
    <row r="73" spans="1:9" x14ac:dyDescent="0.2">
      <c r="A73" s="916" t="s">
        <v>597</v>
      </c>
      <c r="B73" s="1725" t="s">
        <v>598</v>
      </c>
      <c r="C73" s="1726"/>
      <c r="D73" s="912">
        <v>2279</v>
      </c>
      <c r="E73" s="565">
        <v>240</v>
      </c>
      <c r="F73" s="565"/>
      <c r="G73" s="565">
        <f t="shared" si="12"/>
        <v>240</v>
      </c>
      <c r="H73" s="565"/>
      <c r="I73" s="738" t="s">
        <v>540</v>
      </c>
    </row>
    <row r="74" spans="1:9" x14ac:dyDescent="0.2">
      <c r="A74" s="916" t="s">
        <v>599</v>
      </c>
      <c r="B74" s="1725" t="s">
        <v>600</v>
      </c>
      <c r="C74" s="1726"/>
      <c r="D74" s="912">
        <v>2279</v>
      </c>
      <c r="E74" s="565">
        <v>240</v>
      </c>
      <c r="F74" s="565"/>
      <c r="G74" s="565">
        <f t="shared" si="12"/>
        <v>240</v>
      </c>
      <c r="H74" s="565"/>
      <c r="I74" s="738" t="s">
        <v>540</v>
      </c>
    </row>
    <row r="75" spans="1:9" x14ac:dyDescent="0.2">
      <c r="A75" s="914" t="s">
        <v>601</v>
      </c>
      <c r="B75" s="1737" t="s">
        <v>602</v>
      </c>
      <c r="C75" s="1738"/>
      <c r="D75" s="912">
        <v>2279</v>
      </c>
      <c r="E75" s="565">
        <v>210</v>
      </c>
      <c r="F75" s="565"/>
      <c r="G75" s="565">
        <f t="shared" si="12"/>
        <v>210</v>
      </c>
      <c r="H75" s="565"/>
      <c r="I75" s="579" t="s">
        <v>540</v>
      </c>
    </row>
    <row r="76" spans="1:9" x14ac:dyDescent="0.2">
      <c r="A76" s="914" t="s">
        <v>603</v>
      </c>
      <c r="B76" s="1737" t="s">
        <v>604</v>
      </c>
      <c r="C76" s="1738"/>
      <c r="D76" s="912">
        <v>2279</v>
      </c>
      <c r="E76" s="565">
        <v>84</v>
      </c>
      <c r="F76" s="565"/>
      <c r="G76" s="565">
        <f t="shared" si="12"/>
        <v>84</v>
      </c>
      <c r="H76" s="565"/>
      <c r="I76" s="579" t="s">
        <v>540</v>
      </c>
    </row>
    <row r="77" spans="1:9" ht="12" customHeight="1" x14ac:dyDescent="0.2">
      <c r="A77" s="1740" t="s">
        <v>605</v>
      </c>
      <c r="B77" s="1725" t="s">
        <v>606</v>
      </c>
      <c r="C77" s="1726"/>
      <c r="D77" s="912">
        <v>2314</v>
      </c>
      <c r="E77" s="565">
        <v>345</v>
      </c>
      <c r="F77" s="565"/>
      <c r="G77" s="565">
        <f t="shared" si="12"/>
        <v>345</v>
      </c>
      <c r="H77" s="565"/>
      <c r="I77" s="1676" t="s">
        <v>540</v>
      </c>
    </row>
    <row r="78" spans="1:9" ht="12.75" customHeight="1" x14ac:dyDescent="0.2">
      <c r="A78" s="1741"/>
      <c r="B78" s="1727"/>
      <c r="C78" s="1728"/>
      <c r="D78" s="912">
        <v>2311</v>
      </c>
      <c r="E78" s="565">
        <v>15</v>
      </c>
      <c r="F78" s="565"/>
      <c r="G78" s="565">
        <f t="shared" si="12"/>
        <v>15</v>
      </c>
      <c r="H78" s="565"/>
      <c r="I78" s="1677"/>
    </row>
    <row r="79" spans="1:9" ht="12.75" customHeight="1" x14ac:dyDescent="0.2">
      <c r="A79" s="1742"/>
      <c r="B79" s="1729"/>
      <c r="C79" s="1730"/>
      <c r="D79" s="912">
        <v>2279</v>
      </c>
      <c r="E79" s="565">
        <v>138</v>
      </c>
      <c r="F79" s="565"/>
      <c r="G79" s="565">
        <f t="shared" si="12"/>
        <v>138</v>
      </c>
      <c r="H79" s="565"/>
      <c r="I79" s="1678"/>
    </row>
    <row r="80" spans="1:9" x14ac:dyDescent="0.2">
      <c r="A80" s="914" t="s">
        <v>607</v>
      </c>
      <c r="B80" s="1737" t="s">
        <v>608</v>
      </c>
      <c r="C80" s="1738"/>
      <c r="D80" s="912">
        <v>2279</v>
      </c>
      <c r="E80" s="565">
        <v>1000</v>
      </c>
      <c r="F80" s="565"/>
      <c r="G80" s="565">
        <f t="shared" si="12"/>
        <v>1000</v>
      </c>
      <c r="H80" s="565"/>
      <c r="I80" s="579" t="s">
        <v>540</v>
      </c>
    </row>
    <row r="81" spans="1:9" x14ac:dyDescent="0.2">
      <c r="A81" s="912">
        <v>8</v>
      </c>
      <c r="B81" s="1731" t="s">
        <v>609</v>
      </c>
      <c r="C81" s="1732"/>
      <c r="D81" s="913"/>
      <c r="E81" s="730">
        <f>SUM(E82:E90)</f>
        <v>2476</v>
      </c>
      <c r="F81" s="730">
        <f t="shared" ref="F81:G81" si="13">SUM(F82:F90)</f>
        <v>0</v>
      </c>
      <c r="G81" s="730">
        <f t="shared" si="13"/>
        <v>2476</v>
      </c>
      <c r="H81" s="730"/>
      <c r="I81" s="565"/>
    </row>
    <row r="82" spans="1:9" x14ac:dyDescent="0.2">
      <c r="A82" s="914" t="s">
        <v>610</v>
      </c>
      <c r="B82" s="1737" t="s">
        <v>611</v>
      </c>
      <c r="C82" s="1738"/>
      <c r="D82" s="912">
        <v>2279</v>
      </c>
      <c r="E82" s="565">
        <v>350</v>
      </c>
      <c r="F82" s="565"/>
      <c r="G82" s="565">
        <f t="shared" ref="G82:G90" si="14">E82+F82</f>
        <v>350</v>
      </c>
      <c r="H82" s="565"/>
      <c r="I82" s="579" t="s">
        <v>540</v>
      </c>
    </row>
    <row r="83" spans="1:9" x14ac:dyDescent="0.2">
      <c r="A83" s="914" t="s">
        <v>612</v>
      </c>
      <c r="B83" s="1737" t="s">
        <v>613</v>
      </c>
      <c r="C83" s="1738"/>
      <c r="D83" s="912">
        <v>2279</v>
      </c>
      <c r="E83" s="565">
        <v>426</v>
      </c>
      <c r="F83" s="565"/>
      <c r="G83" s="565">
        <f t="shared" si="14"/>
        <v>426</v>
      </c>
      <c r="H83" s="565"/>
      <c r="I83" s="579" t="s">
        <v>540</v>
      </c>
    </row>
    <row r="84" spans="1:9" x14ac:dyDescent="0.2">
      <c r="A84" s="914" t="s">
        <v>614</v>
      </c>
      <c r="B84" s="1737" t="s">
        <v>615</v>
      </c>
      <c r="C84" s="1738"/>
      <c r="D84" s="912">
        <v>2279</v>
      </c>
      <c r="E84" s="565">
        <v>171</v>
      </c>
      <c r="F84" s="565"/>
      <c r="G84" s="565">
        <f t="shared" si="14"/>
        <v>171</v>
      </c>
      <c r="H84" s="565"/>
      <c r="I84" s="579" t="s">
        <v>540</v>
      </c>
    </row>
    <row r="85" spans="1:9" x14ac:dyDescent="0.2">
      <c r="A85" s="914" t="s">
        <v>616</v>
      </c>
      <c r="B85" s="1737" t="s">
        <v>617</v>
      </c>
      <c r="C85" s="1738"/>
      <c r="D85" s="912">
        <v>2279</v>
      </c>
      <c r="E85" s="565">
        <v>171</v>
      </c>
      <c r="F85" s="565"/>
      <c r="G85" s="565">
        <f t="shared" si="14"/>
        <v>171</v>
      </c>
      <c r="H85" s="565"/>
      <c r="I85" s="579" t="s">
        <v>540</v>
      </c>
    </row>
    <row r="86" spans="1:9" x14ac:dyDescent="0.2">
      <c r="A86" s="914" t="s">
        <v>618</v>
      </c>
      <c r="B86" s="1737" t="s">
        <v>619</v>
      </c>
      <c r="C86" s="1738"/>
      <c r="D86" s="912">
        <v>2279</v>
      </c>
      <c r="E86" s="565">
        <v>220</v>
      </c>
      <c r="F86" s="565"/>
      <c r="G86" s="565">
        <f t="shared" si="14"/>
        <v>220</v>
      </c>
      <c r="H86" s="565"/>
      <c r="I86" s="579" t="s">
        <v>540</v>
      </c>
    </row>
    <row r="87" spans="1:9" x14ac:dyDescent="0.2">
      <c r="A87" s="914" t="s">
        <v>620</v>
      </c>
      <c r="B87" s="1737" t="s">
        <v>621</v>
      </c>
      <c r="C87" s="1738"/>
      <c r="D87" s="912">
        <v>2279</v>
      </c>
      <c r="E87" s="736">
        <v>150</v>
      </c>
      <c r="F87" s="736"/>
      <c r="G87" s="736">
        <f t="shared" si="14"/>
        <v>150</v>
      </c>
      <c r="H87" s="736"/>
      <c r="I87" s="579" t="s">
        <v>540</v>
      </c>
    </row>
    <row r="88" spans="1:9" x14ac:dyDescent="0.2">
      <c r="A88" s="917" t="s">
        <v>622</v>
      </c>
      <c r="B88" s="1737" t="s">
        <v>623</v>
      </c>
      <c r="C88" s="1738"/>
      <c r="D88" s="912">
        <v>2279</v>
      </c>
      <c r="E88" s="565">
        <v>150</v>
      </c>
      <c r="F88" s="565"/>
      <c r="G88" s="565">
        <f t="shared" si="14"/>
        <v>150</v>
      </c>
      <c r="H88" s="565"/>
      <c r="I88" s="579" t="s">
        <v>540</v>
      </c>
    </row>
    <row r="89" spans="1:9" x14ac:dyDescent="0.2">
      <c r="A89" s="914" t="s">
        <v>624</v>
      </c>
      <c r="B89" s="1737" t="s">
        <v>625</v>
      </c>
      <c r="C89" s="1738"/>
      <c r="D89" s="912">
        <v>2279</v>
      </c>
      <c r="E89" s="565">
        <v>618</v>
      </c>
      <c r="F89" s="565"/>
      <c r="G89" s="565">
        <f t="shared" si="14"/>
        <v>618</v>
      </c>
      <c r="H89" s="565"/>
      <c r="I89" s="579" t="s">
        <v>540</v>
      </c>
    </row>
    <row r="90" spans="1:9" x14ac:dyDescent="0.2">
      <c r="A90" s="914" t="s">
        <v>626</v>
      </c>
      <c r="B90" s="1737" t="s">
        <v>627</v>
      </c>
      <c r="C90" s="1738"/>
      <c r="D90" s="912">
        <v>2279</v>
      </c>
      <c r="E90" s="565">
        <v>220</v>
      </c>
      <c r="F90" s="565"/>
      <c r="G90" s="565">
        <f t="shared" si="14"/>
        <v>220</v>
      </c>
      <c r="H90" s="565"/>
      <c r="I90" s="579" t="s">
        <v>540</v>
      </c>
    </row>
    <row r="91" spans="1:9" x14ac:dyDescent="0.2">
      <c r="A91" s="912">
        <v>9</v>
      </c>
      <c r="B91" s="1731" t="s">
        <v>628</v>
      </c>
      <c r="C91" s="1732"/>
      <c r="D91" s="913"/>
      <c r="E91" s="730">
        <f>SUM(E92:E105)</f>
        <v>5705</v>
      </c>
      <c r="F91" s="730">
        <f t="shared" ref="F91:G91" si="15">SUM(F92:F105)</f>
        <v>0</v>
      </c>
      <c r="G91" s="730">
        <f t="shared" si="15"/>
        <v>5705</v>
      </c>
      <c r="H91" s="730"/>
      <c r="I91" s="565"/>
    </row>
    <row r="92" spans="1:9" x14ac:dyDescent="0.2">
      <c r="A92" s="1733" t="s">
        <v>629</v>
      </c>
      <c r="B92" s="1725" t="s">
        <v>630</v>
      </c>
      <c r="C92" s="1726"/>
      <c r="D92" s="912">
        <v>2264</v>
      </c>
      <c r="E92" s="565">
        <v>570</v>
      </c>
      <c r="F92" s="565"/>
      <c r="G92" s="565">
        <f t="shared" ref="G92:G105" si="16">E92+F92</f>
        <v>570</v>
      </c>
      <c r="H92" s="565"/>
      <c r="I92" s="1676" t="s">
        <v>540</v>
      </c>
    </row>
    <row r="93" spans="1:9" ht="12.75" customHeight="1" x14ac:dyDescent="0.2">
      <c r="A93" s="1733"/>
      <c r="B93" s="1727"/>
      <c r="C93" s="1728"/>
      <c r="D93" s="912">
        <v>2279</v>
      </c>
      <c r="E93" s="565">
        <v>720</v>
      </c>
      <c r="F93" s="565"/>
      <c r="G93" s="565">
        <f t="shared" si="16"/>
        <v>720</v>
      </c>
      <c r="H93" s="565"/>
      <c r="I93" s="1677"/>
    </row>
    <row r="94" spans="1:9" ht="12.75" customHeight="1" x14ac:dyDescent="0.2">
      <c r="A94" s="1733"/>
      <c r="B94" s="1729"/>
      <c r="C94" s="1730"/>
      <c r="D94" s="912">
        <v>2314</v>
      </c>
      <c r="E94" s="565">
        <v>1485</v>
      </c>
      <c r="F94" s="565"/>
      <c r="G94" s="565">
        <f t="shared" si="16"/>
        <v>1485</v>
      </c>
      <c r="H94" s="565"/>
      <c r="I94" s="1678"/>
    </row>
    <row r="95" spans="1:9" x14ac:dyDescent="0.2">
      <c r="A95" s="1733" t="s">
        <v>631</v>
      </c>
      <c r="B95" s="1725" t="s">
        <v>632</v>
      </c>
      <c r="C95" s="1726"/>
      <c r="D95" s="912">
        <v>2264</v>
      </c>
      <c r="E95" s="736">
        <v>600</v>
      </c>
      <c r="F95" s="736"/>
      <c r="G95" s="736">
        <f t="shared" si="16"/>
        <v>600</v>
      </c>
      <c r="H95" s="736"/>
      <c r="I95" s="1676" t="s">
        <v>540</v>
      </c>
    </row>
    <row r="96" spans="1:9" ht="12.75" customHeight="1" x14ac:dyDescent="0.2">
      <c r="A96" s="1733"/>
      <c r="B96" s="1727"/>
      <c r="C96" s="1728"/>
      <c r="D96" s="912">
        <v>2279</v>
      </c>
      <c r="E96" s="565">
        <v>712</v>
      </c>
      <c r="F96" s="565"/>
      <c r="G96" s="565">
        <f t="shared" si="16"/>
        <v>712</v>
      </c>
      <c r="H96" s="565"/>
      <c r="I96" s="1677"/>
    </row>
    <row r="97" spans="1:9" ht="12.75" customHeight="1" x14ac:dyDescent="0.2">
      <c r="A97" s="1733"/>
      <c r="B97" s="1729"/>
      <c r="C97" s="1730"/>
      <c r="D97" s="912">
        <v>2314</v>
      </c>
      <c r="E97" s="565">
        <v>870</v>
      </c>
      <c r="F97" s="565"/>
      <c r="G97" s="565">
        <f t="shared" si="16"/>
        <v>870</v>
      </c>
      <c r="H97" s="565"/>
      <c r="I97" s="1678"/>
    </row>
    <row r="98" spans="1:9" s="604" customFormat="1" ht="12.75" customHeight="1" x14ac:dyDescent="0.2">
      <c r="A98" s="1722" t="s">
        <v>633</v>
      </c>
      <c r="B98" s="1725" t="s">
        <v>634</v>
      </c>
      <c r="C98" s="1726"/>
      <c r="D98" s="912">
        <v>2279</v>
      </c>
      <c r="E98" s="565">
        <v>96</v>
      </c>
      <c r="F98" s="565"/>
      <c r="G98" s="565">
        <f t="shared" si="16"/>
        <v>96</v>
      </c>
      <c r="H98" s="565"/>
      <c r="I98" s="1676" t="s">
        <v>540</v>
      </c>
    </row>
    <row r="99" spans="1:9" s="604" customFormat="1" ht="12.75" customHeight="1" x14ac:dyDescent="0.2">
      <c r="A99" s="1723"/>
      <c r="B99" s="1727"/>
      <c r="C99" s="1728"/>
      <c r="D99" s="912">
        <v>2314</v>
      </c>
      <c r="E99" s="565">
        <v>200</v>
      </c>
      <c r="F99" s="565"/>
      <c r="G99" s="565">
        <f t="shared" si="16"/>
        <v>200</v>
      </c>
      <c r="H99" s="565"/>
      <c r="I99" s="1677"/>
    </row>
    <row r="100" spans="1:9" s="604" customFormat="1" ht="12.75" customHeight="1" x14ac:dyDescent="0.2">
      <c r="A100" s="1724"/>
      <c r="B100" s="1729"/>
      <c r="C100" s="1730"/>
      <c r="D100" s="912">
        <v>2261</v>
      </c>
      <c r="E100" s="565">
        <v>207</v>
      </c>
      <c r="F100" s="565"/>
      <c r="G100" s="565">
        <f t="shared" si="16"/>
        <v>207</v>
      </c>
      <c r="H100" s="565"/>
      <c r="I100" s="1678"/>
    </row>
    <row r="101" spans="1:9" s="604" customFormat="1" ht="12.75" customHeight="1" x14ac:dyDescent="0.2">
      <c r="A101" s="1722" t="s">
        <v>635</v>
      </c>
      <c r="B101" s="1725" t="s">
        <v>636</v>
      </c>
      <c r="C101" s="1726"/>
      <c r="D101" s="912">
        <v>2279</v>
      </c>
      <c r="E101" s="565">
        <v>50</v>
      </c>
      <c r="F101" s="565"/>
      <c r="G101" s="565">
        <f t="shared" si="16"/>
        <v>50</v>
      </c>
      <c r="H101" s="565"/>
      <c r="I101" s="1676" t="s">
        <v>540</v>
      </c>
    </row>
    <row r="102" spans="1:9" s="604" customFormat="1" ht="12.75" customHeight="1" x14ac:dyDescent="0.2">
      <c r="A102" s="1723"/>
      <c r="B102" s="1727"/>
      <c r="C102" s="1728"/>
      <c r="D102" s="912">
        <v>2279</v>
      </c>
      <c r="E102" s="565">
        <v>50</v>
      </c>
      <c r="F102" s="565"/>
      <c r="G102" s="565">
        <f t="shared" si="16"/>
        <v>50</v>
      </c>
      <c r="H102" s="565"/>
      <c r="I102" s="1677"/>
    </row>
    <row r="103" spans="1:9" s="604" customFormat="1" ht="12.75" customHeight="1" x14ac:dyDescent="0.2">
      <c r="A103" s="1723"/>
      <c r="B103" s="1727"/>
      <c r="C103" s="1728"/>
      <c r="D103" s="912">
        <v>2264</v>
      </c>
      <c r="E103" s="565">
        <v>40</v>
      </c>
      <c r="F103" s="565"/>
      <c r="G103" s="565">
        <f t="shared" si="16"/>
        <v>40</v>
      </c>
      <c r="H103" s="565"/>
      <c r="I103" s="1677"/>
    </row>
    <row r="104" spans="1:9" s="604" customFormat="1" ht="12.75" customHeight="1" x14ac:dyDescent="0.2">
      <c r="A104" s="1723"/>
      <c r="B104" s="1727"/>
      <c r="C104" s="1728"/>
      <c r="D104" s="912">
        <v>2223</v>
      </c>
      <c r="E104" s="565">
        <v>40</v>
      </c>
      <c r="F104" s="565"/>
      <c r="G104" s="565">
        <f t="shared" si="16"/>
        <v>40</v>
      </c>
      <c r="H104" s="565"/>
      <c r="I104" s="1677"/>
    </row>
    <row r="105" spans="1:9" s="604" customFormat="1" ht="12.75" customHeight="1" x14ac:dyDescent="0.2">
      <c r="A105" s="1724"/>
      <c r="B105" s="1729"/>
      <c r="C105" s="1730"/>
      <c r="D105" s="912">
        <v>2314</v>
      </c>
      <c r="E105" s="565">
        <v>65</v>
      </c>
      <c r="F105" s="565"/>
      <c r="G105" s="565">
        <f t="shared" si="16"/>
        <v>65</v>
      </c>
      <c r="H105" s="565"/>
      <c r="I105" s="1678"/>
    </row>
    <row r="106" spans="1:9" x14ac:dyDescent="0.2">
      <c r="A106" s="912">
        <v>10</v>
      </c>
      <c r="B106" s="1731" t="s">
        <v>637</v>
      </c>
      <c r="C106" s="1732"/>
      <c r="D106" s="913"/>
      <c r="E106" s="730">
        <f>SUM(E107:E111)</f>
        <v>313565</v>
      </c>
      <c r="F106" s="730">
        <f t="shared" ref="F106:G106" si="17">SUM(F107:F111)</f>
        <v>0</v>
      </c>
      <c r="G106" s="730">
        <f t="shared" si="17"/>
        <v>313565</v>
      </c>
      <c r="H106" s="730"/>
      <c r="I106" s="565"/>
    </row>
    <row r="107" spans="1:9" x14ac:dyDescent="0.2">
      <c r="A107" s="914" t="s">
        <v>638</v>
      </c>
      <c r="B107" s="1737" t="s">
        <v>639</v>
      </c>
      <c r="C107" s="1738"/>
      <c r="D107" s="915">
        <v>2279</v>
      </c>
      <c r="E107" s="565">
        <v>6000</v>
      </c>
      <c r="F107" s="565"/>
      <c r="G107" s="565">
        <f t="shared" ref="G107:G111" si="18">E107+F107</f>
        <v>6000</v>
      </c>
      <c r="H107" s="565"/>
      <c r="I107" s="579" t="s">
        <v>540</v>
      </c>
    </row>
    <row r="108" spans="1:9" x14ac:dyDescent="0.2">
      <c r="A108" s="914" t="s">
        <v>640</v>
      </c>
      <c r="B108" s="1737" t="s">
        <v>641</v>
      </c>
      <c r="C108" s="1738"/>
      <c r="D108" s="915">
        <v>2279</v>
      </c>
      <c r="E108" s="565">
        <v>4625</v>
      </c>
      <c r="F108" s="565"/>
      <c r="G108" s="565">
        <f t="shared" si="18"/>
        <v>4625</v>
      </c>
      <c r="H108" s="565"/>
      <c r="I108" s="579" t="s">
        <v>540</v>
      </c>
    </row>
    <row r="109" spans="1:9" x14ac:dyDescent="0.2">
      <c r="A109" s="914" t="s">
        <v>642</v>
      </c>
      <c r="B109" s="1737" t="s">
        <v>643</v>
      </c>
      <c r="C109" s="1738"/>
      <c r="D109" s="915">
        <v>2279</v>
      </c>
      <c r="E109" s="565">
        <f>350000-50000</f>
        <v>300000</v>
      </c>
      <c r="F109" s="565"/>
      <c r="G109" s="565">
        <f t="shared" si="18"/>
        <v>300000</v>
      </c>
      <c r="H109" s="565"/>
      <c r="I109" s="579" t="s">
        <v>540</v>
      </c>
    </row>
    <row r="110" spans="1:9" x14ac:dyDescent="0.2">
      <c r="A110" s="914" t="s">
        <v>644</v>
      </c>
      <c r="B110" s="1737" t="s">
        <v>645</v>
      </c>
      <c r="C110" s="1738"/>
      <c r="D110" s="915">
        <v>2279</v>
      </c>
      <c r="E110" s="565">
        <v>1440</v>
      </c>
      <c r="F110" s="565"/>
      <c r="G110" s="565">
        <f t="shared" si="18"/>
        <v>1440</v>
      </c>
      <c r="H110" s="565"/>
      <c r="I110" s="579" t="s">
        <v>540</v>
      </c>
    </row>
    <row r="111" spans="1:9" x14ac:dyDescent="0.2">
      <c r="A111" s="914" t="s">
        <v>646</v>
      </c>
      <c r="B111" s="1737" t="s">
        <v>647</v>
      </c>
      <c r="C111" s="1738"/>
      <c r="D111" s="915">
        <v>2279</v>
      </c>
      <c r="E111" s="565">
        <v>1500</v>
      </c>
      <c r="F111" s="565"/>
      <c r="G111" s="565">
        <f t="shared" si="18"/>
        <v>1500</v>
      </c>
      <c r="H111" s="565"/>
      <c r="I111" s="579" t="s">
        <v>540</v>
      </c>
    </row>
    <row r="112" spans="1:9" x14ac:dyDescent="0.2">
      <c r="A112" s="912">
        <v>11</v>
      </c>
      <c r="B112" s="1731" t="s">
        <v>648</v>
      </c>
      <c r="C112" s="1732"/>
      <c r="D112" s="913"/>
      <c r="E112" s="730">
        <f>SUM(E113)</f>
        <v>1425</v>
      </c>
      <c r="F112" s="730">
        <f t="shared" ref="F112:G112" si="19">SUM(F113)</f>
        <v>0</v>
      </c>
      <c r="G112" s="730">
        <f t="shared" si="19"/>
        <v>1425</v>
      </c>
      <c r="H112" s="730"/>
      <c r="I112" s="565"/>
    </row>
    <row r="113" spans="1:9" x14ac:dyDescent="0.2">
      <c r="A113" s="914" t="s">
        <v>649</v>
      </c>
      <c r="B113" s="1737" t="s">
        <v>650</v>
      </c>
      <c r="C113" s="1738"/>
      <c r="D113" s="915">
        <v>2279</v>
      </c>
      <c r="E113" s="565">
        <v>1425</v>
      </c>
      <c r="F113" s="565"/>
      <c r="G113" s="565">
        <f>E113+F113</f>
        <v>1425</v>
      </c>
      <c r="H113" s="565"/>
      <c r="I113" s="579" t="s">
        <v>540</v>
      </c>
    </row>
    <row r="114" spans="1:9" x14ac:dyDescent="0.2">
      <c r="A114" s="912">
        <v>12</v>
      </c>
      <c r="B114" s="1731" t="s">
        <v>651</v>
      </c>
      <c r="C114" s="1732"/>
      <c r="D114" s="913"/>
      <c r="E114" s="730">
        <f>SUM(E115:E118)</f>
        <v>10200</v>
      </c>
      <c r="F114" s="730">
        <f t="shared" ref="F114:G114" si="20">SUM(F115:F118)</f>
        <v>0</v>
      </c>
      <c r="G114" s="730">
        <f t="shared" si="20"/>
        <v>10200</v>
      </c>
      <c r="H114" s="730"/>
      <c r="I114" s="565"/>
    </row>
    <row r="115" spans="1:9" x14ac:dyDescent="0.2">
      <c r="A115" s="914" t="s">
        <v>652</v>
      </c>
      <c r="B115" s="1737" t="s">
        <v>653</v>
      </c>
      <c r="C115" s="1738"/>
      <c r="D115" s="912">
        <v>2279</v>
      </c>
      <c r="E115" s="565">
        <v>200</v>
      </c>
      <c r="F115" s="565"/>
      <c r="G115" s="565">
        <f t="shared" ref="G115:G118" si="21">E115+F115</f>
        <v>200</v>
      </c>
      <c r="H115" s="565"/>
      <c r="I115" s="565" t="s">
        <v>540</v>
      </c>
    </row>
    <row r="116" spans="1:9" ht="12.75" customHeight="1" x14ac:dyDescent="0.2">
      <c r="A116" s="914" t="s">
        <v>654</v>
      </c>
      <c r="B116" s="1737" t="s">
        <v>655</v>
      </c>
      <c r="C116" s="1738"/>
      <c r="D116" s="912">
        <v>2279</v>
      </c>
      <c r="E116" s="565">
        <v>4000</v>
      </c>
      <c r="F116" s="565"/>
      <c r="G116" s="565">
        <f t="shared" si="21"/>
        <v>4000</v>
      </c>
      <c r="H116" s="565"/>
      <c r="I116" s="565" t="s">
        <v>540</v>
      </c>
    </row>
    <row r="117" spans="1:9" ht="12.75" customHeight="1" x14ac:dyDescent="0.2">
      <c r="A117" s="914" t="s">
        <v>656</v>
      </c>
      <c r="B117" s="1737" t="s">
        <v>657</v>
      </c>
      <c r="C117" s="1738"/>
      <c r="D117" s="912">
        <v>2279</v>
      </c>
      <c r="E117" s="565">
        <v>4000</v>
      </c>
      <c r="F117" s="565"/>
      <c r="G117" s="565">
        <f t="shared" si="21"/>
        <v>4000</v>
      </c>
      <c r="H117" s="565"/>
      <c r="I117" s="565" t="s">
        <v>540</v>
      </c>
    </row>
    <row r="118" spans="1:9" x14ac:dyDescent="0.2">
      <c r="A118" s="914" t="s">
        <v>658</v>
      </c>
      <c r="B118" s="1737" t="s">
        <v>659</v>
      </c>
      <c r="C118" s="1738"/>
      <c r="D118" s="912">
        <v>2279</v>
      </c>
      <c r="E118" s="565">
        <v>2000</v>
      </c>
      <c r="F118" s="565"/>
      <c r="G118" s="565">
        <f t="shared" si="21"/>
        <v>2000</v>
      </c>
      <c r="H118" s="565"/>
      <c r="I118" s="565" t="s">
        <v>540</v>
      </c>
    </row>
    <row r="119" spans="1:9" x14ac:dyDescent="0.2">
      <c r="A119" s="912">
        <v>13</v>
      </c>
      <c r="B119" s="1731" t="s">
        <v>660</v>
      </c>
      <c r="C119" s="1732"/>
      <c r="D119" s="913"/>
      <c r="E119" s="730">
        <f>SUM(E120:E123)</f>
        <v>4980</v>
      </c>
      <c r="F119" s="730">
        <f>SUM(F120:F123)</f>
        <v>0</v>
      </c>
      <c r="G119" s="730">
        <f>SUM(G120:G123)</f>
        <v>4980</v>
      </c>
      <c r="H119" s="730"/>
      <c r="I119" s="565"/>
    </row>
    <row r="120" spans="1:9" x14ac:dyDescent="0.2">
      <c r="A120" s="914" t="s">
        <v>661</v>
      </c>
      <c r="B120" s="1737" t="s">
        <v>662</v>
      </c>
      <c r="C120" s="1738"/>
      <c r="D120" s="915">
        <v>2279</v>
      </c>
      <c r="E120" s="565">
        <v>550</v>
      </c>
      <c r="F120" s="565"/>
      <c r="G120" s="565">
        <f t="shared" ref="G120:G123" si="22">E120+F120</f>
        <v>550</v>
      </c>
      <c r="H120" s="565"/>
      <c r="I120" s="565" t="s">
        <v>540</v>
      </c>
    </row>
    <row r="121" spans="1:9" x14ac:dyDescent="0.2">
      <c r="A121" s="914" t="s">
        <v>663</v>
      </c>
      <c r="B121" s="1737" t="s">
        <v>664</v>
      </c>
      <c r="C121" s="1738"/>
      <c r="D121" s="915">
        <v>2279</v>
      </c>
      <c r="E121" s="565">
        <v>700</v>
      </c>
      <c r="F121" s="565"/>
      <c r="G121" s="565">
        <f t="shared" si="22"/>
        <v>700</v>
      </c>
      <c r="H121" s="565"/>
      <c r="I121" s="565" t="s">
        <v>540</v>
      </c>
    </row>
    <row r="122" spans="1:9" x14ac:dyDescent="0.2">
      <c r="A122" s="914" t="s">
        <v>665</v>
      </c>
      <c r="B122" s="1737" t="s">
        <v>666</v>
      </c>
      <c r="C122" s="1738"/>
      <c r="D122" s="915">
        <v>2279</v>
      </c>
      <c r="E122" s="565">
        <v>300</v>
      </c>
      <c r="F122" s="565"/>
      <c r="G122" s="565">
        <f t="shared" si="22"/>
        <v>300</v>
      </c>
      <c r="H122" s="565"/>
      <c r="I122" s="565" t="s">
        <v>540</v>
      </c>
    </row>
    <row r="123" spans="1:9" x14ac:dyDescent="0.2">
      <c r="A123" s="914">
        <v>13.4</v>
      </c>
      <c r="B123" s="1737" t="s">
        <v>667</v>
      </c>
      <c r="C123" s="1738"/>
      <c r="D123" s="915">
        <v>2279</v>
      </c>
      <c r="E123" s="565">
        <v>3430</v>
      </c>
      <c r="F123" s="565"/>
      <c r="G123" s="565">
        <f t="shared" si="22"/>
        <v>3430</v>
      </c>
      <c r="H123" s="565"/>
      <c r="I123" s="565" t="s">
        <v>540</v>
      </c>
    </row>
    <row r="124" spans="1:9" x14ac:dyDescent="0.2">
      <c r="A124" s="912">
        <v>14</v>
      </c>
      <c r="B124" s="1731" t="s">
        <v>668</v>
      </c>
      <c r="C124" s="1732"/>
      <c r="D124" s="913"/>
      <c r="E124" s="730">
        <f>SUM(E125:E128)</f>
        <v>0</v>
      </c>
      <c r="F124" s="730">
        <f t="shared" ref="F124:G124" si="23">SUM(F125:F128)</f>
        <v>0</v>
      </c>
      <c r="G124" s="730">
        <f t="shared" si="23"/>
        <v>0</v>
      </c>
      <c r="H124" s="730"/>
      <c r="I124" s="565"/>
    </row>
    <row r="125" spans="1:9" x14ac:dyDescent="0.2">
      <c r="A125" s="1733" t="s">
        <v>669</v>
      </c>
      <c r="B125" s="1725" t="s">
        <v>670</v>
      </c>
      <c r="C125" s="1726"/>
      <c r="D125" s="915">
        <v>2264</v>
      </c>
      <c r="E125" s="565">
        <f>50-50</f>
        <v>0</v>
      </c>
      <c r="F125" s="565"/>
      <c r="G125" s="565">
        <f t="shared" ref="G125:G128" si="24">E125+F125</f>
        <v>0</v>
      </c>
      <c r="H125" s="1676"/>
      <c r="I125" s="579" t="s">
        <v>540</v>
      </c>
    </row>
    <row r="126" spans="1:9" ht="12.75" customHeight="1" x14ac:dyDescent="0.2">
      <c r="A126" s="1733"/>
      <c r="B126" s="1727"/>
      <c r="C126" s="1728"/>
      <c r="D126" s="915">
        <v>2322</v>
      </c>
      <c r="E126" s="565">
        <f>250-250</f>
        <v>0</v>
      </c>
      <c r="F126" s="565"/>
      <c r="G126" s="565">
        <f t="shared" si="24"/>
        <v>0</v>
      </c>
      <c r="H126" s="1677"/>
      <c r="I126" s="579" t="s">
        <v>540</v>
      </c>
    </row>
    <row r="127" spans="1:9" ht="12.75" customHeight="1" x14ac:dyDescent="0.2">
      <c r="A127" s="1733"/>
      <c r="B127" s="1727"/>
      <c r="C127" s="1728"/>
      <c r="D127" s="915">
        <v>2261</v>
      </c>
      <c r="E127" s="565">
        <f>300-300</f>
        <v>0</v>
      </c>
      <c r="F127" s="565"/>
      <c r="G127" s="565">
        <f t="shared" si="24"/>
        <v>0</v>
      </c>
      <c r="H127" s="1677"/>
      <c r="I127" s="579" t="s">
        <v>540</v>
      </c>
    </row>
    <row r="128" spans="1:9" ht="12.75" customHeight="1" x14ac:dyDescent="0.2">
      <c r="A128" s="1733"/>
      <c r="B128" s="1729"/>
      <c r="C128" s="1730"/>
      <c r="D128" s="912">
        <v>2314</v>
      </c>
      <c r="E128" s="565">
        <f>400-400</f>
        <v>0</v>
      </c>
      <c r="F128" s="565"/>
      <c r="G128" s="565">
        <f t="shared" si="24"/>
        <v>0</v>
      </c>
      <c r="H128" s="1678"/>
      <c r="I128" s="579" t="s">
        <v>540</v>
      </c>
    </row>
    <row r="129" spans="1:9" x14ac:dyDescent="0.2">
      <c r="A129" s="912">
        <v>15</v>
      </c>
      <c r="B129" s="1731" t="s">
        <v>671</v>
      </c>
      <c r="C129" s="1732"/>
      <c r="D129" s="913"/>
      <c r="E129" s="730">
        <f>SUM(E130:E131)</f>
        <v>3600</v>
      </c>
      <c r="F129" s="730">
        <f t="shared" ref="F129:G129" si="25">SUM(F130:F131)</f>
        <v>0</v>
      </c>
      <c r="G129" s="730">
        <f t="shared" si="25"/>
        <v>3600</v>
      </c>
      <c r="H129" s="730"/>
      <c r="I129" s="565"/>
    </row>
    <row r="130" spans="1:9" x14ac:dyDescent="0.2">
      <c r="A130" s="914" t="s">
        <v>672</v>
      </c>
      <c r="B130" s="1737" t="s">
        <v>673</v>
      </c>
      <c r="C130" s="1738"/>
      <c r="D130" s="912">
        <v>2279</v>
      </c>
      <c r="E130" s="565">
        <v>3600</v>
      </c>
      <c r="F130" s="565"/>
      <c r="G130" s="565">
        <f t="shared" ref="G130:G131" si="26">E130+F130</f>
        <v>3600</v>
      </c>
      <c r="H130" s="565"/>
      <c r="I130" s="579" t="s">
        <v>540</v>
      </c>
    </row>
    <row r="131" spans="1:9" ht="12.75" customHeight="1" x14ac:dyDescent="0.2">
      <c r="A131" s="914" t="s">
        <v>674</v>
      </c>
      <c r="B131" s="1737" t="s">
        <v>675</v>
      </c>
      <c r="C131" s="1738"/>
      <c r="D131" s="912">
        <v>2279</v>
      </c>
      <c r="E131" s="565">
        <f>2000-2000</f>
        <v>0</v>
      </c>
      <c r="F131" s="565"/>
      <c r="G131" s="565">
        <f t="shared" si="26"/>
        <v>0</v>
      </c>
      <c r="H131" s="565"/>
      <c r="I131" s="579" t="s">
        <v>540</v>
      </c>
    </row>
    <row r="132" spans="1:9" x14ac:dyDescent="0.2">
      <c r="A132" s="912">
        <v>16</v>
      </c>
      <c r="B132" s="1731" t="s">
        <v>676</v>
      </c>
      <c r="C132" s="1732"/>
      <c r="D132" s="913"/>
      <c r="E132" s="730">
        <f>SUM(E133:E138)</f>
        <v>210900</v>
      </c>
      <c r="F132" s="730">
        <f t="shared" ref="F132:G132" si="27">SUM(F133:F138)</f>
        <v>0</v>
      </c>
      <c r="G132" s="730">
        <f t="shared" si="27"/>
        <v>210900</v>
      </c>
      <c r="H132" s="730"/>
      <c r="I132" s="565"/>
    </row>
    <row r="133" spans="1:9" x14ac:dyDescent="0.2">
      <c r="A133" s="914" t="s">
        <v>677</v>
      </c>
      <c r="B133" s="1737" t="s">
        <v>678</v>
      </c>
      <c r="C133" s="1738"/>
      <c r="D133" s="912">
        <v>2314</v>
      </c>
      <c r="E133" s="565">
        <v>320</v>
      </c>
      <c r="F133" s="565"/>
      <c r="G133" s="565">
        <f t="shared" ref="G133:G138" si="28">E133+F133</f>
        <v>320</v>
      </c>
      <c r="H133" s="565"/>
      <c r="I133" s="579" t="s">
        <v>540</v>
      </c>
    </row>
    <row r="134" spans="1:9" x14ac:dyDescent="0.2">
      <c r="A134" s="1733" t="s">
        <v>679</v>
      </c>
      <c r="B134" s="1725" t="s">
        <v>680</v>
      </c>
      <c r="C134" s="1726"/>
      <c r="D134" s="912">
        <v>2264</v>
      </c>
      <c r="E134" s="565">
        <v>150</v>
      </c>
      <c r="F134" s="565"/>
      <c r="G134" s="565">
        <f t="shared" si="28"/>
        <v>150</v>
      </c>
      <c r="H134" s="565"/>
      <c r="I134" s="1676" t="s">
        <v>540</v>
      </c>
    </row>
    <row r="135" spans="1:9" ht="12.75" customHeight="1" x14ac:dyDescent="0.2">
      <c r="A135" s="1733"/>
      <c r="B135" s="1727"/>
      <c r="C135" s="1728"/>
      <c r="D135" s="912">
        <v>2279</v>
      </c>
      <c r="E135" s="565">
        <v>70</v>
      </c>
      <c r="F135" s="565"/>
      <c r="G135" s="565">
        <f t="shared" si="28"/>
        <v>70</v>
      </c>
      <c r="H135" s="565"/>
      <c r="I135" s="1677"/>
    </row>
    <row r="136" spans="1:9" ht="12.75" customHeight="1" x14ac:dyDescent="0.2">
      <c r="A136" s="1733"/>
      <c r="B136" s="1729"/>
      <c r="C136" s="1730"/>
      <c r="D136" s="912">
        <v>2314</v>
      </c>
      <c r="E136" s="565">
        <v>360</v>
      </c>
      <c r="F136" s="565"/>
      <c r="G136" s="565">
        <f t="shared" si="28"/>
        <v>360</v>
      </c>
      <c r="H136" s="565"/>
      <c r="I136" s="1678"/>
    </row>
    <row r="137" spans="1:9" ht="12.75" customHeight="1" x14ac:dyDescent="0.2">
      <c r="A137" s="914" t="s">
        <v>681</v>
      </c>
      <c r="B137" s="1737" t="s">
        <v>682</v>
      </c>
      <c r="C137" s="1738"/>
      <c r="D137" s="912">
        <v>2279</v>
      </c>
      <c r="E137" s="565">
        <v>110000</v>
      </c>
      <c r="F137" s="565"/>
      <c r="G137" s="565">
        <f t="shared" si="28"/>
        <v>110000</v>
      </c>
      <c r="H137" s="565"/>
      <c r="I137" s="579" t="s">
        <v>540</v>
      </c>
    </row>
    <row r="138" spans="1:9" x14ac:dyDescent="0.2">
      <c r="A138" s="914" t="s">
        <v>683</v>
      </c>
      <c r="B138" s="1737" t="s">
        <v>684</v>
      </c>
      <c r="C138" s="1738"/>
      <c r="D138" s="912">
        <v>2279</v>
      </c>
      <c r="E138" s="565">
        <v>100000</v>
      </c>
      <c r="F138" s="565"/>
      <c r="G138" s="565">
        <f t="shared" si="28"/>
        <v>100000</v>
      </c>
      <c r="H138" s="565"/>
      <c r="I138" s="579" t="s">
        <v>540</v>
      </c>
    </row>
    <row r="139" spans="1:9" x14ac:dyDescent="0.2">
      <c r="A139" s="912">
        <v>17</v>
      </c>
      <c r="B139" s="1731" t="s">
        <v>685</v>
      </c>
      <c r="C139" s="1732"/>
      <c r="D139" s="913"/>
      <c r="E139" s="730">
        <f>SUM(E140:E143)</f>
        <v>29421</v>
      </c>
      <c r="F139" s="730">
        <f t="shared" ref="F139:G139" si="29">SUM(F140:F143)</f>
        <v>0</v>
      </c>
      <c r="G139" s="730">
        <f t="shared" si="29"/>
        <v>29421</v>
      </c>
      <c r="H139" s="730"/>
      <c r="I139" s="565"/>
    </row>
    <row r="140" spans="1:9" ht="14.25" customHeight="1" x14ac:dyDescent="0.2">
      <c r="A140" s="918" t="s">
        <v>686</v>
      </c>
      <c r="B140" s="1737" t="s">
        <v>687</v>
      </c>
      <c r="C140" s="1738"/>
      <c r="D140" s="912">
        <v>2279</v>
      </c>
      <c r="E140" s="565">
        <v>2000</v>
      </c>
      <c r="F140" s="565"/>
      <c r="G140" s="565">
        <f t="shared" ref="G140:G143" si="30">E140+F140</f>
        <v>2000</v>
      </c>
      <c r="H140" s="565"/>
      <c r="I140" s="579" t="s">
        <v>540</v>
      </c>
    </row>
    <row r="141" spans="1:9" ht="12.75" customHeight="1" x14ac:dyDescent="0.2">
      <c r="A141" s="918" t="s">
        <v>688</v>
      </c>
      <c r="B141" s="1737" t="s">
        <v>689</v>
      </c>
      <c r="C141" s="1738"/>
      <c r="D141" s="912">
        <v>2279</v>
      </c>
      <c r="E141" s="565">
        <v>1421</v>
      </c>
      <c r="F141" s="565"/>
      <c r="G141" s="565">
        <f t="shared" si="30"/>
        <v>1421</v>
      </c>
      <c r="H141" s="565"/>
      <c r="I141" s="579" t="s">
        <v>540</v>
      </c>
    </row>
    <row r="142" spans="1:9" x14ac:dyDescent="0.2">
      <c r="A142" s="919" t="s">
        <v>690</v>
      </c>
      <c r="B142" s="1743" t="s">
        <v>691</v>
      </c>
      <c r="C142" s="1744"/>
      <c r="D142" s="912">
        <v>2279</v>
      </c>
      <c r="E142" s="565">
        <v>1000</v>
      </c>
      <c r="F142" s="565"/>
      <c r="G142" s="565">
        <f t="shared" si="30"/>
        <v>1000</v>
      </c>
      <c r="H142" s="565"/>
      <c r="I142" s="579" t="s">
        <v>540</v>
      </c>
    </row>
    <row r="143" spans="1:9" x14ac:dyDescent="0.2">
      <c r="A143" s="919" t="s">
        <v>692</v>
      </c>
      <c r="B143" s="1743" t="s">
        <v>693</v>
      </c>
      <c r="C143" s="1744"/>
      <c r="D143" s="912">
        <v>2279</v>
      </c>
      <c r="E143" s="565">
        <v>25000</v>
      </c>
      <c r="F143" s="565"/>
      <c r="G143" s="565">
        <f t="shared" si="30"/>
        <v>25000</v>
      </c>
      <c r="H143" s="565"/>
      <c r="I143" s="579" t="s">
        <v>540</v>
      </c>
    </row>
    <row r="144" spans="1:9" x14ac:dyDescent="0.2">
      <c r="A144" s="912">
        <v>18</v>
      </c>
      <c r="B144" s="1731" t="s">
        <v>694</v>
      </c>
      <c r="C144" s="1732"/>
      <c r="D144" s="913"/>
      <c r="E144" s="730">
        <f>SUM(E145:E163)</f>
        <v>259737</v>
      </c>
      <c r="F144" s="730">
        <f t="shared" ref="F144:G144" si="31">SUM(F145:F163)</f>
        <v>3519</v>
      </c>
      <c r="G144" s="730">
        <f t="shared" si="31"/>
        <v>263256</v>
      </c>
      <c r="H144" s="730"/>
      <c r="I144" s="565"/>
    </row>
    <row r="145" spans="1:9" x14ac:dyDescent="0.2">
      <c r="A145" s="914" t="s">
        <v>695</v>
      </c>
      <c r="B145" s="1737" t="s">
        <v>696</v>
      </c>
      <c r="C145" s="1738"/>
      <c r="D145" s="912">
        <v>2279</v>
      </c>
      <c r="E145" s="565">
        <v>2100</v>
      </c>
      <c r="F145" s="565"/>
      <c r="G145" s="565">
        <f t="shared" ref="G145:G162" si="32">E145+F145</f>
        <v>2100</v>
      </c>
      <c r="H145" s="565"/>
      <c r="I145" s="579" t="s">
        <v>540</v>
      </c>
    </row>
    <row r="146" spans="1:9" x14ac:dyDescent="0.2">
      <c r="A146" s="914" t="s">
        <v>697</v>
      </c>
      <c r="B146" s="1737" t="s">
        <v>698</v>
      </c>
      <c r="C146" s="1738"/>
      <c r="D146" s="912">
        <v>2279</v>
      </c>
      <c r="E146" s="565">
        <v>3679</v>
      </c>
      <c r="F146" s="565"/>
      <c r="G146" s="565">
        <f t="shared" si="32"/>
        <v>3679</v>
      </c>
      <c r="H146" s="565"/>
      <c r="I146" s="579" t="s">
        <v>540</v>
      </c>
    </row>
    <row r="147" spans="1:9" x14ac:dyDescent="0.2">
      <c r="A147" s="914" t="s">
        <v>699</v>
      </c>
      <c r="B147" s="1737" t="s">
        <v>700</v>
      </c>
      <c r="C147" s="1738"/>
      <c r="D147" s="912">
        <v>2279</v>
      </c>
      <c r="E147" s="565">
        <v>2135</v>
      </c>
      <c r="F147" s="565"/>
      <c r="G147" s="565">
        <f t="shared" si="32"/>
        <v>2135</v>
      </c>
      <c r="H147" s="565"/>
      <c r="I147" s="579" t="s">
        <v>540</v>
      </c>
    </row>
    <row r="148" spans="1:9" x14ac:dyDescent="0.2">
      <c r="A148" s="914" t="s">
        <v>701</v>
      </c>
      <c r="B148" s="1745" t="s">
        <v>702</v>
      </c>
      <c r="C148" s="1746"/>
      <c r="D148" s="912">
        <v>2279</v>
      </c>
      <c r="E148" s="565">
        <v>12100</v>
      </c>
      <c r="F148" s="565"/>
      <c r="G148" s="565">
        <f t="shared" si="32"/>
        <v>12100</v>
      </c>
      <c r="H148" s="565"/>
      <c r="I148" s="579" t="s">
        <v>540</v>
      </c>
    </row>
    <row r="149" spans="1:9" x14ac:dyDescent="0.2">
      <c r="A149" s="914" t="s">
        <v>703</v>
      </c>
      <c r="B149" s="1745" t="s">
        <v>704</v>
      </c>
      <c r="C149" s="1746"/>
      <c r="D149" s="912">
        <v>2279</v>
      </c>
      <c r="E149" s="565">
        <f>30000+5000</f>
        <v>35000</v>
      </c>
      <c r="F149" s="565"/>
      <c r="G149" s="565">
        <f t="shared" si="32"/>
        <v>35000</v>
      </c>
      <c r="H149" s="565"/>
      <c r="I149" s="579" t="s">
        <v>540</v>
      </c>
    </row>
    <row r="150" spans="1:9" x14ac:dyDescent="0.2">
      <c r="A150" s="914" t="s">
        <v>705</v>
      </c>
      <c r="B150" s="1737" t="s">
        <v>706</v>
      </c>
      <c r="C150" s="1738"/>
      <c r="D150" s="912">
        <v>2279</v>
      </c>
      <c r="E150" s="565">
        <v>3000</v>
      </c>
      <c r="F150" s="565"/>
      <c r="G150" s="565">
        <f t="shared" si="32"/>
        <v>3000</v>
      </c>
      <c r="H150" s="565"/>
      <c r="I150" s="579" t="s">
        <v>540</v>
      </c>
    </row>
    <row r="151" spans="1:9" x14ac:dyDescent="0.2">
      <c r="A151" s="914" t="s">
        <v>707</v>
      </c>
      <c r="B151" s="1737" t="s">
        <v>708</v>
      </c>
      <c r="C151" s="1738"/>
      <c r="D151" s="912">
        <v>2279</v>
      </c>
      <c r="E151" s="565">
        <v>70000</v>
      </c>
      <c r="F151" s="565"/>
      <c r="G151" s="565">
        <f t="shared" si="32"/>
        <v>70000</v>
      </c>
      <c r="H151" s="565"/>
      <c r="I151" s="579" t="s">
        <v>540</v>
      </c>
    </row>
    <row r="152" spans="1:9" x14ac:dyDescent="0.2">
      <c r="A152" s="914" t="s">
        <v>709</v>
      </c>
      <c r="B152" s="1737" t="s">
        <v>710</v>
      </c>
      <c r="C152" s="1738"/>
      <c r="D152" s="912">
        <v>2279</v>
      </c>
      <c r="E152" s="565">
        <v>1421</v>
      </c>
      <c r="F152" s="565"/>
      <c r="G152" s="565">
        <f t="shared" si="32"/>
        <v>1421</v>
      </c>
      <c r="H152" s="565"/>
      <c r="I152" s="579" t="s">
        <v>540</v>
      </c>
    </row>
    <row r="153" spans="1:9" x14ac:dyDescent="0.2">
      <c r="A153" s="914" t="s">
        <v>711</v>
      </c>
      <c r="B153" s="1737" t="s">
        <v>712</v>
      </c>
      <c r="C153" s="1738"/>
      <c r="D153" s="912">
        <v>2279</v>
      </c>
      <c r="E153" s="565">
        <v>70000</v>
      </c>
      <c r="F153" s="565"/>
      <c r="G153" s="565">
        <f t="shared" si="32"/>
        <v>70000</v>
      </c>
      <c r="H153" s="565"/>
      <c r="I153" s="579" t="s">
        <v>540</v>
      </c>
    </row>
    <row r="154" spans="1:9" x14ac:dyDescent="0.2">
      <c r="A154" s="914" t="s">
        <v>713</v>
      </c>
      <c r="B154" s="1737" t="s">
        <v>714</v>
      </c>
      <c r="C154" s="1738"/>
      <c r="D154" s="912">
        <v>2279</v>
      </c>
      <c r="E154" s="565">
        <v>1500</v>
      </c>
      <c r="F154" s="565"/>
      <c r="G154" s="565">
        <f t="shared" si="32"/>
        <v>1500</v>
      </c>
      <c r="H154" s="565"/>
      <c r="I154" s="579" t="s">
        <v>540</v>
      </c>
    </row>
    <row r="155" spans="1:9" x14ac:dyDescent="0.2">
      <c r="A155" s="914" t="s">
        <v>715</v>
      </c>
      <c r="B155" s="1737" t="s">
        <v>716</v>
      </c>
      <c r="C155" s="1738"/>
      <c r="D155" s="912">
        <v>2279</v>
      </c>
      <c r="E155" s="565">
        <v>5000</v>
      </c>
      <c r="F155" s="565"/>
      <c r="G155" s="565">
        <f t="shared" si="32"/>
        <v>5000</v>
      </c>
      <c r="H155" s="565"/>
      <c r="I155" s="579" t="s">
        <v>540</v>
      </c>
    </row>
    <row r="156" spans="1:9" x14ac:dyDescent="0.2">
      <c r="A156" s="914" t="s">
        <v>717</v>
      </c>
      <c r="B156" s="1737" t="s">
        <v>718</v>
      </c>
      <c r="C156" s="1738"/>
      <c r="D156" s="912">
        <v>2279</v>
      </c>
      <c r="E156" s="565">
        <v>551</v>
      </c>
      <c r="F156" s="565"/>
      <c r="G156" s="565">
        <f t="shared" si="32"/>
        <v>551</v>
      </c>
      <c r="H156" s="565"/>
      <c r="I156" s="579" t="s">
        <v>540</v>
      </c>
    </row>
    <row r="157" spans="1:9" x14ac:dyDescent="0.2">
      <c r="A157" s="914" t="s">
        <v>719</v>
      </c>
      <c r="B157" s="1737" t="s">
        <v>720</v>
      </c>
      <c r="C157" s="1738"/>
      <c r="D157" s="912">
        <v>2279</v>
      </c>
      <c r="E157" s="565">
        <v>30000</v>
      </c>
      <c r="F157" s="565"/>
      <c r="G157" s="565">
        <f t="shared" si="32"/>
        <v>30000</v>
      </c>
      <c r="H157" s="565"/>
      <c r="I157" s="579" t="s">
        <v>540</v>
      </c>
    </row>
    <row r="158" spans="1:9" ht="12.75" customHeight="1" x14ac:dyDescent="0.2">
      <c r="A158" s="914" t="s">
        <v>721</v>
      </c>
      <c r="B158" s="1737" t="s">
        <v>722</v>
      </c>
      <c r="C158" s="1738"/>
      <c r="D158" s="912">
        <v>2279</v>
      </c>
      <c r="E158" s="565">
        <v>1300</v>
      </c>
      <c r="F158" s="565"/>
      <c r="G158" s="565">
        <f t="shared" si="32"/>
        <v>1300</v>
      </c>
      <c r="H158" s="565"/>
      <c r="I158" s="579" t="s">
        <v>540</v>
      </c>
    </row>
    <row r="159" spans="1:9" ht="12.75" customHeight="1" x14ac:dyDescent="0.2">
      <c r="A159" s="914" t="s">
        <v>723</v>
      </c>
      <c r="B159" s="1737" t="s">
        <v>724</v>
      </c>
      <c r="C159" s="1738"/>
      <c r="D159" s="912">
        <v>2279</v>
      </c>
      <c r="E159" s="565">
        <v>551</v>
      </c>
      <c r="F159" s="565"/>
      <c r="G159" s="565">
        <f t="shared" si="32"/>
        <v>551</v>
      </c>
      <c r="H159" s="565"/>
      <c r="I159" s="579" t="s">
        <v>540</v>
      </c>
    </row>
    <row r="160" spans="1:9" x14ac:dyDescent="0.2">
      <c r="A160" s="914" t="s">
        <v>725</v>
      </c>
      <c r="B160" s="1737" t="s">
        <v>726</v>
      </c>
      <c r="C160" s="1738"/>
      <c r="D160" s="912">
        <v>2279</v>
      </c>
      <c r="E160" s="565">
        <v>5400</v>
      </c>
      <c r="F160" s="565"/>
      <c r="G160" s="565">
        <f t="shared" si="32"/>
        <v>5400</v>
      </c>
      <c r="H160" s="565"/>
      <c r="I160" s="579" t="s">
        <v>540</v>
      </c>
    </row>
    <row r="161" spans="1:9" ht="12.75" customHeight="1" x14ac:dyDescent="0.2">
      <c r="A161" s="914" t="s">
        <v>727</v>
      </c>
      <c r="B161" s="1737" t="s">
        <v>728</v>
      </c>
      <c r="C161" s="1738"/>
      <c r="D161" s="912">
        <v>2279</v>
      </c>
      <c r="E161" s="565">
        <v>1000</v>
      </c>
      <c r="F161" s="565"/>
      <c r="G161" s="565">
        <f t="shared" si="32"/>
        <v>1000</v>
      </c>
      <c r="H161" s="565"/>
      <c r="I161" s="579" t="s">
        <v>540</v>
      </c>
    </row>
    <row r="162" spans="1:9" x14ac:dyDescent="0.2">
      <c r="A162" s="914" t="s">
        <v>729</v>
      </c>
      <c r="B162" s="1737" t="s">
        <v>730</v>
      </c>
      <c r="C162" s="1738"/>
      <c r="D162" s="912">
        <v>2279</v>
      </c>
      <c r="E162" s="565">
        <v>15000</v>
      </c>
      <c r="F162" s="565"/>
      <c r="G162" s="565">
        <f t="shared" si="32"/>
        <v>15000</v>
      </c>
      <c r="H162" s="565"/>
      <c r="I162" s="579" t="s">
        <v>540</v>
      </c>
    </row>
    <row r="163" spans="1:9" ht="14.25" customHeight="1" x14ac:dyDescent="0.2">
      <c r="A163" s="914" t="s">
        <v>1068</v>
      </c>
      <c r="B163" s="1737" t="s">
        <v>1069</v>
      </c>
      <c r="C163" s="1738"/>
      <c r="D163" s="912">
        <v>2279</v>
      </c>
      <c r="E163" s="565">
        <v>0</v>
      </c>
      <c r="F163" s="565">
        <v>3519</v>
      </c>
      <c r="G163" s="565">
        <v>3519</v>
      </c>
      <c r="H163" s="565" t="s">
        <v>1070</v>
      </c>
      <c r="I163" s="579" t="s">
        <v>540</v>
      </c>
    </row>
    <row r="164" spans="1:9" x14ac:dyDescent="0.2">
      <c r="A164" s="912">
        <v>19</v>
      </c>
      <c r="B164" s="1731" t="s">
        <v>731</v>
      </c>
      <c r="C164" s="1732"/>
      <c r="D164" s="913"/>
      <c r="E164" s="730">
        <f>SUM(E165:E167)</f>
        <v>2860</v>
      </c>
      <c r="F164" s="730">
        <f t="shared" ref="F164:G164" si="33">SUM(F165:F167)</f>
        <v>0</v>
      </c>
      <c r="G164" s="730">
        <f t="shared" si="33"/>
        <v>2860</v>
      </c>
      <c r="H164" s="730"/>
      <c r="I164" s="565"/>
    </row>
    <row r="165" spans="1:9" ht="12.75" customHeight="1" x14ac:dyDescent="0.2">
      <c r="A165" s="914" t="s">
        <v>732</v>
      </c>
      <c r="B165" s="1737" t="s">
        <v>733</v>
      </c>
      <c r="C165" s="1738"/>
      <c r="D165" s="912">
        <v>2279</v>
      </c>
      <c r="E165" s="565">
        <v>785</v>
      </c>
      <c r="F165" s="565"/>
      <c r="G165" s="565">
        <f t="shared" ref="G165:G167" si="34">E165+F165</f>
        <v>785</v>
      </c>
      <c r="H165" s="565"/>
      <c r="I165" s="579" t="s">
        <v>540</v>
      </c>
    </row>
    <row r="166" spans="1:9" x14ac:dyDescent="0.2">
      <c r="A166" s="914" t="s">
        <v>734</v>
      </c>
      <c r="B166" s="1737" t="s">
        <v>735</v>
      </c>
      <c r="C166" s="1738"/>
      <c r="D166" s="912">
        <v>2279</v>
      </c>
      <c r="E166" s="565">
        <v>650</v>
      </c>
      <c r="F166" s="565"/>
      <c r="G166" s="565">
        <f t="shared" si="34"/>
        <v>650</v>
      </c>
      <c r="H166" s="565"/>
      <c r="I166" s="579" t="s">
        <v>540</v>
      </c>
    </row>
    <row r="167" spans="1:9" x14ac:dyDescent="0.2">
      <c r="A167" s="914" t="s">
        <v>736</v>
      </c>
      <c r="B167" s="1737" t="s">
        <v>737</v>
      </c>
      <c r="C167" s="1738"/>
      <c r="D167" s="912">
        <v>2279</v>
      </c>
      <c r="E167" s="565">
        <v>1425</v>
      </c>
      <c r="F167" s="565"/>
      <c r="G167" s="565">
        <f t="shared" si="34"/>
        <v>1425</v>
      </c>
      <c r="H167" s="565"/>
      <c r="I167" s="579" t="s">
        <v>540</v>
      </c>
    </row>
    <row r="168" spans="1:9" x14ac:dyDescent="0.2">
      <c r="A168" s="912">
        <v>20</v>
      </c>
      <c r="B168" s="1731" t="s">
        <v>738</v>
      </c>
      <c r="C168" s="1732"/>
      <c r="D168" s="913"/>
      <c r="E168" s="730">
        <f>SUM(E169:E170)</f>
        <v>1850</v>
      </c>
      <c r="F168" s="730">
        <f t="shared" ref="F168:G168" si="35">SUM(F169:F170)</f>
        <v>0</v>
      </c>
      <c r="G168" s="730">
        <f t="shared" si="35"/>
        <v>1850</v>
      </c>
      <c r="H168" s="730"/>
      <c r="I168" s="565"/>
    </row>
    <row r="169" spans="1:9" x14ac:dyDescent="0.2">
      <c r="A169" s="1733" t="s">
        <v>739</v>
      </c>
      <c r="B169" s="1725" t="s">
        <v>740</v>
      </c>
      <c r="C169" s="1726"/>
      <c r="D169" s="912">
        <v>2279</v>
      </c>
      <c r="E169" s="565">
        <v>500</v>
      </c>
      <c r="F169" s="565"/>
      <c r="G169" s="565">
        <f t="shared" ref="G169:G170" si="36">E169+F169</f>
        <v>500</v>
      </c>
      <c r="H169" s="565"/>
      <c r="I169" s="1676" t="s">
        <v>540</v>
      </c>
    </row>
    <row r="170" spans="1:9" ht="12.75" customHeight="1" x14ac:dyDescent="0.2">
      <c r="A170" s="1733"/>
      <c r="B170" s="1729"/>
      <c r="C170" s="1730"/>
      <c r="D170" s="912">
        <v>2314</v>
      </c>
      <c r="E170" s="565">
        <v>1350</v>
      </c>
      <c r="F170" s="565"/>
      <c r="G170" s="565">
        <f t="shared" si="36"/>
        <v>1350</v>
      </c>
      <c r="H170" s="565"/>
      <c r="I170" s="1678"/>
    </row>
    <row r="171" spans="1:9" x14ac:dyDescent="0.2">
      <c r="A171" s="912">
        <v>21</v>
      </c>
      <c r="B171" s="1731" t="s">
        <v>741</v>
      </c>
      <c r="C171" s="1732"/>
      <c r="D171" s="913"/>
      <c r="E171" s="730">
        <f>SUM(E172:E172)</f>
        <v>2135</v>
      </c>
      <c r="F171" s="730">
        <f t="shared" ref="F171:G171" si="37">SUM(F172:F172)</f>
        <v>0</v>
      </c>
      <c r="G171" s="730">
        <f t="shared" si="37"/>
        <v>2135</v>
      </c>
      <c r="H171" s="730"/>
      <c r="I171" s="565"/>
    </row>
    <row r="172" spans="1:9" x14ac:dyDescent="0.2">
      <c r="A172" s="914" t="s">
        <v>742</v>
      </c>
      <c r="B172" s="1737" t="s">
        <v>743</v>
      </c>
      <c r="C172" s="1738"/>
      <c r="D172" s="912">
        <v>2279</v>
      </c>
      <c r="E172" s="736">
        <v>2135</v>
      </c>
      <c r="F172" s="736"/>
      <c r="G172" s="736">
        <f>E172+F172</f>
        <v>2135</v>
      </c>
      <c r="H172" s="736"/>
      <c r="I172" s="579" t="s">
        <v>540</v>
      </c>
    </row>
    <row r="173" spans="1:9" x14ac:dyDescent="0.2">
      <c r="A173" s="912">
        <v>22</v>
      </c>
      <c r="B173" s="1731" t="s">
        <v>744</v>
      </c>
      <c r="C173" s="1732"/>
      <c r="D173" s="913"/>
      <c r="E173" s="730">
        <f>SUM(E174:E175)</f>
        <v>3923</v>
      </c>
      <c r="F173" s="730">
        <f t="shared" ref="F173:G173" si="38">SUM(F174:F175)</f>
        <v>0</v>
      </c>
      <c r="G173" s="730">
        <f t="shared" si="38"/>
        <v>3923</v>
      </c>
      <c r="H173" s="730"/>
      <c r="I173" s="565"/>
    </row>
    <row r="174" spans="1:9" x14ac:dyDescent="0.2">
      <c r="A174" s="914" t="s">
        <v>745</v>
      </c>
      <c r="B174" s="1737" t="s">
        <v>746</v>
      </c>
      <c r="C174" s="1738"/>
      <c r="D174" s="912">
        <v>2279</v>
      </c>
      <c r="E174" s="565">
        <v>2500</v>
      </c>
      <c r="F174" s="565"/>
      <c r="G174" s="565">
        <f t="shared" ref="G174:G175" si="39">E174+F174</f>
        <v>2500</v>
      </c>
      <c r="H174" s="565"/>
      <c r="I174" s="579" t="s">
        <v>540</v>
      </c>
    </row>
    <row r="175" spans="1:9" x14ac:dyDescent="0.2">
      <c r="A175" s="914" t="s">
        <v>747</v>
      </c>
      <c r="B175" s="1737" t="s">
        <v>748</v>
      </c>
      <c r="C175" s="1738"/>
      <c r="D175" s="912">
        <v>2279</v>
      </c>
      <c r="E175" s="565">
        <v>1423</v>
      </c>
      <c r="F175" s="565"/>
      <c r="G175" s="565">
        <f t="shared" si="39"/>
        <v>1423</v>
      </c>
      <c r="H175" s="565"/>
      <c r="I175" s="579" t="s">
        <v>540</v>
      </c>
    </row>
    <row r="176" spans="1:9" x14ac:dyDescent="0.2">
      <c r="A176" s="912">
        <v>23</v>
      </c>
      <c r="B176" s="1731" t="s">
        <v>749</v>
      </c>
      <c r="C176" s="1732"/>
      <c r="D176" s="913"/>
      <c r="E176" s="730">
        <f>SUM(E177:E179)</f>
        <v>170000</v>
      </c>
      <c r="F176" s="730">
        <f t="shared" ref="F176:G176" si="40">SUM(F177:F179)</f>
        <v>0</v>
      </c>
      <c r="G176" s="730">
        <f t="shared" si="40"/>
        <v>170000</v>
      </c>
      <c r="H176" s="730"/>
      <c r="I176" s="565"/>
    </row>
    <row r="177" spans="1:9" x14ac:dyDescent="0.2">
      <c r="A177" s="914" t="s">
        <v>750</v>
      </c>
      <c r="B177" s="1737" t="s">
        <v>751</v>
      </c>
      <c r="C177" s="1738"/>
      <c r="D177" s="912">
        <v>2279</v>
      </c>
      <c r="E177" s="565">
        <v>70000</v>
      </c>
      <c r="F177" s="565"/>
      <c r="G177" s="565">
        <f t="shared" ref="G177:G179" si="41">E177+F177</f>
        <v>70000</v>
      </c>
      <c r="H177" s="565"/>
      <c r="I177" s="579" t="s">
        <v>540</v>
      </c>
    </row>
    <row r="178" spans="1:9" x14ac:dyDescent="0.2">
      <c r="A178" s="914" t="s">
        <v>752</v>
      </c>
      <c r="B178" s="1737" t="s">
        <v>753</v>
      </c>
      <c r="C178" s="1738"/>
      <c r="D178" s="912">
        <v>2279</v>
      </c>
      <c r="E178" s="565">
        <v>70000</v>
      </c>
      <c r="F178" s="565"/>
      <c r="G178" s="565">
        <f t="shared" si="41"/>
        <v>70000</v>
      </c>
      <c r="H178" s="565"/>
      <c r="I178" s="579" t="s">
        <v>540</v>
      </c>
    </row>
    <row r="179" spans="1:9" x14ac:dyDescent="0.2">
      <c r="A179" s="914" t="s">
        <v>754</v>
      </c>
      <c r="B179" s="1737" t="s">
        <v>755</v>
      </c>
      <c r="C179" s="1738"/>
      <c r="D179" s="912">
        <v>2279</v>
      </c>
      <c r="E179" s="565">
        <v>30000</v>
      </c>
      <c r="F179" s="565"/>
      <c r="G179" s="565">
        <f t="shared" si="41"/>
        <v>30000</v>
      </c>
      <c r="H179" s="565"/>
      <c r="I179" s="579" t="s">
        <v>540</v>
      </c>
    </row>
    <row r="180" spans="1:9" x14ac:dyDescent="0.2">
      <c r="A180" s="912">
        <v>24</v>
      </c>
      <c r="B180" s="1731" t="s">
        <v>756</v>
      </c>
      <c r="C180" s="1732"/>
      <c r="D180" s="913"/>
      <c r="E180" s="730">
        <f>SUM(E181)</f>
        <v>110000</v>
      </c>
      <c r="F180" s="730">
        <f t="shared" ref="F180:G180" si="42">SUM(F181)</f>
        <v>0</v>
      </c>
      <c r="G180" s="730">
        <f t="shared" si="42"/>
        <v>110000</v>
      </c>
      <c r="H180" s="730"/>
      <c r="I180" s="565"/>
    </row>
    <row r="181" spans="1:9" x14ac:dyDescent="0.2">
      <c r="A181" s="914" t="s">
        <v>757</v>
      </c>
      <c r="B181" s="1737" t="s">
        <v>758</v>
      </c>
      <c r="C181" s="1738"/>
      <c r="D181" s="912">
        <v>2279</v>
      </c>
      <c r="E181" s="565">
        <v>110000</v>
      </c>
      <c r="F181" s="565"/>
      <c r="G181" s="565">
        <f>E181+F181</f>
        <v>110000</v>
      </c>
      <c r="H181" s="565"/>
      <c r="I181" s="579" t="s">
        <v>540</v>
      </c>
    </row>
    <row r="182" spans="1:9" ht="25.5" customHeight="1" x14ac:dyDescent="0.2">
      <c r="A182" s="1734" t="s">
        <v>759</v>
      </c>
      <c r="B182" s="1735"/>
      <c r="C182" s="1736"/>
      <c r="D182" s="920"/>
      <c r="E182" s="743">
        <f>SUM(E183:E259)</f>
        <v>558974</v>
      </c>
      <c r="F182" s="743">
        <f>SUM(F183:F259)</f>
        <v>-3519</v>
      </c>
      <c r="G182" s="743">
        <f>SUM(G183:G259)</f>
        <v>555455</v>
      </c>
      <c r="H182" s="743"/>
      <c r="I182" s="565"/>
    </row>
    <row r="183" spans="1:9" x14ac:dyDescent="0.2">
      <c r="A183" s="914">
        <v>1</v>
      </c>
      <c r="B183" s="1737" t="s">
        <v>760</v>
      </c>
      <c r="C183" s="1738"/>
      <c r="D183" s="912">
        <v>2279</v>
      </c>
      <c r="E183" s="565">
        <v>140000</v>
      </c>
      <c r="F183" s="565"/>
      <c r="G183" s="565">
        <f t="shared" ref="G183:G246" si="43">E183+F183</f>
        <v>140000</v>
      </c>
      <c r="H183" s="565"/>
      <c r="I183" s="579" t="s">
        <v>761</v>
      </c>
    </row>
    <row r="184" spans="1:9" x14ac:dyDescent="0.2">
      <c r="A184" s="914">
        <v>2</v>
      </c>
      <c r="B184" s="1737" t="s">
        <v>762</v>
      </c>
      <c r="C184" s="1738"/>
      <c r="D184" s="912">
        <v>2279</v>
      </c>
      <c r="E184" s="565">
        <v>60000</v>
      </c>
      <c r="F184" s="565"/>
      <c r="G184" s="565">
        <f t="shared" si="43"/>
        <v>60000</v>
      </c>
      <c r="H184" s="565"/>
      <c r="I184" s="579" t="s">
        <v>761</v>
      </c>
    </row>
    <row r="185" spans="1:9" x14ac:dyDescent="0.2">
      <c r="A185" s="914">
        <v>3</v>
      </c>
      <c r="B185" s="1737" t="s">
        <v>763</v>
      </c>
      <c r="C185" s="1738"/>
      <c r="D185" s="912">
        <v>2279</v>
      </c>
      <c r="E185" s="565">
        <v>30000</v>
      </c>
      <c r="F185" s="565"/>
      <c r="G185" s="565">
        <f t="shared" si="43"/>
        <v>30000</v>
      </c>
      <c r="H185" s="565"/>
      <c r="I185" s="579" t="s">
        <v>761</v>
      </c>
    </row>
    <row r="186" spans="1:9" x14ac:dyDescent="0.2">
      <c r="A186" s="1733">
        <v>4</v>
      </c>
      <c r="B186" s="1725" t="s">
        <v>764</v>
      </c>
      <c r="C186" s="1726"/>
      <c r="D186" s="912">
        <v>2262</v>
      </c>
      <c r="E186" s="565">
        <f>3685-2603</f>
        <v>1082</v>
      </c>
      <c r="F186" s="565"/>
      <c r="G186" s="565">
        <f t="shared" si="43"/>
        <v>1082</v>
      </c>
      <c r="H186" s="565"/>
      <c r="I186" s="1676" t="s">
        <v>761</v>
      </c>
    </row>
    <row r="187" spans="1:9" ht="12.75" customHeight="1" x14ac:dyDescent="0.2">
      <c r="A187" s="1733"/>
      <c r="B187" s="1727"/>
      <c r="C187" s="1728"/>
      <c r="D187" s="912">
        <v>2279</v>
      </c>
      <c r="E187" s="565">
        <v>3100</v>
      </c>
      <c r="F187" s="565"/>
      <c r="G187" s="565">
        <f t="shared" si="43"/>
        <v>3100</v>
      </c>
      <c r="H187" s="565"/>
      <c r="I187" s="1677"/>
    </row>
    <row r="188" spans="1:9" ht="12.75" customHeight="1" x14ac:dyDescent="0.2">
      <c r="A188" s="1733"/>
      <c r="B188" s="1729"/>
      <c r="C188" s="1730"/>
      <c r="D188" s="912">
        <v>2361</v>
      </c>
      <c r="E188" s="565">
        <f>1562-536</f>
        <v>1026</v>
      </c>
      <c r="F188" s="565"/>
      <c r="G188" s="565">
        <f t="shared" si="43"/>
        <v>1026</v>
      </c>
      <c r="H188" s="565"/>
      <c r="I188" s="1678"/>
    </row>
    <row r="189" spans="1:9" ht="12.75" customHeight="1" x14ac:dyDescent="0.2">
      <c r="A189" s="1722">
        <v>5</v>
      </c>
      <c r="B189" s="1725" t="s">
        <v>765</v>
      </c>
      <c r="C189" s="1726"/>
      <c r="D189" s="912">
        <v>2363</v>
      </c>
      <c r="E189" s="565">
        <f>7595-1000</f>
        <v>6595</v>
      </c>
      <c r="F189" s="565"/>
      <c r="G189" s="565">
        <f t="shared" si="43"/>
        <v>6595</v>
      </c>
      <c r="H189" s="565"/>
      <c r="I189" s="1676" t="s">
        <v>761</v>
      </c>
    </row>
    <row r="190" spans="1:9" ht="12.75" customHeight="1" x14ac:dyDescent="0.2">
      <c r="A190" s="1723"/>
      <c r="B190" s="1727"/>
      <c r="C190" s="1728"/>
      <c r="D190" s="912">
        <v>2247</v>
      </c>
      <c r="E190" s="565">
        <v>150</v>
      </c>
      <c r="F190" s="565"/>
      <c r="G190" s="565">
        <f t="shared" si="43"/>
        <v>150</v>
      </c>
      <c r="H190" s="565"/>
      <c r="I190" s="1677"/>
    </row>
    <row r="191" spans="1:9" ht="12.75" customHeight="1" x14ac:dyDescent="0.2">
      <c r="A191" s="1723"/>
      <c r="B191" s="1727"/>
      <c r="C191" s="1728"/>
      <c r="D191" s="912">
        <v>2261</v>
      </c>
      <c r="E191" s="565">
        <f>11000-1000</f>
        <v>10000</v>
      </c>
      <c r="F191" s="565"/>
      <c r="G191" s="565">
        <f t="shared" si="43"/>
        <v>10000</v>
      </c>
      <c r="H191" s="565"/>
      <c r="I191" s="1677"/>
    </row>
    <row r="192" spans="1:9" ht="12.75" customHeight="1" x14ac:dyDescent="0.2">
      <c r="A192" s="1723"/>
      <c r="B192" s="1727"/>
      <c r="C192" s="1728"/>
      <c r="D192" s="912">
        <v>2262</v>
      </c>
      <c r="E192" s="565">
        <f>6317-1000</f>
        <v>5317</v>
      </c>
      <c r="F192" s="565"/>
      <c r="G192" s="565">
        <f t="shared" si="43"/>
        <v>5317</v>
      </c>
      <c r="H192" s="565"/>
      <c r="I192" s="1677"/>
    </row>
    <row r="193" spans="1:9" ht="12.75" customHeight="1" x14ac:dyDescent="0.2">
      <c r="A193" s="1723"/>
      <c r="B193" s="1727"/>
      <c r="C193" s="1728"/>
      <c r="D193" s="912">
        <v>2322</v>
      </c>
      <c r="E193" s="565">
        <v>215</v>
      </c>
      <c r="F193" s="565"/>
      <c r="G193" s="565">
        <f t="shared" si="43"/>
        <v>215</v>
      </c>
      <c r="H193" s="565"/>
      <c r="I193" s="1677"/>
    </row>
    <row r="194" spans="1:9" x14ac:dyDescent="0.2">
      <c r="A194" s="1723"/>
      <c r="B194" s="1727"/>
      <c r="C194" s="1728"/>
      <c r="D194" s="912">
        <v>2361</v>
      </c>
      <c r="E194" s="565">
        <f>13688+3367</f>
        <v>17055</v>
      </c>
      <c r="F194" s="565"/>
      <c r="G194" s="565">
        <f t="shared" si="43"/>
        <v>17055</v>
      </c>
      <c r="H194" s="565"/>
      <c r="I194" s="1677"/>
    </row>
    <row r="195" spans="1:9" ht="12.75" customHeight="1" x14ac:dyDescent="0.2">
      <c r="A195" s="1723"/>
      <c r="B195" s="1727"/>
      <c r="C195" s="1728"/>
      <c r="D195" s="912">
        <v>2311</v>
      </c>
      <c r="E195" s="565">
        <v>28</v>
      </c>
      <c r="F195" s="565"/>
      <c r="G195" s="565">
        <f t="shared" si="43"/>
        <v>28</v>
      </c>
      <c r="H195" s="565"/>
      <c r="I195" s="1677"/>
    </row>
    <row r="196" spans="1:9" ht="12.75" customHeight="1" x14ac:dyDescent="0.2">
      <c r="A196" s="1724"/>
      <c r="B196" s="1729"/>
      <c r="C196" s="1730"/>
      <c r="D196" s="912">
        <v>2312</v>
      </c>
      <c r="E196" s="565">
        <v>250</v>
      </c>
      <c r="F196" s="565"/>
      <c r="G196" s="565">
        <f t="shared" si="43"/>
        <v>250</v>
      </c>
      <c r="H196" s="565"/>
      <c r="I196" s="1678"/>
    </row>
    <row r="197" spans="1:9" x14ac:dyDescent="0.2">
      <c r="A197" s="914">
        <v>6</v>
      </c>
      <c r="B197" s="1737" t="s">
        <v>766</v>
      </c>
      <c r="C197" s="1738"/>
      <c r="D197" s="912">
        <v>2279</v>
      </c>
      <c r="E197" s="565">
        <v>25000</v>
      </c>
      <c r="F197" s="565"/>
      <c r="G197" s="565">
        <f t="shared" si="43"/>
        <v>25000</v>
      </c>
      <c r="H197" s="565"/>
      <c r="I197" s="579" t="s">
        <v>761</v>
      </c>
    </row>
    <row r="198" spans="1:9" x14ac:dyDescent="0.2">
      <c r="A198" s="914">
        <v>7</v>
      </c>
      <c r="B198" s="1737" t="s">
        <v>767</v>
      </c>
      <c r="C198" s="1738"/>
      <c r="D198" s="912">
        <v>2279</v>
      </c>
      <c r="E198" s="565">
        <v>7300</v>
      </c>
      <c r="F198" s="565"/>
      <c r="G198" s="565">
        <f t="shared" si="43"/>
        <v>7300</v>
      </c>
      <c r="H198" s="565"/>
      <c r="I198" s="579" t="s">
        <v>761</v>
      </c>
    </row>
    <row r="199" spans="1:9" x14ac:dyDescent="0.2">
      <c r="A199" s="914">
        <v>8</v>
      </c>
      <c r="B199" s="1737" t="s">
        <v>768</v>
      </c>
      <c r="C199" s="1738"/>
      <c r="D199" s="912">
        <v>2279</v>
      </c>
      <c r="E199" s="565">
        <v>7300</v>
      </c>
      <c r="F199" s="565"/>
      <c r="G199" s="565">
        <f t="shared" si="43"/>
        <v>7300</v>
      </c>
      <c r="H199" s="565"/>
      <c r="I199" s="579" t="s">
        <v>761</v>
      </c>
    </row>
    <row r="200" spans="1:9" x14ac:dyDescent="0.2">
      <c r="A200" s="914">
        <v>9</v>
      </c>
      <c r="B200" s="1737" t="s">
        <v>769</v>
      </c>
      <c r="C200" s="1738"/>
      <c r="D200" s="912">
        <v>2279</v>
      </c>
      <c r="E200" s="565">
        <v>712</v>
      </c>
      <c r="F200" s="565"/>
      <c r="G200" s="565">
        <f t="shared" si="43"/>
        <v>712</v>
      </c>
      <c r="H200" s="565"/>
      <c r="I200" s="579" t="s">
        <v>761</v>
      </c>
    </row>
    <row r="201" spans="1:9" x14ac:dyDescent="0.2">
      <c r="A201" s="914">
        <v>10</v>
      </c>
      <c r="B201" s="1737" t="s">
        <v>770</v>
      </c>
      <c r="C201" s="1738"/>
      <c r="D201" s="912">
        <v>2279</v>
      </c>
      <c r="E201" s="565">
        <v>7300</v>
      </c>
      <c r="F201" s="565"/>
      <c r="G201" s="565">
        <f t="shared" si="43"/>
        <v>7300</v>
      </c>
      <c r="H201" s="565"/>
      <c r="I201" s="579" t="s">
        <v>761</v>
      </c>
    </row>
    <row r="202" spans="1:9" x14ac:dyDescent="0.2">
      <c r="A202" s="914">
        <v>11</v>
      </c>
      <c r="B202" s="1737" t="s">
        <v>771</v>
      </c>
      <c r="C202" s="1738"/>
      <c r="D202" s="912">
        <v>2279</v>
      </c>
      <c r="E202" s="565">
        <v>2000</v>
      </c>
      <c r="F202" s="565"/>
      <c r="G202" s="565">
        <f t="shared" si="43"/>
        <v>2000</v>
      </c>
      <c r="H202" s="565"/>
      <c r="I202" s="579" t="s">
        <v>761</v>
      </c>
    </row>
    <row r="203" spans="1:9" x14ac:dyDescent="0.2">
      <c r="A203" s="914">
        <v>12</v>
      </c>
      <c r="B203" s="1737" t="s">
        <v>772</v>
      </c>
      <c r="C203" s="1738"/>
      <c r="D203" s="912">
        <v>2279</v>
      </c>
      <c r="E203" s="565">
        <v>2000</v>
      </c>
      <c r="F203" s="565"/>
      <c r="G203" s="565">
        <f t="shared" si="43"/>
        <v>2000</v>
      </c>
      <c r="H203" s="565"/>
      <c r="I203" s="579" t="s">
        <v>761</v>
      </c>
    </row>
    <row r="204" spans="1:9" x14ac:dyDescent="0.2">
      <c r="A204" s="1733">
        <v>13</v>
      </c>
      <c r="B204" s="1725" t="s">
        <v>773</v>
      </c>
      <c r="C204" s="1726"/>
      <c r="D204" s="912">
        <v>2262</v>
      </c>
      <c r="E204" s="565">
        <v>641</v>
      </c>
      <c r="F204" s="565"/>
      <c r="G204" s="565">
        <f t="shared" si="43"/>
        <v>641</v>
      </c>
      <c r="H204" s="565"/>
      <c r="I204" s="1676" t="s">
        <v>761</v>
      </c>
    </row>
    <row r="205" spans="1:9" ht="12.75" customHeight="1" x14ac:dyDescent="0.2">
      <c r="A205" s="1733"/>
      <c r="B205" s="1727"/>
      <c r="C205" s="1728"/>
      <c r="D205" s="912">
        <v>2279</v>
      </c>
      <c r="E205" s="565">
        <v>700</v>
      </c>
      <c r="F205" s="565"/>
      <c r="G205" s="565">
        <f t="shared" si="43"/>
        <v>700</v>
      </c>
      <c r="H205" s="565"/>
      <c r="I205" s="1677"/>
    </row>
    <row r="206" spans="1:9" x14ac:dyDescent="0.2">
      <c r="A206" s="919">
        <v>14</v>
      </c>
      <c r="B206" s="1747" t="s">
        <v>774</v>
      </c>
      <c r="C206" s="1748"/>
      <c r="D206" s="912">
        <v>2361</v>
      </c>
      <c r="E206" s="565">
        <v>825</v>
      </c>
      <c r="F206" s="565"/>
      <c r="G206" s="565">
        <f t="shared" si="43"/>
        <v>825</v>
      </c>
      <c r="H206" s="565"/>
      <c r="I206" s="579" t="s">
        <v>761</v>
      </c>
    </row>
    <row r="207" spans="1:9" x14ac:dyDescent="0.2">
      <c r="A207" s="918">
        <v>15</v>
      </c>
      <c r="B207" s="1749" t="s">
        <v>775</v>
      </c>
      <c r="C207" s="1750"/>
      <c r="D207" s="912">
        <v>2279</v>
      </c>
      <c r="E207" s="565">
        <v>2704</v>
      </c>
      <c r="F207" s="565"/>
      <c r="G207" s="565">
        <f t="shared" si="43"/>
        <v>2704</v>
      </c>
      <c r="H207" s="565"/>
      <c r="I207" s="579" t="s">
        <v>761</v>
      </c>
    </row>
    <row r="208" spans="1:9" x14ac:dyDescent="0.2">
      <c r="A208" s="919">
        <v>16</v>
      </c>
      <c r="B208" s="1749" t="s">
        <v>776</v>
      </c>
      <c r="C208" s="1750"/>
      <c r="D208" s="912">
        <v>2279</v>
      </c>
      <c r="E208" s="565">
        <v>8500</v>
      </c>
      <c r="F208" s="565"/>
      <c r="G208" s="565">
        <f t="shared" si="43"/>
        <v>8500</v>
      </c>
      <c r="H208" s="565"/>
      <c r="I208" s="579" t="s">
        <v>761</v>
      </c>
    </row>
    <row r="209" spans="1:9" x14ac:dyDescent="0.2">
      <c r="A209" s="918">
        <v>17</v>
      </c>
      <c r="B209" s="1737" t="s">
        <v>777</v>
      </c>
      <c r="C209" s="1738"/>
      <c r="D209" s="912">
        <v>2279</v>
      </c>
      <c r="E209" s="565">
        <v>2000</v>
      </c>
      <c r="F209" s="565"/>
      <c r="G209" s="565">
        <f t="shared" si="43"/>
        <v>2000</v>
      </c>
      <c r="H209" s="565"/>
      <c r="I209" s="579" t="s">
        <v>761</v>
      </c>
    </row>
    <row r="210" spans="1:9" x14ac:dyDescent="0.2">
      <c r="A210" s="919">
        <v>18</v>
      </c>
      <c r="B210" s="1737" t="s">
        <v>778</v>
      </c>
      <c r="C210" s="1738"/>
      <c r="D210" s="912">
        <v>2279</v>
      </c>
      <c r="E210" s="565">
        <v>3819</v>
      </c>
      <c r="F210" s="565"/>
      <c r="G210" s="565">
        <f t="shared" si="43"/>
        <v>3819</v>
      </c>
      <c r="H210" s="565"/>
      <c r="I210" s="579" t="s">
        <v>761</v>
      </c>
    </row>
    <row r="211" spans="1:9" x14ac:dyDescent="0.2">
      <c r="A211" s="918">
        <v>19</v>
      </c>
      <c r="B211" s="1737" t="s">
        <v>779</v>
      </c>
      <c r="C211" s="1738"/>
      <c r="D211" s="912">
        <v>2279</v>
      </c>
      <c r="E211" s="565">
        <v>2000</v>
      </c>
      <c r="F211" s="565"/>
      <c r="G211" s="565">
        <f t="shared" si="43"/>
        <v>2000</v>
      </c>
      <c r="H211" s="565"/>
      <c r="I211" s="579" t="s">
        <v>761</v>
      </c>
    </row>
    <row r="212" spans="1:9" x14ac:dyDescent="0.2">
      <c r="A212" s="919">
        <v>20</v>
      </c>
      <c r="B212" s="1737" t="s">
        <v>780</v>
      </c>
      <c r="C212" s="1738"/>
      <c r="D212" s="912">
        <v>2279</v>
      </c>
      <c r="E212" s="565">
        <v>3000</v>
      </c>
      <c r="F212" s="565">
        <v>-519</v>
      </c>
      <c r="G212" s="565">
        <f t="shared" si="43"/>
        <v>2481</v>
      </c>
      <c r="H212" s="565" t="s">
        <v>550</v>
      </c>
      <c r="I212" s="579" t="s">
        <v>761</v>
      </c>
    </row>
    <row r="213" spans="1:9" x14ac:dyDescent="0.2">
      <c r="A213" s="918">
        <v>21</v>
      </c>
      <c r="B213" s="1737" t="s">
        <v>781</v>
      </c>
      <c r="C213" s="1738"/>
      <c r="D213" s="912">
        <v>2279</v>
      </c>
      <c r="E213" s="565">
        <v>10000</v>
      </c>
      <c r="F213" s="565"/>
      <c r="G213" s="565">
        <f t="shared" si="43"/>
        <v>10000</v>
      </c>
      <c r="H213" s="565"/>
      <c r="I213" s="579" t="s">
        <v>761</v>
      </c>
    </row>
    <row r="214" spans="1:9" x14ac:dyDescent="0.2">
      <c r="A214" s="919">
        <v>22</v>
      </c>
      <c r="B214" s="1737" t="s">
        <v>782</v>
      </c>
      <c r="C214" s="1738"/>
      <c r="D214" s="912">
        <v>2279</v>
      </c>
      <c r="E214" s="565">
        <v>5400</v>
      </c>
      <c r="F214" s="565"/>
      <c r="G214" s="565">
        <f t="shared" si="43"/>
        <v>5400</v>
      </c>
      <c r="H214" s="565"/>
      <c r="I214" s="579" t="s">
        <v>761</v>
      </c>
    </row>
    <row r="215" spans="1:9" x14ac:dyDescent="0.2">
      <c r="A215" s="918">
        <v>23</v>
      </c>
      <c r="B215" s="1737" t="s">
        <v>783</v>
      </c>
      <c r="C215" s="1738"/>
      <c r="D215" s="912">
        <v>2279</v>
      </c>
      <c r="E215" s="565">
        <v>2419</v>
      </c>
      <c r="F215" s="565"/>
      <c r="G215" s="565">
        <f t="shared" si="43"/>
        <v>2419</v>
      </c>
      <c r="H215" s="565"/>
      <c r="I215" s="579" t="s">
        <v>761</v>
      </c>
    </row>
    <row r="216" spans="1:9" x14ac:dyDescent="0.2">
      <c r="A216" s="919">
        <v>24</v>
      </c>
      <c r="B216" s="1737" t="s">
        <v>784</v>
      </c>
      <c r="C216" s="1738"/>
      <c r="D216" s="912">
        <v>2279</v>
      </c>
      <c r="E216" s="565">
        <v>5000</v>
      </c>
      <c r="F216" s="565"/>
      <c r="G216" s="565">
        <f t="shared" si="43"/>
        <v>5000</v>
      </c>
      <c r="H216" s="565"/>
      <c r="I216" s="579" t="s">
        <v>761</v>
      </c>
    </row>
    <row r="217" spans="1:9" ht="12.75" customHeight="1" x14ac:dyDescent="0.2">
      <c r="A217" s="918">
        <v>25</v>
      </c>
      <c r="B217" s="1737" t="s">
        <v>785</v>
      </c>
      <c r="C217" s="1738"/>
      <c r="D217" s="912">
        <v>2279</v>
      </c>
      <c r="E217" s="565">
        <v>1000</v>
      </c>
      <c r="F217" s="565"/>
      <c r="G217" s="565">
        <f t="shared" si="43"/>
        <v>1000</v>
      </c>
      <c r="H217" s="565"/>
      <c r="I217" s="579" t="s">
        <v>761</v>
      </c>
    </row>
    <row r="218" spans="1:9" x14ac:dyDescent="0.2">
      <c r="A218" s="919">
        <v>26</v>
      </c>
      <c r="B218" s="1737" t="s">
        <v>786</v>
      </c>
      <c r="C218" s="1738"/>
      <c r="D218" s="912">
        <v>2279</v>
      </c>
      <c r="E218" s="565">
        <v>2846</v>
      </c>
      <c r="F218" s="565"/>
      <c r="G218" s="565">
        <f t="shared" si="43"/>
        <v>2846</v>
      </c>
      <c r="H218" s="565"/>
      <c r="I218" s="579" t="s">
        <v>761</v>
      </c>
    </row>
    <row r="219" spans="1:9" x14ac:dyDescent="0.2">
      <c r="A219" s="918">
        <v>27</v>
      </c>
      <c r="B219" s="1737" t="s">
        <v>787</v>
      </c>
      <c r="C219" s="1738"/>
      <c r="D219" s="912">
        <v>2279</v>
      </c>
      <c r="E219" s="565">
        <v>750</v>
      </c>
      <c r="F219" s="565"/>
      <c r="G219" s="565">
        <f t="shared" si="43"/>
        <v>750</v>
      </c>
      <c r="H219" s="565"/>
      <c r="I219" s="579" t="s">
        <v>761</v>
      </c>
    </row>
    <row r="220" spans="1:9" x14ac:dyDescent="0.2">
      <c r="A220" s="919">
        <v>28</v>
      </c>
      <c r="B220" s="1747" t="s">
        <v>788</v>
      </c>
      <c r="C220" s="1748"/>
      <c r="D220" s="912">
        <v>2279</v>
      </c>
      <c r="E220" s="565">
        <v>1055</v>
      </c>
      <c r="F220" s="565"/>
      <c r="G220" s="565">
        <f t="shared" si="43"/>
        <v>1055</v>
      </c>
      <c r="H220" s="565"/>
      <c r="I220" s="579" t="s">
        <v>761</v>
      </c>
    </row>
    <row r="221" spans="1:9" ht="12.75" customHeight="1" x14ac:dyDescent="0.2">
      <c r="A221" s="918">
        <v>29</v>
      </c>
      <c r="B221" s="1747" t="s">
        <v>789</v>
      </c>
      <c r="C221" s="1748"/>
      <c r="D221" s="912">
        <v>2279</v>
      </c>
      <c r="E221" s="565">
        <v>2000</v>
      </c>
      <c r="F221" s="565"/>
      <c r="G221" s="565">
        <f t="shared" si="43"/>
        <v>2000</v>
      </c>
      <c r="H221" s="565"/>
      <c r="I221" s="579" t="s">
        <v>761</v>
      </c>
    </row>
    <row r="222" spans="1:9" ht="12.75" customHeight="1" x14ac:dyDescent="0.2">
      <c r="A222" s="919">
        <v>30</v>
      </c>
      <c r="B222" s="1747" t="s">
        <v>790</v>
      </c>
      <c r="C222" s="1748"/>
      <c r="D222" s="912">
        <v>2279</v>
      </c>
      <c r="E222" s="565">
        <v>2000</v>
      </c>
      <c r="F222" s="565"/>
      <c r="G222" s="565">
        <f t="shared" si="43"/>
        <v>2000</v>
      </c>
      <c r="H222" s="565"/>
      <c r="I222" s="579" t="s">
        <v>761</v>
      </c>
    </row>
    <row r="223" spans="1:9" x14ac:dyDescent="0.2">
      <c r="A223" s="918">
        <v>31</v>
      </c>
      <c r="B223" s="1737" t="s">
        <v>791</v>
      </c>
      <c r="C223" s="1738"/>
      <c r="D223" s="912">
        <v>2279</v>
      </c>
      <c r="E223" s="565">
        <v>2925</v>
      </c>
      <c r="F223" s="565"/>
      <c r="G223" s="565">
        <f t="shared" si="43"/>
        <v>2925</v>
      </c>
      <c r="H223" s="565"/>
      <c r="I223" s="579" t="s">
        <v>761</v>
      </c>
    </row>
    <row r="224" spans="1:9" ht="12.75" customHeight="1" x14ac:dyDescent="0.2">
      <c r="A224" s="919">
        <v>32</v>
      </c>
      <c r="B224" s="1737" t="s">
        <v>792</v>
      </c>
      <c r="C224" s="1738"/>
      <c r="D224" s="912">
        <v>2279</v>
      </c>
      <c r="E224" s="565">
        <f>1587-1420</f>
        <v>167</v>
      </c>
      <c r="F224" s="565"/>
      <c r="G224" s="565">
        <f t="shared" si="43"/>
        <v>167</v>
      </c>
      <c r="H224" s="565"/>
      <c r="I224" s="579" t="s">
        <v>761</v>
      </c>
    </row>
    <row r="225" spans="1:9" x14ac:dyDescent="0.2">
      <c r="A225" s="918">
        <v>33</v>
      </c>
      <c r="B225" s="1747" t="s">
        <v>793</v>
      </c>
      <c r="C225" s="1748"/>
      <c r="D225" s="912">
        <v>2279</v>
      </c>
      <c r="E225" s="565">
        <v>2100</v>
      </c>
      <c r="F225" s="565"/>
      <c r="G225" s="565">
        <f t="shared" si="43"/>
        <v>2100</v>
      </c>
      <c r="H225" s="565"/>
      <c r="I225" s="579" t="s">
        <v>761</v>
      </c>
    </row>
    <row r="226" spans="1:9" ht="12.75" customHeight="1" x14ac:dyDescent="0.2">
      <c r="A226" s="919">
        <v>34</v>
      </c>
      <c r="B226" s="1747" t="s">
        <v>794</v>
      </c>
      <c r="C226" s="1748"/>
      <c r="D226" s="912">
        <v>2279</v>
      </c>
      <c r="E226" s="565">
        <v>3000</v>
      </c>
      <c r="F226" s="565"/>
      <c r="G226" s="565">
        <f t="shared" si="43"/>
        <v>3000</v>
      </c>
      <c r="H226" s="565"/>
      <c r="I226" s="579" t="s">
        <v>761</v>
      </c>
    </row>
    <row r="227" spans="1:9" x14ac:dyDescent="0.2">
      <c r="A227" s="918">
        <v>35</v>
      </c>
      <c r="B227" s="1737" t="s">
        <v>795</v>
      </c>
      <c r="C227" s="1738"/>
      <c r="D227" s="912">
        <v>2279</v>
      </c>
      <c r="E227" s="565">
        <v>1423</v>
      </c>
      <c r="F227" s="565"/>
      <c r="G227" s="565">
        <f t="shared" si="43"/>
        <v>1423</v>
      </c>
      <c r="H227" s="565"/>
      <c r="I227" s="579" t="s">
        <v>761</v>
      </c>
    </row>
    <row r="228" spans="1:9" x14ac:dyDescent="0.2">
      <c r="A228" s="919">
        <v>36</v>
      </c>
      <c r="B228" s="1737" t="s">
        <v>796</v>
      </c>
      <c r="C228" s="1738"/>
      <c r="D228" s="912">
        <v>2279</v>
      </c>
      <c r="E228" s="565">
        <v>2982</v>
      </c>
      <c r="F228" s="565"/>
      <c r="G228" s="565">
        <f t="shared" si="43"/>
        <v>2982</v>
      </c>
      <c r="H228" s="565"/>
      <c r="I228" s="579" t="s">
        <v>761</v>
      </c>
    </row>
    <row r="229" spans="1:9" x14ac:dyDescent="0.2">
      <c r="A229" s="918">
        <v>37</v>
      </c>
      <c r="B229" s="1747" t="s">
        <v>797</v>
      </c>
      <c r="C229" s="1748"/>
      <c r="D229" s="912">
        <v>2279</v>
      </c>
      <c r="E229" s="565">
        <v>3000</v>
      </c>
      <c r="F229" s="565">
        <v>-3000</v>
      </c>
      <c r="G229" s="565">
        <f t="shared" si="43"/>
        <v>0</v>
      </c>
      <c r="H229" s="565" t="s">
        <v>550</v>
      </c>
      <c r="I229" s="579" t="s">
        <v>761</v>
      </c>
    </row>
    <row r="230" spans="1:9" x14ac:dyDescent="0.2">
      <c r="A230" s="919">
        <v>38</v>
      </c>
      <c r="B230" s="1747" t="s">
        <v>798</v>
      </c>
      <c r="C230" s="1748"/>
      <c r="D230" s="912">
        <v>2279</v>
      </c>
      <c r="E230" s="565">
        <v>3700</v>
      </c>
      <c r="F230" s="565"/>
      <c r="G230" s="565">
        <f t="shared" si="43"/>
        <v>3700</v>
      </c>
      <c r="H230" s="565"/>
      <c r="I230" s="579" t="s">
        <v>761</v>
      </c>
    </row>
    <row r="231" spans="1:9" x14ac:dyDescent="0.2">
      <c r="A231" s="918">
        <v>39</v>
      </c>
      <c r="B231" s="1737" t="s">
        <v>799</v>
      </c>
      <c r="C231" s="1738"/>
      <c r="D231" s="912">
        <v>2279</v>
      </c>
      <c r="E231" s="565">
        <v>3000</v>
      </c>
      <c r="F231" s="565"/>
      <c r="G231" s="565">
        <f t="shared" si="43"/>
        <v>3000</v>
      </c>
      <c r="H231" s="565"/>
      <c r="I231" s="579" t="s">
        <v>761</v>
      </c>
    </row>
    <row r="232" spans="1:9" x14ac:dyDescent="0.2">
      <c r="A232" s="919">
        <v>40</v>
      </c>
      <c r="B232" s="1747" t="s">
        <v>800</v>
      </c>
      <c r="C232" s="1748"/>
      <c r="D232" s="912">
        <v>2279</v>
      </c>
      <c r="E232" s="565">
        <v>3000</v>
      </c>
      <c r="F232" s="565"/>
      <c r="G232" s="565">
        <f t="shared" si="43"/>
        <v>3000</v>
      </c>
      <c r="H232" s="565"/>
      <c r="I232" s="579" t="s">
        <v>761</v>
      </c>
    </row>
    <row r="233" spans="1:9" x14ac:dyDescent="0.2">
      <c r="A233" s="918">
        <v>41</v>
      </c>
      <c r="B233" s="1737" t="s">
        <v>801</v>
      </c>
      <c r="C233" s="1738"/>
      <c r="D233" s="912">
        <v>2279</v>
      </c>
      <c r="E233" s="565">
        <v>4269</v>
      </c>
      <c r="F233" s="565"/>
      <c r="G233" s="565">
        <f t="shared" si="43"/>
        <v>4269</v>
      </c>
      <c r="H233" s="565"/>
      <c r="I233" s="579" t="s">
        <v>761</v>
      </c>
    </row>
    <row r="234" spans="1:9" x14ac:dyDescent="0.2">
      <c r="A234" s="919">
        <v>42</v>
      </c>
      <c r="B234" s="1747" t="s">
        <v>802</v>
      </c>
      <c r="C234" s="1748"/>
      <c r="D234" s="912">
        <v>2279</v>
      </c>
      <c r="E234" s="565">
        <v>25000</v>
      </c>
      <c r="F234" s="565"/>
      <c r="G234" s="565">
        <f t="shared" si="43"/>
        <v>25000</v>
      </c>
      <c r="H234" s="565"/>
      <c r="I234" s="579" t="s">
        <v>761</v>
      </c>
    </row>
    <row r="235" spans="1:9" x14ac:dyDescent="0.2">
      <c r="A235" s="918">
        <v>43</v>
      </c>
      <c r="B235" s="1737" t="s">
        <v>803</v>
      </c>
      <c r="C235" s="1738"/>
      <c r="D235" s="912">
        <v>2279</v>
      </c>
      <c r="E235" s="565">
        <v>3819</v>
      </c>
      <c r="F235" s="565"/>
      <c r="G235" s="565">
        <f t="shared" si="43"/>
        <v>3819</v>
      </c>
      <c r="H235" s="565"/>
      <c r="I235" s="579" t="s">
        <v>761</v>
      </c>
    </row>
    <row r="236" spans="1:9" x14ac:dyDescent="0.2">
      <c r="A236" s="919">
        <v>44</v>
      </c>
      <c r="B236" s="1737" t="s">
        <v>804</v>
      </c>
      <c r="C236" s="1738"/>
      <c r="D236" s="912">
        <v>2279</v>
      </c>
      <c r="E236" s="565">
        <v>3140</v>
      </c>
      <c r="F236" s="565"/>
      <c r="G236" s="565">
        <f t="shared" si="43"/>
        <v>3140</v>
      </c>
      <c r="H236" s="565"/>
      <c r="I236" s="579" t="s">
        <v>761</v>
      </c>
    </row>
    <row r="237" spans="1:9" ht="11.25" customHeight="1" x14ac:dyDescent="0.2">
      <c r="A237" s="918">
        <v>45</v>
      </c>
      <c r="B237" s="1747" t="s">
        <v>805</v>
      </c>
      <c r="C237" s="1748"/>
      <c r="D237" s="912">
        <v>2279</v>
      </c>
      <c r="E237" s="565">
        <v>4301</v>
      </c>
      <c r="F237" s="565"/>
      <c r="G237" s="744">
        <f t="shared" si="43"/>
        <v>4301</v>
      </c>
      <c r="H237" s="565"/>
      <c r="I237" s="745" t="s">
        <v>761</v>
      </c>
    </row>
    <row r="238" spans="1:9" x14ac:dyDescent="0.2">
      <c r="A238" s="919">
        <v>46</v>
      </c>
      <c r="B238" s="1747" t="s">
        <v>806</v>
      </c>
      <c r="C238" s="1748"/>
      <c r="D238" s="912">
        <v>2279</v>
      </c>
      <c r="E238" s="565">
        <v>6980</v>
      </c>
      <c r="F238" s="565"/>
      <c r="G238" s="565">
        <f t="shared" si="43"/>
        <v>6980</v>
      </c>
      <c r="H238" s="565"/>
      <c r="I238" s="579" t="s">
        <v>761</v>
      </c>
    </row>
    <row r="239" spans="1:9" x14ac:dyDescent="0.2">
      <c r="A239" s="918">
        <v>47</v>
      </c>
      <c r="B239" s="1737" t="s">
        <v>807</v>
      </c>
      <c r="C239" s="1738"/>
      <c r="D239" s="912">
        <v>2279</v>
      </c>
      <c r="E239" s="565">
        <f>470-470</f>
        <v>0</v>
      </c>
      <c r="F239" s="565"/>
      <c r="G239" s="565">
        <f t="shared" si="43"/>
        <v>0</v>
      </c>
      <c r="H239" s="565"/>
      <c r="I239" s="579" t="s">
        <v>761</v>
      </c>
    </row>
    <row r="240" spans="1:9" x14ac:dyDescent="0.2">
      <c r="A240" s="919">
        <v>48</v>
      </c>
      <c r="B240" s="1737" t="s">
        <v>808</v>
      </c>
      <c r="C240" s="1738"/>
      <c r="D240" s="912">
        <v>2279</v>
      </c>
      <c r="E240" s="565">
        <v>2846</v>
      </c>
      <c r="F240" s="565"/>
      <c r="G240" s="565">
        <f t="shared" si="43"/>
        <v>2846</v>
      </c>
      <c r="H240" s="565"/>
      <c r="I240" s="579" t="s">
        <v>761</v>
      </c>
    </row>
    <row r="241" spans="1:9" x14ac:dyDescent="0.2">
      <c r="A241" s="918">
        <v>49</v>
      </c>
      <c r="B241" s="1747" t="s">
        <v>809</v>
      </c>
      <c r="C241" s="1748"/>
      <c r="D241" s="912">
        <v>2279</v>
      </c>
      <c r="E241" s="565">
        <v>1423</v>
      </c>
      <c r="F241" s="565"/>
      <c r="G241" s="565">
        <f t="shared" si="43"/>
        <v>1423</v>
      </c>
      <c r="H241" s="565"/>
      <c r="I241" s="579" t="s">
        <v>761</v>
      </c>
    </row>
    <row r="242" spans="1:9" x14ac:dyDescent="0.2">
      <c r="A242" s="919">
        <v>50</v>
      </c>
      <c r="B242" s="1747" t="s">
        <v>810</v>
      </c>
      <c r="C242" s="1748"/>
      <c r="D242" s="912">
        <v>2279</v>
      </c>
      <c r="E242" s="565">
        <v>800</v>
      </c>
      <c r="F242" s="565"/>
      <c r="G242" s="565">
        <f t="shared" si="43"/>
        <v>800</v>
      </c>
      <c r="H242" s="565"/>
      <c r="I242" s="579" t="s">
        <v>761</v>
      </c>
    </row>
    <row r="243" spans="1:9" x14ac:dyDescent="0.2">
      <c r="A243" s="918">
        <v>51</v>
      </c>
      <c r="B243" s="1737" t="s">
        <v>811</v>
      </c>
      <c r="C243" s="1738"/>
      <c r="D243" s="912">
        <v>2279</v>
      </c>
      <c r="E243" s="565">
        <v>3100</v>
      </c>
      <c r="F243" s="565"/>
      <c r="G243" s="565">
        <f t="shared" si="43"/>
        <v>3100</v>
      </c>
      <c r="H243" s="565"/>
      <c r="I243" s="579" t="s">
        <v>761</v>
      </c>
    </row>
    <row r="244" spans="1:9" x14ac:dyDescent="0.2">
      <c r="A244" s="919">
        <v>52</v>
      </c>
      <c r="B244" s="1737" t="s">
        <v>812</v>
      </c>
      <c r="C244" s="1738"/>
      <c r="D244" s="912">
        <v>2279</v>
      </c>
      <c r="E244" s="565">
        <v>2000</v>
      </c>
      <c r="F244" s="565"/>
      <c r="G244" s="565">
        <f t="shared" si="43"/>
        <v>2000</v>
      </c>
      <c r="H244" s="565"/>
      <c r="I244" s="579" t="s">
        <v>761</v>
      </c>
    </row>
    <row r="245" spans="1:9" x14ac:dyDescent="0.2">
      <c r="A245" s="918">
        <v>53</v>
      </c>
      <c r="B245" s="1737" t="s">
        <v>813</v>
      </c>
      <c r="C245" s="1738"/>
      <c r="D245" s="912">
        <v>2279</v>
      </c>
      <c r="E245" s="565">
        <v>200</v>
      </c>
      <c r="F245" s="565"/>
      <c r="G245" s="565">
        <f t="shared" si="43"/>
        <v>200</v>
      </c>
      <c r="H245" s="565"/>
      <c r="I245" s="579" t="s">
        <v>761</v>
      </c>
    </row>
    <row r="246" spans="1:9" x14ac:dyDescent="0.2">
      <c r="A246" s="1739">
        <v>54</v>
      </c>
      <c r="B246" s="1725" t="s">
        <v>814</v>
      </c>
      <c r="C246" s="1726"/>
      <c r="D246" s="912">
        <v>2279</v>
      </c>
      <c r="E246" s="565">
        <v>557</v>
      </c>
      <c r="F246" s="565"/>
      <c r="G246" s="565">
        <f t="shared" si="43"/>
        <v>557</v>
      </c>
      <c r="H246" s="565"/>
      <c r="I246" s="579" t="s">
        <v>815</v>
      </c>
    </row>
    <row r="247" spans="1:9" ht="12.75" customHeight="1" x14ac:dyDescent="0.2">
      <c r="A247" s="1739"/>
      <c r="B247" s="1729"/>
      <c r="C247" s="1730"/>
      <c r="D247" s="912">
        <v>2361</v>
      </c>
      <c r="E247" s="565">
        <v>407</v>
      </c>
      <c r="F247" s="565"/>
      <c r="G247" s="565">
        <f t="shared" ref="G247:G259" si="44">E247+F247</f>
        <v>407</v>
      </c>
      <c r="H247" s="565"/>
      <c r="I247" s="579" t="s">
        <v>816</v>
      </c>
    </row>
    <row r="248" spans="1:9" ht="12.75" customHeight="1" x14ac:dyDescent="0.2">
      <c r="A248" s="914">
        <v>55</v>
      </c>
      <c r="B248" s="1737" t="s">
        <v>817</v>
      </c>
      <c r="C248" s="1738"/>
      <c r="D248" s="912">
        <v>2279</v>
      </c>
      <c r="E248" s="565">
        <v>1500</v>
      </c>
      <c r="F248" s="565"/>
      <c r="G248" s="565">
        <f t="shared" si="44"/>
        <v>1500</v>
      </c>
      <c r="H248" s="565"/>
      <c r="I248" s="579" t="s">
        <v>761</v>
      </c>
    </row>
    <row r="249" spans="1:9" ht="12.75" customHeight="1" x14ac:dyDescent="0.2">
      <c r="A249" s="914">
        <v>56</v>
      </c>
      <c r="B249" s="1737" t="s">
        <v>818</v>
      </c>
      <c r="C249" s="1738"/>
      <c r="D249" s="912">
        <v>2279</v>
      </c>
      <c r="E249" s="565">
        <v>2000</v>
      </c>
      <c r="F249" s="565"/>
      <c r="G249" s="565">
        <f t="shared" si="44"/>
        <v>2000</v>
      </c>
      <c r="H249" s="565"/>
      <c r="I249" s="579" t="s">
        <v>761</v>
      </c>
    </row>
    <row r="250" spans="1:9" ht="12.75" customHeight="1" x14ac:dyDescent="0.2">
      <c r="A250" s="914">
        <v>57</v>
      </c>
      <c r="B250" s="1737" t="s">
        <v>819</v>
      </c>
      <c r="C250" s="1738"/>
      <c r="D250" s="912">
        <v>2279</v>
      </c>
      <c r="E250" s="565">
        <v>1397</v>
      </c>
      <c r="F250" s="565"/>
      <c r="G250" s="565">
        <f t="shared" si="44"/>
        <v>1397</v>
      </c>
      <c r="H250" s="565"/>
      <c r="I250" s="579" t="s">
        <v>761</v>
      </c>
    </row>
    <row r="251" spans="1:9" ht="15.75" customHeight="1" x14ac:dyDescent="0.2">
      <c r="A251" s="914">
        <v>58</v>
      </c>
      <c r="B251" s="1737" t="s">
        <v>820</v>
      </c>
      <c r="C251" s="1738"/>
      <c r="D251" s="912">
        <v>2279</v>
      </c>
      <c r="E251" s="565">
        <v>2500</v>
      </c>
      <c r="F251" s="565"/>
      <c r="G251" s="565">
        <f t="shared" si="44"/>
        <v>2500</v>
      </c>
      <c r="H251" s="565"/>
      <c r="I251" s="579" t="s">
        <v>761</v>
      </c>
    </row>
    <row r="252" spans="1:9" x14ac:dyDescent="0.2">
      <c r="A252" s="914">
        <v>59</v>
      </c>
      <c r="B252" s="1737" t="s">
        <v>821</v>
      </c>
      <c r="C252" s="1738"/>
      <c r="D252" s="912">
        <v>6422</v>
      </c>
      <c r="E252" s="565">
        <f>40000+25033</f>
        <v>65033</v>
      </c>
      <c r="F252" s="565"/>
      <c r="G252" s="565">
        <f t="shared" si="44"/>
        <v>65033</v>
      </c>
      <c r="H252" s="565"/>
      <c r="I252" s="565"/>
    </row>
    <row r="253" spans="1:9" ht="15.75" customHeight="1" x14ac:dyDescent="0.2">
      <c r="A253" s="914">
        <v>60</v>
      </c>
      <c r="B253" s="1737" t="s">
        <v>822</v>
      </c>
      <c r="C253" s="1738"/>
      <c r="D253" s="912">
        <v>2279</v>
      </c>
      <c r="E253" s="565">
        <v>3083</v>
      </c>
      <c r="F253" s="565"/>
      <c r="G253" s="565">
        <f t="shared" si="44"/>
        <v>3083</v>
      </c>
      <c r="H253" s="565"/>
      <c r="I253" s="579" t="s">
        <v>761</v>
      </c>
    </row>
    <row r="254" spans="1:9" x14ac:dyDescent="0.2">
      <c r="A254" s="914">
        <v>61</v>
      </c>
      <c r="B254" s="1737" t="s">
        <v>823</v>
      </c>
      <c r="C254" s="1738"/>
      <c r="D254" s="912">
        <v>2279</v>
      </c>
      <c r="E254" s="565">
        <v>3600</v>
      </c>
      <c r="F254" s="565"/>
      <c r="G254" s="565">
        <f t="shared" si="44"/>
        <v>3600</v>
      </c>
      <c r="H254" s="565"/>
      <c r="I254" s="579" t="s">
        <v>761</v>
      </c>
    </row>
    <row r="255" spans="1:9" ht="12.75" customHeight="1" x14ac:dyDescent="0.2">
      <c r="A255" s="914">
        <v>62</v>
      </c>
      <c r="B255" s="1737" t="s">
        <v>824</v>
      </c>
      <c r="C255" s="1738"/>
      <c r="D255" s="912">
        <v>2279</v>
      </c>
      <c r="E255" s="565">
        <v>750</v>
      </c>
      <c r="F255" s="565"/>
      <c r="G255" s="565">
        <f t="shared" si="44"/>
        <v>750</v>
      </c>
      <c r="H255" s="565"/>
      <c r="I255" s="579" t="s">
        <v>761</v>
      </c>
    </row>
    <row r="256" spans="1:9" x14ac:dyDescent="0.2">
      <c r="A256" s="914">
        <v>63</v>
      </c>
      <c r="B256" s="1737" t="s">
        <v>825</v>
      </c>
      <c r="C256" s="1738"/>
      <c r="D256" s="912">
        <v>2279</v>
      </c>
      <c r="E256" s="565">
        <v>2000</v>
      </c>
      <c r="F256" s="565"/>
      <c r="G256" s="565">
        <f t="shared" si="44"/>
        <v>2000</v>
      </c>
      <c r="H256" s="565"/>
      <c r="I256" s="579" t="s">
        <v>761</v>
      </c>
    </row>
    <row r="257" spans="1:10" x14ac:dyDescent="0.2">
      <c r="A257" s="914">
        <v>64</v>
      </c>
      <c r="B257" s="1737" t="s">
        <v>826</v>
      </c>
      <c r="C257" s="1738"/>
      <c r="D257" s="912">
        <v>2279</v>
      </c>
      <c r="E257" s="565">
        <v>4210</v>
      </c>
      <c r="F257" s="565"/>
      <c r="G257" s="565">
        <f t="shared" si="44"/>
        <v>4210</v>
      </c>
      <c r="H257" s="565"/>
      <c r="I257" s="579" t="s">
        <v>540</v>
      </c>
    </row>
    <row r="258" spans="1:10" x14ac:dyDescent="0.2">
      <c r="A258" s="914">
        <v>65</v>
      </c>
      <c r="B258" s="1737" t="s">
        <v>827</v>
      </c>
      <c r="C258" s="1738"/>
      <c r="D258" s="912">
        <v>2279</v>
      </c>
      <c r="E258" s="565">
        <v>3493</v>
      </c>
      <c r="F258" s="565"/>
      <c r="G258" s="565">
        <f t="shared" si="44"/>
        <v>3493</v>
      </c>
      <c r="H258" s="565"/>
      <c r="I258" s="579" t="s">
        <v>566</v>
      </c>
    </row>
    <row r="259" spans="1:10" x14ac:dyDescent="0.2">
      <c r="A259" s="914">
        <v>66</v>
      </c>
      <c r="B259" s="1737" t="s">
        <v>828</v>
      </c>
      <c r="C259" s="1738"/>
      <c r="D259" s="912">
        <v>2279</v>
      </c>
      <c r="E259" s="565">
        <v>2180</v>
      </c>
      <c r="F259" s="565"/>
      <c r="G259" s="565">
        <f t="shared" si="44"/>
        <v>2180</v>
      </c>
      <c r="H259" s="565"/>
      <c r="I259" s="579" t="s">
        <v>761</v>
      </c>
    </row>
    <row r="260" spans="1:10" x14ac:dyDescent="0.2">
      <c r="A260" s="912" t="s">
        <v>829</v>
      </c>
      <c r="B260" s="1731" t="s">
        <v>830</v>
      </c>
      <c r="C260" s="1732"/>
      <c r="D260" s="913"/>
      <c r="E260" s="730">
        <f>SUM(E261)</f>
        <v>786</v>
      </c>
      <c r="F260" s="730">
        <f t="shared" ref="F260:G260" si="45">SUM(F261)</f>
        <v>0</v>
      </c>
      <c r="G260" s="730">
        <f t="shared" si="45"/>
        <v>786</v>
      </c>
      <c r="H260" s="730"/>
      <c r="I260" s="565"/>
    </row>
    <row r="261" spans="1:10" x14ac:dyDescent="0.2">
      <c r="A261" s="914">
        <v>1</v>
      </c>
      <c r="B261" s="1737" t="s">
        <v>831</v>
      </c>
      <c r="C261" s="1738"/>
      <c r="D261" s="912">
        <v>2275</v>
      </c>
      <c r="E261" s="565">
        <f>24819-24033</f>
        <v>786</v>
      </c>
      <c r="F261" s="565"/>
      <c r="G261" s="565">
        <f>E261+F261</f>
        <v>786</v>
      </c>
      <c r="H261" s="565"/>
      <c r="I261" s="565"/>
    </row>
    <row r="262" spans="1:10" x14ac:dyDescent="0.2">
      <c r="A262" s="746"/>
      <c r="B262" s="747"/>
      <c r="C262" s="747"/>
      <c r="D262" s="921"/>
      <c r="E262" s="749"/>
      <c r="F262" s="749"/>
      <c r="G262" s="749"/>
      <c r="H262" s="749"/>
      <c r="I262" s="749"/>
    </row>
    <row r="263" spans="1:10" ht="15.75" x14ac:dyDescent="0.25">
      <c r="A263" s="1673" t="s">
        <v>358</v>
      </c>
      <c r="B263" s="1673"/>
      <c r="C263" s="1717" t="s">
        <v>832</v>
      </c>
      <c r="D263" s="1717"/>
      <c r="E263" s="1717"/>
      <c r="F263" s="1717"/>
      <c r="G263" s="1717"/>
      <c r="H263" s="1717"/>
      <c r="I263" s="1717"/>
      <c r="J263" s="750"/>
    </row>
    <row r="264" spans="1:10" x14ac:dyDescent="0.2">
      <c r="A264" s="1673" t="s">
        <v>360</v>
      </c>
      <c r="B264" s="1673"/>
      <c r="C264" s="1718" t="s">
        <v>833</v>
      </c>
      <c r="D264" s="1718"/>
      <c r="E264" s="1718"/>
      <c r="F264" s="1718"/>
      <c r="G264" s="1718"/>
      <c r="H264" s="1718"/>
      <c r="I264" s="1718"/>
    </row>
    <row r="265" spans="1:10" x14ac:dyDescent="0.2">
      <c r="A265" s="1673" t="s">
        <v>362</v>
      </c>
      <c r="B265" s="1673"/>
      <c r="C265" s="1719">
        <v>8.6199999999999992</v>
      </c>
      <c r="D265" s="1719"/>
      <c r="E265" s="1719"/>
      <c r="F265" s="1719"/>
      <c r="G265" s="1719"/>
      <c r="H265" s="1719"/>
      <c r="I265" s="1719"/>
    </row>
    <row r="266" spans="1:10" ht="12" customHeight="1" x14ac:dyDescent="0.2">
      <c r="A266" s="1636" t="s">
        <v>364</v>
      </c>
      <c r="B266" s="1636" t="s">
        <v>365</v>
      </c>
      <c r="C266" s="1636"/>
      <c r="D266" s="1636" t="s">
        <v>366</v>
      </c>
      <c r="E266" s="1636" t="s">
        <v>367</v>
      </c>
      <c r="F266" s="1680" t="s">
        <v>538</v>
      </c>
      <c r="G266" s="1680" t="s">
        <v>369</v>
      </c>
      <c r="H266" s="1680" t="s">
        <v>26</v>
      </c>
      <c r="I266" s="1636" t="s">
        <v>370</v>
      </c>
    </row>
    <row r="267" spans="1:10" ht="24" customHeight="1" x14ac:dyDescent="0.2">
      <c r="A267" s="1636"/>
      <c r="B267" s="1636"/>
      <c r="C267" s="1636"/>
      <c r="D267" s="1636"/>
      <c r="E267" s="1636"/>
      <c r="F267" s="1680"/>
      <c r="G267" s="1680"/>
      <c r="H267" s="1680"/>
      <c r="I267" s="1636"/>
    </row>
    <row r="268" spans="1:10" x14ac:dyDescent="0.2">
      <c r="A268" s="1637" t="s">
        <v>371</v>
      </c>
      <c r="B268" s="1637"/>
      <c r="C268" s="1637"/>
      <c r="D268" s="550"/>
      <c r="E268" s="550">
        <f>E269+E470+E572</f>
        <v>9091</v>
      </c>
      <c r="F268" s="550">
        <f>F269+F470+F572</f>
        <v>0</v>
      </c>
      <c r="G268" s="550">
        <f>G269+G470+G572</f>
        <v>9091</v>
      </c>
      <c r="H268" s="550"/>
      <c r="I268" s="585"/>
    </row>
    <row r="269" spans="1:10" ht="12" customHeight="1" x14ac:dyDescent="0.2">
      <c r="A269" s="914">
        <v>1</v>
      </c>
      <c r="B269" s="1751" t="s">
        <v>834</v>
      </c>
      <c r="C269" s="1738"/>
      <c r="D269" s="913">
        <v>1150</v>
      </c>
      <c r="E269" s="565">
        <v>9091</v>
      </c>
      <c r="F269" s="565"/>
      <c r="G269" s="565">
        <f>E269+F269</f>
        <v>9091</v>
      </c>
      <c r="H269" s="565"/>
      <c r="I269" s="579"/>
    </row>
    <row r="270" spans="1:10" ht="7.5" customHeight="1" x14ac:dyDescent="0.2">
      <c r="A270" s="751"/>
      <c r="B270" s="747"/>
      <c r="C270" s="747"/>
      <c r="D270" s="749"/>
      <c r="E270" s="749"/>
      <c r="F270" s="749"/>
      <c r="G270" s="749"/>
      <c r="H270" s="749"/>
      <c r="I270" s="752"/>
    </row>
    <row r="271" spans="1:10" ht="12.75" x14ac:dyDescent="0.2">
      <c r="A271" s="588" t="s">
        <v>835</v>
      </c>
      <c r="C271" s="753" t="s">
        <v>836</v>
      </c>
    </row>
    <row r="272" spans="1:10" x14ac:dyDescent="0.2">
      <c r="A272" s="588" t="s">
        <v>837</v>
      </c>
    </row>
    <row r="273" spans="1:9" x14ac:dyDescent="0.2">
      <c r="A273" s="588" t="s">
        <v>838</v>
      </c>
    </row>
    <row r="274" spans="1:9" x14ac:dyDescent="0.2">
      <c r="A274" s="588" t="s">
        <v>839</v>
      </c>
    </row>
    <row r="275" spans="1:9" x14ac:dyDescent="0.2">
      <c r="A275" s="588" t="s">
        <v>840</v>
      </c>
    </row>
    <row r="276" spans="1:9" x14ac:dyDescent="0.2">
      <c r="A276" s="1721" t="s">
        <v>841</v>
      </c>
      <c r="B276" s="1721"/>
      <c r="C276" s="1721"/>
      <c r="D276" s="754"/>
      <c r="E276" s="754"/>
      <c r="F276" s="754"/>
      <c r="G276" s="754"/>
      <c r="H276" s="754"/>
      <c r="I276" s="754"/>
    </row>
  </sheetData>
  <sheetProtection algorithmName="SHA-512" hashValue="OWcOis3oK8JM45/KgSutdWapvhRfErlhbpjgkwRXIlGwuAg2bimDbLQomrqOiir4ZhIlrxoSHXWyZBYdXCqMxg==" saltValue="XpG5svRYmKyHwINUfHxJag==" spinCount="100000" sheet="1" objects="1" scenarios="1" selectLockedCells="1" selectUnlockedCells="1"/>
  <mergeCells count="272">
    <mergeCell ref="H266:H267"/>
    <mergeCell ref="I266:I267"/>
    <mergeCell ref="A268:C268"/>
    <mergeCell ref="B269:C269"/>
    <mergeCell ref="A276:C276"/>
    <mergeCell ref="A266:A267"/>
    <mergeCell ref="B266:C267"/>
    <mergeCell ref="D266:D267"/>
    <mergeCell ref="E266:E267"/>
    <mergeCell ref="F266:F267"/>
    <mergeCell ref="G266:G267"/>
    <mergeCell ref="A263:B263"/>
    <mergeCell ref="C263:I263"/>
    <mergeCell ref="A264:B264"/>
    <mergeCell ref="C264:I264"/>
    <mergeCell ref="A265:B265"/>
    <mergeCell ref="C265:I265"/>
    <mergeCell ref="B256:C256"/>
    <mergeCell ref="B257:C257"/>
    <mergeCell ref="B258:C258"/>
    <mergeCell ref="B259:C259"/>
    <mergeCell ref="B260:C260"/>
    <mergeCell ref="B261:C261"/>
    <mergeCell ref="B250:C250"/>
    <mergeCell ref="B251:C251"/>
    <mergeCell ref="B252:C252"/>
    <mergeCell ref="B253:C253"/>
    <mergeCell ref="B254:C254"/>
    <mergeCell ref="B255:C255"/>
    <mergeCell ref="B244:C244"/>
    <mergeCell ref="B245:C245"/>
    <mergeCell ref="A246:A247"/>
    <mergeCell ref="B246:C247"/>
    <mergeCell ref="B248:C248"/>
    <mergeCell ref="B249:C249"/>
    <mergeCell ref="B238:C238"/>
    <mergeCell ref="B239:C239"/>
    <mergeCell ref="B240:C240"/>
    <mergeCell ref="B241:C241"/>
    <mergeCell ref="B242:C242"/>
    <mergeCell ref="B243:C243"/>
    <mergeCell ref="B232:C232"/>
    <mergeCell ref="B233:C233"/>
    <mergeCell ref="B234:C234"/>
    <mergeCell ref="B235:C235"/>
    <mergeCell ref="B236:C236"/>
    <mergeCell ref="B237:C237"/>
    <mergeCell ref="B226:C226"/>
    <mergeCell ref="B227:C227"/>
    <mergeCell ref="B228:C228"/>
    <mergeCell ref="B229:C229"/>
    <mergeCell ref="B230:C230"/>
    <mergeCell ref="B231:C231"/>
    <mergeCell ref="B220:C220"/>
    <mergeCell ref="B221:C221"/>
    <mergeCell ref="B222:C222"/>
    <mergeCell ref="B223:C223"/>
    <mergeCell ref="B224:C224"/>
    <mergeCell ref="B225:C225"/>
    <mergeCell ref="B214:C214"/>
    <mergeCell ref="B215:C215"/>
    <mergeCell ref="B216:C216"/>
    <mergeCell ref="B217:C217"/>
    <mergeCell ref="B218:C218"/>
    <mergeCell ref="B219:C219"/>
    <mergeCell ref="B208:C208"/>
    <mergeCell ref="B209:C209"/>
    <mergeCell ref="B210:C210"/>
    <mergeCell ref="B211:C211"/>
    <mergeCell ref="B212:C212"/>
    <mergeCell ref="B213:C213"/>
    <mergeCell ref="B203:C203"/>
    <mergeCell ref="A204:A205"/>
    <mergeCell ref="B204:C205"/>
    <mergeCell ref="I204:I205"/>
    <mergeCell ref="B206:C206"/>
    <mergeCell ref="B207:C207"/>
    <mergeCell ref="B197:C197"/>
    <mergeCell ref="B198:C198"/>
    <mergeCell ref="B199:C199"/>
    <mergeCell ref="B200:C200"/>
    <mergeCell ref="B201:C201"/>
    <mergeCell ref="B202:C202"/>
    <mergeCell ref="B184:C184"/>
    <mergeCell ref="B185:C185"/>
    <mergeCell ref="A186:A188"/>
    <mergeCell ref="B186:C188"/>
    <mergeCell ref="I186:I188"/>
    <mergeCell ref="A189:A196"/>
    <mergeCell ref="B189:C196"/>
    <mergeCell ref="I189:I196"/>
    <mergeCell ref="B178:C178"/>
    <mergeCell ref="B179:C179"/>
    <mergeCell ref="B180:C180"/>
    <mergeCell ref="B181:C181"/>
    <mergeCell ref="A182:C182"/>
    <mergeCell ref="B183:C183"/>
    <mergeCell ref="B172:C172"/>
    <mergeCell ref="B173:C173"/>
    <mergeCell ref="B174:C174"/>
    <mergeCell ref="B175:C175"/>
    <mergeCell ref="B176:C176"/>
    <mergeCell ref="B177:C177"/>
    <mergeCell ref="B167:C167"/>
    <mergeCell ref="B168:C168"/>
    <mergeCell ref="A169:A170"/>
    <mergeCell ref="B169:C170"/>
    <mergeCell ref="I169:I170"/>
    <mergeCell ref="B171:C171"/>
    <mergeCell ref="B161:C161"/>
    <mergeCell ref="B162:C162"/>
    <mergeCell ref="B163:C163"/>
    <mergeCell ref="B164:C164"/>
    <mergeCell ref="B165:C165"/>
    <mergeCell ref="B166:C166"/>
    <mergeCell ref="B155:C155"/>
    <mergeCell ref="B156:C156"/>
    <mergeCell ref="B157:C157"/>
    <mergeCell ref="B158:C158"/>
    <mergeCell ref="B159:C159"/>
    <mergeCell ref="B160:C160"/>
    <mergeCell ref="B149:C149"/>
    <mergeCell ref="B150:C150"/>
    <mergeCell ref="B151:C151"/>
    <mergeCell ref="B152:C152"/>
    <mergeCell ref="B153:C153"/>
    <mergeCell ref="B154:C154"/>
    <mergeCell ref="B143:C143"/>
    <mergeCell ref="B144:C144"/>
    <mergeCell ref="B145:C145"/>
    <mergeCell ref="B146:C146"/>
    <mergeCell ref="B147:C147"/>
    <mergeCell ref="B148:C148"/>
    <mergeCell ref="B137:C137"/>
    <mergeCell ref="B138:C138"/>
    <mergeCell ref="B139:C139"/>
    <mergeCell ref="B140:C140"/>
    <mergeCell ref="B141:C141"/>
    <mergeCell ref="B142:C142"/>
    <mergeCell ref="B131:C131"/>
    <mergeCell ref="B132:C132"/>
    <mergeCell ref="B133:C133"/>
    <mergeCell ref="A134:A136"/>
    <mergeCell ref="B134:C136"/>
    <mergeCell ref="I134:I136"/>
    <mergeCell ref="B124:C124"/>
    <mergeCell ref="A125:A128"/>
    <mergeCell ref="B125:C128"/>
    <mergeCell ref="H125:H128"/>
    <mergeCell ref="B129:C129"/>
    <mergeCell ref="B130:C130"/>
    <mergeCell ref="B118:C118"/>
    <mergeCell ref="B119:C119"/>
    <mergeCell ref="B120:C120"/>
    <mergeCell ref="B121:C121"/>
    <mergeCell ref="B122:C122"/>
    <mergeCell ref="B123:C123"/>
    <mergeCell ref="B112:C112"/>
    <mergeCell ref="B113:C113"/>
    <mergeCell ref="B114:C114"/>
    <mergeCell ref="B115:C115"/>
    <mergeCell ref="B116:C116"/>
    <mergeCell ref="B117:C117"/>
    <mergeCell ref="B106:C106"/>
    <mergeCell ref="B107:C107"/>
    <mergeCell ref="B108:C108"/>
    <mergeCell ref="B109:C109"/>
    <mergeCell ref="B110:C110"/>
    <mergeCell ref="B111:C111"/>
    <mergeCell ref="A98:A100"/>
    <mergeCell ref="B98:C100"/>
    <mergeCell ref="I98:I100"/>
    <mergeCell ref="A101:A105"/>
    <mergeCell ref="B101:C105"/>
    <mergeCell ref="I101:I105"/>
    <mergeCell ref="A92:A94"/>
    <mergeCell ref="B92:C94"/>
    <mergeCell ref="I92:I94"/>
    <mergeCell ref="A95:A97"/>
    <mergeCell ref="B95:C97"/>
    <mergeCell ref="I95:I97"/>
    <mergeCell ref="B86:C86"/>
    <mergeCell ref="B87:C87"/>
    <mergeCell ref="B88:C88"/>
    <mergeCell ref="B89:C89"/>
    <mergeCell ref="B90:C90"/>
    <mergeCell ref="B91:C91"/>
    <mergeCell ref="B80:C80"/>
    <mergeCell ref="B81:C81"/>
    <mergeCell ref="B82:C82"/>
    <mergeCell ref="B83:C83"/>
    <mergeCell ref="B84:C84"/>
    <mergeCell ref="B85:C85"/>
    <mergeCell ref="B74:C74"/>
    <mergeCell ref="B75:C75"/>
    <mergeCell ref="B76:C76"/>
    <mergeCell ref="A77:A79"/>
    <mergeCell ref="B77:C79"/>
    <mergeCell ref="I77:I79"/>
    <mergeCell ref="B68:C68"/>
    <mergeCell ref="B69:C69"/>
    <mergeCell ref="B70:C70"/>
    <mergeCell ref="B71:C71"/>
    <mergeCell ref="B72:C72"/>
    <mergeCell ref="B73:C73"/>
    <mergeCell ref="A63:A64"/>
    <mergeCell ref="B63:C64"/>
    <mergeCell ref="I63:I64"/>
    <mergeCell ref="B65:C65"/>
    <mergeCell ref="B66:C66"/>
    <mergeCell ref="B67:C67"/>
    <mergeCell ref="A57:A59"/>
    <mergeCell ref="B57:C59"/>
    <mergeCell ref="I57:I59"/>
    <mergeCell ref="A60:A62"/>
    <mergeCell ref="B60:C62"/>
    <mergeCell ref="I60:I62"/>
    <mergeCell ref="B50:C50"/>
    <mergeCell ref="A51:A52"/>
    <mergeCell ref="B51:C52"/>
    <mergeCell ref="I51:I52"/>
    <mergeCell ref="B53:C53"/>
    <mergeCell ref="A54:A56"/>
    <mergeCell ref="B54:C56"/>
    <mergeCell ref="I54:I56"/>
    <mergeCell ref="B45:C45"/>
    <mergeCell ref="A46:A47"/>
    <mergeCell ref="B46:C47"/>
    <mergeCell ref="I46:I47"/>
    <mergeCell ref="A48:A49"/>
    <mergeCell ref="B48:C49"/>
    <mergeCell ref="I48:I49"/>
    <mergeCell ref="B37:C37"/>
    <mergeCell ref="B38:C38"/>
    <mergeCell ref="B39:C39"/>
    <mergeCell ref="A40:A44"/>
    <mergeCell ref="B40:C44"/>
    <mergeCell ref="I40:I44"/>
    <mergeCell ref="I28:I31"/>
    <mergeCell ref="A32:A34"/>
    <mergeCell ref="B32:C34"/>
    <mergeCell ref="I32:I34"/>
    <mergeCell ref="B35:C35"/>
    <mergeCell ref="B36:C36"/>
    <mergeCell ref="A22:A26"/>
    <mergeCell ref="B22:C26"/>
    <mergeCell ref="H22:H26"/>
    <mergeCell ref="B27:C27"/>
    <mergeCell ref="A28:A31"/>
    <mergeCell ref="B28:C31"/>
    <mergeCell ref="A13:C13"/>
    <mergeCell ref="A14:C14"/>
    <mergeCell ref="B15:C15"/>
    <mergeCell ref="A16:A21"/>
    <mergeCell ref="B16:C21"/>
    <mergeCell ref="A5:B5"/>
    <mergeCell ref="A6:I6"/>
    <mergeCell ref="A8:B8"/>
    <mergeCell ref="C8:I8"/>
    <mergeCell ref="A9:B9"/>
    <mergeCell ref="C9:I9"/>
    <mergeCell ref="I16:I21"/>
    <mergeCell ref="A10:B10"/>
    <mergeCell ref="C10:I10"/>
    <mergeCell ref="A11:A12"/>
    <mergeCell ref="B11:C12"/>
    <mergeCell ref="D11:D12"/>
    <mergeCell ref="E11:E12"/>
    <mergeCell ref="F11:F12"/>
    <mergeCell ref="G11:G12"/>
    <mergeCell ref="H11:H12"/>
    <mergeCell ref="I11:I12"/>
  </mergeCells>
  <pageMargins left="0.98425196850393704" right="0.39370078740157483" top="0.82395833333333335"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113.pielikums Jūrmalas pilsētas domes
2017.gada 30.janvāra saistošajiem noteikumiem Nr.10
(Protokols Nr.4, 1.punkts)
 </firstHeader>
    <firstFooter>&amp;L&amp;9&amp;D; &amp;T&amp;R&amp;9&amp;P (&amp;N)</first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276"/>
  <sheetViews>
    <sheetView view="pageLayout" zoomScaleNormal="100" workbookViewId="0">
      <selection activeCell="K9" sqref="K9"/>
    </sheetView>
  </sheetViews>
  <sheetFormatPr defaultRowHeight="12" outlineLevelCol="1" x14ac:dyDescent="0.2"/>
  <cols>
    <col min="1" max="1" width="6.140625" style="588" customWidth="1"/>
    <col min="2" max="2" width="35.140625" style="588" customWidth="1"/>
    <col min="3" max="3" width="16.7109375" style="588" customWidth="1"/>
    <col min="4" max="4" width="10.5703125" style="588" customWidth="1"/>
    <col min="5" max="5" width="12.42578125" style="588" hidden="1" customWidth="1" outlineLevel="1"/>
    <col min="6" max="6" width="11.140625" style="588" hidden="1" customWidth="1" outlineLevel="1"/>
    <col min="7" max="7" width="14.85546875" style="588" customWidth="1" collapsed="1"/>
    <col min="8" max="8" width="29" style="588" hidden="1" customWidth="1" outlineLevel="1"/>
    <col min="9" max="9" width="12" style="588" customWidth="1" collapsed="1"/>
    <col min="10" max="16384" width="9.140625" style="588"/>
  </cols>
  <sheetData>
    <row r="1" spans="1:9" x14ac:dyDescent="0.2">
      <c r="I1" s="726" t="s">
        <v>1067</v>
      </c>
    </row>
    <row r="2" spans="1:9" x14ac:dyDescent="0.2">
      <c r="I2" s="726" t="s">
        <v>353</v>
      </c>
    </row>
    <row r="3" spans="1:9" x14ac:dyDescent="0.2">
      <c r="I3" s="726" t="s">
        <v>354</v>
      </c>
    </row>
    <row r="4" spans="1:9" x14ac:dyDescent="0.2">
      <c r="A4" s="588" t="s">
        <v>355</v>
      </c>
      <c r="B4" s="727"/>
      <c r="C4" s="727"/>
      <c r="D4" s="727"/>
      <c r="E4" s="727"/>
      <c r="F4" s="727"/>
      <c r="G4" s="727"/>
      <c r="H4" s="727"/>
      <c r="I4" s="727"/>
    </row>
    <row r="5" spans="1:9" x14ac:dyDescent="0.2">
      <c r="A5" s="1673" t="s">
        <v>356</v>
      </c>
      <c r="B5" s="1673"/>
      <c r="C5" s="727"/>
      <c r="D5" s="727"/>
      <c r="E5" s="727"/>
      <c r="F5" s="727"/>
      <c r="G5" s="727"/>
      <c r="H5" s="727"/>
      <c r="I5" s="727"/>
    </row>
    <row r="6" spans="1:9" ht="15.75" x14ac:dyDescent="0.25">
      <c r="A6" s="1674" t="s">
        <v>357</v>
      </c>
      <c r="B6" s="1674"/>
      <c r="C6" s="1674"/>
      <c r="D6" s="1674"/>
      <c r="E6" s="1674"/>
      <c r="F6" s="1674"/>
      <c r="G6" s="1674"/>
      <c r="H6" s="1674"/>
      <c r="I6" s="1674"/>
    </row>
    <row r="7" spans="1:9" ht="9.75" customHeight="1" x14ac:dyDescent="0.25">
      <c r="A7" s="728"/>
      <c r="B7" s="728"/>
      <c r="C7" s="728"/>
      <c r="D7" s="728"/>
      <c r="E7" s="728"/>
      <c r="F7" s="728"/>
      <c r="G7" s="728"/>
      <c r="H7" s="728"/>
      <c r="I7" s="728"/>
    </row>
    <row r="8" spans="1:9" ht="15.75" x14ac:dyDescent="0.25">
      <c r="A8" s="1673" t="s">
        <v>358</v>
      </c>
      <c r="B8" s="1673"/>
      <c r="C8" s="1675" t="s">
        <v>537</v>
      </c>
      <c r="D8" s="1675"/>
      <c r="E8" s="1675"/>
      <c r="F8" s="1675"/>
      <c r="G8" s="1675"/>
      <c r="H8" s="1675"/>
      <c r="I8" s="1675"/>
    </row>
    <row r="9" spans="1:9" x14ac:dyDescent="0.2">
      <c r="A9" s="1673" t="s">
        <v>360</v>
      </c>
      <c r="B9" s="1673"/>
      <c r="C9" s="1673" t="s">
        <v>519</v>
      </c>
      <c r="D9" s="1673"/>
      <c r="E9" s="1673"/>
      <c r="F9" s="1673"/>
      <c r="G9" s="1673"/>
      <c r="H9" s="1673"/>
      <c r="I9" s="1673"/>
    </row>
    <row r="10" spans="1:9" x14ac:dyDescent="0.2">
      <c r="A10" s="1673" t="s">
        <v>362</v>
      </c>
      <c r="B10" s="1673"/>
      <c r="C10" s="1679" t="s">
        <v>518</v>
      </c>
      <c r="D10" s="1679"/>
      <c r="E10" s="1679"/>
      <c r="F10" s="1679"/>
      <c r="G10" s="1679"/>
      <c r="H10" s="1679"/>
      <c r="I10" s="1679"/>
    </row>
    <row r="11" spans="1:9" ht="12" customHeight="1" x14ac:dyDescent="0.2">
      <c r="A11" s="1636" t="s">
        <v>364</v>
      </c>
      <c r="B11" s="1636" t="s">
        <v>365</v>
      </c>
      <c r="C11" s="1636"/>
      <c r="D11" s="1636" t="s">
        <v>366</v>
      </c>
      <c r="E11" s="1636" t="s">
        <v>367</v>
      </c>
      <c r="F11" s="1680" t="s">
        <v>538</v>
      </c>
      <c r="G11" s="1680" t="s">
        <v>369</v>
      </c>
      <c r="H11" s="1680" t="s">
        <v>26</v>
      </c>
      <c r="I11" s="1636" t="s">
        <v>370</v>
      </c>
    </row>
    <row r="12" spans="1:9" ht="23.25" customHeight="1" x14ac:dyDescent="0.2">
      <c r="A12" s="1636"/>
      <c r="B12" s="1636"/>
      <c r="C12" s="1636"/>
      <c r="D12" s="1636"/>
      <c r="E12" s="1636"/>
      <c r="F12" s="1680"/>
      <c r="G12" s="1680"/>
      <c r="H12" s="1680"/>
      <c r="I12" s="1636"/>
    </row>
    <row r="13" spans="1:9" x14ac:dyDescent="0.2">
      <c r="A13" s="1696" t="s">
        <v>371</v>
      </c>
      <c r="B13" s="1696"/>
      <c r="C13" s="1696"/>
      <c r="D13" s="550"/>
      <c r="E13" s="550">
        <f>E14+E181+E260</f>
        <v>1745231</v>
      </c>
      <c r="F13" s="550">
        <f>F14+F181+F260</f>
        <v>0</v>
      </c>
      <c r="G13" s="550">
        <f>G14+G181+G260</f>
        <v>1750045</v>
      </c>
      <c r="H13" s="550"/>
      <c r="I13" s="550"/>
    </row>
    <row r="14" spans="1:9" x14ac:dyDescent="0.2">
      <c r="A14" s="1697" t="s">
        <v>539</v>
      </c>
      <c r="B14" s="1698"/>
      <c r="C14" s="1699"/>
      <c r="D14" s="730"/>
      <c r="E14" s="730">
        <f>E15+E27+E35+E38+E45+E53+E65+E81+E91+E106+E112+E114+E119+E124+E129+E132+E139+E144+E163+E167+E170+E172+E175+E179</f>
        <v>1188990</v>
      </c>
      <c r="F14" s="730">
        <f>F15+F27+F35+F38+F45+F53+F65+F81+F91+F106+F112+F114+F119+F124+F129+F132+F139+F144+F163+F167+F170+F172+F175+F179</f>
        <v>0</v>
      </c>
      <c r="G14" s="730">
        <f>G15+G27+G35+G38+G45+G53+G65+G81+G91+G106+G112+G114+G119+G124+G129+G132+G139+G144+G163+G167+G170+G172+G175+G179</f>
        <v>1190285</v>
      </c>
      <c r="H14" s="730"/>
      <c r="I14" s="579" t="s">
        <v>540</v>
      </c>
    </row>
    <row r="15" spans="1:9" x14ac:dyDescent="0.2">
      <c r="A15" s="731">
        <v>1</v>
      </c>
      <c r="B15" s="1693"/>
      <c r="C15" s="1694"/>
      <c r="D15" s="730"/>
      <c r="E15" s="730">
        <f>SUM(E16:E26)</f>
        <v>30644</v>
      </c>
      <c r="F15" s="730">
        <f>SUM(F16:F26)</f>
        <v>0</v>
      </c>
      <c r="G15" s="730">
        <f>SUM(G16:G26)</f>
        <v>31939</v>
      </c>
      <c r="H15" s="730"/>
      <c r="I15" s="565"/>
    </row>
    <row r="16" spans="1:9" x14ac:dyDescent="0.2">
      <c r="A16" s="1695" t="s">
        <v>541</v>
      </c>
      <c r="B16" s="1684" t="s">
        <v>542</v>
      </c>
      <c r="C16" s="1685"/>
      <c r="D16" s="732">
        <v>2231</v>
      </c>
      <c r="E16" s="565">
        <v>2066</v>
      </c>
      <c r="F16" s="565"/>
      <c r="G16" s="565">
        <f>E16+F16</f>
        <v>2066</v>
      </c>
      <c r="H16" s="565"/>
      <c r="I16" s="1676" t="s">
        <v>543</v>
      </c>
    </row>
    <row r="17" spans="1:9" ht="12.75" customHeight="1" x14ac:dyDescent="0.2">
      <c r="A17" s="1695"/>
      <c r="B17" s="1686"/>
      <c r="C17" s="1687"/>
      <c r="D17" s="732">
        <v>2264</v>
      </c>
      <c r="E17" s="565">
        <v>2751</v>
      </c>
      <c r="F17" s="565"/>
      <c r="G17" s="565">
        <f t="shared" ref="G17:G23" si="0">E17+F17</f>
        <v>2751</v>
      </c>
      <c r="H17" s="565"/>
      <c r="I17" s="1677"/>
    </row>
    <row r="18" spans="1:9" ht="24" x14ac:dyDescent="0.2">
      <c r="A18" s="1695"/>
      <c r="B18" s="1686"/>
      <c r="C18" s="1687"/>
      <c r="D18" s="732">
        <v>2279</v>
      </c>
      <c r="E18" s="565">
        <v>8470</v>
      </c>
      <c r="F18" s="565">
        <v>1295</v>
      </c>
      <c r="G18" s="565">
        <f t="shared" si="0"/>
        <v>9765</v>
      </c>
      <c r="H18" s="565" t="s">
        <v>529</v>
      </c>
      <c r="I18" s="1677"/>
    </row>
    <row r="19" spans="1:9" x14ac:dyDescent="0.2">
      <c r="A19" s="1695"/>
      <c r="B19" s="1686"/>
      <c r="C19" s="1687"/>
      <c r="D19" s="732">
        <v>1150</v>
      </c>
      <c r="E19" s="565">
        <v>5209</v>
      </c>
      <c r="F19" s="565">
        <v>-1295</v>
      </c>
      <c r="G19" s="565">
        <v>5209</v>
      </c>
      <c r="H19" s="565" t="s">
        <v>544</v>
      </c>
      <c r="I19" s="1677"/>
    </row>
    <row r="20" spans="1:9" x14ac:dyDescent="0.2">
      <c r="A20" s="1695"/>
      <c r="B20" s="1686"/>
      <c r="C20" s="1687"/>
      <c r="D20" s="732">
        <v>6422</v>
      </c>
      <c r="E20" s="565">
        <v>2210</v>
      </c>
      <c r="F20" s="565"/>
      <c r="G20" s="565">
        <v>2210</v>
      </c>
      <c r="H20" s="565"/>
      <c r="I20" s="1677"/>
    </row>
    <row r="21" spans="1:9" x14ac:dyDescent="0.2">
      <c r="A21" s="1695"/>
      <c r="B21" s="1688"/>
      <c r="C21" s="1689"/>
      <c r="D21" s="732">
        <v>2314</v>
      </c>
      <c r="E21" s="565">
        <v>2090</v>
      </c>
      <c r="F21" s="565"/>
      <c r="G21" s="565">
        <f t="shared" si="0"/>
        <v>2090</v>
      </c>
      <c r="H21" s="565"/>
      <c r="I21" s="1678"/>
    </row>
    <row r="22" spans="1:9" ht="12.75" customHeight="1" x14ac:dyDescent="0.2">
      <c r="A22" s="1681">
        <v>1.2</v>
      </c>
      <c r="B22" s="1684" t="s">
        <v>545</v>
      </c>
      <c r="C22" s="1685"/>
      <c r="D22" s="732">
        <v>2231</v>
      </c>
      <c r="E22" s="565">
        <v>3986</v>
      </c>
      <c r="F22" s="565"/>
      <c r="G22" s="565">
        <f t="shared" si="0"/>
        <v>3986</v>
      </c>
      <c r="H22" s="1690"/>
      <c r="I22" s="733" t="s">
        <v>546</v>
      </c>
    </row>
    <row r="23" spans="1:9" ht="12.75" customHeight="1" x14ac:dyDescent="0.2">
      <c r="A23" s="1682"/>
      <c r="B23" s="1686"/>
      <c r="C23" s="1687"/>
      <c r="D23" s="732">
        <v>2232</v>
      </c>
      <c r="E23" s="565">
        <v>388</v>
      </c>
      <c r="F23" s="565"/>
      <c r="G23" s="565">
        <f t="shared" si="0"/>
        <v>388</v>
      </c>
      <c r="H23" s="1691"/>
      <c r="I23" s="733"/>
    </row>
    <row r="24" spans="1:9" ht="12.75" customHeight="1" x14ac:dyDescent="0.2">
      <c r="A24" s="1682"/>
      <c r="B24" s="1686"/>
      <c r="C24" s="1687"/>
      <c r="D24" s="732">
        <v>5234</v>
      </c>
      <c r="E24" s="565">
        <v>1500</v>
      </c>
      <c r="F24" s="565"/>
      <c r="G24" s="565">
        <v>1500</v>
      </c>
      <c r="H24" s="1691"/>
      <c r="I24" s="733" t="s">
        <v>546</v>
      </c>
    </row>
    <row r="25" spans="1:9" ht="12.75" customHeight="1" x14ac:dyDescent="0.2">
      <c r="A25" s="1682"/>
      <c r="B25" s="1686"/>
      <c r="C25" s="1687"/>
      <c r="D25" s="732">
        <v>2314</v>
      </c>
      <c r="E25" s="565">
        <v>774</v>
      </c>
      <c r="F25" s="565"/>
      <c r="G25" s="565">
        <v>774</v>
      </c>
      <c r="H25" s="1691"/>
      <c r="I25" s="733" t="s">
        <v>546</v>
      </c>
    </row>
    <row r="26" spans="1:9" ht="18.75" customHeight="1" x14ac:dyDescent="0.2">
      <c r="A26" s="1683"/>
      <c r="B26" s="1688"/>
      <c r="C26" s="1689"/>
      <c r="D26" s="732">
        <v>2279</v>
      </c>
      <c r="E26" s="565">
        <v>1200</v>
      </c>
      <c r="F26" s="565"/>
      <c r="G26" s="565">
        <v>1200</v>
      </c>
      <c r="H26" s="1692"/>
      <c r="I26" s="733" t="s">
        <v>546</v>
      </c>
    </row>
    <row r="27" spans="1:9" x14ac:dyDescent="0.2">
      <c r="A27" s="731">
        <v>2</v>
      </c>
      <c r="B27" s="1693" t="s">
        <v>547</v>
      </c>
      <c r="C27" s="1694"/>
      <c r="D27" s="730"/>
      <c r="E27" s="730">
        <f>SUM(E28:E34)</f>
        <v>4847</v>
      </c>
      <c r="F27" s="730">
        <f t="shared" ref="F27:G27" si="1">SUM(F28:F34)</f>
        <v>0</v>
      </c>
      <c r="G27" s="730">
        <f t="shared" si="1"/>
        <v>4847</v>
      </c>
      <c r="H27" s="730"/>
      <c r="I27" s="565"/>
    </row>
    <row r="28" spans="1:9" x14ac:dyDescent="0.2">
      <c r="A28" s="1695" t="s">
        <v>548</v>
      </c>
      <c r="B28" s="1684" t="s">
        <v>549</v>
      </c>
      <c r="C28" s="1685"/>
      <c r="D28" s="732">
        <v>2262</v>
      </c>
      <c r="E28" s="565">
        <v>0</v>
      </c>
      <c r="F28" s="565"/>
      <c r="G28" s="565">
        <f t="shared" ref="G28:G34" si="2">E28+F28</f>
        <v>0</v>
      </c>
      <c r="H28" s="565"/>
      <c r="I28" s="1676" t="s">
        <v>540</v>
      </c>
    </row>
    <row r="29" spans="1:9" ht="12.75" customHeight="1" x14ac:dyDescent="0.2">
      <c r="A29" s="1695"/>
      <c r="B29" s="1686"/>
      <c r="C29" s="1687"/>
      <c r="D29" s="732">
        <v>2264</v>
      </c>
      <c r="E29" s="565">
        <v>427</v>
      </c>
      <c r="F29" s="565"/>
      <c r="G29" s="565">
        <f t="shared" si="2"/>
        <v>427</v>
      </c>
      <c r="H29" s="565"/>
      <c r="I29" s="1677"/>
    </row>
    <row r="30" spans="1:9" ht="12.75" customHeight="1" x14ac:dyDescent="0.2">
      <c r="A30" s="1695"/>
      <c r="B30" s="1686"/>
      <c r="C30" s="1687"/>
      <c r="D30" s="732">
        <v>2279</v>
      </c>
      <c r="E30" s="565">
        <v>3370</v>
      </c>
      <c r="F30" s="565"/>
      <c r="G30" s="565">
        <f t="shared" si="2"/>
        <v>3370</v>
      </c>
      <c r="H30" s="565"/>
      <c r="I30" s="1677"/>
    </row>
    <row r="31" spans="1:9" ht="12.75" customHeight="1" x14ac:dyDescent="0.2">
      <c r="A31" s="1695"/>
      <c r="B31" s="1688"/>
      <c r="C31" s="1689"/>
      <c r="D31" s="732">
        <v>2314</v>
      </c>
      <c r="E31" s="565">
        <v>300</v>
      </c>
      <c r="F31" s="565"/>
      <c r="G31" s="565">
        <f t="shared" si="2"/>
        <v>300</v>
      </c>
      <c r="H31" s="565"/>
      <c r="I31" s="1678"/>
    </row>
    <row r="32" spans="1:9" x14ac:dyDescent="0.2">
      <c r="A32" s="1695" t="s">
        <v>551</v>
      </c>
      <c r="B32" s="1684" t="s">
        <v>552</v>
      </c>
      <c r="C32" s="1685"/>
      <c r="D32" s="732">
        <v>2279</v>
      </c>
      <c r="E32" s="565">
        <v>300</v>
      </c>
      <c r="F32" s="565"/>
      <c r="G32" s="565">
        <f t="shared" si="2"/>
        <v>300</v>
      </c>
      <c r="H32" s="565"/>
      <c r="I32" s="1676" t="s">
        <v>540</v>
      </c>
    </row>
    <row r="33" spans="1:9" ht="12.75" customHeight="1" x14ac:dyDescent="0.2">
      <c r="A33" s="1695"/>
      <c r="B33" s="1686"/>
      <c r="C33" s="1687"/>
      <c r="D33" s="732">
        <v>2264</v>
      </c>
      <c r="E33" s="565">
        <v>210</v>
      </c>
      <c r="F33" s="565"/>
      <c r="G33" s="565">
        <f t="shared" si="2"/>
        <v>210</v>
      </c>
      <c r="H33" s="565"/>
      <c r="I33" s="1677"/>
    </row>
    <row r="34" spans="1:9" ht="12.75" customHeight="1" x14ac:dyDescent="0.2">
      <c r="A34" s="1695"/>
      <c r="B34" s="1688"/>
      <c r="C34" s="1689"/>
      <c r="D34" s="732">
        <v>2314</v>
      </c>
      <c r="E34" s="565">
        <v>240</v>
      </c>
      <c r="F34" s="565"/>
      <c r="G34" s="565">
        <f t="shared" si="2"/>
        <v>240</v>
      </c>
      <c r="H34" s="565"/>
      <c r="I34" s="1678"/>
    </row>
    <row r="35" spans="1:9" x14ac:dyDescent="0.2">
      <c r="A35" s="731">
        <v>3</v>
      </c>
      <c r="B35" s="1693" t="s">
        <v>553</v>
      </c>
      <c r="C35" s="1694"/>
      <c r="D35" s="730"/>
      <c r="E35" s="730">
        <f>SUM(E36:E37)</f>
        <v>10000</v>
      </c>
      <c r="F35" s="730">
        <f t="shared" ref="F35:G35" si="3">SUM(F36:F37)</f>
        <v>0</v>
      </c>
      <c r="G35" s="730">
        <f t="shared" si="3"/>
        <v>10000</v>
      </c>
      <c r="H35" s="730"/>
      <c r="I35" s="565"/>
    </row>
    <row r="36" spans="1:9" x14ac:dyDescent="0.2">
      <c r="A36" s="734" t="s">
        <v>554</v>
      </c>
      <c r="B36" s="1700" t="s">
        <v>555</v>
      </c>
      <c r="C36" s="1701"/>
      <c r="D36" s="732">
        <v>2279</v>
      </c>
      <c r="E36" s="565">
        <v>6000</v>
      </c>
      <c r="F36" s="565"/>
      <c r="G36" s="565">
        <f t="shared" ref="G36:G37" si="4">E36+F36</f>
        <v>6000</v>
      </c>
      <c r="H36" s="565"/>
      <c r="I36" s="579" t="s">
        <v>540</v>
      </c>
    </row>
    <row r="37" spans="1:9" x14ac:dyDescent="0.2">
      <c r="A37" s="734" t="s">
        <v>556</v>
      </c>
      <c r="B37" s="1700" t="s">
        <v>557</v>
      </c>
      <c r="C37" s="1701"/>
      <c r="D37" s="732">
        <v>2279</v>
      </c>
      <c r="E37" s="565">
        <v>4000</v>
      </c>
      <c r="F37" s="565"/>
      <c r="G37" s="565">
        <f t="shared" si="4"/>
        <v>4000</v>
      </c>
      <c r="H37" s="565"/>
      <c r="I37" s="579" t="s">
        <v>540</v>
      </c>
    </row>
    <row r="38" spans="1:9" x14ac:dyDescent="0.2">
      <c r="A38" s="731">
        <v>4</v>
      </c>
      <c r="B38" s="1693" t="s">
        <v>558</v>
      </c>
      <c r="C38" s="1694"/>
      <c r="D38" s="730"/>
      <c r="E38" s="730">
        <f>SUM(E39:E44)</f>
        <v>3710</v>
      </c>
      <c r="F38" s="730">
        <f t="shared" ref="F38:G38" si="5">SUM(F39:F44)</f>
        <v>0</v>
      </c>
      <c r="G38" s="730">
        <f t="shared" si="5"/>
        <v>3710</v>
      </c>
      <c r="H38" s="730"/>
      <c r="I38" s="565"/>
    </row>
    <row r="39" spans="1:9" ht="25.5" customHeight="1" x14ac:dyDescent="0.2">
      <c r="A39" s="734" t="s">
        <v>559</v>
      </c>
      <c r="B39" s="1700" t="s">
        <v>560</v>
      </c>
      <c r="C39" s="1701"/>
      <c r="D39" s="732">
        <v>2279</v>
      </c>
      <c r="E39" s="565">
        <v>2000</v>
      </c>
      <c r="F39" s="565"/>
      <c r="G39" s="565">
        <f t="shared" ref="G39:G44" si="6">E39+F39</f>
        <v>2000</v>
      </c>
      <c r="H39" s="565"/>
      <c r="I39" s="579" t="s">
        <v>540</v>
      </c>
    </row>
    <row r="40" spans="1:9" x14ac:dyDescent="0.2">
      <c r="A40" s="1695" t="s">
        <v>561</v>
      </c>
      <c r="B40" s="1684" t="s">
        <v>562</v>
      </c>
      <c r="C40" s="1685"/>
      <c r="D40" s="732">
        <v>2261</v>
      </c>
      <c r="E40" s="565">
        <v>143</v>
      </c>
      <c r="F40" s="565"/>
      <c r="G40" s="565">
        <f t="shared" si="6"/>
        <v>143</v>
      </c>
      <c r="H40" s="565"/>
      <c r="I40" s="1676" t="s">
        <v>540</v>
      </c>
    </row>
    <row r="41" spans="1:9" ht="12.75" customHeight="1" x14ac:dyDescent="0.2">
      <c r="A41" s="1695"/>
      <c r="B41" s="1686"/>
      <c r="C41" s="1687"/>
      <c r="D41" s="732">
        <v>2262</v>
      </c>
      <c r="E41" s="565">
        <v>285</v>
      </c>
      <c r="F41" s="565"/>
      <c r="G41" s="565">
        <f t="shared" si="6"/>
        <v>285</v>
      </c>
      <c r="H41" s="565"/>
      <c r="I41" s="1677"/>
    </row>
    <row r="42" spans="1:9" ht="12.75" customHeight="1" x14ac:dyDescent="0.2">
      <c r="A42" s="1695"/>
      <c r="B42" s="1686"/>
      <c r="C42" s="1687"/>
      <c r="D42" s="732">
        <v>2264</v>
      </c>
      <c r="E42" s="565">
        <v>570</v>
      </c>
      <c r="F42" s="565"/>
      <c r="G42" s="565">
        <f t="shared" si="6"/>
        <v>570</v>
      </c>
      <c r="H42" s="565"/>
      <c r="I42" s="1677"/>
    </row>
    <row r="43" spans="1:9" ht="12.75" customHeight="1" x14ac:dyDescent="0.2">
      <c r="A43" s="1695"/>
      <c r="B43" s="1686"/>
      <c r="C43" s="1687"/>
      <c r="D43" s="732">
        <v>2279</v>
      </c>
      <c r="E43" s="565">
        <v>427</v>
      </c>
      <c r="F43" s="565"/>
      <c r="G43" s="565">
        <f t="shared" si="6"/>
        <v>427</v>
      </c>
      <c r="H43" s="565"/>
      <c r="I43" s="1677"/>
    </row>
    <row r="44" spans="1:9" ht="12.75" customHeight="1" x14ac:dyDescent="0.2">
      <c r="A44" s="1695"/>
      <c r="B44" s="1688"/>
      <c r="C44" s="1689"/>
      <c r="D44" s="732">
        <v>2314</v>
      </c>
      <c r="E44" s="565">
        <v>285</v>
      </c>
      <c r="F44" s="565"/>
      <c r="G44" s="565">
        <f t="shared" si="6"/>
        <v>285</v>
      </c>
      <c r="H44" s="565"/>
      <c r="I44" s="1678"/>
    </row>
    <row r="45" spans="1:9" x14ac:dyDescent="0.2">
      <c r="A45" s="731">
        <v>5</v>
      </c>
      <c r="B45" s="1693" t="s">
        <v>563</v>
      </c>
      <c r="C45" s="1694"/>
      <c r="D45" s="730"/>
      <c r="E45" s="730">
        <f>SUM(E46:E52)</f>
        <v>1800</v>
      </c>
      <c r="F45" s="730">
        <f t="shared" ref="F45:G45" si="7">SUM(F46:F52)</f>
        <v>0</v>
      </c>
      <c r="G45" s="730">
        <f t="shared" si="7"/>
        <v>1800</v>
      </c>
      <c r="H45" s="730"/>
      <c r="I45" s="565"/>
    </row>
    <row r="46" spans="1:9" x14ac:dyDescent="0.2">
      <c r="A46" s="1695" t="s">
        <v>564</v>
      </c>
      <c r="B46" s="1684" t="s">
        <v>565</v>
      </c>
      <c r="C46" s="1685"/>
      <c r="D46" s="732">
        <v>2279</v>
      </c>
      <c r="E46" s="565">
        <v>100</v>
      </c>
      <c r="F46" s="565"/>
      <c r="G46" s="565">
        <f t="shared" ref="G46:G52" si="8">E46+F46</f>
        <v>100</v>
      </c>
      <c r="H46" s="565"/>
      <c r="I46" s="1676" t="s">
        <v>566</v>
      </c>
    </row>
    <row r="47" spans="1:9" ht="12.75" customHeight="1" x14ac:dyDescent="0.2">
      <c r="A47" s="1695"/>
      <c r="B47" s="1688"/>
      <c r="C47" s="1689"/>
      <c r="D47" s="732">
        <v>2314</v>
      </c>
      <c r="E47" s="565">
        <v>150</v>
      </c>
      <c r="F47" s="565"/>
      <c r="G47" s="565">
        <f t="shared" si="8"/>
        <v>150</v>
      </c>
      <c r="H47" s="565"/>
      <c r="I47" s="1678"/>
    </row>
    <row r="48" spans="1:9" x14ac:dyDescent="0.2">
      <c r="A48" s="1695" t="s">
        <v>567</v>
      </c>
      <c r="B48" s="1684" t="s">
        <v>568</v>
      </c>
      <c r="C48" s="1685"/>
      <c r="D48" s="732">
        <v>2279</v>
      </c>
      <c r="E48" s="565">
        <v>100</v>
      </c>
      <c r="F48" s="565"/>
      <c r="G48" s="565">
        <f t="shared" si="8"/>
        <v>100</v>
      </c>
      <c r="H48" s="565"/>
      <c r="I48" s="1676" t="s">
        <v>566</v>
      </c>
    </row>
    <row r="49" spans="1:9" ht="12.75" customHeight="1" x14ac:dyDescent="0.2">
      <c r="A49" s="1695"/>
      <c r="B49" s="1688"/>
      <c r="C49" s="1689"/>
      <c r="D49" s="732">
        <v>2314</v>
      </c>
      <c r="E49" s="565">
        <v>150</v>
      </c>
      <c r="F49" s="565"/>
      <c r="G49" s="565">
        <f t="shared" si="8"/>
        <v>150</v>
      </c>
      <c r="H49" s="565"/>
      <c r="I49" s="1678"/>
    </row>
    <row r="50" spans="1:9" x14ac:dyDescent="0.2">
      <c r="A50" s="734" t="s">
        <v>569</v>
      </c>
      <c r="B50" s="1700" t="s">
        <v>570</v>
      </c>
      <c r="C50" s="1701"/>
      <c r="D50" s="735">
        <v>2279</v>
      </c>
      <c r="E50" s="565">
        <v>1030</v>
      </c>
      <c r="F50" s="565"/>
      <c r="G50" s="565">
        <f t="shared" si="8"/>
        <v>1030</v>
      </c>
      <c r="H50" s="565"/>
      <c r="I50" s="579" t="s">
        <v>566</v>
      </c>
    </row>
    <row r="51" spans="1:9" x14ac:dyDescent="0.2">
      <c r="A51" s="1695" t="s">
        <v>571</v>
      </c>
      <c r="B51" s="1684" t="s">
        <v>572</v>
      </c>
      <c r="C51" s="1685"/>
      <c r="D51" s="735">
        <v>2311</v>
      </c>
      <c r="E51" s="565">
        <v>110</v>
      </c>
      <c r="F51" s="565"/>
      <c r="G51" s="565">
        <f t="shared" si="8"/>
        <v>110</v>
      </c>
      <c r="H51" s="565"/>
      <c r="I51" s="1676" t="s">
        <v>566</v>
      </c>
    </row>
    <row r="52" spans="1:9" ht="12.75" customHeight="1" x14ac:dyDescent="0.2">
      <c r="A52" s="1695"/>
      <c r="B52" s="1688"/>
      <c r="C52" s="1689"/>
      <c r="D52" s="732">
        <v>2314</v>
      </c>
      <c r="E52" s="565">
        <v>160</v>
      </c>
      <c r="F52" s="565"/>
      <c r="G52" s="565">
        <f t="shared" si="8"/>
        <v>160</v>
      </c>
      <c r="H52" s="565"/>
      <c r="I52" s="1678"/>
    </row>
    <row r="53" spans="1:9" x14ac:dyDescent="0.2">
      <c r="A53" s="731">
        <v>6</v>
      </c>
      <c r="B53" s="1693" t="s">
        <v>573</v>
      </c>
      <c r="C53" s="1694"/>
      <c r="D53" s="730"/>
      <c r="E53" s="730">
        <f>SUM(E54:E64)</f>
        <v>1578</v>
      </c>
      <c r="F53" s="730">
        <f t="shared" ref="F53:G53" si="9">SUM(F54:F64)</f>
        <v>0</v>
      </c>
      <c r="G53" s="730">
        <f t="shared" si="9"/>
        <v>1578</v>
      </c>
      <c r="H53" s="730"/>
      <c r="I53" s="565"/>
    </row>
    <row r="54" spans="1:9" x14ac:dyDescent="0.2">
      <c r="A54" s="1695" t="s">
        <v>574</v>
      </c>
      <c r="B54" s="1684" t="s">
        <v>575</v>
      </c>
      <c r="C54" s="1685"/>
      <c r="D54" s="732">
        <v>2261</v>
      </c>
      <c r="E54" s="565">
        <v>144</v>
      </c>
      <c r="F54" s="565"/>
      <c r="G54" s="565">
        <f t="shared" ref="G54:G64" si="10">E54+F54</f>
        <v>144</v>
      </c>
      <c r="H54" s="565"/>
      <c r="I54" s="1702" t="s">
        <v>540</v>
      </c>
    </row>
    <row r="55" spans="1:9" ht="12.75" customHeight="1" x14ac:dyDescent="0.2">
      <c r="A55" s="1695"/>
      <c r="B55" s="1686"/>
      <c r="C55" s="1687"/>
      <c r="D55" s="732">
        <v>2264</v>
      </c>
      <c r="E55" s="565">
        <v>72</v>
      </c>
      <c r="F55" s="565"/>
      <c r="G55" s="565">
        <f t="shared" si="10"/>
        <v>72</v>
      </c>
      <c r="H55" s="565"/>
      <c r="I55" s="1703"/>
    </row>
    <row r="56" spans="1:9" ht="12.75" customHeight="1" x14ac:dyDescent="0.2">
      <c r="A56" s="1695"/>
      <c r="B56" s="1688"/>
      <c r="C56" s="1689"/>
      <c r="D56" s="732">
        <v>2314</v>
      </c>
      <c r="E56" s="565">
        <v>285</v>
      </c>
      <c r="F56" s="565"/>
      <c r="G56" s="565">
        <f t="shared" si="10"/>
        <v>285</v>
      </c>
      <c r="H56" s="565"/>
      <c r="I56" s="1704"/>
    </row>
    <row r="57" spans="1:9" x14ac:dyDescent="0.2">
      <c r="A57" s="1695" t="s">
        <v>576</v>
      </c>
      <c r="B57" s="1684" t="s">
        <v>577</v>
      </c>
      <c r="C57" s="1685"/>
      <c r="D57" s="732">
        <v>2261</v>
      </c>
      <c r="E57" s="736">
        <v>72</v>
      </c>
      <c r="F57" s="736"/>
      <c r="G57" s="736">
        <f t="shared" si="10"/>
        <v>72</v>
      </c>
      <c r="H57" s="736"/>
      <c r="I57" s="1676" t="s">
        <v>540</v>
      </c>
    </row>
    <row r="58" spans="1:9" ht="12.75" customHeight="1" x14ac:dyDescent="0.2">
      <c r="A58" s="1695"/>
      <c r="B58" s="1686"/>
      <c r="C58" s="1687"/>
      <c r="D58" s="732">
        <v>2264</v>
      </c>
      <c r="E58" s="565">
        <v>72</v>
      </c>
      <c r="F58" s="565"/>
      <c r="G58" s="565">
        <f t="shared" si="10"/>
        <v>72</v>
      </c>
      <c r="H58" s="565"/>
      <c r="I58" s="1677"/>
    </row>
    <row r="59" spans="1:9" ht="12.75" customHeight="1" x14ac:dyDescent="0.2">
      <c r="A59" s="1695"/>
      <c r="B59" s="1688"/>
      <c r="C59" s="1689"/>
      <c r="D59" s="732">
        <v>2314</v>
      </c>
      <c r="E59" s="565">
        <v>150</v>
      </c>
      <c r="F59" s="565"/>
      <c r="G59" s="565">
        <f t="shared" si="10"/>
        <v>150</v>
      </c>
      <c r="H59" s="565"/>
      <c r="I59" s="1678"/>
    </row>
    <row r="60" spans="1:9" x14ac:dyDescent="0.2">
      <c r="A60" s="1705" t="s">
        <v>578</v>
      </c>
      <c r="B60" s="1684" t="s">
        <v>579</v>
      </c>
      <c r="C60" s="1685"/>
      <c r="D60" s="732">
        <v>2261</v>
      </c>
      <c r="E60" s="565">
        <v>144</v>
      </c>
      <c r="F60" s="565"/>
      <c r="G60" s="565">
        <f t="shared" si="10"/>
        <v>144</v>
      </c>
      <c r="H60" s="565"/>
      <c r="I60" s="1676" t="s">
        <v>540</v>
      </c>
    </row>
    <row r="61" spans="1:9" ht="12.75" customHeight="1" x14ac:dyDescent="0.2">
      <c r="A61" s="1705"/>
      <c r="B61" s="1686"/>
      <c r="C61" s="1687"/>
      <c r="D61" s="732">
        <v>2264</v>
      </c>
      <c r="E61" s="565">
        <v>72</v>
      </c>
      <c r="F61" s="565"/>
      <c r="G61" s="565">
        <f t="shared" si="10"/>
        <v>72</v>
      </c>
      <c r="H61" s="565"/>
      <c r="I61" s="1677"/>
    </row>
    <row r="62" spans="1:9" ht="12.75" customHeight="1" x14ac:dyDescent="0.2">
      <c r="A62" s="1705"/>
      <c r="B62" s="1688"/>
      <c r="C62" s="1689"/>
      <c r="D62" s="732">
        <v>2314</v>
      </c>
      <c r="E62" s="565">
        <v>285</v>
      </c>
      <c r="F62" s="565"/>
      <c r="G62" s="565">
        <f t="shared" si="10"/>
        <v>285</v>
      </c>
      <c r="H62" s="565"/>
      <c r="I62" s="1678"/>
    </row>
    <row r="63" spans="1:9" x14ac:dyDescent="0.2">
      <c r="A63" s="1695" t="s">
        <v>580</v>
      </c>
      <c r="B63" s="1684" t="s">
        <v>581</v>
      </c>
      <c r="C63" s="1685"/>
      <c r="D63" s="732">
        <v>2261</v>
      </c>
      <c r="E63" s="565">
        <v>72</v>
      </c>
      <c r="F63" s="565"/>
      <c r="G63" s="565">
        <f t="shared" si="10"/>
        <v>72</v>
      </c>
      <c r="H63" s="565"/>
      <c r="I63" s="1676" t="s">
        <v>540</v>
      </c>
    </row>
    <row r="64" spans="1:9" ht="12.75" customHeight="1" x14ac:dyDescent="0.2">
      <c r="A64" s="1695"/>
      <c r="B64" s="1688"/>
      <c r="C64" s="1689"/>
      <c r="D64" s="732">
        <v>2314</v>
      </c>
      <c r="E64" s="565">
        <v>210</v>
      </c>
      <c r="F64" s="565"/>
      <c r="G64" s="565">
        <f t="shared" si="10"/>
        <v>210</v>
      </c>
      <c r="H64" s="565"/>
      <c r="I64" s="1678"/>
    </row>
    <row r="65" spans="1:9" x14ac:dyDescent="0.2">
      <c r="A65" s="731">
        <v>7</v>
      </c>
      <c r="B65" s="1693" t="s">
        <v>582</v>
      </c>
      <c r="C65" s="1694"/>
      <c r="D65" s="730"/>
      <c r="E65" s="730">
        <f>SUM(E66:E80)</f>
        <v>3634</v>
      </c>
      <c r="F65" s="730">
        <f t="shared" ref="F65:G65" si="11">SUM(F66:F80)</f>
        <v>0</v>
      </c>
      <c r="G65" s="730">
        <f t="shared" si="11"/>
        <v>3634</v>
      </c>
      <c r="H65" s="730"/>
      <c r="I65" s="565"/>
    </row>
    <row r="66" spans="1:9" x14ac:dyDescent="0.2">
      <c r="A66" s="734" t="s">
        <v>583</v>
      </c>
      <c r="B66" s="1700" t="s">
        <v>584</v>
      </c>
      <c r="C66" s="1701"/>
      <c r="D66" s="732">
        <v>2279</v>
      </c>
      <c r="E66" s="565">
        <v>84</v>
      </c>
      <c r="F66" s="565"/>
      <c r="G66" s="565">
        <f t="shared" ref="G66:G80" si="12">E66+F66</f>
        <v>84</v>
      </c>
      <c r="H66" s="565"/>
      <c r="I66" s="579" t="s">
        <v>540</v>
      </c>
    </row>
    <row r="67" spans="1:9" x14ac:dyDescent="0.2">
      <c r="A67" s="734" t="s">
        <v>585</v>
      </c>
      <c r="B67" s="1700" t="s">
        <v>586</v>
      </c>
      <c r="C67" s="1701"/>
      <c r="D67" s="732">
        <v>2279</v>
      </c>
      <c r="E67" s="565">
        <v>108</v>
      </c>
      <c r="F67" s="565"/>
      <c r="G67" s="565">
        <f t="shared" si="12"/>
        <v>108</v>
      </c>
      <c r="H67" s="565"/>
      <c r="I67" s="579" t="s">
        <v>540</v>
      </c>
    </row>
    <row r="68" spans="1:9" x14ac:dyDescent="0.2">
      <c r="A68" s="734" t="s">
        <v>587</v>
      </c>
      <c r="B68" s="1700" t="s">
        <v>588</v>
      </c>
      <c r="C68" s="1701"/>
      <c r="D68" s="732">
        <v>2279</v>
      </c>
      <c r="E68" s="565">
        <v>186</v>
      </c>
      <c r="F68" s="565"/>
      <c r="G68" s="565">
        <f t="shared" si="12"/>
        <v>186</v>
      </c>
      <c r="H68" s="565"/>
      <c r="I68" s="579" t="s">
        <v>540</v>
      </c>
    </row>
    <row r="69" spans="1:9" x14ac:dyDescent="0.2">
      <c r="A69" s="734" t="s">
        <v>589</v>
      </c>
      <c r="B69" s="1700" t="s">
        <v>590</v>
      </c>
      <c r="C69" s="1701"/>
      <c r="D69" s="732">
        <v>2279</v>
      </c>
      <c r="E69" s="565">
        <v>288</v>
      </c>
      <c r="F69" s="565"/>
      <c r="G69" s="565">
        <f t="shared" si="12"/>
        <v>288</v>
      </c>
      <c r="H69" s="565"/>
      <c r="I69" s="579" t="s">
        <v>540</v>
      </c>
    </row>
    <row r="70" spans="1:9" x14ac:dyDescent="0.2">
      <c r="A70" s="734" t="s">
        <v>591</v>
      </c>
      <c r="B70" s="1700" t="s">
        <v>592</v>
      </c>
      <c r="C70" s="1701"/>
      <c r="D70" s="732">
        <v>2279</v>
      </c>
      <c r="E70" s="565">
        <v>216</v>
      </c>
      <c r="F70" s="565"/>
      <c r="G70" s="565">
        <f t="shared" si="12"/>
        <v>216</v>
      </c>
      <c r="H70" s="565"/>
      <c r="I70" s="579" t="s">
        <v>540</v>
      </c>
    </row>
    <row r="71" spans="1:9" x14ac:dyDescent="0.2">
      <c r="A71" s="734" t="s">
        <v>593</v>
      </c>
      <c r="B71" s="1700" t="s">
        <v>594</v>
      </c>
      <c r="C71" s="1701"/>
      <c r="D71" s="732">
        <v>2279</v>
      </c>
      <c r="E71" s="565">
        <v>360</v>
      </c>
      <c r="F71" s="565"/>
      <c r="G71" s="565">
        <f t="shared" si="12"/>
        <v>360</v>
      </c>
      <c r="H71" s="565"/>
      <c r="I71" s="579" t="s">
        <v>540</v>
      </c>
    </row>
    <row r="72" spans="1:9" x14ac:dyDescent="0.2">
      <c r="A72" s="734" t="s">
        <v>595</v>
      </c>
      <c r="B72" s="1700" t="s">
        <v>596</v>
      </c>
      <c r="C72" s="1701"/>
      <c r="D72" s="732">
        <v>2279</v>
      </c>
      <c r="E72" s="565">
        <v>120</v>
      </c>
      <c r="F72" s="565"/>
      <c r="G72" s="565">
        <f t="shared" si="12"/>
        <v>120</v>
      </c>
      <c r="H72" s="565"/>
      <c r="I72" s="579" t="s">
        <v>540</v>
      </c>
    </row>
    <row r="73" spans="1:9" x14ac:dyDescent="0.2">
      <c r="A73" s="737" t="s">
        <v>597</v>
      </c>
      <c r="B73" s="1684" t="s">
        <v>598</v>
      </c>
      <c r="C73" s="1685"/>
      <c r="D73" s="732">
        <v>2279</v>
      </c>
      <c r="E73" s="565">
        <v>240</v>
      </c>
      <c r="F73" s="565"/>
      <c r="G73" s="565">
        <f t="shared" si="12"/>
        <v>240</v>
      </c>
      <c r="H73" s="565"/>
      <c r="I73" s="738" t="s">
        <v>540</v>
      </c>
    </row>
    <row r="74" spans="1:9" x14ac:dyDescent="0.2">
      <c r="A74" s="737" t="s">
        <v>599</v>
      </c>
      <c r="B74" s="1684" t="s">
        <v>600</v>
      </c>
      <c r="C74" s="1685"/>
      <c r="D74" s="732">
        <v>2279</v>
      </c>
      <c r="E74" s="565">
        <v>240</v>
      </c>
      <c r="F74" s="565"/>
      <c r="G74" s="565">
        <f t="shared" si="12"/>
        <v>240</v>
      </c>
      <c r="H74" s="565"/>
      <c r="I74" s="738" t="s">
        <v>540</v>
      </c>
    </row>
    <row r="75" spans="1:9" x14ac:dyDescent="0.2">
      <c r="A75" s="734" t="s">
        <v>601</v>
      </c>
      <c r="B75" s="1700" t="s">
        <v>602</v>
      </c>
      <c r="C75" s="1701"/>
      <c r="D75" s="732">
        <v>2279</v>
      </c>
      <c r="E75" s="565">
        <v>210</v>
      </c>
      <c r="F75" s="565"/>
      <c r="G75" s="565">
        <f t="shared" si="12"/>
        <v>210</v>
      </c>
      <c r="H75" s="565"/>
      <c r="I75" s="579" t="s">
        <v>540</v>
      </c>
    </row>
    <row r="76" spans="1:9" x14ac:dyDescent="0.2">
      <c r="A76" s="734" t="s">
        <v>603</v>
      </c>
      <c r="B76" s="1700" t="s">
        <v>604</v>
      </c>
      <c r="C76" s="1701"/>
      <c r="D76" s="732">
        <v>2279</v>
      </c>
      <c r="E76" s="565">
        <v>84</v>
      </c>
      <c r="F76" s="565"/>
      <c r="G76" s="565">
        <f t="shared" si="12"/>
        <v>84</v>
      </c>
      <c r="H76" s="565"/>
      <c r="I76" s="579" t="s">
        <v>540</v>
      </c>
    </row>
    <row r="77" spans="1:9" ht="12" customHeight="1" x14ac:dyDescent="0.2">
      <c r="A77" s="1706" t="s">
        <v>605</v>
      </c>
      <c r="B77" s="1684" t="s">
        <v>606</v>
      </c>
      <c r="C77" s="1685"/>
      <c r="D77" s="732">
        <v>2314</v>
      </c>
      <c r="E77" s="565">
        <v>345</v>
      </c>
      <c r="F77" s="565"/>
      <c r="G77" s="565">
        <f t="shared" si="12"/>
        <v>345</v>
      </c>
      <c r="H77" s="565"/>
      <c r="I77" s="1676" t="s">
        <v>540</v>
      </c>
    </row>
    <row r="78" spans="1:9" ht="12.75" customHeight="1" x14ac:dyDescent="0.2">
      <c r="A78" s="1707"/>
      <c r="B78" s="1686"/>
      <c r="C78" s="1687"/>
      <c r="D78" s="732">
        <v>2311</v>
      </c>
      <c r="E78" s="565">
        <v>15</v>
      </c>
      <c r="F78" s="565"/>
      <c r="G78" s="565">
        <f t="shared" si="12"/>
        <v>15</v>
      </c>
      <c r="H78" s="565"/>
      <c r="I78" s="1677"/>
    </row>
    <row r="79" spans="1:9" ht="12.75" customHeight="1" x14ac:dyDescent="0.2">
      <c r="A79" s="1708"/>
      <c r="B79" s="1688"/>
      <c r="C79" s="1689"/>
      <c r="D79" s="732">
        <v>2279</v>
      </c>
      <c r="E79" s="565">
        <v>138</v>
      </c>
      <c r="F79" s="565"/>
      <c r="G79" s="565">
        <f t="shared" si="12"/>
        <v>138</v>
      </c>
      <c r="H79" s="565"/>
      <c r="I79" s="1678"/>
    </row>
    <row r="80" spans="1:9" x14ac:dyDescent="0.2">
      <c r="A80" s="734" t="s">
        <v>607</v>
      </c>
      <c r="B80" s="1700" t="s">
        <v>608</v>
      </c>
      <c r="C80" s="1701"/>
      <c r="D80" s="732">
        <v>2279</v>
      </c>
      <c r="E80" s="565">
        <v>1000</v>
      </c>
      <c r="F80" s="565"/>
      <c r="G80" s="565">
        <f t="shared" si="12"/>
        <v>1000</v>
      </c>
      <c r="H80" s="565"/>
      <c r="I80" s="579" t="s">
        <v>540</v>
      </c>
    </row>
    <row r="81" spans="1:9" x14ac:dyDescent="0.2">
      <c r="A81" s="731">
        <v>8</v>
      </c>
      <c r="B81" s="1693" t="s">
        <v>609</v>
      </c>
      <c r="C81" s="1694"/>
      <c r="D81" s="730"/>
      <c r="E81" s="730">
        <f>SUM(E82:E90)</f>
        <v>2476</v>
      </c>
      <c r="F81" s="730">
        <f t="shared" ref="F81:G81" si="13">SUM(F82:F90)</f>
        <v>0</v>
      </c>
      <c r="G81" s="730">
        <f t="shared" si="13"/>
        <v>2476</v>
      </c>
      <c r="H81" s="730"/>
      <c r="I81" s="565"/>
    </row>
    <row r="82" spans="1:9" x14ac:dyDescent="0.2">
      <c r="A82" s="734" t="s">
        <v>610</v>
      </c>
      <c r="B82" s="1700" t="s">
        <v>611</v>
      </c>
      <c r="C82" s="1701"/>
      <c r="D82" s="732">
        <v>2279</v>
      </c>
      <c r="E82" s="565">
        <v>350</v>
      </c>
      <c r="F82" s="565"/>
      <c r="G82" s="565">
        <f t="shared" ref="G82:G90" si="14">E82+F82</f>
        <v>350</v>
      </c>
      <c r="H82" s="565"/>
      <c r="I82" s="579" t="s">
        <v>540</v>
      </c>
    </row>
    <row r="83" spans="1:9" ht="24" customHeight="1" x14ac:dyDescent="0.2">
      <c r="A83" s="734" t="s">
        <v>612</v>
      </c>
      <c r="B83" s="1700" t="s">
        <v>613</v>
      </c>
      <c r="C83" s="1701"/>
      <c r="D83" s="732">
        <v>2279</v>
      </c>
      <c r="E83" s="565">
        <v>426</v>
      </c>
      <c r="F83" s="565"/>
      <c r="G83" s="565">
        <f t="shared" si="14"/>
        <v>426</v>
      </c>
      <c r="H83" s="565"/>
      <c r="I83" s="579" t="s">
        <v>540</v>
      </c>
    </row>
    <row r="84" spans="1:9" x14ac:dyDescent="0.2">
      <c r="A84" s="734" t="s">
        <v>614</v>
      </c>
      <c r="B84" s="1700" t="s">
        <v>615</v>
      </c>
      <c r="C84" s="1701"/>
      <c r="D84" s="732">
        <v>2279</v>
      </c>
      <c r="E84" s="565">
        <v>171</v>
      </c>
      <c r="F84" s="565"/>
      <c r="G84" s="565">
        <f t="shared" si="14"/>
        <v>171</v>
      </c>
      <c r="H84" s="565"/>
      <c r="I84" s="579" t="s">
        <v>540</v>
      </c>
    </row>
    <row r="85" spans="1:9" ht="26.25" customHeight="1" x14ac:dyDescent="0.2">
      <c r="A85" s="734" t="s">
        <v>616</v>
      </c>
      <c r="B85" s="1700" t="s">
        <v>617</v>
      </c>
      <c r="C85" s="1701"/>
      <c r="D85" s="732">
        <v>2279</v>
      </c>
      <c r="E85" s="565">
        <v>171</v>
      </c>
      <c r="F85" s="565"/>
      <c r="G85" s="565">
        <f t="shared" si="14"/>
        <v>171</v>
      </c>
      <c r="H85" s="565"/>
      <c r="I85" s="579" t="s">
        <v>540</v>
      </c>
    </row>
    <row r="86" spans="1:9" x14ac:dyDescent="0.2">
      <c r="A86" s="734" t="s">
        <v>618</v>
      </c>
      <c r="B86" s="1700" t="s">
        <v>619</v>
      </c>
      <c r="C86" s="1701"/>
      <c r="D86" s="732">
        <v>2279</v>
      </c>
      <c r="E86" s="565">
        <v>220</v>
      </c>
      <c r="F86" s="565"/>
      <c r="G86" s="565">
        <f t="shared" si="14"/>
        <v>220</v>
      </c>
      <c r="H86" s="565"/>
      <c r="I86" s="579" t="s">
        <v>540</v>
      </c>
    </row>
    <row r="87" spans="1:9" x14ac:dyDescent="0.2">
      <c r="A87" s="734" t="s">
        <v>620</v>
      </c>
      <c r="B87" s="1700" t="s">
        <v>621</v>
      </c>
      <c r="C87" s="1701"/>
      <c r="D87" s="732">
        <v>2279</v>
      </c>
      <c r="E87" s="736">
        <v>150</v>
      </c>
      <c r="F87" s="736"/>
      <c r="G87" s="736">
        <f t="shared" si="14"/>
        <v>150</v>
      </c>
      <c r="H87" s="736"/>
      <c r="I87" s="579" t="s">
        <v>540</v>
      </c>
    </row>
    <row r="88" spans="1:9" x14ac:dyDescent="0.2">
      <c r="A88" s="739" t="s">
        <v>622</v>
      </c>
      <c r="B88" s="1700" t="s">
        <v>623</v>
      </c>
      <c r="C88" s="1701"/>
      <c r="D88" s="732">
        <v>2279</v>
      </c>
      <c r="E88" s="565">
        <v>150</v>
      </c>
      <c r="F88" s="565"/>
      <c r="G88" s="565">
        <f t="shared" si="14"/>
        <v>150</v>
      </c>
      <c r="H88" s="565"/>
      <c r="I88" s="579" t="s">
        <v>540</v>
      </c>
    </row>
    <row r="89" spans="1:9" x14ac:dyDescent="0.2">
      <c r="A89" s="734" t="s">
        <v>624</v>
      </c>
      <c r="B89" s="1700" t="s">
        <v>625</v>
      </c>
      <c r="C89" s="1701"/>
      <c r="D89" s="732">
        <v>2279</v>
      </c>
      <c r="E89" s="565">
        <v>618</v>
      </c>
      <c r="F89" s="565"/>
      <c r="G89" s="565">
        <f t="shared" si="14"/>
        <v>618</v>
      </c>
      <c r="H89" s="565"/>
      <c r="I89" s="579" t="s">
        <v>540</v>
      </c>
    </row>
    <row r="90" spans="1:9" x14ac:dyDescent="0.2">
      <c r="A90" s="734" t="s">
        <v>626</v>
      </c>
      <c r="B90" s="1700" t="s">
        <v>627</v>
      </c>
      <c r="C90" s="1701"/>
      <c r="D90" s="732">
        <v>2279</v>
      </c>
      <c r="E90" s="565">
        <v>220</v>
      </c>
      <c r="F90" s="565"/>
      <c r="G90" s="565">
        <f t="shared" si="14"/>
        <v>220</v>
      </c>
      <c r="H90" s="565"/>
      <c r="I90" s="579" t="s">
        <v>540</v>
      </c>
    </row>
    <row r="91" spans="1:9" x14ac:dyDescent="0.2">
      <c r="A91" s="731">
        <v>9</v>
      </c>
      <c r="B91" s="1693" t="s">
        <v>628</v>
      </c>
      <c r="C91" s="1694"/>
      <c r="D91" s="730"/>
      <c r="E91" s="730">
        <f>SUM(E92:E105)</f>
        <v>5705</v>
      </c>
      <c r="F91" s="730">
        <f t="shared" ref="F91:G91" si="15">SUM(F92:F105)</f>
        <v>0</v>
      </c>
      <c r="G91" s="730">
        <f t="shared" si="15"/>
        <v>5705</v>
      </c>
      <c r="H91" s="730"/>
      <c r="I91" s="565"/>
    </row>
    <row r="92" spans="1:9" x14ac:dyDescent="0.2">
      <c r="A92" s="1695" t="s">
        <v>629</v>
      </c>
      <c r="B92" s="1684" t="s">
        <v>630</v>
      </c>
      <c r="C92" s="1685"/>
      <c r="D92" s="732">
        <v>2264</v>
      </c>
      <c r="E92" s="565">
        <v>570</v>
      </c>
      <c r="F92" s="565"/>
      <c r="G92" s="565">
        <f t="shared" ref="G92:G105" si="16">E92+F92</f>
        <v>570</v>
      </c>
      <c r="H92" s="565"/>
      <c r="I92" s="1676" t="s">
        <v>540</v>
      </c>
    </row>
    <row r="93" spans="1:9" ht="12.75" customHeight="1" x14ac:dyDescent="0.2">
      <c r="A93" s="1695"/>
      <c r="B93" s="1686"/>
      <c r="C93" s="1687"/>
      <c r="D93" s="732">
        <v>2279</v>
      </c>
      <c r="E93" s="565">
        <v>720</v>
      </c>
      <c r="F93" s="565"/>
      <c r="G93" s="565">
        <f t="shared" si="16"/>
        <v>720</v>
      </c>
      <c r="H93" s="565"/>
      <c r="I93" s="1677"/>
    </row>
    <row r="94" spans="1:9" ht="12.75" customHeight="1" x14ac:dyDescent="0.2">
      <c r="A94" s="1695"/>
      <c r="B94" s="1688"/>
      <c r="C94" s="1689"/>
      <c r="D94" s="732">
        <v>2314</v>
      </c>
      <c r="E94" s="565">
        <v>1485</v>
      </c>
      <c r="F94" s="565"/>
      <c r="G94" s="565">
        <f t="shared" si="16"/>
        <v>1485</v>
      </c>
      <c r="H94" s="565"/>
      <c r="I94" s="1678"/>
    </row>
    <row r="95" spans="1:9" x14ac:dyDescent="0.2">
      <c r="A95" s="1695" t="s">
        <v>631</v>
      </c>
      <c r="B95" s="1684" t="s">
        <v>632</v>
      </c>
      <c r="C95" s="1685"/>
      <c r="D95" s="732">
        <v>2264</v>
      </c>
      <c r="E95" s="736">
        <v>600</v>
      </c>
      <c r="F95" s="736"/>
      <c r="G95" s="736">
        <f t="shared" si="16"/>
        <v>600</v>
      </c>
      <c r="H95" s="736"/>
      <c r="I95" s="1676" t="s">
        <v>540</v>
      </c>
    </row>
    <row r="96" spans="1:9" ht="12.75" customHeight="1" x14ac:dyDescent="0.2">
      <c r="A96" s="1695"/>
      <c r="B96" s="1686"/>
      <c r="C96" s="1687"/>
      <c r="D96" s="732">
        <v>2279</v>
      </c>
      <c r="E96" s="565">
        <v>712</v>
      </c>
      <c r="F96" s="565"/>
      <c r="G96" s="565">
        <f t="shared" si="16"/>
        <v>712</v>
      </c>
      <c r="H96" s="565"/>
      <c r="I96" s="1677"/>
    </row>
    <row r="97" spans="1:9" ht="12.75" customHeight="1" x14ac:dyDescent="0.2">
      <c r="A97" s="1695"/>
      <c r="B97" s="1688"/>
      <c r="C97" s="1689"/>
      <c r="D97" s="732">
        <v>2314</v>
      </c>
      <c r="E97" s="565">
        <v>870</v>
      </c>
      <c r="F97" s="565"/>
      <c r="G97" s="565">
        <f t="shared" si="16"/>
        <v>870</v>
      </c>
      <c r="H97" s="565"/>
      <c r="I97" s="1678"/>
    </row>
    <row r="98" spans="1:9" s="604" customFormat="1" ht="12.75" customHeight="1" x14ac:dyDescent="0.2">
      <c r="A98" s="1681" t="s">
        <v>633</v>
      </c>
      <c r="B98" s="1684" t="s">
        <v>634</v>
      </c>
      <c r="C98" s="1685"/>
      <c r="D98" s="732">
        <v>2279</v>
      </c>
      <c r="E98" s="565">
        <v>96</v>
      </c>
      <c r="F98" s="565"/>
      <c r="G98" s="565">
        <f t="shared" si="16"/>
        <v>96</v>
      </c>
      <c r="H98" s="565"/>
      <c r="I98" s="1676" t="s">
        <v>540</v>
      </c>
    </row>
    <row r="99" spans="1:9" s="604" customFormat="1" ht="12.75" customHeight="1" x14ac:dyDescent="0.2">
      <c r="A99" s="1682"/>
      <c r="B99" s="1686"/>
      <c r="C99" s="1687"/>
      <c r="D99" s="732">
        <v>2314</v>
      </c>
      <c r="E99" s="565">
        <v>200</v>
      </c>
      <c r="F99" s="565"/>
      <c r="G99" s="565">
        <f t="shared" si="16"/>
        <v>200</v>
      </c>
      <c r="H99" s="565"/>
      <c r="I99" s="1677"/>
    </row>
    <row r="100" spans="1:9" s="604" customFormat="1" ht="12.75" customHeight="1" x14ac:dyDescent="0.2">
      <c r="A100" s="1683"/>
      <c r="B100" s="1688"/>
      <c r="C100" s="1689"/>
      <c r="D100" s="732">
        <v>2261</v>
      </c>
      <c r="E100" s="565">
        <v>207</v>
      </c>
      <c r="F100" s="565"/>
      <c r="G100" s="565">
        <f t="shared" si="16"/>
        <v>207</v>
      </c>
      <c r="H100" s="565"/>
      <c r="I100" s="1678"/>
    </row>
    <row r="101" spans="1:9" s="604" customFormat="1" ht="12.75" customHeight="1" x14ac:dyDescent="0.2">
      <c r="A101" s="1681" t="s">
        <v>635</v>
      </c>
      <c r="B101" s="1684" t="s">
        <v>636</v>
      </c>
      <c r="C101" s="1685"/>
      <c r="D101" s="732">
        <v>2279</v>
      </c>
      <c r="E101" s="565">
        <v>50</v>
      </c>
      <c r="F101" s="565"/>
      <c r="G101" s="565">
        <f t="shared" si="16"/>
        <v>50</v>
      </c>
      <c r="H101" s="565"/>
      <c r="I101" s="1676" t="s">
        <v>540</v>
      </c>
    </row>
    <row r="102" spans="1:9" s="604" customFormat="1" ht="12.75" customHeight="1" x14ac:dyDescent="0.2">
      <c r="A102" s="1682"/>
      <c r="B102" s="1686"/>
      <c r="C102" s="1687"/>
      <c r="D102" s="732">
        <v>2279</v>
      </c>
      <c r="E102" s="565">
        <v>50</v>
      </c>
      <c r="F102" s="565"/>
      <c r="G102" s="565">
        <f t="shared" si="16"/>
        <v>50</v>
      </c>
      <c r="H102" s="565"/>
      <c r="I102" s="1677"/>
    </row>
    <row r="103" spans="1:9" s="604" customFormat="1" ht="12.75" customHeight="1" x14ac:dyDescent="0.2">
      <c r="A103" s="1682"/>
      <c r="B103" s="1686"/>
      <c r="C103" s="1687"/>
      <c r="D103" s="732">
        <v>2264</v>
      </c>
      <c r="E103" s="565">
        <v>40</v>
      </c>
      <c r="F103" s="565"/>
      <c r="G103" s="565">
        <f t="shared" si="16"/>
        <v>40</v>
      </c>
      <c r="H103" s="565"/>
      <c r="I103" s="1677"/>
    </row>
    <row r="104" spans="1:9" s="604" customFormat="1" ht="12.75" customHeight="1" x14ac:dyDescent="0.2">
      <c r="A104" s="1682"/>
      <c r="B104" s="1686"/>
      <c r="C104" s="1687"/>
      <c r="D104" s="732">
        <v>2223</v>
      </c>
      <c r="E104" s="565">
        <v>40</v>
      </c>
      <c r="F104" s="565"/>
      <c r="G104" s="565">
        <f t="shared" si="16"/>
        <v>40</v>
      </c>
      <c r="H104" s="565"/>
      <c r="I104" s="1677"/>
    </row>
    <row r="105" spans="1:9" s="604" customFormat="1" ht="12.75" customHeight="1" x14ac:dyDescent="0.2">
      <c r="A105" s="1683"/>
      <c r="B105" s="1688"/>
      <c r="C105" s="1689"/>
      <c r="D105" s="732">
        <v>2314</v>
      </c>
      <c r="E105" s="565">
        <v>65</v>
      </c>
      <c r="F105" s="565"/>
      <c r="G105" s="565">
        <f t="shared" si="16"/>
        <v>65</v>
      </c>
      <c r="H105" s="565"/>
      <c r="I105" s="1678"/>
    </row>
    <row r="106" spans="1:9" x14ac:dyDescent="0.2">
      <c r="A106" s="731">
        <v>10</v>
      </c>
      <c r="B106" s="1693" t="s">
        <v>637</v>
      </c>
      <c r="C106" s="1694"/>
      <c r="D106" s="730"/>
      <c r="E106" s="730">
        <f>SUM(E107:E111)</f>
        <v>313565</v>
      </c>
      <c r="F106" s="730">
        <f t="shared" ref="F106:G106" si="17">SUM(F107:F111)</f>
        <v>0</v>
      </c>
      <c r="G106" s="730">
        <f t="shared" si="17"/>
        <v>313565</v>
      </c>
      <c r="H106" s="730"/>
      <c r="I106" s="565"/>
    </row>
    <row r="107" spans="1:9" x14ac:dyDescent="0.2">
      <c r="A107" s="734" t="s">
        <v>638</v>
      </c>
      <c r="B107" s="1700" t="s">
        <v>639</v>
      </c>
      <c r="C107" s="1701"/>
      <c r="D107" s="735">
        <v>2279</v>
      </c>
      <c r="E107" s="565">
        <v>6000</v>
      </c>
      <c r="F107" s="565"/>
      <c r="G107" s="565">
        <f t="shared" ref="G107:G111" si="18">E107+F107</f>
        <v>6000</v>
      </c>
      <c r="H107" s="565"/>
      <c r="I107" s="579" t="s">
        <v>540</v>
      </c>
    </row>
    <row r="108" spans="1:9" ht="21" customHeight="1" x14ac:dyDescent="0.2">
      <c r="A108" s="734" t="s">
        <v>640</v>
      </c>
      <c r="B108" s="1700" t="s">
        <v>641</v>
      </c>
      <c r="C108" s="1701"/>
      <c r="D108" s="735">
        <v>2279</v>
      </c>
      <c r="E108" s="565">
        <v>4625</v>
      </c>
      <c r="F108" s="565"/>
      <c r="G108" s="565">
        <f t="shared" si="18"/>
        <v>4625</v>
      </c>
      <c r="H108" s="565"/>
      <c r="I108" s="579" t="s">
        <v>540</v>
      </c>
    </row>
    <row r="109" spans="1:9" ht="43.5" customHeight="1" x14ac:dyDescent="0.2">
      <c r="A109" s="734" t="s">
        <v>642</v>
      </c>
      <c r="B109" s="1700" t="s">
        <v>643</v>
      </c>
      <c r="C109" s="1701"/>
      <c r="D109" s="740">
        <v>2279</v>
      </c>
      <c r="E109" s="565">
        <f>350000-50000</f>
        <v>300000</v>
      </c>
      <c r="F109" s="565"/>
      <c r="G109" s="565">
        <f t="shared" si="18"/>
        <v>300000</v>
      </c>
      <c r="H109" s="565"/>
      <c r="I109" s="579" t="s">
        <v>540</v>
      </c>
    </row>
    <row r="110" spans="1:9" ht="24" customHeight="1" x14ac:dyDescent="0.2">
      <c r="A110" s="734" t="s">
        <v>644</v>
      </c>
      <c r="B110" s="1700" t="s">
        <v>645</v>
      </c>
      <c r="C110" s="1701"/>
      <c r="D110" s="735">
        <v>2279</v>
      </c>
      <c r="E110" s="565">
        <v>1440</v>
      </c>
      <c r="F110" s="565"/>
      <c r="G110" s="565">
        <f t="shared" si="18"/>
        <v>1440</v>
      </c>
      <c r="H110" s="565"/>
      <c r="I110" s="579" t="s">
        <v>540</v>
      </c>
    </row>
    <row r="111" spans="1:9" ht="22.5" customHeight="1" x14ac:dyDescent="0.2">
      <c r="A111" s="734" t="s">
        <v>646</v>
      </c>
      <c r="B111" s="1700" t="s">
        <v>647</v>
      </c>
      <c r="C111" s="1701"/>
      <c r="D111" s="735">
        <v>2279</v>
      </c>
      <c r="E111" s="565">
        <v>1500</v>
      </c>
      <c r="F111" s="565"/>
      <c r="G111" s="565">
        <f t="shared" si="18"/>
        <v>1500</v>
      </c>
      <c r="H111" s="565"/>
      <c r="I111" s="579" t="s">
        <v>540</v>
      </c>
    </row>
    <row r="112" spans="1:9" x14ac:dyDescent="0.2">
      <c r="A112" s="731">
        <v>11</v>
      </c>
      <c r="B112" s="1693" t="s">
        <v>648</v>
      </c>
      <c r="C112" s="1694"/>
      <c r="D112" s="730"/>
      <c r="E112" s="730">
        <f>SUM(E113)</f>
        <v>1425</v>
      </c>
      <c r="F112" s="730">
        <f t="shared" ref="F112:G112" si="19">SUM(F113)</f>
        <v>0</v>
      </c>
      <c r="G112" s="730">
        <f t="shared" si="19"/>
        <v>1425</v>
      </c>
      <c r="H112" s="730"/>
      <c r="I112" s="565"/>
    </row>
    <row r="113" spans="1:9" x14ac:dyDescent="0.2">
      <c r="A113" s="734" t="s">
        <v>649</v>
      </c>
      <c r="B113" s="1700" t="s">
        <v>650</v>
      </c>
      <c r="C113" s="1701"/>
      <c r="D113" s="735">
        <v>2279</v>
      </c>
      <c r="E113" s="565">
        <v>1425</v>
      </c>
      <c r="F113" s="565"/>
      <c r="G113" s="565">
        <f>E113+F113</f>
        <v>1425</v>
      </c>
      <c r="H113" s="565"/>
      <c r="I113" s="579" t="s">
        <v>540</v>
      </c>
    </row>
    <row r="114" spans="1:9" x14ac:dyDescent="0.2">
      <c r="A114" s="731">
        <v>12</v>
      </c>
      <c r="B114" s="1693" t="s">
        <v>651</v>
      </c>
      <c r="C114" s="1694"/>
      <c r="D114" s="730"/>
      <c r="E114" s="730">
        <f>SUM(E115:E118)</f>
        <v>10200</v>
      </c>
      <c r="F114" s="730">
        <f t="shared" ref="F114:G114" si="20">SUM(F115:F118)</f>
        <v>0</v>
      </c>
      <c r="G114" s="730">
        <f t="shared" si="20"/>
        <v>10200</v>
      </c>
      <c r="H114" s="730"/>
      <c r="I114" s="565"/>
    </row>
    <row r="115" spans="1:9" x14ac:dyDescent="0.2">
      <c r="A115" s="734" t="s">
        <v>652</v>
      </c>
      <c r="B115" s="1700" t="s">
        <v>653</v>
      </c>
      <c r="C115" s="1701"/>
      <c r="D115" s="732">
        <v>2279</v>
      </c>
      <c r="E115" s="565">
        <v>200</v>
      </c>
      <c r="F115" s="565"/>
      <c r="G115" s="565">
        <f t="shared" ref="G115:G118" si="21">E115+F115</f>
        <v>200</v>
      </c>
      <c r="H115" s="565"/>
      <c r="I115" s="565" t="s">
        <v>540</v>
      </c>
    </row>
    <row r="116" spans="1:9" ht="12.75" customHeight="1" x14ac:dyDescent="0.2">
      <c r="A116" s="734" t="s">
        <v>654</v>
      </c>
      <c r="B116" s="1700" t="s">
        <v>655</v>
      </c>
      <c r="C116" s="1701"/>
      <c r="D116" s="732">
        <v>2279</v>
      </c>
      <c r="E116" s="565">
        <v>4000</v>
      </c>
      <c r="F116" s="565"/>
      <c r="G116" s="565">
        <f t="shared" si="21"/>
        <v>4000</v>
      </c>
      <c r="H116" s="565"/>
      <c r="I116" s="565" t="s">
        <v>540</v>
      </c>
    </row>
    <row r="117" spans="1:9" ht="12.75" customHeight="1" x14ac:dyDescent="0.2">
      <c r="A117" s="734" t="s">
        <v>656</v>
      </c>
      <c r="B117" s="1700" t="s">
        <v>657</v>
      </c>
      <c r="C117" s="1701"/>
      <c r="D117" s="732">
        <v>2279</v>
      </c>
      <c r="E117" s="565">
        <v>4000</v>
      </c>
      <c r="F117" s="565"/>
      <c r="G117" s="565">
        <f t="shared" si="21"/>
        <v>4000</v>
      </c>
      <c r="H117" s="565"/>
      <c r="I117" s="565" t="s">
        <v>540</v>
      </c>
    </row>
    <row r="118" spans="1:9" ht="26.25" customHeight="1" x14ac:dyDescent="0.2">
      <c r="A118" s="734" t="s">
        <v>658</v>
      </c>
      <c r="B118" s="1700" t="s">
        <v>659</v>
      </c>
      <c r="C118" s="1701"/>
      <c r="D118" s="732">
        <v>2279</v>
      </c>
      <c r="E118" s="565">
        <v>2000</v>
      </c>
      <c r="F118" s="565"/>
      <c r="G118" s="565">
        <f t="shared" si="21"/>
        <v>2000</v>
      </c>
      <c r="H118" s="565"/>
      <c r="I118" s="565" t="s">
        <v>540</v>
      </c>
    </row>
    <row r="119" spans="1:9" x14ac:dyDescent="0.2">
      <c r="A119" s="731">
        <v>13</v>
      </c>
      <c r="B119" s="1693" t="s">
        <v>660</v>
      </c>
      <c r="C119" s="1694"/>
      <c r="D119" s="730"/>
      <c r="E119" s="730">
        <f>SUM(E120:E123)</f>
        <v>4980</v>
      </c>
      <c r="F119" s="730">
        <f>SUM(F120:F123)</f>
        <v>0</v>
      </c>
      <c r="G119" s="730">
        <f>SUM(G120:G123)</f>
        <v>4980</v>
      </c>
      <c r="H119" s="730"/>
      <c r="I119" s="565"/>
    </row>
    <row r="120" spans="1:9" ht="25.5" customHeight="1" x14ac:dyDescent="0.2">
      <c r="A120" s="734" t="s">
        <v>661</v>
      </c>
      <c r="B120" s="1700" t="s">
        <v>662</v>
      </c>
      <c r="C120" s="1701"/>
      <c r="D120" s="740">
        <v>2279</v>
      </c>
      <c r="E120" s="565">
        <v>550</v>
      </c>
      <c r="F120" s="565"/>
      <c r="G120" s="565">
        <f t="shared" ref="G120:G123" si="22">E120+F120</f>
        <v>550</v>
      </c>
      <c r="H120" s="565"/>
      <c r="I120" s="565" t="s">
        <v>540</v>
      </c>
    </row>
    <row r="121" spans="1:9" ht="18" customHeight="1" x14ac:dyDescent="0.2">
      <c r="A121" s="734" t="s">
        <v>663</v>
      </c>
      <c r="B121" s="1700" t="s">
        <v>664</v>
      </c>
      <c r="C121" s="1701"/>
      <c r="D121" s="740">
        <v>2279</v>
      </c>
      <c r="E121" s="565">
        <v>700</v>
      </c>
      <c r="F121" s="565"/>
      <c r="G121" s="565">
        <f t="shared" si="22"/>
        <v>700</v>
      </c>
      <c r="H121" s="565"/>
      <c r="I121" s="565" t="s">
        <v>540</v>
      </c>
    </row>
    <row r="122" spans="1:9" ht="18" customHeight="1" x14ac:dyDescent="0.2">
      <c r="A122" s="734" t="s">
        <v>665</v>
      </c>
      <c r="B122" s="1700" t="s">
        <v>666</v>
      </c>
      <c r="C122" s="1701"/>
      <c r="D122" s="740">
        <v>2279</v>
      </c>
      <c r="E122" s="565">
        <v>300</v>
      </c>
      <c r="F122" s="565"/>
      <c r="G122" s="565">
        <f t="shared" si="22"/>
        <v>300</v>
      </c>
      <c r="H122" s="565"/>
      <c r="I122" s="565" t="s">
        <v>540</v>
      </c>
    </row>
    <row r="123" spans="1:9" ht="18" customHeight="1" x14ac:dyDescent="0.2">
      <c r="A123" s="734">
        <v>13.4</v>
      </c>
      <c r="B123" s="1700" t="s">
        <v>667</v>
      </c>
      <c r="C123" s="1701"/>
      <c r="D123" s="740">
        <v>2279</v>
      </c>
      <c r="E123" s="565">
        <v>3430</v>
      </c>
      <c r="F123" s="565"/>
      <c r="G123" s="565">
        <f t="shared" si="22"/>
        <v>3430</v>
      </c>
      <c r="H123" s="565"/>
      <c r="I123" s="565" t="s">
        <v>540</v>
      </c>
    </row>
    <row r="124" spans="1:9" x14ac:dyDescent="0.2">
      <c r="A124" s="731">
        <v>14</v>
      </c>
      <c r="B124" s="1693" t="s">
        <v>668</v>
      </c>
      <c r="C124" s="1694"/>
      <c r="D124" s="730"/>
      <c r="E124" s="730">
        <f>SUM(E125:E128)</f>
        <v>0</v>
      </c>
      <c r="F124" s="730">
        <f t="shared" ref="F124:G124" si="23">SUM(F125:F128)</f>
        <v>0</v>
      </c>
      <c r="G124" s="730">
        <f t="shared" si="23"/>
        <v>0</v>
      </c>
      <c r="H124" s="730"/>
      <c r="I124" s="565"/>
    </row>
    <row r="125" spans="1:9" ht="24" customHeight="1" x14ac:dyDescent="0.2">
      <c r="A125" s="1695" t="s">
        <v>669</v>
      </c>
      <c r="B125" s="1684" t="s">
        <v>670</v>
      </c>
      <c r="C125" s="1685"/>
      <c r="D125" s="735">
        <v>2264</v>
      </c>
      <c r="E125" s="565">
        <f>50-50</f>
        <v>0</v>
      </c>
      <c r="F125" s="565"/>
      <c r="G125" s="565">
        <f t="shared" ref="G125:G128" si="24">E125+F125</f>
        <v>0</v>
      </c>
      <c r="H125" s="1676"/>
      <c r="I125" s="579" t="s">
        <v>540</v>
      </c>
    </row>
    <row r="126" spans="1:9" ht="12.75" customHeight="1" x14ac:dyDescent="0.2">
      <c r="A126" s="1695"/>
      <c r="B126" s="1686"/>
      <c r="C126" s="1687"/>
      <c r="D126" s="735">
        <v>2322</v>
      </c>
      <c r="E126" s="565">
        <f>250-250</f>
        <v>0</v>
      </c>
      <c r="F126" s="565"/>
      <c r="G126" s="565">
        <f t="shared" si="24"/>
        <v>0</v>
      </c>
      <c r="H126" s="1677"/>
      <c r="I126" s="579" t="s">
        <v>540</v>
      </c>
    </row>
    <row r="127" spans="1:9" ht="12.75" customHeight="1" x14ac:dyDescent="0.2">
      <c r="A127" s="1695"/>
      <c r="B127" s="1686"/>
      <c r="C127" s="1687"/>
      <c r="D127" s="735">
        <v>2261</v>
      </c>
      <c r="E127" s="565">
        <f>300-300</f>
        <v>0</v>
      </c>
      <c r="F127" s="565"/>
      <c r="G127" s="565">
        <f t="shared" si="24"/>
        <v>0</v>
      </c>
      <c r="H127" s="1677"/>
      <c r="I127" s="579" t="s">
        <v>540</v>
      </c>
    </row>
    <row r="128" spans="1:9" ht="12.75" customHeight="1" x14ac:dyDescent="0.2">
      <c r="A128" s="1695"/>
      <c r="B128" s="1688"/>
      <c r="C128" s="1689"/>
      <c r="D128" s="732">
        <v>2314</v>
      </c>
      <c r="E128" s="565">
        <f>400-400</f>
        <v>0</v>
      </c>
      <c r="F128" s="565"/>
      <c r="G128" s="565">
        <f t="shared" si="24"/>
        <v>0</v>
      </c>
      <c r="H128" s="1678"/>
      <c r="I128" s="579" t="s">
        <v>540</v>
      </c>
    </row>
    <row r="129" spans="1:9" x14ac:dyDescent="0.2">
      <c r="A129" s="731">
        <v>15</v>
      </c>
      <c r="B129" s="1693" t="s">
        <v>671</v>
      </c>
      <c r="C129" s="1694"/>
      <c r="D129" s="730"/>
      <c r="E129" s="730">
        <f>SUM(E130:E131)</f>
        <v>3600</v>
      </c>
      <c r="F129" s="730">
        <f t="shared" ref="F129:G129" si="25">SUM(F130:F131)</f>
        <v>0</v>
      </c>
      <c r="G129" s="730">
        <f t="shared" si="25"/>
        <v>3600</v>
      </c>
      <c r="H129" s="730"/>
      <c r="I129" s="565"/>
    </row>
    <row r="130" spans="1:9" x14ac:dyDescent="0.2">
      <c r="A130" s="734" t="s">
        <v>672</v>
      </c>
      <c r="B130" s="1700" t="s">
        <v>673</v>
      </c>
      <c r="C130" s="1701"/>
      <c r="D130" s="732">
        <v>2279</v>
      </c>
      <c r="E130" s="565">
        <v>3600</v>
      </c>
      <c r="F130" s="565"/>
      <c r="G130" s="565">
        <f t="shared" ref="G130:G131" si="26">E130+F130</f>
        <v>3600</v>
      </c>
      <c r="H130" s="565"/>
      <c r="I130" s="579" t="s">
        <v>540</v>
      </c>
    </row>
    <row r="131" spans="1:9" ht="12.75" customHeight="1" x14ac:dyDescent="0.2">
      <c r="A131" s="734" t="s">
        <v>674</v>
      </c>
      <c r="B131" s="1700" t="s">
        <v>675</v>
      </c>
      <c r="C131" s="1701"/>
      <c r="D131" s="732">
        <v>2279</v>
      </c>
      <c r="E131" s="565">
        <f>2000-2000</f>
        <v>0</v>
      </c>
      <c r="F131" s="565"/>
      <c r="G131" s="565">
        <f t="shared" si="26"/>
        <v>0</v>
      </c>
      <c r="H131" s="565"/>
      <c r="I131" s="579" t="s">
        <v>540</v>
      </c>
    </row>
    <row r="132" spans="1:9" x14ac:dyDescent="0.2">
      <c r="A132" s="731">
        <v>16</v>
      </c>
      <c r="B132" s="1693" t="s">
        <v>676</v>
      </c>
      <c r="C132" s="1694"/>
      <c r="D132" s="730"/>
      <c r="E132" s="730">
        <f>SUM(E133:E138)</f>
        <v>210900</v>
      </c>
      <c r="F132" s="730">
        <f t="shared" ref="F132:G132" si="27">SUM(F133:F138)</f>
        <v>0</v>
      </c>
      <c r="G132" s="730">
        <f t="shared" si="27"/>
        <v>210900</v>
      </c>
      <c r="H132" s="730"/>
      <c r="I132" s="565"/>
    </row>
    <row r="133" spans="1:9" x14ac:dyDescent="0.2">
      <c r="A133" s="734" t="s">
        <v>677</v>
      </c>
      <c r="B133" s="1700" t="s">
        <v>678</v>
      </c>
      <c r="C133" s="1701"/>
      <c r="D133" s="732">
        <v>2314</v>
      </c>
      <c r="E133" s="565">
        <v>320</v>
      </c>
      <c r="F133" s="565"/>
      <c r="G133" s="565">
        <f t="shared" ref="G133:G138" si="28">E133+F133</f>
        <v>320</v>
      </c>
      <c r="H133" s="565"/>
      <c r="I133" s="579" t="s">
        <v>540</v>
      </c>
    </row>
    <row r="134" spans="1:9" x14ac:dyDescent="0.2">
      <c r="A134" s="1695" t="s">
        <v>679</v>
      </c>
      <c r="B134" s="1684" t="s">
        <v>680</v>
      </c>
      <c r="C134" s="1685"/>
      <c r="D134" s="732">
        <v>2264</v>
      </c>
      <c r="E134" s="565">
        <v>150</v>
      </c>
      <c r="F134" s="565"/>
      <c r="G134" s="565">
        <f t="shared" si="28"/>
        <v>150</v>
      </c>
      <c r="H134" s="565"/>
      <c r="I134" s="1676" t="s">
        <v>540</v>
      </c>
    </row>
    <row r="135" spans="1:9" ht="12.75" customHeight="1" x14ac:dyDescent="0.2">
      <c r="A135" s="1695"/>
      <c r="B135" s="1686"/>
      <c r="C135" s="1687"/>
      <c r="D135" s="732">
        <v>2279</v>
      </c>
      <c r="E135" s="565">
        <v>70</v>
      </c>
      <c r="F135" s="565"/>
      <c r="G135" s="565">
        <f t="shared" si="28"/>
        <v>70</v>
      </c>
      <c r="H135" s="565"/>
      <c r="I135" s="1677"/>
    </row>
    <row r="136" spans="1:9" ht="12.75" customHeight="1" x14ac:dyDescent="0.2">
      <c r="A136" s="1695"/>
      <c r="B136" s="1688"/>
      <c r="C136" s="1689"/>
      <c r="D136" s="732">
        <v>2314</v>
      </c>
      <c r="E136" s="565">
        <v>360</v>
      </c>
      <c r="F136" s="565"/>
      <c r="G136" s="565">
        <f t="shared" si="28"/>
        <v>360</v>
      </c>
      <c r="H136" s="565"/>
      <c r="I136" s="1678"/>
    </row>
    <row r="137" spans="1:9" ht="12.75" customHeight="1" x14ac:dyDescent="0.2">
      <c r="A137" s="734" t="s">
        <v>681</v>
      </c>
      <c r="B137" s="1700" t="s">
        <v>682</v>
      </c>
      <c r="C137" s="1701"/>
      <c r="D137" s="732">
        <v>2279</v>
      </c>
      <c r="E137" s="565">
        <v>110000</v>
      </c>
      <c r="F137" s="565"/>
      <c r="G137" s="565">
        <f t="shared" si="28"/>
        <v>110000</v>
      </c>
      <c r="H137" s="565"/>
      <c r="I137" s="579" t="s">
        <v>540</v>
      </c>
    </row>
    <row r="138" spans="1:9" x14ac:dyDescent="0.2">
      <c r="A138" s="734" t="s">
        <v>683</v>
      </c>
      <c r="B138" s="1700" t="s">
        <v>684</v>
      </c>
      <c r="C138" s="1701"/>
      <c r="D138" s="732">
        <v>2279</v>
      </c>
      <c r="E138" s="565">
        <v>100000</v>
      </c>
      <c r="F138" s="565"/>
      <c r="G138" s="565">
        <f t="shared" si="28"/>
        <v>100000</v>
      </c>
      <c r="H138" s="565"/>
      <c r="I138" s="579" t="s">
        <v>540</v>
      </c>
    </row>
    <row r="139" spans="1:9" x14ac:dyDescent="0.2">
      <c r="A139" s="731">
        <v>17</v>
      </c>
      <c r="B139" s="1693" t="s">
        <v>685</v>
      </c>
      <c r="C139" s="1694"/>
      <c r="D139" s="730"/>
      <c r="E139" s="730">
        <f>SUM(E140:E143)</f>
        <v>29421</v>
      </c>
      <c r="F139" s="730">
        <f t="shared" ref="F139:G139" si="29">SUM(F140:F143)</f>
        <v>0</v>
      </c>
      <c r="G139" s="730">
        <f t="shared" si="29"/>
        <v>29421</v>
      </c>
      <c r="H139" s="730"/>
      <c r="I139" s="565"/>
    </row>
    <row r="140" spans="1:9" ht="14.25" customHeight="1" x14ac:dyDescent="0.2">
      <c r="A140" s="741" t="s">
        <v>686</v>
      </c>
      <c r="B140" s="1700" t="s">
        <v>687</v>
      </c>
      <c r="C140" s="1701"/>
      <c r="D140" s="732">
        <v>2279</v>
      </c>
      <c r="E140" s="565">
        <v>2000</v>
      </c>
      <c r="F140" s="565"/>
      <c r="G140" s="565">
        <f t="shared" ref="G140:G143" si="30">E140+F140</f>
        <v>2000</v>
      </c>
      <c r="H140" s="565"/>
      <c r="I140" s="579" t="s">
        <v>540</v>
      </c>
    </row>
    <row r="141" spans="1:9" ht="12.75" customHeight="1" x14ac:dyDescent="0.2">
      <c r="A141" s="741" t="s">
        <v>688</v>
      </c>
      <c r="B141" s="1700" t="s">
        <v>689</v>
      </c>
      <c r="C141" s="1701"/>
      <c r="D141" s="732">
        <v>2279</v>
      </c>
      <c r="E141" s="565">
        <v>1421</v>
      </c>
      <c r="F141" s="565"/>
      <c r="G141" s="565">
        <f t="shared" si="30"/>
        <v>1421</v>
      </c>
      <c r="H141" s="565"/>
      <c r="I141" s="579" t="s">
        <v>540</v>
      </c>
    </row>
    <row r="142" spans="1:9" ht="25.5" customHeight="1" x14ac:dyDescent="0.2">
      <c r="A142" s="742" t="s">
        <v>690</v>
      </c>
      <c r="B142" s="1709" t="s">
        <v>691</v>
      </c>
      <c r="C142" s="1710"/>
      <c r="D142" s="732">
        <v>2279</v>
      </c>
      <c r="E142" s="565">
        <v>1000</v>
      </c>
      <c r="F142" s="565"/>
      <c r="G142" s="565">
        <f t="shared" si="30"/>
        <v>1000</v>
      </c>
      <c r="H142" s="565"/>
      <c r="I142" s="579" t="s">
        <v>540</v>
      </c>
    </row>
    <row r="143" spans="1:9" ht="22.5" customHeight="1" x14ac:dyDescent="0.2">
      <c r="A143" s="742" t="s">
        <v>692</v>
      </c>
      <c r="B143" s="1709" t="s">
        <v>693</v>
      </c>
      <c r="C143" s="1710"/>
      <c r="D143" s="732">
        <v>2279</v>
      </c>
      <c r="E143" s="565">
        <v>25000</v>
      </c>
      <c r="F143" s="565"/>
      <c r="G143" s="565">
        <f t="shared" si="30"/>
        <v>25000</v>
      </c>
      <c r="H143" s="565"/>
      <c r="I143" s="579" t="s">
        <v>540</v>
      </c>
    </row>
    <row r="144" spans="1:9" x14ac:dyDescent="0.2">
      <c r="A144" s="731">
        <v>18</v>
      </c>
      <c r="B144" s="1693" t="s">
        <v>694</v>
      </c>
      <c r="C144" s="1694"/>
      <c r="D144" s="730"/>
      <c r="E144" s="730">
        <f>SUM(E145:E162)</f>
        <v>259737</v>
      </c>
      <c r="F144" s="730">
        <f t="shared" ref="F144" si="31">SUM(F145:F161)</f>
        <v>0</v>
      </c>
      <c r="G144" s="730">
        <f>SUM(G145:G162)</f>
        <v>259737</v>
      </c>
      <c r="H144" s="730"/>
      <c r="I144" s="565"/>
    </row>
    <row r="145" spans="1:9" x14ac:dyDescent="0.2">
      <c r="A145" s="734" t="s">
        <v>695</v>
      </c>
      <c r="B145" s="1700" t="s">
        <v>696</v>
      </c>
      <c r="C145" s="1701"/>
      <c r="D145" s="732">
        <v>2279</v>
      </c>
      <c r="E145" s="565">
        <v>2100</v>
      </c>
      <c r="F145" s="565"/>
      <c r="G145" s="565">
        <f t="shared" ref="G145:G162" si="32">E145+F145</f>
        <v>2100</v>
      </c>
      <c r="H145" s="565"/>
      <c r="I145" s="579" t="s">
        <v>540</v>
      </c>
    </row>
    <row r="146" spans="1:9" x14ac:dyDescent="0.2">
      <c r="A146" s="734" t="s">
        <v>697</v>
      </c>
      <c r="B146" s="1700" t="s">
        <v>698</v>
      </c>
      <c r="C146" s="1701"/>
      <c r="D146" s="732">
        <v>2279</v>
      </c>
      <c r="E146" s="565">
        <v>3679</v>
      </c>
      <c r="F146" s="565"/>
      <c r="G146" s="565">
        <f t="shared" si="32"/>
        <v>3679</v>
      </c>
      <c r="H146" s="565"/>
      <c r="I146" s="579" t="s">
        <v>540</v>
      </c>
    </row>
    <row r="147" spans="1:9" x14ac:dyDescent="0.2">
      <c r="A147" s="734" t="s">
        <v>699</v>
      </c>
      <c r="B147" s="1700" t="s">
        <v>700</v>
      </c>
      <c r="C147" s="1701"/>
      <c r="D147" s="732">
        <v>2279</v>
      </c>
      <c r="E147" s="565">
        <v>2135</v>
      </c>
      <c r="F147" s="565"/>
      <c r="G147" s="565">
        <f t="shared" si="32"/>
        <v>2135</v>
      </c>
      <c r="H147" s="565"/>
      <c r="I147" s="579" t="s">
        <v>540</v>
      </c>
    </row>
    <row r="148" spans="1:9" x14ac:dyDescent="0.2">
      <c r="A148" s="734" t="s">
        <v>701</v>
      </c>
      <c r="B148" s="1711" t="s">
        <v>702</v>
      </c>
      <c r="C148" s="1712"/>
      <c r="D148" s="732">
        <v>2279</v>
      </c>
      <c r="E148" s="565">
        <v>12100</v>
      </c>
      <c r="F148" s="565"/>
      <c r="G148" s="565">
        <f t="shared" si="32"/>
        <v>12100</v>
      </c>
      <c r="H148" s="565"/>
      <c r="I148" s="579" t="s">
        <v>540</v>
      </c>
    </row>
    <row r="149" spans="1:9" x14ac:dyDescent="0.2">
      <c r="A149" s="734" t="s">
        <v>703</v>
      </c>
      <c r="B149" s="1711" t="s">
        <v>704</v>
      </c>
      <c r="C149" s="1712"/>
      <c r="D149" s="732">
        <v>2279</v>
      </c>
      <c r="E149" s="565">
        <f>30000+5000</f>
        <v>35000</v>
      </c>
      <c r="F149" s="565"/>
      <c r="G149" s="565">
        <f t="shared" si="32"/>
        <v>35000</v>
      </c>
      <c r="H149" s="565"/>
      <c r="I149" s="579" t="s">
        <v>540</v>
      </c>
    </row>
    <row r="150" spans="1:9" x14ac:dyDescent="0.2">
      <c r="A150" s="734" t="s">
        <v>705</v>
      </c>
      <c r="B150" s="1700" t="s">
        <v>706</v>
      </c>
      <c r="C150" s="1701"/>
      <c r="D150" s="732">
        <v>2279</v>
      </c>
      <c r="E150" s="565">
        <v>3000</v>
      </c>
      <c r="F150" s="565"/>
      <c r="G150" s="565">
        <f t="shared" si="32"/>
        <v>3000</v>
      </c>
      <c r="H150" s="565"/>
      <c r="I150" s="579" t="s">
        <v>540</v>
      </c>
    </row>
    <row r="151" spans="1:9" ht="19.5" customHeight="1" x14ac:dyDescent="0.2">
      <c r="A151" s="734" t="s">
        <v>707</v>
      </c>
      <c r="B151" s="1700" t="s">
        <v>708</v>
      </c>
      <c r="C151" s="1701"/>
      <c r="D151" s="732">
        <v>2279</v>
      </c>
      <c r="E151" s="565">
        <v>70000</v>
      </c>
      <c r="F151" s="565"/>
      <c r="G151" s="565">
        <f t="shared" si="32"/>
        <v>70000</v>
      </c>
      <c r="H151" s="565"/>
      <c r="I151" s="579" t="s">
        <v>540</v>
      </c>
    </row>
    <row r="152" spans="1:9" x14ac:dyDescent="0.2">
      <c r="A152" s="734" t="s">
        <v>709</v>
      </c>
      <c r="B152" s="1700" t="s">
        <v>710</v>
      </c>
      <c r="C152" s="1701"/>
      <c r="D152" s="732">
        <v>2279</v>
      </c>
      <c r="E152" s="565">
        <v>1421</v>
      </c>
      <c r="F152" s="565"/>
      <c r="G152" s="565">
        <f t="shared" si="32"/>
        <v>1421</v>
      </c>
      <c r="H152" s="565"/>
      <c r="I152" s="579" t="s">
        <v>540</v>
      </c>
    </row>
    <row r="153" spans="1:9" x14ac:dyDescent="0.2">
      <c r="A153" s="734" t="s">
        <v>711</v>
      </c>
      <c r="B153" s="1700" t="s">
        <v>712</v>
      </c>
      <c r="C153" s="1701"/>
      <c r="D153" s="732">
        <v>2279</v>
      </c>
      <c r="E153" s="565">
        <v>70000</v>
      </c>
      <c r="F153" s="565"/>
      <c r="G153" s="565">
        <f t="shared" si="32"/>
        <v>70000</v>
      </c>
      <c r="H153" s="565"/>
      <c r="I153" s="579" t="s">
        <v>540</v>
      </c>
    </row>
    <row r="154" spans="1:9" x14ac:dyDescent="0.2">
      <c r="A154" s="734" t="s">
        <v>713</v>
      </c>
      <c r="B154" s="1700" t="s">
        <v>714</v>
      </c>
      <c r="C154" s="1701"/>
      <c r="D154" s="732">
        <v>2279</v>
      </c>
      <c r="E154" s="565">
        <v>1500</v>
      </c>
      <c r="F154" s="565"/>
      <c r="G154" s="565">
        <f t="shared" si="32"/>
        <v>1500</v>
      </c>
      <c r="H154" s="565"/>
      <c r="I154" s="579" t="s">
        <v>540</v>
      </c>
    </row>
    <row r="155" spans="1:9" ht="24" customHeight="1" x14ac:dyDescent="0.2">
      <c r="A155" s="734" t="s">
        <v>715</v>
      </c>
      <c r="B155" s="1700" t="s">
        <v>716</v>
      </c>
      <c r="C155" s="1701"/>
      <c r="D155" s="732">
        <v>2279</v>
      </c>
      <c r="E155" s="565">
        <v>5000</v>
      </c>
      <c r="F155" s="565"/>
      <c r="G155" s="565">
        <f t="shared" si="32"/>
        <v>5000</v>
      </c>
      <c r="H155" s="565"/>
      <c r="I155" s="579" t="s">
        <v>540</v>
      </c>
    </row>
    <row r="156" spans="1:9" x14ac:dyDescent="0.2">
      <c r="A156" s="734" t="s">
        <v>717</v>
      </c>
      <c r="B156" s="1700" t="s">
        <v>718</v>
      </c>
      <c r="C156" s="1701"/>
      <c r="D156" s="732">
        <v>2279</v>
      </c>
      <c r="E156" s="565">
        <v>551</v>
      </c>
      <c r="F156" s="565"/>
      <c r="G156" s="565">
        <f t="shared" si="32"/>
        <v>551</v>
      </c>
      <c r="H156" s="565"/>
      <c r="I156" s="579" t="s">
        <v>540</v>
      </c>
    </row>
    <row r="157" spans="1:9" ht="24.75" customHeight="1" x14ac:dyDescent="0.2">
      <c r="A157" s="734" t="s">
        <v>719</v>
      </c>
      <c r="B157" s="1700" t="s">
        <v>720</v>
      </c>
      <c r="C157" s="1701"/>
      <c r="D157" s="732">
        <v>2279</v>
      </c>
      <c r="E157" s="565">
        <v>30000</v>
      </c>
      <c r="F157" s="565"/>
      <c r="G157" s="565">
        <f t="shared" si="32"/>
        <v>30000</v>
      </c>
      <c r="H157" s="565"/>
      <c r="I157" s="579" t="s">
        <v>540</v>
      </c>
    </row>
    <row r="158" spans="1:9" ht="12.75" customHeight="1" x14ac:dyDescent="0.2">
      <c r="A158" s="734" t="s">
        <v>721</v>
      </c>
      <c r="B158" s="1700" t="s">
        <v>722</v>
      </c>
      <c r="C158" s="1701"/>
      <c r="D158" s="732">
        <v>2279</v>
      </c>
      <c r="E158" s="565">
        <v>1300</v>
      </c>
      <c r="F158" s="565"/>
      <c r="G158" s="565">
        <f t="shared" si="32"/>
        <v>1300</v>
      </c>
      <c r="H158" s="565"/>
      <c r="I158" s="579" t="s">
        <v>540</v>
      </c>
    </row>
    <row r="159" spans="1:9" ht="12.75" customHeight="1" x14ac:dyDescent="0.2">
      <c r="A159" s="734" t="s">
        <v>723</v>
      </c>
      <c r="B159" s="1700" t="s">
        <v>724</v>
      </c>
      <c r="C159" s="1701"/>
      <c r="D159" s="732">
        <v>2279</v>
      </c>
      <c r="E159" s="565">
        <v>551</v>
      </c>
      <c r="F159" s="565"/>
      <c r="G159" s="565">
        <f t="shared" si="32"/>
        <v>551</v>
      </c>
      <c r="H159" s="565"/>
      <c r="I159" s="579" t="s">
        <v>540</v>
      </c>
    </row>
    <row r="160" spans="1:9" x14ac:dyDescent="0.2">
      <c r="A160" s="734" t="s">
        <v>725</v>
      </c>
      <c r="B160" s="1700" t="s">
        <v>726</v>
      </c>
      <c r="C160" s="1701"/>
      <c r="D160" s="732">
        <v>2279</v>
      </c>
      <c r="E160" s="565">
        <v>5400</v>
      </c>
      <c r="F160" s="565"/>
      <c r="G160" s="565">
        <f t="shared" si="32"/>
        <v>5400</v>
      </c>
      <c r="H160" s="565"/>
      <c r="I160" s="579" t="s">
        <v>540</v>
      </c>
    </row>
    <row r="161" spans="1:9" ht="12.75" customHeight="1" x14ac:dyDescent="0.2">
      <c r="A161" s="734" t="s">
        <v>727</v>
      </c>
      <c r="B161" s="1700" t="s">
        <v>728</v>
      </c>
      <c r="C161" s="1701"/>
      <c r="D161" s="732">
        <v>2279</v>
      </c>
      <c r="E161" s="565">
        <v>1000</v>
      </c>
      <c r="F161" s="565"/>
      <c r="G161" s="565">
        <f t="shared" si="32"/>
        <v>1000</v>
      </c>
      <c r="H161" s="565"/>
      <c r="I161" s="579" t="s">
        <v>540</v>
      </c>
    </row>
    <row r="162" spans="1:9" ht="20.25" customHeight="1" x14ac:dyDescent="0.2">
      <c r="A162" s="734" t="s">
        <v>729</v>
      </c>
      <c r="B162" s="1700" t="s">
        <v>730</v>
      </c>
      <c r="C162" s="1701"/>
      <c r="D162" s="732">
        <v>2279</v>
      </c>
      <c r="E162" s="565">
        <v>15000</v>
      </c>
      <c r="F162" s="565"/>
      <c r="G162" s="565">
        <f t="shared" si="32"/>
        <v>15000</v>
      </c>
      <c r="H162" s="565"/>
      <c r="I162" s="579" t="s">
        <v>540</v>
      </c>
    </row>
    <row r="163" spans="1:9" x14ac:dyDescent="0.2">
      <c r="A163" s="731">
        <v>19</v>
      </c>
      <c r="B163" s="1693" t="s">
        <v>731</v>
      </c>
      <c r="C163" s="1694"/>
      <c r="D163" s="730"/>
      <c r="E163" s="730">
        <f>SUM(E164:E166)</f>
        <v>2860</v>
      </c>
      <c r="F163" s="730">
        <f t="shared" ref="F163:G163" si="33">SUM(F164:F166)</f>
        <v>0</v>
      </c>
      <c r="G163" s="730">
        <f t="shared" si="33"/>
        <v>2860</v>
      </c>
      <c r="H163" s="730"/>
      <c r="I163" s="565"/>
    </row>
    <row r="164" spans="1:9" ht="12.75" customHeight="1" x14ac:dyDescent="0.2">
      <c r="A164" s="734" t="s">
        <v>732</v>
      </c>
      <c r="B164" s="1700" t="s">
        <v>733</v>
      </c>
      <c r="C164" s="1701"/>
      <c r="D164" s="732">
        <v>2279</v>
      </c>
      <c r="E164" s="565">
        <v>785</v>
      </c>
      <c r="F164" s="565"/>
      <c r="G164" s="565">
        <f t="shared" ref="G164:G166" si="34">E164+F164</f>
        <v>785</v>
      </c>
      <c r="H164" s="565"/>
      <c r="I164" s="579" t="s">
        <v>540</v>
      </c>
    </row>
    <row r="165" spans="1:9" x14ac:dyDescent="0.2">
      <c r="A165" s="734" t="s">
        <v>734</v>
      </c>
      <c r="B165" s="1700" t="s">
        <v>735</v>
      </c>
      <c r="C165" s="1701"/>
      <c r="D165" s="732">
        <v>2279</v>
      </c>
      <c r="E165" s="565">
        <v>650</v>
      </c>
      <c r="F165" s="565"/>
      <c r="G165" s="565">
        <f t="shared" si="34"/>
        <v>650</v>
      </c>
      <c r="H165" s="565"/>
      <c r="I165" s="579" t="s">
        <v>540</v>
      </c>
    </row>
    <row r="166" spans="1:9" x14ac:dyDescent="0.2">
      <c r="A166" s="734" t="s">
        <v>736</v>
      </c>
      <c r="B166" s="1700" t="s">
        <v>737</v>
      </c>
      <c r="C166" s="1701"/>
      <c r="D166" s="732">
        <v>2279</v>
      </c>
      <c r="E166" s="565">
        <v>1425</v>
      </c>
      <c r="F166" s="565"/>
      <c r="G166" s="565">
        <f t="shared" si="34"/>
        <v>1425</v>
      </c>
      <c r="H166" s="565"/>
      <c r="I166" s="579" t="s">
        <v>540</v>
      </c>
    </row>
    <row r="167" spans="1:9" x14ac:dyDescent="0.2">
      <c r="A167" s="731">
        <v>20</v>
      </c>
      <c r="B167" s="1693" t="s">
        <v>738</v>
      </c>
      <c r="C167" s="1694"/>
      <c r="D167" s="730"/>
      <c r="E167" s="730">
        <f>SUM(E168:E169)</f>
        <v>1850</v>
      </c>
      <c r="F167" s="730">
        <f t="shared" ref="F167:G167" si="35">SUM(F168:F169)</f>
        <v>0</v>
      </c>
      <c r="G167" s="730">
        <f t="shared" si="35"/>
        <v>1850</v>
      </c>
      <c r="H167" s="730"/>
      <c r="I167" s="565"/>
    </row>
    <row r="168" spans="1:9" x14ac:dyDescent="0.2">
      <c r="A168" s="1695" t="s">
        <v>739</v>
      </c>
      <c r="B168" s="1684" t="s">
        <v>740</v>
      </c>
      <c r="C168" s="1685"/>
      <c r="D168" s="732">
        <v>2279</v>
      </c>
      <c r="E168" s="565">
        <v>500</v>
      </c>
      <c r="F168" s="565"/>
      <c r="G168" s="565">
        <f t="shared" ref="G168:G169" si="36">E168+F168</f>
        <v>500</v>
      </c>
      <c r="H168" s="565"/>
      <c r="I168" s="1676" t="s">
        <v>540</v>
      </c>
    </row>
    <row r="169" spans="1:9" ht="12.75" customHeight="1" x14ac:dyDescent="0.2">
      <c r="A169" s="1695"/>
      <c r="B169" s="1688"/>
      <c r="C169" s="1689"/>
      <c r="D169" s="732">
        <v>2314</v>
      </c>
      <c r="E169" s="565">
        <v>1350</v>
      </c>
      <c r="F169" s="565"/>
      <c r="G169" s="565">
        <f t="shared" si="36"/>
        <v>1350</v>
      </c>
      <c r="H169" s="565"/>
      <c r="I169" s="1678"/>
    </row>
    <row r="170" spans="1:9" x14ac:dyDescent="0.2">
      <c r="A170" s="731">
        <v>21</v>
      </c>
      <c r="B170" s="1693" t="s">
        <v>741</v>
      </c>
      <c r="C170" s="1694"/>
      <c r="D170" s="730"/>
      <c r="E170" s="730">
        <f>SUM(E171:E171)</f>
        <v>2135</v>
      </c>
      <c r="F170" s="730">
        <f t="shared" ref="F170:G170" si="37">SUM(F171:F171)</f>
        <v>0</v>
      </c>
      <c r="G170" s="730">
        <f t="shared" si="37"/>
        <v>2135</v>
      </c>
      <c r="H170" s="730"/>
      <c r="I170" s="565"/>
    </row>
    <row r="171" spans="1:9" x14ac:dyDescent="0.2">
      <c r="A171" s="734" t="s">
        <v>742</v>
      </c>
      <c r="B171" s="1700" t="s">
        <v>743</v>
      </c>
      <c r="C171" s="1701"/>
      <c r="D171" s="732">
        <v>2279</v>
      </c>
      <c r="E171" s="736">
        <v>2135</v>
      </c>
      <c r="F171" s="736"/>
      <c r="G171" s="736">
        <f>E171+F171</f>
        <v>2135</v>
      </c>
      <c r="H171" s="736"/>
      <c r="I171" s="579" t="s">
        <v>540</v>
      </c>
    </row>
    <row r="172" spans="1:9" x14ac:dyDescent="0.2">
      <c r="A172" s="731">
        <v>22</v>
      </c>
      <c r="B172" s="1693" t="s">
        <v>744</v>
      </c>
      <c r="C172" s="1694"/>
      <c r="D172" s="730"/>
      <c r="E172" s="730">
        <f>SUM(E173:E174)</f>
        <v>3923</v>
      </c>
      <c r="F172" s="730">
        <f t="shared" ref="F172:G172" si="38">SUM(F173:F174)</f>
        <v>0</v>
      </c>
      <c r="G172" s="730">
        <f t="shared" si="38"/>
        <v>3923</v>
      </c>
      <c r="H172" s="730"/>
      <c r="I172" s="565"/>
    </row>
    <row r="173" spans="1:9" x14ac:dyDescent="0.2">
      <c r="A173" s="734" t="s">
        <v>745</v>
      </c>
      <c r="B173" s="1700" t="s">
        <v>746</v>
      </c>
      <c r="C173" s="1701"/>
      <c r="D173" s="732">
        <v>2279</v>
      </c>
      <c r="E173" s="565">
        <v>2500</v>
      </c>
      <c r="F173" s="565"/>
      <c r="G173" s="565">
        <f t="shared" ref="G173:G174" si="39">E173+F173</f>
        <v>2500</v>
      </c>
      <c r="H173" s="565"/>
      <c r="I173" s="579" t="s">
        <v>540</v>
      </c>
    </row>
    <row r="174" spans="1:9" x14ac:dyDescent="0.2">
      <c r="A174" s="734" t="s">
        <v>747</v>
      </c>
      <c r="B174" s="1700" t="s">
        <v>748</v>
      </c>
      <c r="C174" s="1701"/>
      <c r="D174" s="732">
        <v>2279</v>
      </c>
      <c r="E174" s="565">
        <v>1423</v>
      </c>
      <c r="F174" s="565"/>
      <c r="G174" s="565">
        <f t="shared" si="39"/>
        <v>1423</v>
      </c>
      <c r="H174" s="565"/>
      <c r="I174" s="579" t="s">
        <v>540</v>
      </c>
    </row>
    <row r="175" spans="1:9" x14ac:dyDescent="0.2">
      <c r="A175" s="731">
        <v>23</v>
      </c>
      <c r="B175" s="1693" t="s">
        <v>749</v>
      </c>
      <c r="C175" s="1694"/>
      <c r="D175" s="730"/>
      <c r="E175" s="730">
        <f>SUM(E176:E178)</f>
        <v>170000</v>
      </c>
      <c r="F175" s="730">
        <f t="shared" ref="F175:G175" si="40">SUM(F176:F178)</f>
        <v>0</v>
      </c>
      <c r="G175" s="730">
        <f t="shared" si="40"/>
        <v>170000</v>
      </c>
      <c r="H175" s="730"/>
      <c r="I175" s="565"/>
    </row>
    <row r="176" spans="1:9" x14ac:dyDescent="0.2">
      <c r="A176" s="734" t="s">
        <v>750</v>
      </c>
      <c r="B176" s="1700" t="s">
        <v>751</v>
      </c>
      <c r="C176" s="1701"/>
      <c r="D176" s="732">
        <v>2279</v>
      </c>
      <c r="E176" s="565">
        <v>70000</v>
      </c>
      <c r="F176" s="565"/>
      <c r="G176" s="565">
        <f t="shared" ref="G176:G178" si="41">E176+F176</f>
        <v>70000</v>
      </c>
      <c r="H176" s="565"/>
      <c r="I176" s="579" t="s">
        <v>540</v>
      </c>
    </row>
    <row r="177" spans="1:9" x14ac:dyDescent="0.2">
      <c r="A177" s="734" t="s">
        <v>752</v>
      </c>
      <c r="B177" s="1700" t="s">
        <v>753</v>
      </c>
      <c r="C177" s="1701"/>
      <c r="D177" s="732">
        <v>2279</v>
      </c>
      <c r="E177" s="565">
        <v>70000</v>
      </c>
      <c r="F177" s="565"/>
      <c r="G177" s="565">
        <f t="shared" si="41"/>
        <v>70000</v>
      </c>
      <c r="H177" s="565"/>
      <c r="I177" s="579" t="s">
        <v>540</v>
      </c>
    </row>
    <row r="178" spans="1:9" x14ac:dyDescent="0.2">
      <c r="A178" s="734" t="s">
        <v>754</v>
      </c>
      <c r="B178" s="1700" t="s">
        <v>755</v>
      </c>
      <c r="C178" s="1701"/>
      <c r="D178" s="732">
        <v>2279</v>
      </c>
      <c r="E178" s="565">
        <v>30000</v>
      </c>
      <c r="F178" s="565"/>
      <c r="G178" s="565">
        <f t="shared" si="41"/>
        <v>30000</v>
      </c>
      <c r="H178" s="565"/>
      <c r="I178" s="579" t="s">
        <v>540</v>
      </c>
    </row>
    <row r="179" spans="1:9" x14ac:dyDescent="0.2">
      <c r="A179" s="731">
        <v>24</v>
      </c>
      <c r="B179" s="1693" t="s">
        <v>756</v>
      </c>
      <c r="C179" s="1694"/>
      <c r="D179" s="730"/>
      <c r="E179" s="730">
        <f>SUM(E180)</f>
        <v>110000</v>
      </c>
      <c r="F179" s="730">
        <f t="shared" ref="F179:G179" si="42">SUM(F180)</f>
        <v>0</v>
      </c>
      <c r="G179" s="730">
        <f t="shared" si="42"/>
        <v>110000</v>
      </c>
      <c r="H179" s="730"/>
      <c r="I179" s="565"/>
    </row>
    <row r="180" spans="1:9" x14ac:dyDescent="0.2">
      <c r="A180" s="734" t="s">
        <v>757</v>
      </c>
      <c r="B180" s="1700" t="s">
        <v>758</v>
      </c>
      <c r="C180" s="1701"/>
      <c r="D180" s="732">
        <v>2279</v>
      </c>
      <c r="E180" s="565">
        <v>110000</v>
      </c>
      <c r="F180" s="565"/>
      <c r="G180" s="565">
        <f>E180+F180</f>
        <v>110000</v>
      </c>
      <c r="H180" s="565"/>
      <c r="I180" s="579" t="s">
        <v>540</v>
      </c>
    </row>
    <row r="181" spans="1:9" ht="39" customHeight="1" x14ac:dyDescent="0.2">
      <c r="A181" s="1697" t="s">
        <v>759</v>
      </c>
      <c r="B181" s="1698"/>
      <c r="C181" s="1699"/>
      <c r="D181" s="743"/>
      <c r="E181" s="743">
        <f>SUM(E182:E258)</f>
        <v>555455</v>
      </c>
      <c r="F181" s="743">
        <f>SUM(F182:F259)</f>
        <v>0</v>
      </c>
      <c r="G181" s="743">
        <f>SUM(G182:G259)</f>
        <v>558974</v>
      </c>
      <c r="H181" s="743"/>
      <c r="I181" s="565"/>
    </row>
    <row r="182" spans="1:9" x14ac:dyDescent="0.2">
      <c r="A182" s="734">
        <v>1</v>
      </c>
      <c r="B182" s="1700" t="s">
        <v>760</v>
      </c>
      <c r="C182" s="1701"/>
      <c r="D182" s="732">
        <v>2279</v>
      </c>
      <c r="E182" s="565">
        <v>140000</v>
      </c>
      <c r="F182" s="565"/>
      <c r="G182" s="565">
        <f t="shared" ref="G182:G245" si="43">E182+F182</f>
        <v>140000</v>
      </c>
      <c r="H182" s="565"/>
      <c r="I182" s="579" t="s">
        <v>761</v>
      </c>
    </row>
    <row r="183" spans="1:9" x14ac:dyDescent="0.2">
      <c r="A183" s="734">
        <v>2</v>
      </c>
      <c r="B183" s="1700" t="s">
        <v>762</v>
      </c>
      <c r="C183" s="1701"/>
      <c r="D183" s="732">
        <v>2279</v>
      </c>
      <c r="E183" s="565">
        <v>60000</v>
      </c>
      <c r="F183" s="565"/>
      <c r="G183" s="565">
        <f t="shared" si="43"/>
        <v>60000</v>
      </c>
      <c r="H183" s="565"/>
      <c r="I183" s="579" t="s">
        <v>761</v>
      </c>
    </row>
    <row r="184" spans="1:9" x14ac:dyDescent="0.2">
      <c r="A184" s="734">
        <v>3</v>
      </c>
      <c r="B184" s="1700" t="s">
        <v>763</v>
      </c>
      <c r="C184" s="1701"/>
      <c r="D184" s="732">
        <v>2279</v>
      </c>
      <c r="E184" s="565">
        <v>30000</v>
      </c>
      <c r="F184" s="565"/>
      <c r="G184" s="565">
        <f t="shared" si="43"/>
        <v>30000</v>
      </c>
      <c r="H184" s="565"/>
      <c r="I184" s="579" t="s">
        <v>761</v>
      </c>
    </row>
    <row r="185" spans="1:9" x14ac:dyDescent="0.2">
      <c r="A185" s="1695">
        <v>4</v>
      </c>
      <c r="B185" s="1684" t="s">
        <v>764</v>
      </c>
      <c r="C185" s="1685"/>
      <c r="D185" s="732">
        <v>2262</v>
      </c>
      <c r="E185" s="565">
        <v>1082</v>
      </c>
      <c r="F185" s="565"/>
      <c r="G185" s="565">
        <f t="shared" si="43"/>
        <v>1082</v>
      </c>
      <c r="H185" s="565"/>
      <c r="I185" s="1676" t="s">
        <v>761</v>
      </c>
    </row>
    <row r="186" spans="1:9" ht="12.75" customHeight="1" x14ac:dyDescent="0.2">
      <c r="A186" s="1695"/>
      <c r="B186" s="1686"/>
      <c r="C186" s="1687"/>
      <c r="D186" s="732">
        <v>2279</v>
      </c>
      <c r="E186" s="565">
        <v>3100</v>
      </c>
      <c r="F186" s="565"/>
      <c r="G186" s="565">
        <f t="shared" si="43"/>
        <v>3100</v>
      </c>
      <c r="H186" s="565"/>
      <c r="I186" s="1677"/>
    </row>
    <row r="187" spans="1:9" ht="12.75" customHeight="1" x14ac:dyDescent="0.2">
      <c r="A187" s="1695"/>
      <c r="B187" s="1688"/>
      <c r="C187" s="1689"/>
      <c r="D187" s="732">
        <v>2361</v>
      </c>
      <c r="E187" s="565">
        <v>1026</v>
      </c>
      <c r="F187" s="565"/>
      <c r="G187" s="565">
        <f t="shared" si="43"/>
        <v>1026</v>
      </c>
      <c r="H187" s="565"/>
      <c r="I187" s="1678"/>
    </row>
    <row r="188" spans="1:9" ht="12.75" customHeight="1" x14ac:dyDescent="0.2">
      <c r="A188" s="1681">
        <v>5</v>
      </c>
      <c r="B188" s="1684" t="s">
        <v>765</v>
      </c>
      <c r="C188" s="1685"/>
      <c r="D188" s="732">
        <v>2363</v>
      </c>
      <c r="E188" s="565">
        <f>7595-1000</f>
        <v>6595</v>
      </c>
      <c r="F188" s="565"/>
      <c r="G188" s="565">
        <f t="shared" si="43"/>
        <v>6595</v>
      </c>
      <c r="H188" s="565"/>
      <c r="I188" s="1676" t="s">
        <v>761</v>
      </c>
    </row>
    <row r="189" spans="1:9" ht="12.75" customHeight="1" x14ac:dyDescent="0.2">
      <c r="A189" s="1682"/>
      <c r="B189" s="1686"/>
      <c r="C189" s="1687"/>
      <c r="D189" s="732">
        <v>2247</v>
      </c>
      <c r="E189" s="565">
        <v>150</v>
      </c>
      <c r="F189" s="565"/>
      <c r="G189" s="565">
        <f t="shared" si="43"/>
        <v>150</v>
      </c>
      <c r="H189" s="565"/>
      <c r="I189" s="1677"/>
    </row>
    <row r="190" spans="1:9" ht="12.75" customHeight="1" x14ac:dyDescent="0.2">
      <c r="A190" s="1682"/>
      <c r="B190" s="1686"/>
      <c r="C190" s="1687"/>
      <c r="D190" s="732">
        <v>2261</v>
      </c>
      <c r="E190" s="565">
        <f>11000-1000</f>
        <v>10000</v>
      </c>
      <c r="F190" s="565"/>
      <c r="G190" s="565">
        <f t="shared" si="43"/>
        <v>10000</v>
      </c>
      <c r="H190" s="565"/>
      <c r="I190" s="1677"/>
    </row>
    <row r="191" spans="1:9" ht="12.75" customHeight="1" x14ac:dyDescent="0.2">
      <c r="A191" s="1682"/>
      <c r="B191" s="1686"/>
      <c r="C191" s="1687"/>
      <c r="D191" s="732">
        <v>2262</v>
      </c>
      <c r="E191" s="565">
        <f>6317-1000</f>
        <v>5317</v>
      </c>
      <c r="F191" s="565"/>
      <c r="G191" s="565">
        <f t="shared" si="43"/>
        <v>5317</v>
      </c>
      <c r="H191" s="565"/>
      <c r="I191" s="1677"/>
    </row>
    <row r="192" spans="1:9" ht="12.75" customHeight="1" x14ac:dyDescent="0.2">
      <c r="A192" s="1682"/>
      <c r="B192" s="1686"/>
      <c r="C192" s="1687"/>
      <c r="D192" s="732">
        <v>2322</v>
      </c>
      <c r="E192" s="565">
        <v>215</v>
      </c>
      <c r="F192" s="565"/>
      <c r="G192" s="565">
        <f t="shared" si="43"/>
        <v>215</v>
      </c>
      <c r="H192" s="565"/>
      <c r="I192" s="1677"/>
    </row>
    <row r="193" spans="1:9" x14ac:dyDescent="0.2">
      <c r="A193" s="1682"/>
      <c r="B193" s="1686"/>
      <c r="C193" s="1687"/>
      <c r="D193" s="732">
        <v>2361</v>
      </c>
      <c r="E193" s="565">
        <f>13688+3367</f>
        <v>17055</v>
      </c>
      <c r="F193" s="565"/>
      <c r="G193" s="565">
        <f t="shared" si="43"/>
        <v>17055</v>
      </c>
      <c r="H193" s="565"/>
      <c r="I193" s="1677"/>
    </row>
    <row r="194" spans="1:9" ht="12.75" customHeight="1" x14ac:dyDescent="0.2">
      <c r="A194" s="1682"/>
      <c r="B194" s="1686"/>
      <c r="C194" s="1687"/>
      <c r="D194" s="732">
        <v>2311</v>
      </c>
      <c r="E194" s="565">
        <v>28</v>
      </c>
      <c r="F194" s="565"/>
      <c r="G194" s="565">
        <f t="shared" si="43"/>
        <v>28</v>
      </c>
      <c r="H194" s="565"/>
      <c r="I194" s="1677"/>
    </row>
    <row r="195" spans="1:9" ht="12.75" customHeight="1" x14ac:dyDescent="0.2">
      <c r="A195" s="1683"/>
      <c r="B195" s="1688"/>
      <c r="C195" s="1689"/>
      <c r="D195" s="732">
        <v>2312</v>
      </c>
      <c r="E195" s="565">
        <v>250</v>
      </c>
      <c r="F195" s="565"/>
      <c r="G195" s="565">
        <f t="shared" si="43"/>
        <v>250</v>
      </c>
      <c r="H195" s="565"/>
      <c r="I195" s="1678"/>
    </row>
    <row r="196" spans="1:9" x14ac:dyDescent="0.2">
      <c r="A196" s="734">
        <v>6</v>
      </c>
      <c r="B196" s="1700" t="s">
        <v>766</v>
      </c>
      <c r="C196" s="1701"/>
      <c r="D196" s="732">
        <v>2279</v>
      </c>
      <c r="E196" s="565">
        <v>25000</v>
      </c>
      <c r="F196" s="565"/>
      <c r="G196" s="565">
        <f t="shared" si="43"/>
        <v>25000</v>
      </c>
      <c r="H196" s="565"/>
      <c r="I196" s="579" t="s">
        <v>761</v>
      </c>
    </row>
    <row r="197" spans="1:9" ht="25.5" customHeight="1" x14ac:dyDescent="0.2">
      <c r="A197" s="734">
        <v>7</v>
      </c>
      <c r="B197" s="1700" t="s">
        <v>767</v>
      </c>
      <c r="C197" s="1701"/>
      <c r="D197" s="732">
        <v>2279</v>
      </c>
      <c r="E197" s="565">
        <v>7300</v>
      </c>
      <c r="F197" s="565"/>
      <c r="G197" s="565">
        <f t="shared" si="43"/>
        <v>7300</v>
      </c>
      <c r="H197" s="565"/>
      <c r="I197" s="579" t="s">
        <v>761</v>
      </c>
    </row>
    <row r="198" spans="1:9" x14ac:dyDescent="0.2">
      <c r="A198" s="734">
        <v>8</v>
      </c>
      <c r="B198" s="1700" t="s">
        <v>768</v>
      </c>
      <c r="C198" s="1701"/>
      <c r="D198" s="732">
        <v>2279</v>
      </c>
      <c r="E198" s="565">
        <v>7300</v>
      </c>
      <c r="F198" s="565"/>
      <c r="G198" s="565">
        <f t="shared" si="43"/>
        <v>7300</v>
      </c>
      <c r="H198" s="565"/>
      <c r="I198" s="579" t="s">
        <v>761</v>
      </c>
    </row>
    <row r="199" spans="1:9" x14ac:dyDescent="0.2">
      <c r="A199" s="734">
        <v>9</v>
      </c>
      <c r="B199" s="1700" t="s">
        <v>769</v>
      </c>
      <c r="C199" s="1701"/>
      <c r="D199" s="732">
        <v>2279</v>
      </c>
      <c r="E199" s="565">
        <v>712</v>
      </c>
      <c r="F199" s="565"/>
      <c r="G199" s="565">
        <f t="shared" si="43"/>
        <v>712</v>
      </c>
      <c r="H199" s="565"/>
      <c r="I199" s="579" t="s">
        <v>761</v>
      </c>
    </row>
    <row r="200" spans="1:9" ht="22.5" customHeight="1" x14ac:dyDescent="0.2">
      <c r="A200" s="734">
        <v>10</v>
      </c>
      <c r="B200" s="1700" t="s">
        <v>770</v>
      </c>
      <c r="C200" s="1701"/>
      <c r="D200" s="732">
        <v>2279</v>
      </c>
      <c r="E200" s="565">
        <v>7300</v>
      </c>
      <c r="F200" s="565"/>
      <c r="G200" s="565">
        <f t="shared" si="43"/>
        <v>7300</v>
      </c>
      <c r="H200" s="565"/>
      <c r="I200" s="579" t="s">
        <v>761</v>
      </c>
    </row>
    <row r="201" spans="1:9" x14ac:dyDescent="0.2">
      <c r="A201" s="734">
        <v>11</v>
      </c>
      <c r="B201" s="1700" t="s">
        <v>771</v>
      </c>
      <c r="C201" s="1701"/>
      <c r="D201" s="732">
        <v>2279</v>
      </c>
      <c r="E201" s="565">
        <v>2000</v>
      </c>
      <c r="F201" s="565"/>
      <c r="G201" s="565">
        <f t="shared" si="43"/>
        <v>2000</v>
      </c>
      <c r="H201" s="565"/>
      <c r="I201" s="579" t="s">
        <v>761</v>
      </c>
    </row>
    <row r="202" spans="1:9" x14ac:dyDescent="0.2">
      <c r="A202" s="734">
        <v>12</v>
      </c>
      <c r="B202" s="1700" t="s">
        <v>772</v>
      </c>
      <c r="C202" s="1701"/>
      <c r="D202" s="732">
        <v>2279</v>
      </c>
      <c r="E202" s="565">
        <v>2000</v>
      </c>
      <c r="F202" s="565"/>
      <c r="G202" s="565">
        <f t="shared" si="43"/>
        <v>2000</v>
      </c>
      <c r="H202" s="565"/>
      <c r="I202" s="579" t="s">
        <v>761</v>
      </c>
    </row>
    <row r="203" spans="1:9" x14ac:dyDescent="0.2">
      <c r="A203" s="1695">
        <v>13</v>
      </c>
      <c r="B203" s="1684" t="s">
        <v>773</v>
      </c>
      <c r="C203" s="1685"/>
      <c r="D203" s="732">
        <v>2262</v>
      </c>
      <c r="E203" s="565">
        <v>641</v>
      </c>
      <c r="F203" s="565"/>
      <c r="G203" s="565">
        <f t="shared" si="43"/>
        <v>641</v>
      </c>
      <c r="H203" s="565"/>
      <c r="I203" s="1676" t="s">
        <v>761</v>
      </c>
    </row>
    <row r="204" spans="1:9" ht="12.75" customHeight="1" x14ac:dyDescent="0.2">
      <c r="A204" s="1695"/>
      <c r="B204" s="1686"/>
      <c r="C204" s="1687"/>
      <c r="D204" s="732">
        <v>2279</v>
      </c>
      <c r="E204" s="565">
        <v>700</v>
      </c>
      <c r="F204" s="565"/>
      <c r="G204" s="565">
        <f t="shared" si="43"/>
        <v>700</v>
      </c>
      <c r="H204" s="565"/>
      <c r="I204" s="1677"/>
    </row>
    <row r="205" spans="1:9" x14ac:dyDescent="0.2">
      <c r="A205" s="742">
        <v>14</v>
      </c>
      <c r="B205" s="1713" t="s">
        <v>774</v>
      </c>
      <c r="C205" s="1714"/>
      <c r="D205" s="732">
        <v>2361</v>
      </c>
      <c r="E205" s="565">
        <v>825</v>
      </c>
      <c r="F205" s="565"/>
      <c r="G205" s="565">
        <f t="shared" si="43"/>
        <v>825</v>
      </c>
      <c r="H205" s="565"/>
      <c r="I205" s="579" t="s">
        <v>761</v>
      </c>
    </row>
    <row r="206" spans="1:9" x14ac:dyDescent="0.2">
      <c r="A206" s="741">
        <v>15</v>
      </c>
      <c r="B206" s="1715" t="s">
        <v>775</v>
      </c>
      <c r="C206" s="1716"/>
      <c r="D206" s="732">
        <v>2279</v>
      </c>
      <c r="E206" s="565">
        <v>2704</v>
      </c>
      <c r="F206" s="565"/>
      <c r="G206" s="565">
        <f t="shared" si="43"/>
        <v>2704</v>
      </c>
      <c r="H206" s="565"/>
      <c r="I206" s="579" t="s">
        <v>761</v>
      </c>
    </row>
    <row r="207" spans="1:9" x14ac:dyDescent="0.2">
      <c r="A207" s="742">
        <v>16</v>
      </c>
      <c r="B207" s="1715" t="s">
        <v>776</v>
      </c>
      <c r="C207" s="1716"/>
      <c r="D207" s="732">
        <v>2279</v>
      </c>
      <c r="E207" s="565">
        <v>8500</v>
      </c>
      <c r="F207" s="565"/>
      <c r="G207" s="565">
        <f t="shared" si="43"/>
        <v>8500</v>
      </c>
      <c r="H207" s="565"/>
      <c r="I207" s="579" t="s">
        <v>761</v>
      </c>
    </row>
    <row r="208" spans="1:9" x14ac:dyDescent="0.2">
      <c r="A208" s="741">
        <v>17</v>
      </c>
      <c r="B208" s="1700" t="s">
        <v>777</v>
      </c>
      <c r="C208" s="1701"/>
      <c r="D208" s="732">
        <v>2279</v>
      </c>
      <c r="E208" s="565">
        <v>2000</v>
      </c>
      <c r="F208" s="565"/>
      <c r="G208" s="565">
        <f t="shared" si="43"/>
        <v>2000</v>
      </c>
      <c r="H208" s="565"/>
      <c r="I208" s="579" t="s">
        <v>761</v>
      </c>
    </row>
    <row r="209" spans="1:9" x14ac:dyDescent="0.2">
      <c r="A209" s="742">
        <v>18</v>
      </c>
      <c r="B209" s="1700" t="s">
        <v>778</v>
      </c>
      <c r="C209" s="1701"/>
      <c r="D209" s="732">
        <v>2279</v>
      </c>
      <c r="E209" s="565">
        <v>3819</v>
      </c>
      <c r="F209" s="565"/>
      <c r="G209" s="565">
        <f t="shared" si="43"/>
        <v>3819</v>
      </c>
      <c r="H209" s="565"/>
      <c r="I209" s="579" t="s">
        <v>761</v>
      </c>
    </row>
    <row r="210" spans="1:9" x14ac:dyDescent="0.2">
      <c r="A210" s="741">
        <v>19</v>
      </c>
      <c r="B210" s="1700" t="s">
        <v>779</v>
      </c>
      <c r="C210" s="1701"/>
      <c r="D210" s="732">
        <v>2279</v>
      </c>
      <c r="E210" s="565">
        <v>2000</v>
      </c>
      <c r="F210" s="565"/>
      <c r="G210" s="565">
        <f t="shared" si="43"/>
        <v>2000</v>
      </c>
      <c r="H210" s="565"/>
      <c r="I210" s="579" t="s">
        <v>761</v>
      </c>
    </row>
    <row r="211" spans="1:9" x14ac:dyDescent="0.2">
      <c r="A211" s="742">
        <v>20</v>
      </c>
      <c r="B211" s="1700" t="s">
        <v>780</v>
      </c>
      <c r="C211" s="1701"/>
      <c r="D211" s="732">
        <v>2279</v>
      </c>
      <c r="E211" s="565">
        <v>2481</v>
      </c>
      <c r="F211" s="565"/>
      <c r="G211" s="565">
        <f t="shared" si="43"/>
        <v>2481</v>
      </c>
      <c r="H211" s="565"/>
      <c r="I211" s="579" t="s">
        <v>761</v>
      </c>
    </row>
    <row r="212" spans="1:9" ht="23.25" customHeight="1" x14ac:dyDescent="0.2">
      <c r="A212" s="741">
        <v>21</v>
      </c>
      <c r="B212" s="1700" t="s">
        <v>781</v>
      </c>
      <c r="C212" s="1701"/>
      <c r="D212" s="732">
        <v>2279</v>
      </c>
      <c r="E212" s="565">
        <v>10000</v>
      </c>
      <c r="F212" s="565"/>
      <c r="G212" s="565">
        <f t="shared" si="43"/>
        <v>10000</v>
      </c>
      <c r="H212" s="565"/>
      <c r="I212" s="579" t="s">
        <v>761</v>
      </c>
    </row>
    <row r="213" spans="1:9" x14ac:dyDescent="0.2">
      <c r="A213" s="742">
        <v>22</v>
      </c>
      <c r="B213" s="1700" t="s">
        <v>782</v>
      </c>
      <c r="C213" s="1701"/>
      <c r="D213" s="732">
        <v>2279</v>
      </c>
      <c r="E213" s="565">
        <v>5400</v>
      </c>
      <c r="F213" s="565"/>
      <c r="G213" s="565">
        <f t="shared" si="43"/>
        <v>5400</v>
      </c>
      <c r="H213" s="565"/>
      <c r="I213" s="579" t="s">
        <v>761</v>
      </c>
    </row>
    <row r="214" spans="1:9" x14ac:dyDescent="0.2">
      <c r="A214" s="741">
        <v>23</v>
      </c>
      <c r="B214" s="1700" t="s">
        <v>783</v>
      </c>
      <c r="C214" s="1701"/>
      <c r="D214" s="732">
        <v>2279</v>
      </c>
      <c r="E214" s="565">
        <v>2419</v>
      </c>
      <c r="F214" s="565"/>
      <c r="G214" s="565">
        <f t="shared" si="43"/>
        <v>2419</v>
      </c>
      <c r="H214" s="565"/>
      <c r="I214" s="579" t="s">
        <v>761</v>
      </c>
    </row>
    <row r="215" spans="1:9" x14ac:dyDescent="0.2">
      <c r="A215" s="742">
        <v>24</v>
      </c>
      <c r="B215" s="1700" t="s">
        <v>784</v>
      </c>
      <c r="C215" s="1701"/>
      <c r="D215" s="732">
        <v>2279</v>
      </c>
      <c r="E215" s="565">
        <v>5000</v>
      </c>
      <c r="F215" s="565"/>
      <c r="G215" s="565">
        <f t="shared" si="43"/>
        <v>5000</v>
      </c>
      <c r="H215" s="565"/>
      <c r="I215" s="579" t="s">
        <v>761</v>
      </c>
    </row>
    <row r="216" spans="1:9" ht="12.75" customHeight="1" x14ac:dyDescent="0.2">
      <c r="A216" s="741">
        <v>25</v>
      </c>
      <c r="B216" s="1700" t="s">
        <v>785</v>
      </c>
      <c r="C216" s="1701"/>
      <c r="D216" s="732">
        <v>2279</v>
      </c>
      <c r="E216" s="565">
        <v>1000</v>
      </c>
      <c r="F216" s="565"/>
      <c r="G216" s="565">
        <f t="shared" si="43"/>
        <v>1000</v>
      </c>
      <c r="H216" s="565"/>
      <c r="I216" s="579" t="s">
        <v>761</v>
      </c>
    </row>
    <row r="217" spans="1:9" x14ac:dyDescent="0.2">
      <c r="A217" s="742">
        <v>26</v>
      </c>
      <c r="B217" s="1700" t="s">
        <v>786</v>
      </c>
      <c r="C217" s="1701"/>
      <c r="D217" s="732">
        <v>2279</v>
      </c>
      <c r="E217" s="565">
        <v>2846</v>
      </c>
      <c r="F217" s="565"/>
      <c r="G217" s="565">
        <f t="shared" si="43"/>
        <v>2846</v>
      </c>
      <c r="H217" s="565"/>
      <c r="I217" s="579" t="s">
        <v>761</v>
      </c>
    </row>
    <row r="218" spans="1:9" x14ac:dyDescent="0.2">
      <c r="A218" s="741">
        <v>27</v>
      </c>
      <c r="B218" s="1700" t="s">
        <v>787</v>
      </c>
      <c r="C218" s="1701"/>
      <c r="D218" s="732">
        <v>2279</v>
      </c>
      <c r="E218" s="565">
        <v>750</v>
      </c>
      <c r="F218" s="565"/>
      <c r="G218" s="565">
        <f t="shared" si="43"/>
        <v>750</v>
      </c>
      <c r="H218" s="565"/>
      <c r="I218" s="579" t="s">
        <v>761</v>
      </c>
    </row>
    <row r="219" spans="1:9" x14ac:dyDescent="0.2">
      <c r="A219" s="742">
        <v>28</v>
      </c>
      <c r="B219" s="1713" t="s">
        <v>788</v>
      </c>
      <c r="C219" s="1714"/>
      <c r="D219" s="732">
        <v>2279</v>
      </c>
      <c r="E219" s="565">
        <v>1055</v>
      </c>
      <c r="F219" s="565"/>
      <c r="G219" s="565">
        <f t="shared" si="43"/>
        <v>1055</v>
      </c>
      <c r="H219" s="565"/>
      <c r="I219" s="579" t="s">
        <v>761</v>
      </c>
    </row>
    <row r="220" spans="1:9" ht="12.75" customHeight="1" x14ac:dyDescent="0.2">
      <c r="A220" s="741">
        <v>29</v>
      </c>
      <c r="B220" s="1713" t="s">
        <v>789</v>
      </c>
      <c r="C220" s="1714"/>
      <c r="D220" s="732">
        <v>2279</v>
      </c>
      <c r="E220" s="565">
        <v>2000</v>
      </c>
      <c r="F220" s="565"/>
      <c r="G220" s="565">
        <f t="shared" si="43"/>
        <v>2000</v>
      </c>
      <c r="H220" s="565"/>
      <c r="I220" s="579" t="s">
        <v>761</v>
      </c>
    </row>
    <row r="221" spans="1:9" ht="12.75" customHeight="1" x14ac:dyDescent="0.2">
      <c r="A221" s="742">
        <v>30</v>
      </c>
      <c r="B221" s="1713" t="s">
        <v>790</v>
      </c>
      <c r="C221" s="1714"/>
      <c r="D221" s="732">
        <v>2279</v>
      </c>
      <c r="E221" s="565">
        <v>2000</v>
      </c>
      <c r="F221" s="565"/>
      <c r="G221" s="565">
        <f t="shared" si="43"/>
        <v>2000</v>
      </c>
      <c r="H221" s="565"/>
      <c r="I221" s="579" t="s">
        <v>761</v>
      </c>
    </row>
    <row r="222" spans="1:9" x14ac:dyDescent="0.2">
      <c r="A222" s="741">
        <v>31</v>
      </c>
      <c r="B222" s="1700" t="s">
        <v>791</v>
      </c>
      <c r="C222" s="1701"/>
      <c r="D222" s="732">
        <v>2279</v>
      </c>
      <c r="E222" s="565">
        <v>2925</v>
      </c>
      <c r="F222" s="565"/>
      <c r="G222" s="565">
        <f t="shared" si="43"/>
        <v>2925</v>
      </c>
      <c r="H222" s="565"/>
      <c r="I222" s="579" t="s">
        <v>761</v>
      </c>
    </row>
    <row r="223" spans="1:9" ht="12.75" customHeight="1" x14ac:dyDescent="0.2">
      <c r="A223" s="742">
        <v>32</v>
      </c>
      <c r="B223" s="1700" t="s">
        <v>792</v>
      </c>
      <c r="C223" s="1701"/>
      <c r="D223" s="732">
        <v>2279</v>
      </c>
      <c r="E223" s="565">
        <v>167</v>
      </c>
      <c r="F223" s="565"/>
      <c r="G223" s="565">
        <f t="shared" si="43"/>
        <v>167</v>
      </c>
      <c r="H223" s="565"/>
      <c r="I223" s="579" t="s">
        <v>761</v>
      </c>
    </row>
    <row r="224" spans="1:9" x14ac:dyDescent="0.2">
      <c r="A224" s="741">
        <v>33</v>
      </c>
      <c r="B224" s="1713" t="s">
        <v>793</v>
      </c>
      <c r="C224" s="1714"/>
      <c r="D224" s="732">
        <v>2279</v>
      </c>
      <c r="E224" s="565">
        <v>2100</v>
      </c>
      <c r="F224" s="565"/>
      <c r="G224" s="565">
        <f t="shared" si="43"/>
        <v>2100</v>
      </c>
      <c r="H224" s="565"/>
      <c r="I224" s="579" t="s">
        <v>761</v>
      </c>
    </row>
    <row r="225" spans="1:9" ht="12.75" customHeight="1" x14ac:dyDescent="0.2">
      <c r="A225" s="742">
        <v>34</v>
      </c>
      <c r="B225" s="1713" t="s">
        <v>794</v>
      </c>
      <c r="C225" s="1714"/>
      <c r="D225" s="732">
        <v>2279</v>
      </c>
      <c r="E225" s="565">
        <v>3000</v>
      </c>
      <c r="F225" s="565"/>
      <c r="G225" s="565">
        <f t="shared" si="43"/>
        <v>3000</v>
      </c>
      <c r="H225" s="565"/>
      <c r="I225" s="579" t="s">
        <v>761</v>
      </c>
    </row>
    <row r="226" spans="1:9" x14ac:dyDescent="0.2">
      <c r="A226" s="741">
        <v>35</v>
      </c>
      <c r="B226" s="1700" t="s">
        <v>795</v>
      </c>
      <c r="C226" s="1701"/>
      <c r="D226" s="732">
        <v>2279</v>
      </c>
      <c r="E226" s="565">
        <v>1423</v>
      </c>
      <c r="F226" s="565"/>
      <c r="G226" s="565">
        <f t="shared" si="43"/>
        <v>1423</v>
      </c>
      <c r="H226" s="565"/>
      <c r="I226" s="579" t="s">
        <v>761</v>
      </c>
    </row>
    <row r="227" spans="1:9" x14ac:dyDescent="0.2">
      <c r="A227" s="742">
        <v>36</v>
      </c>
      <c r="B227" s="1700" t="s">
        <v>796</v>
      </c>
      <c r="C227" s="1701"/>
      <c r="D227" s="732">
        <v>2279</v>
      </c>
      <c r="E227" s="565">
        <v>2982</v>
      </c>
      <c r="F227" s="565"/>
      <c r="G227" s="565">
        <f t="shared" si="43"/>
        <v>2982</v>
      </c>
      <c r="H227" s="565"/>
      <c r="I227" s="579" t="s">
        <v>761</v>
      </c>
    </row>
    <row r="228" spans="1:9" x14ac:dyDescent="0.2">
      <c r="A228" s="741">
        <v>37</v>
      </c>
      <c r="B228" s="1713" t="s">
        <v>797</v>
      </c>
      <c r="C228" s="1714"/>
      <c r="D228" s="732">
        <v>2279</v>
      </c>
      <c r="E228" s="565">
        <v>0</v>
      </c>
      <c r="F228" s="565"/>
      <c r="G228" s="565">
        <f t="shared" si="43"/>
        <v>0</v>
      </c>
      <c r="H228" s="565"/>
      <c r="I228" s="579" t="s">
        <v>761</v>
      </c>
    </row>
    <row r="229" spans="1:9" x14ac:dyDescent="0.2">
      <c r="A229" s="742">
        <v>38</v>
      </c>
      <c r="B229" s="1713" t="s">
        <v>798</v>
      </c>
      <c r="C229" s="1714"/>
      <c r="D229" s="732">
        <v>2279</v>
      </c>
      <c r="E229" s="565">
        <v>3700</v>
      </c>
      <c r="F229" s="565"/>
      <c r="G229" s="565">
        <f t="shared" si="43"/>
        <v>3700</v>
      </c>
      <c r="H229" s="565"/>
      <c r="I229" s="579" t="s">
        <v>761</v>
      </c>
    </row>
    <row r="230" spans="1:9" x14ac:dyDescent="0.2">
      <c r="A230" s="741">
        <v>39</v>
      </c>
      <c r="B230" s="1700" t="s">
        <v>799</v>
      </c>
      <c r="C230" s="1701"/>
      <c r="D230" s="732">
        <v>2279</v>
      </c>
      <c r="E230" s="565">
        <v>3000</v>
      </c>
      <c r="F230" s="565"/>
      <c r="G230" s="565">
        <f t="shared" si="43"/>
        <v>3000</v>
      </c>
      <c r="H230" s="565"/>
      <c r="I230" s="579" t="s">
        <v>761</v>
      </c>
    </row>
    <row r="231" spans="1:9" x14ac:dyDescent="0.2">
      <c r="A231" s="742">
        <v>40</v>
      </c>
      <c r="B231" s="1713" t="s">
        <v>800</v>
      </c>
      <c r="C231" s="1714"/>
      <c r="D231" s="732">
        <v>2279</v>
      </c>
      <c r="E231" s="565">
        <v>3000</v>
      </c>
      <c r="F231" s="565"/>
      <c r="G231" s="565">
        <f t="shared" si="43"/>
        <v>3000</v>
      </c>
      <c r="H231" s="565"/>
      <c r="I231" s="579" t="s">
        <v>761</v>
      </c>
    </row>
    <row r="232" spans="1:9" x14ac:dyDescent="0.2">
      <c r="A232" s="741">
        <v>41</v>
      </c>
      <c r="B232" s="1700" t="s">
        <v>801</v>
      </c>
      <c r="C232" s="1701"/>
      <c r="D232" s="732">
        <v>2279</v>
      </c>
      <c r="E232" s="565">
        <v>4269</v>
      </c>
      <c r="F232" s="565"/>
      <c r="G232" s="565">
        <f t="shared" si="43"/>
        <v>4269</v>
      </c>
      <c r="H232" s="565"/>
      <c r="I232" s="579" t="s">
        <v>761</v>
      </c>
    </row>
    <row r="233" spans="1:9" x14ac:dyDescent="0.2">
      <c r="A233" s="742">
        <v>42</v>
      </c>
      <c r="B233" s="1713" t="s">
        <v>802</v>
      </c>
      <c r="C233" s="1714"/>
      <c r="D233" s="732">
        <v>2279</v>
      </c>
      <c r="E233" s="565">
        <v>25000</v>
      </c>
      <c r="F233" s="565"/>
      <c r="G233" s="565">
        <f t="shared" si="43"/>
        <v>25000</v>
      </c>
      <c r="H233" s="565"/>
      <c r="I233" s="579" t="s">
        <v>761</v>
      </c>
    </row>
    <row r="234" spans="1:9" x14ac:dyDescent="0.2">
      <c r="A234" s="741">
        <v>43</v>
      </c>
      <c r="B234" s="1700" t="s">
        <v>803</v>
      </c>
      <c r="C234" s="1701"/>
      <c r="D234" s="732">
        <v>2279</v>
      </c>
      <c r="E234" s="565">
        <v>3819</v>
      </c>
      <c r="F234" s="565"/>
      <c r="G234" s="565">
        <f t="shared" si="43"/>
        <v>3819</v>
      </c>
      <c r="H234" s="565"/>
      <c r="I234" s="579" t="s">
        <v>761</v>
      </c>
    </row>
    <row r="235" spans="1:9" x14ac:dyDescent="0.2">
      <c r="A235" s="742">
        <v>44</v>
      </c>
      <c r="B235" s="1700" t="s">
        <v>804</v>
      </c>
      <c r="C235" s="1701"/>
      <c r="D235" s="732">
        <v>2279</v>
      </c>
      <c r="E235" s="565">
        <v>3140</v>
      </c>
      <c r="F235" s="565"/>
      <c r="G235" s="565">
        <f t="shared" si="43"/>
        <v>3140</v>
      </c>
      <c r="H235" s="565"/>
      <c r="I235" s="579" t="s">
        <v>761</v>
      </c>
    </row>
    <row r="236" spans="1:9" ht="11.25" customHeight="1" x14ac:dyDescent="0.2">
      <c r="A236" s="741">
        <v>45</v>
      </c>
      <c r="B236" s="1713" t="s">
        <v>805</v>
      </c>
      <c r="C236" s="1714"/>
      <c r="D236" s="732">
        <v>2279</v>
      </c>
      <c r="E236" s="565">
        <v>4301</v>
      </c>
      <c r="F236" s="565"/>
      <c r="G236" s="744">
        <f t="shared" si="43"/>
        <v>4301</v>
      </c>
      <c r="H236" s="565"/>
      <c r="I236" s="745" t="s">
        <v>761</v>
      </c>
    </row>
    <row r="237" spans="1:9" x14ac:dyDescent="0.2">
      <c r="A237" s="742">
        <v>46</v>
      </c>
      <c r="B237" s="1713" t="s">
        <v>806</v>
      </c>
      <c r="C237" s="1714"/>
      <c r="D237" s="732">
        <v>2279</v>
      </c>
      <c r="E237" s="565">
        <v>6980</v>
      </c>
      <c r="F237" s="565"/>
      <c r="G237" s="565">
        <f t="shared" si="43"/>
        <v>6980</v>
      </c>
      <c r="H237" s="565"/>
      <c r="I237" s="579" t="s">
        <v>761</v>
      </c>
    </row>
    <row r="238" spans="1:9" x14ac:dyDescent="0.2">
      <c r="A238" s="741">
        <v>47</v>
      </c>
      <c r="B238" s="1700" t="s">
        <v>807</v>
      </c>
      <c r="C238" s="1701"/>
      <c r="D238" s="732">
        <v>2279</v>
      </c>
      <c r="E238" s="565">
        <v>0</v>
      </c>
      <c r="F238" s="565"/>
      <c r="G238" s="565">
        <f t="shared" si="43"/>
        <v>0</v>
      </c>
      <c r="H238" s="565"/>
      <c r="I238" s="579" t="s">
        <v>761</v>
      </c>
    </row>
    <row r="239" spans="1:9" x14ac:dyDescent="0.2">
      <c r="A239" s="742">
        <v>48</v>
      </c>
      <c r="B239" s="1700" t="s">
        <v>808</v>
      </c>
      <c r="C239" s="1701"/>
      <c r="D239" s="732">
        <v>2279</v>
      </c>
      <c r="E239" s="565">
        <v>2846</v>
      </c>
      <c r="F239" s="565"/>
      <c r="G239" s="565">
        <f t="shared" si="43"/>
        <v>2846</v>
      </c>
      <c r="H239" s="565"/>
      <c r="I239" s="579" t="s">
        <v>761</v>
      </c>
    </row>
    <row r="240" spans="1:9" x14ac:dyDescent="0.2">
      <c r="A240" s="741">
        <v>49</v>
      </c>
      <c r="B240" s="1713" t="s">
        <v>809</v>
      </c>
      <c r="C240" s="1714"/>
      <c r="D240" s="732">
        <v>2279</v>
      </c>
      <c r="E240" s="565">
        <v>1423</v>
      </c>
      <c r="F240" s="565"/>
      <c r="G240" s="565">
        <f t="shared" si="43"/>
        <v>1423</v>
      </c>
      <c r="H240" s="565"/>
      <c r="I240" s="579" t="s">
        <v>761</v>
      </c>
    </row>
    <row r="241" spans="1:9" x14ac:dyDescent="0.2">
      <c r="A241" s="742">
        <v>50</v>
      </c>
      <c r="B241" s="1713" t="s">
        <v>810</v>
      </c>
      <c r="C241" s="1714"/>
      <c r="D241" s="732">
        <v>2279</v>
      </c>
      <c r="E241" s="565">
        <v>800</v>
      </c>
      <c r="F241" s="565"/>
      <c r="G241" s="565">
        <f t="shared" si="43"/>
        <v>800</v>
      </c>
      <c r="H241" s="565"/>
      <c r="I241" s="579" t="s">
        <v>761</v>
      </c>
    </row>
    <row r="242" spans="1:9" x14ac:dyDescent="0.2">
      <c r="A242" s="741">
        <v>51</v>
      </c>
      <c r="B242" s="1700" t="s">
        <v>811</v>
      </c>
      <c r="C242" s="1701"/>
      <c r="D242" s="732">
        <v>2279</v>
      </c>
      <c r="E242" s="565">
        <v>3100</v>
      </c>
      <c r="F242" s="565"/>
      <c r="G242" s="565">
        <f t="shared" si="43"/>
        <v>3100</v>
      </c>
      <c r="H242" s="565"/>
      <c r="I242" s="579" t="s">
        <v>761</v>
      </c>
    </row>
    <row r="243" spans="1:9" ht="22.5" customHeight="1" x14ac:dyDescent="0.2">
      <c r="A243" s="742">
        <v>52</v>
      </c>
      <c r="B243" s="1700" t="s">
        <v>812</v>
      </c>
      <c r="C243" s="1701"/>
      <c r="D243" s="732">
        <v>2279</v>
      </c>
      <c r="E243" s="565">
        <v>2000</v>
      </c>
      <c r="F243" s="565"/>
      <c r="G243" s="565">
        <f t="shared" si="43"/>
        <v>2000</v>
      </c>
      <c r="H243" s="565"/>
      <c r="I243" s="579" t="s">
        <v>761</v>
      </c>
    </row>
    <row r="244" spans="1:9" x14ac:dyDescent="0.2">
      <c r="A244" s="741">
        <v>53</v>
      </c>
      <c r="B244" s="1700" t="s">
        <v>813</v>
      </c>
      <c r="C244" s="1701"/>
      <c r="D244" s="732">
        <v>2279</v>
      </c>
      <c r="E244" s="565">
        <v>200</v>
      </c>
      <c r="F244" s="565"/>
      <c r="G244" s="565">
        <f t="shared" si="43"/>
        <v>200</v>
      </c>
      <c r="H244" s="565"/>
      <c r="I244" s="579" t="s">
        <v>761</v>
      </c>
    </row>
    <row r="245" spans="1:9" x14ac:dyDescent="0.2">
      <c r="A245" s="1705">
        <v>54</v>
      </c>
      <c r="B245" s="1684" t="s">
        <v>814</v>
      </c>
      <c r="C245" s="1685"/>
      <c r="D245" s="732">
        <v>2279</v>
      </c>
      <c r="E245" s="565">
        <v>557</v>
      </c>
      <c r="F245" s="565"/>
      <c r="G245" s="565">
        <f t="shared" si="43"/>
        <v>557</v>
      </c>
      <c r="H245" s="565"/>
      <c r="I245" s="579" t="s">
        <v>815</v>
      </c>
    </row>
    <row r="246" spans="1:9" ht="12.75" customHeight="1" x14ac:dyDescent="0.2">
      <c r="A246" s="1705"/>
      <c r="B246" s="1688"/>
      <c r="C246" s="1689"/>
      <c r="D246" s="732">
        <v>2361</v>
      </c>
      <c r="E246" s="565">
        <v>407</v>
      </c>
      <c r="F246" s="565"/>
      <c r="G246" s="565">
        <f t="shared" ref="G246:G258" si="44">E246+F246</f>
        <v>407</v>
      </c>
      <c r="H246" s="565"/>
      <c r="I246" s="579" t="s">
        <v>816</v>
      </c>
    </row>
    <row r="247" spans="1:9" ht="12.75" customHeight="1" x14ac:dyDescent="0.2">
      <c r="A247" s="734">
        <v>55</v>
      </c>
      <c r="B247" s="1700" t="s">
        <v>817</v>
      </c>
      <c r="C247" s="1701"/>
      <c r="D247" s="732">
        <v>2279</v>
      </c>
      <c r="E247" s="565">
        <v>1500</v>
      </c>
      <c r="F247" s="565"/>
      <c r="G247" s="565">
        <f t="shared" si="44"/>
        <v>1500</v>
      </c>
      <c r="H247" s="565"/>
      <c r="I247" s="579" t="s">
        <v>761</v>
      </c>
    </row>
    <row r="248" spans="1:9" ht="12.75" customHeight="1" x14ac:dyDescent="0.2">
      <c r="A248" s="734">
        <v>56</v>
      </c>
      <c r="B248" s="1700" t="s">
        <v>818</v>
      </c>
      <c r="C248" s="1701"/>
      <c r="D248" s="732">
        <v>2279</v>
      </c>
      <c r="E248" s="565">
        <v>2000</v>
      </c>
      <c r="F248" s="565"/>
      <c r="G248" s="565">
        <f t="shared" si="44"/>
        <v>2000</v>
      </c>
      <c r="H248" s="565"/>
      <c r="I248" s="579" t="s">
        <v>761</v>
      </c>
    </row>
    <row r="249" spans="1:9" ht="12.75" customHeight="1" x14ac:dyDescent="0.2">
      <c r="A249" s="734">
        <v>57</v>
      </c>
      <c r="B249" s="1700" t="s">
        <v>819</v>
      </c>
      <c r="C249" s="1701"/>
      <c r="D249" s="732">
        <v>2279</v>
      </c>
      <c r="E249" s="565">
        <v>1397</v>
      </c>
      <c r="F249" s="565"/>
      <c r="G249" s="565">
        <f t="shared" si="44"/>
        <v>1397</v>
      </c>
      <c r="H249" s="565"/>
      <c r="I249" s="579" t="s">
        <v>761</v>
      </c>
    </row>
    <row r="250" spans="1:9" ht="15.75" customHeight="1" x14ac:dyDescent="0.2">
      <c r="A250" s="734">
        <v>58</v>
      </c>
      <c r="B250" s="1700" t="s">
        <v>820</v>
      </c>
      <c r="C250" s="1701"/>
      <c r="D250" s="732">
        <v>2279</v>
      </c>
      <c r="E250" s="565">
        <v>2500</v>
      </c>
      <c r="F250" s="565"/>
      <c r="G250" s="565">
        <f t="shared" si="44"/>
        <v>2500</v>
      </c>
      <c r="H250" s="565"/>
      <c r="I250" s="579" t="s">
        <v>761</v>
      </c>
    </row>
    <row r="251" spans="1:9" ht="48.75" customHeight="1" x14ac:dyDescent="0.2">
      <c r="A251" s="734">
        <v>59</v>
      </c>
      <c r="B251" s="1700" t="s">
        <v>821</v>
      </c>
      <c r="C251" s="1701"/>
      <c r="D251" s="732">
        <v>6422</v>
      </c>
      <c r="E251" s="565">
        <f>40000+25033</f>
        <v>65033</v>
      </c>
      <c r="F251" s="565"/>
      <c r="G251" s="565">
        <f t="shared" si="44"/>
        <v>65033</v>
      </c>
      <c r="H251" s="565"/>
      <c r="I251" s="565"/>
    </row>
    <row r="252" spans="1:9" ht="15.75" customHeight="1" x14ac:dyDescent="0.2">
      <c r="A252" s="734">
        <v>60</v>
      </c>
      <c r="B252" s="1700" t="s">
        <v>822</v>
      </c>
      <c r="C252" s="1701"/>
      <c r="D252" s="732">
        <v>2279</v>
      </c>
      <c r="E252" s="565">
        <v>3083</v>
      </c>
      <c r="F252" s="565"/>
      <c r="G252" s="565">
        <f t="shared" si="44"/>
        <v>3083</v>
      </c>
      <c r="H252" s="565"/>
      <c r="I252" s="579" t="s">
        <v>761</v>
      </c>
    </row>
    <row r="253" spans="1:9" x14ac:dyDescent="0.2">
      <c r="A253" s="734">
        <v>61</v>
      </c>
      <c r="B253" s="1700" t="s">
        <v>823</v>
      </c>
      <c r="C253" s="1701"/>
      <c r="D253" s="732">
        <v>2279</v>
      </c>
      <c r="E253" s="565">
        <v>3600</v>
      </c>
      <c r="F253" s="565"/>
      <c r="G253" s="565">
        <f t="shared" si="44"/>
        <v>3600</v>
      </c>
      <c r="H253" s="565"/>
      <c r="I253" s="579" t="s">
        <v>761</v>
      </c>
    </row>
    <row r="254" spans="1:9" ht="12.75" customHeight="1" x14ac:dyDescent="0.2">
      <c r="A254" s="734">
        <v>62</v>
      </c>
      <c r="B254" s="1700" t="s">
        <v>824</v>
      </c>
      <c r="C254" s="1701"/>
      <c r="D254" s="732">
        <v>2279</v>
      </c>
      <c r="E254" s="565">
        <v>750</v>
      </c>
      <c r="F254" s="565"/>
      <c r="G254" s="565">
        <f t="shared" si="44"/>
        <v>750</v>
      </c>
      <c r="H254" s="565"/>
      <c r="I254" s="579" t="s">
        <v>761</v>
      </c>
    </row>
    <row r="255" spans="1:9" x14ac:dyDescent="0.2">
      <c r="A255" s="734">
        <v>63</v>
      </c>
      <c r="B255" s="1700" t="s">
        <v>825</v>
      </c>
      <c r="C255" s="1701"/>
      <c r="D255" s="732">
        <v>2279</v>
      </c>
      <c r="E255" s="565">
        <v>2000</v>
      </c>
      <c r="F255" s="565"/>
      <c r="G255" s="565">
        <f t="shared" si="44"/>
        <v>2000</v>
      </c>
      <c r="H255" s="565"/>
      <c r="I255" s="579" t="s">
        <v>761</v>
      </c>
    </row>
    <row r="256" spans="1:9" ht="26.25" customHeight="1" x14ac:dyDescent="0.2">
      <c r="A256" s="734">
        <v>64</v>
      </c>
      <c r="B256" s="1700" t="s">
        <v>826</v>
      </c>
      <c r="C256" s="1701"/>
      <c r="D256" s="732">
        <v>2279</v>
      </c>
      <c r="E256" s="565">
        <v>4210</v>
      </c>
      <c r="F256" s="565"/>
      <c r="G256" s="565">
        <f t="shared" si="44"/>
        <v>4210</v>
      </c>
      <c r="H256" s="565"/>
      <c r="I256" s="579" t="s">
        <v>540</v>
      </c>
    </row>
    <row r="257" spans="1:10" x14ac:dyDescent="0.2">
      <c r="A257" s="734">
        <v>65</v>
      </c>
      <c r="B257" s="1700" t="s">
        <v>827</v>
      </c>
      <c r="C257" s="1701"/>
      <c r="D257" s="732">
        <v>2279</v>
      </c>
      <c r="E257" s="565">
        <v>3493</v>
      </c>
      <c r="F257" s="565"/>
      <c r="G257" s="565">
        <f t="shared" si="44"/>
        <v>3493</v>
      </c>
      <c r="H257" s="565"/>
      <c r="I257" s="579" t="s">
        <v>566</v>
      </c>
    </row>
    <row r="258" spans="1:10" x14ac:dyDescent="0.2">
      <c r="A258" s="734">
        <v>66</v>
      </c>
      <c r="B258" s="1700" t="s">
        <v>828</v>
      </c>
      <c r="C258" s="1701"/>
      <c r="D258" s="732">
        <v>2279</v>
      </c>
      <c r="E258" s="565">
        <v>2180</v>
      </c>
      <c r="F258" s="565"/>
      <c r="G258" s="565">
        <f t="shared" si="44"/>
        <v>2180</v>
      </c>
      <c r="H258" s="565"/>
      <c r="I258" s="579" t="s">
        <v>761</v>
      </c>
    </row>
    <row r="259" spans="1:10" x14ac:dyDescent="0.2">
      <c r="A259" s="734">
        <v>67</v>
      </c>
      <c r="B259" s="922" t="s">
        <v>1069</v>
      </c>
      <c r="C259" s="923"/>
      <c r="D259" s="732">
        <v>2279</v>
      </c>
      <c r="E259" s="565">
        <v>3519</v>
      </c>
      <c r="F259" s="565"/>
      <c r="G259" s="565">
        <v>3519</v>
      </c>
      <c r="H259" s="565"/>
      <c r="I259" s="579"/>
    </row>
    <row r="260" spans="1:10" x14ac:dyDescent="0.2">
      <c r="A260" s="731" t="s">
        <v>829</v>
      </c>
      <c r="B260" s="1693" t="s">
        <v>830</v>
      </c>
      <c r="C260" s="1694"/>
      <c r="D260" s="730"/>
      <c r="E260" s="730">
        <f>SUM(E261)</f>
        <v>786</v>
      </c>
      <c r="F260" s="730">
        <f t="shared" ref="F260:G260" si="45">SUM(F261)</f>
        <v>0</v>
      </c>
      <c r="G260" s="730">
        <f t="shared" si="45"/>
        <v>786</v>
      </c>
      <c r="H260" s="730"/>
      <c r="I260" s="565"/>
    </row>
    <row r="261" spans="1:10" x14ac:dyDescent="0.2">
      <c r="A261" s="734">
        <v>1</v>
      </c>
      <c r="B261" s="1700" t="s">
        <v>831</v>
      </c>
      <c r="C261" s="1701"/>
      <c r="D261" s="732">
        <v>2275</v>
      </c>
      <c r="E261" s="565">
        <f>24819-24033</f>
        <v>786</v>
      </c>
      <c r="F261" s="565"/>
      <c r="G261" s="565">
        <f>E261+F261</f>
        <v>786</v>
      </c>
      <c r="H261" s="565"/>
      <c r="I261" s="565"/>
    </row>
    <row r="262" spans="1:10" x14ac:dyDescent="0.2">
      <c r="A262" s="746"/>
      <c r="B262" s="747"/>
      <c r="C262" s="747"/>
      <c r="D262" s="748"/>
      <c r="E262" s="749"/>
      <c r="F262" s="749"/>
      <c r="G262" s="749"/>
      <c r="H262" s="749"/>
      <c r="I262" s="749"/>
    </row>
    <row r="263" spans="1:10" ht="15.75" x14ac:dyDescent="0.25">
      <c r="A263" s="1673" t="s">
        <v>358</v>
      </c>
      <c r="B263" s="1673"/>
      <c r="C263" s="1717" t="s">
        <v>832</v>
      </c>
      <c r="D263" s="1717"/>
      <c r="E263" s="1717"/>
      <c r="F263" s="1717"/>
      <c r="G263" s="1717"/>
      <c r="H263" s="1717"/>
      <c r="I263" s="1717"/>
      <c r="J263" s="750"/>
    </row>
    <row r="264" spans="1:10" x14ac:dyDescent="0.2">
      <c r="A264" s="1673" t="s">
        <v>360</v>
      </c>
      <c r="B264" s="1673"/>
      <c r="C264" s="1718" t="s">
        <v>833</v>
      </c>
      <c r="D264" s="1718"/>
      <c r="E264" s="1718"/>
      <c r="F264" s="1718"/>
      <c r="G264" s="1718"/>
      <c r="H264" s="1718"/>
      <c r="I264" s="1718"/>
    </row>
    <row r="265" spans="1:10" x14ac:dyDescent="0.2">
      <c r="A265" s="1673" t="s">
        <v>362</v>
      </c>
      <c r="B265" s="1673"/>
      <c r="C265" s="1719">
        <v>8.6199999999999992</v>
      </c>
      <c r="D265" s="1719"/>
      <c r="E265" s="1719"/>
      <c r="F265" s="1719"/>
      <c r="G265" s="1719"/>
      <c r="H265" s="1719"/>
      <c r="I265" s="1719"/>
    </row>
    <row r="266" spans="1:10" ht="12" customHeight="1" x14ac:dyDescent="0.2">
      <c r="A266" s="1636" t="s">
        <v>364</v>
      </c>
      <c r="B266" s="1636" t="s">
        <v>365</v>
      </c>
      <c r="C266" s="1636"/>
      <c r="D266" s="1636" t="s">
        <v>366</v>
      </c>
      <c r="E266" s="1636" t="s">
        <v>367</v>
      </c>
      <c r="F266" s="1680" t="s">
        <v>538</v>
      </c>
      <c r="G266" s="1680" t="s">
        <v>369</v>
      </c>
      <c r="H266" s="1680" t="s">
        <v>26</v>
      </c>
      <c r="I266" s="1636" t="s">
        <v>370</v>
      </c>
    </row>
    <row r="267" spans="1:10" ht="24" customHeight="1" x14ac:dyDescent="0.2">
      <c r="A267" s="1636"/>
      <c r="B267" s="1636"/>
      <c r="C267" s="1636"/>
      <c r="D267" s="1636"/>
      <c r="E267" s="1636"/>
      <c r="F267" s="1680"/>
      <c r="G267" s="1680"/>
      <c r="H267" s="1680"/>
      <c r="I267" s="1636"/>
    </row>
    <row r="268" spans="1:10" x14ac:dyDescent="0.2">
      <c r="A268" s="1637" t="s">
        <v>371</v>
      </c>
      <c r="B268" s="1637"/>
      <c r="C268" s="1637"/>
      <c r="D268" s="550"/>
      <c r="E268" s="550">
        <f>E269+E470+E572</f>
        <v>9091</v>
      </c>
      <c r="F268" s="550">
        <f>F269+F470+F572</f>
        <v>0</v>
      </c>
      <c r="G268" s="550">
        <f>G269+G470+G572</f>
        <v>9091</v>
      </c>
      <c r="H268" s="550"/>
      <c r="I268" s="585"/>
    </row>
    <row r="269" spans="1:10" ht="12" customHeight="1" x14ac:dyDescent="0.2">
      <c r="A269" s="734">
        <v>1</v>
      </c>
      <c r="B269" s="1720" t="s">
        <v>834</v>
      </c>
      <c r="C269" s="1701"/>
      <c r="D269" s="565">
        <v>1150</v>
      </c>
      <c r="E269" s="565">
        <v>9091</v>
      </c>
      <c r="F269" s="565"/>
      <c r="G269" s="565">
        <f>E269+F269</f>
        <v>9091</v>
      </c>
      <c r="H269" s="565"/>
      <c r="I269" s="579"/>
    </row>
    <row r="270" spans="1:10" ht="7.5" customHeight="1" x14ac:dyDescent="0.2">
      <c r="A270" s="751"/>
      <c r="B270" s="747"/>
      <c r="C270" s="747"/>
      <c r="D270" s="749"/>
      <c r="E270" s="749"/>
      <c r="F270" s="749"/>
      <c r="G270" s="749"/>
      <c r="H270" s="749"/>
      <c r="I270" s="752"/>
    </row>
    <row r="271" spans="1:10" ht="12.75" x14ac:dyDescent="0.2">
      <c r="A271" s="588" t="s">
        <v>835</v>
      </c>
      <c r="C271" s="753" t="s">
        <v>836</v>
      </c>
    </row>
    <row r="272" spans="1:10" x14ac:dyDescent="0.2">
      <c r="A272" s="588" t="s">
        <v>837</v>
      </c>
    </row>
    <row r="273" spans="1:9" x14ac:dyDescent="0.2">
      <c r="A273" s="588" t="s">
        <v>838</v>
      </c>
    </row>
    <row r="274" spans="1:9" x14ac:dyDescent="0.2">
      <c r="A274" s="588" t="s">
        <v>839</v>
      </c>
    </row>
    <row r="275" spans="1:9" x14ac:dyDescent="0.2">
      <c r="A275" s="588" t="s">
        <v>840</v>
      </c>
    </row>
    <row r="276" spans="1:9" x14ac:dyDescent="0.2">
      <c r="A276" s="1721" t="s">
        <v>841</v>
      </c>
      <c r="B276" s="1721"/>
      <c r="C276" s="1721"/>
      <c r="D276" s="754"/>
      <c r="E276" s="754"/>
      <c r="F276" s="754"/>
      <c r="G276" s="754"/>
      <c r="H276" s="754"/>
      <c r="I276" s="754"/>
    </row>
  </sheetData>
  <sheetProtection algorithmName="SHA-512" hashValue="DQO2uVIIxgsBGPGhW+cqpr/aV8ySWK1JuiB1nYZLterA/Bd26LchGXPJVziXyzzj6NxLnxz2y6/OCvbLt9KOaw==" saltValue="qdfHfPJUHEuGUYpzP0QQYg==" spinCount="100000" sheet="1" objects="1" scenarios="1"/>
  <mergeCells count="271">
    <mergeCell ref="H266:H267"/>
    <mergeCell ref="I266:I267"/>
    <mergeCell ref="A268:C268"/>
    <mergeCell ref="B269:C269"/>
    <mergeCell ref="A276:C276"/>
    <mergeCell ref="A266:A267"/>
    <mergeCell ref="B266:C267"/>
    <mergeCell ref="D266:D267"/>
    <mergeCell ref="E266:E267"/>
    <mergeCell ref="F266:F267"/>
    <mergeCell ref="G266:G267"/>
    <mergeCell ref="A263:B263"/>
    <mergeCell ref="C263:I263"/>
    <mergeCell ref="A264:B264"/>
    <mergeCell ref="C264:I264"/>
    <mergeCell ref="A265:B265"/>
    <mergeCell ref="C265:I265"/>
    <mergeCell ref="B255:C255"/>
    <mergeCell ref="B256:C256"/>
    <mergeCell ref="B257:C257"/>
    <mergeCell ref="B258:C258"/>
    <mergeCell ref="B260:C260"/>
    <mergeCell ref="B261:C261"/>
    <mergeCell ref="B249:C249"/>
    <mergeCell ref="B250:C250"/>
    <mergeCell ref="B251:C251"/>
    <mergeCell ref="B252:C252"/>
    <mergeCell ref="B253:C253"/>
    <mergeCell ref="B254:C254"/>
    <mergeCell ref="B243:C243"/>
    <mergeCell ref="B244:C244"/>
    <mergeCell ref="A245:A246"/>
    <mergeCell ref="B245:C246"/>
    <mergeCell ref="B247:C247"/>
    <mergeCell ref="B248:C248"/>
    <mergeCell ref="B237:C237"/>
    <mergeCell ref="B238:C238"/>
    <mergeCell ref="B239:C239"/>
    <mergeCell ref="B240:C240"/>
    <mergeCell ref="B241:C241"/>
    <mergeCell ref="B242:C242"/>
    <mergeCell ref="B231:C231"/>
    <mergeCell ref="B232:C232"/>
    <mergeCell ref="B233:C233"/>
    <mergeCell ref="B234:C234"/>
    <mergeCell ref="B235:C235"/>
    <mergeCell ref="B236:C236"/>
    <mergeCell ref="B225:C225"/>
    <mergeCell ref="B226:C226"/>
    <mergeCell ref="B227:C227"/>
    <mergeCell ref="B228:C228"/>
    <mergeCell ref="B229:C229"/>
    <mergeCell ref="B230:C230"/>
    <mergeCell ref="B219:C219"/>
    <mergeCell ref="B220:C220"/>
    <mergeCell ref="B221:C221"/>
    <mergeCell ref="B222:C222"/>
    <mergeCell ref="B223:C223"/>
    <mergeCell ref="B224:C224"/>
    <mergeCell ref="B213:C213"/>
    <mergeCell ref="B214:C214"/>
    <mergeCell ref="B215:C215"/>
    <mergeCell ref="B216:C216"/>
    <mergeCell ref="B217:C217"/>
    <mergeCell ref="B218:C218"/>
    <mergeCell ref="B207:C207"/>
    <mergeCell ref="B208:C208"/>
    <mergeCell ref="B209:C209"/>
    <mergeCell ref="B210:C210"/>
    <mergeCell ref="B211:C211"/>
    <mergeCell ref="B212:C212"/>
    <mergeCell ref="B202:C202"/>
    <mergeCell ref="A203:A204"/>
    <mergeCell ref="B203:C204"/>
    <mergeCell ref="I203:I204"/>
    <mergeCell ref="B205:C205"/>
    <mergeCell ref="B206:C206"/>
    <mergeCell ref="B196:C196"/>
    <mergeCell ref="B197:C197"/>
    <mergeCell ref="B198:C198"/>
    <mergeCell ref="B199:C199"/>
    <mergeCell ref="B200:C200"/>
    <mergeCell ref="B201:C201"/>
    <mergeCell ref="B184:C184"/>
    <mergeCell ref="A185:A187"/>
    <mergeCell ref="B185:C187"/>
    <mergeCell ref="I185:I187"/>
    <mergeCell ref="A188:A195"/>
    <mergeCell ref="B188:C195"/>
    <mergeCell ref="I188:I195"/>
    <mergeCell ref="B178:C178"/>
    <mergeCell ref="B179:C179"/>
    <mergeCell ref="B180:C180"/>
    <mergeCell ref="A181:C181"/>
    <mergeCell ref="B182:C182"/>
    <mergeCell ref="B183:C183"/>
    <mergeCell ref="B172:C172"/>
    <mergeCell ref="B173:C173"/>
    <mergeCell ref="B174:C174"/>
    <mergeCell ref="B175:C175"/>
    <mergeCell ref="B176:C176"/>
    <mergeCell ref="B177:C177"/>
    <mergeCell ref="B167:C167"/>
    <mergeCell ref="A168:A169"/>
    <mergeCell ref="B168:C169"/>
    <mergeCell ref="I168:I169"/>
    <mergeCell ref="B170:C170"/>
    <mergeCell ref="B171:C171"/>
    <mergeCell ref="B161:C161"/>
    <mergeCell ref="B162:C162"/>
    <mergeCell ref="B163:C163"/>
    <mergeCell ref="B164:C164"/>
    <mergeCell ref="B165:C165"/>
    <mergeCell ref="B166:C166"/>
    <mergeCell ref="B155:C155"/>
    <mergeCell ref="B156:C156"/>
    <mergeCell ref="B157:C157"/>
    <mergeCell ref="B158:C158"/>
    <mergeCell ref="B159:C159"/>
    <mergeCell ref="B160:C160"/>
    <mergeCell ref="B149:C149"/>
    <mergeCell ref="B150:C150"/>
    <mergeCell ref="B151:C151"/>
    <mergeCell ref="B152:C152"/>
    <mergeCell ref="B153:C153"/>
    <mergeCell ref="B154:C154"/>
    <mergeCell ref="B143:C143"/>
    <mergeCell ref="B144:C144"/>
    <mergeCell ref="B145:C145"/>
    <mergeCell ref="B146:C146"/>
    <mergeCell ref="B147:C147"/>
    <mergeCell ref="B148:C148"/>
    <mergeCell ref="B137:C137"/>
    <mergeCell ref="B138:C138"/>
    <mergeCell ref="B139:C139"/>
    <mergeCell ref="B140:C140"/>
    <mergeCell ref="B141:C141"/>
    <mergeCell ref="B142:C142"/>
    <mergeCell ref="B131:C131"/>
    <mergeCell ref="B132:C132"/>
    <mergeCell ref="B133:C133"/>
    <mergeCell ref="A134:A136"/>
    <mergeCell ref="B134:C136"/>
    <mergeCell ref="I134:I136"/>
    <mergeCell ref="B124:C124"/>
    <mergeCell ref="A125:A128"/>
    <mergeCell ref="B125:C128"/>
    <mergeCell ref="H125:H128"/>
    <mergeCell ref="B129:C129"/>
    <mergeCell ref="B130:C130"/>
    <mergeCell ref="B118:C118"/>
    <mergeCell ref="B119:C119"/>
    <mergeCell ref="B120:C120"/>
    <mergeCell ref="B121:C121"/>
    <mergeCell ref="B122:C122"/>
    <mergeCell ref="B123:C123"/>
    <mergeCell ref="B112:C112"/>
    <mergeCell ref="B113:C113"/>
    <mergeCell ref="B114:C114"/>
    <mergeCell ref="B115:C115"/>
    <mergeCell ref="B116:C116"/>
    <mergeCell ref="B117:C117"/>
    <mergeCell ref="B106:C106"/>
    <mergeCell ref="B107:C107"/>
    <mergeCell ref="B108:C108"/>
    <mergeCell ref="B109:C109"/>
    <mergeCell ref="B110:C110"/>
    <mergeCell ref="B111:C111"/>
    <mergeCell ref="A98:A100"/>
    <mergeCell ref="B98:C100"/>
    <mergeCell ref="I98:I100"/>
    <mergeCell ref="A101:A105"/>
    <mergeCell ref="B101:C105"/>
    <mergeCell ref="I101:I105"/>
    <mergeCell ref="A92:A94"/>
    <mergeCell ref="B92:C94"/>
    <mergeCell ref="I92:I94"/>
    <mergeCell ref="A95:A97"/>
    <mergeCell ref="B95:C97"/>
    <mergeCell ref="I95:I97"/>
    <mergeCell ref="B86:C86"/>
    <mergeCell ref="B87:C87"/>
    <mergeCell ref="B88:C88"/>
    <mergeCell ref="B89:C89"/>
    <mergeCell ref="B90:C90"/>
    <mergeCell ref="B91:C91"/>
    <mergeCell ref="B80:C80"/>
    <mergeCell ref="B81:C81"/>
    <mergeCell ref="B82:C82"/>
    <mergeCell ref="B83:C83"/>
    <mergeCell ref="B84:C84"/>
    <mergeCell ref="B85:C85"/>
    <mergeCell ref="B74:C74"/>
    <mergeCell ref="B75:C75"/>
    <mergeCell ref="B76:C76"/>
    <mergeCell ref="A77:A79"/>
    <mergeCell ref="B77:C79"/>
    <mergeCell ref="I77:I79"/>
    <mergeCell ref="B68:C68"/>
    <mergeCell ref="B69:C69"/>
    <mergeCell ref="B70:C70"/>
    <mergeCell ref="B71:C71"/>
    <mergeCell ref="B72:C72"/>
    <mergeCell ref="B73:C73"/>
    <mergeCell ref="A63:A64"/>
    <mergeCell ref="B63:C64"/>
    <mergeCell ref="I63:I64"/>
    <mergeCell ref="B65:C65"/>
    <mergeCell ref="B66:C66"/>
    <mergeCell ref="B67:C67"/>
    <mergeCell ref="A57:A59"/>
    <mergeCell ref="B57:C59"/>
    <mergeCell ref="I57:I59"/>
    <mergeCell ref="A60:A62"/>
    <mergeCell ref="B60:C62"/>
    <mergeCell ref="I60:I62"/>
    <mergeCell ref="B50:C50"/>
    <mergeCell ref="A51:A52"/>
    <mergeCell ref="B51:C52"/>
    <mergeCell ref="I51:I52"/>
    <mergeCell ref="B53:C53"/>
    <mergeCell ref="A54:A56"/>
    <mergeCell ref="B54:C56"/>
    <mergeCell ref="I54:I56"/>
    <mergeCell ref="B45:C45"/>
    <mergeCell ref="A46:A47"/>
    <mergeCell ref="B46:C47"/>
    <mergeCell ref="I46:I47"/>
    <mergeCell ref="A48:A49"/>
    <mergeCell ref="B48:C49"/>
    <mergeCell ref="I48:I49"/>
    <mergeCell ref="B37:C37"/>
    <mergeCell ref="B38:C38"/>
    <mergeCell ref="B39:C39"/>
    <mergeCell ref="A40:A44"/>
    <mergeCell ref="B40:C44"/>
    <mergeCell ref="I40:I44"/>
    <mergeCell ref="I28:I31"/>
    <mergeCell ref="A32:A34"/>
    <mergeCell ref="B32:C34"/>
    <mergeCell ref="I32:I34"/>
    <mergeCell ref="B35:C35"/>
    <mergeCell ref="B36:C36"/>
    <mergeCell ref="A22:A26"/>
    <mergeCell ref="B22:C26"/>
    <mergeCell ref="H22:H26"/>
    <mergeCell ref="B27:C27"/>
    <mergeCell ref="A28:A31"/>
    <mergeCell ref="B28:C31"/>
    <mergeCell ref="A13:C13"/>
    <mergeCell ref="A14:C14"/>
    <mergeCell ref="B15:C15"/>
    <mergeCell ref="A16:A21"/>
    <mergeCell ref="B16:C21"/>
    <mergeCell ref="A5:B5"/>
    <mergeCell ref="A6:I6"/>
    <mergeCell ref="A8:B8"/>
    <mergeCell ref="C8:I8"/>
    <mergeCell ref="A9:B9"/>
    <mergeCell ref="C9:I9"/>
    <mergeCell ref="I16:I21"/>
    <mergeCell ref="A10:B10"/>
    <mergeCell ref="C10:I10"/>
    <mergeCell ref="A11:A12"/>
    <mergeCell ref="B11:C12"/>
    <mergeCell ref="D11:D12"/>
    <mergeCell ref="E11:E12"/>
    <mergeCell ref="F11:F12"/>
    <mergeCell ref="G11:G12"/>
    <mergeCell ref="H11:H12"/>
    <mergeCell ref="I11:I12"/>
  </mergeCells>
  <pageMargins left="0.98425196850393704" right="0.39370078740157483" top="0.70729166666666665"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114.pielikums Jūrmalas pilsētas domes
2017.gada 30.janvāra saistošajiem noteikumiem Nr.10
(Protokols Nr.4, 1.punkts)
 </firstHeader>
    <firstFooter>&amp;L&amp;9&amp;D; &amp;T&amp;R&amp;9&amp;P (&amp;N)</first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76"/>
  <sheetViews>
    <sheetView view="pageLayout" zoomScaleNormal="100" workbookViewId="0">
      <selection activeCell="J10" sqref="J10"/>
    </sheetView>
  </sheetViews>
  <sheetFormatPr defaultRowHeight="12" outlineLevelCol="1" x14ac:dyDescent="0.2"/>
  <cols>
    <col min="1" max="1" width="6.140625" style="588" customWidth="1"/>
    <col min="2" max="2" width="35.140625" style="588" customWidth="1"/>
    <col min="3" max="3" width="16.7109375" style="588" customWidth="1"/>
    <col min="4" max="4" width="10.5703125" style="588" customWidth="1"/>
    <col min="5" max="5" width="12.42578125" style="588" hidden="1" customWidth="1" outlineLevel="1"/>
    <col min="6" max="6" width="11.140625" style="588" hidden="1" customWidth="1" outlineLevel="1"/>
    <col min="7" max="7" width="14.85546875" style="588" customWidth="1" collapsed="1"/>
    <col min="8" max="8" width="29" style="588" hidden="1" customWidth="1" outlineLevel="1"/>
    <col min="9" max="9" width="12" style="588" customWidth="1" collapsed="1"/>
    <col min="10" max="16384" width="9.140625" style="588"/>
  </cols>
  <sheetData>
    <row r="1" spans="1:12" x14ac:dyDescent="0.2">
      <c r="I1" s="726" t="s">
        <v>1067</v>
      </c>
    </row>
    <row r="2" spans="1:12" x14ac:dyDescent="0.2">
      <c r="I2" s="726" t="s">
        <v>353</v>
      </c>
    </row>
    <row r="3" spans="1:12" x14ac:dyDescent="0.2">
      <c r="I3" s="726" t="s">
        <v>354</v>
      </c>
    </row>
    <row r="4" spans="1:12" x14ac:dyDescent="0.2">
      <c r="A4" s="588" t="s">
        <v>355</v>
      </c>
      <c r="B4" s="727"/>
      <c r="C4" s="727"/>
      <c r="D4" s="727"/>
      <c r="E4" s="727"/>
      <c r="F4" s="727"/>
      <c r="G4" s="727"/>
      <c r="H4" s="727"/>
      <c r="I4" s="727"/>
    </row>
    <row r="5" spans="1:12" x14ac:dyDescent="0.2">
      <c r="A5" s="1673" t="s">
        <v>356</v>
      </c>
      <c r="B5" s="1673"/>
      <c r="C5" s="727"/>
      <c r="D5" s="727"/>
      <c r="E5" s="727"/>
      <c r="F5" s="727"/>
      <c r="G5" s="727"/>
      <c r="H5" s="727"/>
      <c r="I5" s="727"/>
    </row>
    <row r="6" spans="1:12" ht="15.75" x14ac:dyDescent="0.25">
      <c r="A6" s="1674" t="s">
        <v>357</v>
      </c>
      <c r="B6" s="1674"/>
      <c r="C6" s="1674"/>
      <c r="D6" s="1674"/>
      <c r="E6" s="1674"/>
      <c r="F6" s="1674"/>
      <c r="G6" s="1674"/>
      <c r="H6" s="1674"/>
      <c r="I6" s="1674"/>
    </row>
    <row r="7" spans="1:12" ht="9.75" customHeight="1" x14ac:dyDescent="0.25">
      <c r="A7" s="728"/>
      <c r="B7" s="728"/>
      <c r="C7" s="728"/>
      <c r="D7" s="728"/>
      <c r="E7" s="728"/>
      <c r="F7" s="728"/>
      <c r="G7" s="728"/>
      <c r="H7" s="728"/>
      <c r="I7" s="728"/>
    </row>
    <row r="8" spans="1:12" ht="15.75" x14ac:dyDescent="0.25">
      <c r="A8" s="1673" t="s">
        <v>358</v>
      </c>
      <c r="B8" s="1673"/>
      <c r="C8" s="1675" t="s">
        <v>537</v>
      </c>
      <c r="D8" s="1675"/>
      <c r="E8" s="1675"/>
      <c r="F8" s="1675"/>
      <c r="G8" s="1675"/>
      <c r="H8" s="1675"/>
      <c r="I8" s="1675"/>
    </row>
    <row r="9" spans="1:12" x14ac:dyDescent="0.2">
      <c r="A9" s="1673" t="s">
        <v>360</v>
      </c>
      <c r="B9" s="1673"/>
      <c r="C9" s="1673" t="s">
        <v>519</v>
      </c>
      <c r="D9" s="1673"/>
      <c r="E9" s="1673"/>
      <c r="F9" s="1673"/>
      <c r="G9" s="1673"/>
      <c r="H9" s="1673"/>
      <c r="I9" s="1673"/>
    </row>
    <row r="10" spans="1:12" x14ac:dyDescent="0.2">
      <c r="A10" s="1673" t="s">
        <v>362</v>
      </c>
      <c r="B10" s="1673"/>
      <c r="C10" s="1679" t="s">
        <v>518</v>
      </c>
      <c r="D10" s="1679"/>
      <c r="E10" s="1679"/>
      <c r="F10" s="1679"/>
      <c r="G10" s="1679"/>
      <c r="H10" s="1679"/>
      <c r="I10" s="1679"/>
    </row>
    <row r="11" spans="1:12" ht="12" customHeight="1" x14ac:dyDescent="0.2">
      <c r="A11" s="1636" t="s">
        <v>364</v>
      </c>
      <c r="B11" s="1636" t="s">
        <v>365</v>
      </c>
      <c r="C11" s="1636"/>
      <c r="D11" s="1636" t="s">
        <v>366</v>
      </c>
      <c r="E11" s="1636" t="s">
        <v>367</v>
      </c>
      <c r="F11" s="1680" t="s">
        <v>538</v>
      </c>
      <c r="G11" s="1680" t="s">
        <v>369</v>
      </c>
      <c r="H11" s="1680" t="s">
        <v>26</v>
      </c>
      <c r="I11" s="1636" t="s">
        <v>370</v>
      </c>
    </row>
    <row r="12" spans="1:12" ht="23.25" customHeight="1" x14ac:dyDescent="0.2">
      <c r="A12" s="1636"/>
      <c r="B12" s="1636"/>
      <c r="C12" s="1636"/>
      <c r="D12" s="1636"/>
      <c r="E12" s="1636"/>
      <c r="F12" s="1680"/>
      <c r="G12" s="1680"/>
      <c r="H12" s="1680"/>
      <c r="I12" s="1636"/>
    </row>
    <row r="13" spans="1:12" x14ac:dyDescent="0.2">
      <c r="A13" s="1696" t="s">
        <v>371</v>
      </c>
      <c r="B13" s="1696"/>
      <c r="C13" s="1696"/>
      <c r="D13" s="550"/>
      <c r="E13" s="550">
        <f>E14+E182+E260</f>
        <v>1748750</v>
      </c>
      <c r="F13" s="550">
        <f>F14+F182+F260</f>
        <v>0</v>
      </c>
      <c r="G13" s="550">
        <f>G14+G182+G260</f>
        <v>1748750</v>
      </c>
      <c r="H13" s="550"/>
      <c r="I13" s="550"/>
      <c r="K13" s="729"/>
      <c r="L13" s="729"/>
    </row>
    <row r="14" spans="1:12" x14ac:dyDescent="0.2">
      <c r="A14" s="1697" t="s">
        <v>539</v>
      </c>
      <c r="B14" s="1698"/>
      <c r="C14" s="1699"/>
      <c r="D14" s="730"/>
      <c r="E14" s="730">
        <f>E15+E27+E35+E38+E45+E53+E65+E81+E91+E106+E112+E114+E119+E124+E129+E132+E139+E144+E164+E168+E171+E173+E176+E180</f>
        <v>1192509</v>
      </c>
      <c r="F14" s="730">
        <f>F15+F27+F35+F38+F45+F53+F65+F81+F91+F106+F112+F114+F119+F124+F129+F132+F139+F144+F164+F168+F171+F173+F176+F180</f>
        <v>0</v>
      </c>
      <c r="G14" s="730">
        <f>G15+G27+G35+G38+G45+G53+G65+G81+G91+G106+G112+G114+G119+G124+G129+G132+G139+G144+G164+G168+G171+G173+G176+G180</f>
        <v>1192509</v>
      </c>
      <c r="H14" s="730"/>
      <c r="I14" s="579" t="s">
        <v>540</v>
      </c>
      <c r="K14" s="729"/>
      <c r="L14" s="729"/>
    </row>
    <row r="15" spans="1:12" x14ac:dyDescent="0.2">
      <c r="A15" s="731">
        <v>1</v>
      </c>
      <c r="B15" s="1693"/>
      <c r="C15" s="1694"/>
      <c r="D15" s="730"/>
      <c r="E15" s="730">
        <f>SUM(E16:E26)</f>
        <v>30644</v>
      </c>
      <c r="F15" s="730">
        <f>SUM(F16:F26)</f>
        <v>0</v>
      </c>
      <c r="G15" s="730">
        <f>SUM(G16:G26)</f>
        <v>30644</v>
      </c>
      <c r="H15" s="730"/>
      <c r="I15" s="565"/>
      <c r="K15" s="729"/>
      <c r="L15" s="729"/>
    </row>
    <row r="16" spans="1:12" x14ac:dyDescent="0.2">
      <c r="A16" s="1695" t="s">
        <v>541</v>
      </c>
      <c r="B16" s="1684" t="s">
        <v>542</v>
      </c>
      <c r="C16" s="1685"/>
      <c r="D16" s="732">
        <v>2231</v>
      </c>
      <c r="E16" s="565">
        <v>2066</v>
      </c>
      <c r="F16" s="565"/>
      <c r="G16" s="565">
        <f>E16+F16</f>
        <v>2066</v>
      </c>
      <c r="H16" s="565"/>
      <c r="I16" s="1676" t="s">
        <v>543</v>
      </c>
      <c r="K16" s="729"/>
      <c r="L16" s="729"/>
    </row>
    <row r="17" spans="1:12" ht="12.75" customHeight="1" x14ac:dyDescent="0.2">
      <c r="A17" s="1695"/>
      <c r="B17" s="1686"/>
      <c r="C17" s="1687"/>
      <c r="D17" s="732">
        <v>2264</v>
      </c>
      <c r="E17" s="565">
        <v>2751</v>
      </c>
      <c r="F17" s="565"/>
      <c r="G17" s="565">
        <f t="shared" ref="G17:G23" si="0">E17+F17</f>
        <v>2751</v>
      </c>
      <c r="H17" s="565"/>
      <c r="I17" s="1677"/>
      <c r="K17" s="729"/>
      <c r="L17" s="729"/>
    </row>
    <row r="18" spans="1:12" x14ac:dyDescent="0.2">
      <c r="A18" s="1695"/>
      <c r="B18" s="1686"/>
      <c r="C18" s="1687"/>
      <c r="D18" s="732">
        <v>2279</v>
      </c>
      <c r="E18" s="565">
        <f>8470+1295</f>
        <v>9765</v>
      </c>
      <c r="F18" s="565"/>
      <c r="G18" s="565">
        <f t="shared" si="0"/>
        <v>9765</v>
      </c>
      <c r="H18" s="565"/>
      <c r="I18" s="1677"/>
      <c r="K18" s="729"/>
      <c r="L18" s="729"/>
    </row>
    <row r="19" spans="1:12" x14ac:dyDescent="0.2">
      <c r="A19" s="1695"/>
      <c r="B19" s="1686"/>
      <c r="C19" s="1687"/>
      <c r="D19" s="732">
        <v>1150</v>
      </c>
      <c r="E19" s="565">
        <f>5209-1295</f>
        <v>3914</v>
      </c>
      <c r="F19" s="565"/>
      <c r="G19" s="565">
        <f t="shared" si="0"/>
        <v>3914</v>
      </c>
      <c r="H19" s="565"/>
      <c r="I19" s="1677"/>
      <c r="K19" s="729"/>
      <c r="L19" s="729"/>
    </row>
    <row r="20" spans="1:12" x14ac:dyDescent="0.2">
      <c r="A20" s="1695"/>
      <c r="B20" s="1686"/>
      <c r="C20" s="1687"/>
      <c r="D20" s="732">
        <v>6422</v>
      </c>
      <c r="E20" s="565">
        <v>2210</v>
      </c>
      <c r="F20" s="565"/>
      <c r="G20" s="565">
        <f t="shared" si="0"/>
        <v>2210</v>
      </c>
      <c r="H20" s="565"/>
      <c r="I20" s="1677"/>
      <c r="K20" s="729"/>
      <c r="L20" s="729"/>
    </row>
    <row r="21" spans="1:12" x14ac:dyDescent="0.2">
      <c r="A21" s="1695"/>
      <c r="B21" s="1688"/>
      <c r="C21" s="1689"/>
      <c r="D21" s="732">
        <v>2314</v>
      </c>
      <c r="E21" s="565">
        <v>2090</v>
      </c>
      <c r="F21" s="565"/>
      <c r="G21" s="565">
        <f t="shared" si="0"/>
        <v>2090</v>
      </c>
      <c r="H21" s="565"/>
      <c r="I21" s="1678"/>
      <c r="K21" s="729"/>
      <c r="L21" s="729"/>
    </row>
    <row r="22" spans="1:12" ht="12.75" customHeight="1" x14ac:dyDescent="0.2">
      <c r="A22" s="1681">
        <v>1.2</v>
      </c>
      <c r="B22" s="1684" t="s">
        <v>545</v>
      </c>
      <c r="C22" s="1685"/>
      <c r="D22" s="732">
        <v>2231</v>
      </c>
      <c r="E22" s="565">
        <v>3986</v>
      </c>
      <c r="F22" s="565"/>
      <c r="G22" s="565">
        <f t="shared" si="0"/>
        <v>3986</v>
      </c>
      <c r="H22" s="1690"/>
      <c r="I22" s="733" t="s">
        <v>546</v>
      </c>
      <c r="K22" s="729"/>
      <c r="L22" s="729"/>
    </row>
    <row r="23" spans="1:12" ht="12.75" customHeight="1" x14ac:dyDescent="0.2">
      <c r="A23" s="1682"/>
      <c r="B23" s="1686"/>
      <c r="C23" s="1687"/>
      <c r="D23" s="732">
        <v>2232</v>
      </c>
      <c r="E23" s="565">
        <v>388</v>
      </c>
      <c r="F23" s="565"/>
      <c r="G23" s="565">
        <f t="shared" si="0"/>
        <v>388</v>
      </c>
      <c r="H23" s="1691"/>
      <c r="I23" s="733"/>
      <c r="K23" s="729"/>
      <c r="L23" s="729"/>
    </row>
    <row r="24" spans="1:12" ht="12.75" customHeight="1" x14ac:dyDescent="0.2">
      <c r="A24" s="1682"/>
      <c r="B24" s="1686"/>
      <c r="C24" s="1687"/>
      <c r="D24" s="732">
        <v>5234</v>
      </c>
      <c r="E24" s="565">
        <v>1500</v>
      </c>
      <c r="F24" s="565"/>
      <c r="G24" s="565">
        <v>1500</v>
      </c>
      <c r="H24" s="1691"/>
      <c r="I24" s="733" t="s">
        <v>546</v>
      </c>
      <c r="K24" s="729"/>
      <c r="L24" s="729"/>
    </row>
    <row r="25" spans="1:12" ht="12.75" customHeight="1" x14ac:dyDescent="0.2">
      <c r="A25" s="1682"/>
      <c r="B25" s="1686"/>
      <c r="C25" s="1687"/>
      <c r="D25" s="732">
        <v>2314</v>
      </c>
      <c r="E25" s="565">
        <v>774</v>
      </c>
      <c r="F25" s="565"/>
      <c r="G25" s="565">
        <v>774</v>
      </c>
      <c r="H25" s="1691"/>
      <c r="I25" s="733" t="s">
        <v>546</v>
      </c>
      <c r="K25" s="729"/>
      <c r="L25" s="729"/>
    </row>
    <row r="26" spans="1:12" ht="18.75" customHeight="1" x14ac:dyDescent="0.2">
      <c r="A26" s="1683"/>
      <c r="B26" s="1688"/>
      <c r="C26" s="1689"/>
      <c r="D26" s="732">
        <v>2279</v>
      </c>
      <c r="E26" s="565">
        <v>1200</v>
      </c>
      <c r="F26" s="565"/>
      <c r="G26" s="565">
        <v>1200</v>
      </c>
      <c r="H26" s="1692"/>
      <c r="I26" s="733" t="s">
        <v>546</v>
      </c>
      <c r="K26" s="729"/>
      <c r="L26" s="729"/>
    </row>
    <row r="27" spans="1:12" x14ac:dyDescent="0.2">
      <c r="A27" s="731">
        <v>2</v>
      </c>
      <c r="B27" s="1693" t="s">
        <v>547</v>
      </c>
      <c r="C27" s="1694"/>
      <c r="D27" s="730"/>
      <c r="E27" s="730">
        <f>SUM(E28:E34)</f>
        <v>4847</v>
      </c>
      <c r="F27" s="730">
        <f t="shared" ref="F27:G27" si="1">SUM(F28:F34)</f>
        <v>0</v>
      </c>
      <c r="G27" s="730">
        <f t="shared" si="1"/>
        <v>4847</v>
      </c>
      <c r="H27" s="730"/>
      <c r="I27" s="565"/>
      <c r="K27" s="729"/>
      <c r="L27" s="729"/>
    </row>
    <row r="28" spans="1:12" x14ac:dyDescent="0.2">
      <c r="A28" s="1695" t="s">
        <v>548</v>
      </c>
      <c r="B28" s="1684" t="s">
        <v>549</v>
      </c>
      <c r="C28" s="1685"/>
      <c r="D28" s="732">
        <v>2262</v>
      </c>
      <c r="E28" s="565">
        <v>0</v>
      </c>
      <c r="F28" s="565"/>
      <c r="G28" s="565">
        <f t="shared" ref="G28:G34" si="2">E28+F28</f>
        <v>0</v>
      </c>
      <c r="H28" s="565"/>
      <c r="I28" s="1676" t="s">
        <v>540</v>
      </c>
      <c r="K28" s="729"/>
      <c r="L28" s="729"/>
    </row>
    <row r="29" spans="1:12" ht="12.75" customHeight="1" x14ac:dyDescent="0.2">
      <c r="A29" s="1695"/>
      <c r="B29" s="1686"/>
      <c r="C29" s="1687"/>
      <c r="D29" s="732">
        <v>2264</v>
      </c>
      <c r="E29" s="565">
        <v>427</v>
      </c>
      <c r="F29" s="565"/>
      <c r="G29" s="565">
        <f t="shared" si="2"/>
        <v>427</v>
      </c>
      <c r="H29" s="565"/>
      <c r="I29" s="1677"/>
      <c r="K29" s="729"/>
      <c r="L29" s="729"/>
    </row>
    <row r="30" spans="1:12" ht="12.75" customHeight="1" x14ac:dyDescent="0.2">
      <c r="A30" s="1695"/>
      <c r="B30" s="1686"/>
      <c r="C30" s="1687"/>
      <c r="D30" s="732">
        <v>2279</v>
      </c>
      <c r="E30" s="565">
        <v>3370</v>
      </c>
      <c r="F30" s="565"/>
      <c r="G30" s="565">
        <f t="shared" si="2"/>
        <v>3370</v>
      </c>
      <c r="H30" s="565"/>
      <c r="I30" s="1677"/>
      <c r="K30" s="729"/>
      <c r="L30" s="729"/>
    </row>
    <row r="31" spans="1:12" ht="12.75" customHeight="1" x14ac:dyDescent="0.2">
      <c r="A31" s="1695"/>
      <c r="B31" s="1688"/>
      <c r="C31" s="1689"/>
      <c r="D31" s="732">
        <v>2314</v>
      </c>
      <c r="E31" s="565">
        <v>300</v>
      </c>
      <c r="F31" s="565"/>
      <c r="G31" s="565">
        <f t="shared" si="2"/>
        <v>300</v>
      </c>
      <c r="H31" s="565"/>
      <c r="I31" s="1678"/>
      <c r="K31" s="729"/>
      <c r="L31" s="729"/>
    </row>
    <row r="32" spans="1:12" x14ac:dyDescent="0.2">
      <c r="A32" s="1695" t="s">
        <v>551</v>
      </c>
      <c r="B32" s="1684" t="s">
        <v>552</v>
      </c>
      <c r="C32" s="1685"/>
      <c r="D32" s="732">
        <v>2279</v>
      </c>
      <c r="E32" s="565">
        <v>300</v>
      </c>
      <c r="F32" s="565"/>
      <c r="G32" s="565">
        <f t="shared" si="2"/>
        <v>300</v>
      </c>
      <c r="H32" s="565"/>
      <c r="I32" s="1676" t="s">
        <v>540</v>
      </c>
      <c r="K32" s="729"/>
      <c r="L32" s="729"/>
    </row>
    <row r="33" spans="1:12" ht="12.75" customHeight="1" x14ac:dyDescent="0.2">
      <c r="A33" s="1695"/>
      <c r="B33" s="1686"/>
      <c r="C33" s="1687"/>
      <c r="D33" s="732">
        <v>2264</v>
      </c>
      <c r="E33" s="565">
        <v>210</v>
      </c>
      <c r="F33" s="565"/>
      <c r="G33" s="565">
        <f t="shared" si="2"/>
        <v>210</v>
      </c>
      <c r="H33" s="565"/>
      <c r="I33" s="1677"/>
      <c r="K33" s="729"/>
      <c r="L33" s="729"/>
    </row>
    <row r="34" spans="1:12" ht="12.75" customHeight="1" x14ac:dyDescent="0.2">
      <c r="A34" s="1695"/>
      <c r="B34" s="1688"/>
      <c r="C34" s="1689"/>
      <c r="D34" s="732">
        <v>2314</v>
      </c>
      <c r="E34" s="565">
        <v>240</v>
      </c>
      <c r="F34" s="565"/>
      <c r="G34" s="565">
        <f t="shared" si="2"/>
        <v>240</v>
      </c>
      <c r="H34" s="565"/>
      <c r="I34" s="1678"/>
      <c r="K34" s="729"/>
      <c r="L34" s="729"/>
    </row>
    <row r="35" spans="1:12" x14ac:dyDescent="0.2">
      <c r="A35" s="731">
        <v>3</v>
      </c>
      <c r="B35" s="1693" t="s">
        <v>553</v>
      </c>
      <c r="C35" s="1694"/>
      <c r="D35" s="730"/>
      <c r="E35" s="730">
        <f>SUM(E36:E37)</f>
        <v>10000</v>
      </c>
      <c r="F35" s="730">
        <f t="shared" ref="F35:G35" si="3">SUM(F36:F37)</f>
        <v>0</v>
      </c>
      <c r="G35" s="730">
        <f t="shared" si="3"/>
        <v>10000</v>
      </c>
      <c r="H35" s="730"/>
      <c r="I35" s="565"/>
      <c r="K35" s="729"/>
      <c r="L35" s="729"/>
    </row>
    <row r="36" spans="1:12" x14ac:dyDescent="0.2">
      <c r="A36" s="734" t="s">
        <v>554</v>
      </c>
      <c r="B36" s="1700" t="s">
        <v>555</v>
      </c>
      <c r="C36" s="1701"/>
      <c r="D36" s="732">
        <v>2279</v>
      </c>
      <c r="E36" s="565">
        <v>6000</v>
      </c>
      <c r="F36" s="565"/>
      <c r="G36" s="565">
        <f t="shared" ref="G36:G37" si="4">E36+F36</f>
        <v>6000</v>
      </c>
      <c r="H36" s="565"/>
      <c r="I36" s="579" t="s">
        <v>540</v>
      </c>
      <c r="K36" s="729"/>
      <c r="L36" s="729"/>
    </row>
    <row r="37" spans="1:12" x14ac:dyDescent="0.2">
      <c r="A37" s="734" t="s">
        <v>556</v>
      </c>
      <c r="B37" s="1700" t="s">
        <v>557</v>
      </c>
      <c r="C37" s="1701"/>
      <c r="D37" s="732">
        <v>2279</v>
      </c>
      <c r="E37" s="565">
        <v>4000</v>
      </c>
      <c r="F37" s="565"/>
      <c r="G37" s="565">
        <f t="shared" si="4"/>
        <v>4000</v>
      </c>
      <c r="H37" s="565"/>
      <c r="I37" s="579" t="s">
        <v>540</v>
      </c>
      <c r="K37" s="729"/>
      <c r="L37" s="729"/>
    </row>
    <row r="38" spans="1:12" x14ac:dyDescent="0.2">
      <c r="A38" s="731">
        <v>4</v>
      </c>
      <c r="B38" s="1693" t="s">
        <v>558</v>
      </c>
      <c r="C38" s="1694"/>
      <c r="D38" s="730"/>
      <c r="E38" s="730">
        <f>SUM(E39:E44)</f>
        <v>3710</v>
      </c>
      <c r="F38" s="730">
        <f t="shared" ref="F38:G38" si="5">SUM(F39:F44)</f>
        <v>0</v>
      </c>
      <c r="G38" s="730">
        <f t="shared" si="5"/>
        <v>3710</v>
      </c>
      <c r="H38" s="730"/>
      <c r="I38" s="565"/>
      <c r="K38" s="729"/>
      <c r="L38" s="729"/>
    </row>
    <row r="39" spans="1:12" ht="25.5" customHeight="1" x14ac:dyDescent="0.2">
      <c r="A39" s="734" t="s">
        <v>559</v>
      </c>
      <c r="B39" s="1700" t="s">
        <v>560</v>
      </c>
      <c r="C39" s="1701"/>
      <c r="D39" s="732">
        <v>2279</v>
      </c>
      <c r="E39" s="565">
        <v>2000</v>
      </c>
      <c r="F39" s="565"/>
      <c r="G39" s="565">
        <f t="shared" ref="G39:G44" si="6">E39+F39</f>
        <v>2000</v>
      </c>
      <c r="H39" s="565"/>
      <c r="I39" s="579" t="s">
        <v>540</v>
      </c>
      <c r="K39" s="729"/>
      <c r="L39" s="729"/>
    </row>
    <row r="40" spans="1:12" x14ac:dyDescent="0.2">
      <c r="A40" s="1695" t="s">
        <v>561</v>
      </c>
      <c r="B40" s="1684" t="s">
        <v>562</v>
      </c>
      <c r="C40" s="1685"/>
      <c r="D40" s="732">
        <v>2261</v>
      </c>
      <c r="E40" s="565">
        <v>143</v>
      </c>
      <c r="F40" s="565"/>
      <c r="G40" s="565">
        <f t="shared" si="6"/>
        <v>143</v>
      </c>
      <c r="H40" s="565"/>
      <c r="I40" s="1676" t="s">
        <v>540</v>
      </c>
      <c r="K40" s="729"/>
      <c r="L40" s="729"/>
    </row>
    <row r="41" spans="1:12" ht="12.75" customHeight="1" x14ac:dyDescent="0.2">
      <c r="A41" s="1695"/>
      <c r="B41" s="1686"/>
      <c r="C41" s="1687"/>
      <c r="D41" s="732">
        <v>2262</v>
      </c>
      <c r="E41" s="565">
        <v>285</v>
      </c>
      <c r="F41" s="565"/>
      <c r="G41" s="565">
        <f t="shared" si="6"/>
        <v>285</v>
      </c>
      <c r="H41" s="565"/>
      <c r="I41" s="1677"/>
      <c r="K41" s="729"/>
      <c r="L41" s="729"/>
    </row>
    <row r="42" spans="1:12" ht="12.75" customHeight="1" x14ac:dyDescent="0.2">
      <c r="A42" s="1695"/>
      <c r="B42" s="1686"/>
      <c r="C42" s="1687"/>
      <c r="D42" s="732">
        <v>2264</v>
      </c>
      <c r="E42" s="565">
        <v>570</v>
      </c>
      <c r="F42" s="565"/>
      <c r="G42" s="565">
        <f t="shared" si="6"/>
        <v>570</v>
      </c>
      <c r="H42" s="565"/>
      <c r="I42" s="1677"/>
      <c r="K42" s="729"/>
      <c r="L42" s="729"/>
    </row>
    <row r="43" spans="1:12" ht="12.75" customHeight="1" x14ac:dyDescent="0.2">
      <c r="A43" s="1695"/>
      <c r="B43" s="1686"/>
      <c r="C43" s="1687"/>
      <c r="D43" s="732">
        <v>2279</v>
      </c>
      <c r="E43" s="565">
        <v>427</v>
      </c>
      <c r="F43" s="565"/>
      <c r="G43" s="565">
        <f t="shared" si="6"/>
        <v>427</v>
      </c>
      <c r="H43" s="565"/>
      <c r="I43" s="1677"/>
      <c r="K43" s="729"/>
      <c r="L43" s="729"/>
    </row>
    <row r="44" spans="1:12" ht="12.75" customHeight="1" x14ac:dyDescent="0.2">
      <c r="A44" s="1695"/>
      <c r="B44" s="1688"/>
      <c r="C44" s="1689"/>
      <c r="D44" s="732">
        <v>2314</v>
      </c>
      <c r="E44" s="565">
        <v>285</v>
      </c>
      <c r="F44" s="565"/>
      <c r="G44" s="565">
        <f t="shared" si="6"/>
        <v>285</v>
      </c>
      <c r="H44" s="565"/>
      <c r="I44" s="1678"/>
      <c r="K44" s="729"/>
      <c r="L44" s="729"/>
    </row>
    <row r="45" spans="1:12" x14ac:dyDescent="0.2">
      <c r="A45" s="731">
        <v>5</v>
      </c>
      <c r="B45" s="1693" t="s">
        <v>563</v>
      </c>
      <c r="C45" s="1694"/>
      <c r="D45" s="730"/>
      <c r="E45" s="730">
        <f>SUM(E46:E52)</f>
        <v>1800</v>
      </c>
      <c r="F45" s="730">
        <f t="shared" ref="F45:G45" si="7">SUM(F46:F52)</f>
        <v>0</v>
      </c>
      <c r="G45" s="730">
        <f t="shared" si="7"/>
        <v>1800</v>
      </c>
      <c r="H45" s="730"/>
      <c r="I45" s="565"/>
      <c r="K45" s="729"/>
      <c r="L45" s="729"/>
    </row>
    <row r="46" spans="1:12" x14ac:dyDescent="0.2">
      <c r="A46" s="1695" t="s">
        <v>564</v>
      </c>
      <c r="B46" s="1684" t="s">
        <v>565</v>
      </c>
      <c r="C46" s="1685"/>
      <c r="D46" s="732">
        <v>2279</v>
      </c>
      <c r="E46" s="565">
        <v>100</v>
      </c>
      <c r="F46" s="565"/>
      <c r="G46" s="565">
        <f t="shared" ref="G46:G52" si="8">E46+F46</f>
        <v>100</v>
      </c>
      <c r="H46" s="565"/>
      <c r="I46" s="1676" t="s">
        <v>566</v>
      </c>
      <c r="K46" s="729"/>
      <c r="L46" s="729"/>
    </row>
    <row r="47" spans="1:12" ht="12.75" customHeight="1" x14ac:dyDescent="0.2">
      <c r="A47" s="1695"/>
      <c r="B47" s="1688"/>
      <c r="C47" s="1689"/>
      <c r="D47" s="732">
        <v>2314</v>
      </c>
      <c r="E47" s="565">
        <v>150</v>
      </c>
      <c r="F47" s="565"/>
      <c r="G47" s="565">
        <f t="shared" si="8"/>
        <v>150</v>
      </c>
      <c r="H47" s="565"/>
      <c r="I47" s="1678"/>
      <c r="K47" s="729"/>
      <c r="L47" s="729"/>
    </row>
    <row r="48" spans="1:12" x14ac:dyDescent="0.2">
      <c r="A48" s="1695" t="s">
        <v>567</v>
      </c>
      <c r="B48" s="1684" t="s">
        <v>568</v>
      </c>
      <c r="C48" s="1685"/>
      <c r="D48" s="732">
        <v>2279</v>
      </c>
      <c r="E48" s="565">
        <v>100</v>
      </c>
      <c r="F48" s="565"/>
      <c r="G48" s="565">
        <f t="shared" si="8"/>
        <v>100</v>
      </c>
      <c r="H48" s="565"/>
      <c r="I48" s="1676" t="s">
        <v>566</v>
      </c>
      <c r="K48" s="729"/>
      <c r="L48" s="729"/>
    </row>
    <row r="49" spans="1:12" ht="12.75" customHeight="1" x14ac:dyDescent="0.2">
      <c r="A49" s="1695"/>
      <c r="B49" s="1688"/>
      <c r="C49" s="1689"/>
      <c r="D49" s="732">
        <v>2314</v>
      </c>
      <c r="E49" s="565">
        <v>150</v>
      </c>
      <c r="F49" s="565"/>
      <c r="G49" s="565">
        <f t="shared" si="8"/>
        <v>150</v>
      </c>
      <c r="H49" s="565"/>
      <c r="I49" s="1678"/>
      <c r="K49" s="729"/>
      <c r="L49" s="729"/>
    </row>
    <row r="50" spans="1:12" x14ac:dyDescent="0.2">
      <c r="A50" s="734" t="s">
        <v>569</v>
      </c>
      <c r="B50" s="1700" t="s">
        <v>570</v>
      </c>
      <c r="C50" s="1701"/>
      <c r="D50" s="735">
        <v>2279</v>
      </c>
      <c r="E50" s="565">
        <v>1030</v>
      </c>
      <c r="F50" s="565"/>
      <c r="G50" s="565">
        <f t="shared" si="8"/>
        <v>1030</v>
      </c>
      <c r="H50" s="565"/>
      <c r="I50" s="579" t="s">
        <v>566</v>
      </c>
      <c r="K50" s="729"/>
      <c r="L50" s="729"/>
    </row>
    <row r="51" spans="1:12" x14ac:dyDescent="0.2">
      <c r="A51" s="1695" t="s">
        <v>571</v>
      </c>
      <c r="B51" s="1684" t="s">
        <v>572</v>
      </c>
      <c r="C51" s="1685"/>
      <c r="D51" s="735">
        <v>2311</v>
      </c>
      <c r="E51" s="565">
        <v>110</v>
      </c>
      <c r="F51" s="565"/>
      <c r="G51" s="565">
        <f t="shared" si="8"/>
        <v>110</v>
      </c>
      <c r="H51" s="565"/>
      <c r="I51" s="1676" t="s">
        <v>566</v>
      </c>
      <c r="K51" s="729"/>
      <c r="L51" s="729"/>
    </row>
    <row r="52" spans="1:12" ht="12.75" customHeight="1" x14ac:dyDescent="0.2">
      <c r="A52" s="1695"/>
      <c r="B52" s="1688"/>
      <c r="C52" s="1689"/>
      <c r="D52" s="732">
        <v>2314</v>
      </c>
      <c r="E52" s="565">
        <v>160</v>
      </c>
      <c r="F52" s="565"/>
      <c r="G52" s="565">
        <f t="shared" si="8"/>
        <v>160</v>
      </c>
      <c r="H52" s="565"/>
      <c r="I52" s="1678"/>
      <c r="K52" s="729"/>
      <c r="L52" s="729"/>
    </row>
    <row r="53" spans="1:12" x14ac:dyDescent="0.2">
      <c r="A53" s="731">
        <v>6</v>
      </c>
      <c r="B53" s="1693" t="s">
        <v>573</v>
      </c>
      <c r="C53" s="1694"/>
      <c r="D53" s="730"/>
      <c r="E53" s="730">
        <f>SUM(E54:E64)</f>
        <v>1578</v>
      </c>
      <c r="F53" s="730">
        <f t="shared" ref="F53:G53" si="9">SUM(F54:F64)</f>
        <v>0</v>
      </c>
      <c r="G53" s="730">
        <f t="shared" si="9"/>
        <v>1578</v>
      </c>
      <c r="H53" s="730"/>
      <c r="I53" s="565"/>
      <c r="K53" s="729"/>
      <c r="L53" s="729"/>
    </row>
    <row r="54" spans="1:12" x14ac:dyDescent="0.2">
      <c r="A54" s="1695" t="s">
        <v>574</v>
      </c>
      <c r="B54" s="1684" t="s">
        <v>575</v>
      </c>
      <c r="C54" s="1685"/>
      <c r="D54" s="732">
        <v>2261</v>
      </c>
      <c r="E54" s="565">
        <v>144</v>
      </c>
      <c r="F54" s="565"/>
      <c r="G54" s="565">
        <f t="shared" ref="G54:G64" si="10">E54+F54</f>
        <v>144</v>
      </c>
      <c r="H54" s="565"/>
      <c r="I54" s="1702" t="s">
        <v>540</v>
      </c>
      <c r="K54" s="729"/>
      <c r="L54" s="729"/>
    </row>
    <row r="55" spans="1:12" ht="12.75" customHeight="1" x14ac:dyDescent="0.2">
      <c r="A55" s="1695"/>
      <c r="B55" s="1686"/>
      <c r="C55" s="1687"/>
      <c r="D55" s="732">
        <v>2264</v>
      </c>
      <c r="E55" s="565">
        <v>72</v>
      </c>
      <c r="F55" s="565"/>
      <c r="G55" s="565">
        <f t="shared" si="10"/>
        <v>72</v>
      </c>
      <c r="H55" s="565"/>
      <c r="I55" s="1703"/>
      <c r="K55" s="729"/>
      <c r="L55" s="729"/>
    </row>
    <row r="56" spans="1:12" ht="12.75" customHeight="1" x14ac:dyDescent="0.2">
      <c r="A56" s="1695"/>
      <c r="B56" s="1688"/>
      <c r="C56" s="1689"/>
      <c r="D56" s="732">
        <v>2314</v>
      </c>
      <c r="E56" s="565">
        <v>285</v>
      </c>
      <c r="F56" s="565"/>
      <c r="G56" s="565">
        <f t="shared" si="10"/>
        <v>285</v>
      </c>
      <c r="H56" s="565"/>
      <c r="I56" s="1704"/>
      <c r="K56" s="729"/>
      <c r="L56" s="729"/>
    </row>
    <row r="57" spans="1:12" x14ac:dyDescent="0.2">
      <c r="A57" s="1695" t="s">
        <v>576</v>
      </c>
      <c r="B57" s="1684" t="s">
        <v>577</v>
      </c>
      <c r="C57" s="1685"/>
      <c r="D57" s="732">
        <v>2261</v>
      </c>
      <c r="E57" s="736">
        <v>72</v>
      </c>
      <c r="F57" s="736"/>
      <c r="G57" s="736">
        <f t="shared" si="10"/>
        <v>72</v>
      </c>
      <c r="H57" s="736"/>
      <c r="I57" s="1676" t="s">
        <v>540</v>
      </c>
      <c r="K57" s="729"/>
      <c r="L57" s="729"/>
    </row>
    <row r="58" spans="1:12" ht="12.75" customHeight="1" x14ac:dyDescent="0.2">
      <c r="A58" s="1695"/>
      <c r="B58" s="1686"/>
      <c r="C58" s="1687"/>
      <c r="D58" s="732">
        <v>2264</v>
      </c>
      <c r="E58" s="565">
        <v>72</v>
      </c>
      <c r="F58" s="565"/>
      <c r="G58" s="565">
        <f t="shared" si="10"/>
        <v>72</v>
      </c>
      <c r="H58" s="565"/>
      <c r="I58" s="1677"/>
      <c r="K58" s="729"/>
      <c r="L58" s="729"/>
    </row>
    <row r="59" spans="1:12" ht="12.75" customHeight="1" x14ac:dyDescent="0.2">
      <c r="A59" s="1695"/>
      <c r="B59" s="1688"/>
      <c r="C59" s="1689"/>
      <c r="D59" s="732">
        <v>2314</v>
      </c>
      <c r="E59" s="565">
        <v>150</v>
      </c>
      <c r="F59" s="565"/>
      <c r="G59" s="565">
        <f t="shared" si="10"/>
        <v>150</v>
      </c>
      <c r="H59" s="565"/>
      <c r="I59" s="1678"/>
      <c r="K59" s="729"/>
      <c r="L59" s="729"/>
    </row>
    <row r="60" spans="1:12" x14ac:dyDescent="0.2">
      <c r="A60" s="1705" t="s">
        <v>578</v>
      </c>
      <c r="B60" s="1684" t="s">
        <v>579</v>
      </c>
      <c r="C60" s="1685"/>
      <c r="D60" s="732">
        <v>2261</v>
      </c>
      <c r="E60" s="565">
        <v>144</v>
      </c>
      <c r="F60" s="565"/>
      <c r="G60" s="565">
        <f t="shared" si="10"/>
        <v>144</v>
      </c>
      <c r="H60" s="565"/>
      <c r="I60" s="1676" t="s">
        <v>540</v>
      </c>
      <c r="K60" s="729"/>
      <c r="L60" s="729"/>
    </row>
    <row r="61" spans="1:12" ht="12.75" customHeight="1" x14ac:dyDescent="0.2">
      <c r="A61" s="1705"/>
      <c r="B61" s="1686"/>
      <c r="C61" s="1687"/>
      <c r="D61" s="732">
        <v>2264</v>
      </c>
      <c r="E61" s="565">
        <v>72</v>
      </c>
      <c r="F61" s="565"/>
      <c r="G61" s="565">
        <f t="shared" si="10"/>
        <v>72</v>
      </c>
      <c r="H61" s="565"/>
      <c r="I61" s="1677"/>
      <c r="K61" s="729"/>
      <c r="L61" s="729"/>
    </row>
    <row r="62" spans="1:12" ht="12.75" customHeight="1" x14ac:dyDescent="0.2">
      <c r="A62" s="1705"/>
      <c r="B62" s="1688"/>
      <c r="C62" s="1689"/>
      <c r="D62" s="732">
        <v>2314</v>
      </c>
      <c r="E62" s="565">
        <v>285</v>
      </c>
      <c r="F62" s="565"/>
      <c r="G62" s="565">
        <f t="shared" si="10"/>
        <v>285</v>
      </c>
      <c r="H62" s="565"/>
      <c r="I62" s="1678"/>
      <c r="K62" s="729"/>
      <c r="L62" s="729"/>
    </row>
    <row r="63" spans="1:12" x14ac:dyDescent="0.2">
      <c r="A63" s="1695" t="s">
        <v>580</v>
      </c>
      <c r="B63" s="1684" t="s">
        <v>581</v>
      </c>
      <c r="C63" s="1685"/>
      <c r="D63" s="732">
        <v>2261</v>
      </c>
      <c r="E63" s="565">
        <v>72</v>
      </c>
      <c r="F63" s="565"/>
      <c r="G63" s="565">
        <f t="shared" si="10"/>
        <v>72</v>
      </c>
      <c r="H63" s="565"/>
      <c r="I63" s="1676" t="s">
        <v>540</v>
      </c>
      <c r="K63" s="729"/>
      <c r="L63" s="729"/>
    </row>
    <row r="64" spans="1:12" ht="12.75" customHeight="1" x14ac:dyDescent="0.2">
      <c r="A64" s="1695"/>
      <c r="B64" s="1688"/>
      <c r="C64" s="1689"/>
      <c r="D64" s="732">
        <v>2314</v>
      </c>
      <c r="E64" s="565">
        <v>210</v>
      </c>
      <c r="F64" s="565"/>
      <c r="G64" s="565">
        <f t="shared" si="10"/>
        <v>210</v>
      </c>
      <c r="H64" s="565"/>
      <c r="I64" s="1678"/>
      <c r="K64" s="729"/>
      <c r="L64" s="729"/>
    </row>
    <row r="65" spans="1:12" x14ac:dyDescent="0.2">
      <c r="A65" s="731">
        <v>7</v>
      </c>
      <c r="B65" s="1693" t="s">
        <v>582</v>
      </c>
      <c r="C65" s="1694"/>
      <c r="D65" s="730"/>
      <c r="E65" s="730">
        <f>SUM(E66:E80)</f>
        <v>3634</v>
      </c>
      <c r="F65" s="730">
        <f t="shared" ref="F65:G65" si="11">SUM(F66:F80)</f>
        <v>0</v>
      </c>
      <c r="G65" s="730">
        <f t="shared" si="11"/>
        <v>3634</v>
      </c>
      <c r="H65" s="730"/>
      <c r="I65" s="565"/>
      <c r="K65" s="729"/>
      <c r="L65" s="729"/>
    </row>
    <row r="66" spans="1:12" x14ac:dyDescent="0.2">
      <c r="A66" s="734" t="s">
        <v>583</v>
      </c>
      <c r="B66" s="1700" t="s">
        <v>584</v>
      </c>
      <c r="C66" s="1701"/>
      <c r="D66" s="732">
        <v>2279</v>
      </c>
      <c r="E66" s="565">
        <v>84</v>
      </c>
      <c r="F66" s="565"/>
      <c r="G66" s="565">
        <f t="shared" ref="G66:G80" si="12">E66+F66</f>
        <v>84</v>
      </c>
      <c r="H66" s="565"/>
      <c r="I66" s="579" t="s">
        <v>540</v>
      </c>
      <c r="K66" s="729"/>
      <c r="L66" s="729"/>
    </row>
    <row r="67" spans="1:12" x14ac:dyDescent="0.2">
      <c r="A67" s="734" t="s">
        <v>585</v>
      </c>
      <c r="B67" s="1700" t="s">
        <v>586</v>
      </c>
      <c r="C67" s="1701"/>
      <c r="D67" s="732">
        <v>2279</v>
      </c>
      <c r="E67" s="565">
        <v>108</v>
      </c>
      <c r="F67" s="565"/>
      <c r="G67" s="565">
        <f t="shared" si="12"/>
        <v>108</v>
      </c>
      <c r="H67" s="565"/>
      <c r="I67" s="579" t="s">
        <v>540</v>
      </c>
      <c r="K67" s="729"/>
      <c r="L67" s="729"/>
    </row>
    <row r="68" spans="1:12" x14ac:dyDescent="0.2">
      <c r="A68" s="734" t="s">
        <v>587</v>
      </c>
      <c r="B68" s="1700" t="s">
        <v>588</v>
      </c>
      <c r="C68" s="1701"/>
      <c r="D68" s="732">
        <v>2279</v>
      </c>
      <c r="E68" s="565">
        <v>186</v>
      </c>
      <c r="F68" s="565"/>
      <c r="G68" s="565">
        <f t="shared" si="12"/>
        <v>186</v>
      </c>
      <c r="H68" s="565"/>
      <c r="I68" s="579" t="s">
        <v>540</v>
      </c>
      <c r="K68" s="729"/>
      <c r="L68" s="729"/>
    </row>
    <row r="69" spans="1:12" x14ac:dyDescent="0.2">
      <c r="A69" s="734" t="s">
        <v>589</v>
      </c>
      <c r="B69" s="1700" t="s">
        <v>590</v>
      </c>
      <c r="C69" s="1701"/>
      <c r="D69" s="732">
        <v>2279</v>
      </c>
      <c r="E69" s="565">
        <v>288</v>
      </c>
      <c r="F69" s="565"/>
      <c r="G69" s="565">
        <f t="shared" si="12"/>
        <v>288</v>
      </c>
      <c r="H69" s="565"/>
      <c r="I69" s="579" t="s">
        <v>540</v>
      </c>
      <c r="K69" s="729"/>
      <c r="L69" s="729"/>
    </row>
    <row r="70" spans="1:12" x14ac:dyDescent="0.2">
      <c r="A70" s="734" t="s">
        <v>591</v>
      </c>
      <c r="B70" s="1700" t="s">
        <v>592</v>
      </c>
      <c r="C70" s="1701"/>
      <c r="D70" s="732">
        <v>2279</v>
      </c>
      <c r="E70" s="565">
        <v>216</v>
      </c>
      <c r="F70" s="565"/>
      <c r="G70" s="565">
        <f t="shared" si="12"/>
        <v>216</v>
      </c>
      <c r="H70" s="565"/>
      <c r="I70" s="579" t="s">
        <v>540</v>
      </c>
      <c r="K70" s="729"/>
      <c r="L70" s="729"/>
    </row>
    <row r="71" spans="1:12" x14ac:dyDescent="0.2">
      <c r="A71" s="734" t="s">
        <v>593</v>
      </c>
      <c r="B71" s="1700" t="s">
        <v>594</v>
      </c>
      <c r="C71" s="1701"/>
      <c r="D71" s="732">
        <v>2279</v>
      </c>
      <c r="E71" s="565">
        <v>360</v>
      </c>
      <c r="F71" s="565"/>
      <c r="G71" s="565">
        <f t="shared" si="12"/>
        <v>360</v>
      </c>
      <c r="H71" s="565"/>
      <c r="I71" s="579" t="s">
        <v>540</v>
      </c>
      <c r="K71" s="729"/>
      <c r="L71" s="729"/>
    </row>
    <row r="72" spans="1:12" x14ac:dyDescent="0.2">
      <c r="A72" s="734" t="s">
        <v>595</v>
      </c>
      <c r="B72" s="1700" t="s">
        <v>596</v>
      </c>
      <c r="C72" s="1701"/>
      <c r="D72" s="732">
        <v>2279</v>
      </c>
      <c r="E72" s="565">
        <v>120</v>
      </c>
      <c r="F72" s="565"/>
      <c r="G72" s="565">
        <f t="shared" si="12"/>
        <v>120</v>
      </c>
      <c r="H72" s="565"/>
      <c r="I72" s="579" t="s">
        <v>540</v>
      </c>
      <c r="K72" s="729"/>
      <c r="L72" s="729"/>
    </row>
    <row r="73" spans="1:12" x14ac:dyDescent="0.2">
      <c r="A73" s="737" t="s">
        <v>597</v>
      </c>
      <c r="B73" s="1684" t="s">
        <v>598</v>
      </c>
      <c r="C73" s="1685"/>
      <c r="D73" s="732">
        <v>2279</v>
      </c>
      <c r="E73" s="565">
        <v>240</v>
      </c>
      <c r="F73" s="565"/>
      <c r="G73" s="565">
        <f t="shared" si="12"/>
        <v>240</v>
      </c>
      <c r="H73" s="565"/>
      <c r="I73" s="738" t="s">
        <v>540</v>
      </c>
      <c r="K73" s="729"/>
      <c r="L73" s="729"/>
    </row>
    <row r="74" spans="1:12" x14ac:dyDescent="0.2">
      <c r="A74" s="737" t="s">
        <v>599</v>
      </c>
      <c r="B74" s="1684" t="s">
        <v>600</v>
      </c>
      <c r="C74" s="1685"/>
      <c r="D74" s="732">
        <v>2279</v>
      </c>
      <c r="E74" s="565">
        <v>240</v>
      </c>
      <c r="F74" s="565"/>
      <c r="G74" s="565">
        <f t="shared" si="12"/>
        <v>240</v>
      </c>
      <c r="H74" s="565"/>
      <c r="I74" s="738" t="s">
        <v>540</v>
      </c>
      <c r="K74" s="729"/>
      <c r="L74" s="729"/>
    </row>
    <row r="75" spans="1:12" x14ac:dyDescent="0.2">
      <c r="A75" s="734" t="s">
        <v>601</v>
      </c>
      <c r="B75" s="1700" t="s">
        <v>602</v>
      </c>
      <c r="C75" s="1701"/>
      <c r="D75" s="732">
        <v>2279</v>
      </c>
      <c r="E75" s="565">
        <v>210</v>
      </c>
      <c r="F75" s="565"/>
      <c r="G75" s="565">
        <f t="shared" si="12"/>
        <v>210</v>
      </c>
      <c r="H75" s="565"/>
      <c r="I75" s="579" t="s">
        <v>540</v>
      </c>
      <c r="K75" s="729"/>
      <c r="L75" s="729"/>
    </row>
    <row r="76" spans="1:12" x14ac:dyDescent="0.2">
      <c r="A76" s="734" t="s">
        <v>603</v>
      </c>
      <c r="B76" s="1700" t="s">
        <v>604</v>
      </c>
      <c r="C76" s="1701"/>
      <c r="D76" s="732">
        <v>2279</v>
      </c>
      <c r="E76" s="565">
        <v>84</v>
      </c>
      <c r="F76" s="565"/>
      <c r="G76" s="565">
        <f t="shared" si="12"/>
        <v>84</v>
      </c>
      <c r="H76" s="565"/>
      <c r="I76" s="579" t="s">
        <v>540</v>
      </c>
      <c r="K76" s="729"/>
      <c r="L76" s="729"/>
    </row>
    <row r="77" spans="1:12" ht="12" customHeight="1" x14ac:dyDescent="0.2">
      <c r="A77" s="1706" t="s">
        <v>605</v>
      </c>
      <c r="B77" s="1684" t="s">
        <v>606</v>
      </c>
      <c r="C77" s="1685"/>
      <c r="D77" s="732">
        <v>2314</v>
      </c>
      <c r="E77" s="565">
        <v>345</v>
      </c>
      <c r="F77" s="565"/>
      <c r="G77" s="565">
        <f t="shared" si="12"/>
        <v>345</v>
      </c>
      <c r="H77" s="565"/>
      <c r="I77" s="1676" t="s">
        <v>540</v>
      </c>
      <c r="K77" s="729"/>
      <c r="L77" s="729"/>
    </row>
    <row r="78" spans="1:12" ht="12.75" customHeight="1" x14ac:dyDescent="0.2">
      <c r="A78" s="1707"/>
      <c r="B78" s="1686"/>
      <c r="C78" s="1687"/>
      <c r="D78" s="732">
        <v>2311</v>
      </c>
      <c r="E78" s="565">
        <v>15</v>
      </c>
      <c r="F78" s="565"/>
      <c r="G78" s="565">
        <f t="shared" si="12"/>
        <v>15</v>
      </c>
      <c r="H78" s="565"/>
      <c r="I78" s="1677"/>
      <c r="K78" s="729"/>
      <c r="L78" s="729"/>
    </row>
    <row r="79" spans="1:12" ht="12.75" customHeight="1" x14ac:dyDescent="0.2">
      <c r="A79" s="1708"/>
      <c r="B79" s="1688"/>
      <c r="C79" s="1689"/>
      <c r="D79" s="732">
        <v>2279</v>
      </c>
      <c r="E79" s="565">
        <v>138</v>
      </c>
      <c r="F79" s="565"/>
      <c r="G79" s="565">
        <f t="shared" si="12"/>
        <v>138</v>
      </c>
      <c r="H79" s="565"/>
      <c r="I79" s="1678"/>
      <c r="K79" s="729"/>
      <c r="L79" s="729"/>
    </row>
    <row r="80" spans="1:12" x14ac:dyDescent="0.2">
      <c r="A80" s="734" t="s">
        <v>607</v>
      </c>
      <c r="B80" s="1700" t="s">
        <v>608</v>
      </c>
      <c r="C80" s="1701"/>
      <c r="D80" s="732">
        <v>2279</v>
      </c>
      <c r="E80" s="565">
        <v>1000</v>
      </c>
      <c r="F80" s="565"/>
      <c r="G80" s="565">
        <f t="shared" si="12"/>
        <v>1000</v>
      </c>
      <c r="H80" s="565"/>
      <c r="I80" s="579" t="s">
        <v>540</v>
      </c>
      <c r="K80" s="729"/>
      <c r="L80" s="729"/>
    </row>
    <row r="81" spans="1:12" x14ac:dyDescent="0.2">
      <c r="A81" s="731">
        <v>8</v>
      </c>
      <c r="B81" s="1693" t="s">
        <v>609</v>
      </c>
      <c r="C81" s="1694"/>
      <c r="D81" s="730"/>
      <c r="E81" s="730">
        <f>SUM(E82:E90)</f>
        <v>2476</v>
      </c>
      <c r="F81" s="730">
        <f t="shared" ref="F81:G81" si="13">SUM(F82:F90)</f>
        <v>0</v>
      </c>
      <c r="G81" s="730">
        <f t="shared" si="13"/>
        <v>2476</v>
      </c>
      <c r="H81" s="730"/>
      <c r="I81" s="565"/>
      <c r="K81" s="729"/>
      <c r="L81" s="729"/>
    </row>
    <row r="82" spans="1:12" x14ac:dyDescent="0.2">
      <c r="A82" s="734" t="s">
        <v>610</v>
      </c>
      <c r="B82" s="1700" t="s">
        <v>611</v>
      </c>
      <c r="C82" s="1701"/>
      <c r="D82" s="732">
        <v>2279</v>
      </c>
      <c r="E82" s="565">
        <v>350</v>
      </c>
      <c r="F82" s="565"/>
      <c r="G82" s="565">
        <f t="shared" ref="G82:G90" si="14">E82+F82</f>
        <v>350</v>
      </c>
      <c r="H82" s="565"/>
      <c r="I82" s="579" t="s">
        <v>540</v>
      </c>
      <c r="K82" s="729"/>
      <c r="L82" s="729"/>
    </row>
    <row r="83" spans="1:12" ht="24" customHeight="1" x14ac:dyDescent="0.2">
      <c r="A83" s="734" t="s">
        <v>612</v>
      </c>
      <c r="B83" s="1700" t="s">
        <v>613</v>
      </c>
      <c r="C83" s="1701"/>
      <c r="D83" s="732">
        <v>2279</v>
      </c>
      <c r="E83" s="565">
        <v>426</v>
      </c>
      <c r="F83" s="565"/>
      <c r="G83" s="565">
        <f t="shared" si="14"/>
        <v>426</v>
      </c>
      <c r="H83" s="565"/>
      <c r="I83" s="579" t="s">
        <v>540</v>
      </c>
      <c r="K83" s="729"/>
      <c r="L83" s="729"/>
    </row>
    <row r="84" spans="1:12" x14ac:dyDescent="0.2">
      <c r="A84" s="734" t="s">
        <v>614</v>
      </c>
      <c r="B84" s="1700" t="s">
        <v>615</v>
      </c>
      <c r="C84" s="1701"/>
      <c r="D84" s="732">
        <v>2279</v>
      </c>
      <c r="E84" s="565">
        <v>171</v>
      </c>
      <c r="F84" s="565"/>
      <c r="G84" s="565">
        <f t="shared" si="14"/>
        <v>171</v>
      </c>
      <c r="H84" s="565"/>
      <c r="I84" s="579" t="s">
        <v>540</v>
      </c>
      <c r="K84" s="729"/>
      <c r="L84" s="729"/>
    </row>
    <row r="85" spans="1:12" ht="26.25" customHeight="1" x14ac:dyDescent="0.2">
      <c r="A85" s="734" t="s">
        <v>616</v>
      </c>
      <c r="B85" s="1700" t="s">
        <v>617</v>
      </c>
      <c r="C85" s="1701"/>
      <c r="D85" s="732">
        <v>2279</v>
      </c>
      <c r="E85" s="565">
        <v>171</v>
      </c>
      <c r="F85" s="565"/>
      <c r="G85" s="565">
        <f t="shared" si="14"/>
        <v>171</v>
      </c>
      <c r="H85" s="565"/>
      <c r="I85" s="579" t="s">
        <v>540</v>
      </c>
      <c r="K85" s="729"/>
      <c r="L85" s="729"/>
    </row>
    <row r="86" spans="1:12" x14ac:dyDescent="0.2">
      <c r="A86" s="734" t="s">
        <v>618</v>
      </c>
      <c r="B86" s="1700" t="s">
        <v>619</v>
      </c>
      <c r="C86" s="1701"/>
      <c r="D86" s="732">
        <v>2279</v>
      </c>
      <c r="E86" s="565">
        <v>220</v>
      </c>
      <c r="F86" s="565"/>
      <c r="G86" s="565">
        <f t="shared" si="14"/>
        <v>220</v>
      </c>
      <c r="H86" s="565"/>
      <c r="I86" s="579" t="s">
        <v>540</v>
      </c>
      <c r="K86" s="729"/>
      <c r="L86" s="729"/>
    </row>
    <row r="87" spans="1:12" x14ac:dyDescent="0.2">
      <c r="A87" s="734" t="s">
        <v>620</v>
      </c>
      <c r="B87" s="1700" t="s">
        <v>621</v>
      </c>
      <c r="C87" s="1701"/>
      <c r="D87" s="732">
        <v>2279</v>
      </c>
      <c r="E87" s="736">
        <v>150</v>
      </c>
      <c r="F87" s="736"/>
      <c r="G87" s="736">
        <f t="shared" si="14"/>
        <v>150</v>
      </c>
      <c r="H87" s="736"/>
      <c r="I87" s="579" t="s">
        <v>540</v>
      </c>
      <c r="K87" s="729"/>
      <c r="L87" s="729"/>
    </row>
    <row r="88" spans="1:12" x14ac:dyDescent="0.2">
      <c r="A88" s="739" t="s">
        <v>622</v>
      </c>
      <c r="B88" s="1700" t="s">
        <v>623</v>
      </c>
      <c r="C88" s="1701"/>
      <c r="D88" s="732">
        <v>2279</v>
      </c>
      <c r="E88" s="565">
        <v>150</v>
      </c>
      <c r="F88" s="565"/>
      <c r="G88" s="565">
        <f t="shared" si="14"/>
        <v>150</v>
      </c>
      <c r="H88" s="565"/>
      <c r="I88" s="579" t="s">
        <v>540</v>
      </c>
      <c r="K88" s="729"/>
      <c r="L88" s="729"/>
    </row>
    <row r="89" spans="1:12" x14ac:dyDescent="0.2">
      <c r="A89" s="734" t="s">
        <v>624</v>
      </c>
      <c r="B89" s="1700" t="s">
        <v>625</v>
      </c>
      <c r="C89" s="1701"/>
      <c r="D89" s="732">
        <v>2279</v>
      </c>
      <c r="E89" s="565">
        <v>618</v>
      </c>
      <c r="F89" s="565"/>
      <c r="G89" s="565">
        <f t="shared" si="14"/>
        <v>618</v>
      </c>
      <c r="H89" s="565"/>
      <c r="I89" s="579" t="s">
        <v>540</v>
      </c>
      <c r="K89" s="729"/>
      <c r="L89" s="729"/>
    </row>
    <row r="90" spans="1:12" x14ac:dyDescent="0.2">
      <c r="A90" s="734" t="s">
        <v>626</v>
      </c>
      <c r="B90" s="1700" t="s">
        <v>627</v>
      </c>
      <c r="C90" s="1701"/>
      <c r="D90" s="732">
        <v>2279</v>
      </c>
      <c r="E90" s="565">
        <v>220</v>
      </c>
      <c r="F90" s="565"/>
      <c r="G90" s="565">
        <f t="shared" si="14"/>
        <v>220</v>
      </c>
      <c r="H90" s="565"/>
      <c r="I90" s="579" t="s">
        <v>540</v>
      </c>
      <c r="K90" s="729"/>
      <c r="L90" s="729"/>
    </row>
    <row r="91" spans="1:12" x14ac:dyDescent="0.2">
      <c r="A91" s="731">
        <v>9</v>
      </c>
      <c r="B91" s="1693" t="s">
        <v>628</v>
      </c>
      <c r="C91" s="1694"/>
      <c r="D91" s="730"/>
      <c r="E91" s="730">
        <f>SUM(E92:E105)</f>
        <v>5705</v>
      </c>
      <c r="F91" s="730">
        <f t="shared" ref="F91:G91" si="15">SUM(F92:F105)</f>
        <v>0</v>
      </c>
      <c r="G91" s="730">
        <f t="shared" si="15"/>
        <v>5705</v>
      </c>
      <c r="H91" s="730"/>
      <c r="I91" s="565"/>
      <c r="K91" s="729"/>
      <c r="L91" s="729"/>
    </row>
    <row r="92" spans="1:12" x14ac:dyDescent="0.2">
      <c r="A92" s="1695" t="s">
        <v>629</v>
      </c>
      <c r="B92" s="1684" t="s">
        <v>630</v>
      </c>
      <c r="C92" s="1685"/>
      <c r="D92" s="732">
        <v>2264</v>
      </c>
      <c r="E92" s="565">
        <v>570</v>
      </c>
      <c r="F92" s="565"/>
      <c r="G92" s="565">
        <f t="shared" ref="G92:G105" si="16">E92+F92</f>
        <v>570</v>
      </c>
      <c r="H92" s="565"/>
      <c r="I92" s="1676" t="s">
        <v>540</v>
      </c>
      <c r="K92" s="729"/>
      <c r="L92" s="729"/>
    </row>
    <row r="93" spans="1:12" ht="12.75" customHeight="1" x14ac:dyDescent="0.2">
      <c r="A93" s="1695"/>
      <c r="B93" s="1686"/>
      <c r="C93" s="1687"/>
      <c r="D93" s="732">
        <v>2279</v>
      </c>
      <c r="E93" s="565">
        <v>720</v>
      </c>
      <c r="F93" s="565"/>
      <c r="G93" s="565">
        <f t="shared" si="16"/>
        <v>720</v>
      </c>
      <c r="H93" s="565"/>
      <c r="I93" s="1677"/>
      <c r="K93" s="729"/>
      <c r="L93" s="729"/>
    </row>
    <row r="94" spans="1:12" ht="12.75" customHeight="1" x14ac:dyDescent="0.2">
      <c r="A94" s="1695"/>
      <c r="B94" s="1688"/>
      <c r="C94" s="1689"/>
      <c r="D94" s="732">
        <v>2314</v>
      </c>
      <c r="E94" s="565">
        <v>1485</v>
      </c>
      <c r="F94" s="565"/>
      <c r="G94" s="565">
        <f t="shared" si="16"/>
        <v>1485</v>
      </c>
      <c r="H94" s="565"/>
      <c r="I94" s="1678"/>
      <c r="K94" s="729"/>
      <c r="L94" s="729"/>
    </row>
    <row r="95" spans="1:12" x14ac:dyDescent="0.2">
      <c r="A95" s="1695" t="s">
        <v>631</v>
      </c>
      <c r="B95" s="1684" t="s">
        <v>632</v>
      </c>
      <c r="C95" s="1685"/>
      <c r="D95" s="732">
        <v>2264</v>
      </c>
      <c r="E95" s="736">
        <v>600</v>
      </c>
      <c r="F95" s="736"/>
      <c r="G95" s="736">
        <f t="shared" si="16"/>
        <v>600</v>
      </c>
      <c r="H95" s="736"/>
      <c r="I95" s="1676" t="s">
        <v>540</v>
      </c>
      <c r="K95" s="729"/>
      <c r="L95" s="729"/>
    </row>
    <row r="96" spans="1:12" ht="12.75" customHeight="1" x14ac:dyDescent="0.2">
      <c r="A96" s="1695"/>
      <c r="B96" s="1686"/>
      <c r="C96" s="1687"/>
      <c r="D96" s="732">
        <v>2279</v>
      </c>
      <c r="E96" s="565">
        <v>712</v>
      </c>
      <c r="F96" s="565"/>
      <c r="G96" s="565">
        <f t="shared" si="16"/>
        <v>712</v>
      </c>
      <c r="H96" s="565"/>
      <c r="I96" s="1677"/>
      <c r="K96" s="729"/>
      <c r="L96" s="729"/>
    </row>
    <row r="97" spans="1:12" ht="12.75" customHeight="1" x14ac:dyDescent="0.2">
      <c r="A97" s="1695"/>
      <c r="B97" s="1688"/>
      <c r="C97" s="1689"/>
      <c r="D97" s="732">
        <v>2314</v>
      </c>
      <c r="E97" s="565">
        <v>870</v>
      </c>
      <c r="F97" s="565"/>
      <c r="G97" s="565">
        <f t="shared" si="16"/>
        <v>870</v>
      </c>
      <c r="H97" s="565"/>
      <c r="I97" s="1678"/>
      <c r="K97" s="729"/>
      <c r="L97" s="729"/>
    </row>
    <row r="98" spans="1:12" s="604" customFormat="1" ht="12.75" customHeight="1" x14ac:dyDescent="0.2">
      <c r="A98" s="1681" t="s">
        <v>633</v>
      </c>
      <c r="B98" s="1684" t="s">
        <v>634</v>
      </c>
      <c r="C98" s="1685"/>
      <c r="D98" s="732">
        <v>2279</v>
      </c>
      <c r="E98" s="565">
        <v>96</v>
      </c>
      <c r="F98" s="565"/>
      <c r="G98" s="565">
        <f t="shared" si="16"/>
        <v>96</v>
      </c>
      <c r="H98" s="565"/>
      <c r="I98" s="1676" t="s">
        <v>540</v>
      </c>
      <c r="K98" s="729"/>
      <c r="L98" s="729"/>
    </row>
    <row r="99" spans="1:12" s="604" customFormat="1" ht="12.75" customHeight="1" x14ac:dyDescent="0.2">
      <c r="A99" s="1682"/>
      <c r="B99" s="1686"/>
      <c r="C99" s="1687"/>
      <c r="D99" s="732">
        <v>2314</v>
      </c>
      <c r="E99" s="565">
        <v>200</v>
      </c>
      <c r="F99" s="565"/>
      <c r="G99" s="565">
        <f t="shared" si="16"/>
        <v>200</v>
      </c>
      <c r="H99" s="565"/>
      <c r="I99" s="1677"/>
      <c r="K99" s="729"/>
      <c r="L99" s="729"/>
    </row>
    <row r="100" spans="1:12" s="604" customFormat="1" ht="12.75" customHeight="1" x14ac:dyDescent="0.2">
      <c r="A100" s="1683"/>
      <c r="B100" s="1688"/>
      <c r="C100" s="1689"/>
      <c r="D100" s="732">
        <v>2261</v>
      </c>
      <c r="E100" s="565">
        <v>207</v>
      </c>
      <c r="F100" s="565"/>
      <c r="G100" s="565">
        <f t="shared" si="16"/>
        <v>207</v>
      </c>
      <c r="H100" s="565"/>
      <c r="I100" s="1678"/>
      <c r="K100" s="729"/>
      <c r="L100" s="729"/>
    </row>
    <row r="101" spans="1:12" s="604" customFormat="1" ht="12.75" customHeight="1" x14ac:dyDescent="0.2">
      <c r="A101" s="1681" t="s">
        <v>635</v>
      </c>
      <c r="B101" s="1684" t="s">
        <v>636</v>
      </c>
      <c r="C101" s="1685"/>
      <c r="D101" s="732">
        <v>2279</v>
      </c>
      <c r="E101" s="565">
        <v>50</v>
      </c>
      <c r="F101" s="565"/>
      <c r="G101" s="565">
        <f t="shared" si="16"/>
        <v>50</v>
      </c>
      <c r="H101" s="565"/>
      <c r="I101" s="1676" t="s">
        <v>540</v>
      </c>
      <c r="K101" s="729"/>
      <c r="L101" s="729"/>
    </row>
    <row r="102" spans="1:12" s="604" customFormat="1" ht="12.75" customHeight="1" x14ac:dyDescent="0.2">
      <c r="A102" s="1682"/>
      <c r="B102" s="1686"/>
      <c r="C102" s="1687"/>
      <c r="D102" s="732">
        <v>2279</v>
      </c>
      <c r="E102" s="565">
        <v>50</v>
      </c>
      <c r="F102" s="565"/>
      <c r="G102" s="565">
        <f t="shared" si="16"/>
        <v>50</v>
      </c>
      <c r="H102" s="565"/>
      <c r="I102" s="1677"/>
      <c r="K102" s="729"/>
      <c r="L102" s="729"/>
    </row>
    <row r="103" spans="1:12" s="604" customFormat="1" ht="12.75" customHeight="1" x14ac:dyDescent="0.2">
      <c r="A103" s="1682"/>
      <c r="B103" s="1686"/>
      <c r="C103" s="1687"/>
      <c r="D103" s="732">
        <v>2264</v>
      </c>
      <c r="E103" s="565">
        <v>40</v>
      </c>
      <c r="F103" s="565"/>
      <c r="G103" s="565">
        <f t="shared" si="16"/>
        <v>40</v>
      </c>
      <c r="H103" s="565"/>
      <c r="I103" s="1677"/>
      <c r="K103" s="729"/>
      <c r="L103" s="729"/>
    </row>
    <row r="104" spans="1:12" s="604" customFormat="1" ht="12.75" customHeight="1" x14ac:dyDescent="0.2">
      <c r="A104" s="1682"/>
      <c r="B104" s="1686"/>
      <c r="C104" s="1687"/>
      <c r="D104" s="732">
        <v>2223</v>
      </c>
      <c r="E104" s="565">
        <v>40</v>
      </c>
      <c r="F104" s="565"/>
      <c r="G104" s="565">
        <f t="shared" si="16"/>
        <v>40</v>
      </c>
      <c r="H104" s="565"/>
      <c r="I104" s="1677"/>
      <c r="K104" s="729"/>
      <c r="L104" s="729"/>
    </row>
    <row r="105" spans="1:12" s="604" customFormat="1" ht="12.75" customHeight="1" x14ac:dyDescent="0.2">
      <c r="A105" s="1683"/>
      <c r="B105" s="1688"/>
      <c r="C105" s="1689"/>
      <c r="D105" s="732">
        <v>2314</v>
      </c>
      <c r="E105" s="565">
        <v>65</v>
      </c>
      <c r="F105" s="565"/>
      <c r="G105" s="565">
        <f t="shared" si="16"/>
        <v>65</v>
      </c>
      <c r="H105" s="565"/>
      <c r="I105" s="1678"/>
      <c r="K105" s="729"/>
      <c r="L105" s="729"/>
    </row>
    <row r="106" spans="1:12" x14ac:dyDescent="0.2">
      <c r="A106" s="731">
        <v>10</v>
      </c>
      <c r="B106" s="1693" t="s">
        <v>637</v>
      </c>
      <c r="C106" s="1694"/>
      <c r="D106" s="730"/>
      <c r="E106" s="730">
        <f>SUM(E107:E111)</f>
        <v>313565</v>
      </c>
      <c r="F106" s="730">
        <f t="shared" ref="F106:G106" si="17">SUM(F107:F111)</f>
        <v>0</v>
      </c>
      <c r="G106" s="730">
        <f t="shared" si="17"/>
        <v>313565</v>
      </c>
      <c r="H106" s="730"/>
      <c r="I106" s="565"/>
      <c r="K106" s="729"/>
      <c r="L106" s="729"/>
    </row>
    <row r="107" spans="1:12" x14ac:dyDescent="0.2">
      <c r="A107" s="734" t="s">
        <v>638</v>
      </c>
      <c r="B107" s="1700" t="s">
        <v>639</v>
      </c>
      <c r="C107" s="1701"/>
      <c r="D107" s="735">
        <v>2279</v>
      </c>
      <c r="E107" s="565">
        <v>6000</v>
      </c>
      <c r="F107" s="565"/>
      <c r="G107" s="565">
        <f t="shared" ref="G107:G111" si="18">E107+F107</f>
        <v>6000</v>
      </c>
      <c r="H107" s="565"/>
      <c r="I107" s="579" t="s">
        <v>540</v>
      </c>
      <c r="K107" s="729"/>
      <c r="L107" s="729"/>
    </row>
    <row r="108" spans="1:12" ht="21" customHeight="1" x14ac:dyDescent="0.2">
      <c r="A108" s="734" t="s">
        <v>640</v>
      </c>
      <c r="B108" s="1700" t="s">
        <v>641</v>
      </c>
      <c r="C108" s="1701"/>
      <c r="D108" s="735">
        <v>2279</v>
      </c>
      <c r="E108" s="565">
        <v>4625</v>
      </c>
      <c r="F108" s="565"/>
      <c r="G108" s="565">
        <f t="shared" si="18"/>
        <v>4625</v>
      </c>
      <c r="H108" s="565"/>
      <c r="I108" s="579" t="s">
        <v>540</v>
      </c>
      <c r="K108" s="729"/>
      <c r="L108" s="729"/>
    </row>
    <row r="109" spans="1:12" ht="43.5" customHeight="1" x14ac:dyDescent="0.2">
      <c r="A109" s="734" t="s">
        <v>642</v>
      </c>
      <c r="B109" s="1700" t="s">
        <v>643</v>
      </c>
      <c r="C109" s="1701"/>
      <c r="D109" s="740">
        <v>2279</v>
      </c>
      <c r="E109" s="565">
        <f>350000-50000</f>
        <v>300000</v>
      </c>
      <c r="F109" s="565"/>
      <c r="G109" s="565">
        <f t="shared" si="18"/>
        <v>300000</v>
      </c>
      <c r="H109" s="565"/>
      <c r="I109" s="579" t="s">
        <v>540</v>
      </c>
      <c r="K109" s="729"/>
      <c r="L109" s="729"/>
    </row>
    <row r="110" spans="1:12" ht="24" customHeight="1" x14ac:dyDescent="0.2">
      <c r="A110" s="734" t="s">
        <v>644</v>
      </c>
      <c r="B110" s="1700" t="s">
        <v>645</v>
      </c>
      <c r="C110" s="1701"/>
      <c r="D110" s="735">
        <v>2279</v>
      </c>
      <c r="E110" s="565">
        <v>1440</v>
      </c>
      <c r="F110" s="565"/>
      <c r="G110" s="565">
        <f t="shared" si="18"/>
        <v>1440</v>
      </c>
      <c r="H110" s="565"/>
      <c r="I110" s="579" t="s">
        <v>540</v>
      </c>
      <c r="K110" s="729"/>
      <c r="L110" s="729"/>
    </row>
    <row r="111" spans="1:12" ht="22.5" customHeight="1" x14ac:dyDescent="0.2">
      <c r="A111" s="734" t="s">
        <v>646</v>
      </c>
      <c r="B111" s="1700" t="s">
        <v>647</v>
      </c>
      <c r="C111" s="1701"/>
      <c r="D111" s="735">
        <v>2279</v>
      </c>
      <c r="E111" s="565">
        <v>1500</v>
      </c>
      <c r="F111" s="565"/>
      <c r="G111" s="565">
        <f t="shared" si="18"/>
        <v>1500</v>
      </c>
      <c r="H111" s="565"/>
      <c r="I111" s="579" t="s">
        <v>540</v>
      </c>
      <c r="K111" s="729"/>
      <c r="L111" s="729"/>
    </row>
    <row r="112" spans="1:12" x14ac:dyDescent="0.2">
      <c r="A112" s="731">
        <v>11</v>
      </c>
      <c r="B112" s="1693" t="s">
        <v>648</v>
      </c>
      <c r="C112" s="1694"/>
      <c r="D112" s="730"/>
      <c r="E112" s="730">
        <f>SUM(E113)</f>
        <v>1425</v>
      </c>
      <c r="F112" s="730">
        <f t="shared" ref="F112:G112" si="19">SUM(F113)</f>
        <v>0</v>
      </c>
      <c r="G112" s="730">
        <f t="shared" si="19"/>
        <v>1425</v>
      </c>
      <c r="H112" s="730"/>
      <c r="I112" s="565"/>
      <c r="K112" s="729"/>
      <c r="L112" s="729"/>
    </row>
    <row r="113" spans="1:12" x14ac:dyDescent="0.2">
      <c r="A113" s="734" t="s">
        <v>649</v>
      </c>
      <c r="B113" s="1700" t="s">
        <v>650</v>
      </c>
      <c r="C113" s="1701"/>
      <c r="D113" s="735">
        <v>2279</v>
      </c>
      <c r="E113" s="565">
        <v>1425</v>
      </c>
      <c r="F113" s="565"/>
      <c r="G113" s="565">
        <f>E113+F113</f>
        <v>1425</v>
      </c>
      <c r="H113" s="565"/>
      <c r="I113" s="579" t="s">
        <v>540</v>
      </c>
      <c r="K113" s="729"/>
      <c r="L113" s="729"/>
    </row>
    <row r="114" spans="1:12" x14ac:dyDescent="0.2">
      <c r="A114" s="731">
        <v>12</v>
      </c>
      <c r="B114" s="1693" t="s">
        <v>651</v>
      </c>
      <c r="C114" s="1694"/>
      <c r="D114" s="730"/>
      <c r="E114" s="730">
        <f>SUM(E115:E118)</f>
        <v>10200</v>
      </c>
      <c r="F114" s="730">
        <f t="shared" ref="F114:G114" si="20">SUM(F115:F118)</f>
        <v>0</v>
      </c>
      <c r="G114" s="730">
        <f t="shared" si="20"/>
        <v>10200</v>
      </c>
      <c r="H114" s="730"/>
      <c r="I114" s="565"/>
      <c r="K114" s="729"/>
      <c r="L114" s="729"/>
    </row>
    <row r="115" spans="1:12" x14ac:dyDescent="0.2">
      <c r="A115" s="734" t="s">
        <v>652</v>
      </c>
      <c r="B115" s="1700" t="s">
        <v>653</v>
      </c>
      <c r="C115" s="1701"/>
      <c r="D115" s="732">
        <v>2279</v>
      </c>
      <c r="E115" s="565">
        <v>200</v>
      </c>
      <c r="F115" s="565"/>
      <c r="G115" s="565">
        <f t="shared" ref="G115:G118" si="21">E115+F115</f>
        <v>200</v>
      </c>
      <c r="H115" s="565"/>
      <c r="I115" s="565" t="s">
        <v>540</v>
      </c>
      <c r="K115" s="729"/>
      <c r="L115" s="729"/>
    </row>
    <row r="116" spans="1:12" ht="12.75" customHeight="1" x14ac:dyDescent="0.2">
      <c r="A116" s="734" t="s">
        <v>654</v>
      </c>
      <c r="B116" s="1700" t="s">
        <v>655</v>
      </c>
      <c r="C116" s="1701"/>
      <c r="D116" s="732">
        <v>2279</v>
      </c>
      <c r="E116" s="565">
        <v>4000</v>
      </c>
      <c r="F116" s="565"/>
      <c r="G116" s="565">
        <f t="shared" si="21"/>
        <v>4000</v>
      </c>
      <c r="H116" s="565"/>
      <c r="I116" s="565" t="s">
        <v>540</v>
      </c>
      <c r="K116" s="729"/>
      <c r="L116" s="729"/>
    </row>
    <row r="117" spans="1:12" ht="12.75" customHeight="1" x14ac:dyDescent="0.2">
      <c r="A117" s="734" t="s">
        <v>656</v>
      </c>
      <c r="B117" s="1700" t="s">
        <v>657</v>
      </c>
      <c r="C117" s="1701"/>
      <c r="D117" s="732">
        <v>2279</v>
      </c>
      <c r="E117" s="565">
        <v>4000</v>
      </c>
      <c r="F117" s="565"/>
      <c r="G117" s="565">
        <f t="shared" si="21"/>
        <v>4000</v>
      </c>
      <c r="H117" s="565"/>
      <c r="I117" s="565" t="s">
        <v>540</v>
      </c>
      <c r="K117" s="729"/>
      <c r="L117" s="729"/>
    </row>
    <row r="118" spans="1:12" ht="26.25" customHeight="1" x14ac:dyDescent="0.2">
      <c r="A118" s="734" t="s">
        <v>658</v>
      </c>
      <c r="B118" s="1700" t="s">
        <v>659</v>
      </c>
      <c r="C118" s="1701"/>
      <c r="D118" s="732">
        <v>2279</v>
      </c>
      <c r="E118" s="565">
        <v>2000</v>
      </c>
      <c r="F118" s="565"/>
      <c r="G118" s="565">
        <f t="shared" si="21"/>
        <v>2000</v>
      </c>
      <c r="H118" s="565"/>
      <c r="I118" s="565" t="s">
        <v>540</v>
      </c>
      <c r="K118" s="729"/>
      <c r="L118" s="729"/>
    </row>
    <row r="119" spans="1:12" x14ac:dyDescent="0.2">
      <c r="A119" s="731">
        <v>13</v>
      </c>
      <c r="B119" s="1693" t="s">
        <v>660</v>
      </c>
      <c r="C119" s="1694"/>
      <c r="D119" s="730"/>
      <c r="E119" s="730">
        <f>SUM(E120:E123)</f>
        <v>4980</v>
      </c>
      <c r="F119" s="730">
        <f>SUM(F120:F123)</f>
        <v>0</v>
      </c>
      <c r="G119" s="730">
        <f>SUM(G120:G123)</f>
        <v>4980</v>
      </c>
      <c r="H119" s="730"/>
      <c r="I119" s="565"/>
      <c r="K119" s="729"/>
      <c r="L119" s="729"/>
    </row>
    <row r="120" spans="1:12" ht="25.5" customHeight="1" x14ac:dyDescent="0.2">
      <c r="A120" s="734" t="s">
        <v>661</v>
      </c>
      <c r="B120" s="1700" t="s">
        <v>662</v>
      </c>
      <c r="C120" s="1701"/>
      <c r="D120" s="740">
        <v>2279</v>
      </c>
      <c r="E120" s="565">
        <v>550</v>
      </c>
      <c r="F120" s="565"/>
      <c r="G120" s="565">
        <f t="shared" ref="G120:G123" si="22">E120+F120</f>
        <v>550</v>
      </c>
      <c r="H120" s="565"/>
      <c r="I120" s="565" t="s">
        <v>540</v>
      </c>
      <c r="K120" s="729"/>
      <c r="L120" s="729"/>
    </row>
    <row r="121" spans="1:12" ht="18" customHeight="1" x14ac:dyDescent="0.2">
      <c r="A121" s="734" t="s">
        <v>663</v>
      </c>
      <c r="B121" s="1700" t="s">
        <v>664</v>
      </c>
      <c r="C121" s="1701"/>
      <c r="D121" s="740">
        <v>2279</v>
      </c>
      <c r="E121" s="565">
        <v>700</v>
      </c>
      <c r="F121" s="565"/>
      <c r="G121" s="565">
        <f t="shared" si="22"/>
        <v>700</v>
      </c>
      <c r="H121" s="565"/>
      <c r="I121" s="565" t="s">
        <v>540</v>
      </c>
      <c r="K121" s="729"/>
      <c r="L121" s="729"/>
    </row>
    <row r="122" spans="1:12" ht="18" customHeight="1" x14ac:dyDescent="0.2">
      <c r="A122" s="734" t="s">
        <v>665</v>
      </c>
      <c r="B122" s="1700" t="s">
        <v>666</v>
      </c>
      <c r="C122" s="1701"/>
      <c r="D122" s="740">
        <v>2279</v>
      </c>
      <c r="E122" s="565">
        <v>300</v>
      </c>
      <c r="F122" s="565"/>
      <c r="G122" s="565">
        <f t="shared" si="22"/>
        <v>300</v>
      </c>
      <c r="H122" s="565"/>
      <c r="I122" s="565" t="s">
        <v>540</v>
      </c>
      <c r="K122" s="729"/>
      <c r="L122" s="729"/>
    </row>
    <row r="123" spans="1:12" ht="18" customHeight="1" x14ac:dyDescent="0.2">
      <c r="A123" s="734">
        <v>13.4</v>
      </c>
      <c r="B123" s="1700" t="s">
        <v>667</v>
      </c>
      <c r="C123" s="1701"/>
      <c r="D123" s="740">
        <v>2279</v>
      </c>
      <c r="E123" s="565">
        <v>3430</v>
      </c>
      <c r="F123" s="565"/>
      <c r="G123" s="565">
        <f t="shared" si="22"/>
        <v>3430</v>
      </c>
      <c r="H123" s="565"/>
      <c r="I123" s="565" t="s">
        <v>540</v>
      </c>
      <c r="K123" s="729"/>
      <c r="L123" s="729"/>
    </row>
    <row r="124" spans="1:12" x14ac:dyDescent="0.2">
      <c r="A124" s="731">
        <v>14</v>
      </c>
      <c r="B124" s="1693" t="s">
        <v>668</v>
      </c>
      <c r="C124" s="1694"/>
      <c r="D124" s="730"/>
      <c r="E124" s="730">
        <f>SUM(E125:E128)</f>
        <v>0</v>
      </c>
      <c r="F124" s="730">
        <f t="shared" ref="F124:G124" si="23">SUM(F125:F128)</f>
        <v>0</v>
      </c>
      <c r="G124" s="730">
        <f t="shared" si="23"/>
        <v>0</v>
      </c>
      <c r="H124" s="730"/>
      <c r="I124" s="565"/>
      <c r="K124" s="729"/>
      <c r="L124" s="729"/>
    </row>
    <row r="125" spans="1:12" ht="24" customHeight="1" x14ac:dyDescent="0.2">
      <c r="A125" s="1695" t="s">
        <v>669</v>
      </c>
      <c r="B125" s="1684" t="s">
        <v>670</v>
      </c>
      <c r="C125" s="1685"/>
      <c r="D125" s="735">
        <v>2264</v>
      </c>
      <c r="E125" s="565">
        <f>50-50</f>
        <v>0</v>
      </c>
      <c r="F125" s="565"/>
      <c r="G125" s="565">
        <f t="shared" ref="G125:G128" si="24">E125+F125</f>
        <v>0</v>
      </c>
      <c r="H125" s="1676"/>
      <c r="I125" s="579" t="s">
        <v>540</v>
      </c>
      <c r="K125" s="729"/>
      <c r="L125" s="729"/>
    </row>
    <row r="126" spans="1:12" ht="12.75" customHeight="1" x14ac:dyDescent="0.2">
      <c r="A126" s="1695"/>
      <c r="B126" s="1686"/>
      <c r="C126" s="1687"/>
      <c r="D126" s="735">
        <v>2322</v>
      </c>
      <c r="E126" s="565">
        <f>250-250</f>
        <v>0</v>
      </c>
      <c r="F126" s="565"/>
      <c r="G126" s="565">
        <f t="shared" si="24"/>
        <v>0</v>
      </c>
      <c r="H126" s="1677"/>
      <c r="I126" s="579" t="s">
        <v>540</v>
      </c>
      <c r="K126" s="729"/>
      <c r="L126" s="729"/>
    </row>
    <row r="127" spans="1:12" ht="12.75" customHeight="1" x14ac:dyDescent="0.2">
      <c r="A127" s="1695"/>
      <c r="B127" s="1686"/>
      <c r="C127" s="1687"/>
      <c r="D127" s="735">
        <v>2261</v>
      </c>
      <c r="E127" s="565">
        <f>300-300</f>
        <v>0</v>
      </c>
      <c r="F127" s="565"/>
      <c r="G127" s="565">
        <f t="shared" si="24"/>
        <v>0</v>
      </c>
      <c r="H127" s="1677"/>
      <c r="I127" s="579" t="s">
        <v>540</v>
      </c>
      <c r="K127" s="729"/>
      <c r="L127" s="729"/>
    </row>
    <row r="128" spans="1:12" ht="12.75" customHeight="1" x14ac:dyDescent="0.2">
      <c r="A128" s="1695"/>
      <c r="B128" s="1688"/>
      <c r="C128" s="1689"/>
      <c r="D128" s="732">
        <v>2314</v>
      </c>
      <c r="E128" s="565">
        <f>400-400</f>
        <v>0</v>
      </c>
      <c r="F128" s="565"/>
      <c r="G128" s="565">
        <f t="shared" si="24"/>
        <v>0</v>
      </c>
      <c r="H128" s="1678"/>
      <c r="I128" s="579" t="s">
        <v>540</v>
      </c>
      <c r="K128" s="729"/>
      <c r="L128" s="729"/>
    </row>
    <row r="129" spans="1:12" x14ac:dyDescent="0.2">
      <c r="A129" s="731">
        <v>15</v>
      </c>
      <c r="B129" s="1693" t="s">
        <v>671</v>
      </c>
      <c r="C129" s="1694"/>
      <c r="D129" s="730"/>
      <c r="E129" s="730">
        <f>SUM(E130:E131)</f>
        <v>3600</v>
      </c>
      <c r="F129" s="730">
        <f t="shared" ref="F129:G129" si="25">SUM(F130:F131)</f>
        <v>0</v>
      </c>
      <c r="G129" s="730">
        <f t="shared" si="25"/>
        <v>3600</v>
      </c>
      <c r="H129" s="730"/>
      <c r="I129" s="565"/>
      <c r="K129" s="729"/>
      <c r="L129" s="729"/>
    </row>
    <row r="130" spans="1:12" x14ac:dyDescent="0.2">
      <c r="A130" s="734" t="s">
        <v>672</v>
      </c>
      <c r="B130" s="1700" t="s">
        <v>673</v>
      </c>
      <c r="C130" s="1701"/>
      <c r="D130" s="732">
        <v>2279</v>
      </c>
      <c r="E130" s="565">
        <v>3600</v>
      </c>
      <c r="F130" s="565"/>
      <c r="G130" s="565">
        <f t="shared" ref="G130:G131" si="26">E130+F130</f>
        <v>3600</v>
      </c>
      <c r="H130" s="565"/>
      <c r="I130" s="579" t="s">
        <v>540</v>
      </c>
      <c r="K130" s="729"/>
      <c r="L130" s="729"/>
    </row>
    <row r="131" spans="1:12" ht="12.75" customHeight="1" x14ac:dyDescent="0.2">
      <c r="A131" s="734" t="s">
        <v>674</v>
      </c>
      <c r="B131" s="1700" t="s">
        <v>675</v>
      </c>
      <c r="C131" s="1701"/>
      <c r="D131" s="732">
        <v>2279</v>
      </c>
      <c r="E131" s="565">
        <f>2000-2000</f>
        <v>0</v>
      </c>
      <c r="F131" s="565"/>
      <c r="G131" s="565">
        <f t="shared" si="26"/>
        <v>0</v>
      </c>
      <c r="H131" s="565"/>
      <c r="I131" s="579" t="s">
        <v>540</v>
      </c>
      <c r="K131" s="729"/>
      <c r="L131" s="729"/>
    </row>
    <row r="132" spans="1:12" x14ac:dyDescent="0.2">
      <c r="A132" s="731">
        <v>16</v>
      </c>
      <c r="B132" s="1693" t="s">
        <v>676</v>
      </c>
      <c r="C132" s="1694"/>
      <c r="D132" s="730"/>
      <c r="E132" s="730">
        <f>SUM(E133:E138)</f>
        <v>210900</v>
      </c>
      <c r="F132" s="730">
        <f t="shared" ref="F132:G132" si="27">SUM(F133:F138)</f>
        <v>0</v>
      </c>
      <c r="G132" s="730">
        <f t="shared" si="27"/>
        <v>210900</v>
      </c>
      <c r="H132" s="730"/>
      <c r="I132" s="565"/>
      <c r="K132" s="729"/>
      <c r="L132" s="729"/>
    </row>
    <row r="133" spans="1:12" x14ac:dyDescent="0.2">
      <c r="A133" s="734" t="s">
        <v>677</v>
      </c>
      <c r="B133" s="1700" t="s">
        <v>678</v>
      </c>
      <c r="C133" s="1701"/>
      <c r="D133" s="732">
        <v>2314</v>
      </c>
      <c r="E133" s="565">
        <v>320</v>
      </c>
      <c r="F133" s="565"/>
      <c r="G133" s="565">
        <f t="shared" ref="G133:G138" si="28">E133+F133</f>
        <v>320</v>
      </c>
      <c r="H133" s="565"/>
      <c r="I133" s="579" t="s">
        <v>540</v>
      </c>
      <c r="K133" s="729"/>
      <c r="L133" s="729"/>
    </row>
    <row r="134" spans="1:12" x14ac:dyDescent="0.2">
      <c r="A134" s="1695" t="s">
        <v>679</v>
      </c>
      <c r="B134" s="1684" t="s">
        <v>680</v>
      </c>
      <c r="C134" s="1685"/>
      <c r="D134" s="732">
        <v>2264</v>
      </c>
      <c r="E134" s="565">
        <v>150</v>
      </c>
      <c r="F134" s="565"/>
      <c r="G134" s="565">
        <f t="shared" si="28"/>
        <v>150</v>
      </c>
      <c r="H134" s="565"/>
      <c r="I134" s="1676" t="s">
        <v>540</v>
      </c>
      <c r="K134" s="729"/>
      <c r="L134" s="729"/>
    </row>
    <row r="135" spans="1:12" ht="12.75" customHeight="1" x14ac:dyDescent="0.2">
      <c r="A135" s="1695"/>
      <c r="B135" s="1686"/>
      <c r="C135" s="1687"/>
      <c r="D135" s="732">
        <v>2279</v>
      </c>
      <c r="E135" s="565">
        <v>70</v>
      </c>
      <c r="F135" s="565"/>
      <c r="G135" s="565">
        <f t="shared" si="28"/>
        <v>70</v>
      </c>
      <c r="H135" s="565"/>
      <c r="I135" s="1677"/>
      <c r="K135" s="729"/>
      <c r="L135" s="729"/>
    </row>
    <row r="136" spans="1:12" ht="12.75" customHeight="1" x14ac:dyDescent="0.2">
      <c r="A136" s="1695"/>
      <c r="B136" s="1688"/>
      <c r="C136" s="1689"/>
      <c r="D136" s="732">
        <v>2314</v>
      </c>
      <c r="E136" s="565">
        <v>360</v>
      </c>
      <c r="F136" s="565"/>
      <c r="G136" s="565">
        <f t="shared" si="28"/>
        <v>360</v>
      </c>
      <c r="H136" s="565"/>
      <c r="I136" s="1678"/>
      <c r="K136" s="729"/>
      <c r="L136" s="729"/>
    </row>
    <row r="137" spans="1:12" ht="12.75" customHeight="1" x14ac:dyDescent="0.2">
      <c r="A137" s="734" t="s">
        <v>681</v>
      </c>
      <c r="B137" s="1700" t="s">
        <v>682</v>
      </c>
      <c r="C137" s="1701"/>
      <c r="D137" s="732">
        <v>2279</v>
      </c>
      <c r="E137" s="565">
        <v>110000</v>
      </c>
      <c r="F137" s="565"/>
      <c r="G137" s="565">
        <f t="shared" si="28"/>
        <v>110000</v>
      </c>
      <c r="H137" s="565"/>
      <c r="I137" s="579" t="s">
        <v>540</v>
      </c>
      <c r="K137" s="729"/>
      <c r="L137" s="729"/>
    </row>
    <row r="138" spans="1:12" x14ac:dyDescent="0.2">
      <c r="A138" s="734" t="s">
        <v>683</v>
      </c>
      <c r="B138" s="1700" t="s">
        <v>684</v>
      </c>
      <c r="C138" s="1701"/>
      <c r="D138" s="732">
        <v>2279</v>
      </c>
      <c r="E138" s="565">
        <v>100000</v>
      </c>
      <c r="F138" s="565"/>
      <c r="G138" s="565">
        <f t="shared" si="28"/>
        <v>100000</v>
      </c>
      <c r="H138" s="565"/>
      <c r="I138" s="579" t="s">
        <v>540</v>
      </c>
      <c r="K138" s="729"/>
      <c r="L138" s="729"/>
    </row>
    <row r="139" spans="1:12" x14ac:dyDescent="0.2">
      <c r="A139" s="731">
        <v>17</v>
      </c>
      <c r="B139" s="1693" t="s">
        <v>685</v>
      </c>
      <c r="C139" s="1694"/>
      <c r="D139" s="730"/>
      <c r="E139" s="730">
        <f>SUM(E140:E143)</f>
        <v>29421</v>
      </c>
      <c r="F139" s="730">
        <f t="shared" ref="F139:G139" si="29">SUM(F140:F143)</f>
        <v>0</v>
      </c>
      <c r="G139" s="730">
        <f t="shared" si="29"/>
        <v>29421</v>
      </c>
      <c r="H139" s="730"/>
      <c r="I139" s="565"/>
      <c r="K139" s="729"/>
      <c r="L139" s="729"/>
    </row>
    <row r="140" spans="1:12" ht="14.25" customHeight="1" x14ac:dyDescent="0.2">
      <c r="A140" s="741" t="s">
        <v>686</v>
      </c>
      <c r="B140" s="1700" t="s">
        <v>687</v>
      </c>
      <c r="C140" s="1701"/>
      <c r="D140" s="732">
        <v>2279</v>
      </c>
      <c r="E140" s="565">
        <v>2000</v>
      </c>
      <c r="F140" s="565"/>
      <c r="G140" s="565">
        <f t="shared" ref="G140:G143" si="30">E140+F140</f>
        <v>2000</v>
      </c>
      <c r="H140" s="565"/>
      <c r="I140" s="579" t="s">
        <v>540</v>
      </c>
      <c r="K140" s="729"/>
      <c r="L140" s="729"/>
    </row>
    <row r="141" spans="1:12" ht="12.75" customHeight="1" x14ac:dyDescent="0.2">
      <c r="A141" s="741" t="s">
        <v>688</v>
      </c>
      <c r="B141" s="1700" t="s">
        <v>689</v>
      </c>
      <c r="C141" s="1701"/>
      <c r="D141" s="732">
        <v>2279</v>
      </c>
      <c r="E141" s="565">
        <v>1421</v>
      </c>
      <c r="F141" s="565"/>
      <c r="G141" s="565">
        <f t="shared" si="30"/>
        <v>1421</v>
      </c>
      <c r="H141" s="565"/>
      <c r="I141" s="579" t="s">
        <v>540</v>
      </c>
      <c r="K141" s="729"/>
      <c r="L141" s="729"/>
    </row>
    <row r="142" spans="1:12" ht="25.5" customHeight="1" x14ac:dyDescent="0.2">
      <c r="A142" s="742" t="s">
        <v>690</v>
      </c>
      <c r="B142" s="1709" t="s">
        <v>691</v>
      </c>
      <c r="C142" s="1710"/>
      <c r="D142" s="732">
        <v>2279</v>
      </c>
      <c r="E142" s="565">
        <v>1000</v>
      </c>
      <c r="F142" s="565"/>
      <c r="G142" s="565">
        <f t="shared" si="30"/>
        <v>1000</v>
      </c>
      <c r="H142" s="565"/>
      <c r="I142" s="579" t="s">
        <v>540</v>
      </c>
      <c r="K142" s="729"/>
      <c r="L142" s="729"/>
    </row>
    <row r="143" spans="1:12" ht="22.5" customHeight="1" x14ac:dyDescent="0.2">
      <c r="A143" s="742" t="s">
        <v>692</v>
      </c>
      <c r="B143" s="1709" t="s">
        <v>693</v>
      </c>
      <c r="C143" s="1710"/>
      <c r="D143" s="732">
        <v>2279</v>
      </c>
      <c r="E143" s="565">
        <v>25000</v>
      </c>
      <c r="F143" s="565"/>
      <c r="G143" s="565">
        <f t="shared" si="30"/>
        <v>25000</v>
      </c>
      <c r="H143" s="565"/>
      <c r="I143" s="579" t="s">
        <v>540</v>
      </c>
      <c r="K143" s="729"/>
      <c r="L143" s="729"/>
    </row>
    <row r="144" spans="1:12" x14ac:dyDescent="0.2">
      <c r="A144" s="731">
        <v>18</v>
      </c>
      <c r="B144" s="1693" t="s">
        <v>694</v>
      </c>
      <c r="C144" s="1694"/>
      <c r="D144" s="730"/>
      <c r="E144" s="730">
        <f>SUM(E145:E163)</f>
        <v>263256</v>
      </c>
      <c r="F144" s="730">
        <f t="shared" ref="F144:G144" si="31">SUM(F145:F163)</f>
        <v>0</v>
      </c>
      <c r="G144" s="730">
        <f t="shared" si="31"/>
        <v>263256</v>
      </c>
      <c r="H144" s="730"/>
      <c r="I144" s="565"/>
      <c r="K144" s="729"/>
      <c r="L144" s="729"/>
    </row>
    <row r="145" spans="1:12" x14ac:dyDescent="0.2">
      <c r="A145" s="734" t="s">
        <v>695</v>
      </c>
      <c r="B145" s="1700" t="s">
        <v>696</v>
      </c>
      <c r="C145" s="1701"/>
      <c r="D145" s="732">
        <v>2279</v>
      </c>
      <c r="E145" s="565">
        <v>2100</v>
      </c>
      <c r="F145" s="565"/>
      <c r="G145" s="565">
        <f t="shared" ref="G145:G163" si="32">E145+F145</f>
        <v>2100</v>
      </c>
      <c r="H145" s="565"/>
      <c r="I145" s="579" t="s">
        <v>540</v>
      </c>
      <c r="K145" s="729"/>
      <c r="L145" s="729"/>
    </row>
    <row r="146" spans="1:12" x14ac:dyDescent="0.2">
      <c r="A146" s="734" t="s">
        <v>697</v>
      </c>
      <c r="B146" s="1700" t="s">
        <v>698</v>
      </c>
      <c r="C146" s="1701"/>
      <c r="D146" s="732">
        <v>2279</v>
      </c>
      <c r="E146" s="565">
        <v>3679</v>
      </c>
      <c r="F146" s="565"/>
      <c r="G146" s="565">
        <f t="shared" si="32"/>
        <v>3679</v>
      </c>
      <c r="H146" s="565"/>
      <c r="I146" s="579" t="s">
        <v>540</v>
      </c>
      <c r="K146" s="729"/>
      <c r="L146" s="729"/>
    </row>
    <row r="147" spans="1:12" x14ac:dyDescent="0.2">
      <c r="A147" s="734" t="s">
        <v>699</v>
      </c>
      <c r="B147" s="1700" t="s">
        <v>700</v>
      </c>
      <c r="C147" s="1701"/>
      <c r="D147" s="732">
        <v>2279</v>
      </c>
      <c r="E147" s="565">
        <v>2135</v>
      </c>
      <c r="F147" s="565"/>
      <c r="G147" s="565">
        <f t="shared" si="32"/>
        <v>2135</v>
      </c>
      <c r="H147" s="565"/>
      <c r="I147" s="579" t="s">
        <v>540</v>
      </c>
      <c r="K147" s="729"/>
      <c r="L147" s="729"/>
    </row>
    <row r="148" spans="1:12" x14ac:dyDescent="0.2">
      <c r="A148" s="734" t="s">
        <v>701</v>
      </c>
      <c r="B148" s="1711" t="s">
        <v>702</v>
      </c>
      <c r="C148" s="1712"/>
      <c r="D148" s="732">
        <v>2279</v>
      </c>
      <c r="E148" s="565">
        <v>12100</v>
      </c>
      <c r="F148" s="565"/>
      <c r="G148" s="565">
        <f t="shared" si="32"/>
        <v>12100</v>
      </c>
      <c r="H148" s="565"/>
      <c r="I148" s="579" t="s">
        <v>540</v>
      </c>
      <c r="K148" s="729"/>
      <c r="L148" s="729"/>
    </row>
    <row r="149" spans="1:12" x14ac:dyDescent="0.2">
      <c r="A149" s="734" t="s">
        <v>703</v>
      </c>
      <c r="B149" s="1711" t="s">
        <v>704</v>
      </c>
      <c r="C149" s="1712"/>
      <c r="D149" s="732">
        <v>2279</v>
      </c>
      <c r="E149" s="565">
        <f>30000+5000</f>
        <v>35000</v>
      </c>
      <c r="F149" s="565"/>
      <c r="G149" s="565">
        <f t="shared" si="32"/>
        <v>35000</v>
      </c>
      <c r="H149" s="565"/>
      <c r="I149" s="579" t="s">
        <v>540</v>
      </c>
      <c r="K149" s="729"/>
      <c r="L149" s="729"/>
    </row>
    <row r="150" spans="1:12" x14ac:dyDescent="0.2">
      <c r="A150" s="734" t="s">
        <v>705</v>
      </c>
      <c r="B150" s="1700" t="s">
        <v>706</v>
      </c>
      <c r="C150" s="1701"/>
      <c r="D150" s="732">
        <v>2279</v>
      </c>
      <c r="E150" s="565">
        <v>3000</v>
      </c>
      <c r="F150" s="565"/>
      <c r="G150" s="565">
        <f t="shared" si="32"/>
        <v>3000</v>
      </c>
      <c r="H150" s="565"/>
      <c r="I150" s="579" t="s">
        <v>540</v>
      </c>
      <c r="K150" s="729"/>
      <c r="L150" s="729"/>
    </row>
    <row r="151" spans="1:12" ht="19.5" customHeight="1" x14ac:dyDescent="0.2">
      <c r="A151" s="734" t="s">
        <v>707</v>
      </c>
      <c r="B151" s="1700" t="s">
        <v>708</v>
      </c>
      <c r="C151" s="1701"/>
      <c r="D151" s="732">
        <v>2279</v>
      </c>
      <c r="E151" s="565">
        <v>70000</v>
      </c>
      <c r="F151" s="565"/>
      <c r="G151" s="565">
        <f t="shared" si="32"/>
        <v>70000</v>
      </c>
      <c r="H151" s="565"/>
      <c r="I151" s="579" t="s">
        <v>540</v>
      </c>
      <c r="K151" s="729"/>
      <c r="L151" s="729"/>
    </row>
    <row r="152" spans="1:12" x14ac:dyDescent="0.2">
      <c r="A152" s="734" t="s">
        <v>709</v>
      </c>
      <c r="B152" s="1700" t="s">
        <v>710</v>
      </c>
      <c r="C152" s="1701"/>
      <c r="D152" s="732">
        <v>2279</v>
      </c>
      <c r="E152" s="565">
        <v>1421</v>
      </c>
      <c r="F152" s="565"/>
      <c r="G152" s="565">
        <f t="shared" si="32"/>
        <v>1421</v>
      </c>
      <c r="H152" s="565"/>
      <c r="I152" s="579" t="s">
        <v>540</v>
      </c>
      <c r="K152" s="729"/>
      <c r="L152" s="729"/>
    </row>
    <row r="153" spans="1:12" x14ac:dyDescent="0.2">
      <c r="A153" s="734" t="s">
        <v>711</v>
      </c>
      <c r="B153" s="1700" t="s">
        <v>712</v>
      </c>
      <c r="C153" s="1701"/>
      <c r="D153" s="732">
        <v>2279</v>
      </c>
      <c r="E153" s="565">
        <v>70000</v>
      </c>
      <c r="F153" s="565"/>
      <c r="G153" s="565">
        <f t="shared" si="32"/>
        <v>70000</v>
      </c>
      <c r="H153" s="565"/>
      <c r="I153" s="579" t="s">
        <v>540</v>
      </c>
      <c r="K153" s="729"/>
      <c r="L153" s="729"/>
    </row>
    <row r="154" spans="1:12" x14ac:dyDescent="0.2">
      <c r="A154" s="734" t="s">
        <v>713</v>
      </c>
      <c r="B154" s="1700" t="s">
        <v>714</v>
      </c>
      <c r="C154" s="1701"/>
      <c r="D154" s="732">
        <v>2279</v>
      </c>
      <c r="E154" s="565">
        <v>1500</v>
      </c>
      <c r="F154" s="565"/>
      <c r="G154" s="565">
        <f t="shared" si="32"/>
        <v>1500</v>
      </c>
      <c r="H154" s="565"/>
      <c r="I154" s="579" t="s">
        <v>540</v>
      </c>
      <c r="K154" s="729"/>
      <c r="L154" s="729"/>
    </row>
    <row r="155" spans="1:12" ht="24" customHeight="1" x14ac:dyDescent="0.2">
      <c r="A155" s="734" t="s">
        <v>715</v>
      </c>
      <c r="B155" s="1700" t="s">
        <v>716</v>
      </c>
      <c r="C155" s="1701"/>
      <c r="D155" s="732">
        <v>2279</v>
      </c>
      <c r="E155" s="565">
        <v>5000</v>
      </c>
      <c r="F155" s="565"/>
      <c r="G155" s="565">
        <f t="shared" si="32"/>
        <v>5000</v>
      </c>
      <c r="H155" s="565"/>
      <c r="I155" s="579" t="s">
        <v>540</v>
      </c>
      <c r="K155" s="729"/>
      <c r="L155" s="729"/>
    </row>
    <row r="156" spans="1:12" x14ac:dyDescent="0.2">
      <c r="A156" s="734" t="s">
        <v>717</v>
      </c>
      <c r="B156" s="1700" t="s">
        <v>718</v>
      </c>
      <c r="C156" s="1701"/>
      <c r="D156" s="732">
        <v>2279</v>
      </c>
      <c r="E156" s="565">
        <v>551</v>
      </c>
      <c r="F156" s="565"/>
      <c r="G156" s="565">
        <f t="shared" si="32"/>
        <v>551</v>
      </c>
      <c r="H156" s="565"/>
      <c r="I156" s="579" t="s">
        <v>540</v>
      </c>
      <c r="K156" s="729"/>
      <c r="L156" s="729"/>
    </row>
    <row r="157" spans="1:12" ht="24.75" customHeight="1" x14ac:dyDescent="0.2">
      <c r="A157" s="734" t="s">
        <v>719</v>
      </c>
      <c r="B157" s="1700" t="s">
        <v>720</v>
      </c>
      <c r="C157" s="1701"/>
      <c r="D157" s="732">
        <v>2279</v>
      </c>
      <c r="E157" s="565">
        <v>30000</v>
      </c>
      <c r="F157" s="565"/>
      <c r="G157" s="565">
        <f t="shared" si="32"/>
        <v>30000</v>
      </c>
      <c r="H157" s="565"/>
      <c r="I157" s="579" t="s">
        <v>540</v>
      </c>
      <c r="K157" s="729"/>
      <c r="L157" s="729"/>
    </row>
    <row r="158" spans="1:12" ht="12.75" customHeight="1" x14ac:dyDescent="0.2">
      <c r="A158" s="734" t="s">
        <v>721</v>
      </c>
      <c r="B158" s="1700" t="s">
        <v>722</v>
      </c>
      <c r="C158" s="1701"/>
      <c r="D158" s="732">
        <v>2279</v>
      </c>
      <c r="E158" s="565">
        <v>1300</v>
      </c>
      <c r="F158" s="565"/>
      <c r="G158" s="565">
        <f t="shared" si="32"/>
        <v>1300</v>
      </c>
      <c r="H158" s="565"/>
      <c r="I158" s="579" t="s">
        <v>540</v>
      </c>
      <c r="K158" s="729"/>
      <c r="L158" s="729"/>
    </row>
    <row r="159" spans="1:12" ht="12.75" customHeight="1" x14ac:dyDescent="0.2">
      <c r="A159" s="734" t="s">
        <v>723</v>
      </c>
      <c r="B159" s="1700" t="s">
        <v>724</v>
      </c>
      <c r="C159" s="1701"/>
      <c r="D159" s="732">
        <v>2279</v>
      </c>
      <c r="E159" s="565">
        <v>551</v>
      </c>
      <c r="F159" s="565"/>
      <c r="G159" s="565">
        <f t="shared" si="32"/>
        <v>551</v>
      </c>
      <c r="H159" s="565"/>
      <c r="I159" s="579" t="s">
        <v>540</v>
      </c>
      <c r="K159" s="729"/>
      <c r="L159" s="729"/>
    </row>
    <row r="160" spans="1:12" x14ac:dyDescent="0.2">
      <c r="A160" s="734" t="s">
        <v>725</v>
      </c>
      <c r="B160" s="1700" t="s">
        <v>726</v>
      </c>
      <c r="C160" s="1701"/>
      <c r="D160" s="732">
        <v>2279</v>
      </c>
      <c r="E160" s="565">
        <v>5400</v>
      </c>
      <c r="F160" s="565"/>
      <c r="G160" s="565">
        <f t="shared" si="32"/>
        <v>5400</v>
      </c>
      <c r="H160" s="565"/>
      <c r="I160" s="579" t="s">
        <v>540</v>
      </c>
      <c r="K160" s="729"/>
      <c r="L160" s="729"/>
    </row>
    <row r="161" spans="1:12" ht="12.75" customHeight="1" x14ac:dyDescent="0.2">
      <c r="A161" s="734" t="s">
        <v>727</v>
      </c>
      <c r="B161" s="1700" t="s">
        <v>728</v>
      </c>
      <c r="C161" s="1701"/>
      <c r="D161" s="732">
        <v>2279</v>
      </c>
      <c r="E161" s="565">
        <v>1000</v>
      </c>
      <c r="F161" s="565"/>
      <c r="G161" s="565">
        <f t="shared" si="32"/>
        <v>1000</v>
      </c>
      <c r="H161" s="565"/>
      <c r="I161" s="579" t="s">
        <v>540</v>
      </c>
      <c r="K161" s="729"/>
      <c r="L161" s="729"/>
    </row>
    <row r="162" spans="1:12" ht="20.25" customHeight="1" x14ac:dyDescent="0.2">
      <c r="A162" s="734" t="s">
        <v>729</v>
      </c>
      <c r="B162" s="1700" t="s">
        <v>730</v>
      </c>
      <c r="C162" s="1701"/>
      <c r="D162" s="732">
        <v>2279</v>
      </c>
      <c r="E162" s="565">
        <v>15000</v>
      </c>
      <c r="F162" s="565"/>
      <c r="G162" s="565">
        <f t="shared" si="32"/>
        <v>15000</v>
      </c>
      <c r="H162" s="565"/>
      <c r="I162" s="579" t="s">
        <v>540</v>
      </c>
      <c r="K162" s="729"/>
      <c r="L162" s="729"/>
    </row>
    <row r="163" spans="1:12" ht="20.25" customHeight="1" x14ac:dyDescent="0.2">
      <c r="A163" s="734" t="s">
        <v>1068</v>
      </c>
      <c r="B163" s="1700" t="s">
        <v>1069</v>
      </c>
      <c r="C163" s="1701"/>
      <c r="D163" s="732">
        <v>2279</v>
      </c>
      <c r="E163" s="565">
        <v>3519</v>
      </c>
      <c r="F163" s="565"/>
      <c r="G163" s="565">
        <f t="shared" si="32"/>
        <v>3519</v>
      </c>
      <c r="H163" s="565"/>
      <c r="I163" s="579"/>
      <c r="K163" s="729"/>
      <c r="L163" s="729"/>
    </row>
    <row r="164" spans="1:12" x14ac:dyDescent="0.2">
      <c r="A164" s="731">
        <v>19</v>
      </c>
      <c r="B164" s="1693" t="s">
        <v>731</v>
      </c>
      <c r="C164" s="1694"/>
      <c r="D164" s="730"/>
      <c r="E164" s="730">
        <f>SUM(E165:E167)</f>
        <v>2860</v>
      </c>
      <c r="F164" s="730">
        <f t="shared" ref="F164:G164" si="33">SUM(F165:F167)</f>
        <v>0</v>
      </c>
      <c r="G164" s="730">
        <f t="shared" si="33"/>
        <v>2860</v>
      </c>
      <c r="H164" s="730"/>
      <c r="I164" s="565"/>
      <c r="K164" s="729"/>
      <c r="L164" s="729"/>
    </row>
    <row r="165" spans="1:12" ht="12.75" customHeight="1" x14ac:dyDescent="0.2">
      <c r="A165" s="734" t="s">
        <v>732</v>
      </c>
      <c r="B165" s="1700" t="s">
        <v>733</v>
      </c>
      <c r="C165" s="1701"/>
      <c r="D165" s="732">
        <v>2279</v>
      </c>
      <c r="E165" s="565">
        <v>785</v>
      </c>
      <c r="F165" s="565"/>
      <c r="G165" s="565">
        <f t="shared" ref="G165:G167" si="34">E165+F165</f>
        <v>785</v>
      </c>
      <c r="H165" s="565"/>
      <c r="I165" s="579" t="s">
        <v>540</v>
      </c>
      <c r="K165" s="729"/>
      <c r="L165" s="729"/>
    </row>
    <row r="166" spans="1:12" x14ac:dyDescent="0.2">
      <c r="A166" s="734" t="s">
        <v>734</v>
      </c>
      <c r="B166" s="1700" t="s">
        <v>735</v>
      </c>
      <c r="C166" s="1701"/>
      <c r="D166" s="732">
        <v>2279</v>
      </c>
      <c r="E166" s="565">
        <v>650</v>
      </c>
      <c r="F166" s="565"/>
      <c r="G166" s="565">
        <f t="shared" si="34"/>
        <v>650</v>
      </c>
      <c r="H166" s="565"/>
      <c r="I166" s="579" t="s">
        <v>540</v>
      </c>
      <c r="K166" s="729"/>
      <c r="L166" s="729"/>
    </row>
    <row r="167" spans="1:12" x14ac:dyDescent="0.2">
      <c r="A167" s="734" t="s">
        <v>736</v>
      </c>
      <c r="B167" s="1700" t="s">
        <v>737</v>
      </c>
      <c r="C167" s="1701"/>
      <c r="D167" s="732">
        <v>2279</v>
      </c>
      <c r="E167" s="565">
        <v>1425</v>
      </c>
      <c r="F167" s="565"/>
      <c r="G167" s="565">
        <f t="shared" si="34"/>
        <v>1425</v>
      </c>
      <c r="H167" s="565"/>
      <c r="I167" s="579" t="s">
        <v>540</v>
      </c>
      <c r="K167" s="729"/>
      <c r="L167" s="729"/>
    </row>
    <row r="168" spans="1:12" x14ac:dyDescent="0.2">
      <c r="A168" s="731">
        <v>20</v>
      </c>
      <c r="B168" s="1693" t="s">
        <v>738</v>
      </c>
      <c r="C168" s="1694"/>
      <c r="D168" s="730"/>
      <c r="E168" s="730">
        <f>SUM(E169:E170)</f>
        <v>1850</v>
      </c>
      <c r="F168" s="730">
        <f t="shared" ref="F168:G168" si="35">SUM(F169:F170)</f>
        <v>0</v>
      </c>
      <c r="G168" s="730">
        <f t="shared" si="35"/>
        <v>1850</v>
      </c>
      <c r="H168" s="730"/>
      <c r="I168" s="565"/>
      <c r="K168" s="729"/>
      <c r="L168" s="729"/>
    </row>
    <row r="169" spans="1:12" x14ac:dyDescent="0.2">
      <c r="A169" s="1695" t="s">
        <v>739</v>
      </c>
      <c r="B169" s="1684" t="s">
        <v>740</v>
      </c>
      <c r="C169" s="1685"/>
      <c r="D169" s="732">
        <v>2279</v>
      </c>
      <c r="E169" s="565">
        <v>500</v>
      </c>
      <c r="F169" s="565"/>
      <c r="G169" s="565">
        <f t="shared" ref="G169:G170" si="36">E169+F169</f>
        <v>500</v>
      </c>
      <c r="H169" s="565"/>
      <c r="I169" s="1676" t="s">
        <v>540</v>
      </c>
      <c r="K169" s="729"/>
      <c r="L169" s="729"/>
    </row>
    <row r="170" spans="1:12" ht="12.75" customHeight="1" x14ac:dyDescent="0.2">
      <c r="A170" s="1695"/>
      <c r="B170" s="1688"/>
      <c r="C170" s="1689"/>
      <c r="D170" s="732">
        <v>2314</v>
      </c>
      <c r="E170" s="565">
        <v>1350</v>
      </c>
      <c r="F170" s="565"/>
      <c r="G170" s="565">
        <f t="shared" si="36"/>
        <v>1350</v>
      </c>
      <c r="H170" s="565"/>
      <c r="I170" s="1678"/>
      <c r="K170" s="729"/>
      <c r="L170" s="729"/>
    </row>
    <row r="171" spans="1:12" x14ac:dyDescent="0.2">
      <c r="A171" s="731">
        <v>21</v>
      </c>
      <c r="B171" s="1693" t="s">
        <v>741</v>
      </c>
      <c r="C171" s="1694"/>
      <c r="D171" s="730"/>
      <c r="E171" s="730">
        <f>SUM(E172:E172)</f>
        <v>2135</v>
      </c>
      <c r="F171" s="730">
        <f t="shared" ref="F171:G171" si="37">SUM(F172:F172)</f>
        <v>0</v>
      </c>
      <c r="G171" s="730">
        <f t="shared" si="37"/>
        <v>2135</v>
      </c>
      <c r="H171" s="730"/>
      <c r="I171" s="565"/>
      <c r="K171" s="729"/>
      <c r="L171" s="729"/>
    </row>
    <row r="172" spans="1:12" x14ac:dyDescent="0.2">
      <c r="A172" s="734" t="s">
        <v>742</v>
      </c>
      <c r="B172" s="1700" t="s">
        <v>743</v>
      </c>
      <c r="C172" s="1701"/>
      <c r="D172" s="732">
        <v>2279</v>
      </c>
      <c r="E172" s="736">
        <v>2135</v>
      </c>
      <c r="F172" s="736"/>
      <c r="G172" s="736">
        <f>E172+F172</f>
        <v>2135</v>
      </c>
      <c r="H172" s="736"/>
      <c r="I172" s="579" t="s">
        <v>540</v>
      </c>
      <c r="K172" s="729"/>
      <c r="L172" s="729"/>
    </row>
    <row r="173" spans="1:12" x14ac:dyDescent="0.2">
      <c r="A173" s="731">
        <v>22</v>
      </c>
      <c r="B173" s="1693" t="s">
        <v>744</v>
      </c>
      <c r="C173" s="1694"/>
      <c r="D173" s="730"/>
      <c r="E173" s="730">
        <f>SUM(E174:E175)</f>
        <v>3923</v>
      </c>
      <c r="F173" s="730">
        <f t="shared" ref="F173:G173" si="38">SUM(F174:F175)</f>
        <v>0</v>
      </c>
      <c r="G173" s="730">
        <f t="shared" si="38"/>
        <v>3923</v>
      </c>
      <c r="H173" s="730"/>
      <c r="I173" s="565"/>
      <c r="K173" s="729"/>
      <c r="L173" s="729"/>
    </row>
    <row r="174" spans="1:12" x14ac:dyDescent="0.2">
      <c r="A174" s="734" t="s">
        <v>745</v>
      </c>
      <c r="B174" s="1700" t="s">
        <v>746</v>
      </c>
      <c r="C174" s="1701"/>
      <c r="D174" s="732">
        <v>2279</v>
      </c>
      <c r="E174" s="565">
        <v>2500</v>
      </c>
      <c r="F174" s="565"/>
      <c r="G174" s="565">
        <f t="shared" ref="G174:G175" si="39">E174+F174</f>
        <v>2500</v>
      </c>
      <c r="H174" s="565"/>
      <c r="I174" s="579" t="s">
        <v>540</v>
      </c>
      <c r="K174" s="729"/>
      <c r="L174" s="729"/>
    </row>
    <row r="175" spans="1:12" x14ac:dyDescent="0.2">
      <c r="A175" s="734" t="s">
        <v>747</v>
      </c>
      <c r="B175" s="1700" t="s">
        <v>748</v>
      </c>
      <c r="C175" s="1701"/>
      <c r="D175" s="732">
        <v>2279</v>
      </c>
      <c r="E175" s="565">
        <v>1423</v>
      </c>
      <c r="F175" s="565"/>
      <c r="G175" s="565">
        <f t="shared" si="39"/>
        <v>1423</v>
      </c>
      <c r="H175" s="565"/>
      <c r="I175" s="579" t="s">
        <v>540</v>
      </c>
      <c r="K175" s="729"/>
      <c r="L175" s="729"/>
    </row>
    <row r="176" spans="1:12" x14ac:dyDescent="0.2">
      <c r="A176" s="731">
        <v>23</v>
      </c>
      <c r="B176" s="1693" t="s">
        <v>749</v>
      </c>
      <c r="C176" s="1694"/>
      <c r="D176" s="730"/>
      <c r="E176" s="730">
        <f>SUM(E177:E179)</f>
        <v>170000</v>
      </c>
      <c r="F176" s="730">
        <f t="shared" ref="F176:G176" si="40">SUM(F177:F179)</f>
        <v>0</v>
      </c>
      <c r="G176" s="730">
        <f t="shared" si="40"/>
        <v>170000</v>
      </c>
      <c r="H176" s="730"/>
      <c r="I176" s="565"/>
      <c r="K176" s="729"/>
      <c r="L176" s="729"/>
    </row>
    <row r="177" spans="1:12" x14ac:dyDescent="0.2">
      <c r="A177" s="734" t="s">
        <v>750</v>
      </c>
      <c r="B177" s="1700" t="s">
        <v>751</v>
      </c>
      <c r="C177" s="1701"/>
      <c r="D177" s="732">
        <v>2279</v>
      </c>
      <c r="E177" s="565">
        <v>70000</v>
      </c>
      <c r="F177" s="565"/>
      <c r="G177" s="565">
        <f t="shared" ref="G177:G179" si="41">E177+F177</f>
        <v>70000</v>
      </c>
      <c r="H177" s="565"/>
      <c r="I177" s="579" t="s">
        <v>540</v>
      </c>
      <c r="K177" s="729"/>
      <c r="L177" s="729"/>
    </row>
    <row r="178" spans="1:12" x14ac:dyDescent="0.2">
      <c r="A178" s="734" t="s">
        <v>752</v>
      </c>
      <c r="B178" s="1700" t="s">
        <v>753</v>
      </c>
      <c r="C178" s="1701"/>
      <c r="D178" s="732">
        <v>2279</v>
      </c>
      <c r="E178" s="565">
        <v>70000</v>
      </c>
      <c r="F178" s="565"/>
      <c r="G178" s="565">
        <f t="shared" si="41"/>
        <v>70000</v>
      </c>
      <c r="H178" s="565"/>
      <c r="I178" s="579" t="s">
        <v>540</v>
      </c>
      <c r="K178" s="729"/>
      <c r="L178" s="729"/>
    </row>
    <row r="179" spans="1:12" x14ac:dyDescent="0.2">
      <c r="A179" s="734" t="s">
        <v>754</v>
      </c>
      <c r="B179" s="1700" t="s">
        <v>755</v>
      </c>
      <c r="C179" s="1701"/>
      <c r="D179" s="732">
        <v>2279</v>
      </c>
      <c r="E179" s="565">
        <v>30000</v>
      </c>
      <c r="F179" s="565"/>
      <c r="G179" s="565">
        <f t="shared" si="41"/>
        <v>30000</v>
      </c>
      <c r="H179" s="565"/>
      <c r="I179" s="579" t="s">
        <v>540</v>
      </c>
      <c r="K179" s="729"/>
      <c r="L179" s="729"/>
    </row>
    <row r="180" spans="1:12" x14ac:dyDescent="0.2">
      <c r="A180" s="731">
        <v>24</v>
      </c>
      <c r="B180" s="1693" t="s">
        <v>756</v>
      </c>
      <c r="C180" s="1694"/>
      <c r="D180" s="730"/>
      <c r="E180" s="730">
        <f>SUM(E181)</f>
        <v>110000</v>
      </c>
      <c r="F180" s="730">
        <f t="shared" ref="F180:G180" si="42">SUM(F181)</f>
        <v>0</v>
      </c>
      <c r="G180" s="730">
        <f t="shared" si="42"/>
        <v>110000</v>
      </c>
      <c r="H180" s="730"/>
      <c r="I180" s="565"/>
      <c r="K180" s="729"/>
      <c r="L180" s="729"/>
    </row>
    <row r="181" spans="1:12" x14ac:dyDescent="0.2">
      <c r="A181" s="734" t="s">
        <v>757</v>
      </c>
      <c r="B181" s="1700" t="s">
        <v>758</v>
      </c>
      <c r="C181" s="1701"/>
      <c r="D181" s="732">
        <v>2279</v>
      </c>
      <c r="E181" s="565">
        <v>110000</v>
      </c>
      <c r="F181" s="565"/>
      <c r="G181" s="565">
        <f>E181+F181</f>
        <v>110000</v>
      </c>
      <c r="H181" s="565"/>
      <c r="I181" s="579" t="s">
        <v>540</v>
      </c>
      <c r="K181" s="729"/>
      <c r="L181" s="729"/>
    </row>
    <row r="182" spans="1:12" ht="39" customHeight="1" x14ac:dyDescent="0.2">
      <c r="A182" s="1697" t="s">
        <v>759</v>
      </c>
      <c r="B182" s="1698"/>
      <c r="C182" s="1699"/>
      <c r="D182" s="743"/>
      <c r="E182" s="743">
        <f>SUM(E183:E259)</f>
        <v>555455</v>
      </c>
      <c r="F182" s="743">
        <f>SUM(F183:F259)</f>
        <v>0</v>
      </c>
      <c r="G182" s="743">
        <f>SUM(G183:G259)</f>
        <v>555455</v>
      </c>
      <c r="H182" s="743"/>
      <c r="I182" s="565"/>
      <c r="K182" s="729"/>
      <c r="L182" s="729"/>
    </row>
    <row r="183" spans="1:12" x14ac:dyDescent="0.2">
      <c r="A183" s="734">
        <v>1</v>
      </c>
      <c r="B183" s="1700" t="s">
        <v>760</v>
      </c>
      <c r="C183" s="1701"/>
      <c r="D183" s="732">
        <v>2279</v>
      </c>
      <c r="E183" s="565">
        <v>140000</v>
      </c>
      <c r="F183" s="565"/>
      <c r="G183" s="565">
        <f t="shared" ref="G183:G246" si="43">E183+F183</f>
        <v>140000</v>
      </c>
      <c r="H183" s="565"/>
      <c r="I183" s="579" t="s">
        <v>761</v>
      </c>
      <c r="K183" s="729"/>
      <c r="L183" s="729"/>
    </row>
    <row r="184" spans="1:12" x14ac:dyDescent="0.2">
      <c r="A184" s="734">
        <v>2</v>
      </c>
      <c r="B184" s="1700" t="s">
        <v>762</v>
      </c>
      <c r="C184" s="1701"/>
      <c r="D184" s="732">
        <v>2279</v>
      </c>
      <c r="E184" s="565">
        <v>60000</v>
      </c>
      <c r="F184" s="565"/>
      <c r="G184" s="565">
        <f t="shared" si="43"/>
        <v>60000</v>
      </c>
      <c r="H184" s="565"/>
      <c r="I184" s="579" t="s">
        <v>761</v>
      </c>
      <c r="K184" s="729"/>
      <c r="L184" s="729"/>
    </row>
    <row r="185" spans="1:12" x14ac:dyDescent="0.2">
      <c r="A185" s="734">
        <v>3</v>
      </c>
      <c r="B185" s="1700" t="s">
        <v>763</v>
      </c>
      <c r="C185" s="1701"/>
      <c r="D185" s="732">
        <v>2279</v>
      </c>
      <c r="E185" s="565">
        <v>30000</v>
      </c>
      <c r="F185" s="565"/>
      <c r="G185" s="565">
        <f t="shared" si="43"/>
        <v>30000</v>
      </c>
      <c r="H185" s="565"/>
      <c r="I185" s="579" t="s">
        <v>761</v>
      </c>
      <c r="K185" s="729"/>
      <c r="L185" s="729"/>
    </row>
    <row r="186" spans="1:12" x14ac:dyDescent="0.2">
      <c r="A186" s="1695">
        <v>4</v>
      </c>
      <c r="B186" s="1684" t="s">
        <v>764</v>
      </c>
      <c r="C186" s="1685"/>
      <c r="D186" s="732">
        <v>2262</v>
      </c>
      <c r="E186" s="565">
        <v>1082</v>
      </c>
      <c r="F186" s="565"/>
      <c r="G186" s="565">
        <f t="shared" si="43"/>
        <v>1082</v>
      </c>
      <c r="H186" s="565"/>
      <c r="I186" s="1676" t="s">
        <v>761</v>
      </c>
      <c r="K186" s="729"/>
      <c r="L186" s="729"/>
    </row>
    <row r="187" spans="1:12" ht="12.75" customHeight="1" x14ac:dyDescent="0.2">
      <c r="A187" s="1695"/>
      <c r="B187" s="1686"/>
      <c r="C187" s="1687"/>
      <c r="D187" s="732">
        <v>2279</v>
      </c>
      <c r="E187" s="565">
        <v>3100</v>
      </c>
      <c r="F187" s="565"/>
      <c r="G187" s="565">
        <f t="shared" si="43"/>
        <v>3100</v>
      </c>
      <c r="H187" s="565"/>
      <c r="I187" s="1677"/>
      <c r="K187" s="729"/>
      <c r="L187" s="729"/>
    </row>
    <row r="188" spans="1:12" ht="12.75" customHeight="1" x14ac:dyDescent="0.2">
      <c r="A188" s="1695"/>
      <c r="B188" s="1688"/>
      <c r="C188" s="1689"/>
      <c r="D188" s="732">
        <v>2361</v>
      </c>
      <c r="E188" s="565">
        <v>1026</v>
      </c>
      <c r="F188" s="565"/>
      <c r="G188" s="565">
        <f t="shared" si="43"/>
        <v>1026</v>
      </c>
      <c r="H188" s="565"/>
      <c r="I188" s="1678"/>
      <c r="K188" s="729"/>
      <c r="L188" s="729"/>
    </row>
    <row r="189" spans="1:12" ht="12.75" customHeight="1" x14ac:dyDescent="0.2">
      <c r="A189" s="1681">
        <v>5</v>
      </c>
      <c r="B189" s="1684" t="s">
        <v>765</v>
      </c>
      <c r="C189" s="1685"/>
      <c r="D189" s="732">
        <v>2363</v>
      </c>
      <c r="E189" s="565">
        <f>7595-1000</f>
        <v>6595</v>
      </c>
      <c r="F189" s="565"/>
      <c r="G189" s="565">
        <f t="shared" si="43"/>
        <v>6595</v>
      </c>
      <c r="H189" s="565"/>
      <c r="I189" s="1676" t="s">
        <v>761</v>
      </c>
      <c r="K189" s="729"/>
      <c r="L189" s="729"/>
    </row>
    <row r="190" spans="1:12" ht="12.75" customHeight="1" x14ac:dyDescent="0.2">
      <c r="A190" s="1682"/>
      <c r="B190" s="1686"/>
      <c r="C190" s="1687"/>
      <c r="D190" s="732">
        <v>2247</v>
      </c>
      <c r="E190" s="565">
        <v>150</v>
      </c>
      <c r="F190" s="565"/>
      <c r="G190" s="565">
        <f t="shared" si="43"/>
        <v>150</v>
      </c>
      <c r="H190" s="565"/>
      <c r="I190" s="1677"/>
      <c r="K190" s="729"/>
      <c r="L190" s="729"/>
    </row>
    <row r="191" spans="1:12" ht="12.75" customHeight="1" x14ac:dyDescent="0.2">
      <c r="A191" s="1682"/>
      <c r="B191" s="1686"/>
      <c r="C191" s="1687"/>
      <c r="D191" s="732">
        <v>2261</v>
      </c>
      <c r="E191" s="565">
        <f>11000-1000</f>
        <v>10000</v>
      </c>
      <c r="F191" s="565"/>
      <c r="G191" s="565">
        <f t="shared" si="43"/>
        <v>10000</v>
      </c>
      <c r="H191" s="565"/>
      <c r="I191" s="1677"/>
      <c r="K191" s="729"/>
      <c r="L191" s="729"/>
    </row>
    <row r="192" spans="1:12" ht="12.75" customHeight="1" x14ac:dyDescent="0.2">
      <c r="A192" s="1682"/>
      <c r="B192" s="1686"/>
      <c r="C192" s="1687"/>
      <c r="D192" s="732">
        <v>2262</v>
      </c>
      <c r="E192" s="565">
        <f>6317-1000</f>
        <v>5317</v>
      </c>
      <c r="F192" s="565"/>
      <c r="G192" s="565">
        <f t="shared" si="43"/>
        <v>5317</v>
      </c>
      <c r="H192" s="565"/>
      <c r="I192" s="1677"/>
      <c r="K192" s="729"/>
      <c r="L192" s="729"/>
    </row>
    <row r="193" spans="1:12" ht="12.75" customHeight="1" x14ac:dyDescent="0.2">
      <c r="A193" s="1682"/>
      <c r="B193" s="1686"/>
      <c r="C193" s="1687"/>
      <c r="D193" s="732">
        <v>2322</v>
      </c>
      <c r="E193" s="565">
        <v>215</v>
      </c>
      <c r="F193" s="565"/>
      <c r="G193" s="565">
        <f t="shared" si="43"/>
        <v>215</v>
      </c>
      <c r="H193" s="565"/>
      <c r="I193" s="1677"/>
      <c r="K193" s="729"/>
      <c r="L193" s="729"/>
    </row>
    <row r="194" spans="1:12" x14ac:dyDescent="0.2">
      <c r="A194" s="1682"/>
      <c r="B194" s="1686"/>
      <c r="C194" s="1687"/>
      <c r="D194" s="732">
        <v>2361</v>
      </c>
      <c r="E194" s="565">
        <f>13688+3367</f>
        <v>17055</v>
      </c>
      <c r="F194" s="565"/>
      <c r="G194" s="565">
        <f t="shared" si="43"/>
        <v>17055</v>
      </c>
      <c r="H194" s="565"/>
      <c r="I194" s="1677"/>
      <c r="K194" s="729"/>
      <c r="L194" s="729"/>
    </row>
    <row r="195" spans="1:12" ht="12.75" customHeight="1" x14ac:dyDescent="0.2">
      <c r="A195" s="1682"/>
      <c r="B195" s="1686"/>
      <c r="C195" s="1687"/>
      <c r="D195" s="732">
        <v>2311</v>
      </c>
      <c r="E195" s="565">
        <v>28</v>
      </c>
      <c r="F195" s="565"/>
      <c r="G195" s="565">
        <f t="shared" si="43"/>
        <v>28</v>
      </c>
      <c r="H195" s="565"/>
      <c r="I195" s="1677"/>
      <c r="K195" s="729"/>
      <c r="L195" s="729"/>
    </row>
    <row r="196" spans="1:12" ht="12.75" customHeight="1" x14ac:dyDescent="0.2">
      <c r="A196" s="1683"/>
      <c r="B196" s="1688"/>
      <c r="C196" s="1689"/>
      <c r="D196" s="732">
        <v>2312</v>
      </c>
      <c r="E196" s="565">
        <v>250</v>
      </c>
      <c r="F196" s="565"/>
      <c r="G196" s="565">
        <f t="shared" si="43"/>
        <v>250</v>
      </c>
      <c r="H196" s="565"/>
      <c r="I196" s="1678"/>
      <c r="K196" s="729"/>
      <c r="L196" s="729"/>
    </row>
    <row r="197" spans="1:12" x14ac:dyDescent="0.2">
      <c r="A197" s="734">
        <v>6</v>
      </c>
      <c r="B197" s="1700" t="s">
        <v>766</v>
      </c>
      <c r="C197" s="1701"/>
      <c r="D197" s="732">
        <v>2279</v>
      </c>
      <c r="E197" s="565">
        <v>25000</v>
      </c>
      <c r="F197" s="565"/>
      <c r="G197" s="565">
        <f t="shared" si="43"/>
        <v>25000</v>
      </c>
      <c r="H197" s="565"/>
      <c r="I197" s="579" t="s">
        <v>761</v>
      </c>
      <c r="K197" s="729"/>
      <c r="L197" s="729"/>
    </row>
    <row r="198" spans="1:12" ht="25.5" customHeight="1" x14ac:dyDescent="0.2">
      <c r="A198" s="734">
        <v>7</v>
      </c>
      <c r="B198" s="1700" t="s">
        <v>767</v>
      </c>
      <c r="C198" s="1701"/>
      <c r="D198" s="732">
        <v>2279</v>
      </c>
      <c r="E198" s="565">
        <v>7300</v>
      </c>
      <c r="F198" s="565"/>
      <c r="G198" s="565">
        <f t="shared" si="43"/>
        <v>7300</v>
      </c>
      <c r="H198" s="565"/>
      <c r="I198" s="579" t="s">
        <v>761</v>
      </c>
      <c r="K198" s="729"/>
      <c r="L198" s="729"/>
    </row>
    <row r="199" spans="1:12" x14ac:dyDescent="0.2">
      <c r="A199" s="734">
        <v>8</v>
      </c>
      <c r="B199" s="1700" t="s">
        <v>768</v>
      </c>
      <c r="C199" s="1701"/>
      <c r="D199" s="732">
        <v>2279</v>
      </c>
      <c r="E199" s="565">
        <v>7300</v>
      </c>
      <c r="F199" s="565"/>
      <c r="G199" s="565">
        <f t="shared" si="43"/>
        <v>7300</v>
      </c>
      <c r="H199" s="565"/>
      <c r="I199" s="579" t="s">
        <v>761</v>
      </c>
      <c r="K199" s="729"/>
      <c r="L199" s="729"/>
    </row>
    <row r="200" spans="1:12" x14ac:dyDescent="0.2">
      <c r="A200" s="734">
        <v>9</v>
      </c>
      <c r="B200" s="1700" t="s">
        <v>769</v>
      </c>
      <c r="C200" s="1701"/>
      <c r="D200" s="732">
        <v>2279</v>
      </c>
      <c r="E200" s="565">
        <v>712</v>
      </c>
      <c r="F200" s="565"/>
      <c r="G200" s="565">
        <f t="shared" si="43"/>
        <v>712</v>
      </c>
      <c r="H200" s="565"/>
      <c r="I200" s="579" t="s">
        <v>761</v>
      </c>
      <c r="K200" s="729"/>
      <c r="L200" s="729"/>
    </row>
    <row r="201" spans="1:12" ht="22.5" customHeight="1" x14ac:dyDescent="0.2">
      <c r="A201" s="734">
        <v>10</v>
      </c>
      <c r="B201" s="1700" t="s">
        <v>770</v>
      </c>
      <c r="C201" s="1701"/>
      <c r="D201" s="732">
        <v>2279</v>
      </c>
      <c r="E201" s="565">
        <v>7300</v>
      </c>
      <c r="F201" s="565"/>
      <c r="G201" s="565">
        <f t="shared" si="43"/>
        <v>7300</v>
      </c>
      <c r="H201" s="565"/>
      <c r="I201" s="579" t="s">
        <v>761</v>
      </c>
      <c r="K201" s="729"/>
      <c r="L201" s="729"/>
    </row>
    <row r="202" spans="1:12" x14ac:dyDescent="0.2">
      <c r="A202" s="734">
        <v>11</v>
      </c>
      <c r="B202" s="1700" t="s">
        <v>771</v>
      </c>
      <c r="C202" s="1701"/>
      <c r="D202" s="732">
        <v>2279</v>
      </c>
      <c r="E202" s="565">
        <v>2000</v>
      </c>
      <c r="F202" s="565"/>
      <c r="G202" s="565">
        <f t="shared" si="43"/>
        <v>2000</v>
      </c>
      <c r="H202" s="565"/>
      <c r="I202" s="579" t="s">
        <v>761</v>
      </c>
      <c r="K202" s="729"/>
      <c r="L202" s="729"/>
    </row>
    <row r="203" spans="1:12" x14ac:dyDescent="0.2">
      <c r="A203" s="734">
        <v>12</v>
      </c>
      <c r="B203" s="1700" t="s">
        <v>772</v>
      </c>
      <c r="C203" s="1701"/>
      <c r="D203" s="732">
        <v>2279</v>
      </c>
      <c r="E203" s="565">
        <v>2000</v>
      </c>
      <c r="F203" s="565"/>
      <c r="G203" s="565">
        <f t="shared" si="43"/>
        <v>2000</v>
      </c>
      <c r="H203" s="565"/>
      <c r="I203" s="579" t="s">
        <v>761</v>
      </c>
      <c r="K203" s="729"/>
      <c r="L203" s="729"/>
    </row>
    <row r="204" spans="1:12" x14ac:dyDescent="0.2">
      <c r="A204" s="1695">
        <v>13</v>
      </c>
      <c r="B204" s="1684" t="s">
        <v>773</v>
      </c>
      <c r="C204" s="1685"/>
      <c r="D204" s="732">
        <v>2262</v>
      </c>
      <c r="E204" s="565">
        <v>641</v>
      </c>
      <c r="F204" s="565"/>
      <c r="G204" s="565">
        <f t="shared" si="43"/>
        <v>641</v>
      </c>
      <c r="H204" s="565"/>
      <c r="I204" s="1676" t="s">
        <v>761</v>
      </c>
      <c r="K204" s="729"/>
      <c r="L204" s="729"/>
    </row>
    <row r="205" spans="1:12" ht="12.75" customHeight="1" x14ac:dyDescent="0.2">
      <c r="A205" s="1695"/>
      <c r="B205" s="1686"/>
      <c r="C205" s="1687"/>
      <c r="D205" s="732">
        <v>2279</v>
      </c>
      <c r="E205" s="565">
        <v>700</v>
      </c>
      <c r="F205" s="565"/>
      <c r="G205" s="565">
        <f t="shared" si="43"/>
        <v>700</v>
      </c>
      <c r="H205" s="565"/>
      <c r="I205" s="1677"/>
      <c r="K205" s="729"/>
      <c r="L205" s="729"/>
    </row>
    <row r="206" spans="1:12" x14ac:dyDescent="0.2">
      <c r="A206" s="742">
        <v>14</v>
      </c>
      <c r="B206" s="1713" t="s">
        <v>774</v>
      </c>
      <c r="C206" s="1714"/>
      <c r="D206" s="732">
        <v>2361</v>
      </c>
      <c r="E206" s="565">
        <v>825</v>
      </c>
      <c r="F206" s="565"/>
      <c r="G206" s="565">
        <f t="shared" si="43"/>
        <v>825</v>
      </c>
      <c r="H206" s="565"/>
      <c r="I206" s="579" t="s">
        <v>761</v>
      </c>
      <c r="K206" s="729"/>
      <c r="L206" s="729"/>
    </row>
    <row r="207" spans="1:12" x14ac:dyDescent="0.2">
      <c r="A207" s="741">
        <v>15</v>
      </c>
      <c r="B207" s="1715" t="s">
        <v>775</v>
      </c>
      <c r="C207" s="1716"/>
      <c r="D207" s="732">
        <v>2279</v>
      </c>
      <c r="E207" s="565">
        <v>2704</v>
      </c>
      <c r="F207" s="565"/>
      <c r="G207" s="565">
        <f t="shared" si="43"/>
        <v>2704</v>
      </c>
      <c r="H207" s="565"/>
      <c r="I207" s="579" t="s">
        <v>761</v>
      </c>
      <c r="K207" s="729"/>
      <c r="L207" s="729"/>
    </row>
    <row r="208" spans="1:12" x14ac:dyDescent="0.2">
      <c r="A208" s="742">
        <v>16</v>
      </c>
      <c r="B208" s="1715" t="s">
        <v>776</v>
      </c>
      <c r="C208" s="1716"/>
      <c r="D208" s="732">
        <v>2279</v>
      </c>
      <c r="E208" s="565">
        <v>8500</v>
      </c>
      <c r="F208" s="565"/>
      <c r="G208" s="565">
        <f t="shared" si="43"/>
        <v>8500</v>
      </c>
      <c r="H208" s="565"/>
      <c r="I208" s="579" t="s">
        <v>761</v>
      </c>
      <c r="K208" s="729"/>
      <c r="L208" s="729"/>
    </row>
    <row r="209" spans="1:12" x14ac:dyDescent="0.2">
      <c r="A209" s="741">
        <v>17</v>
      </c>
      <c r="B209" s="1700" t="s">
        <v>777</v>
      </c>
      <c r="C209" s="1701"/>
      <c r="D209" s="732">
        <v>2279</v>
      </c>
      <c r="E209" s="565">
        <v>2000</v>
      </c>
      <c r="F209" s="565"/>
      <c r="G209" s="565">
        <f t="shared" si="43"/>
        <v>2000</v>
      </c>
      <c r="H209" s="565"/>
      <c r="I209" s="579" t="s">
        <v>761</v>
      </c>
      <c r="K209" s="729"/>
      <c r="L209" s="729"/>
    </row>
    <row r="210" spans="1:12" x14ac:dyDescent="0.2">
      <c r="A210" s="742">
        <v>18</v>
      </c>
      <c r="B210" s="1700" t="s">
        <v>778</v>
      </c>
      <c r="C210" s="1701"/>
      <c r="D210" s="732">
        <v>2279</v>
      </c>
      <c r="E210" s="565">
        <v>3819</v>
      </c>
      <c r="F210" s="565"/>
      <c r="G210" s="565">
        <f t="shared" si="43"/>
        <v>3819</v>
      </c>
      <c r="H210" s="565"/>
      <c r="I210" s="579" t="s">
        <v>761</v>
      </c>
      <c r="K210" s="729"/>
      <c r="L210" s="729"/>
    </row>
    <row r="211" spans="1:12" x14ac:dyDescent="0.2">
      <c r="A211" s="741">
        <v>19</v>
      </c>
      <c r="B211" s="1700" t="s">
        <v>779</v>
      </c>
      <c r="C211" s="1701"/>
      <c r="D211" s="732">
        <v>2279</v>
      </c>
      <c r="E211" s="565">
        <v>2000</v>
      </c>
      <c r="F211" s="565"/>
      <c r="G211" s="565">
        <f t="shared" si="43"/>
        <v>2000</v>
      </c>
      <c r="H211" s="565"/>
      <c r="I211" s="579" t="s">
        <v>761</v>
      </c>
      <c r="K211" s="729"/>
      <c r="L211" s="729"/>
    </row>
    <row r="212" spans="1:12" x14ac:dyDescent="0.2">
      <c r="A212" s="742">
        <v>20</v>
      </c>
      <c r="B212" s="1700" t="s">
        <v>780</v>
      </c>
      <c r="C212" s="1701"/>
      <c r="D212" s="732">
        <v>2279</v>
      </c>
      <c r="E212" s="565">
        <v>2481</v>
      </c>
      <c r="F212" s="565"/>
      <c r="G212" s="565">
        <f t="shared" si="43"/>
        <v>2481</v>
      </c>
      <c r="H212" s="565"/>
      <c r="I212" s="579" t="s">
        <v>761</v>
      </c>
      <c r="K212" s="729"/>
      <c r="L212" s="729"/>
    </row>
    <row r="213" spans="1:12" ht="23.25" customHeight="1" x14ac:dyDescent="0.2">
      <c r="A213" s="741">
        <v>21</v>
      </c>
      <c r="B213" s="1700" t="s">
        <v>781</v>
      </c>
      <c r="C213" s="1701"/>
      <c r="D213" s="732">
        <v>2279</v>
      </c>
      <c r="E213" s="565">
        <v>10000</v>
      </c>
      <c r="F213" s="565"/>
      <c r="G213" s="565">
        <f t="shared" si="43"/>
        <v>10000</v>
      </c>
      <c r="H213" s="565"/>
      <c r="I213" s="579" t="s">
        <v>761</v>
      </c>
      <c r="K213" s="729"/>
      <c r="L213" s="729"/>
    </row>
    <row r="214" spans="1:12" x14ac:dyDescent="0.2">
      <c r="A214" s="742">
        <v>22</v>
      </c>
      <c r="B214" s="1700" t="s">
        <v>782</v>
      </c>
      <c r="C214" s="1701"/>
      <c r="D214" s="732">
        <v>2279</v>
      </c>
      <c r="E214" s="565">
        <v>5400</v>
      </c>
      <c r="F214" s="565"/>
      <c r="G214" s="565">
        <f t="shared" si="43"/>
        <v>5400</v>
      </c>
      <c r="H214" s="565"/>
      <c r="I214" s="579" t="s">
        <v>761</v>
      </c>
      <c r="K214" s="729"/>
      <c r="L214" s="729"/>
    </row>
    <row r="215" spans="1:12" x14ac:dyDescent="0.2">
      <c r="A215" s="741">
        <v>23</v>
      </c>
      <c r="B215" s="1700" t="s">
        <v>783</v>
      </c>
      <c r="C215" s="1701"/>
      <c r="D215" s="732">
        <v>2279</v>
      </c>
      <c r="E215" s="565">
        <v>2419</v>
      </c>
      <c r="F215" s="565"/>
      <c r="G215" s="565">
        <f t="shared" si="43"/>
        <v>2419</v>
      </c>
      <c r="H215" s="565"/>
      <c r="I215" s="579" t="s">
        <v>761</v>
      </c>
      <c r="K215" s="729"/>
      <c r="L215" s="729"/>
    </row>
    <row r="216" spans="1:12" x14ac:dyDescent="0.2">
      <c r="A216" s="742">
        <v>24</v>
      </c>
      <c r="B216" s="1700" t="s">
        <v>784</v>
      </c>
      <c r="C216" s="1701"/>
      <c r="D216" s="732">
        <v>2279</v>
      </c>
      <c r="E216" s="565">
        <v>5000</v>
      </c>
      <c r="F216" s="565"/>
      <c r="G216" s="565">
        <f t="shared" si="43"/>
        <v>5000</v>
      </c>
      <c r="H216" s="565"/>
      <c r="I216" s="579" t="s">
        <v>761</v>
      </c>
      <c r="K216" s="729"/>
      <c r="L216" s="729"/>
    </row>
    <row r="217" spans="1:12" ht="12.75" customHeight="1" x14ac:dyDescent="0.2">
      <c r="A217" s="741">
        <v>25</v>
      </c>
      <c r="B217" s="1700" t="s">
        <v>785</v>
      </c>
      <c r="C217" s="1701"/>
      <c r="D217" s="732">
        <v>2279</v>
      </c>
      <c r="E217" s="565">
        <v>1000</v>
      </c>
      <c r="F217" s="565"/>
      <c r="G217" s="565">
        <f t="shared" si="43"/>
        <v>1000</v>
      </c>
      <c r="H217" s="565"/>
      <c r="I217" s="579" t="s">
        <v>761</v>
      </c>
      <c r="K217" s="729"/>
      <c r="L217" s="729"/>
    </row>
    <row r="218" spans="1:12" x14ac:dyDescent="0.2">
      <c r="A218" s="742">
        <v>26</v>
      </c>
      <c r="B218" s="1700" t="s">
        <v>786</v>
      </c>
      <c r="C218" s="1701"/>
      <c r="D218" s="732">
        <v>2279</v>
      </c>
      <c r="E218" s="565">
        <v>2846</v>
      </c>
      <c r="F218" s="565"/>
      <c r="G218" s="565">
        <f t="shared" si="43"/>
        <v>2846</v>
      </c>
      <c r="H218" s="565"/>
      <c r="I218" s="579" t="s">
        <v>761</v>
      </c>
      <c r="K218" s="729"/>
      <c r="L218" s="729"/>
    </row>
    <row r="219" spans="1:12" x14ac:dyDescent="0.2">
      <c r="A219" s="741">
        <v>27</v>
      </c>
      <c r="B219" s="1700" t="s">
        <v>787</v>
      </c>
      <c r="C219" s="1701"/>
      <c r="D219" s="732">
        <v>2279</v>
      </c>
      <c r="E219" s="565">
        <v>750</v>
      </c>
      <c r="F219" s="565"/>
      <c r="G219" s="565">
        <f t="shared" si="43"/>
        <v>750</v>
      </c>
      <c r="H219" s="565"/>
      <c r="I219" s="579" t="s">
        <v>761</v>
      </c>
      <c r="K219" s="729"/>
      <c r="L219" s="729"/>
    </row>
    <row r="220" spans="1:12" x14ac:dyDescent="0.2">
      <c r="A220" s="742">
        <v>28</v>
      </c>
      <c r="B220" s="1713" t="s">
        <v>788</v>
      </c>
      <c r="C220" s="1714"/>
      <c r="D220" s="732">
        <v>2279</v>
      </c>
      <c r="E220" s="565">
        <v>1055</v>
      </c>
      <c r="F220" s="565"/>
      <c r="G220" s="565">
        <f t="shared" si="43"/>
        <v>1055</v>
      </c>
      <c r="H220" s="565"/>
      <c r="I220" s="579" t="s">
        <v>761</v>
      </c>
      <c r="K220" s="729"/>
      <c r="L220" s="729"/>
    </row>
    <row r="221" spans="1:12" ht="12.75" customHeight="1" x14ac:dyDescent="0.2">
      <c r="A221" s="741">
        <v>29</v>
      </c>
      <c r="B221" s="1713" t="s">
        <v>789</v>
      </c>
      <c r="C221" s="1714"/>
      <c r="D221" s="732">
        <v>2279</v>
      </c>
      <c r="E221" s="565">
        <v>2000</v>
      </c>
      <c r="F221" s="565"/>
      <c r="G221" s="565">
        <f t="shared" si="43"/>
        <v>2000</v>
      </c>
      <c r="H221" s="565"/>
      <c r="I221" s="579" t="s">
        <v>761</v>
      </c>
      <c r="K221" s="729"/>
      <c r="L221" s="729"/>
    </row>
    <row r="222" spans="1:12" ht="12.75" customHeight="1" x14ac:dyDescent="0.2">
      <c r="A222" s="742">
        <v>30</v>
      </c>
      <c r="B222" s="1713" t="s">
        <v>790</v>
      </c>
      <c r="C222" s="1714"/>
      <c r="D222" s="732">
        <v>2279</v>
      </c>
      <c r="E222" s="565">
        <v>2000</v>
      </c>
      <c r="F222" s="565"/>
      <c r="G222" s="565">
        <f t="shared" si="43"/>
        <v>2000</v>
      </c>
      <c r="H222" s="565"/>
      <c r="I222" s="579" t="s">
        <v>761</v>
      </c>
      <c r="K222" s="729"/>
      <c r="L222" s="729"/>
    </row>
    <row r="223" spans="1:12" x14ac:dyDescent="0.2">
      <c r="A223" s="741">
        <v>31</v>
      </c>
      <c r="B223" s="1700" t="s">
        <v>791</v>
      </c>
      <c r="C223" s="1701"/>
      <c r="D223" s="732">
        <v>2279</v>
      </c>
      <c r="E223" s="565">
        <v>2925</v>
      </c>
      <c r="F223" s="565"/>
      <c r="G223" s="565">
        <f t="shared" si="43"/>
        <v>2925</v>
      </c>
      <c r="H223" s="565"/>
      <c r="I223" s="579" t="s">
        <v>761</v>
      </c>
      <c r="K223" s="729"/>
      <c r="L223" s="729"/>
    </row>
    <row r="224" spans="1:12" ht="12.75" customHeight="1" x14ac:dyDescent="0.2">
      <c r="A224" s="742">
        <v>32</v>
      </c>
      <c r="B224" s="1700" t="s">
        <v>792</v>
      </c>
      <c r="C224" s="1701"/>
      <c r="D224" s="732">
        <v>2279</v>
      </c>
      <c r="E224" s="565">
        <v>167</v>
      </c>
      <c r="F224" s="565"/>
      <c r="G224" s="565">
        <f t="shared" si="43"/>
        <v>167</v>
      </c>
      <c r="H224" s="565"/>
      <c r="I224" s="579" t="s">
        <v>761</v>
      </c>
      <c r="K224" s="729"/>
      <c r="L224" s="729"/>
    </row>
    <row r="225" spans="1:12" x14ac:dyDescent="0.2">
      <c r="A225" s="741">
        <v>33</v>
      </c>
      <c r="B225" s="1713" t="s">
        <v>793</v>
      </c>
      <c r="C225" s="1714"/>
      <c r="D225" s="732">
        <v>2279</v>
      </c>
      <c r="E225" s="565">
        <v>2100</v>
      </c>
      <c r="F225" s="565"/>
      <c r="G225" s="565">
        <f t="shared" si="43"/>
        <v>2100</v>
      </c>
      <c r="H225" s="565"/>
      <c r="I225" s="579" t="s">
        <v>761</v>
      </c>
      <c r="K225" s="729"/>
      <c r="L225" s="729"/>
    </row>
    <row r="226" spans="1:12" ht="12.75" customHeight="1" x14ac:dyDescent="0.2">
      <c r="A226" s="742">
        <v>34</v>
      </c>
      <c r="B226" s="1713" t="s">
        <v>794</v>
      </c>
      <c r="C226" s="1714"/>
      <c r="D226" s="732">
        <v>2279</v>
      </c>
      <c r="E226" s="565">
        <v>3000</v>
      </c>
      <c r="F226" s="565"/>
      <c r="G226" s="565">
        <f t="shared" si="43"/>
        <v>3000</v>
      </c>
      <c r="H226" s="565"/>
      <c r="I226" s="579" t="s">
        <v>761</v>
      </c>
      <c r="K226" s="729"/>
      <c r="L226" s="729"/>
    </row>
    <row r="227" spans="1:12" x14ac:dyDescent="0.2">
      <c r="A227" s="741">
        <v>35</v>
      </c>
      <c r="B227" s="1700" t="s">
        <v>795</v>
      </c>
      <c r="C227" s="1701"/>
      <c r="D227" s="732">
        <v>2279</v>
      </c>
      <c r="E227" s="565">
        <v>1423</v>
      </c>
      <c r="F227" s="565"/>
      <c r="G227" s="565">
        <f t="shared" si="43"/>
        <v>1423</v>
      </c>
      <c r="H227" s="565"/>
      <c r="I227" s="579" t="s">
        <v>761</v>
      </c>
      <c r="K227" s="729"/>
      <c r="L227" s="729"/>
    </row>
    <row r="228" spans="1:12" x14ac:dyDescent="0.2">
      <c r="A228" s="742">
        <v>36</v>
      </c>
      <c r="B228" s="1700" t="s">
        <v>796</v>
      </c>
      <c r="C228" s="1701"/>
      <c r="D228" s="732">
        <v>2279</v>
      </c>
      <c r="E228" s="565">
        <v>2982</v>
      </c>
      <c r="F228" s="565"/>
      <c r="G228" s="565">
        <f t="shared" si="43"/>
        <v>2982</v>
      </c>
      <c r="H228" s="565"/>
      <c r="I228" s="579" t="s">
        <v>761</v>
      </c>
      <c r="K228" s="729"/>
      <c r="L228" s="729"/>
    </row>
    <row r="229" spans="1:12" x14ac:dyDescent="0.2">
      <c r="A229" s="741">
        <v>37</v>
      </c>
      <c r="B229" s="1713" t="s">
        <v>797</v>
      </c>
      <c r="C229" s="1714"/>
      <c r="D229" s="732">
        <v>2279</v>
      </c>
      <c r="E229" s="565">
        <v>0</v>
      </c>
      <c r="F229" s="565"/>
      <c r="G229" s="565">
        <f t="shared" si="43"/>
        <v>0</v>
      </c>
      <c r="H229" s="565"/>
      <c r="I229" s="579" t="s">
        <v>761</v>
      </c>
      <c r="K229" s="729"/>
      <c r="L229" s="729"/>
    </row>
    <row r="230" spans="1:12" x14ac:dyDescent="0.2">
      <c r="A230" s="742">
        <v>38</v>
      </c>
      <c r="B230" s="1713" t="s">
        <v>798</v>
      </c>
      <c r="C230" s="1714"/>
      <c r="D230" s="732">
        <v>2279</v>
      </c>
      <c r="E230" s="565">
        <v>3700</v>
      </c>
      <c r="F230" s="565"/>
      <c r="G230" s="565">
        <f t="shared" si="43"/>
        <v>3700</v>
      </c>
      <c r="H230" s="565"/>
      <c r="I230" s="579" t="s">
        <v>761</v>
      </c>
      <c r="K230" s="729"/>
      <c r="L230" s="729"/>
    </row>
    <row r="231" spans="1:12" x14ac:dyDescent="0.2">
      <c r="A231" s="741">
        <v>39</v>
      </c>
      <c r="B231" s="1700" t="s">
        <v>799</v>
      </c>
      <c r="C231" s="1701"/>
      <c r="D231" s="732">
        <v>2279</v>
      </c>
      <c r="E231" s="565">
        <v>3000</v>
      </c>
      <c r="F231" s="565"/>
      <c r="G231" s="565">
        <f t="shared" si="43"/>
        <v>3000</v>
      </c>
      <c r="H231" s="565"/>
      <c r="I231" s="579" t="s">
        <v>761</v>
      </c>
      <c r="K231" s="729"/>
      <c r="L231" s="729"/>
    </row>
    <row r="232" spans="1:12" x14ac:dyDescent="0.2">
      <c r="A232" s="742">
        <v>40</v>
      </c>
      <c r="B232" s="1713" t="s">
        <v>800</v>
      </c>
      <c r="C232" s="1714"/>
      <c r="D232" s="732">
        <v>2279</v>
      </c>
      <c r="E232" s="565">
        <v>3000</v>
      </c>
      <c r="F232" s="565"/>
      <c r="G232" s="565">
        <f t="shared" si="43"/>
        <v>3000</v>
      </c>
      <c r="H232" s="565"/>
      <c r="I232" s="579" t="s">
        <v>761</v>
      </c>
      <c r="K232" s="729"/>
      <c r="L232" s="729"/>
    </row>
    <row r="233" spans="1:12" x14ac:dyDescent="0.2">
      <c r="A233" s="741">
        <v>41</v>
      </c>
      <c r="B233" s="1700" t="s">
        <v>801</v>
      </c>
      <c r="C233" s="1701"/>
      <c r="D233" s="732">
        <v>2279</v>
      </c>
      <c r="E233" s="565">
        <v>4269</v>
      </c>
      <c r="F233" s="565"/>
      <c r="G233" s="565">
        <f t="shared" si="43"/>
        <v>4269</v>
      </c>
      <c r="H233" s="565"/>
      <c r="I233" s="579" t="s">
        <v>761</v>
      </c>
      <c r="K233" s="729"/>
      <c r="L233" s="729"/>
    </row>
    <row r="234" spans="1:12" x14ac:dyDescent="0.2">
      <c r="A234" s="742">
        <v>42</v>
      </c>
      <c r="B234" s="1713" t="s">
        <v>802</v>
      </c>
      <c r="C234" s="1714"/>
      <c r="D234" s="732">
        <v>2279</v>
      </c>
      <c r="E234" s="565">
        <v>25000</v>
      </c>
      <c r="F234" s="565"/>
      <c r="G234" s="565">
        <f t="shared" si="43"/>
        <v>25000</v>
      </c>
      <c r="H234" s="565"/>
      <c r="I234" s="579" t="s">
        <v>761</v>
      </c>
      <c r="K234" s="729"/>
      <c r="L234" s="729"/>
    </row>
    <row r="235" spans="1:12" x14ac:dyDescent="0.2">
      <c r="A235" s="741">
        <v>43</v>
      </c>
      <c r="B235" s="1700" t="s">
        <v>803</v>
      </c>
      <c r="C235" s="1701"/>
      <c r="D235" s="732">
        <v>2279</v>
      </c>
      <c r="E235" s="565">
        <v>3819</v>
      </c>
      <c r="F235" s="565"/>
      <c r="G235" s="565">
        <f t="shared" si="43"/>
        <v>3819</v>
      </c>
      <c r="H235" s="565"/>
      <c r="I235" s="579" t="s">
        <v>761</v>
      </c>
      <c r="K235" s="729"/>
      <c r="L235" s="729"/>
    </row>
    <row r="236" spans="1:12" x14ac:dyDescent="0.2">
      <c r="A236" s="742">
        <v>44</v>
      </c>
      <c r="B236" s="1700" t="s">
        <v>804</v>
      </c>
      <c r="C236" s="1701"/>
      <c r="D236" s="732">
        <v>2279</v>
      </c>
      <c r="E236" s="565">
        <v>3140</v>
      </c>
      <c r="F236" s="565"/>
      <c r="G236" s="565">
        <f t="shared" si="43"/>
        <v>3140</v>
      </c>
      <c r="H236" s="565"/>
      <c r="I236" s="579" t="s">
        <v>761</v>
      </c>
      <c r="K236" s="729"/>
      <c r="L236" s="729"/>
    </row>
    <row r="237" spans="1:12" ht="11.25" customHeight="1" x14ac:dyDescent="0.2">
      <c r="A237" s="741">
        <v>45</v>
      </c>
      <c r="B237" s="1713" t="s">
        <v>805</v>
      </c>
      <c r="C237" s="1714"/>
      <c r="D237" s="732">
        <v>2279</v>
      </c>
      <c r="E237" s="565">
        <v>4301</v>
      </c>
      <c r="F237" s="565"/>
      <c r="G237" s="744">
        <f t="shared" si="43"/>
        <v>4301</v>
      </c>
      <c r="H237" s="565"/>
      <c r="I237" s="745" t="s">
        <v>761</v>
      </c>
      <c r="K237" s="729"/>
      <c r="L237" s="729"/>
    </row>
    <row r="238" spans="1:12" x14ac:dyDescent="0.2">
      <c r="A238" s="742">
        <v>46</v>
      </c>
      <c r="B238" s="1713" t="s">
        <v>806</v>
      </c>
      <c r="C238" s="1714"/>
      <c r="D238" s="732">
        <v>2279</v>
      </c>
      <c r="E238" s="565">
        <v>6980</v>
      </c>
      <c r="F238" s="565"/>
      <c r="G238" s="565">
        <f t="shared" si="43"/>
        <v>6980</v>
      </c>
      <c r="H238" s="565"/>
      <c r="I238" s="579" t="s">
        <v>761</v>
      </c>
      <c r="K238" s="729"/>
      <c r="L238" s="729"/>
    </row>
    <row r="239" spans="1:12" x14ac:dyDescent="0.2">
      <c r="A239" s="741">
        <v>47</v>
      </c>
      <c r="B239" s="1700" t="s">
        <v>807</v>
      </c>
      <c r="C239" s="1701"/>
      <c r="D239" s="732">
        <v>2279</v>
      </c>
      <c r="E239" s="565">
        <v>0</v>
      </c>
      <c r="F239" s="565"/>
      <c r="G239" s="565">
        <f t="shared" si="43"/>
        <v>0</v>
      </c>
      <c r="H239" s="565"/>
      <c r="I239" s="579" t="s">
        <v>761</v>
      </c>
      <c r="K239" s="729"/>
      <c r="L239" s="729"/>
    </row>
    <row r="240" spans="1:12" x14ac:dyDescent="0.2">
      <c r="A240" s="742">
        <v>48</v>
      </c>
      <c r="B240" s="1700" t="s">
        <v>808</v>
      </c>
      <c r="C240" s="1701"/>
      <c r="D240" s="732">
        <v>2279</v>
      </c>
      <c r="E240" s="565">
        <v>2846</v>
      </c>
      <c r="F240" s="565"/>
      <c r="G240" s="565">
        <f t="shared" si="43"/>
        <v>2846</v>
      </c>
      <c r="H240" s="565"/>
      <c r="I240" s="579" t="s">
        <v>761</v>
      </c>
      <c r="K240" s="729"/>
      <c r="L240" s="729"/>
    </row>
    <row r="241" spans="1:12" x14ac:dyDescent="0.2">
      <c r="A241" s="741">
        <v>49</v>
      </c>
      <c r="B241" s="1713" t="s">
        <v>809</v>
      </c>
      <c r="C241" s="1714"/>
      <c r="D241" s="732">
        <v>2279</v>
      </c>
      <c r="E241" s="565">
        <v>1423</v>
      </c>
      <c r="F241" s="565"/>
      <c r="G241" s="565">
        <f t="shared" si="43"/>
        <v>1423</v>
      </c>
      <c r="H241" s="565"/>
      <c r="I241" s="579" t="s">
        <v>761</v>
      </c>
      <c r="K241" s="729"/>
      <c r="L241" s="729"/>
    </row>
    <row r="242" spans="1:12" x14ac:dyDescent="0.2">
      <c r="A242" s="742">
        <v>50</v>
      </c>
      <c r="B242" s="1713" t="s">
        <v>810</v>
      </c>
      <c r="C242" s="1714"/>
      <c r="D242" s="732">
        <v>2279</v>
      </c>
      <c r="E242" s="565">
        <v>800</v>
      </c>
      <c r="F242" s="565"/>
      <c r="G242" s="565">
        <f t="shared" si="43"/>
        <v>800</v>
      </c>
      <c r="H242" s="565"/>
      <c r="I242" s="579" t="s">
        <v>761</v>
      </c>
      <c r="K242" s="729"/>
      <c r="L242" s="729"/>
    </row>
    <row r="243" spans="1:12" x14ac:dyDescent="0.2">
      <c r="A243" s="741">
        <v>51</v>
      </c>
      <c r="B243" s="1700" t="s">
        <v>811</v>
      </c>
      <c r="C243" s="1701"/>
      <c r="D243" s="732">
        <v>2279</v>
      </c>
      <c r="E243" s="565">
        <v>3100</v>
      </c>
      <c r="F243" s="565"/>
      <c r="G243" s="565">
        <f t="shared" si="43"/>
        <v>3100</v>
      </c>
      <c r="H243" s="565"/>
      <c r="I243" s="579" t="s">
        <v>761</v>
      </c>
      <c r="K243" s="729"/>
      <c r="L243" s="729"/>
    </row>
    <row r="244" spans="1:12" ht="22.5" customHeight="1" x14ac:dyDescent="0.2">
      <c r="A244" s="742">
        <v>52</v>
      </c>
      <c r="B244" s="1700" t="s">
        <v>812</v>
      </c>
      <c r="C244" s="1701"/>
      <c r="D244" s="732">
        <v>2279</v>
      </c>
      <c r="E244" s="565">
        <v>2000</v>
      </c>
      <c r="F244" s="565"/>
      <c r="G244" s="565">
        <f t="shared" si="43"/>
        <v>2000</v>
      </c>
      <c r="H244" s="565"/>
      <c r="I244" s="579" t="s">
        <v>761</v>
      </c>
      <c r="K244" s="729"/>
      <c r="L244" s="729"/>
    </row>
    <row r="245" spans="1:12" x14ac:dyDescent="0.2">
      <c r="A245" s="741">
        <v>53</v>
      </c>
      <c r="B245" s="1700" t="s">
        <v>813</v>
      </c>
      <c r="C245" s="1701"/>
      <c r="D245" s="732">
        <v>2279</v>
      </c>
      <c r="E245" s="565">
        <v>200</v>
      </c>
      <c r="F245" s="565"/>
      <c r="G245" s="565">
        <f t="shared" si="43"/>
        <v>200</v>
      </c>
      <c r="H245" s="565"/>
      <c r="I245" s="579" t="s">
        <v>761</v>
      </c>
      <c r="K245" s="729"/>
      <c r="L245" s="729"/>
    </row>
    <row r="246" spans="1:12" x14ac:dyDescent="0.2">
      <c r="A246" s="1705">
        <v>54</v>
      </c>
      <c r="B246" s="1684" t="s">
        <v>814</v>
      </c>
      <c r="C246" s="1685"/>
      <c r="D246" s="732">
        <v>2279</v>
      </c>
      <c r="E246" s="565">
        <v>557</v>
      </c>
      <c r="F246" s="565"/>
      <c r="G246" s="565">
        <f t="shared" si="43"/>
        <v>557</v>
      </c>
      <c r="H246" s="565"/>
      <c r="I246" s="579" t="s">
        <v>815</v>
      </c>
      <c r="K246" s="729"/>
      <c r="L246" s="729"/>
    </row>
    <row r="247" spans="1:12" ht="12.75" customHeight="1" x14ac:dyDescent="0.2">
      <c r="A247" s="1705"/>
      <c r="B247" s="1688"/>
      <c r="C247" s="1689"/>
      <c r="D247" s="732">
        <v>2361</v>
      </c>
      <c r="E247" s="565">
        <v>407</v>
      </c>
      <c r="F247" s="565"/>
      <c r="G247" s="565">
        <f t="shared" ref="G247:G259" si="44">E247+F247</f>
        <v>407</v>
      </c>
      <c r="H247" s="565"/>
      <c r="I247" s="579" t="s">
        <v>816</v>
      </c>
      <c r="K247" s="729"/>
      <c r="L247" s="729"/>
    </row>
    <row r="248" spans="1:12" ht="12.75" customHeight="1" x14ac:dyDescent="0.2">
      <c r="A248" s="734">
        <v>55</v>
      </c>
      <c r="B248" s="1700" t="s">
        <v>817</v>
      </c>
      <c r="C248" s="1701"/>
      <c r="D248" s="732">
        <v>2279</v>
      </c>
      <c r="E248" s="565">
        <v>1500</v>
      </c>
      <c r="F248" s="565"/>
      <c r="G248" s="565">
        <f t="shared" si="44"/>
        <v>1500</v>
      </c>
      <c r="H248" s="565"/>
      <c r="I248" s="579" t="s">
        <v>761</v>
      </c>
      <c r="K248" s="729"/>
      <c r="L248" s="729"/>
    </row>
    <row r="249" spans="1:12" ht="12.75" customHeight="1" x14ac:dyDescent="0.2">
      <c r="A249" s="734">
        <v>56</v>
      </c>
      <c r="B249" s="1700" t="s">
        <v>818</v>
      </c>
      <c r="C249" s="1701"/>
      <c r="D249" s="732">
        <v>2279</v>
      </c>
      <c r="E249" s="565">
        <v>2000</v>
      </c>
      <c r="F249" s="565"/>
      <c r="G249" s="565">
        <f t="shared" si="44"/>
        <v>2000</v>
      </c>
      <c r="H249" s="565"/>
      <c r="I249" s="579" t="s">
        <v>761</v>
      </c>
      <c r="K249" s="729"/>
      <c r="L249" s="729"/>
    </row>
    <row r="250" spans="1:12" ht="12.75" customHeight="1" x14ac:dyDescent="0.2">
      <c r="A250" s="734">
        <v>57</v>
      </c>
      <c r="B250" s="1700" t="s">
        <v>819</v>
      </c>
      <c r="C250" s="1701"/>
      <c r="D250" s="732">
        <v>2279</v>
      </c>
      <c r="E250" s="565">
        <v>1397</v>
      </c>
      <c r="F250" s="565"/>
      <c r="G250" s="565">
        <f t="shared" si="44"/>
        <v>1397</v>
      </c>
      <c r="H250" s="565"/>
      <c r="I250" s="579" t="s">
        <v>761</v>
      </c>
      <c r="K250" s="729"/>
      <c r="L250" s="729"/>
    </row>
    <row r="251" spans="1:12" ht="15.75" customHeight="1" x14ac:dyDescent="0.2">
      <c r="A251" s="734">
        <v>58</v>
      </c>
      <c r="B251" s="1700" t="s">
        <v>820</v>
      </c>
      <c r="C251" s="1701"/>
      <c r="D251" s="732">
        <v>2279</v>
      </c>
      <c r="E251" s="565">
        <v>2500</v>
      </c>
      <c r="F251" s="565"/>
      <c r="G251" s="565">
        <f t="shared" si="44"/>
        <v>2500</v>
      </c>
      <c r="H251" s="565"/>
      <c r="I251" s="579" t="s">
        <v>761</v>
      </c>
      <c r="K251" s="729"/>
      <c r="L251" s="729"/>
    </row>
    <row r="252" spans="1:12" ht="48.75" customHeight="1" x14ac:dyDescent="0.2">
      <c r="A252" s="734">
        <v>59</v>
      </c>
      <c r="B252" s="1700" t="s">
        <v>821</v>
      </c>
      <c r="C252" s="1701"/>
      <c r="D252" s="732">
        <v>6422</v>
      </c>
      <c r="E252" s="565">
        <f>40000+25033</f>
        <v>65033</v>
      </c>
      <c r="F252" s="565"/>
      <c r="G252" s="565">
        <f t="shared" si="44"/>
        <v>65033</v>
      </c>
      <c r="H252" s="565"/>
      <c r="I252" s="565"/>
      <c r="K252" s="729"/>
      <c r="L252" s="729"/>
    </row>
    <row r="253" spans="1:12" ht="15.75" customHeight="1" x14ac:dyDescent="0.2">
      <c r="A253" s="734">
        <v>60</v>
      </c>
      <c r="B253" s="1700" t="s">
        <v>822</v>
      </c>
      <c r="C253" s="1701"/>
      <c r="D253" s="732">
        <v>2279</v>
      </c>
      <c r="E253" s="565">
        <v>3083</v>
      </c>
      <c r="F253" s="565"/>
      <c r="G253" s="565">
        <f t="shared" si="44"/>
        <v>3083</v>
      </c>
      <c r="H253" s="565"/>
      <c r="I253" s="579" t="s">
        <v>761</v>
      </c>
      <c r="K253" s="729"/>
      <c r="L253" s="729"/>
    </row>
    <row r="254" spans="1:12" x14ac:dyDescent="0.2">
      <c r="A254" s="734">
        <v>61</v>
      </c>
      <c r="B254" s="1700" t="s">
        <v>823</v>
      </c>
      <c r="C254" s="1701"/>
      <c r="D254" s="732">
        <v>2279</v>
      </c>
      <c r="E254" s="565">
        <v>3600</v>
      </c>
      <c r="F254" s="565"/>
      <c r="G254" s="565">
        <f t="shared" si="44"/>
        <v>3600</v>
      </c>
      <c r="H254" s="565"/>
      <c r="I254" s="579" t="s">
        <v>761</v>
      </c>
      <c r="K254" s="729"/>
      <c r="L254" s="729"/>
    </row>
    <row r="255" spans="1:12" ht="12.75" customHeight="1" x14ac:dyDescent="0.2">
      <c r="A255" s="734">
        <v>62</v>
      </c>
      <c r="B255" s="1700" t="s">
        <v>824</v>
      </c>
      <c r="C255" s="1701"/>
      <c r="D255" s="732">
        <v>2279</v>
      </c>
      <c r="E255" s="565">
        <v>750</v>
      </c>
      <c r="F255" s="565"/>
      <c r="G255" s="565">
        <f t="shared" si="44"/>
        <v>750</v>
      </c>
      <c r="H255" s="565"/>
      <c r="I255" s="579" t="s">
        <v>761</v>
      </c>
      <c r="K255" s="729"/>
      <c r="L255" s="729"/>
    </row>
    <row r="256" spans="1:12" x14ac:dyDescent="0.2">
      <c r="A256" s="734">
        <v>63</v>
      </c>
      <c r="B256" s="1700" t="s">
        <v>825</v>
      </c>
      <c r="C256" s="1701"/>
      <c r="D256" s="732">
        <v>2279</v>
      </c>
      <c r="E256" s="565">
        <v>2000</v>
      </c>
      <c r="F256" s="565"/>
      <c r="G256" s="565">
        <f t="shared" si="44"/>
        <v>2000</v>
      </c>
      <c r="H256" s="565"/>
      <c r="I256" s="579" t="s">
        <v>761</v>
      </c>
      <c r="K256" s="729"/>
      <c r="L256" s="729"/>
    </row>
    <row r="257" spans="1:12" ht="26.25" customHeight="1" x14ac:dyDescent="0.2">
      <c r="A257" s="734">
        <v>64</v>
      </c>
      <c r="B257" s="1700" t="s">
        <v>826</v>
      </c>
      <c r="C257" s="1701"/>
      <c r="D257" s="732">
        <v>2279</v>
      </c>
      <c r="E257" s="565">
        <v>4210</v>
      </c>
      <c r="F257" s="565"/>
      <c r="G257" s="565">
        <f t="shared" si="44"/>
        <v>4210</v>
      </c>
      <c r="H257" s="565"/>
      <c r="I257" s="579" t="s">
        <v>540</v>
      </c>
      <c r="K257" s="729"/>
      <c r="L257" s="729"/>
    </row>
    <row r="258" spans="1:12" x14ac:dyDescent="0.2">
      <c r="A258" s="734">
        <v>65</v>
      </c>
      <c r="B258" s="1700" t="s">
        <v>827</v>
      </c>
      <c r="C258" s="1701"/>
      <c r="D258" s="732">
        <v>2279</v>
      </c>
      <c r="E258" s="565">
        <v>3493</v>
      </c>
      <c r="F258" s="565"/>
      <c r="G258" s="565">
        <f t="shared" si="44"/>
        <v>3493</v>
      </c>
      <c r="H258" s="565"/>
      <c r="I258" s="579" t="s">
        <v>566</v>
      </c>
      <c r="K258" s="729"/>
      <c r="L258" s="729"/>
    </row>
    <row r="259" spans="1:12" x14ac:dyDescent="0.2">
      <c r="A259" s="734">
        <v>66</v>
      </c>
      <c r="B259" s="1700" t="s">
        <v>828</v>
      </c>
      <c r="C259" s="1701"/>
      <c r="D259" s="732">
        <v>2279</v>
      </c>
      <c r="E259" s="565">
        <v>2180</v>
      </c>
      <c r="F259" s="565"/>
      <c r="G259" s="565">
        <f t="shared" si="44"/>
        <v>2180</v>
      </c>
      <c r="H259" s="565"/>
      <c r="I259" s="579" t="s">
        <v>761</v>
      </c>
      <c r="K259" s="729"/>
      <c r="L259" s="729"/>
    </row>
    <row r="260" spans="1:12" x14ac:dyDescent="0.2">
      <c r="A260" s="731" t="s">
        <v>829</v>
      </c>
      <c r="B260" s="1693" t="s">
        <v>830</v>
      </c>
      <c r="C260" s="1694"/>
      <c r="D260" s="730"/>
      <c r="E260" s="730">
        <f>SUM(E261)</f>
        <v>786</v>
      </c>
      <c r="F260" s="730">
        <f t="shared" ref="F260:G260" si="45">SUM(F261)</f>
        <v>0</v>
      </c>
      <c r="G260" s="730">
        <f t="shared" si="45"/>
        <v>786</v>
      </c>
      <c r="H260" s="730"/>
      <c r="I260" s="565"/>
      <c r="K260" s="729"/>
      <c r="L260" s="729"/>
    </row>
    <row r="261" spans="1:12" x14ac:dyDescent="0.2">
      <c r="A261" s="734">
        <v>1</v>
      </c>
      <c r="B261" s="1700" t="s">
        <v>831</v>
      </c>
      <c r="C261" s="1701"/>
      <c r="D261" s="732">
        <v>2275</v>
      </c>
      <c r="E261" s="565">
        <f>24819-24033</f>
        <v>786</v>
      </c>
      <c r="F261" s="565"/>
      <c r="G261" s="565">
        <f>E261+F261</f>
        <v>786</v>
      </c>
      <c r="H261" s="565"/>
      <c r="I261" s="565"/>
      <c r="K261" s="729"/>
      <c r="L261" s="729"/>
    </row>
    <row r="262" spans="1:12" x14ac:dyDescent="0.2">
      <c r="A262" s="746"/>
      <c r="B262" s="747"/>
      <c r="C262" s="747"/>
      <c r="D262" s="748"/>
      <c r="E262" s="749"/>
      <c r="F262" s="749"/>
      <c r="G262" s="749"/>
      <c r="H262" s="749"/>
      <c r="I262" s="749"/>
    </row>
    <row r="263" spans="1:12" ht="15.75" x14ac:dyDescent="0.25">
      <c r="A263" s="1673" t="s">
        <v>358</v>
      </c>
      <c r="B263" s="1673"/>
      <c r="C263" s="1717" t="s">
        <v>832</v>
      </c>
      <c r="D263" s="1717"/>
      <c r="E263" s="1717"/>
      <c r="F263" s="1717"/>
      <c r="G263" s="1717"/>
      <c r="H263" s="1717"/>
      <c r="I263" s="1717"/>
      <c r="J263" s="750"/>
    </row>
    <row r="264" spans="1:12" x14ac:dyDescent="0.2">
      <c r="A264" s="1673" t="s">
        <v>360</v>
      </c>
      <c r="B264" s="1673"/>
      <c r="C264" s="1718" t="s">
        <v>833</v>
      </c>
      <c r="D264" s="1718"/>
      <c r="E264" s="1718"/>
      <c r="F264" s="1718"/>
      <c r="G264" s="1718"/>
      <c r="H264" s="1718"/>
      <c r="I264" s="1718"/>
    </row>
    <row r="265" spans="1:12" x14ac:dyDescent="0.2">
      <c r="A265" s="1673" t="s">
        <v>362</v>
      </c>
      <c r="B265" s="1673"/>
      <c r="C265" s="1719">
        <v>8.6199999999999992</v>
      </c>
      <c r="D265" s="1719"/>
      <c r="E265" s="1719"/>
      <c r="F265" s="1719"/>
      <c r="G265" s="1719"/>
      <c r="H265" s="1719"/>
      <c r="I265" s="1719"/>
    </row>
    <row r="266" spans="1:12" ht="12" customHeight="1" x14ac:dyDescent="0.2">
      <c r="A266" s="1636" t="s">
        <v>364</v>
      </c>
      <c r="B266" s="1636" t="s">
        <v>365</v>
      </c>
      <c r="C266" s="1636"/>
      <c r="D266" s="1636" t="s">
        <v>366</v>
      </c>
      <c r="E266" s="1636" t="s">
        <v>367</v>
      </c>
      <c r="F266" s="1680" t="s">
        <v>538</v>
      </c>
      <c r="G266" s="1680" t="s">
        <v>369</v>
      </c>
      <c r="H266" s="1680" t="s">
        <v>26</v>
      </c>
      <c r="I266" s="1636" t="s">
        <v>370</v>
      </c>
    </row>
    <row r="267" spans="1:12" ht="24" customHeight="1" x14ac:dyDescent="0.2">
      <c r="A267" s="1636"/>
      <c r="B267" s="1636"/>
      <c r="C267" s="1636"/>
      <c r="D267" s="1636"/>
      <c r="E267" s="1636"/>
      <c r="F267" s="1680"/>
      <c r="G267" s="1680"/>
      <c r="H267" s="1680"/>
      <c r="I267" s="1636"/>
    </row>
    <row r="268" spans="1:12" x14ac:dyDescent="0.2">
      <c r="A268" s="1637" t="s">
        <v>371</v>
      </c>
      <c r="B268" s="1637"/>
      <c r="C268" s="1637"/>
      <c r="D268" s="550"/>
      <c r="E268" s="550">
        <f>E269+E470+E572</f>
        <v>9091</v>
      </c>
      <c r="F268" s="550">
        <f>F269+F470+F572</f>
        <v>0</v>
      </c>
      <c r="G268" s="550">
        <f>G269+G470+G572</f>
        <v>9091</v>
      </c>
      <c r="H268" s="550"/>
      <c r="I268" s="585"/>
    </row>
    <row r="269" spans="1:12" ht="12" customHeight="1" x14ac:dyDescent="0.2">
      <c r="A269" s="734">
        <v>1</v>
      </c>
      <c r="B269" s="1720" t="s">
        <v>834</v>
      </c>
      <c r="C269" s="1701"/>
      <c r="D269" s="565">
        <v>1150</v>
      </c>
      <c r="E269" s="565">
        <v>9091</v>
      </c>
      <c r="F269" s="565"/>
      <c r="G269" s="565">
        <f>E269+F269</f>
        <v>9091</v>
      </c>
      <c r="H269" s="565"/>
      <c r="I269" s="579"/>
    </row>
    <row r="270" spans="1:12" ht="7.5" customHeight="1" x14ac:dyDescent="0.2">
      <c r="A270" s="751"/>
      <c r="B270" s="747"/>
      <c r="C270" s="747"/>
      <c r="D270" s="749"/>
      <c r="E270" s="749"/>
      <c r="F270" s="749"/>
      <c r="G270" s="749"/>
      <c r="H270" s="749"/>
      <c r="I270" s="752"/>
    </row>
    <row r="271" spans="1:12" ht="12.75" x14ac:dyDescent="0.2">
      <c r="A271" s="588" t="s">
        <v>835</v>
      </c>
      <c r="C271" s="753" t="s">
        <v>836</v>
      </c>
    </row>
    <row r="272" spans="1:12" x14ac:dyDescent="0.2">
      <c r="A272" s="588" t="s">
        <v>837</v>
      </c>
    </row>
    <row r="273" spans="1:9" x14ac:dyDescent="0.2">
      <c r="A273" s="588" t="s">
        <v>838</v>
      </c>
    </row>
    <row r="274" spans="1:9" x14ac:dyDescent="0.2">
      <c r="A274" s="588" t="s">
        <v>839</v>
      </c>
    </row>
    <row r="275" spans="1:9" x14ac:dyDescent="0.2">
      <c r="A275" s="588" t="s">
        <v>840</v>
      </c>
    </row>
    <row r="276" spans="1:9" x14ac:dyDescent="0.2">
      <c r="A276" s="1721" t="s">
        <v>841</v>
      </c>
      <c r="B276" s="1721"/>
      <c r="C276" s="1721"/>
      <c r="D276" s="754"/>
      <c r="E276" s="754"/>
      <c r="F276" s="754"/>
      <c r="G276" s="754"/>
      <c r="H276" s="754"/>
      <c r="I276" s="754"/>
    </row>
  </sheetData>
  <sheetProtection algorithmName="SHA-512" hashValue="rPQd0fIk1KZRkGJFpnwNQnxzTLDqZ98KOFs/lPStXoXO+8KncNWd2NgUkJ+gviRAIFuabOZcChiwtvaT8GJqng==" saltValue="9htGFTNq121AvCQ8Awk3OQ==" spinCount="100000" sheet="1" objects="1" scenarios="1"/>
  <mergeCells count="272">
    <mergeCell ref="H266:H267"/>
    <mergeCell ref="I266:I267"/>
    <mergeCell ref="A268:C268"/>
    <mergeCell ref="B269:C269"/>
    <mergeCell ref="A276:C276"/>
    <mergeCell ref="A266:A267"/>
    <mergeCell ref="B266:C267"/>
    <mergeCell ref="D266:D267"/>
    <mergeCell ref="E266:E267"/>
    <mergeCell ref="F266:F267"/>
    <mergeCell ref="G266:G267"/>
    <mergeCell ref="A263:B263"/>
    <mergeCell ref="C263:I263"/>
    <mergeCell ref="A264:B264"/>
    <mergeCell ref="C264:I264"/>
    <mergeCell ref="A265:B265"/>
    <mergeCell ref="C265:I265"/>
    <mergeCell ref="B256:C256"/>
    <mergeCell ref="B257:C257"/>
    <mergeCell ref="B258:C258"/>
    <mergeCell ref="B259:C259"/>
    <mergeCell ref="B260:C260"/>
    <mergeCell ref="B261:C261"/>
    <mergeCell ref="B250:C250"/>
    <mergeCell ref="B251:C251"/>
    <mergeCell ref="B252:C252"/>
    <mergeCell ref="B253:C253"/>
    <mergeCell ref="B254:C254"/>
    <mergeCell ref="B255:C255"/>
    <mergeCell ref="B244:C244"/>
    <mergeCell ref="B245:C245"/>
    <mergeCell ref="A246:A247"/>
    <mergeCell ref="B246:C247"/>
    <mergeCell ref="B248:C248"/>
    <mergeCell ref="B249:C249"/>
    <mergeCell ref="B238:C238"/>
    <mergeCell ref="B239:C239"/>
    <mergeCell ref="B240:C240"/>
    <mergeCell ref="B241:C241"/>
    <mergeCell ref="B242:C242"/>
    <mergeCell ref="B243:C243"/>
    <mergeCell ref="B232:C232"/>
    <mergeCell ref="B233:C233"/>
    <mergeCell ref="B234:C234"/>
    <mergeCell ref="B235:C235"/>
    <mergeCell ref="B236:C236"/>
    <mergeCell ref="B237:C237"/>
    <mergeCell ref="B226:C226"/>
    <mergeCell ref="B227:C227"/>
    <mergeCell ref="B228:C228"/>
    <mergeCell ref="B229:C229"/>
    <mergeCell ref="B230:C230"/>
    <mergeCell ref="B231:C231"/>
    <mergeCell ref="B220:C220"/>
    <mergeCell ref="B221:C221"/>
    <mergeCell ref="B222:C222"/>
    <mergeCell ref="B223:C223"/>
    <mergeCell ref="B224:C224"/>
    <mergeCell ref="B225:C225"/>
    <mergeCell ref="B214:C214"/>
    <mergeCell ref="B215:C215"/>
    <mergeCell ref="B216:C216"/>
    <mergeCell ref="B217:C217"/>
    <mergeCell ref="B218:C218"/>
    <mergeCell ref="B219:C219"/>
    <mergeCell ref="B208:C208"/>
    <mergeCell ref="B209:C209"/>
    <mergeCell ref="B210:C210"/>
    <mergeCell ref="B211:C211"/>
    <mergeCell ref="B212:C212"/>
    <mergeCell ref="B213:C213"/>
    <mergeCell ref="B203:C203"/>
    <mergeCell ref="A204:A205"/>
    <mergeCell ref="B204:C205"/>
    <mergeCell ref="I204:I205"/>
    <mergeCell ref="B206:C206"/>
    <mergeCell ref="B207:C207"/>
    <mergeCell ref="B197:C197"/>
    <mergeCell ref="B198:C198"/>
    <mergeCell ref="B199:C199"/>
    <mergeCell ref="B200:C200"/>
    <mergeCell ref="B201:C201"/>
    <mergeCell ref="B202:C202"/>
    <mergeCell ref="B184:C184"/>
    <mergeCell ref="B185:C185"/>
    <mergeCell ref="A186:A188"/>
    <mergeCell ref="B186:C188"/>
    <mergeCell ref="I186:I188"/>
    <mergeCell ref="A189:A196"/>
    <mergeCell ref="B189:C196"/>
    <mergeCell ref="I189:I196"/>
    <mergeCell ref="B178:C178"/>
    <mergeCell ref="B179:C179"/>
    <mergeCell ref="B180:C180"/>
    <mergeCell ref="B181:C181"/>
    <mergeCell ref="A182:C182"/>
    <mergeCell ref="B183:C183"/>
    <mergeCell ref="B172:C172"/>
    <mergeCell ref="B173:C173"/>
    <mergeCell ref="B174:C174"/>
    <mergeCell ref="B175:C175"/>
    <mergeCell ref="B176:C176"/>
    <mergeCell ref="B177:C177"/>
    <mergeCell ref="B167:C167"/>
    <mergeCell ref="B168:C168"/>
    <mergeCell ref="A169:A170"/>
    <mergeCell ref="B169:C170"/>
    <mergeCell ref="I169:I170"/>
    <mergeCell ref="B171:C171"/>
    <mergeCell ref="B161:C161"/>
    <mergeCell ref="B162:C162"/>
    <mergeCell ref="B163:C163"/>
    <mergeCell ref="B164:C164"/>
    <mergeCell ref="B165:C165"/>
    <mergeCell ref="B166:C166"/>
    <mergeCell ref="B155:C155"/>
    <mergeCell ref="B156:C156"/>
    <mergeCell ref="B157:C157"/>
    <mergeCell ref="B158:C158"/>
    <mergeCell ref="B159:C159"/>
    <mergeCell ref="B160:C160"/>
    <mergeCell ref="B149:C149"/>
    <mergeCell ref="B150:C150"/>
    <mergeCell ref="B151:C151"/>
    <mergeCell ref="B152:C152"/>
    <mergeCell ref="B153:C153"/>
    <mergeCell ref="B154:C154"/>
    <mergeCell ref="B143:C143"/>
    <mergeCell ref="B144:C144"/>
    <mergeCell ref="B145:C145"/>
    <mergeCell ref="B146:C146"/>
    <mergeCell ref="B147:C147"/>
    <mergeCell ref="B148:C148"/>
    <mergeCell ref="B137:C137"/>
    <mergeCell ref="B138:C138"/>
    <mergeCell ref="B139:C139"/>
    <mergeCell ref="B140:C140"/>
    <mergeCell ref="B141:C141"/>
    <mergeCell ref="B142:C142"/>
    <mergeCell ref="B131:C131"/>
    <mergeCell ref="B132:C132"/>
    <mergeCell ref="B133:C133"/>
    <mergeCell ref="A134:A136"/>
    <mergeCell ref="B134:C136"/>
    <mergeCell ref="I134:I136"/>
    <mergeCell ref="B124:C124"/>
    <mergeCell ref="A125:A128"/>
    <mergeCell ref="B125:C128"/>
    <mergeCell ref="H125:H128"/>
    <mergeCell ref="B129:C129"/>
    <mergeCell ref="B130:C130"/>
    <mergeCell ref="B118:C118"/>
    <mergeCell ref="B119:C119"/>
    <mergeCell ref="B120:C120"/>
    <mergeCell ref="B121:C121"/>
    <mergeCell ref="B122:C122"/>
    <mergeCell ref="B123:C123"/>
    <mergeCell ref="B112:C112"/>
    <mergeCell ref="B113:C113"/>
    <mergeCell ref="B114:C114"/>
    <mergeCell ref="B115:C115"/>
    <mergeCell ref="B116:C116"/>
    <mergeCell ref="B117:C117"/>
    <mergeCell ref="B106:C106"/>
    <mergeCell ref="B107:C107"/>
    <mergeCell ref="B108:C108"/>
    <mergeCell ref="B109:C109"/>
    <mergeCell ref="B110:C110"/>
    <mergeCell ref="B111:C111"/>
    <mergeCell ref="A98:A100"/>
    <mergeCell ref="B98:C100"/>
    <mergeCell ref="I98:I100"/>
    <mergeCell ref="A101:A105"/>
    <mergeCell ref="B101:C105"/>
    <mergeCell ref="I101:I105"/>
    <mergeCell ref="A92:A94"/>
    <mergeCell ref="B92:C94"/>
    <mergeCell ref="I92:I94"/>
    <mergeCell ref="A95:A97"/>
    <mergeCell ref="B95:C97"/>
    <mergeCell ref="I95:I97"/>
    <mergeCell ref="B86:C86"/>
    <mergeCell ref="B87:C87"/>
    <mergeCell ref="B88:C88"/>
    <mergeCell ref="B89:C89"/>
    <mergeCell ref="B90:C90"/>
    <mergeCell ref="B91:C91"/>
    <mergeCell ref="B80:C80"/>
    <mergeCell ref="B81:C81"/>
    <mergeCell ref="B82:C82"/>
    <mergeCell ref="B83:C83"/>
    <mergeCell ref="B84:C84"/>
    <mergeCell ref="B85:C85"/>
    <mergeCell ref="B74:C74"/>
    <mergeCell ref="B75:C75"/>
    <mergeCell ref="B76:C76"/>
    <mergeCell ref="A77:A79"/>
    <mergeCell ref="B77:C79"/>
    <mergeCell ref="I77:I79"/>
    <mergeCell ref="B68:C68"/>
    <mergeCell ref="B69:C69"/>
    <mergeCell ref="B70:C70"/>
    <mergeCell ref="B71:C71"/>
    <mergeCell ref="B72:C72"/>
    <mergeCell ref="B73:C73"/>
    <mergeCell ref="A63:A64"/>
    <mergeCell ref="B63:C64"/>
    <mergeCell ref="I63:I64"/>
    <mergeCell ref="B65:C65"/>
    <mergeCell ref="B66:C66"/>
    <mergeCell ref="B67:C67"/>
    <mergeCell ref="A57:A59"/>
    <mergeCell ref="B57:C59"/>
    <mergeCell ref="I57:I59"/>
    <mergeCell ref="A60:A62"/>
    <mergeCell ref="B60:C62"/>
    <mergeCell ref="I60:I62"/>
    <mergeCell ref="B50:C50"/>
    <mergeCell ref="A51:A52"/>
    <mergeCell ref="B51:C52"/>
    <mergeCell ref="I51:I52"/>
    <mergeCell ref="B53:C53"/>
    <mergeCell ref="A54:A56"/>
    <mergeCell ref="B54:C56"/>
    <mergeCell ref="I54:I56"/>
    <mergeCell ref="B45:C45"/>
    <mergeCell ref="A46:A47"/>
    <mergeCell ref="B46:C47"/>
    <mergeCell ref="I46:I47"/>
    <mergeCell ref="A48:A49"/>
    <mergeCell ref="B48:C49"/>
    <mergeCell ref="I48:I49"/>
    <mergeCell ref="B37:C37"/>
    <mergeCell ref="B38:C38"/>
    <mergeCell ref="B39:C39"/>
    <mergeCell ref="A40:A44"/>
    <mergeCell ref="B40:C44"/>
    <mergeCell ref="I40:I44"/>
    <mergeCell ref="I28:I31"/>
    <mergeCell ref="A32:A34"/>
    <mergeCell ref="B32:C34"/>
    <mergeCell ref="I32:I34"/>
    <mergeCell ref="B35:C35"/>
    <mergeCell ref="B36:C36"/>
    <mergeCell ref="A22:A26"/>
    <mergeCell ref="B22:C26"/>
    <mergeCell ref="H22:H26"/>
    <mergeCell ref="B27:C27"/>
    <mergeCell ref="A28:A31"/>
    <mergeCell ref="B28:C31"/>
    <mergeCell ref="A13:C13"/>
    <mergeCell ref="A14:C14"/>
    <mergeCell ref="B15:C15"/>
    <mergeCell ref="A16:A21"/>
    <mergeCell ref="B16:C21"/>
    <mergeCell ref="A5:B5"/>
    <mergeCell ref="A6:I6"/>
    <mergeCell ref="A8:B8"/>
    <mergeCell ref="C8:I8"/>
    <mergeCell ref="A9:B9"/>
    <mergeCell ref="C9:I9"/>
    <mergeCell ref="I16:I21"/>
    <mergeCell ref="A10:B10"/>
    <mergeCell ref="C10:I10"/>
    <mergeCell ref="A11:A12"/>
    <mergeCell ref="B11:C12"/>
    <mergeCell ref="D11:D12"/>
    <mergeCell ref="E11:E12"/>
    <mergeCell ref="F11:F12"/>
    <mergeCell ref="G11:G12"/>
    <mergeCell ref="H11:H12"/>
    <mergeCell ref="I11:I12"/>
  </mergeCells>
  <pageMargins left="0.98425196850393704" right="0.39370078740157483" top="0.75104166666666672"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115.pielikums Jūrmalas pilsētas domes
2017.gada 30.janvāra saistošajiem noteikumiem Nr.10
(Protokols Nr.4, 1.punkts)
 </firstHeader>
    <firstFooter>&amp;L&amp;9&amp;D; &amp;T&amp;R&amp;9&amp;P (&amp;N)</first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8"/>
  <sheetViews>
    <sheetView view="pageLayout" zoomScaleNormal="100" workbookViewId="0">
      <selection activeCell="N6" sqref="N6"/>
    </sheetView>
  </sheetViews>
  <sheetFormatPr defaultRowHeight="12" outlineLevelCol="1" x14ac:dyDescent="0.2"/>
  <cols>
    <col min="1" max="1" width="6.140625" style="588" customWidth="1"/>
    <col min="2" max="2" width="17.28515625" style="588" customWidth="1"/>
    <col min="3" max="3" width="16.7109375" style="588" customWidth="1"/>
    <col min="4" max="4" width="10.5703125" style="588" customWidth="1"/>
    <col min="5" max="5" width="13.28515625" style="588" hidden="1" customWidth="1" outlineLevel="1"/>
    <col min="6" max="6" width="12.140625" style="588" hidden="1" customWidth="1" outlineLevel="1"/>
    <col min="7" max="7" width="14.140625" style="588" customWidth="1" collapsed="1"/>
    <col min="8" max="8" width="30.42578125" style="588" hidden="1" customWidth="1" outlineLevel="1"/>
    <col min="9" max="9" width="11.28515625" style="588" customWidth="1" collapsed="1"/>
    <col min="10" max="244" width="9.140625" style="588"/>
    <col min="245" max="245" width="6.140625" style="588" customWidth="1"/>
    <col min="246" max="246" width="17.28515625" style="588" customWidth="1"/>
    <col min="247" max="247" width="16.7109375" style="588" customWidth="1"/>
    <col min="248" max="248" width="9" style="588" bestFit="1" customWidth="1"/>
    <col min="249" max="249" width="8.42578125" style="588" bestFit="1" customWidth="1"/>
    <col min="250" max="250" width="10.28515625" style="588" customWidth="1"/>
    <col min="251" max="251" width="10.5703125" style="588" customWidth="1"/>
    <col min="252" max="253" width="9.7109375" style="588" customWidth="1"/>
    <col min="254" max="254" width="34.5703125" style="588" customWidth="1"/>
    <col min="255" max="500" width="9.140625" style="588"/>
    <col min="501" max="501" width="6.140625" style="588" customWidth="1"/>
    <col min="502" max="502" width="17.28515625" style="588" customWidth="1"/>
    <col min="503" max="503" width="16.7109375" style="588" customWidth="1"/>
    <col min="504" max="504" width="9" style="588" bestFit="1" customWidth="1"/>
    <col min="505" max="505" width="8.42578125" style="588" bestFit="1" customWidth="1"/>
    <col min="506" max="506" width="10.28515625" style="588" customWidth="1"/>
    <col min="507" max="507" width="10.5703125" style="588" customWidth="1"/>
    <col min="508" max="509" width="9.7109375" style="588" customWidth="1"/>
    <col min="510" max="510" width="34.5703125" style="588" customWidth="1"/>
    <col min="511" max="756" width="9.140625" style="588"/>
    <col min="757" max="757" width="6.140625" style="588" customWidth="1"/>
    <col min="758" max="758" width="17.28515625" style="588" customWidth="1"/>
    <col min="759" max="759" width="16.7109375" style="588" customWidth="1"/>
    <col min="760" max="760" width="9" style="588" bestFit="1" customWidth="1"/>
    <col min="761" max="761" width="8.42578125" style="588" bestFit="1" customWidth="1"/>
    <col min="762" max="762" width="10.28515625" style="588" customWidth="1"/>
    <col min="763" max="763" width="10.5703125" style="588" customWidth="1"/>
    <col min="764" max="765" width="9.7109375" style="588" customWidth="1"/>
    <col min="766" max="766" width="34.5703125" style="588" customWidth="1"/>
    <col min="767" max="1012" width="9.140625" style="588"/>
    <col min="1013" max="1013" width="6.140625" style="588" customWidth="1"/>
    <col min="1014" max="1014" width="17.28515625" style="588" customWidth="1"/>
    <col min="1015" max="1015" width="16.7109375" style="588" customWidth="1"/>
    <col min="1016" max="1016" width="9" style="588" bestFit="1" customWidth="1"/>
    <col min="1017" max="1017" width="8.42578125" style="588" bestFit="1" customWidth="1"/>
    <col min="1018" max="1018" width="10.28515625" style="588" customWidth="1"/>
    <col min="1019" max="1019" width="10.5703125" style="588" customWidth="1"/>
    <col min="1020" max="1021" width="9.7109375" style="588" customWidth="1"/>
    <col min="1022" max="1022" width="34.5703125" style="588" customWidth="1"/>
    <col min="1023" max="1268" width="9.140625" style="588"/>
    <col min="1269" max="1269" width="6.140625" style="588" customWidth="1"/>
    <col min="1270" max="1270" width="17.28515625" style="588" customWidth="1"/>
    <col min="1271" max="1271" width="16.7109375" style="588" customWidth="1"/>
    <col min="1272" max="1272" width="9" style="588" bestFit="1" customWidth="1"/>
    <col min="1273" max="1273" width="8.42578125" style="588" bestFit="1" customWidth="1"/>
    <col min="1274" max="1274" width="10.28515625" style="588" customWidth="1"/>
    <col min="1275" max="1275" width="10.5703125" style="588" customWidth="1"/>
    <col min="1276" max="1277" width="9.7109375" style="588" customWidth="1"/>
    <col min="1278" max="1278" width="34.5703125" style="588" customWidth="1"/>
    <col min="1279" max="1524" width="9.140625" style="588"/>
    <col min="1525" max="1525" width="6.140625" style="588" customWidth="1"/>
    <col min="1526" max="1526" width="17.28515625" style="588" customWidth="1"/>
    <col min="1527" max="1527" width="16.7109375" style="588" customWidth="1"/>
    <col min="1528" max="1528" width="9" style="588" bestFit="1" customWidth="1"/>
    <col min="1529" max="1529" width="8.42578125" style="588" bestFit="1" customWidth="1"/>
    <col min="1530" max="1530" width="10.28515625" style="588" customWidth="1"/>
    <col min="1531" max="1531" width="10.5703125" style="588" customWidth="1"/>
    <col min="1532" max="1533" width="9.7109375" style="588" customWidth="1"/>
    <col min="1534" max="1534" width="34.5703125" style="588" customWidth="1"/>
    <col min="1535" max="1780" width="9.140625" style="588"/>
    <col min="1781" max="1781" width="6.140625" style="588" customWidth="1"/>
    <col min="1782" max="1782" width="17.28515625" style="588" customWidth="1"/>
    <col min="1783" max="1783" width="16.7109375" style="588" customWidth="1"/>
    <col min="1784" max="1784" width="9" style="588" bestFit="1" customWidth="1"/>
    <col min="1785" max="1785" width="8.42578125" style="588" bestFit="1" customWidth="1"/>
    <col min="1786" max="1786" width="10.28515625" style="588" customWidth="1"/>
    <col min="1787" max="1787" width="10.5703125" style="588" customWidth="1"/>
    <col min="1788" max="1789" width="9.7109375" style="588" customWidth="1"/>
    <col min="1790" max="1790" width="34.5703125" style="588" customWidth="1"/>
    <col min="1791" max="2036" width="9.140625" style="588"/>
    <col min="2037" max="2037" width="6.140625" style="588" customWidth="1"/>
    <col min="2038" max="2038" width="17.28515625" style="588" customWidth="1"/>
    <col min="2039" max="2039" width="16.7109375" style="588" customWidth="1"/>
    <col min="2040" max="2040" width="9" style="588" bestFit="1" customWidth="1"/>
    <col min="2041" max="2041" width="8.42578125" style="588" bestFit="1" customWidth="1"/>
    <col min="2042" max="2042" width="10.28515625" style="588" customWidth="1"/>
    <col min="2043" max="2043" width="10.5703125" style="588" customWidth="1"/>
    <col min="2044" max="2045" width="9.7109375" style="588" customWidth="1"/>
    <col min="2046" max="2046" width="34.5703125" style="588" customWidth="1"/>
    <col min="2047" max="2292" width="9.140625" style="588"/>
    <col min="2293" max="2293" width="6.140625" style="588" customWidth="1"/>
    <col min="2294" max="2294" width="17.28515625" style="588" customWidth="1"/>
    <col min="2295" max="2295" width="16.7109375" style="588" customWidth="1"/>
    <col min="2296" max="2296" width="9" style="588" bestFit="1" customWidth="1"/>
    <col min="2297" max="2297" width="8.42578125" style="588" bestFit="1" customWidth="1"/>
    <col min="2298" max="2298" width="10.28515625" style="588" customWidth="1"/>
    <col min="2299" max="2299" width="10.5703125" style="588" customWidth="1"/>
    <col min="2300" max="2301" width="9.7109375" style="588" customWidth="1"/>
    <col min="2302" max="2302" width="34.5703125" style="588" customWidth="1"/>
    <col min="2303" max="2548" width="9.140625" style="588"/>
    <col min="2549" max="2549" width="6.140625" style="588" customWidth="1"/>
    <col min="2550" max="2550" width="17.28515625" style="588" customWidth="1"/>
    <col min="2551" max="2551" width="16.7109375" style="588" customWidth="1"/>
    <col min="2552" max="2552" width="9" style="588" bestFit="1" customWidth="1"/>
    <col min="2553" max="2553" width="8.42578125" style="588" bestFit="1" customWidth="1"/>
    <col min="2554" max="2554" width="10.28515625" style="588" customWidth="1"/>
    <col min="2555" max="2555" width="10.5703125" style="588" customWidth="1"/>
    <col min="2556" max="2557" width="9.7109375" style="588" customWidth="1"/>
    <col min="2558" max="2558" width="34.5703125" style="588" customWidth="1"/>
    <col min="2559" max="2804" width="9.140625" style="588"/>
    <col min="2805" max="2805" width="6.140625" style="588" customWidth="1"/>
    <col min="2806" max="2806" width="17.28515625" style="588" customWidth="1"/>
    <col min="2807" max="2807" width="16.7109375" style="588" customWidth="1"/>
    <col min="2808" max="2808" width="9" style="588" bestFit="1" customWidth="1"/>
    <col min="2809" max="2809" width="8.42578125" style="588" bestFit="1" customWidth="1"/>
    <col min="2810" max="2810" width="10.28515625" style="588" customWidth="1"/>
    <col min="2811" max="2811" width="10.5703125" style="588" customWidth="1"/>
    <col min="2812" max="2813" width="9.7109375" style="588" customWidth="1"/>
    <col min="2814" max="2814" width="34.5703125" style="588" customWidth="1"/>
    <col min="2815" max="3060" width="9.140625" style="588"/>
    <col min="3061" max="3061" width="6.140625" style="588" customWidth="1"/>
    <col min="3062" max="3062" width="17.28515625" style="588" customWidth="1"/>
    <col min="3063" max="3063" width="16.7109375" style="588" customWidth="1"/>
    <col min="3064" max="3064" width="9" style="588" bestFit="1" customWidth="1"/>
    <col min="3065" max="3065" width="8.42578125" style="588" bestFit="1" customWidth="1"/>
    <col min="3066" max="3066" width="10.28515625" style="588" customWidth="1"/>
    <col min="3067" max="3067" width="10.5703125" style="588" customWidth="1"/>
    <col min="3068" max="3069" width="9.7109375" style="588" customWidth="1"/>
    <col min="3070" max="3070" width="34.5703125" style="588" customWidth="1"/>
    <col min="3071" max="3316" width="9.140625" style="588"/>
    <col min="3317" max="3317" width="6.140625" style="588" customWidth="1"/>
    <col min="3318" max="3318" width="17.28515625" style="588" customWidth="1"/>
    <col min="3319" max="3319" width="16.7109375" style="588" customWidth="1"/>
    <col min="3320" max="3320" width="9" style="588" bestFit="1" customWidth="1"/>
    <col min="3321" max="3321" width="8.42578125" style="588" bestFit="1" customWidth="1"/>
    <col min="3322" max="3322" width="10.28515625" style="588" customWidth="1"/>
    <col min="3323" max="3323" width="10.5703125" style="588" customWidth="1"/>
    <col min="3324" max="3325" width="9.7109375" style="588" customWidth="1"/>
    <col min="3326" max="3326" width="34.5703125" style="588" customWidth="1"/>
    <col min="3327" max="3572" width="9.140625" style="588"/>
    <col min="3573" max="3573" width="6.140625" style="588" customWidth="1"/>
    <col min="3574" max="3574" width="17.28515625" style="588" customWidth="1"/>
    <col min="3575" max="3575" width="16.7109375" style="588" customWidth="1"/>
    <col min="3576" max="3576" width="9" style="588" bestFit="1" customWidth="1"/>
    <col min="3577" max="3577" width="8.42578125" style="588" bestFit="1" customWidth="1"/>
    <col min="3578" max="3578" width="10.28515625" style="588" customWidth="1"/>
    <col min="3579" max="3579" width="10.5703125" style="588" customWidth="1"/>
    <col min="3580" max="3581" width="9.7109375" style="588" customWidth="1"/>
    <col min="3582" max="3582" width="34.5703125" style="588" customWidth="1"/>
    <col min="3583" max="3828" width="9.140625" style="588"/>
    <col min="3829" max="3829" width="6.140625" style="588" customWidth="1"/>
    <col min="3830" max="3830" width="17.28515625" style="588" customWidth="1"/>
    <col min="3831" max="3831" width="16.7109375" style="588" customWidth="1"/>
    <col min="3832" max="3832" width="9" style="588" bestFit="1" customWidth="1"/>
    <col min="3833" max="3833" width="8.42578125" style="588" bestFit="1" customWidth="1"/>
    <col min="3834" max="3834" width="10.28515625" style="588" customWidth="1"/>
    <col min="3835" max="3835" width="10.5703125" style="588" customWidth="1"/>
    <col min="3836" max="3837" width="9.7109375" style="588" customWidth="1"/>
    <col min="3838" max="3838" width="34.5703125" style="588" customWidth="1"/>
    <col min="3839" max="4084" width="9.140625" style="588"/>
    <col min="4085" max="4085" width="6.140625" style="588" customWidth="1"/>
    <col min="4086" max="4086" width="17.28515625" style="588" customWidth="1"/>
    <col min="4087" max="4087" width="16.7109375" style="588" customWidth="1"/>
    <col min="4088" max="4088" width="9" style="588" bestFit="1" customWidth="1"/>
    <col min="4089" max="4089" width="8.42578125" style="588" bestFit="1" customWidth="1"/>
    <col min="4090" max="4090" width="10.28515625" style="588" customWidth="1"/>
    <col min="4091" max="4091" width="10.5703125" style="588" customWidth="1"/>
    <col min="4092" max="4093" width="9.7109375" style="588" customWidth="1"/>
    <col min="4094" max="4094" width="34.5703125" style="588" customWidth="1"/>
    <col min="4095" max="4340" width="9.140625" style="588"/>
    <col min="4341" max="4341" width="6.140625" style="588" customWidth="1"/>
    <col min="4342" max="4342" width="17.28515625" style="588" customWidth="1"/>
    <col min="4343" max="4343" width="16.7109375" style="588" customWidth="1"/>
    <col min="4344" max="4344" width="9" style="588" bestFit="1" customWidth="1"/>
    <col min="4345" max="4345" width="8.42578125" style="588" bestFit="1" customWidth="1"/>
    <col min="4346" max="4346" width="10.28515625" style="588" customWidth="1"/>
    <col min="4347" max="4347" width="10.5703125" style="588" customWidth="1"/>
    <col min="4348" max="4349" width="9.7109375" style="588" customWidth="1"/>
    <col min="4350" max="4350" width="34.5703125" style="588" customWidth="1"/>
    <col min="4351" max="4596" width="9.140625" style="588"/>
    <col min="4597" max="4597" width="6.140625" style="588" customWidth="1"/>
    <col min="4598" max="4598" width="17.28515625" style="588" customWidth="1"/>
    <col min="4599" max="4599" width="16.7109375" style="588" customWidth="1"/>
    <col min="4600" max="4600" width="9" style="588" bestFit="1" customWidth="1"/>
    <col min="4601" max="4601" width="8.42578125" style="588" bestFit="1" customWidth="1"/>
    <col min="4602" max="4602" width="10.28515625" style="588" customWidth="1"/>
    <col min="4603" max="4603" width="10.5703125" style="588" customWidth="1"/>
    <col min="4604" max="4605" width="9.7109375" style="588" customWidth="1"/>
    <col min="4606" max="4606" width="34.5703125" style="588" customWidth="1"/>
    <col min="4607" max="4852" width="9.140625" style="588"/>
    <col min="4853" max="4853" width="6.140625" style="588" customWidth="1"/>
    <col min="4854" max="4854" width="17.28515625" style="588" customWidth="1"/>
    <col min="4855" max="4855" width="16.7109375" style="588" customWidth="1"/>
    <col min="4856" max="4856" width="9" style="588" bestFit="1" customWidth="1"/>
    <col min="4857" max="4857" width="8.42578125" style="588" bestFit="1" customWidth="1"/>
    <col min="4858" max="4858" width="10.28515625" style="588" customWidth="1"/>
    <col min="4859" max="4859" width="10.5703125" style="588" customWidth="1"/>
    <col min="4860" max="4861" width="9.7109375" style="588" customWidth="1"/>
    <col min="4862" max="4862" width="34.5703125" style="588" customWidth="1"/>
    <col min="4863" max="5108" width="9.140625" style="588"/>
    <col min="5109" max="5109" width="6.140625" style="588" customWidth="1"/>
    <col min="5110" max="5110" width="17.28515625" style="588" customWidth="1"/>
    <col min="5111" max="5111" width="16.7109375" style="588" customWidth="1"/>
    <col min="5112" max="5112" width="9" style="588" bestFit="1" customWidth="1"/>
    <col min="5113" max="5113" width="8.42578125" style="588" bestFit="1" customWidth="1"/>
    <col min="5114" max="5114" width="10.28515625" style="588" customWidth="1"/>
    <col min="5115" max="5115" width="10.5703125" style="588" customWidth="1"/>
    <col min="5116" max="5117" width="9.7109375" style="588" customWidth="1"/>
    <col min="5118" max="5118" width="34.5703125" style="588" customWidth="1"/>
    <col min="5119" max="5364" width="9.140625" style="588"/>
    <col min="5365" max="5365" width="6.140625" style="588" customWidth="1"/>
    <col min="5366" max="5366" width="17.28515625" style="588" customWidth="1"/>
    <col min="5367" max="5367" width="16.7109375" style="588" customWidth="1"/>
    <col min="5368" max="5368" width="9" style="588" bestFit="1" customWidth="1"/>
    <col min="5369" max="5369" width="8.42578125" style="588" bestFit="1" customWidth="1"/>
    <col min="5370" max="5370" width="10.28515625" style="588" customWidth="1"/>
    <col min="5371" max="5371" width="10.5703125" style="588" customWidth="1"/>
    <col min="5372" max="5373" width="9.7109375" style="588" customWidth="1"/>
    <col min="5374" max="5374" width="34.5703125" style="588" customWidth="1"/>
    <col min="5375" max="5620" width="9.140625" style="588"/>
    <col min="5621" max="5621" width="6.140625" style="588" customWidth="1"/>
    <col min="5622" max="5622" width="17.28515625" style="588" customWidth="1"/>
    <col min="5623" max="5623" width="16.7109375" style="588" customWidth="1"/>
    <col min="5624" max="5624" width="9" style="588" bestFit="1" customWidth="1"/>
    <col min="5625" max="5625" width="8.42578125" style="588" bestFit="1" customWidth="1"/>
    <col min="5626" max="5626" width="10.28515625" style="588" customWidth="1"/>
    <col min="5627" max="5627" width="10.5703125" style="588" customWidth="1"/>
    <col min="5628" max="5629" width="9.7109375" style="588" customWidth="1"/>
    <col min="5630" max="5630" width="34.5703125" style="588" customWidth="1"/>
    <col min="5631" max="5876" width="9.140625" style="588"/>
    <col min="5877" max="5877" width="6.140625" style="588" customWidth="1"/>
    <col min="5878" max="5878" width="17.28515625" style="588" customWidth="1"/>
    <col min="5879" max="5879" width="16.7109375" style="588" customWidth="1"/>
    <col min="5880" max="5880" width="9" style="588" bestFit="1" customWidth="1"/>
    <col min="5881" max="5881" width="8.42578125" style="588" bestFit="1" customWidth="1"/>
    <col min="5882" max="5882" width="10.28515625" style="588" customWidth="1"/>
    <col min="5883" max="5883" width="10.5703125" style="588" customWidth="1"/>
    <col min="5884" max="5885" width="9.7109375" style="588" customWidth="1"/>
    <col min="5886" max="5886" width="34.5703125" style="588" customWidth="1"/>
    <col min="5887" max="6132" width="9.140625" style="588"/>
    <col min="6133" max="6133" width="6.140625" style="588" customWidth="1"/>
    <col min="6134" max="6134" width="17.28515625" style="588" customWidth="1"/>
    <col min="6135" max="6135" width="16.7109375" style="588" customWidth="1"/>
    <col min="6136" max="6136" width="9" style="588" bestFit="1" customWidth="1"/>
    <col min="6137" max="6137" width="8.42578125" style="588" bestFit="1" customWidth="1"/>
    <col min="6138" max="6138" width="10.28515625" style="588" customWidth="1"/>
    <col min="6139" max="6139" width="10.5703125" style="588" customWidth="1"/>
    <col min="6140" max="6141" width="9.7109375" style="588" customWidth="1"/>
    <col min="6142" max="6142" width="34.5703125" style="588" customWidth="1"/>
    <col min="6143" max="6388" width="9.140625" style="588"/>
    <col min="6389" max="6389" width="6.140625" style="588" customWidth="1"/>
    <col min="6390" max="6390" width="17.28515625" style="588" customWidth="1"/>
    <col min="6391" max="6391" width="16.7109375" style="588" customWidth="1"/>
    <col min="6392" max="6392" width="9" style="588" bestFit="1" customWidth="1"/>
    <col min="6393" max="6393" width="8.42578125" style="588" bestFit="1" customWidth="1"/>
    <col min="6394" max="6394" width="10.28515625" style="588" customWidth="1"/>
    <col min="6395" max="6395" width="10.5703125" style="588" customWidth="1"/>
    <col min="6396" max="6397" width="9.7109375" style="588" customWidth="1"/>
    <col min="6398" max="6398" width="34.5703125" style="588" customWidth="1"/>
    <col min="6399" max="6644" width="9.140625" style="588"/>
    <col min="6645" max="6645" width="6.140625" style="588" customWidth="1"/>
    <col min="6646" max="6646" width="17.28515625" style="588" customWidth="1"/>
    <col min="6647" max="6647" width="16.7109375" style="588" customWidth="1"/>
    <col min="6648" max="6648" width="9" style="588" bestFit="1" customWidth="1"/>
    <col min="6649" max="6649" width="8.42578125" style="588" bestFit="1" customWidth="1"/>
    <col min="6650" max="6650" width="10.28515625" style="588" customWidth="1"/>
    <col min="6651" max="6651" width="10.5703125" style="588" customWidth="1"/>
    <col min="6652" max="6653" width="9.7109375" style="588" customWidth="1"/>
    <col min="6654" max="6654" width="34.5703125" style="588" customWidth="1"/>
    <col min="6655" max="6900" width="9.140625" style="588"/>
    <col min="6901" max="6901" width="6.140625" style="588" customWidth="1"/>
    <col min="6902" max="6902" width="17.28515625" style="588" customWidth="1"/>
    <col min="6903" max="6903" width="16.7109375" style="588" customWidth="1"/>
    <col min="6904" max="6904" width="9" style="588" bestFit="1" customWidth="1"/>
    <col min="6905" max="6905" width="8.42578125" style="588" bestFit="1" customWidth="1"/>
    <col min="6906" max="6906" width="10.28515625" style="588" customWidth="1"/>
    <col min="6907" max="6907" width="10.5703125" style="588" customWidth="1"/>
    <col min="6908" max="6909" width="9.7109375" style="588" customWidth="1"/>
    <col min="6910" max="6910" width="34.5703125" style="588" customWidth="1"/>
    <col min="6911" max="7156" width="9.140625" style="588"/>
    <col min="7157" max="7157" width="6.140625" style="588" customWidth="1"/>
    <col min="7158" max="7158" width="17.28515625" style="588" customWidth="1"/>
    <col min="7159" max="7159" width="16.7109375" style="588" customWidth="1"/>
    <col min="7160" max="7160" width="9" style="588" bestFit="1" customWidth="1"/>
    <col min="7161" max="7161" width="8.42578125" style="588" bestFit="1" customWidth="1"/>
    <col min="7162" max="7162" width="10.28515625" style="588" customWidth="1"/>
    <col min="7163" max="7163" width="10.5703125" style="588" customWidth="1"/>
    <col min="7164" max="7165" width="9.7109375" style="588" customWidth="1"/>
    <col min="7166" max="7166" width="34.5703125" style="588" customWidth="1"/>
    <col min="7167" max="7412" width="9.140625" style="588"/>
    <col min="7413" max="7413" width="6.140625" style="588" customWidth="1"/>
    <col min="7414" max="7414" width="17.28515625" style="588" customWidth="1"/>
    <col min="7415" max="7415" width="16.7109375" style="588" customWidth="1"/>
    <col min="7416" max="7416" width="9" style="588" bestFit="1" customWidth="1"/>
    <col min="7417" max="7417" width="8.42578125" style="588" bestFit="1" customWidth="1"/>
    <col min="7418" max="7418" width="10.28515625" style="588" customWidth="1"/>
    <col min="7419" max="7419" width="10.5703125" style="588" customWidth="1"/>
    <col min="7420" max="7421" width="9.7109375" style="588" customWidth="1"/>
    <col min="7422" max="7422" width="34.5703125" style="588" customWidth="1"/>
    <col min="7423" max="7668" width="9.140625" style="588"/>
    <col min="7669" max="7669" width="6.140625" style="588" customWidth="1"/>
    <col min="7670" max="7670" width="17.28515625" style="588" customWidth="1"/>
    <col min="7671" max="7671" width="16.7109375" style="588" customWidth="1"/>
    <col min="7672" max="7672" width="9" style="588" bestFit="1" customWidth="1"/>
    <col min="7673" max="7673" width="8.42578125" style="588" bestFit="1" customWidth="1"/>
    <col min="7674" max="7674" width="10.28515625" style="588" customWidth="1"/>
    <col min="7675" max="7675" width="10.5703125" style="588" customWidth="1"/>
    <col min="7676" max="7677" width="9.7109375" style="588" customWidth="1"/>
    <col min="7678" max="7678" width="34.5703125" style="588" customWidth="1"/>
    <col min="7679" max="7924" width="9.140625" style="588"/>
    <col min="7925" max="7925" width="6.140625" style="588" customWidth="1"/>
    <col min="7926" max="7926" width="17.28515625" style="588" customWidth="1"/>
    <col min="7927" max="7927" width="16.7109375" style="588" customWidth="1"/>
    <col min="7928" max="7928" width="9" style="588" bestFit="1" customWidth="1"/>
    <col min="7929" max="7929" width="8.42578125" style="588" bestFit="1" customWidth="1"/>
    <col min="7930" max="7930" width="10.28515625" style="588" customWidth="1"/>
    <col min="7931" max="7931" width="10.5703125" style="588" customWidth="1"/>
    <col min="7932" max="7933" width="9.7109375" style="588" customWidth="1"/>
    <col min="7934" max="7934" width="34.5703125" style="588" customWidth="1"/>
    <col min="7935" max="8180" width="9.140625" style="588"/>
    <col min="8181" max="8181" width="6.140625" style="588" customWidth="1"/>
    <col min="8182" max="8182" width="17.28515625" style="588" customWidth="1"/>
    <col min="8183" max="8183" width="16.7109375" style="588" customWidth="1"/>
    <col min="8184" max="8184" width="9" style="588" bestFit="1" customWidth="1"/>
    <col min="8185" max="8185" width="8.42578125" style="588" bestFit="1" customWidth="1"/>
    <col min="8186" max="8186" width="10.28515625" style="588" customWidth="1"/>
    <col min="8187" max="8187" width="10.5703125" style="588" customWidth="1"/>
    <col min="8188" max="8189" width="9.7109375" style="588" customWidth="1"/>
    <col min="8190" max="8190" width="34.5703125" style="588" customWidth="1"/>
    <col min="8191" max="8436" width="9.140625" style="588"/>
    <col min="8437" max="8437" width="6.140625" style="588" customWidth="1"/>
    <col min="8438" max="8438" width="17.28515625" style="588" customWidth="1"/>
    <col min="8439" max="8439" width="16.7109375" style="588" customWidth="1"/>
    <col min="8440" max="8440" width="9" style="588" bestFit="1" customWidth="1"/>
    <col min="8441" max="8441" width="8.42578125" style="588" bestFit="1" customWidth="1"/>
    <col min="8442" max="8442" width="10.28515625" style="588" customWidth="1"/>
    <col min="8443" max="8443" width="10.5703125" style="588" customWidth="1"/>
    <col min="8444" max="8445" width="9.7109375" style="588" customWidth="1"/>
    <col min="8446" max="8446" width="34.5703125" style="588" customWidth="1"/>
    <col min="8447" max="8692" width="9.140625" style="588"/>
    <col min="8693" max="8693" width="6.140625" style="588" customWidth="1"/>
    <col min="8694" max="8694" width="17.28515625" style="588" customWidth="1"/>
    <col min="8695" max="8695" width="16.7109375" style="588" customWidth="1"/>
    <col min="8696" max="8696" width="9" style="588" bestFit="1" customWidth="1"/>
    <col min="8697" max="8697" width="8.42578125" style="588" bestFit="1" customWidth="1"/>
    <col min="8698" max="8698" width="10.28515625" style="588" customWidth="1"/>
    <col min="8699" max="8699" width="10.5703125" style="588" customWidth="1"/>
    <col min="8700" max="8701" width="9.7109375" style="588" customWidth="1"/>
    <col min="8702" max="8702" width="34.5703125" style="588" customWidth="1"/>
    <col min="8703" max="8948" width="9.140625" style="588"/>
    <col min="8949" max="8949" width="6.140625" style="588" customWidth="1"/>
    <col min="8950" max="8950" width="17.28515625" style="588" customWidth="1"/>
    <col min="8951" max="8951" width="16.7109375" style="588" customWidth="1"/>
    <col min="8952" max="8952" width="9" style="588" bestFit="1" customWidth="1"/>
    <col min="8953" max="8953" width="8.42578125" style="588" bestFit="1" customWidth="1"/>
    <col min="8954" max="8954" width="10.28515625" style="588" customWidth="1"/>
    <col min="8955" max="8955" width="10.5703125" style="588" customWidth="1"/>
    <col min="8956" max="8957" width="9.7109375" style="588" customWidth="1"/>
    <col min="8958" max="8958" width="34.5703125" style="588" customWidth="1"/>
    <col min="8959" max="9204" width="9.140625" style="588"/>
    <col min="9205" max="9205" width="6.140625" style="588" customWidth="1"/>
    <col min="9206" max="9206" width="17.28515625" style="588" customWidth="1"/>
    <col min="9207" max="9207" width="16.7109375" style="588" customWidth="1"/>
    <col min="9208" max="9208" width="9" style="588" bestFit="1" customWidth="1"/>
    <col min="9209" max="9209" width="8.42578125" style="588" bestFit="1" customWidth="1"/>
    <col min="9210" max="9210" width="10.28515625" style="588" customWidth="1"/>
    <col min="9211" max="9211" width="10.5703125" style="588" customWidth="1"/>
    <col min="9212" max="9213" width="9.7109375" style="588" customWidth="1"/>
    <col min="9214" max="9214" width="34.5703125" style="588" customWidth="1"/>
    <col min="9215" max="9460" width="9.140625" style="588"/>
    <col min="9461" max="9461" width="6.140625" style="588" customWidth="1"/>
    <col min="9462" max="9462" width="17.28515625" style="588" customWidth="1"/>
    <col min="9463" max="9463" width="16.7109375" style="588" customWidth="1"/>
    <col min="9464" max="9464" width="9" style="588" bestFit="1" customWidth="1"/>
    <col min="9465" max="9465" width="8.42578125" style="588" bestFit="1" customWidth="1"/>
    <col min="9466" max="9466" width="10.28515625" style="588" customWidth="1"/>
    <col min="9467" max="9467" width="10.5703125" style="588" customWidth="1"/>
    <col min="9468" max="9469" width="9.7109375" style="588" customWidth="1"/>
    <col min="9470" max="9470" width="34.5703125" style="588" customWidth="1"/>
    <col min="9471" max="9716" width="9.140625" style="588"/>
    <col min="9717" max="9717" width="6.140625" style="588" customWidth="1"/>
    <col min="9718" max="9718" width="17.28515625" style="588" customWidth="1"/>
    <col min="9719" max="9719" width="16.7109375" style="588" customWidth="1"/>
    <col min="9720" max="9720" width="9" style="588" bestFit="1" customWidth="1"/>
    <col min="9721" max="9721" width="8.42578125" style="588" bestFit="1" customWidth="1"/>
    <col min="9722" max="9722" width="10.28515625" style="588" customWidth="1"/>
    <col min="9723" max="9723" width="10.5703125" style="588" customWidth="1"/>
    <col min="9724" max="9725" width="9.7109375" style="588" customWidth="1"/>
    <col min="9726" max="9726" width="34.5703125" style="588" customWidth="1"/>
    <col min="9727" max="9972" width="9.140625" style="588"/>
    <col min="9973" max="9973" width="6.140625" style="588" customWidth="1"/>
    <col min="9974" max="9974" width="17.28515625" style="588" customWidth="1"/>
    <col min="9975" max="9975" width="16.7109375" style="588" customWidth="1"/>
    <col min="9976" max="9976" width="9" style="588" bestFit="1" customWidth="1"/>
    <col min="9977" max="9977" width="8.42578125" style="588" bestFit="1" customWidth="1"/>
    <col min="9978" max="9978" width="10.28515625" style="588" customWidth="1"/>
    <col min="9979" max="9979" width="10.5703125" style="588" customWidth="1"/>
    <col min="9980" max="9981" width="9.7109375" style="588" customWidth="1"/>
    <col min="9982" max="9982" width="34.5703125" style="588" customWidth="1"/>
    <col min="9983" max="10228" width="9.140625" style="588"/>
    <col min="10229" max="10229" width="6.140625" style="588" customWidth="1"/>
    <col min="10230" max="10230" width="17.28515625" style="588" customWidth="1"/>
    <col min="10231" max="10231" width="16.7109375" style="588" customWidth="1"/>
    <col min="10232" max="10232" width="9" style="588" bestFit="1" customWidth="1"/>
    <col min="10233" max="10233" width="8.42578125" style="588" bestFit="1" customWidth="1"/>
    <col min="10234" max="10234" width="10.28515625" style="588" customWidth="1"/>
    <col min="10235" max="10235" width="10.5703125" style="588" customWidth="1"/>
    <col min="10236" max="10237" width="9.7109375" style="588" customWidth="1"/>
    <col min="10238" max="10238" width="34.5703125" style="588" customWidth="1"/>
    <col min="10239" max="10484" width="9.140625" style="588"/>
    <col min="10485" max="10485" width="6.140625" style="588" customWidth="1"/>
    <col min="10486" max="10486" width="17.28515625" style="588" customWidth="1"/>
    <col min="10487" max="10487" width="16.7109375" style="588" customWidth="1"/>
    <col min="10488" max="10488" width="9" style="588" bestFit="1" customWidth="1"/>
    <col min="10489" max="10489" width="8.42578125" style="588" bestFit="1" customWidth="1"/>
    <col min="10490" max="10490" width="10.28515625" style="588" customWidth="1"/>
    <col min="10491" max="10491" width="10.5703125" style="588" customWidth="1"/>
    <col min="10492" max="10493" width="9.7109375" style="588" customWidth="1"/>
    <col min="10494" max="10494" width="34.5703125" style="588" customWidth="1"/>
    <col min="10495" max="10740" width="9.140625" style="588"/>
    <col min="10741" max="10741" width="6.140625" style="588" customWidth="1"/>
    <col min="10742" max="10742" width="17.28515625" style="588" customWidth="1"/>
    <col min="10743" max="10743" width="16.7109375" style="588" customWidth="1"/>
    <col min="10744" max="10744" width="9" style="588" bestFit="1" customWidth="1"/>
    <col min="10745" max="10745" width="8.42578125" style="588" bestFit="1" customWidth="1"/>
    <col min="10746" max="10746" width="10.28515625" style="588" customWidth="1"/>
    <col min="10747" max="10747" width="10.5703125" style="588" customWidth="1"/>
    <col min="10748" max="10749" width="9.7109375" style="588" customWidth="1"/>
    <col min="10750" max="10750" width="34.5703125" style="588" customWidth="1"/>
    <col min="10751" max="10996" width="9.140625" style="588"/>
    <col min="10997" max="10997" width="6.140625" style="588" customWidth="1"/>
    <col min="10998" max="10998" width="17.28515625" style="588" customWidth="1"/>
    <col min="10999" max="10999" width="16.7109375" style="588" customWidth="1"/>
    <col min="11000" max="11000" width="9" style="588" bestFit="1" customWidth="1"/>
    <col min="11001" max="11001" width="8.42578125" style="588" bestFit="1" customWidth="1"/>
    <col min="11002" max="11002" width="10.28515625" style="588" customWidth="1"/>
    <col min="11003" max="11003" width="10.5703125" style="588" customWidth="1"/>
    <col min="11004" max="11005" width="9.7109375" style="588" customWidth="1"/>
    <col min="11006" max="11006" width="34.5703125" style="588" customWidth="1"/>
    <col min="11007" max="11252" width="9.140625" style="588"/>
    <col min="11253" max="11253" width="6.140625" style="588" customWidth="1"/>
    <col min="11254" max="11254" width="17.28515625" style="588" customWidth="1"/>
    <col min="11255" max="11255" width="16.7109375" style="588" customWidth="1"/>
    <col min="11256" max="11256" width="9" style="588" bestFit="1" customWidth="1"/>
    <col min="11257" max="11257" width="8.42578125" style="588" bestFit="1" customWidth="1"/>
    <col min="11258" max="11258" width="10.28515625" style="588" customWidth="1"/>
    <col min="11259" max="11259" width="10.5703125" style="588" customWidth="1"/>
    <col min="11260" max="11261" width="9.7109375" style="588" customWidth="1"/>
    <col min="11262" max="11262" width="34.5703125" style="588" customWidth="1"/>
    <col min="11263" max="11508" width="9.140625" style="588"/>
    <col min="11509" max="11509" width="6.140625" style="588" customWidth="1"/>
    <col min="11510" max="11510" width="17.28515625" style="588" customWidth="1"/>
    <col min="11511" max="11511" width="16.7109375" style="588" customWidth="1"/>
    <col min="11512" max="11512" width="9" style="588" bestFit="1" customWidth="1"/>
    <col min="11513" max="11513" width="8.42578125" style="588" bestFit="1" customWidth="1"/>
    <col min="11514" max="11514" width="10.28515625" style="588" customWidth="1"/>
    <col min="11515" max="11515" width="10.5703125" style="588" customWidth="1"/>
    <col min="11516" max="11517" width="9.7109375" style="588" customWidth="1"/>
    <col min="11518" max="11518" width="34.5703125" style="588" customWidth="1"/>
    <col min="11519" max="11764" width="9.140625" style="588"/>
    <col min="11765" max="11765" width="6.140625" style="588" customWidth="1"/>
    <col min="11766" max="11766" width="17.28515625" style="588" customWidth="1"/>
    <col min="11767" max="11767" width="16.7109375" style="588" customWidth="1"/>
    <col min="11768" max="11768" width="9" style="588" bestFit="1" customWidth="1"/>
    <col min="11769" max="11769" width="8.42578125" style="588" bestFit="1" customWidth="1"/>
    <col min="11770" max="11770" width="10.28515625" style="588" customWidth="1"/>
    <col min="11771" max="11771" width="10.5703125" style="588" customWidth="1"/>
    <col min="11772" max="11773" width="9.7109375" style="588" customWidth="1"/>
    <col min="11774" max="11774" width="34.5703125" style="588" customWidth="1"/>
    <col min="11775" max="12020" width="9.140625" style="588"/>
    <col min="12021" max="12021" width="6.140625" style="588" customWidth="1"/>
    <col min="12022" max="12022" width="17.28515625" style="588" customWidth="1"/>
    <col min="12023" max="12023" width="16.7109375" style="588" customWidth="1"/>
    <col min="12024" max="12024" width="9" style="588" bestFit="1" customWidth="1"/>
    <col min="12025" max="12025" width="8.42578125" style="588" bestFit="1" customWidth="1"/>
    <col min="12026" max="12026" width="10.28515625" style="588" customWidth="1"/>
    <col min="12027" max="12027" width="10.5703125" style="588" customWidth="1"/>
    <col min="12028" max="12029" width="9.7109375" style="588" customWidth="1"/>
    <col min="12030" max="12030" width="34.5703125" style="588" customWidth="1"/>
    <col min="12031" max="12276" width="9.140625" style="588"/>
    <col min="12277" max="12277" width="6.140625" style="588" customWidth="1"/>
    <col min="12278" max="12278" width="17.28515625" style="588" customWidth="1"/>
    <col min="12279" max="12279" width="16.7109375" style="588" customWidth="1"/>
    <col min="12280" max="12280" width="9" style="588" bestFit="1" customWidth="1"/>
    <col min="12281" max="12281" width="8.42578125" style="588" bestFit="1" customWidth="1"/>
    <col min="12282" max="12282" width="10.28515625" style="588" customWidth="1"/>
    <col min="12283" max="12283" width="10.5703125" style="588" customWidth="1"/>
    <col min="12284" max="12285" width="9.7109375" style="588" customWidth="1"/>
    <col min="12286" max="12286" width="34.5703125" style="588" customWidth="1"/>
    <col min="12287" max="12532" width="9.140625" style="588"/>
    <col min="12533" max="12533" width="6.140625" style="588" customWidth="1"/>
    <col min="12534" max="12534" width="17.28515625" style="588" customWidth="1"/>
    <col min="12535" max="12535" width="16.7109375" style="588" customWidth="1"/>
    <col min="12536" max="12536" width="9" style="588" bestFit="1" customWidth="1"/>
    <col min="12537" max="12537" width="8.42578125" style="588" bestFit="1" customWidth="1"/>
    <col min="12538" max="12538" width="10.28515625" style="588" customWidth="1"/>
    <col min="12539" max="12539" width="10.5703125" style="588" customWidth="1"/>
    <col min="12540" max="12541" width="9.7109375" style="588" customWidth="1"/>
    <col min="12542" max="12542" width="34.5703125" style="588" customWidth="1"/>
    <col min="12543" max="12788" width="9.140625" style="588"/>
    <col min="12789" max="12789" width="6.140625" style="588" customWidth="1"/>
    <col min="12790" max="12790" width="17.28515625" style="588" customWidth="1"/>
    <col min="12791" max="12791" width="16.7109375" style="588" customWidth="1"/>
    <col min="12792" max="12792" width="9" style="588" bestFit="1" customWidth="1"/>
    <col min="12793" max="12793" width="8.42578125" style="588" bestFit="1" customWidth="1"/>
    <col min="12794" max="12794" width="10.28515625" style="588" customWidth="1"/>
    <col min="12795" max="12795" width="10.5703125" style="588" customWidth="1"/>
    <col min="12796" max="12797" width="9.7109375" style="588" customWidth="1"/>
    <col min="12798" max="12798" width="34.5703125" style="588" customWidth="1"/>
    <col min="12799" max="13044" width="9.140625" style="588"/>
    <col min="13045" max="13045" width="6.140625" style="588" customWidth="1"/>
    <col min="13046" max="13046" width="17.28515625" style="588" customWidth="1"/>
    <col min="13047" max="13047" width="16.7109375" style="588" customWidth="1"/>
    <col min="13048" max="13048" width="9" style="588" bestFit="1" customWidth="1"/>
    <col min="13049" max="13049" width="8.42578125" style="588" bestFit="1" customWidth="1"/>
    <col min="13050" max="13050" width="10.28515625" style="588" customWidth="1"/>
    <col min="13051" max="13051" width="10.5703125" style="588" customWidth="1"/>
    <col min="13052" max="13053" width="9.7109375" style="588" customWidth="1"/>
    <col min="13054" max="13054" width="34.5703125" style="588" customWidth="1"/>
    <col min="13055" max="13300" width="9.140625" style="588"/>
    <col min="13301" max="13301" width="6.140625" style="588" customWidth="1"/>
    <col min="13302" max="13302" width="17.28515625" style="588" customWidth="1"/>
    <col min="13303" max="13303" width="16.7109375" style="588" customWidth="1"/>
    <col min="13304" max="13304" width="9" style="588" bestFit="1" customWidth="1"/>
    <col min="13305" max="13305" width="8.42578125" style="588" bestFit="1" customWidth="1"/>
    <col min="13306" max="13306" width="10.28515625" style="588" customWidth="1"/>
    <col min="13307" max="13307" width="10.5703125" style="588" customWidth="1"/>
    <col min="13308" max="13309" width="9.7109375" style="588" customWidth="1"/>
    <col min="13310" max="13310" width="34.5703125" style="588" customWidth="1"/>
    <col min="13311" max="13556" width="9.140625" style="588"/>
    <col min="13557" max="13557" width="6.140625" style="588" customWidth="1"/>
    <col min="13558" max="13558" width="17.28515625" style="588" customWidth="1"/>
    <col min="13559" max="13559" width="16.7109375" style="588" customWidth="1"/>
    <col min="13560" max="13560" width="9" style="588" bestFit="1" customWidth="1"/>
    <col min="13561" max="13561" width="8.42578125" style="588" bestFit="1" customWidth="1"/>
    <col min="13562" max="13562" width="10.28515625" style="588" customWidth="1"/>
    <col min="13563" max="13563" width="10.5703125" style="588" customWidth="1"/>
    <col min="13564" max="13565" width="9.7109375" style="588" customWidth="1"/>
    <col min="13566" max="13566" width="34.5703125" style="588" customWidth="1"/>
    <col min="13567" max="13812" width="9.140625" style="588"/>
    <col min="13813" max="13813" width="6.140625" style="588" customWidth="1"/>
    <col min="13814" max="13814" width="17.28515625" style="588" customWidth="1"/>
    <col min="13815" max="13815" width="16.7109375" style="588" customWidth="1"/>
    <col min="13816" max="13816" width="9" style="588" bestFit="1" customWidth="1"/>
    <col min="13817" max="13817" width="8.42578125" style="588" bestFit="1" customWidth="1"/>
    <col min="13818" max="13818" width="10.28515625" style="588" customWidth="1"/>
    <col min="13819" max="13819" width="10.5703125" style="588" customWidth="1"/>
    <col min="13820" max="13821" width="9.7109375" style="588" customWidth="1"/>
    <col min="13822" max="13822" width="34.5703125" style="588" customWidth="1"/>
    <col min="13823" max="14068" width="9.140625" style="588"/>
    <col min="14069" max="14069" width="6.140625" style="588" customWidth="1"/>
    <col min="14070" max="14070" width="17.28515625" style="588" customWidth="1"/>
    <col min="14071" max="14071" width="16.7109375" style="588" customWidth="1"/>
    <col min="14072" max="14072" width="9" style="588" bestFit="1" customWidth="1"/>
    <col min="14073" max="14073" width="8.42578125" style="588" bestFit="1" customWidth="1"/>
    <col min="14074" max="14074" width="10.28515625" style="588" customWidth="1"/>
    <col min="14075" max="14075" width="10.5703125" style="588" customWidth="1"/>
    <col min="14076" max="14077" width="9.7109375" style="588" customWidth="1"/>
    <col min="14078" max="14078" width="34.5703125" style="588" customWidth="1"/>
    <col min="14079" max="14324" width="9.140625" style="588"/>
    <col min="14325" max="14325" width="6.140625" style="588" customWidth="1"/>
    <col min="14326" max="14326" width="17.28515625" style="588" customWidth="1"/>
    <col min="14327" max="14327" width="16.7109375" style="588" customWidth="1"/>
    <col min="14328" max="14328" width="9" style="588" bestFit="1" customWidth="1"/>
    <col min="14329" max="14329" width="8.42578125" style="588" bestFit="1" customWidth="1"/>
    <col min="14330" max="14330" width="10.28515625" style="588" customWidth="1"/>
    <col min="14331" max="14331" width="10.5703125" style="588" customWidth="1"/>
    <col min="14332" max="14333" width="9.7109375" style="588" customWidth="1"/>
    <col min="14334" max="14334" width="34.5703125" style="588" customWidth="1"/>
    <col min="14335" max="14580" width="9.140625" style="588"/>
    <col min="14581" max="14581" width="6.140625" style="588" customWidth="1"/>
    <col min="14582" max="14582" width="17.28515625" style="588" customWidth="1"/>
    <col min="14583" max="14583" width="16.7109375" style="588" customWidth="1"/>
    <col min="14584" max="14584" width="9" style="588" bestFit="1" customWidth="1"/>
    <col min="14585" max="14585" width="8.42578125" style="588" bestFit="1" customWidth="1"/>
    <col min="14586" max="14586" width="10.28515625" style="588" customWidth="1"/>
    <col min="14587" max="14587" width="10.5703125" style="588" customWidth="1"/>
    <col min="14588" max="14589" width="9.7109375" style="588" customWidth="1"/>
    <col min="14590" max="14590" width="34.5703125" style="588" customWidth="1"/>
    <col min="14591" max="14836" width="9.140625" style="588"/>
    <col min="14837" max="14837" width="6.140625" style="588" customWidth="1"/>
    <col min="14838" max="14838" width="17.28515625" style="588" customWidth="1"/>
    <col min="14839" max="14839" width="16.7109375" style="588" customWidth="1"/>
    <col min="14840" max="14840" width="9" style="588" bestFit="1" customWidth="1"/>
    <col min="14841" max="14841" width="8.42578125" style="588" bestFit="1" customWidth="1"/>
    <col min="14842" max="14842" width="10.28515625" style="588" customWidth="1"/>
    <col min="14843" max="14843" width="10.5703125" style="588" customWidth="1"/>
    <col min="14844" max="14845" width="9.7109375" style="588" customWidth="1"/>
    <col min="14846" max="14846" width="34.5703125" style="588" customWidth="1"/>
    <col min="14847" max="15092" width="9.140625" style="588"/>
    <col min="15093" max="15093" width="6.140625" style="588" customWidth="1"/>
    <col min="15094" max="15094" width="17.28515625" style="588" customWidth="1"/>
    <col min="15095" max="15095" width="16.7109375" style="588" customWidth="1"/>
    <col min="15096" max="15096" width="9" style="588" bestFit="1" customWidth="1"/>
    <col min="15097" max="15097" width="8.42578125" style="588" bestFit="1" customWidth="1"/>
    <col min="15098" max="15098" width="10.28515625" style="588" customWidth="1"/>
    <col min="15099" max="15099" width="10.5703125" style="588" customWidth="1"/>
    <col min="15100" max="15101" width="9.7109375" style="588" customWidth="1"/>
    <col min="15102" max="15102" width="34.5703125" style="588" customWidth="1"/>
    <col min="15103" max="15348" width="9.140625" style="588"/>
    <col min="15349" max="15349" width="6.140625" style="588" customWidth="1"/>
    <col min="15350" max="15350" width="17.28515625" style="588" customWidth="1"/>
    <col min="15351" max="15351" width="16.7109375" style="588" customWidth="1"/>
    <col min="15352" max="15352" width="9" style="588" bestFit="1" customWidth="1"/>
    <col min="15353" max="15353" width="8.42578125" style="588" bestFit="1" customWidth="1"/>
    <col min="15354" max="15354" width="10.28515625" style="588" customWidth="1"/>
    <col min="15355" max="15355" width="10.5703125" style="588" customWidth="1"/>
    <col min="15356" max="15357" width="9.7109375" style="588" customWidth="1"/>
    <col min="15358" max="15358" width="34.5703125" style="588" customWidth="1"/>
    <col min="15359" max="15604" width="9.140625" style="588"/>
    <col min="15605" max="15605" width="6.140625" style="588" customWidth="1"/>
    <col min="15606" max="15606" width="17.28515625" style="588" customWidth="1"/>
    <col min="15607" max="15607" width="16.7109375" style="588" customWidth="1"/>
    <col min="15608" max="15608" width="9" style="588" bestFit="1" customWidth="1"/>
    <col min="15609" max="15609" width="8.42578125" style="588" bestFit="1" customWidth="1"/>
    <col min="15610" max="15610" width="10.28515625" style="588" customWidth="1"/>
    <col min="15611" max="15611" width="10.5703125" style="588" customWidth="1"/>
    <col min="15612" max="15613" width="9.7109375" style="588" customWidth="1"/>
    <col min="15614" max="15614" width="34.5703125" style="588" customWidth="1"/>
    <col min="15615" max="15860" width="9.140625" style="588"/>
    <col min="15861" max="15861" width="6.140625" style="588" customWidth="1"/>
    <col min="15862" max="15862" width="17.28515625" style="588" customWidth="1"/>
    <col min="15863" max="15863" width="16.7109375" style="588" customWidth="1"/>
    <col min="15864" max="15864" width="9" style="588" bestFit="1" customWidth="1"/>
    <col min="15865" max="15865" width="8.42578125" style="588" bestFit="1" customWidth="1"/>
    <col min="15866" max="15866" width="10.28515625" style="588" customWidth="1"/>
    <col min="15867" max="15867" width="10.5703125" style="588" customWidth="1"/>
    <col min="15868" max="15869" width="9.7109375" style="588" customWidth="1"/>
    <col min="15870" max="15870" width="34.5703125" style="588" customWidth="1"/>
    <col min="15871" max="16116" width="9.140625" style="588"/>
    <col min="16117" max="16117" width="6.140625" style="588" customWidth="1"/>
    <col min="16118" max="16118" width="17.28515625" style="588" customWidth="1"/>
    <col min="16119" max="16119" width="16.7109375" style="588" customWidth="1"/>
    <col min="16120" max="16120" width="9" style="588" bestFit="1" customWidth="1"/>
    <col min="16121" max="16121" width="8.42578125" style="588" bestFit="1" customWidth="1"/>
    <col min="16122" max="16122" width="10.28515625" style="588" customWidth="1"/>
    <col min="16123" max="16123" width="10.5703125" style="588" customWidth="1"/>
    <col min="16124" max="16125" width="9.7109375" style="588" customWidth="1"/>
    <col min="16126" max="16126" width="34.5703125" style="588" customWidth="1"/>
    <col min="16127" max="16384" width="9.140625" style="588"/>
  </cols>
  <sheetData>
    <row r="1" spans="1:12" x14ac:dyDescent="0.2">
      <c r="I1" s="755" t="s">
        <v>842</v>
      </c>
    </row>
    <row r="2" spans="1:12" x14ac:dyDescent="0.2">
      <c r="I2" s="755" t="s">
        <v>843</v>
      </c>
    </row>
    <row r="3" spans="1:12" x14ac:dyDescent="0.2">
      <c r="I3" s="755" t="s">
        <v>844</v>
      </c>
    </row>
    <row r="4" spans="1:12" x14ac:dyDescent="0.2">
      <c r="A4" s="588" t="s">
        <v>355</v>
      </c>
      <c r="B4" s="727"/>
      <c r="C4" s="727"/>
      <c r="D4" s="727"/>
      <c r="E4" s="727"/>
      <c r="F4" s="727"/>
      <c r="G4" s="727"/>
      <c r="H4" s="727"/>
      <c r="I4" s="727"/>
    </row>
    <row r="5" spans="1:12" x14ac:dyDescent="0.2">
      <c r="A5" s="1673" t="s">
        <v>356</v>
      </c>
      <c r="B5" s="1673"/>
      <c r="C5" s="727"/>
      <c r="D5" s="727"/>
      <c r="E5" s="727"/>
      <c r="F5" s="727"/>
      <c r="G5" s="727"/>
      <c r="H5" s="727"/>
      <c r="I5" s="727"/>
    </row>
    <row r="6" spans="1:12" ht="15.75" x14ac:dyDescent="0.25">
      <c r="A6" s="1752" t="s">
        <v>357</v>
      </c>
      <c r="B6" s="1752"/>
      <c r="C6" s="1752"/>
      <c r="D6" s="1752"/>
      <c r="E6" s="1752"/>
      <c r="F6" s="1752"/>
      <c r="G6" s="1752"/>
      <c r="H6" s="1752"/>
      <c r="I6" s="1752"/>
    </row>
    <row r="7" spans="1:12" ht="15.75" x14ac:dyDescent="0.25">
      <c r="A7" s="728"/>
      <c r="B7" s="728"/>
      <c r="C7" s="728"/>
      <c r="D7" s="728"/>
      <c r="E7" s="728"/>
      <c r="F7" s="728"/>
      <c r="G7" s="728"/>
      <c r="H7" s="728"/>
      <c r="I7" s="728"/>
    </row>
    <row r="8" spans="1:12" ht="15.75" x14ac:dyDescent="0.25">
      <c r="A8" s="1673" t="s">
        <v>358</v>
      </c>
      <c r="B8" s="1673"/>
      <c r="C8" s="756" t="s">
        <v>845</v>
      </c>
      <c r="D8" s="756"/>
      <c r="E8" s="756"/>
      <c r="F8" s="756"/>
      <c r="G8" s="756"/>
      <c r="H8" s="756"/>
      <c r="I8" s="756"/>
    </row>
    <row r="9" spans="1:12" x14ac:dyDescent="0.2">
      <c r="A9" s="1673" t="s">
        <v>360</v>
      </c>
      <c r="B9" s="1673"/>
      <c r="C9" s="727" t="s">
        <v>516</v>
      </c>
      <c r="D9" s="727"/>
      <c r="E9" s="727"/>
      <c r="F9" s="727"/>
      <c r="G9" s="727"/>
      <c r="H9" s="727"/>
      <c r="I9" s="727"/>
    </row>
    <row r="10" spans="1:12" x14ac:dyDescent="0.2">
      <c r="A10" s="1673" t="s">
        <v>362</v>
      </c>
      <c r="B10" s="1673"/>
      <c r="C10" s="1753" t="s">
        <v>515</v>
      </c>
      <c r="D10" s="1753"/>
      <c r="E10" s="1753"/>
      <c r="F10" s="1753"/>
      <c r="G10" s="1753"/>
      <c r="H10" s="1753"/>
      <c r="I10" s="1753"/>
    </row>
    <row r="11" spans="1:12" ht="36" x14ac:dyDescent="0.2">
      <c r="A11" s="547" t="s">
        <v>364</v>
      </c>
      <c r="B11" s="1754" t="s">
        <v>365</v>
      </c>
      <c r="C11" s="1755"/>
      <c r="D11" s="547" t="s">
        <v>366</v>
      </c>
      <c r="E11" s="547" t="s">
        <v>367</v>
      </c>
      <c r="F11" s="547" t="s">
        <v>538</v>
      </c>
      <c r="G11" s="547" t="s">
        <v>369</v>
      </c>
      <c r="H11" s="547" t="s">
        <v>26</v>
      </c>
      <c r="I11" s="547" t="s">
        <v>370</v>
      </c>
    </row>
    <row r="12" spans="1:12" ht="12.75" customHeight="1" x14ac:dyDescent="0.2">
      <c r="A12" s="1660" t="s">
        <v>371</v>
      </c>
      <c r="B12" s="1661"/>
      <c r="C12" s="1662"/>
      <c r="D12" s="549"/>
      <c r="E12" s="549">
        <f>SUM(E13:E22)</f>
        <v>85275</v>
      </c>
      <c r="F12" s="549">
        <f t="shared" ref="F12:G12" si="0">SUM(F13:F22)</f>
        <v>-8906</v>
      </c>
      <c r="G12" s="549">
        <f t="shared" si="0"/>
        <v>76369</v>
      </c>
      <c r="H12" s="549">
        <f>SUM(H13:H21)</f>
        <v>0</v>
      </c>
      <c r="I12" s="549"/>
      <c r="K12" s="729"/>
      <c r="L12" s="729"/>
    </row>
    <row r="13" spans="1:12" ht="39" customHeight="1" x14ac:dyDescent="0.2">
      <c r="A13" s="660">
        <v>1</v>
      </c>
      <c r="B13" s="1640" t="s">
        <v>846</v>
      </c>
      <c r="C13" s="1641"/>
      <c r="D13" s="757">
        <v>2231</v>
      </c>
      <c r="E13" s="554">
        <v>26000</v>
      </c>
      <c r="F13" s="554"/>
      <c r="G13" s="554">
        <f>E13+F13</f>
        <v>26000</v>
      </c>
      <c r="H13" s="554"/>
      <c r="I13" s="554" t="s">
        <v>847</v>
      </c>
      <c r="K13" s="729"/>
      <c r="L13" s="729"/>
    </row>
    <row r="14" spans="1:12" ht="52.5" customHeight="1" x14ac:dyDescent="0.2">
      <c r="A14" s="660">
        <v>2</v>
      </c>
      <c r="B14" s="1640" t="s">
        <v>848</v>
      </c>
      <c r="C14" s="1641"/>
      <c r="D14" s="757">
        <v>2122</v>
      </c>
      <c r="E14" s="554">
        <v>20000</v>
      </c>
      <c r="F14" s="557">
        <f>-13600+7694</f>
        <v>-5906</v>
      </c>
      <c r="G14" s="554">
        <f t="shared" ref="G14:G22" si="1">E14+F14</f>
        <v>14094</v>
      </c>
      <c r="H14" s="554" t="s">
        <v>849</v>
      </c>
      <c r="I14" s="554" t="s">
        <v>847</v>
      </c>
      <c r="K14" s="729"/>
      <c r="L14" s="729"/>
    </row>
    <row r="15" spans="1:12" ht="24" x14ac:dyDescent="0.2">
      <c r="A15" s="660">
        <v>3</v>
      </c>
      <c r="B15" s="1640" t="s">
        <v>850</v>
      </c>
      <c r="C15" s="1641"/>
      <c r="D15" s="757">
        <v>2121</v>
      </c>
      <c r="E15" s="554">
        <v>5000</v>
      </c>
      <c r="F15" s="557">
        <v>-3000</v>
      </c>
      <c r="G15" s="554">
        <f t="shared" si="1"/>
        <v>2000</v>
      </c>
      <c r="H15" s="554" t="s">
        <v>849</v>
      </c>
      <c r="I15" s="554" t="s">
        <v>847</v>
      </c>
      <c r="K15" s="729"/>
      <c r="L15" s="729"/>
    </row>
    <row r="16" spans="1:12" ht="66" customHeight="1" x14ac:dyDescent="0.2">
      <c r="A16" s="660">
        <v>4</v>
      </c>
      <c r="B16" s="1640" t="s">
        <v>851</v>
      </c>
      <c r="C16" s="1641"/>
      <c r="D16" s="757">
        <v>2231</v>
      </c>
      <c r="E16" s="554">
        <v>19000</v>
      </c>
      <c r="F16" s="554"/>
      <c r="G16" s="554">
        <f t="shared" si="1"/>
        <v>19000</v>
      </c>
      <c r="H16" s="554"/>
      <c r="I16" s="554" t="s">
        <v>847</v>
      </c>
      <c r="K16" s="729"/>
      <c r="L16" s="729"/>
    </row>
    <row r="17" spans="1:14" ht="36.75" customHeight="1" x14ac:dyDescent="0.2">
      <c r="A17" s="660">
        <v>5</v>
      </c>
      <c r="B17" s="1640" t="s">
        <v>852</v>
      </c>
      <c r="C17" s="1641"/>
      <c r="D17" s="757">
        <v>2314</v>
      </c>
      <c r="E17" s="554">
        <f>7000-940</f>
        <v>6060</v>
      </c>
      <c r="F17" s="557"/>
      <c r="G17" s="554">
        <f t="shared" si="1"/>
        <v>6060</v>
      </c>
      <c r="H17" s="554"/>
      <c r="I17" s="554" t="s">
        <v>847</v>
      </c>
      <c r="K17" s="729"/>
      <c r="L17" s="729"/>
    </row>
    <row r="18" spans="1:14" ht="30.75" customHeight="1" x14ac:dyDescent="0.2">
      <c r="A18" s="660">
        <v>6</v>
      </c>
      <c r="B18" s="1640" t="s">
        <v>853</v>
      </c>
      <c r="C18" s="1641"/>
      <c r="D18" s="757">
        <v>2232</v>
      </c>
      <c r="E18" s="554">
        <v>3000</v>
      </c>
      <c r="F18" s="554"/>
      <c r="G18" s="554">
        <f t="shared" si="1"/>
        <v>3000</v>
      </c>
      <c r="H18" s="554"/>
      <c r="I18" s="554" t="s">
        <v>847</v>
      </c>
      <c r="K18" s="729"/>
      <c r="L18" s="729"/>
    </row>
    <row r="19" spans="1:14" ht="27.75" customHeight="1" x14ac:dyDescent="0.2">
      <c r="A19" s="660">
        <v>7</v>
      </c>
      <c r="B19" s="1640" t="s">
        <v>854</v>
      </c>
      <c r="C19" s="1641"/>
      <c r="D19" s="757">
        <v>2279</v>
      </c>
      <c r="E19" s="554">
        <v>2275</v>
      </c>
      <c r="F19" s="554"/>
      <c r="G19" s="554">
        <f t="shared" si="1"/>
        <v>2275</v>
      </c>
      <c r="H19" s="554"/>
      <c r="I19" s="554" t="s">
        <v>855</v>
      </c>
      <c r="K19" s="729"/>
      <c r="L19" s="729"/>
    </row>
    <row r="20" spans="1:14" ht="27.75" customHeight="1" x14ac:dyDescent="0.2">
      <c r="A20" s="660">
        <v>8</v>
      </c>
      <c r="B20" s="1640" t="s">
        <v>856</v>
      </c>
      <c r="C20" s="1641"/>
      <c r="D20" s="757">
        <v>1150</v>
      </c>
      <c r="E20" s="554">
        <v>940</v>
      </c>
      <c r="F20" s="554"/>
      <c r="G20" s="554">
        <f t="shared" si="1"/>
        <v>940</v>
      </c>
      <c r="H20" s="554"/>
      <c r="I20" s="554"/>
      <c r="K20" s="729"/>
      <c r="L20" s="729"/>
    </row>
    <row r="21" spans="1:14" ht="21.75" customHeight="1" x14ac:dyDescent="0.2">
      <c r="A21" s="596">
        <v>9</v>
      </c>
      <c r="B21" s="1640" t="s">
        <v>857</v>
      </c>
      <c r="C21" s="1641"/>
      <c r="D21" s="758">
        <v>2262</v>
      </c>
      <c r="E21" s="554">
        <v>3000</v>
      </c>
      <c r="F21" s="554"/>
      <c r="G21" s="554">
        <f t="shared" si="1"/>
        <v>3000</v>
      </c>
      <c r="H21" s="554"/>
      <c r="I21" s="554" t="s">
        <v>847</v>
      </c>
      <c r="K21" s="729"/>
      <c r="L21" s="729"/>
      <c r="M21" s="759"/>
      <c r="N21" s="561"/>
    </row>
    <row r="22" spans="1:14" ht="39" hidden="1" customHeight="1" x14ac:dyDescent="0.2">
      <c r="A22" s="596">
        <v>9</v>
      </c>
      <c r="B22" s="1640" t="s">
        <v>856</v>
      </c>
      <c r="C22" s="1641"/>
      <c r="D22" s="758">
        <v>1150</v>
      </c>
      <c r="E22" s="554">
        <v>0</v>
      </c>
      <c r="F22" s="557"/>
      <c r="G22" s="554">
        <f t="shared" si="1"/>
        <v>0</v>
      </c>
      <c r="H22" s="554"/>
      <c r="I22" s="554"/>
    </row>
    <row r="23" spans="1:14" x14ac:dyDescent="0.2">
      <c r="A23" s="760"/>
      <c r="B23" s="760"/>
      <c r="C23" s="760"/>
      <c r="D23" s="760"/>
      <c r="E23" s="760"/>
      <c r="F23" s="760"/>
      <c r="G23" s="760"/>
      <c r="H23" s="760"/>
      <c r="I23" s="760"/>
    </row>
    <row r="24" spans="1:14" x14ac:dyDescent="0.2">
      <c r="A24" s="588" t="s">
        <v>858</v>
      </c>
    </row>
    <row r="25" spans="1:14" x14ac:dyDescent="0.2">
      <c r="A25" s="588" t="s">
        <v>859</v>
      </c>
    </row>
    <row r="26" spans="1:14" x14ac:dyDescent="0.2">
      <c r="A26" s="761" t="s">
        <v>837</v>
      </c>
    </row>
    <row r="27" spans="1:14" x14ac:dyDescent="0.2">
      <c r="A27" s="1756" t="s">
        <v>860</v>
      </c>
      <c r="B27" s="1756"/>
      <c r="C27" s="1756"/>
      <c r="D27" s="1756"/>
      <c r="E27" s="1756"/>
      <c r="F27" s="1756"/>
      <c r="G27" s="1756"/>
      <c r="H27" s="1756"/>
      <c r="I27" s="1756"/>
    </row>
    <row r="28" spans="1:14" x14ac:dyDescent="0.2">
      <c r="A28" s="588" t="s">
        <v>861</v>
      </c>
    </row>
    <row r="30" spans="1:14" customFormat="1" ht="15.75" x14ac:dyDescent="0.25">
      <c r="A30" s="1757"/>
      <c r="B30" s="1757"/>
      <c r="C30" s="1757"/>
      <c r="D30" s="1757"/>
      <c r="E30" s="1757"/>
      <c r="F30" s="1757"/>
      <c r="G30" s="1757"/>
      <c r="H30" s="1757"/>
    </row>
    <row r="31" spans="1:14" s="605" customFormat="1" x14ac:dyDescent="0.2"/>
    <row r="32" spans="1:14" s="762" customFormat="1" ht="12.75" x14ac:dyDescent="0.2">
      <c r="C32" s="763"/>
      <c r="D32" s="763"/>
    </row>
    <row r="33" spans="1:7" s="767" customFormat="1" ht="18.75" x14ac:dyDescent="0.3">
      <c r="A33" s="764"/>
      <c r="B33" s="765"/>
      <c r="C33" s="766"/>
      <c r="D33" s="766"/>
      <c r="E33" s="764"/>
    </row>
    <row r="34" spans="1:7" s="769" customFormat="1" x14ac:dyDescent="0.2">
      <c r="A34" s="768"/>
      <c r="B34" s="760"/>
      <c r="C34" s="768"/>
      <c r="D34" s="768"/>
      <c r="E34" s="768"/>
      <c r="F34" s="768"/>
      <c r="G34" s="768"/>
    </row>
    <row r="35" spans="1:7" s="762" customFormat="1" ht="12.75" x14ac:dyDescent="0.2">
      <c r="C35" s="763"/>
      <c r="D35" s="763"/>
    </row>
    <row r="36" spans="1:7" s="762" customFormat="1" ht="12.75" x14ac:dyDescent="0.2">
      <c r="C36" s="763"/>
      <c r="D36" s="763"/>
    </row>
    <row r="37" spans="1:7" s="767" customFormat="1" ht="18.75" x14ac:dyDescent="0.3">
      <c r="A37" s="764"/>
      <c r="B37" s="765"/>
      <c r="C37" s="766"/>
      <c r="D37" s="766"/>
      <c r="E37" s="764"/>
    </row>
    <row r="38" spans="1:7" s="769" customFormat="1" x14ac:dyDescent="0.2">
      <c r="A38" s="768"/>
      <c r="B38" s="760"/>
      <c r="C38" s="768"/>
      <c r="D38" s="768"/>
      <c r="E38" s="768"/>
      <c r="F38" s="768"/>
      <c r="G38" s="768"/>
    </row>
  </sheetData>
  <sheetProtection algorithmName="SHA-512" hashValue="a4QGSLKWdDhjMK+u3Y0rTyMYPsqbcJxjoYRc0qumJcKANhENGOs4p17FN6NauyPSIMcf4xvvYIW5yqt3Y7/ZTw==" saltValue="gzPuwVzT+BdrFslUJj+rrw==" spinCount="100000" sheet="1" objects="1" scenarios="1"/>
  <mergeCells count="20">
    <mergeCell ref="A27:I27"/>
    <mergeCell ref="A30:H30"/>
    <mergeCell ref="B17:C17"/>
    <mergeCell ref="B18:C18"/>
    <mergeCell ref="B19:C19"/>
    <mergeCell ref="B20:C20"/>
    <mergeCell ref="B21:C21"/>
    <mergeCell ref="B22:C22"/>
    <mergeCell ref="B16:C16"/>
    <mergeCell ref="A5:B5"/>
    <mergeCell ref="A6:I6"/>
    <mergeCell ref="A8:B8"/>
    <mergeCell ref="A9:B9"/>
    <mergeCell ref="A10:B10"/>
    <mergeCell ref="C10:I10"/>
    <mergeCell ref="B11:C11"/>
    <mergeCell ref="A12:C12"/>
    <mergeCell ref="B13:C13"/>
    <mergeCell ref="B14:C14"/>
    <mergeCell ref="B15:C15"/>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116.pielikums Jūrmalas pilsētas domes
2017.gada 30.janvāra saistošajiem noteikumiem Nr.10
(Protokols Nr.4, 1.punkts)
 </firstHeader>
    <firstFooter>&amp;L&amp;9&amp;D; &amp;T&amp;R&amp;9&amp;P (&amp;N)</first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122"/>
  <sheetViews>
    <sheetView view="pageLayout" zoomScaleNormal="100" workbookViewId="0">
      <selection activeCell="O11" sqref="O11"/>
    </sheetView>
  </sheetViews>
  <sheetFormatPr defaultRowHeight="12" outlineLevelCol="1" x14ac:dyDescent="0.2"/>
  <cols>
    <col min="1" max="1" width="6.7109375" style="809" customWidth="1"/>
    <col min="2" max="2" width="36.42578125" style="809" customWidth="1"/>
    <col min="3" max="3" width="10.5703125" style="809" customWidth="1"/>
    <col min="4" max="4" width="10.42578125" style="809" hidden="1" customWidth="1" outlineLevel="1"/>
    <col min="5" max="5" width="11.5703125" style="809" hidden="1" customWidth="1" outlineLevel="1"/>
    <col min="6" max="6" width="11" style="809" hidden="1" customWidth="1" outlineLevel="1"/>
    <col min="7" max="7" width="9.7109375" style="809" hidden="1" customWidth="1" outlineLevel="1"/>
    <col min="8" max="8" width="11.140625" style="809" customWidth="1" collapsed="1"/>
    <col min="9" max="9" width="11.28515625" style="809" customWidth="1"/>
    <col min="10" max="10" width="31.28515625" style="809" hidden="1" customWidth="1" outlineLevel="1"/>
    <col min="11" max="11" width="8.7109375" style="809" customWidth="1" collapsed="1"/>
    <col min="12" max="16384" width="9.140625" style="809"/>
  </cols>
  <sheetData>
    <row r="1" spans="1:15" x14ac:dyDescent="0.2">
      <c r="K1" s="810" t="s">
        <v>899</v>
      </c>
    </row>
    <row r="2" spans="1:15" x14ac:dyDescent="0.2">
      <c r="K2" s="810" t="s">
        <v>353</v>
      </c>
    </row>
    <row r="3" spans="1:15" x14ac:dyDescent="0.2">
      <c r="K3" s="810" t="s">
        <v>354</v>
      </c>
    </row>
    <row r="4" spans="1:15" x14ac:dyDescent="0.2">
      <c r="A4" s="588" t="s">
        <v>355</v>
      </c>
      <c r="B4" s="727"/>
      <c r="C4" s="811"/>
      <c r="D4" s="811"/>
      <c r="E4" s="811"/>
      <c r="F4" s="811"/>
      <c r="G4" s="811"/>
      <c r="H4" s="811"/>
      <c r="I4" s="811"/>
      <c r="J4" s="811"/>
      <c r="K4" s="811"/>
      <c r="L4" s="811"/>
    </row>
    <row r="5" spans="1:15" x14ac:dyDescent="0.2">
      <c r="A5" s="1673" t="s">
        <v>356</v>
      </c>
      <c r="B5" s="1673"/>
      <c r="C5" s="811"/>
      <c r="D5" s="811"/>
      <c r="E5" s="811"/>
      <c r="F5" s="811"/>
      <c r="G5" s="811"/>
      <c r="H5" s="811"/>
      <c r="I5" s="811"/>
      <c r="J5" s="811"/>
      <c r="K5" s="811"/>
      <c r="L5" s="811"/>
    </row>
    <row r="6" spans="1:15" x14ac:dyDescent="0.2">
      <c r="A6" s="812"/>
      <c r="B6" s="812"/>
      <c r="C6" s="811"/>
      <c r="D6" s="811"/>
      <c r="E6" s="811"/>
      <c r="F6" s="811"/>
      <c r="G6" s="811"/>
      <c r="H6" s="811"/>
      <c r="I6" s="811"/>
      <c r="J6" s="811"/>
      <c r="K6" s="811"/>
      <c r="L6" s="811"/>
    </row>
    <row r="7" spans="1:15" ht="15.75" x14ac:dyDescent="0.25">
      <c r="A7" s="1758" t="s">
        <v>900</v>
      </c>
      <c r="B7" s="1758"/>
      <c r="C7" s="1758"/>
      <c r="D7" s="1758"/>
      <c r="E7" s="1758"/>
      <c r="F7" s="1758"/>
      <c r="G7" s="1758"/>
      <c r="H7" s="1758"/>
      <c r="I7" s="1758"/>
      <c r="J7" s="1758"/>
      <c r="K7" s="1758"/>
    </row>
    <row r="8" spans="1:15" ht="15.75" x14ac:dyDescent="0.25">
      <c r="A8" s="813"/>
      <c r="B8" s="813"/>
      <c r="C8" s="813"/>
      <c r="D8" s="813"/>
      <c r="E8" s="813"/>
      <c r="F8" s="813"/>
      <c r="G8" s="813"/>
      <c r="H8" s="813"/>
      <c r="I8" s="813"/>
      <c r="J8" s="813"/>
      <c r="K8" s="813"/>
    </row>
    <row r="9" spans="1:15" ht="15.75" x14ac:dyDescent="0.2">
      <c r="A9" s="814" t="s">
        <v>901</v>
      </c>
      <c r="B9" s="814"/>
      <c r="C9" s="815" t="s">
        <v>902</v>
      </c>
      <c r="D9" s="815"/>
      <c r="E9" s="816"/>
      <c r="F9" s="816"/>
      <c r="G9" s="816"/>
      <c r="H9" s="816"/>
      <c r="I9" s="816"/>
      <c r="J9" s="816"/>
    </row>
    <row r="10" spans="1:15" s="542" customFormat="1" x14ac:dyDescent="0.25">
      <c r="A10" s="542" t="s">
        <v>903</v>
      </c>
      <c r="C10" s="817"/>
      <c r="D10" s="817"/>
      <c r="E10" s="817"/>
      <c r="F10" s="817"/>
      <c r="G10" s="817"/>
      <c r="H10" s="817"/>
      <c r="I10" s="817"/>
      <c r="J10" s="817"/>
    </row>
    <row r="11" spans="1:15" s="542" customFormat="1" ht="12.75" x14ac:dyDescent="0.25">
      <c r="A11" s="542" t="s">
        <v>904</v>
      </c>
      <c r="C11" s="818"/>
      <c r="D11" s="819"/>
      <c r="E11" s="819"/>
      <c r="F11" s="819"/>
      <c r="G11" s="819"/>
      <c r="H11" s="819"/>
      <c r="I11" s="819"/>
      <c r="J11" s="819"/>
    </row>
    <row r="12" spans="1:15" s="542" customFormat="1" ht="36" customHeight="1" x14ac:dyDescent="0.25">
      <c r="A12" s="1636" t="s">
        <v>364</v>
      </c>
      <c r="B12" s="1636" t="s">
        <v>365</v>
      </c>
      <c r="C12" s="1636" t="s">
        <v>366</v>
      </c>
      <c r="D12" s="1636" t="s">
        <v>905</v>
      </c>
      <c r="E12" s="1636" t="s">
        <v>538</v>
      </c>
      <c r="G12" s="820" t="s">
        <v>26</v>
      </c>
      <c r="H12" s="1636" t="s">
        <v>369</v>
      </c>
      <c r="I12" s="1759" t="s">
        <v>906</v>
      </c>
      <c r="J12" s="1636" t="s">
        <v>26</v>
      </c>
      <c r="L12" s="821"/>
    </row>
    <row r="13" spans="1:15" s="542" customFormat="1" ht="12.75" customHeight="1" x14ac:dyDescent="0.25">
      <c r="A13" s="1636"/>
      <c r="B13" s="1636"/>
      <c r="C13" s="1636"/>
      <c r="D13" s="1636"/>
      <c r="E13" s="1636"/>
      <c r="G13" s="820"/>
      <c r="H13" s="1636"/>
      <c r="I13" s="1759"/>
      <c r="J13" s="1636"/>
      <c r="L13" s="821"/>
    </row>
    <row r="14" spans="1:15" s="542" customFormat="1" x14ac:dyDescent="0.25">
      <c r="A14" s="1637" t="s">
        <v>907</v>
      </c>
      <c r="B14" s="1637"/>
      <c r="C14" s="549"/>
      <c r="D14" s="549">
        <f>SUM(D15:D17)</f>
        <v>34902</v>
      </c>
      <c r="E14" s="549">
        <f t="shared" ref="E14" si="0">SUM(E15:E17)</f>
        <v>0</v>
      </c>
      <c r="G14" s="580"/>
      <c r="H14" s="549">
        <f>SUM(H15:H17)</f>
        <v>34902</v>
      </c>
      <c r="I14" s="580"/>
      <c r="J14" s="580"/>
      <c r="L14" s="822"/>
      <c r="M14" s="823"/>
      <c r="N14" s="823"/>
      <c r="O14" s="823"/>
    </row>
    <row r="15" spans="1:15" s="542" customFormat="1" x14ac:dyDescent="0.25">
      <c r="A15" s="657">
        <v>1</v>
      </c>
      <c r="B15" s="824" t="s">
        <v>908</v>
      </c>
      <c r="C15" s="658">
        <v>5219</v>
      </c>
      <c r="D15" s="825">
        <v>34000</v>
      </c>
      <c r="E15" s="826"/>
      <c r="G15" s="580"/>
      <c r="H15" s="826">
        <f>D15+E15</f>
        <v>34000</v>
      </c>
      <c r="I15" s="580"/>
      <c r="J15" s="580"/>
      <c r="L15" s="827"/>
      <c r="M15" s="823"/>
      <c r="N15" s="823"/>
      <c r="O15" s="823"/>
    </row>
    <row r="16" spans="1:15" s="542" customFormat="1" x14ac:dyDescent="0.25">
      <c r="A16" s="657">
        <v>2</v>
      </c>
      <c r="B16" s="820" t="s">
        <v>909</v>
      </c>
      <c r="C16" s="658">
        <v>2519</v>
      </c>
      <c r="D16" s="825">
        <v>702</v>
      </c>
      <c r="E16" s="826"/>
      <c r="G16" s="580"/>
      <c r="H16" s="826">
        <f>D16+E16</f>
        <v>702</v>
      </c>
      <c r="I16" s="580"/>
      <c r="J16" s="580"/>
      <c r="L16" s="822"/>
      <c r="M16" s="823"/>
      <c r="N16" s="823"/>
      <c r="O16" s="823"/>
    </row>
    <row r="17" spans="1:15" s="542" customFormat="1" ht="24" x14ac:dyDescent="0.25">
      <c r="A17" s="657">
        <v>3</v>
      </c>
      <c r="B17" s="820" t="s">
        <v>910</v>
      </c>
      <c r="C17" s="658">
        <v>2276</v>
      </c>
      <c r="D17" s="825">
        <v>200</v>
      </c>
      <c r="E17" s="826"/>
      <c r="G17" s="580"/>
      <c r="H17" s="826">
        <f>D17+E17</f>
        <v>200</v>
      </c>
      <c r="I17" s="580"/>
      <c r="J17" s="580"/>
      <c r="L17" s="822"/>
      <c r="M17" s="823"/>
      <c r="N17" s="823"/>
      <c r="O17" s="823"/>
    </row>
    <row r="18" spans="1:15" s="542" customFormat="1" ht="12.75" x14ac:dyDescent="0.25">
      <c r="A18" s="828"/>
      <c r="B18" s="829"/>
      <c r="C18" s="659"/>
      <c r="D18" s="659"/>
      <c r="E18" s="659"/>
      <c r="F18" s="659"/>
      <c r="G18" s="659"/>
      <c r="H18" s="659"/>
      <c r="I18" s="659"/>
      <c r="J18" s="659"/>
      <c r="M18" s="823"/>
      <c r="N18" s="823"/>
      <c r="O18" s="823"/>
    </row>
    <row r="19" spans="1:15" s="542" customFormat="1" ht="12.75" x14ac:dyDescent="0.25">
      <c r="A19" s="828"/>
      <c r="B19" s="829"/>
      <c r="C19" s="659"/>
      <c r="D19" s="659"/>
      <c r="E19" s="659"/>
      <c r="F19" s="659"/>
      <c r="G19" s="659"/>
      <c r="H19" s="659"/>
      <c r="I19" s="659"/>
      <c r="J19" s="659"/>
      <c r="M19" s="823"/>
      <c r="N19" s="823"/>
      <c r="O19" s="823"/>
    </row>
    <row r="20" spans="1:15" x14ac:dyDescent="0.2">
      <c r="A20" s="809" t="s">
        <v>911</v>
      </c>
      <c r="M20" s="823"/>
      <c r="N20" s="823"/>
      <c r="O20" s="823"/>
    </row>
    <row r="21" spans="1:15" x14ac:dyDescent="0.2">
      <c r="A21" s="809" t="s">
        <v>912</v>
      </c>
      <c r="M21" s="823"/>
      <c r="N21" s="823"/>
      <c r="O21" s="823"/>
    </row>
    <row r="22" spans="1:15" ht="24.75" customHeight="1" x14ac:dyDescent="0.2">
      <c r="A22" s="1760" t="s">
        <v>364</v>
      </c>
      <c r="B22" s="1760" t="s">
        <v>365</v>
      </c>
      <c r="C22" s="1759" t="s">
        <v>366</v>
      </c>
      <c r="D22" s="1759" t="s">
        <v>905</v>
      </c>
      <c r="E22" s="1759"/>
      <c r="F22" s="1636" t="s">
        <v>538</v>
      </c>
      <c r="G22" s="1636"/>
      <c r="H22" s="1636" t="s">
        <v>369</v>
      </c>
      <c r="I22" s="1636"/>
      <c r="J22" s="1636" t="s">
        <v>26</v>
      </c>
      <c r="K22" s="1759" t="s">
        <v>906</v>
      </c>
      <c r="M22" s="823"/>
      <c r="N22" s="823"/>
      <c r="O22" s="823"/>
    </row>
    <row r="23" spans="1:15" ht="25.5" customHeight="1" x14ac:dyDescent="0.2">
      <c r="A23" s="1760"/>
      <c r="B23" s="1760"/>
      <c r="C23" s="1759"/>
      <c r="D23" s="830" t="s">
        <v>913</v>
      </c>
      <c r="E23" s="830" t="s">
        <v>914</v>
      </c>
      <c r="F23" s="657" t="s">
        <v>913</v>
      </c>
      <c r="G23" s="657" t="s">
        <v>914</v>
      </c>
      <c r="H23" s="657" t="s">
        <v>913</v>
      </c>
      <c r="I23" s="657" t="s">
        <v>914</v>
      </c>
      <c r="J23" s="1636"/>
      <c r="K23" s="1759"/>
      <c r="M23" s="823"/>
      <c r="N23" s="823"/>
      <c r="O23" s="823"/>
    </row>
    <row r="24" spans="1:15" x14ac:dyDescent="0.2">
      <c r="A24" s="1761" t="s">
        <v>915</v>
      </c>
      <c r="B24" s="1761"/>
      <c r="C24" s="831"/>
      <c r="D24" s="831">
        <f t="shared" ref="D24:I24" si="1">SUM(D25:D45)</f>
        <v>440301</v>
      </c>
      <c r="E24" s="831">
        <f t="shared" si="1"/>
        <v>43683</v>
      </c>
      <c r="F24" s="831">
        <f t="shared" si="1"/>
        <v>3090</v>
      </c>
      <c r="G24" s="831">
        <f t="shared" si="1"/>
        <v>0</v>
      </c>
      <c r="H24" s="831">
        <f t="shared" si="1"/>
        <v>443391</v>
      </c>
      <c r="I24" s="831">
        <f t="shared" si="1"/>
        <v>43683</v>
      </c>
      <c r="J24" s="831"/>
      <c r="K24" s="831"/>
      <c r="M24" s="823"/>
      <c r="N24" s="823"/>
      <c r="O24" s="823"/>
    </row>
    <row r="25" spans="1:15" ht="48" x14ac:dyDescent="0.2">
      <c r="A25" s="832">
        <v>1</v>
      </c>
      <c r="B25" s="833" t="s">
        <v>916</v>
      </c>
      <c r="C25" s="834">
        <v>2279</v>
      </c>
      <c r="D25" s="835">
        <f>10700+2249</f>
        <v>12949</v>
      </c>
      <c r="E25" s="835"/>
      <c r="F25" s="836"/>
      <c r="G25" s="835"/>
      <c r="H25" s="835">
        <f t="shared" ref="H25:I45" si="2">D25+F25</f>
        <v>12949</v>
      </c>
      <c r="I25" s="835">
        <f t="shared" si="2"/>
        <v>0</v>
      </c>
      <c r="J25" s="837"/>
      <c r="K25" s="831" t="s">
        <v>917</v>
      </c>
      <c r="M25" s="823"/>
      <c r="N25" s="823"/>
      <c r="O25" s="823"/>
    </row>
    <row r="26" spans="1:15" x14ac:dyDescent="0.2">
      <c r="A26" s="832">
        <v>2</v>
      </c>
      <c r="B26" s="833" t="s">
        <v>918</v>
      </c>
      <c r="C26" s="834">
        <v>2239</v>
      </c>
      <c r="D26" s="835">
        <v>5000</v>
      </c>
      <c r="E26" s="835"/>
      <c r="F26" s="836"/>
      <c r="G26" s="835"/>
      <c r="H26" s="835">
        <f t="shared" si="2"/>
        <v>5000</v>
      </c>
      <c r="I26" s="835">
        <f t="shared" si="2"/>
        <v>0</v>
      </c>
      <c r="J26" s="837"/>
      <c r="K26" s="831" t="s">
        <v>919</v>
      </c>
      <c r="M26" s="823"/>
      <c r="N26" s="823"/>
      <c r="O26" s="823"/>
    </row>
    <row r="27" spans="1:15" ht="24" x14ac:dyDescent="0.2">
      <c r="A27" s="832">
        <v>3</v>
      </c>
      <c r="B27" s="838" t="s">
        <v>920</v>
      </c>
      <c r="C27" s="834">
        <v>2312</v>
      </c>
      <c r="D27" s="835">
        <f>1500+2885-169</f>
        <v>4216</v>
      </c>
      <c r="E27" s="835"/>
      <c r="F27" s="836"/>
      <c r="G27" s="835"/>
      <c r="H27" s="835">
        <f t="shared" si="2"/>
        <v>4216</v>
      </c>
      <c r="I27" s="835">
        <f t="shared" si="2"/>
        <v>0</v>
      </c>
      <c r="J27" s="837"/>
      <c r="K27" s="839" t="s">
        <v>919</v>
      </c>
      <c r="M27" s="823"/>
      <c r="N27" s="823"/>
      <c r="O27" s="823"/>
    </row>
    <row r="28" spans="1:15" x14ac:dyDescent="0.2">
      <c r="A28" s="832">
        <v>4</v>
      </c>
      <c r="B28" s="833" t="s">
        <v>138</v>
      </c>
      <c r="C28" s="834">
        <v>2263</v>
      </c>
      <c r="D28" s="835">
        <f>31223-3285</f>
        <v>27938</v>
      </c>
      <c r="E28" s="835"/>
      <c r="F28" s="836"/>
      <c r="G28" s="835"/>
      <c r="H28" s="835">
        <f t="shared" si="2"/>
        <v>27938</v>
      </c>
      <c r="I28" s="835">
        <f t="shared" si="2"/>
        <v>0</v>
      </c>
      <c r="J28" s="837"/>
      <c r="K28" s="831" t="s">
        <v>921</v>
      </c>
      <c r="M28" s="823"/>
      <c r="N28" s="823"/>
      <c r="O28" s="823"/>
    </row>
    <row r="29" spans="1:15" x14ac:dyDescent="0.2">
      <c r="A29" s="832">
        <v>5</v>
      </c>
      <c r="B29" s="833" t="s">
        <v>922</v>
      </c>
      <c r="C29" s="834">
        <v>2263</v>
      </c>
      <c r="D29" s="835">
        <v>4781</v>
      </c>
      <c r="E29" s="835"/>
      <c r="F29" s="836"/>
      <c r="G29" s="835"/>
      <c r="H29" s="835">
        <f t="shared" si="2"/>
        <v>4781</v>
      </c>
      <c r="I29" s="835">
        <f t="shared" si="2"/>
        <v>0</v>
      </c>
      <c r="J29" s="837"/>
      <c r="K29" s="831" t="s">
        <v>921</v>
      </c>
      <c r="M29" s="823"/>
      <c r="N29" s="823"/>
      <c r="O29" s="823"/>
    </row>
    <row r="30" spans="1:15" ht="24" x14ac:dyDescent="0.2">
      <c r="A30" s="832">
        <v>6</v>
      </c>
      <c r="B30" s="838" t="s">
        <v>923</v>
      </c>
      <c r="C30" s="834">
        <v>2261</v>
      </c>
      <c r="D30" s="835">
        <f>56845+1</f>
        <v>56846</v>
      </c>
      <c r="E30" s="835">
        <v>43683</v>
      </c>
      <c r="F30" s="836">
        <v>3090</v>
      </c>
      <c r="G30" s="835"/>
      <c r="H30" s="835">
        <f t="shared" si="2"/>
        <v>59936</v>
      </c>
      <c r="I30" s="835">
        <f t="shared" si="2"/>
        <v>43683</v>
      </c>
      <c r="J30" s="837" t="s">
        <v>924</v>
      </c>
      <c r="K30" s="839" t="s">
        <v>921</v>
      </c>
      <c r="M30" s="823"/>
      <c r="N30" s="823"/>
      <c r="O30" s="823"/>
    </row>
    <row r="31" spans="1:15" ht="12" customHeight="1" x14ac:dyDescent="0.2">
      <c r="A31" s="1762">
        <v>7</v>
      </c>
      <c r="B31" s="1763" t="s">
        <v>925</v>
      </c>
      <c r="C31" s="834">
        <v>2221</v>
      </c>
      <c r="D31" s="835">
        <f>45000-28700</f>
        <v>16300</v>
      </c>
      <c r="E31" s="835"/>
      <c r="F31" s="836"/>
      <c r="G31" s="835"/>
      <c r="H31" s="835">
        <f t="shared" si="2"/>
        <v>16300</v>
      </c>
      <c r="I31" s="835">
        <f t="shared" si="2"/>
        <v>0</v>
      </c>
      <c r="J31" s="837"/>
      <c r="K31" s="1764" t="s">
        <v>926</v>
      </c>
      <c r="M31" s="823"/>
      <c r="N31" s="823"/>
      <c r="O31" s="823"/>
    </row>
    <row r="32" spans="1:15" x14ac:dyDescent="0.2">
      <c r="A32" s="1762"/>
      <c r="B32" s="1763"/>
      <c r="C32" s="834">
        <v>2222</v>
      </c>
      <c r="D32" s="835">
        <f>592+250</f>
        <v>842</v>
      </c>
      <c r="E32" s="835"/>
      <c r="F32" s="836"/>
      <c r="G32" s="835"/>
      <c r="H32" s="835">
        <f t="shared" si="2"/>
        <v>842</v>
      </c>
      <c r="I32" s="835">
        <f t="shared" si="2"/>
        <v>0</v>
      </c>
      <c r="J32" s="837"/>
      <c r="K32" s="1764"/>
      <c r="M32" s="823"/>
      <c r="N32" s="823"/>
      <c r="O32" s="823"/>
    </row>
    <row r="33" spans="1:18" ht="12.75" customHeight="1" x14ac:dyDescent="0.2">
      <c r="A33" s="1762"/>
      <c r="B33" s="1763"/>
      <c r="C33" s="834">
        <v>2223</v>
      </c>
      <c r="D33" s="835">
        <v>10000</v>
      </c>
      <c r="E33" s="835"/>
      <c r="F33" s="836"/>
      <c r="G33" s="835"/>
      <c r="H33" s="835">
        <f t="shared" si="2"/>
        <v>10000</v>
      </c>
      <c r="I33" s="835">
        <f t="shared" si="2"/>
        <v>0</v>
      </c>
      <c r="J33" s="837"/>
      <c r="K33" s="1764"/>
      <c r="M33" s="823"/>
      <c r="N33" s="823"/>
      <c r="O33" s="823"/>
    </row>
    <row r="34" spans="1:18" ht="12.75" customHeight="1" x14ac:dyDescent="0.2">
      <c r="A34" s="1762"/>
      <c r="B34" s="1763"/>
      <c r="C34" s="834">
        <v>2241</v>
      </c>
      <c r="D34" s="835">
        <f>5121+650</f>
        <v>5771</v>
      </c>
      <c r="E34" s="835"/>
      <c r="F34" s="836"/>
      <c r="G34" s="835"/>
      <c r="H34" s="835">
        <f t="shared" si="2"/>
        <v>5771</v>
      </c>
      <c r="I34" s="835">
        <f t="shared" si="2"/>
        <v>0</v>
      </c>
      <c r="J34" s="837"/>
      <c r="K34" s="1764"/>
      <c r="M34" s="823"/>
      <c r="N34" s="823"/>
      <c r="O34" s="823"/>
    </row>
    <row r="35" spans="1:18" ht="12.75" customHeight="1" x14ac:dyDescent="0.2">
      <c r="A35" s="1762"/>
      <c r="B35" s="1763"/>
      <c r="C35" s="834">
        <v>2279</v>
      </c>
      <c r="D35" s="835">
        <v>516</v>
      </c>
      <c r="E35" s="835"/>
      <c r="F35" s="836"/>
      <c r="G35" s="835"/>
      <c r="H35" s="835">
        <f t="shared" si="2"/>
        <v>516</v>
      </c>
      <c r="I35" s="835"/>
      <c r="J35" s="837"/>
      <c r="K35" s="1764"/>
      <c r="M35" s="823"/>
      <c r="N35" s="823"/>
      <c r="O35" s="823"/>
    </row>
    <row r="36" spans="1:18" ht="12.75" customHeight="1" x14ac:dyDescent="0.2">
      <c r="A36" s="1762"/>
      <c r="B36" s="1763"/>
      <c r="C36" s="834">
        <v>2312</v>
      </c>
      <c r="D36" s="835">
        <v>116</v>
      </c>
      <c r="E36" s="835"/>
      <c r="F36" s="836"/>
      <c r="G36" s="835"/>
      <c r="H36" s="835">
        <f t="shared" si="2"/>
        <v>116</v>
      </c>
      <c r="I36" s="835"/>
      <c r="J36" s="837"/>
      <c r="K36" s="1764"/>
      <c r="M36" s="823"/>
      <c r="N36" s="823"/>
      <c r="O36" s="823"/>
    </row>
    <row r="37" spans="1:18" ht="12.75" customHeight="1" x14ac:dyDescent="0.2">
      <c r="A37" s="1762"/>
      <c r="B37" s="1763"/>
      <c r="C37" s="840">
        <v>2244</v>
      </c>
      <c r="D37" s="835">
        <f>211936-50000+40285</f>
        <v>202221</v>
      </c>
      <c r="E37" s="835"/>
      <c r="F37" s="836"/>
      <c r="G37" s="835"/>
      <c r="H37" s="835">
        <f t="shared" si="2"/>
        <v>202221</v>
      </c>
      <c r="I37" s="835">
        <f t="shared" si="2"/>
        <v>0</v>
      </c>
      <c r="J37" s="835"/>
      <c r="K37" s="1764"/>
      <c r="M37" s="823"/>
      <c r="N37" s="823"/>
      <c r="O37" s="823"/>
    </row>
    <row r="38" spans="1:18" ht="36" x14ac:dyDescent="0.2">
      <c r="A38" s="832">
        <v>9</v>
      </c>
      <c r="B38" s="838" t="s">
        <v>927</v>
      </c>
      <c r="C38" s="840">
        <v>2244</v>
      </c>
      <c r="D38" s="835">
        <v>4114</v>
      </c>
      <c r="E38" s="835"/>
      <c r="F38" s="836"/>
      <c r="G38" s="835"/>
      <c r="H38" s="835">
        <f t="shared" si="2"/>
        <v>4114</v>
      </c>
      <c r="I38" s="835">
        <f t="shared" si="2"/>
        <v>0</v>
      </c>
      <c r="J38" s="837"/>
      <c r="K38" s="839" t="s">
        <v>928</v>
      </c>
      <c r="M38" s="823"/>
      <c r="N38" s="823"/>
      <c r="O38" s="823"/>
    </row>
    <row r="39" spans="1:18" ht="37.5" customHeight="1" x14ac:dyDescent="0.2">
      <c r="A39" s="832">
        <v>11</v>
      </c>
      <c r="B39" s="838" t="s">
        <v>929</v>
      </c>
      <c r="C39" s="840">
        <v>2247</v>
      </c>
      <c r="D39" s="835">
        <f>16886-11186+169+1950</f>
        <v>7819</v>
      </c>
      <c r="E39" s="835"/>
      <c r="F39" s="836"/>
      <c r="G39" s="835"/>
      <c r="H39" s="835">
        <f t="shared" si="2"/>
        <v>7819</v>
      </c>
      <c r="I39" s="835">
        <f t="shared" si="2"/>
        <v>0</v>
      </c>
      <c r="J39" s="837"/>
      <c r="K39" s="831" t="s">
        <v>930</v>
      </c>
      <c r="M39" s="823"/>
      <c r="N39" s="823"/>
      <c r="O39" s="823"/>
    </row>
    <row r="40" spans="1:18" x14ac:dyDescent="0.2">
      <c r="A40" s="832">
        <v>12</v>
      </c>
      <c r="B40" s="838" t="s">
        <v>931</v>
      </c>
      <c r="C40" s="840">
        <v>2279</v>
      </c>
      <c r="D40" s="835">
        <f>7000+18410-200</f>
        <v>25210</v>
      </c>
      <c r="E40" s="835"/>
      <c r="F40" s="836"/>
      <c r="G40" s="835"/>
      <c r="H40" s="835">
        <f t="shared" si="2"/>
        <v>25210</v>
      </c>
      <c r="I40" s="835">
        <f t="shared" si="2"/>
        <v>0</v>
      </c>
      <c r="J40" s="837"/>
      <c r="K40" s="831" t="s">
        <v>930</v>
      </c>
      <c r="M40" s="823"/>
      <c r="N40" s="823"/>
      <c r="O40" s="823"/>
    </row>
    <row r="41" spans="1:18" ht="36" x14ac:dyDescent="0.2">
      <c r="A41" s="832">
        <v>15</v>
      </c>
      <c r="B41" s="838" t="s">
        <v>932</v>
      </c>
      <c r="C41" s="840">
        <v>2279</v>
      </c>
      <c r="D41" s="835">
        <f>48812-250</f>
        <v>48562</v>
      </c>
      <c r="E41" s="835"/>
      <c r="F41" s="836"/>
      <c r="G41" s="835"/>
      <c r="H41" s="835">
        <f t="shared" si="2"/>
        <v>48562</v>
      </c>
      <c r="I41" s="835">
        <f t="shared" si="2"/>
        <v>0</v>
      </c>
      <c r="J41" s="837"/>
      <c r="K41" s="839" t="s">
        <v>917</v>
      </c>
      <c r="M41" s="823"/>
      <c r="N41" s="823"/>
      <c r="O41" s="823"/>
    </row>
    <row r="42" spans="1:18" ht="48" x14ac:dyDescent="0.2">
      <c r="A42" s="832">
        <v>16</v>
      </c>
      <c r="B42" s="838" t="s">
        <v>933</v>
      </c>
      <c r="C42" s="840">
        <v>2279</v>
      </c>
      <c r="D42" s="835">
        <f>2000+2500</f>
        <v>4500</v>
      </c>
      <c r="E42" s="835"/>
      <c r="F42" s="836"/>
      <c r="G42" s="835"/>
      <c r="H42" s="835">
        <f t="shared" si="2"/>
        <v>4500</v>
      </c>
      <c r="I42" s="835">
        <f t="shared" si="2"/>
        <v>0</v>
      </c>
      <c r="J42" s="837"/>
      <c r="K42" s="831" t="s">
        <v>934</v>
      </c>
      <c r="M42" s="823"/>
      <c r="N42" s="823"/>
      <c r="O42" s="823"/>
    </row>
    <row r="43" spans="1:18" s="814" customFormat="1" ht="24" x14ac:dyDescent="0.2">
      <c r="A43" s="832">
        <v>17</v>
      </c>
      <c r="B43" s="838" t="s">
        <v>935</v>
      </c>
      <c r="C43" s="840">
        <v>2519</v>
      </c>
      <c r="D43" s="835">
        <v>2000</v>
      </c>
      <c r="E43" s="835"/>
      <c r="F43" s="836"/>
      <c r="G43" s="835"/>
      <c r="H43" s="835">
        <f t="shared" si="2"/>
        <v>2000</v>
      </c>
      <c r="I43" s="835">
        <f t="shared" si="2"/>
        <v>0</v>
      </c>
      <c r="J43" s="837"/>
      <c r="K43" s="831" t="s">
        <v>921</v>
      </c>
      <c r="M43" s="823"/>
      <c r="N43" s="823"/>
      <c r="O43" s="823"/>
      <c r="P43" s="809"/>
      <c r="Q43" s="809"/>
      <c r="R43" s="809"/>
    </row>
    <row r="44" spans="1:18" ht="36" x14ac:dyDescent="0.2">
      <c r="A44" s="832">
        <v>18</v>
      </c>
      <c r="B44" s="838" t="s">
        <v>936</v>
      </c>
      <c r="C44" s="834">
        <v>2276</v>
      </c>
      <c r="D44" s="835">
        <f>200+200+200</f>
        <v>600</v>
      </c>
      <c r="E44" s="835"/>
      <c r="F44" s="836"/>
      <c r="G44" s="835"/>
      <c r="H44" s="835">
        <f t="shared" si="2"/>
        <v>600</v>
      </c>
      <c r="I44" s="835">
        <f t="shared" si="2"/>
        <v>0</v>
      </c>
      <c r="J44" s="841"/>
      <c r="K44" s="831" t="s">
        <v>921</v>
      </c>
      <c r="M44" s="823"/>
      <c r="N44" s="823"/>
      <c r="O44" s="823"/>
      <c r="P44" s="814"/>
      <c r="Q44" s="814"/>
      <c r="R44" s="814"/>
    </row>
    <row r="45" spans="1:18" ht="24" x14ac:dyDescent="0.2">
      <c r="A45" s="832">
        <v>19</v>
      </c>
      <c r="B45" s="838" t="s">
        <v>937</v>
      </c>
      <c r="C45" s="834">
        <v>2279</v>
      </c>
      <c r="D45" s="835">
        <f>1452-1452</f>
        <v>0</v>
      </c>
      <c r="E45" s="835"/>
      <c r="F45" s="835"/>
      <c r="G45" s="835"/>
      <c r="H45" s="835">
        <f t="shared" si="2"/>
        <v>0</v>
      </c>
      <c r="I45" s="835">
        <f t="shared" si="2"/>
        <v>0</v>
      </c>
      <c r="J45" s="837"/>
      <c r="K45" s="831" t="s">
        <v>917</v>
      </c>
      <c r="M45" s="823"/>
      <c r="N45" s="823"/>
      <c r="O45" s="823"/>
    </row>
    <row r="46" spans="1:18" x14ac:dyDescent="0.2">
      <c r="A46" s="588" t="s">
        <v>858</v>
      </c>
      <c r="B46" s="842"/>
      <c r="C46" s="843"/>
      <c r="D46" s="843"/>
      <c r="E46" s="843"/>
      <c r="F46" s="843"/>
      <c r="G46" s="843"/>
      <c r="H46" s="843"/>
      <c r="I46" s="843"/>
      <c r="J46" s="844"/>
      <c r="K46" s="845"/>
      <c r="M46" s="823"/>
      <c r="N46" s="823"/>
      <c r="O46" s="823"/>
    </row>
    <row r="47" spans="1:18" s="848" customFormat="1" ht="12.75" x14ac:dyDescent="0.2">
      <c r="A47" s="846" t="s">
        <v>938</v>
      </c>
      <c r="B47" s="847"/>
      <c r="C47" s="847"/>
      <c r="D47" s="847"/>
      <c r="E47" s="847"/>
      <c r="F47" s="847"/>
      <c r="G47" s="847"/>
      <c r="H47" s="847"/>
      <c r="I47" s="847"/>
      <c r="J47" s="847"/>
      <c r="K47" s="847"/>
      <c r="M47" s="823"/>
      <c r="N47" s="823"/>
      <c r="O47" s="823"/>
    </row>
    <row r="48" spans="1:18" s="848" customFormat="1" ht="12.75" x14ac:dyDescent="0.2">
      <c r="A48" s="847" t="s">
        <v>939</v>
      </c>
      <c r="B48" s="847"/>
      <c r="C48" s="847"/>
      <c r="D48" s="847"/>
      <c r="E48" s="847"/>
      <c r="F48" s="847"/>
      <c r="G48" s="847"/>
      <c r="H48" s="847"/>
      <c r="I48" s="847"/>
      <c r="J48" s="847"/>
      <c r="K48" s="847"/>
      <c r="M48" s="823"/>
      <c r="N48" s="823"/>
      <c r="O48" s="823"/>
    </row>
    <row r="49" spans="1:15" s="848" customFormat="1" ht="12.75" x14ac:dyDescent="0.2">
      <c r="A49" s="847"/>
      <c r="B49" s="847" t="s">
        <v>940</v>
      </c>
      <c r="C49" s="847"/>
      <c r="D49" s="847"/>
      <c r="E49" s="847"/>
      <c r="F49" s="847"/>
      <c r="G49" s="847"/>
      <c r="H49" s="847"/>
      <c r="I49" s="847"/>
      <c r="J49" s="847"/>
      <c r="K49" s="847"/>
      <c r="M49" s="823"/>
      <c r="N49" s="823"/>
      <c r="O49" s="823"/>
    </row>
    <row r="50" spans="1:15" s="848" customFormat="1" ht="12.75" x14ac:dyDescent="0.2">
      <c r="A50" s="849" t="s">
        <v>941</v>
      </c>
      <c r="B50" s="847" t="s">
        <v>942</v>
      </c>
      <c r="C50" s="847"/>
      <c r="D50" s="847"/>
      <c r="E50" s="847"/>
      <c r="F50" s="847"/>
      <c r="G50" s="847"/>
      <c r="H50" s="847"/>
      <c r="I50" s="847"/>
      <c r="J50" s="847"/>
      <c r="K50" s="847"/>
      <c r="M50" s="823"/>
      <c r="N50" s="823"/>
      <c r="O50" s="823"/>
    </row>
    <row r="51" spans="1:15" s="848" customFormat="1" ht="12.75" x14ac:dyDescent="0.2">
      <c r="A51" s="849" t="s">
        <v>926</v>
      </c>
      <c r="B51" s="847" t="s">
        <v>943</v>
      </c>
      <c r="C51" s="847"/>
      <c r="D51" s="847"/>
      <c r="E51" s="847"/>
      <c r="F51" s="847"/>
      <c r="G51" s="847"/>
      <c r="H51" s="847"/>
      <c r="I51" s="847"/>
      <c r="J51" s="847"/>
      <c r="K51" s="847"/>
      <c r="M51" s="823"/>
      <c r="N51" s="823"/>
      <c r="O51" s="823"/>
    </row>
    <row r="52" spans="1:15" s="848" customFormat="1" ht="12.75" x14ac:dyDescent="0.2">
      <c r="A52" s="849"/>
      <c r="B52" s="847" t="s">
        <v>944</v>
      </c>
      <c r="C52" s="847"/>
      <c r="D52" s="847"/>
      <c r="E52" s="847"/>
      <c r="F52" s="847"/>
      <c r="G52" s="847"/>
      <c r="H52" s="847"/>
      <c r="I52" s="847"/>
      <c r="J52" s="847"/>
      <c r="K52" s="847"/>
      <c r="M52" s="823"/>
      <c r="N52" s="823"/>
      <c r="O52" s="823"/>
    </row>
    <row r="53" spans="1:15" s="848" customFormat="1" ht="12.75" x14ac:dyDescent="0.2">
      <c r="A53" s="849" t="s">
        <v>917</v>
      </c>
      <c r="B53" s="847" t="s">
        <v>945</v>
      </c>
      <c r="C53" s="847"/>
      <c r="D53" s="847"/>
      <c r="E53" s="847"/>
      <c r="F53" s="847"/>
      <c r="G53" s="847"/>
      <c r="H53" s="847"/>
      <c r="I53" s="847"/>
      <c r="J53" s="847"/>
      <c r="K53" s="847"/>
      <c r="M53" s="823"/>
      <c r="N53" s="823"/>
      <c r="O53" s="823"/>
    </row>
    <row r="54" spans="1:15" s="848" customFormat="1" ht="12.75" x14ac:dyDescent="0.2">
      <c r="A54" s="849" t="s">
        <v>921</v>
      </c>
      <c r="B54" s="847" t="s">
        <v>946</v>
      </c>
      <c r="C54" s="847"/>
      <c r="D54" s="847"/>
      <c r="E54" s="847"/>
      <c r="F54" s="847"/>
      <c r="G54" s="847"/>
      <c r="H54" s="847"/>
      <c r="I54" s="847"/>
      <c r="J54" s="847"/>
      <c r="K54" s="847"/>
      <c r="M54" s="823"/>
      <c r="N54" s="823"/>
      <c r="O54" s="823"/>
    </row>
    <row r="55" spans="1:15" s="848" customFormat="1" ht="12.75" x14ac:dyDescent="0.2">
      <c r="A55" s="849" t="s">
        <v>919</v>
      </c>
      <c r="B55" s="847" t="s">
        <v>947</v>
      </c>
      <c r="C55" s="847"/>
      <c r="D55" s="847"/>
      <c r="E55" s="847"/>
      <c r="F55" s="847"/>
      <c r="G55" s="847"/>
      <c r="H55" s="847"/>
      <c r="I55" s="847"/>
      <c r="J55" s="847"/>
      <c r="K55" s="847"/>
      <c r="M55" s="823"/>
      <c r="N55" s="823"/>
      <c r="O55" s="823"/>
    </row>
    <row r="56" spans="1:15" s="848" customFormat="1" ht="12.75" x14ac:dyDescent="0.2">
      <c r="A56" s="849" t="s">
        <v>928</v>
      </c>
      <c r="B56" s="847" t="s">
        <v>948</v>
      </c>
      <c r="C56" s="847"/>
      <c r="D56" s="847"/>
      <c r="E56" s="847"/>
      <c r="F56" s="847"/>
      <c r="G56" s="847"/>
      <c r="H56" s="847"/>
      <c r="I56" s="847"/>
      <c r="J56" s="847"/>
      <c r="K56" s="847"/>
      <c r="M56" s="823"/>
      <c r="N56" s="823"/>
      <c r="O56" s="823"/>
    </row>
    <row r="57" spans="1:15" x14ac:dyDescent="0.2">
      <c r="A57" s="850"/>
      <c r="B57" s="850"/>
      <c r="C57" s="850"/>
      <c r="D57" s="850"/>
      <c r="E57" s="850"/>
      <c r="F57" s="850"/>
      <c r="G57" s="850"/>
      <c r="H57" s="850"/>
      <c r="I57" s="850"/>
      <c r="J57" s="850"/>
      <c r="K57" s="850"/>
      <c r="M57" s="823"/>
      <c r="N57" s="823"/>
      <c r="O57" s="823"/>
    </row>
    <row r="58" spans="1:15" x14ac:dyDescent="0.2">
      <c r="A58" s="850"/>
      <c r="B58" s="850"/>
      <c r="C58" s="850"/>
      <c r="D58" s="850"/>
      <c r="E58" s="850"/>
      <c r="F58" s="850"/>
      <c r="G58" s="850"/>
      <c r="H58" s="850"/>
      <c r="I58" s="850"/>
      <c r="J58" s="850"/>
      <c r="K58" s="850"/>
      <c r="M58" s="823"/>
      <c r="N58" s="823"/>
      <c r="O58" s="823"/>
    </row>
    <row r="59" spans="1:15" s="605" customFormat="1" x14ac:dyDescent="0.2">
      <c r="M59" s="823"/>
      <c r="N59" s="823"/>
      <c r="O59" s="823"/>
    </row>
    <row r="60" spans="1:15" x14ac:dyDescent="0.2">
      <c r="A60" s="850"/>
      <c r="B60" s="850"/>
      <c r="C60" s="850"/>
      <c r="D60" s="850"/>
      <c r="E60" s="850"/>
      <c r="F60" s="850"/>
      <c r="G60" s="850"/>
      <c r="H60" s="850"/>
      <c r="I60" s="850"/>
      <c r="J60" s="850"/>
      <c r="K60" s="850"/>
      <c r="M60" s="823"/>
      <c r="N60" s="823"/>
      <c r="O60" s="823"/>
    </row>
    <row r="61" spans="1:15" x14ac:dyDescent="0.2">
      <c r="A61" s="850"/>
      <c r="B61" s="850"/>
      <c r="C61" s="850"/>
      <c r="D61" s="850"/>
      <c r="E61" s="850"/>
      <c r="F61" s="850"/>
      <c r="G61" s="850"/>
      <c r="H61" s="850"/>
      <c r="I61" s="850"/>
      <c r="J61" s="850"/>
      <c r="K61" s="850"/>
      <c r="M61" s="823"/>
      <c r="N61" s="823"/>
      <c r="O61" s="823"/>
    </row>
    <row r="62" spans="1:15" x14ac:dyDescent="0.2">
      <c r="A62" s="850"/>
      <c r="B62" s="850"/>
      <c r="C62" s="850"/>
      <c r="D62" s="850"/>
      <c r="E62" s="850"/>
      <c r="F62" s="850"/>
      <c r="G62" s="850"/>
      <c r="H62" s="850"/>
      <c r="I62" s="850"/>
      <c r="J62" s="850"/>
      <c r="K62" s="850"/>
      <c r="M62" s="823"/>
      <c r="N62" s="823"/>
      <c r="O62" s="823"/>
    </row>
    <row r="63" spans="1:15" x14ac:dyDescent="0.2">
      <c r="A63" s="850"/>
      <c r="B63" s="850"/>
      <c r="C63" s="850"/>
      <c r="D63" s="850"/>
      <c r="E63" s="850"/>
      <c r="F63" s="850"/>
      <c r="G63" s="850"/>
      <c r="H63" s="850"/>
      <c r="I63" s="850"/>
      <c r="J63" s="850"/>
      <c r="K63" s="850"/>
      <c r="M63" s="823"/>
      <c r="N63" s="823"/>
      <c r="O63" s="823"/>
    </row>
    <row r="64" spans="1:15" x14ac:dyDescent="0.2">
      <c r="A64" s="850"/>
      <c r="B64" s="850"/>
      <c r="C64" s="850"/>
      <c r="D64" s="850"/>
      <c r="E64" s="850"/>
      <c r="F64" s="850"/>
      <c r="G64" s="850"/>
      <c r="H64" s="850"/>
      <c r="I64" s="850"/>
      <c r="J64" s="850"/>
      <c r="K64" s="850"/>
      <c r="M64" s="823"/>
      <c r="N64" s="823"/>
      <c r="O64" s="823"/>
    </row>
    <row r="65" spans="1:15" x14ac:dyDescent="0.2">
      <c r="A65" s="850"/>
      <c r="B65" s="850"/>
      <c r="C65" s="850"/>
      <c r="D65" s="850"/>
      <c r="E65" s="850"/>
      <c r="F65" s="850"/>
      <c r="G65" s="850"/>
      <c r="H65" s="850"/>
      <c r="I65" s="850"/>
      <c r="J65" s="850"/>
      <c r="K65" s="850"/>
      <c r="M65" s="823"/>
      <c r="N65" s="823"/>
      <c r="O65" s="823"/>
    </row>
    <row r="66" spans="1:15" x14ac:dyDescent="0.2">
      <c r="A66" s="850"/>
      <c r="B66" s="850"/>
      <c r="C66" s="850"/>
      <c r="D66" s="850"/>
      <c r="E66" s="850"/>
      <c r="F66" s="850"/>
      <c r="G66" s="850"/>
      <c r="H66" s="850"/>
      <c r="I66" s="850"/>
      <c r="J66" s="850"/>
      <c r="K66" s="850"/>
      <c r="M66" s="823"/>
      <c r="N66" s="823"/>
      <c r="O66" s="823"/>
    </row>
    <row r="67" spans="1:15" x14ac:dyDescent="0.2">
      <c r="A67" s="850"/>
      <c r="B67" s="850"/>
      <c r="C67" s="850"/>
      <c r="D67" s="850"/>
      <c r="E67" s="850"/>
      <c r="F67" s="850"/>
      <c r="G67" s="850"/>
      <c r="H67" s="850"/>
      <c r="I67" s="850"/>
      <c r="J67" s="850"/>
      <c r="K67" s="850"/>
      <c r="M67" s="823"/>
      <c r="N67" s="823"/>
      <c r="O67" s="823"/>
    </row>
    <row r="68" spans="1:15" x14ac:dyDescent="0.2">
      <c r="A68" s="850"/>
      <c r="B68" s="850"/>
      <c r="C68" s="850"/>
      <c r="D68" s="850"/>
      <c r="E68" s="850"/>
      <c r="F68" s="850"/>
      <c r="G68" s="850"/>
      <c r="H68" s="850"/>
      <c r="I68" s="850"/>
      <c r="J68" s="850"/>
      <c r="K68" s="850"/>
      <c r="M68" s="823"/>
      <c r="N68" s="823"/>
      <c r="O68" s="823"/>
    </row>
    <row r="69" spans="1:15" x14ac:dyDescent="0.2">
      <c r="A69" s="850"/>
      <c r="B69" s="850"/>
      <c r="C69" s="850"/>
      <c r="D69" s="850"/>
      <c r="E69" s="850"/>
      <c r="F69" s="850"/>
      <c r="G69" s="850"/>
      <c r="H69" s="850"/>
      <c r="I69" s="850"/>
      <c r="J69" s="850"/>
      <c r="K69" s="850"/>
      <c r="M69" s="823"/>
      <c r="N69" s="823"/>
      <c r="O69" s="823"/>
    </row>
    <row r="70" spans="1:15" x14ac:dyDescent="0.2">
      <c r="A70" s="850"/>
      <c r="B70" s="850"/>
      <c r="C70" s="850"/>
      <c r="D70" s="850"/>
      <c r="E70" s="850"/>
      <c r="F70" s="850"/>
      <c r="G70" s="850"/>
      <c r="H70" s="850"/>
      <c r="I70" s="850"/>
      <c r="J70" s="850"/>
      <c r="K70" s="850"/>
      <c r="M70" s="823"/>
      <c r="N70" s="823"/>
      <c r="O70" s="823"/>
    </row>
    <row r="71" spans="1:15" x14ac:dyDescent="0.2">
      <c r="A71" s="850"/>
      <c r="B71" s="850"/>
      <c r="C71" s="850"/>
      <c r="D71" s="850"/>
      <c r="E71" s="850"/>
      <c r="F71" s="850"/>
      <c r="G71" s="850"/>
      <c r="H71" s="850"/>
      <c r="I71" s="850"/>
      <c r="J71" s="850"/>
      <c r="K71" s="850"/>
      <c r="M71" s="823"/>
      <c r="N71" s="823"/>
      <c r="O71" s="823"/>
    </row>
    <row r="72" spans="1:15" x14ac:dyDescent="0.2">
      <c r="A72" s="850"/>
      <c r="B72" s="850"/>
      <c r="C72" s="850"/>
      <c r="D72" s="850"/>
      <c r="E72" s="850"/>
      <c r="F72" s="850"/>
      <c r="G72" s="850"/>
      <c r="H72" s="850"/>
      <c r="I72" s="850"/>
      <c r="J72" s="850"/>
      <c r="K72" s="850"/>
      <c r="M72" s="823"/>
      <c r="N72" s="823"/>
      <c r="O72" s="823"/>
    </row>
    <row r="73" spans="1:15" x14ac:dyDescent="0.2">
      <c r="A73" s="850"/>
      <c r="B73" s="850"/>
      <c r="C73" s="850"/>
      <c r="D73" s="850"/>
      <c r="E73" s="850"/>
      <c r="F73" s="850"/>
      <c r="G73" s="850"/>
      <c r="H73" s="850"/>
      <c r="I73" s="850"/>
      <c r="J73" s="850"/>
      <c r="K73" s="850"/>
      <c r="M73" s="823"/>
      <c r="N73" s="823"/>
      <c r="O73" s="823"/>
    </row>
    <row r="74" spans="1:15" x14ac:dyDescent="0.2">
      <c r="A74" s="850"/>
      <c r="B74" s="850"/>
      <c r="C74" s="850"/>
      <c r="D74" s="850"/>
      <c r="E74" s="850"/>
      <c r="F74" s="850"/>
      <c r="G74" s="850"/>
      <c r="H74" s="850"/>
      <c r="I74" s="850"/>
      <c r="J74" s="850"/>
      <c r="K74" s="850"/>
      <c r="M74" s="823"/>
      <c r="N74" s="823"/>
      <c r="O74" s="823"/>
    </row>
    <row r="75" spans="1:15" x14ac:dyDescent="0.2">
      <c r="A75" s="850"/>
      <c r="B75" s="850"/>
      <c r="C75" s="850"/>
      <c r="D75" s="850"/>
      <c r="E75" s="850"/>
      <c r="F75" s="850"/>
      <c r="G75" s="850"/>
      <c r="H75" s="850"/>
      <c r="I75" s="850"/>
      <c r="J75" s="850"/>
      <c r="K75" s="850"/>
      <c r="M75" s="823"/>
      <c r="N75" s="823"/>
      <c r="O75" s="823"/>
    </row>
    <row r="76" spans="1:15" x14ac:dyDescent="0.2">
      <c r="A76" s="850"/>
      <c r="B76" s="850"/>
      <c r="C76" s="850"/>
      <c r="D76" s="850"/>
      <c r="E76" s="850"/>
      <c r="F76" s="850"/>
      <c r="G76" s="850"/>
      <c r="H76" s="850"/>
      <c r="I76" s="850"/>
      <c r="J76" s="850"/>
      <c r="K76" s="850"/>
      <c r="M76" s="823"/>
      <c r="N76" s="823"/>
      <c r="O76" s="823"/>
    </row>
    <row r="77" spans="1:15" x14ac:dyDescent="0.2">
      <c r="A77" s="850"/>
      <c r="B77" s="850"/>
      <c r="C77" s="850"/>
      <c r="D77" s="850"/>
      <c r="E77" s="850"/>
      <c r="F77" s="850"/>
      <c r="G77" s="850"/>
      <c r="H77" s="850"/>
      <c r="I77" s="850"/>
      <c r="J77" s="850"/>
      <c r="K77" s="850"/>
      <c r="M77" s="823"/>
      <c r="N77" s="823"/>
      <c r="O77" s="823"/>
    </row>
    <row r="78" spans="1:15" x14ac:dyDescent="0.2">
      <c r="A78" s="850"/>
      <c r="B78" s="850"/>
      <c r="C78" s="850"/>
      <c r="D78" s="850"/>
      <c r="E78" s="850"/>
      <c r="F78" s="850"/>
      <c r="G78" s="850"/>
      <c r="H78" s="850"/>
      <c r="I78" s="850"/>
      <c r="J78" s="850"/>
      <c r="K78" s="850"/>
      <c r="M78" s="823"/>
      <c r="N78" s="823"/>
      <c r="O78" s="823"/>
    </row>
    <row r="79" spans="1:15" x14ac:dyDescent="0.2">
      <c r="A79" s="850"/>
      <c r="B79" s="850"/>
      <c r="C79" s="850"/>
      <c r="D79" s="850"/>
      <c r="E79" s="850"/>
      <c r="F79" s="850"/>
      <c r="G79" s="850"/>
      <c r="H79" s="850"/>
      <c r="I79" s="850"/>
      <c r="J79" s="850"/>
      <c r="K79" s="850"/>
      <c r="M79" s="823"/>
      <c r="N79" s="823"/>
      <c r="O79" s="823"/>
    </row>
    <row r="80" spans="1:15" x14ac:dyDescent="0.2">
      <c r="A80" s="850"/>
      <c r="B80" s="850"/>
      <c r="C80" s="850"/>
      <c r="D80" s="850"/>
      <c r="E80" s="850"/>
      <c r="F80" s="850"/>
      <c r="G80" s="850"/>
      <c r="H80" s="850"/>
      <c r="I80" s="850"/>
      <c r="J80" s="850"/>
      <c r="K80" s="850"/>
      <c r="M80" s="823"/>
      <c r="N80" s="823"/>
      <c r="O80" s="823"/>
    </row>
    <row r="81" spans="1:15" x14ac:dyDescent="0.2">
      <c r="A81" s="850"/>
      <c r="B81" s="850"/>
      <c r="C81" s="850"/>
      <c r="D81" s="850"/>
      <c r="E81" s="850"/>
      <c r="F81" s="850"/>
      <c r="G81" s="850"/>
      <c r="H81" s="850"/>
      <c r="I81" s="850"/>
      <c r="J81" s="850"/>
      <c r="K81" s="850"/>
      <c r="M81" s="823"/>
      <c r="N81" s="823"/>
      <c r="O81" s="823"/>
    </row>
    <row r="82" spans="1:15" x14ac:dyDescent="0.2">
      <c r="A82" s="850"/>
      <c r="B82" s="850"/>
      <c r="C82" s="850"/>
      <c r="D82" s="850"/>
      <c r="E82" s="850"/>
      <c r="F82" s="850"/>
      <c r="G82" s="850"/>
      <c r="H82" s="850"/>
      <c r="I82" s="850"/>
      <c r="J82" s="850"/>
      <c r="K82" s="850"/>
      <c r="M82" s="823"/>
      <c r="N82" s="823"/>
      <c r="O82" s="823"/>
    </row>
    <row r="83" spans="1:15" x14ac:dyDescent="0.2">
      <c r="A83" s="850"/>
      <c r="B83" s="850"/>
      <c r="C83" s="850"/>
      <c r="D83" s="850"/>
      <c r="E83" s="850"/>
      <c r="F83" s="850"/>
      <c r="G83" s="850"/>
      <c r="H83" s="850"/>
      <c r="I83" s="850"/>
      <c r="J83" s="850"/>
      <c r="K83" s="850"/>
      <c r="M83" s="823"/>
      <c r="N83" s="823"/>
      <c r="O83" s="823"/>
    </row>
    <row r="84" spans="1:15" x14ac:dyDescent="0.2">
      <c r="A84" s="850"/>
      <c r="B84" s="850"/>
      <c r="C84" s="850"/>
      <c r="D84" s="850"/>
      <c r="E84" s="850"/>
      <c r="F84" s="850"/>
      <c r="G84" s="850"/>
      <c r="H84" s="850"/>
      <c r="I84" s="850"/>
      <c r="J84" s="850"/>
      <c r="K84" s="850"/>
      <c r="M84" s="823"/>
      <c r="N84" s="823"/>
      <c r="O84" s="823"/>
    </row>
    <row r="85" spans="1:15" x14ac:dyDescent="0.2">
      <c r="A85" s="850"/>
      <c r="B85" s="850"/>
      <c r="C85" s="850"/>
      <c r="D85" s="850"/>
      <c r="E85" s="850"/>
      <c r="F85" s="850"/>
      <c r="G85" s="850"/>
      <c r="H85" s="850"/>
      <c r="I85" s="850"/>
      <c r="J85" s="850"/>
      <c r="K85" s="850"/>
      <c r="M85" s="823"/>
      <c r="N85" s="823"/>
      <c r="O85" s="823"/>
    </row>
    <row r="86" spans="1:15" x14ac:dyDescent="0.2">
      <c r="A86" s="850"/>
      <c r="B86" s="850"/>
      <c r="C86" s="850"/>
      <c r="D86" s="850"/>
      <c r="E86" s="850"/>
      <c r="F86" s="850"/>
      <c r="G86" s="850"/>
      <c r="H86" s="850"/>
      <c r="I86" s="850"/>
      <c r="J86" s="850"/>
      <c r="K86" s="850"/>
      <c r="M86" s="823"/>
      <c r="N86" s="823"/>
      <c r="O86" s="823"/>
    </row>
    <row r="87" spans="1:15" x14ac:dyDescent="0.2">
      <c r="A87" s="850"/>
      <c r="B87" s="850"/>
      <c r="C87" s="850"/>
      <c r="D87" s="850"/>
      <c r="E87" s="850"/>
      <c r="F87" s="850"/>
      <c r="G87" s="850"/>
      <c r="H87" s="850"/>
      <c r="I87" s="850"/>
      <c r="J87" s="850"/>
      <c r="K87" s="850"/>
      <c r="M87" s="823"/>
      <c r="N87" s="823"/>
      <c r="O87" s="823"/>
    </row>
    <row r="88" spans="1:15" x14ac:dyDescent="0.2">
      <c r="A88" s="850"/>
      <c r="B88" s="850"/>
      <c r="C88" s="850"/>
      <c r="D88" s="850"/>
      <c r="E88" s="850"/>
      <c r="F88" s="850"/>
      <c r="G88" s="850"/>
      <c r="H88" s="850"/>
      <c r="I88" s="850"/>
      <c r="J88" s="850"/>
      <c r="K88" s="850"/>
      <c r="M88" s="823"/>
      <c r="N88" s="823"/>
      <c r="O88" s="823"/>
    </row>
    <row r="89" spans="1:15" x14ac:dyDescent="0.2">
      <c r="A89" s="850"/>
      <c r="B89" s="850"/>
      <c r="C89" s="850"/>
      <c r="D89" s="850"/>
      <c r="E89" s="850"/>
      <c r="F89" s="850"/>
      <c r="G89" s="850"/>
      <c r="H89" s="850"/>
      <c r="I89" s="850"/>
      <c r="J89" s="850"/>
      <c r="K89" s="850"/>
      <c r="M89" s="823"/>
      <c r="N89" s="823"/>
      <c r="O89" s="823"/>
    </row>
    <row r="90" spans="1:15" x14ac:dyDescent="0.2">
      <c r="A90" s="850"/>
      <c r="B90" s="850"/>
      <c r="C90" s="850"/>
      <c r="D90" s="850"/>
      <c r="E90" s="850"/>
      <c r="F90" s="850"/>
      <c r="G90" s="850"/>
      <c r="H90" s="850"/>
      <c r="I90" s="850"/>
      <c r="J90" s="850"/>
      <c r="K90" s="850"/>
      <c r="M90" s="823"/>
      <c r="N90" s="823"/>
      <c r="O90" s="823"/>
    </row>
    <row r="91" spans="1:15" x14ac:dyDescent="0.2">
      <c r="A91" s="850"/>
      <c r="B91" s="850"/>
      <c r="C91" s="850"/>
      <c r="D91" s="850"/>
      <c r="E91" s="850"/>
      <c r="F91" s="850"/>
      <c r="G91" s="850"/>
      <c r="H91" s="850"/>
      <c r="I91" s="850"/>
      <c r="J91" s="850"/>
      <c r="K91" s="850"/>
      <c r="M91" s="823"/>
      <c r="N91" s="823"/>
      <c r="O91" s="823"/>
    </row>
    <row r="92" spans="1:15" x14ac:dyDescent="0.2">
      <c r="A92" s="850"/>
      <c r="B92" s="850"/>
      <c r="C92" s="850"/>
      <c r="D92" s="850"/>
      <c r="E92" s="850"/>
      <c r="F92" s="850"/>
      <c r="G92" s="850"/>
      <c r="H92" s="850"/>
      <c r="I92" s="850"/>
      <c r="J92" s="850"/>
      <c r="K92" s="850"/>
      <c r="M92" s="823"/>
      <c r="N92" s="823"/>
      <c r="O92" s="823"/>
    </row>
    <row r="93" spans="1:15" x14ac:dyDescent="0.2">
      <c r="A93" s="850"/>
      <c r="B93" s="850"/>
      <c r="C93" s="850"/>
      <c r="D93" s="850"/>
      <c r="E93" s="850"/>
      <c r="F93" s="850"/>
      <c r="G93" s="850"/>
      <c r="H93" s="850"/>
      <c r="I93" s="850"/>
      <c r="J93" s="850"/>
      <c r="K93" s="850"/>
      <c r="M93" s="823"/>
      <c r="N93" s="823"/>
      <c r="O93" s="823"/>
    </row>
    <row r="94" spans="1:15" x14ac:dyDescent="0.2">
      <c r="A94" s="850"/>
      <c r="B94" s="850"/>
      <c r="C94" s="850"/>
      <c r="D94" s="850"/>
      <c r="E94" s="850"/>
      <c r="F94" s="850"/>
      <c r="G94" s="850"/>
      <c r="H94" s="850"/>
      <c r="I94" s="850"/>
      <c r="J94" s="850"/>
      <c r="K94" s="850"/>
      <c r="M94" s="823"/>
      <c r="N94" s="823"/>
      <c r="O94" s="823"/>
    </row>
    <row r="95" spans="1:15" x14ac:dyDescent="0.2">
      <c r="A95" s="850"/>
      <c r="B95" s="850"/>
      <c r="C95" s="850"/>
      <c r="D95" s="850"/>
      <c r="E95" s="850"/>
      <c r="F95" s="850"/>
      <c r="G95" s="850"/>
      <c r="H95" s="850"/>
      <c r="I95" s="850"/>
      <c r="J95" s="850"/>
      <c r="K95" s="850"/>
      <c r="M95" s="823"/>
      <c r="N95" s="823"/>
      <c r="O95" s="823"/>
    </row>
    <row r="96" spans="1:15" x14ac:dyDescent="0.2">
      <c r="A96" s="850"/>
      <c r="B96" s="850"/>
      <c r="C96" s="850"/>
      <c r="D96" s="850"/>
      <c r="E96" s="850"/>
      <c r="F96" s="850"/>
      <c r="G96" s="850"/>
      <c r="H96" s="850"/>
      <c r="I96" s="850"/>
      <c r="J96" s="850"/>
      <c r="K96" s="850"/>
      <c r="M96" s="823"/>
      <c r="N96" s="823"/>
      <c r="O96" s="823"/>
    </row>
    <row r="97" spans="1:15" x14ac:dyDescent="0.2">
      <c r="A97" s="850"/>
      <c r="B97" s="850"/>
      <c r="C97" s="850"/>
      <c r="D97" s="850"/>
      <c r="E97" s="850"/>
      <c r="F97" s="850"/>
      <c r="G97" s="850"/>
      <c r="H97" s="850"/>
      <c r="I97" s="850"/>
      <c r="J97" s="850"/>
      <c r="K97" s="850"/>
      <c r="M97" s="823"/>
      <c r="N97" s="823"/>
      <c r="O97" s="823"/>
    </row>
    <row r="98" spans="1:15" x14ac:dyDescent="0.2">
      <c r="A98" s="850"/>
      <c r="B98" s="850"/>
      <c r="C98" s="850"/>
      <c r="D98" s="850"/>
      <c r="E98" s="850"/>
      <c r="F98" s="850"/>
      <c r="G98" s="850"/>
      <c r="H98" s="850"/>
      <c r="I98" s="850"/>
      <c r="J98" s="850"/>
      <c r="K98" s="850"/>
      <c r="M98" s="823"/>
      <c r="N98" s="823"/>
      <c r="O98" s="823"/>
    </row>
    <row r="99" spans="1:15" x14ac:dyDescent="0.2">
      <c r="A99" s="850"/>
      <c r="B99" s="850"/>
      <c r="C99" s="850"/>
      <c r="D99" s="850"/>
      <c r="E99" s="850"/>
      <c r="F99" s="850"/>
      <c r="G99" s="850"/>
      <c r="H99" s="850"/>
      <c r="I99" s="850"/>
      <c r="J99" s="850"/>
      <c r="K99" s="850"/>
      <c r="M99" s="823"/>
      <c r="N99" s="823"/>
      <c r="O99" s="823"/>
    </row>
    <row r="100" spans="1:15" x14ac:dyDescent="0.2">
      <c r="A100" s="850"/>
      <c r="B100" s="850"/>
      <c r="C100" s="850"/>
      <c r="D100" s="850"/>
      <c r="E100" s="850"/>
      <c r="F100" s="850"/>
      <c r="G100" s="850"/>
      <c r="H100" s="850"/>
      <c r="I100" s="850"/>
      <c r="J100" s="850"/>
      <c r="K100" s="850"/>
      <c r="M100" s="823"/>
      <c r="N100" s="823"/>
      <c r="O100" s="823"/>
    </row>
    <row r="101" spans="1:15" x14ac:dyDescent="0.2">
      <c r="A101" s="850"/>
      <c r="B101" s="850"/>
      <c r="C101" s="850"/>
      <c r="D101" s="850"/>
      <c r="E101" s="850"/>
      <c r="F101" s="850"/>
      <c r="G101" s="850"/>
      <c r="H101" s="850"/>
      <c r="I101" s="850"/>
      <c r="J101" s="850"/>
      <c r="K101" s="850"/>
      <c r="M101" s="823"/>
      <c r="N101" s="823"/>
      <c r="O101" s="823"/>
    </row>
    <row r="102" spans="1:15" x14ac:dyDescent="0.2">
      <c r="A102" s="850"/>
      <c r="B102" s="850"/>
      <c r="C102" s="850"/>
      <c r="D102" s="850"/>
      <c r="E102" s="850"/>
      <c r="F102" s="850"/>
      <c r="G102" s="850"/>
      <c r="H102" s="850"/>
      <c r="I102" s="850"/>
      <c r="J102" s="850"/>
      <c r="K102" s="850"/>
      <c r="M102" s="823"/>
      <c r="N102" s="823"/>
      <c r="O102" s="823"/>
    </row>
    <row r="103" spans="1:15" x14ac:dyDescent="0.2">
      <c r="A103" s="850"/>
      <c r="B103" s="850"/>
      <c r="C103" s="850"/>
      <c r="D103" s="850"/>
      <c r="E103" s="850"/>
      <c r="F103" s="850"/>
      <c r="G103" s="850"/>
      <c r="H103" s="850"/>
      <c r="I103" s="850"/>
      <c r="J103" s="850"/>
      <c r="K103" s="850"/>
      <c r="M103" s="823"/>
      <c r="N103" s="823"/>
      <c r="O103" s="823"/>
    </row>
    <row r="104" spans="1:15" x14ac:dyDescent="0.2">
      <c r="A104" s="850"/>
      <c r="B104" s="850"/>
      <c r="C104" s="850"/>
      <c r="D104" s="850"/>
      <c r="E104" s="850"/>
      <c r="F104" s="850"/>
      <c r="G104" s="850"/>
      <c r="H104" s="850"/>
      <c r="I104" s="850"/>
      <c r="J104" s="850"/>
      <c r="K104" s="850"/>
      <c r="M104" s="823"/>
      <c r="N104" s="823"/>
      <c r="O104" s="823"/>
    </row>
    <row r="105" spans="1:15" x14ac:dyDescent="0.2">
      <c r="A105" s="850"/>
      <c r="B105" s="850"/>
      <c r="C105" s="850"/>
      <c r="D105" s="850"/>
      <c r="E105" s="850"/>
      <c r="F105" s="850"/>
      <c r="G105" s="850"/>
      <c r="H105" s="850"/>
      <c r="I105" s="850"/>
      <c r="J105" s="850"/>
      <c r="K105" s="850"/>
      <c r="M105" s="823"/>
      <c r="N105" s="823"/>
      <c r="O105" s="823"/>
    </row>
    <row r="106" spans="1:15" x14ac:dyDescent="0.2">
      <c r="A106" s="850"/>
      <c r="B106" s="850"/>
      <c r="C106" s="850"/>
      <c r="D106" s="850"/>
      <c r="E106" s="850"/>
      <c r="F106" s="850"/>
      <c r="G106" s="850"/>
      <c r="H106" s="850"/>
      <c r="I106" s="850"/>
      <c r="J106" s="850"/>
      <c r="K106" s="850"/>
      <c r="M106" s="823"/>
      <c r="N106" s="823"/>
      <c r="O106" s="823"/>
    </row>
    <row r="107" spans="1:15" x14ac:dyDescent="0.2">
      <c r="A107" s="850"/>
      <c r="B107" s="850"/>
      <c r="C107" s="850"/>
      <c r="D107" s="850"/>
      <c r="E107" s="850"/>
      <c r="F107" s="850"/>
      <c r="G107" s="850"/>
      <c r="H107" s="850"/>
      <c r="I107" s="850"/>
      <c r="J107" s="850"/>
      <c r="K107" s="850"/>
      <c r="M107" s="823"/>
      <c r="N107" s="823"/>
      <c r="O107" s="823"/>
    </row>
    <row r="108" spans="1:15" x14ac:dyDescent="0.2">
      <c r="A108" s="850"/>
      <c r="B108" s="850"/>
      <c r="C108" s="850"/>
      <c r="D108" s="850"/>
      <c r="E108" s="850"/>
      <c r="F108" s="850"/>
      <c r="G108" s="850"/>
      <c r="H108" s="850"/>
      <c r="I108" s="850"/>
      <c r="J108" s="850"/>
      <c r="K108" s="850"/>
      <c r="M108" s="823"/>
      <c r="N108" s="823"/>
      <c r="O108" s="823"/>
    </row>
    <row r="109" spans="1:15" x14ac:dyDescent="0.2">
      <c r="A109" s="850"/>
      <c r="B109" s="850"/>
      <c r="C109" s="850"/>
      <c r="D109" s="850"/>
      <c r="E109" s="850"/>
      <c r="F109" s="850"/>
      <c r="G109" s="850"/>
      <c r="H109" s="850"/>
      <c r="I109" s="850"/>
      <c r="J109" s="850"/>
      <c r="K109" s="850"/>
      <c r="M109" s="823"/>
      <c r="N109" s="823"/>
      <c r="O109" s="823"/>
    </row>
    <row r="110" spans="1:15" x14ac:dyDescent="0.2">
      <c r="A110" s="850"/>
      <c r="B110" s="850"/>
      <c r="C110" s="850"/>
      <c r="D110" s="850"/>
      <c r="E110" s="850"/>
      <c r="F110" s="850"/>
      <c r="G110" s="850"/>
      <c r="H110" s="850"/>
      <c r="I110" s="850"/>
      <c r="J110" s="850"/>
      <c r="K110" s="850"/>
      <c r="M110" s="823"/>
      <c r="N110" s="823"/>
      <c r="O110" s="823"/>
    </row>
    <row r="111" spans="1:15" x14ac:dyDescent="0.2">
      <c r="A111" s="850"/>
      <c r="B111" s="850"/>
      <c r="C111" s="850"/>
      <c r="D111" s="850"/>
      <c r="E111" s="850"/>
      <c r="F111" s="850"/>
      <c r="G111" s="850"/>
      <c r="H111" s="850"/>
      <c r="I111" s="850"/>
      <c r="J111" s="850"/>
      <c r="K111" s="850"/>
      <c r="M111" s="823"/>
      <c r="N111" s="823"/>
      <c r="O111" s="823"/>
    </row>
    <row r="112" spans="1:15" x14ac:dyDescent="0.2">
      <c r="A112" s="850"/>
      <c r="B112" s="850"/>
      <c r="C112" s="850"/>
      <c r="D112" s="850"/>
      <c r="E112" s="850"/>
      <c r="F112" s="850"/>
      <c r="G112" s="850"/>
      <c r="H112" s="850"/>
      <c r="I112" s="850"/>
      <c r="J112" s="850"/>
      <c r="K112" s="850"/>
      <c r="M112" s="823"/>
      <c r="N112" s="823"/>
      <c r="O112" s="823"/>
    </row>
    <row r="113" spans="1:15" x14ac:dyDescent="0.2">
      <c r="A113" s="850"/>
      <c r="B113" s="850"/>
      <c r="C113" s="850"/>
      <c r="D113" s="850"/>
      <c r="E113" s="850"/>
      <c r="F113" s="850"/>
      <c r="G113" s="850"/>
      <c r="H113" s="850"/>
      <c r="I113" s="850"/>
      <c r="J113" s="850"/>
      <c r="K113" s="850"/>
      <c r="M113" s="823"/>
      <c r="N113" s="823"/>
      <c r="O113" s="823"/>
    </row>
    <row r="114" spans="1:15" x14ac:dyDescent="0.2">
      <c r="A114" s="850"/>
      <c r="B114" s="850"/>
      <c r="C114" s="850"/>
      <c r="D114" s="850"/>
      <c r="E114" s="850"/>
      <c r="F114" s="850"/>
      <c r="G114" s="850"/>
      <c r="H114" s="850"/>
      <c r="I114" s="850"/>
      <c r="J114" s="850"/>
      <c r="K114" s="850"/>
      <c r="M114" s="823"/>
      <c r="N114" s="823"/>
      <c r="O114" s="823"/>
    </row>
    <row r="115" spans="1:15" x14ac:dyDescent="0.2">
      <c r="A115" s="850"/>
      <c r="B115" s="850"/>
      <c r="C115" s="850"/>
      <c r="D115" s="850"/>
      <c r="E115" s="850"/>
      <c r="F115" s="850"/>
      <c r="G115" s="850"/>
      <c r="H115" s="850"/>
      <c r="I115" s="850"/>
      <c r="J115" s="850"/>
      <c r="K115" s="850"/>
      <c r="M115" s="823"/>
      <c r="N115" s="823"/>
      <c r="O115" s="823"/>
    </row>
    <row r="116" spans="1:15" x14ac:dyDescent="0.2">
      <c r="A116" s="850"/>
      <c r="B116" s="850"/>
      <c r="C116" s="850"/>
      <c r="D116" s="850"/>
      <c r="E116" s="850"/>
      <c r="F116" s="850"/>
      <c r="G116" s="850"/>
      <c r="H116" s="850"/>
      <c r="I116" s="850"/>
      <c r="J116" s="850"/>
      <c r="K116" s="850"/>
      <c r="M116" s="823"/>
      <c r="N116" s="823"/>
      <c r="O116" s="823"/>
    </row>
    <row r="117" spans="1:15" x14ac:dyDescent="0.2">
      <c r="A117" s="850"/>
      <c r="B117" s="850"/>
      <c r="C117" s="850"/>
      <c r="D117" s="850"/>
      <c r="E117" s="850"/>
      <c r="F117" s="850"/>
      <c r="G117" s="850"/>
      <c r="H117" s="850"/>
      <c r="I117" s="850"/>
      <c r="J117" s="850"/>
      <c r="K117" s="850"/>
      <c r="M117" s="823"/>
      <c r="N117" s="823"/>
      <c r="O117" s="823"/>
    </row>
    <row r="118" spans="1:15" x14ac:dyDescent="0.2">
      <c r="A118" s="850"/>
      <c r="B118" s="850"/>
      <c r="C118" s="850"/>
      <c r="D118" s="850"/>
      <c r="E118" s="850"/>
      <c r="F118" s="850"/>
      <c r="G118" s="850"/>
      <c r="H118" s="850"/>
      <c r="I118" s="850"/>
      <c r="J118" s="850"/>
      <c r="K118" s="850"/>
      <c r="M118" s="823"/>
      <c r="N118" s="823"/>
      <c r="O118" s="823"/>
    </row>
    <row r="119" spans="1:15" x14ac:dyDescent="0.2">
      <c r="M119" s="823"/>
      <c r="N119" s="823"/>
      <c r="O119" s="823"/>
    </row>
    <row r="120" spans="1:15" x14ac:dyDescent="0.2">
      <c r="M120" s="823"/>
      <c r="N120" s="823"/>
      <c r="O120" s="823"/>
    </row>
    <row r="121" spans="1:15" x14ac:dyDescent="0.2">
      <c r="M121" s="823"/>
      <c r="N121" s="823"/>
      <c r="O121" s="823"/>
    </row>
    <row r="122" spans="1:15" x14ac:dyDescent="0.2">
      <c r="M122" s="823"/>
      <c r="N122" s="823"/>
      <c r="O122" s="823"/>
    </row>
  </sheetData>
  <sheetProtection algorithmName="SHA-512" hashValue="Uj79N+TLlTmz7rzbe7+LvR/lNY6r8deozWutZE+oNNZALZX8RhcZ3Kmd5Ho4JCRweiocsF5fJbGeNI60hkOGzg==" saltValue="upp10NgtGoApJEywAZnF+w==" spinCount="100000" sheet="1" objects="1" scenarios="1"/>
  <mergeCells count="23">
    <mergeCell ref="H22:I22"/>
    <mergeCell ref="J22:J23"/>
    <mergeCell ref="K22:K23"/>
    <mergeCell ref="A24:B24"/>
    <mergeCell ref="A31:A37"/>
    <mergeCell ref="B31:B37"/>
    <mergeCell ref="K31:K37"/>
    <mergeCell ref="F22:G22"/>
    <mergeCell ref="A14:B14"/>
    <mergeCell ref="A22:A23"/>
    <mergeCell ref="B22:B23"/>
    <mergeCell ref="C22:C23"/>
    <mergeCell ref="D22:E22"/>
    <mergeCell ref="A5:B5"/>
    <mergeCell ref="A7:K7"/>
    <mergeCell ref="A12:A13"/>
    <mergeCell ref="B12:B13"/>
    <mergeCell ref="C12:C13"/>
    <mergeCell ref="D12:D13"/>
    <mergeCell ref="E12:E13"/>
    <mergeCell ref="H12:H13"/>
    <mergeCell ref="I12:I13"/>
    <mergeCell ref="J12:J13"/>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117.pielikums Jūrmalas pilsētas domes
2017.gada 30.janvāra saistošajiem noteikumiem Nr.10
(Protokols Nr.4, 1.punkts)
 </firstHeader>
    <firstFooter>&amp;L&amp;9&amp;D; &amp;T&amp;R&amp;9&amp;P (&amp;N)</first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94"/>
  <sheetViews>
    <sheetView tabSelected="1" view="pageLayout" zoomScaleNormal="100" workbookViewId="0">
      <selection activeCell="N9" sqref="N9"/>
    </sheetView>
  </sheetViews>
  <sheetFormatPr defaultRowHeight="12" outlineLevelCol="1" x14ac:dyDescent="0.2"/>
  <cols>
    <col min="1" max="1" width="5.28515625" style="851" customWidth="1"/>
    <col min="2" max="2" width="26.5703125" style="851" customWidth="1"/>
    <col min="3" max="3" width="10" style="851" customWidth="1"/>
    <col min="4" max="4" width="10.7109375" style="851" hidden="1" customWidth="1" outlineLevel="1"/>
    <col min="5" max="5" width="9.5703125" style="851" hidden="1" customWidth="1" outlineLevel="1"/>
    <col min="6" max="6" width="10.85546875" style="851" hidden="1" customWidth="1" outlineLevel="1"/>
    <col min="7" max="7" width="9.5703125" style="851" hidden="1" customWidth="1" outlineLevel="1"/>
    <col min="8" max="8" width="11.42578125" style="851" customWidth="1" collapsed="1"/>
    <col min="9" max="9" width="9.5703125" style="851" customWidth="1"/>
    <col min="10" max="10" width="18" style="851" hidden="1" customWidth="1" outlineLevel="1"/>
    <col min="11" max="11" width="9.140625" style="851" collapsed="1"/>
    <col min="12" max="16384" width="9.140625" style="851"/>
  </cols>
  <sheetData>
    <row r="1" spans="1:12" x14ac:dyDescent="0.2">
      <c r="K1" s="755" t="s">
        <v>949</v>
      </c>
    </row>
    <row r="2" spans="1:12" x14ac:dyDescent="0.2">
      <c r="K2" s="755" t="s">
        <v>843</v>
      </c>
    </row>
    <row r="3" spans="1:12" x14ac:dyDescent="0.2">
      <c r="K3" s="755" t="s">
        <v>844</v>
      </c>
    </row>
    <row r="4" spans="1:12" ht="12.75" customHeight="1" x14ac:dyDescent="0.2">
      <c r="A4" s="852" t="s">
        <v>2</v>
      </c>
      <c r="B4" s="853"/>
      <c r="C4" s="854" t="s">
        <v>950</v>
      </c>
      <c r="D4" s="854"/>
      <c r="E4" s="854"/>
      <c r="F4" s="855"/>
      <c r="G4" s="855"/>
      <c r="H4" s="855"/>
      <c r="I4" s="855"/>
      <c r="J4" s="855"/>
    </row>
    <row r="5" spans="1:12" ht="12.75" customHeight="1" x14ac:dyDescent="0.2">
      <c r="A5" s="852" t="s">
        <v>4</v>
      </c>
      <c r="B5" s="853"/>
      <c r="C5" s="856" t="s">
        <v>871</v>
      </c>
      <c r="D5" s="854"/>
      <c r="E5" s="854"/>
      <c r="F5" s="857"/>
      <c r="G5" s="857"/>
      <c r="H5" s="857"/>
      <c r="I5" s="857"/>
      <c r="J5" s="857"/>
    </row>
    <row r="6" spans="1:12" ht="15.75" x14ac:dyDescent="0.25">
      <c r="A6" s="1772" t="s">
        <v>951</v>
      </c>
      <c r="B6" s="1772"/>
      <c r="C6" s="1772"/>
      <c r="D6" s="1772"/>
      <c r="E6" s="1772"/>
      <c r="F6" s="1772"/>
      <c r="G6" s="1772"/>
      <c r="H6" s="1772"/>
      <c r="I6" s="1772"/>
      <c r="J6" s="1772"/>
      <c r="K6" s="1772"/>
      <c r="L6" s="858"/>
    </row>
    <row r="7" spans="1:12" ht="12.75" customHeight="1" x14ac:dyDescent="0.2">
      <c r="A7" s="1773" t="s">
        <v>901</v>
      </c>
      <c r="B7" s="1773"/>
      <c r="C7" s="1774"/>
      <c r="D7" s="1774"/>
      <c r="E7" s="1774"/>
      <c r="F7" s="855"/>
      <c r="G7" s="855"/>
      <c r="H7" s="855"/>
      <c r="I7" s="855"/>
      <c r="J7" s="855"/>
    </row>
    <row r="8" spans="1:12" ht="12.75" customHeight="1" x14ac:dyDescent="0.2">
      <c r="A8" s="852" t="s">
        <v>360</v>
      </c>
      <c r="B8" s="852"/>
      <c r="C8" s="854" t="s">
        <v>874</v>
      </c>
      <c r="D8" s="854"/>
      <c r="E8" s="854"/>
      <c r="F8" s="855"/>
      <c r="G8" s="855"/>
      <c r="H8" s="855"/>
      <c r="I8" s="855"/>
      <c r="J8" s="855"/>
    </row>
    <row r="9" spans="1:12" ht="12.75" customHeight="1" x14ac:dyDescent="0.2">
      <c r="A9" s="859" t="s">
        <v>362</v>
      </c>
      <c r="B9" s="859"/>
      <c r="C9" s="1775" t="s">
        <v>873</v>
      </c>
      <c r="D9" s="1775"/>
      <c r="E9" s="1775"/>
      <c r="F9" s="860"/>
      <c r="G9" s="860"/>
      <c r="H9" s="860"/>
      <c r="I9" s="860"/>
      <c r="J9" s="860"/>
    </row>
    <row r="10" spans="1:12" ht="36" customHeight="1" x14ac:dyDescent="0.2">
      <c r="A10" s="1765" t="s">
        <v>364</v>
      </c>
      <c r="B10" s="1765" t="s">
        <v>365</v>
      </c>
      <c r="C10" s="1765" t="s">
        <v>366</v>
      </c>
      <c r="D10" s="1776" t="s">
        <v>367</v>
      </c>
      <c r="E10" s="1777"/>
      <c r="F10" s="1776" t="s">
        <v>538</v>
      </c>
      <c r="G10" s="1777"/>
      <c r="H10" s="1776" t="s">
        <v>369</v>
      </c>
      <c r="I10" s="1777"/>
      <c r="J10" s="1765" t="s">
        <v>26</v>
      </c>
      <c r="K10" s="1765" t="s">
        <v>370</v>
      </c>
    </row>
    <row r="11" spans="1:12" ht="24" x14ac:dyDescent="0.2">
      <c r="A11" s="1766"/>
      <c r="B11" s="1766"/>
      <c r="C11" s="1766"/>
      <c r="D11" s="861" t="s">
        <v>913</v>
      </c>
      <c r="E11" s="861" t="s">
        <v>914</v>
      </c>
      <c r="F11" s="861" t="s">
        <v>913</v>
      </c>
      <c r="G11" s="861" t="s">
        <v>914</v>
      </c>
      <c r="H11" s="861" t="s">
        <v>913</v>
      </c>
      <c r="I11" s="861" t="s">
        <v>914</v>
      </c>
      <c r="J11" s="1766"/>
      <c r="K11" s="1766"/>
    </row>
    <row r="12" spans="1:12" ht="12" customHeight="1" x14ac:dyDescent="0.2">
      <c r="A12" s="1767" t="s">
        <v>907</v>
      </c>
      <c r="B12" s="1767"/>
      <c r="C12" s="862"/>
      <c r="D12" s="862">
        <f t="shared" ref="D12:I12" si="0">SUM(D13,D21,D29,D60,D150,D173,D187)</f>
        <v>432951</v>
      </c>
      <c r="E12" s="862">
        <f t="shared" si="0"/>
        <v>16715</v>
      </c>
      <c r="F12" s="862">
        <f t="shared" si="0"/>
        <v>0</v>
      </c>
      <c r="G12" s="862">
        <f t="shared" si="0"/>
        <v>0</v>
      </c>
      <c r="H12" s="862">
        <f t="shared" si="0"/>
        <v>432951</v>
      </c>
      <c r="I12" s="862">
        <f t="shared" si="0"/>
        <v>16715</v>
      </c>
      <c r="J12" s="863"/>
      <c r="K12" s="864"/>
    </row>
    <row r="13" spans="1:12" ht="15" customHeight="1" x14ac:dyDescent="0.2">
      <c r="A13" s="1768">
        <v>1</v>
      </c>
      <c r="B13" s="1768" t="s">
        <v>952</v>
      </c>
      <c r="C13" s="865"/>
      <c r="D13" s="865">
        <f>SUM(D14:D20)</f>
        <v>34468</v>
      </c>
      <c r="E13" s="865">
        <f>SUM(E14:E20)</f>
        <v>0</v>
      </c>
      <c r="F13" s="865">
        <f t="shared" ref="F13:G13" si="1">SUM(F14:F20)</f>
        <v>-867</v>
      </c>
      <c r="G13" s="865">
        <f t="shared" si="1"/>
        <v>0</v>
      </c>
      <c r="H13" s="866">
        <f>D13+F13</f>
        <v>33601</v>
      </c>
      <c r="I13" s="866">
        <f>E13+G13</f>
        <v>0</v>
      </c>
      <c r="J13" s="867"/>
      <c r="K13" s="868"/>
    </row>
    <row r="14" spans="1:12" x14ac:dyDescent="0.2">
      <c r="A14" s="1769"/>
      <c r="B14" s="1769"/>
      <c r="C14" s="869">
        <v>1150</v>
      </c>
      <c r="D14" s="870">
        <v>6035</v>
      </c>
      <c r="E14" s="870"/>
      <c r="F14" s="871"/>
      <c r="G14" s="871"/>
      <c r="H14" s="871">
        <f t="shared" ref="H14:I155" si="2">D14+F14</f>
        <v>6035</v>
      </c>
      <c r="I14" s="871">
        <f t="shared" si="2"/>
        <v>0</v>
      </c>
      <c r="J14" s="867"/>
      <c r="K14" s="1771" t="s">
        <v>953</v>
      </c>
    </row>
    <row r="15" spans="1:12" x14ac:dyDescent="0.2">
      <c r="A15" s="1769"/>
      <c r="B15" s="1769"/>
      <c r="C15" s="869">
        <v>2231</v>
      </c>
      <c r="D15" s="870">
        <v>0</v>
      </c>
      <c r="E15" s="870"/>
      <c r="F15" s="871"/>
      <c r="G15" s="871"/>
      <c r="H15" s="871">
        <f t="shared" si="2"/>
        <v>0</v>
      </c>
      <c r="I15" s="871">
        <f t="shared" si="2"/>
        <v>0</v>
      </c>
      <c r="J15" s="867"/>
      <c r="K15" s="1771"/>
    </row>
    <row r="16" spans="1:12" ht="14.25" customHeight="1" x14ac:dyDescent="0.2">
      <c r="A16" s="1769"/>
      <c r="B16" s="1769"/>
      <c r="C16" s="869">
        <v>2262</v>
      </c>
      <c r="D16" s="870">
        <v>69</v>
      </c>
      <c r="E16" s="862"/>
      <c r="F16" s="871"/>
      <c r="G16" s="871"/>
      <c r="H16" s="871">
        <f t="shared" si="2"/>
        <v>69</v>
      </c>
      <c r="I16" s="871">
        <f t="shared" si="2"/>
        <v>0</v>
      </c>
      <c r="J16" s="867"/>
      <c r="K16" s="1771"/>
    </row>
    <row r="17" spans="1:11" x14ac:dyDescent="0.2">
      <c r="A17" s="1769"/>
      <c r="B17" s="1769"/>
      <c r="C17" s="869">
        <v>2264</v>
      </c>
      <c r="D17" s="870">
        <v>16213</v>
      </c>
      <c r="E17" s="862"/>
      <c r="F17" s="871"/>
      <c r="G17" s="871"/>
      <c r="H17" s="871">
        <f t="shared" si="2"/>
        <v>16213</v>
      </c>
      <c r="I17" s="871">
        <f t="shared" si="2"/>
        <v>0</v>
      </c>
      <c r="J17" s="867"/>
      <c r="K17" s="1771"/>
    </row>
    <row r="18" spans="1:11" x14ac:dyDescent="0.2">
      <c r="A18" s="1769"/>
      <c r="B18" s="1769"/>
      <c r="C18" s="869">
        <v>2269</v>
      </c>
      <c r="D18" s="870">
        <v>0</v>
      </c>
      <c r="E18" s="862"/>
      <c r="F18" s="871"/>
      <c r="G18" s="871"/>
      <c r="H18" s="871">
        <f t="shared" si="2"/>
        <v>0</v>
      </c>
      <c r="I18" s="871">
        <f t="shared" si="2"/>
        <v>0</v>
      </c>
      <c r="J18" s="867"/>
      <c r="K18" s="1771"/>
    </row>
    <row r="19" spans="1:11" ht="36" x14ac:dyDescent="0.2">
      <c r="A19" s="1769"/>
      <c r="B19" s="1769"/>
      <c r="C19" s="872">
        <v>2279</v>
      </c>
      <c r="D19" s="873">
        <v>7720</v>
      </c>
      <c r="E19" s="873"/>
      <c r="F19" s="871">
        <v>-34</v>
      </c>
      <c r="G19" s="871"/>
      <c r="H19" s="871">
        <f t="shared" si="2"/>
        <v>7686</v>
      </c>
      <c r="I19" s="871">
        <f t="shared" si="2"/>
        <v>0</v>
      </c>
      <c r="J19" s="867" t="s">
        <v>954</v>
      </c>
      <c r="K19" s="1771"/>
    </row>
    <row r="20" spans="1:11" ht="38.25" customHeight="1" x14ac:dyDescent="0.2">
      <c r="A20" s="1770"/>
      <c r="B20" s="1770"/>
      <c r="C20" s="874">
        <v>2314</v>
      </c>
      <c r="D20" s="873">
        <v>4431</v>
      </c>
      <c r="E20" s="873"/>
      <c r="F20" s="871">
        <v>-833</v>
      </c>
      <c r="G20" s="871"/>
      <c r="H20" s="871">
        <f t="shared" si="2"/>
        <v>3598</v>
      </c>
      <c r="I20" s="871">
        <f t="shared" si="2"/>
        <v>0</v>
      </c>
      <c r="J20" s="867" t="s">
        <v>954</v>
      </c>
      <c r="K20" s="1771"/>
    </row>
    <row r="21" spans="1:11" ht="61.5" customHeight="1" x14ac:dyDescent="0.2">
      <c r="A21" s="1768">
        <v>2</v>
      </c>
      <c r="B21" s="1781" t="s">
        <v>955</v>
      </c>
      <c r="C21" s="875"/>
      <c r="D21" s="876">
        <f>SUM(D22:D28)</f>
        <v>106436</v>
      </c>
      <c r="E21" s="876">
        <f>SUM(E22:E28)</f>
        <v>0</v>
      </c>
      <c r="F21" s="876">
        <f t="shared" ref="F21:G21" si="3">SUM(F22:F28)</f>
        <v>2228</v>
      </c>
      <c r="G21" s="876">
        <f t="shared" si="3"/>
        <v>0</v>
      </c>
      <c r="H21" s="866">
        <f t="shared" si="2"/>
        <v>108664</v>
      </c>
      <c r="I21" s="866">
        <f t="shared" si="2"/>
        <v>0</v>
      </c>
      <c r="J21" s="867" t="s">
        <v>956</v>
      </c>
      <c r="K21" s="868"/>
    </row>
    <row r="22" spans="1:11" ht="36" x14ac:dyDescent="0.2">
      <c r="A22" s="1769"/>
      <c r="B22" s="1782"/>
      <c r="C22" s="874">
        <v>1150</v>
      </c>
      <c r="D22" s="873">
        <v>24482</v>
      </c>
      <c r="E22" s="873"/>
      <c r="F22" s="871">
        <v>936</v>
      </c>
      <c r="G22" s="871"/>
      <c r="H22" s="871">
        <f t="shared" si="2"/>
        <v>25418</v>
      </c>
      <c r="I22" s="871">
        <f t="shared" si="2"/>
        <v>0</v>
      </c>
      <c r="J22" s="867" t="s">
        <v>957</v>
      </c>
      <c r="K22" s="877"/>
    </row>
    <row r="23" spans="1:11" x14ac:dyDescent="0.2">
      <c r="A23" s="1769"/>
      <c r="B23" s="1782"/>
      <c r="C23" s="874">
        <v>2231</v>
      </c>
      <c r="D23" s="873">
        <f>250+200</f>
        <v>450</v>
      </c>
      <c r="E23" s="873"/>
      <c r="F23" s="871"/>
      <c r="G23" s="871"/>
      <c r="H23" s="871">
        <f t="shared" si="2"/>
        <v>450</v>
      </c>
      <c r="I23" s="871">
        <f t="shared" si="2"/>
        <v>0</v>
      </c>
      <c r="J23" s="867"/>
      <c r="K23" s="877"/>
    </row>
    <row r="24" spans="1:11" ht="12.75" customHeight="1" x14ac:dyDescent="0.2">
      <c r="A24" s="1769"/>
      <c r="B24" s="1782"/>
      <c r="C24" s="874">
        <v>2262</v>
      </c>
      <c r="D24" s="873">
        <v>324</v>
      </c>
      <c r="E24" s="873"/>
      <c r="F24" s="871"/>
      <c r="G24" s="871"/>
      <c r="H24" s="871">
        <f t="shared" si="2"/>
        <v>324</v>
      </c>
      <c r="I24" s="871">
        <f t="shared" si="2"/>
        <v>0</v>
      </c>
      <c r="J24" s="867"/>
      <c r="K24" s="877"/>
    </row>
    <row r="25" spans="1:11" ht="72" x14ac:dyDescent="0.2">
      <c r="A25" s="1769"/>
      <c r="B25" s="1782"/>
      <c r="C25" s="874">
        <v>2264</v>
      </c>
      <c r="D25" s="873">
        <v>45493</v>
      </c>
      <c r="E25" s="873"/>
      <c r="F25" s="871">
        <v>4172</v>
      </c>
      <c r="G25" s="871"/>
      <c r="H25" s="871">
        <f t="shared" si="2"/>
        <v>49665</v>
      </c>
      <c r="I25" s="871">
        <f t="shared" si="2"/>
        <v>0</v>
      </c>
      <c r="J25" s="867" t="s">
        <v>958</v>
      </c>
      <c r="K25" s="877"/>
    </row>
    <row r="26" spans="1:11" x14ac:dyDescent="0.2">
      <c r="A26" s="1769"/>
      <c r="B26" s="1782"/>
      <c r="C26" s="874">
        <v>2269</v>
      </c>
      <c r="D26" s="873">
        <v>928</v>
      </c>
      <c r="E26" s="873"/>
      <c r="F26" s="871"/>
      <c r="G26" s="871"/>
      <c r="H26" s="871">
        <f t="shared" si="2"/>
        <v>928</v>
      </c>
      <c r="I26" s="871">
        <f t="shared" si="2"/>
        <v>0</v>
      </c>
      <c r="J26" s="867"/>
      <c r="K26" s="877"/>
    </row>
    <row r="27" spans="1:11" ht="36" customHeight="1" x14ac:dyDescent="0.2">
      <c r="A27" s="1769"/>
      <c r="B27" s="1782"/>
      <c r="C27" s="874">
        <v>2279</v>
      </c>
      <c r="D27" s="873">
        <v>30728</v>
      </c>
      <c r="E27" s="873"/>
      <c r="F27" s="871">
        <v>-3261</v>
      </c>
      <c r="G27" s="871"/>
      <c r="H27" s="871">
        <f t="shared" si="2"/>
        <v>27467</v>
      </c>
      <c r="I27" s="871">
        <f t="shared" si="2"/>
        <v>0</v>
      </c>
      <c r="J27" s="867" t="s">
        <v>959</v>
      </c>
      <c r="K27" s="877"/>
    </row>
    <row r="28" spans="1:11" ht="27" customHeight="1" x14ac:dyDescent="0.2">
      <c r="A28" s="1770"/>
      <c r="B28" s="1783"/>
      <c r="C28" s="874">
        <v>2314</v>
      </c>
      <c r="D28" s="873">
        <v>4031</v>
      </c>
      <c r="E28" s="873"/>
      <c r="F28" s="871">
        <v>381</v>
      </c>
      <c r="G28" s="871"/>
      <c r="H28" s="871">
        <f t="shared" si="2"/>
        <v>4412</v>
      </c>
      <c r="I28" s="871">
        <f t="shared" si="2"/>
        <v>0</v>
      </c>
      <c r="J28" s="867" t="s">
        <v>960</v>
      </c>
      <c r="K28" s="877"/>
    </row>
    <row r="29" spans="1:11" ht="24" x14ac:dyDescent="0.2">
      <c r="A29" s="868">
        <v>3</v>
      </c>
      <c r="B29" s="878" t="s">
        <v>961</v>
      </c>
      <c r="C29" s="879"/>
      <c r="D29" s="880">
        <f>SUM(D30,D32,D40,D46,D52,D56)</f>
        <v>103243</v>
      </c>
      <c r="E29" s="880">
        <f t="shared" ref="E29:I29" si="4">SUM(E30,E32,E40,E46,E52,E56)</f>
        <v>0</v>
      </c>
      <c r="F29" s="880">
        <f t="shared" si="4"/>
        <v>-1359</v>
      </c>
      <c r="G29" s="880">
        <f t="shared" si="4"/>
        <v>0</v>
      </c>
      <c r="H29" s="880">
        <f t="shared" si="4"/>
        <v>101884</v>
      </c>
      <c r="I29" s="880">
        <f t="shared" si="4"/>
        <v>0</v>
      </c>
      <c r="J29" s="867"/>
      <c r="K29" s="868"/>
    </row>
    <row r="30" spans="1:11" x14ac:dyDescent="0.2">
      <c r="A30" s="1784" t="s">
        <v>962</v>
      </c>
      <c r="B30" s="1779" t="s">
        <v>963</v>
      </c>
      <c r="C30" s="869"/>
      <c r="D30" s="862">
        <f>SUM(D31:D31)</f>
        <v>0</v>
      </c>
      <c r="E30" s="862">
        <f>SUM(E31:E31)</f>
        <v>0</v>
      </c>
      <c r="F30" s="862">
        <f t="shared" ref="F30:G30" si="5">SUM(F31:F31)</f>
        <v>0</v>
      </c>
      <c r="G30" s="862">
        <f t="shared" si="5"/>
        <v>0</v>
      </c>
      <c r="H30" s="871">
        <f t="shared" si="2"/>
        <v>0</v>
      </c>
      <c r="I30" s="871">
        <f t="shared" si="2"/>
        <v>0</v>
      </c>
      <c r="J30" s="867"/>
      <c r="K30" s="1785" t="s">
        <v>953</v>
      </c>
    </row>
    <row r="31" spans="1:11" x14ac:dyDescent="0.2">
      <c r="A31" s="1784"/>
      <c r="B31" s="1779"/>
      <c r="C31" s="881">
        <v>2275</v>
      </c>
      <c r="D31" s="882">
        <v>0</v>
      </c>
      <c r="E31" s="873"/>
      <c r="F31" s="871"/>
      <c r="G31" s="871"/>
      <c r="H31" s="871">
        <f t="shared" si="2"/>
        <v>0</v>
      </c>
      <c r="I31" s="871">
        <f t="shared" si="2"/>
        <v>0</v>
      </c>
      <c r="J31" s="867"/>
      <c r="K31" s="1786"/>
    </row>
    <row r="32" spans="1:11" ht="13.5" customHeight="1" x14ac:dyDescent="0.2">
      <c r="A32" s="1787" t="s">
        <v>964</v>
      </c>
      <c r="B32" s="1779" t="s">
        <v>965</v>
      </c>
      <c r="C32" s="869"/>
      <c r="D32" s="862">
        <v>52701</v>
      </c>
      <c r="E32" s="862">
        <f>SUM(E33:E39)</f>
        <v>0</v>
      </c>
      <c r="F32" s="862">
        <f>SUM(F33:F39)</f>
        <v>-1255</v>
      </c>
      <c r="G32" s="862">
        <f t="shared" ref="G32" si="6">SUM(G33:G39)</f>
        <v>0</v>
      </c>
      <c r="H32" s="866">
        <f t="shared" si="2"/>
        <v>51446</v>
      </c>
      <c r="I32" s="866">
        <f t="shared" si="2"/>
        <v>0</v>
      </c>
      <c r="J32" s="867"/>
      <c r="K32" s="877"/>
    </row>
    <row r="33" spans="1:11" x14ac:dyDescent="0.2">
      <c r="A33" s="1788"/>
      <c r="B33" s="1779"/>
      <c r="C33" s="872">
        <v>1150</v>
      </c>
      <c r="D33" s="873">
        <v>6261</v>
      </c>
      <c r="E33" s="873"/>
      <c r="F33" s="871"/>
      <c r="G33" s="871"/>
      <c r="H33" s="871">
        <f t="shared" si="2"/>
        <v>6261</v>
      </c>
      <c r="I33" s="871">
        <f t="shared" si="2"/>
        <v>0</v>
      </c>
      <c r="J33" s="867"/>
      <c r="K33" s="1771" t="s">
        <v>953</v>
      </c>
    </row>
    <row r="34" spans="1:11" x14ac:dyDescent="0.2">
      <c r="A34" s="1788"/>
      <c r="B34" s="1779"/>
      <c r="C34" s="872">
        <v>2231</v>
      </c>
      <c r="D34" s="873">
        <v>240</v>
      </c>
      <c r="E34" s="873"/>
      <c r="F34" s="871"/>
      <c r="G34" s="871"/>
      <c r="H34" s="871">
        <f t="shared" si="2"/>
        <v>240</v>
      </c>
      <c r="I34" s="871"/>
      <c r="J34" s="867"/>
      <c r="K34" s="1771"/>
    </row>
    <row r="35" spans="1:11" x14ac:dyDescent="0.2">
      <c r="A35" s="1788"/>
      <c r="B35" s="1779"/>
      <c r="C35" s="872">
        <v>2262</v>
      </c>
      <c r="D35" s="873">
        <v>300</v>
      </c>
      <c r="E35" s="873"/>
      <c r="F35" s="871"/>
      <c r="G35" s="871"/>
      <c r="H35" s="871">
        <f t="shared" si="2"/>
        <v>300</v>
      </c>
      <c r="I35" s="871"/>
      <c r="J35" s="867"/>
      <c r="K35" s="1771"/>
    </row>
    <row r="36" spans="1:11" ht="36" x14ac:dyDescent="0.2">
      <c r="A36" s="1788"/>
      <c r="B36" s="1779"/>
      <c r="C36" s="872">
        <v>2264</v>
      </c>
      <c r="D36" s="873">
        <v>23340</v>
      </c>
      <c r="E36" s="873"/>
      <c r="F36" s="871">
        <v>-857</v>
      </c>
      <c r="G36" s="871"/>
      <c r="H36" s="871">
        <f t="shared" si="2"/>
        <v>22483</v>
      </c>
      <c r="I36" s="871">
        <f t="shared" si="2"/>
        <v>0</v>
      </c>
      <c r="J36" s="867" t="s">
        <v>954</v>
      </c>
      <c r="K36" s="1771"/>
    </row>
    <row r="37" spans="1:11" x14ac:dyDescent="0.2">
      <c r="A37" s="1788"/>
      <c r="B37" s="1779"/>
      <c r="C37" s="872">
        <v>2269</v>
      </c>
      <c r="D37" s="873">
        <v>0</v>
      </c>
      <c r="E37" s="873"/>
      <c r="F37" s="871"/>
      <c r="G37" s="871"/>
      <c r="H37" s="871">
        <f t="shared" si="2"/>
        <v>0</v>
      </c>
      <c r="I37" s="871">
        <v>0</v>
      </c>
      <c r="J37" s="867"/>
      <c r="K37" s="1771"/>
    </row>
    <row r="38" spans="1:11" ht="36" x14ac:dyDescent="0.2">
      <c r="A38" s="1788"/>
      <c r="B38" s="1779"/>
      <c r="C38" s="872">
        <v>2279</v>
      </c>
      <c r="D38" s="873">
        <v>21930</v>
      </c>
      <c r="E38" s="873"/>
      <c r="F38" s="871">
        <v>-398</v>
      </c>
      <c r="G38" s="871"/>
      <c r="H38" s="871">
        <f t="shared" si="2"/>
        <v>21532</v>
      </c>
      <c r="I38" s="871">
        <f t="shared" si="2"/>
        <v>0</v>
      </c>
      <c r="J38" s="867" t="s">
        <v>954</v>
      </c>
      <c r="K38" s="1771"/>
    </row>
    <row r="39" spans="1:11" x14ac:dyDescent="0.2">
      <c r="A39" s="1789"/>
      <c r="B39" s="1779"/>
      <c r="C39" s="872">
        <v>2314</v>
      </c>
      <c r="D39" s="873">
        <v>630</v>
      </c>
      <c r="E39" s="873"/>
      <c r="F39" s="871"/>
      <c r="G39" s="871"/>
      <c r="H39" s="871">
        <f t="shared" si="2"/>
        <v>630</v>
      </c>
      <c r="I39" s="871">
        <f t="shared" si="2"/>
        <v>0</v>
      </c>
      <c r="J39" s="867"/>
      <c r="K39" s="1771"/>
    </row>
    <row r="40" spans="1:11" ht="15.75" customHeight="1" x14ac:dyDescent="0.2">
      <c r="A40" s="1778" t="s">
        <v>966</v>
      </c>
      <c r="B40" s="1779" t="s">
        <v>967</v>
      </c>
      <c r="C40" s="869"/>
      <c r="D40" s="862">
        <f>SUM(D41:D45)</f>
        <v>36917</v>
      </c>
      <c r="E40" s="862">
        <f>SUM(E41:E45)</f>
        <v>0</v>
      </c>
      <c r="F40" s="862">
        <f t="shared" ref="F40:G40" si="7">SUM(F41:F45)</f>
        <v>-104</v>
      </c>
      <c r="G40" s="862">
        <f t="shared" si="7"/>
        <v>0</v>
      </c>
      <c r="H40" s="866">
        <f t="shared" si="2"/>
        <v>36813</v>
      </c>
      <c r="I40" s="866">
        <f t="shared" si="2"/>
        <v>0</v>
      </c>
      <c r="J40" s="867"/>
      <c r="K40" s="877"/>
    </row>
    <row r="41" spans="1:11" ht="36" x14ac:dyDescent="0.2">
      <c r="A41" s="1778"/>
      <c r="B41" s="1779"/>
      <c r="C41" s="872">
        <v>1150</v>
      </c>
      <c r="D41" s="873">
        <v>10906</v>
      </c>
      <c r="E41" s="873"/>
      <c r="F41" s="871">
        <v>-2</v>
      </c>
      <c r="G41" s="871"/>
      <c r="H41" s="871">
        <f t="shared" si="2"/>
        <v>10904</v>
      </c>
      <c r="I41" s="871">
        <f t="shared" si="2"/>
        <v>0</v>
      </c>
      <c r="J41" s="867" t="s">
        <v>954</v>
      </c>
      <c r="K41" s="1771" t="s">
        <v>953</v>
      </c>
    </row>
    <row r="42" spans="1:11" x14ac:dyDescent="0.2">
      <c r="A42" s="1778"/>
      <c r="B42" s="1779"/>
      <c r="C42" s="872">
        <v>2262</v>
      </c>
      <c r="D42" s="873">
        <v>300</v>
      </c>
      <c r="E42" s="873"/>
      <c r="F42" s="871"/>
      <c r="G42" s="871"/>
      <c r="H42" s="871">
        <f t="shared" si="2"/>
        <v>300</v>
      </c>
      <c r="I42" s="871">
        <f t="shared" si="2"/>
        <v>0</v>
      </c>
      <c r="J42" s="867"/>
      <c r="K42" s="1771"/>
    </row>
    <row r="43" spans="1:11" s="852" customFormat="1" x14ac:dyDescent="0.2">
      <c r="A43" s="1778"/>
      <c r="B43" s="1779"/>
      <c r="C43" s="872">
        <v>2264</v>
      </c>
      <c r="D43" s="873">
        <v>12432</v>
      </c>
      <c r="E43" s="873"/>
      <c r="F43" s="883"/>
      <c r="G43" s="883"/>
      <c r="H43" s="871">
        <f t="shared" si="2"/>
        <v>12432</v>
      </c>
      <c r="I43" s="871">
        <f t="shared" si="2"/>
        <v>0</v>
      </c>
      <c r="J43" s="867"/>
      <c r="K43" s="1771"/>
    </row>
    <row r="44" spans="1:11" s="852" customFormat="1" x14ac:dyDescent="0.2">
      <c r="A44" s="1778"/>
      <c r="B44" s="1779"/>
      <c r="C44" s="872">
        <v>2279</v>
      </c>
      <c r="D44" s="873">
        <v>10779</v>
      </c>
      <c r="E44" s="873"/>
      <c r="F44" s="883"/>
      <c r="G44" s="883"/>
      <c r="H44" s="871">
        <f t="shared" si="2"/>
        <v>10779</v>
      </c>
      <c r="I44" s="871">
        <f t="shared" si="2"/>
        <v>0</v>
      </c>
      <c r="J44" s="867"/>
      <c r="K44" s="1771"/>
    </row>
    <row r="45" spans="1:11" s="852" customFormat="1" ht="36" x14ac:dyDescent="0.2">
      <c r="A45" s="1778"/>
      <c r="B45" s="1779"/>
      <c r="C45" s="872">
        <v>2314</v>
      </c>
      <c r="D45" s="873">
        <v>2500</v>
      </c>
      <c r="E45" s="873"/>
      <c r="F45" s="883">
        <v>-102</v>
      </c>
      <c r="G45" s="883"/>
      <c r="H45" s="871">
        <f t="shared" si="2"/>
        <v>2398</v>
      </c>
      <c r="I45" s="871">
        <f t="shared" si="2"/>
        <v>0</v>
      </c>
      <c r="J45" s="867" t="s">
        <v>954</v>
      </c>
      <c r="K45" s="1771"/>
    </row>
    <row r="46" spans="1:11" s="852" customFormat="1" ht="12.75" customHeight="1" x14ac:dyDescent="0.2">
      <c r="A46" s="1780" t="s">
        <v>968</v>
      </c>
      <c r="B46" s="1779" t="s">
        <v>969</v>
      </c>
      <c r="C46" s="869"/>
      <c r="D46" s="862">
        <f>SUM(D47:D51)</f>
        <v>0</v>
      </c>
      <c r="E46" s="862">
        <f>SUM(E47:E51)</f>
        <v>0</v>
      </c>
      <c r="F46" s="862">
        <f t="shared" ref="F46:G46" si="8">SUM(F47:F51)</f>
        <v>0</v>
      </c>
      <c r="G46" s="862">
        <f t="shared" si="8"/>
        <v>0</v>
      </c>
      <c r="H46" s="866">
        <f t="shared" si="2"/>
        <v>0</v>
      </c>
      <c r="I46" s="866">
        <f t="shared" si="2"/>
        <v>0</v>
      </c>
      <c r="J46" s="867"/>
      <c r="K46" s="877"/>
    </row>
    <row r="47" spans="1:11" s="852" customFormat="1" x14ac:dyDescent="0.2">
      <c r="A47" s="1778"/>
      <c r="B47" s="1779"/>
      <c r="C47" s="872">
        <v>1150</v>
      </c>
      <c r="D47" s="873">
        <v>0</v>
      </c>
      <c r="E47" s="873"/>
      <c r="F47" s="883"/>
      <c r="G47" s="883"/>
      <c r="H47" s="871">
        <f t="shared" si="2"/>
        <v>0</v>
      </c>
      <c r="I47" s="871">
        <f t="shared" si="2"/>
        <v>0</v>
      </c>
      <c r="J47" s="867"/>
      <c r="K47" s="1771" t="s">
        <v>953</v>
      </c>
    </row>
    <row r="48" spans="1:11" s="852" customFormat="1" x14ac:dyDescent="0.2">
      <c r="A48" s="1778"/>
      <c r="B48" s="1779"/>
      <c r="C48" s="872">
        <v>2231</v>
      </c>
      <c r="D48" s="873">
        <v>0</v>
      </c>
      <c r="E48" s="873"/>
      <c r="F48" s="883"/>
      <c r="G48" s="883"/>
      <c r="H48" s="871">
        <f t="shared" si="2"/>
        <v>0</v>
      </c>
      <c r="I48" s="871">
        <f t="shared" si="2"/>
        <v>0</v>
      </c>
      <c r="J48" s="867"/>
      <c r="K48" s="1771"/>
    </row>
    <row r="49" spans="1:11" s="852" customFormat="1" ht="13.5" customHeight="1" x14ac:dyDescent="0.2">
      <c r="A49" s="1778"/>
      <c r="B49" s="1779"/>
      <c r="C49" s="872">
        <v>2264</v>
      </c>
      <c r="D49" s="873">
        <v>0</v>
      </c>
      <c r="E49" s="873"/>
      <c r="F49" s="883"/>
      <c r="G49" s="883"/>
      <c r="H49" s="871">
        <f t="shared" si="2"/>
        <v>0</v>
      </c>
      <c r="I49" s="871">
        <f t="shared" si="2"/>
        <v>0</v>
      </c>
      <c r="J49" s="867"/>
      <c r="K49" s="1771"/>
    </row>
    <row r="50" spans="1:11" s="852" customFormat="1" x14ac:dyDescent="0.2">
      <c r="A50" s="1778"/>
      <c r="B50" s="1779"/>
      <c r="C50" s="872">
        <v>2279</v>
      </c>
      <c r="D50" s="873">
        <v>0</v>
      </c>
      <c r="E50" s="873"/>
      <c r="F50" s="883"/>
      <c r="G50" s="883"/>
      <c r="H50" s="871">
        <f t="shared" si="2"/>
        <v>0</v>
      </c>
      <c r="I50" s="871">
        <f t="shared" si="2"/>
        <v>0</v>
      </c>
      <c r="J50" s="867"/>
      <c r="K50" s="1771"/>
    </row>
    <row r="51" spans="1:11" s="852" customFormat="1" x14ac:dyDescent="0.2">
      <c r="A51" s="1778"/>
      <c r="B51" s="1779"/>
      <c r="C51" s="872">
        <v>2314</v>
      </c>
      <c r="D51" s="873">
        <v>0</v>
      </c>
      <c r="E51" s="873"/>
      <c r="F51" s="883"/>
      <c r="G51" s="883"/>
      <c r="H51" s="871">
        <f t="shared" si="2"/>
        <v>0</v>
      </c>
      <c r="I51" s="871">
        <f t="shared" si="2"/>
        <v>0</v>
      </c>
      <c r="J51" s="867"/>
      <c r="K51" s="1771"/>
    </row>
    <row r="52" spans="1:11" s="852" customFormat="1" x14ac:dyDescent="0.2">
      <c r="A52" s="1780" t="s">
        <v>970</v>
      </c>
      <c r="B52" s="1779" t="s">
        <v>971</v>
      </c>
      <c r="C52" s="875"/>
      <c r="D52" s="876">
        <f>SUM(D53:D55)</f>
        <v>12000</v>
      </c>
      <c r="E52" s="876">
        <f>SUM(E53:E55)</f>
        <v>0</v>
      </c>
      <c r="F52" s="876">
        <f t="shared" ref="F52:G52" si="9">SUM(F53:F55)</f>
        <v>0</v>
      </c>
      <c r="G52" s="876">
        <f t="shared" si="9"/>
        <v>0</v>
      </c>
      <c r="H52" s="866">
        <f t="shared" si="2"/>
        <v>12000</v>
      </c>
      <c r="I52" s="866">
        <f t="shared" si="2"/>
        <v>0</v>
      </c>
      <c r="J52" s="867"/>
      <c r="K52" s="877"/>
    </row>
    <row r="53" spans="1:11" s="852" customFormat="1" x14ac:dyDescent="0.2">
      <c r="A53" s="1778"/>
      <c r="B53" s="1779"/>
      <c r="C53" s="872">
        <v>2264</v>
      </c>
      <c r="D53" s="873">
        <v>8000</v>
      </c>
      <c r="E53" s="873"/>
      <c r="F53" s="883"/>
      <c r="G53" s="883"/>
      <c r="H53" s="871">
        <f t="shared" si="2"/>
        <v>8000</v>
      </c>
      <c r="I53" s="871">
        <f t="shared" si="2"/>
        <v>0</v>
      </c>
      <c r="J53" s="867"/>
      <c r="K53" s="1771" t="s">
        <v>953</v>
      </c>
    </row>
    <row r="54" spans="1:11" s="852" customFormat="1" x14ac:dyDescent="0.2">
      <c r="A54" s="1778"/>
      <c r="B54" s="1779"/>
      <c r="C54" s="872">
        <v>2279</v>
      </c>
      <c r="D54" s="873">
        <v>3967</v>
      </c>
      <c r="E54" s="873"/>
      <c r="F54" s="883"/>
      <c r="G54" s="883"/>
      <c r="H54" s="871">
        <f t="shared" si="2"/>
        <v>3967</v>
      </c>
      <c r="I54" s="871">
        <f t="shared" si="2"/>
        <v>0</v>
      </c>
      <c r="J54" s="867"/>
      <c r="K54" s="1771"/>
    </row>
    <row r="55" spans="1:11" s="852" customFormat="1" x14ac:dyDescent="0.2">
      <c r="A55" s="1778"/>
      <c r="B55" s="1779"/>
      <c r="C55" s="872">
        <v>2314</v>
      </c>
      <c r="D55" s="873">
        <v>33</v>
      </c>
      <c r="E55" s="873"/>
      <c r="F55" s="883"/>
      <c r="G55" s="883"/>
      <c r="H55" s="871">
        <f t="shared" si="2"/>
        <v>33</v>
      </c>
      <c r="I55" s="871">
        <f t="shared" si="2"/>
        <v>0</v>
      </c>
      <c r="J55" s="867"/>
      <c r="K55" s="1771"/>
    </row>
    <row r="56" spans="1:11" s="852" customFormat="1" x14ac:dyDescent="0.2">
      <c r="A56" s="1790">
        <v>3.8</v>
      </c>
      <c r="B56" s="1793" t="s">
        <v>972</v>
      </c>
      <c r="C56" s="872"/>
      <c r="D56" s="884">
        <f>SUM(D57:D59)</f>
        <v>1625</v>
      </c>
      <c r="E56" s="884">
        <f t="shared" ref="E56:G56" si="10">SUM(E57:E59)</f>
        <v>0</v>
      </c>
      <c r="F56" s="884">
        <f t="shared" si="10"/>
        <v>0</v>
      </c>
      <c r="G56" s="884">
        <f t="shared" si="10"/>
        <v>0</v>
      </c>
      <c r="H56" s="866">
        <f t="shared" si="2"/>
        <v>1625</v>
      </c>
      <c r="I56" s="871">
        <f t="shared" si="2"/>
        <v>0</v>
      </c>
      <c r="J56" s="867"/>
      <c r="K56" s="885"/>
    </row>
    <row r="57" spans="1:11" s="852" customFormat="1" ht="12.75" customHeight="1" x14ac:dyDescent="0.2">
      <c r="A57" s="1791"/>
      <c r="B57" s="1794"/>
      <c r="C57" s="872">
        <v>1150</v>
      </c>
      <c r="D57" s="873">
        <v>125</v>
      </c>
      <c r="E57" s="873"/>
      <c r="F57" s="883"/>
      <c r="G57" s="883"/>
      <c r="H57" s="871">
        <f t="shared" si="2"/>
        <v>125</v>
      </c>
      <c r="I57" s="871">
        <f t="shared" si="2"/>
        <v>0</v>
      </c>
      <c r="J57" s="867"/>
      <c r="K57" s="885"/>
    </row>
    <row r="58" spans="1:11" s="852" customFormat="1" ht="12.75" customHeight="1" x14ac:dyDescent="0.2">
      <c r="A58" s="1791"/>
      <c r="B58" s="1794"/>
      <c r="C58" s="872">
        <v>2264</v>
      </c>
      <c r="D58" s="873">
        <v>382</v>
      </c>
      <c r="E58" s="873"/>
      <c r="F58" s="883"/>
      <c r="G58" s="883"/>
      <c r="H58" s="871">
        <f t="shared" si="2"/>
        <v>382</v>
      </c>
      <c r="I58" s="871">
        <f t="shared" si="2"/>
        <v>0</v>
      </c>
      <c r="J58" s="867"/>
      <c r="K58" s="885"/>
    </row>
    <row r="59" spans="1:11" s="852" customFormat="1" ht="12.75" customHeight="1" x14ac:dyDescent="0.2">
      <c r="A59" s="1792"/>
      <c r="B59" s="1795"/>
      <c r="C59" s="872">
        <v>2279</v>
      </c>
      <c r="D59" s="873">
        <v>1118</v>
      </c>
      <c r="E59" s="873"/>
      <c r="F59" s="883"/>
      <c r="G59" s="883"/>
      <c r="H59" s="871">
        <f t="shared" si="2"/>
        <v>1118</v>
      </c>
      <c r="I59" s="871">
        <f t="shared" si="2"/>
        <v>0</v>
      </c>
      <c r="J59" s="867"/>
      <c r="K59" s="885"/>
    </row>
    <row r="60" spans="1:11" s="852" customFormat="1" x14ac:dyDescent="0.2">
      <c r="A60" s="886">
        <v>4</v>
      </c>
      <c r="B60" s="887" t="s">
        <v>973</v>
      </c>
      <c r="C60" s="869"/>
      <c r="D60" s="862">
        <f xml:space="preserve"> SUM(D61,D63,D69,D72,D75,D78,D82,D85,D90,D95,D98,D103,D107,D110,D114,D116,D121,D124,D127,D130,D133,D137,D139,D143,D146)</f>
        <v>76085</v>
      </c>
      <c r="E60" s="862">
        <f t="shared" ref="E60:G60" si="11" xml:space="preserve"> SUM(E61,E63,E69,E72,E75,E78,E82,E85,E90,E95,E98,E103,E107,E110,E114,E116,E121,E124,E127,E130,E133,E137,E139,E143,E146)</f>
        <v>9565</v>
      </c>
      <c r="F60" s="862">
        <f t="shared" si="11"/>
        <v>-2</v>
      </c>
      <c r="G60" s="862">
        <f t="shared" si="11"/>
        <v>-800</v>
      </c>
      <c r="H60" s="862">
        <f xml:space="preserve"> SUM(H61,H63,H69,H72,H75,H78,H82,H85,H90,H95,H98,H103,H107,H110,H114,H116,H121,H124,H127,H130,H133,H137,H139,H143,H146)</f>
        <v>76083</v>
      </c>
      <c r="I60" s="862">
        <f xml:space="preserve"> SUM(I61,I63,I69,I72,I75,I78,I82,I85,I90,I95,I98,I103,I107,I110,I114,I116,I121,I124,I127,I130,I133,I137,I139,I143,I146)</f>
        <v>8765</v>
      </c>
      <c r="J60" s="867"/>
      <c r="K60" s="877"/>
    </row>
    <row r="61" spans="1:11" s="852" customFormat="1" ht="12" customHeight="1" x14ac:dyDescent="0.2">
      <c r="A61" s="1796" t="s">
        <v>559</v>
      </c>
      <c r="B61" s="1779" t="s">
        <v>974</v>
      </c>
      <c r="C61" s="875"/>
      <c r="D61" s="876">
        <f>SUM(D62:D62)</f>
        <v>876</v>
      </c>
      <c r="E61" s="876">
        <f>SUM(E62:E62)</f>
        <v>0</v>
      </c>
      <c r="F61" s="876">
        <f t="shared" ref="F61:G61" si="12">SUM(F62:F62)</f>
        <v>0</v>
      </c>
      <c r="G61" s="876">
        <f t="shared" si="12"/>
        <v>0</v>
      </c>
      <c r="H61" s="866">
        <f t="shared" si="2"/>
        <v>876</v>
      </c>
      <c r="I61" s="871">
        <f t="shared" si="2"/>
        <v>0</v>
      </c>
      <c r="J61" s="867"/>
      <c r="K61" s="1785" t="s">
        <v>953</v>
      </c>
    </row>
    <row r="62" spans="1:11" s="852" customFormat="1" x14ac:dyDescent="0.2">
      <c r="A62" s="1797"/>
      <c r="B62" s="1779"/>
      <c r="C62" s="874">
        <v>2279</v>
      </c>
      <c r="D62" s="882">
        <v>876</v>
      </c>
      <c r="E62" s="882"/>
      <c r="F62" s="883"/>
      <c r="G62" s="883"/>
      <c r="H62" s="871">
        <f t="shared" si="2"/>
        <v>876</v>
      </c>
      <c r="I62" s="871">
        <f t="shared" si="2"/>
        <v>0</v>
      </c>
      <c r="J62" s="867"/>
      <c r="K62" s="1786"/>
    </row>
    <row r="63" spans="1:11" s="852" customFormat="1" x14ac:dyDescent="0.2">
      <c r="A63" s="1778" t="s">
        <v>561</v>
      </c>
      <c r="B63" s="1779" t="s">
        <v>975</v>
      </c>
      <c r="C63" s="869"/>
      <c r="D63" s="862">
        <f>SUM(D64:D68)</f>
        <v>11932</v>
      </c>
      <c r="E63" s="862">
        <f>SUM(E64:E68)</f>
        <v>0</v>
      </c>
      <c r="F63" s="862">
        <f t="shared" ref="F63:G63" si="13">SUM(F64:F68)</f>
        <v>0</v>
      </c>
      <c r="G63" s="862">
        <f t="shared" si="13"/>
        <v>0</v>
      </c>
      <c r="H63" s="866">
        <f t="shared" si="2"/>
        <v>11932</v>
      </c>
      <c r="I63" s="866">
        <f t="shared" si="2"/>
        <v>0</v>
      </c>
      <c r="J63" s="867"/>
      <c r="K63" s="877"/>
    </row>
    <row r="64" spans="1:11" s="852" customFormat="1" x14ac:dyDescent="0.2">
      <c r="A64" s="1778"/>
      <c r="B64" s="1779"/>
      <c r="C64" s="869">
        <v>1150</v>
      </c>
      <c r="D64" s="870">
        <v>1206</v>
      </c>
      <c r="E64" s="870"/>
      <c r="F64" s="883"/>
      <c r="G64" s="883"/>
      <c r="H64" s="871">
        <f t="shared" si="2"/>
        <v>1206</v>
      </c>
      <c r="I64" s="871">
        <f t="shared" si="2"/>
        <v>0</v>
      </c>
      <c r="J64" s="867"/>
      <c r="K64" s="1771" t="s">
        <v>953</v>
      </c>
    </row>
    <row r="65" spans="1:11" s="852" customFormat="1" x14ac:dyDescent="0.2">
      <c r="A65" s="1778"/>
      <c r="B65" s="1779"/>
      <c r="C65" s="869">
        <v>2231</v>
      </c>
      <c r="D65" s="870">
        <v>4300</v>
      </c>
      <c r="E65" s="870"/>
      <c r="F65" s="883"/>
      <c r="G65" s="883"/>
      <c r="H65" s="871">
        <f t="shared" si="2"/>
        <v>4300</v>
      </c>
      <c r="I65" s="871">
        <f t="shared" si="2"/>
        <v>0</v>
      </c>
      <c r="J65" s="867"/>
      <c r="K65" s="1771"/>
    </row>
    <row r="66" spans="1:11" s="852" customFormat="1" x14ac:dyDescent="0.2">
      <c r="A66" s="1778"/>
      <c r="B66" s="1779"/>
      <c r="C66" s="869">
        <v>2264</v>
      </c>
      <c r="D66" s="870">
        <v>665</v>
      </c>
      <c r="E66" s="870"/>
      <c r="F66" s="883"/>
      <c r="G66" s="883"/>
      <c r="H66" s="871">
        <f t="shared" si="2"/>
        <v>665</v>
      </c>
      <c r="I66" s="871">
        <f t="shared" si="2"/>
        <v>0</v>
      </c>
      <c r="J66" s="867"/>
      <c r="K66" s="1771"/>
    </row>
    <row r="67" spans="1:11" s="852" customFormat="1" x14ac:dyDescent="0.2">
      <c r="A67" s="1778"/>
      <c r="B67" s="1779"/>
      <c r="C67" s="869">
        <v>2314</v>
      </c>
      <c r="D67" s="870">
        <v>572</v>
      </c>
      <c r="E67" s="870"/>
      <c r="F67" s="883"/>
      <c r="G67" s="883"/>
      <c r="H67" s="871">
        <f t="shared" si="2"/>
        <v>572</v>
      </c>
      <c r="I67" s="871"/>
      <c r="J67" s="867"/>
      <c r="K67" s="1771"/>
    </row>
    <row r="68" spans="1:11" s="852" customFormat="1" x14ac:dyDescent="0.2">
      <c r="A68" s="1778"/>
      <c r="B68" s="1779"/>
      <c r="C68" s="869">
        <v>2279</v>
      </c>
      <c r="D68" s="870">
        <v>5189</v>
      </c>
      <c r="E68" s="870"/>
      <c r="F68" s="883"/>
      <c r="G68" s="883"/>
      <c r="H68" s="871">
        <f t="shared" si="2"/>
        <v>5189</v>
      </c>
      <c r="I68" s="871">
        <f t="shared" si="2"/>
        <v>0</v>
      </c>
      <c r="J68" s="867"/>
      <c r="K68" s="1771"/>
    </row>
    <row r="69" spans="1:11" s="852" customFormat="1" ht="12" customHeight="1" x14ac:dyDescent="0.2">
      <c r="A69" s="1778" t="s">
        <v>976</v>
      </c>
      <c r="B69" s="1779" t="s">
        <v>977</v>
      </c>
      <c r="C69" s="872"/>
      <c r="D69" s="872">
        <f>SUM(D70:D71)</f>
        <v>500</v>
      </c>
      <c r="E69" s="888">
        <f>SUM(E70:E71)</f>
        <v>0</v>
      </c>
      <c r="F69" s="872">
        <f>SUM(F70:F71)</f>
        <v>0</v>
      </c>
      <c r="G69" s="872">
        <f>SUM(G70:G71)</f>
        <v>0</v>
      </c>
      <c r="H69" s="866">
        <f t="shared" si="2"/>
        <v>500</v>
      </c>
      <c r="I69" s="866">
        <f t="shared" si="2"/>
        <v>0</v>
      </c>
      <c r="J69" s="867"/>
      <c r="K69" s="877"/>
    </row>
    <row r="70" spans="1:11" s="852" customFormat="1" x14ac:dyDescent="0.2">
      <c r="A70" s="1778"/>
      <c r="B70" s="1779"/>
      <c r="C70" s="889">
        <v>2279</v>
      </c>
      <c r="D70" s="890">
        <v>400</v>
      </c>
      <c r="E70" s="890"/>
      <c r="F70" s="883"/>
      <c r="G70" s="883"/>
      <c r="H70" s="871">
        <f t="shared" si="2"/>
        <v>400</v>
      </c>
      <c r="I70" s="871">
        <f t="shared" si="2"/>
        <v>0</v>
      </c>
      <c r="J70" s="867"/>
      <c r="K70" s="1771"/>
    </row>
    <row r="71" spans="1:11" s="852" customFormat="1" x14ac:dyDescent="0.2">
      <c r="A71" s="1778"/>
      <c r="B71" s="1779"/>
      <c r="C71" s="872">
        <v>2314</v>
      </c>
      <c r="D71" s="877">
        <v>100</v>
      </c>
      <c r="E71" s="877"/>
      <c r="F71" s="883"/>
      <c r="G71" s="883"/>
      <c r="H71" s="871">
        <f t="shared" si="2"/>
        <v>100</v>
      </c>
      <c r="I71" s="871">
        <f t="shared" si="2"/>
        <v>0</v>
      </c>
      <c r="J71" s="867"/>
      <c r="K71" s="1771"/>
    </row>
    <row r="72" spans="1:11" s="852" customFormat="1" x14ac:dyDescent="0.2">
      <c r="A72" s="1778" t="s">
        <v>978</v>
      </c>
      <c r="B72" s="1779" t="s">
        <v>979</v>
      </c>
      <c r="C72" s="872"/>
      <c r="D72" s="884">
        <f>SUM(D73:D74)</f>
        <v>115</v>
      </c>
      <c r="E72" s="884">
        <f t="shared" ref="E72:I72" si="14">SUM(E73:E74)</f>
        <v>0</v>
      </c>
      <c r="F72" s="884">
        <f t="shared" si="14"/>
        <v>0</v>
      </c>
      <c r="G72" s="884">
        <f t="shared" si="14"/>
        <v>0</v>
      </c>
      <c r="H72" s="884">
        <f t="shared" si="14"/>
        <v>115</v>
      </c>
      <c r="I72" s="884">
        <f t="shared" si="14"/>
        <v>0</v>
      </c>
      <c r="J72" s="867"/>
      <c r="K72" s="1785" t="s">
        <v>953</v>
      </c>
    </row>
    <row r="73" spans="1:11" s="852" customFormat="1" ht="15.75" customHeight="1" x14ac:dyDescent="0.2">
      <c r="A73" s="1778"/>
      <c r="B73" s="1779"/>
      <c r="C73" s="872">
        <v>1150</v>
      </c>
      <c r="D73" s="884">
        <v>115</v>
      </c>
      <c r="E73" s="884"/>
      <c r="F73" s="873"/>
      <c r="G73" s="884"/>
      <c r="H73" s="871">
        <f t="shared" ref="H73:I73" si="15">D73+F73</f>
        <v>115</v>
      </c>
      <c r="I73" s="871">
        <f t="shared" si="15"/>
        <v>0</v>
      </c>
      <c r="J73" s="867"/>
      <c r="K73" s="1798"/>
    </row>
    <row r="74" spans="1:11" s="852" customFormat="1" x14ac:dyDescent="0.2">
      <c r="A74" s="1778"/>
      <c r="B74" s="1779"/>
      <c r="C74" s="872">
        <v>2314</v>
      </c>
      <c r="D74" s="873">
        <v>0</v>
      </c>
      <c r="E74" s="873"/>
      <c r="F74" s="883"/>
      <c r="G74" s="883"/>
      <c r="H74" s="871">
        <f t="shared" si="2"/>
        <v>0</v>
      </c>
      <c r="I74" s="871">
        <f t="shared" si="2"/>
        <v>0</v>
      </c>
      <c r="J74" s="867"/>
      <c r="K74" s="1786"/>
    </row>
    <row r="75" spans="1:11" s="852" customFormat="1" x14ac:dyDescent="0.2">
      <c r="A75" s="1778" t="s">
        <v>980</v>
      </c>
      <c r="B75" s="1779" t="s">
        <v>981</v>
      </c>
      <c r="C75" s="869"/>
      <c r="D75" s="862">
        <f>SUM(D76:D77)</f>
        <v>521</v>
      </c>
      <c r="E75" s="862">
        <f>SUM(E76:E77)</f>
        <v>0</v>
      </c>
      <c r="F75" s="862">
        <f t="shared" ref="F75:G75" si="16">SUM(F76:F77)</f>
        <v>0</v>
      </c>
      <c r="G75" s="862">
        <f t="shared" si="16"/>
        <v>0</v>
      </c>
      <c r="H75" s="866">
        <f t="shared" si="2"/>
        <v>521</v>
      </c>
      <c r="I75" s="866">
        <f t="shared" si="2"/>
        <v>0</v>
      </c>
      <c r="J75" s="867"/>
      <c r="K75" s="877"/>
    </row>
    <row r="76" spans="1:11" s="852" customFormat="1" x14ac:dyDescent="0.2">
      <c r="A76" s="1778"/>
      <c r="B76" s="1779"/>
      <c r="C76" s="872">
        <v>1150</v>
      </c>
      <c r="D76" s="873">
        <v>381</v>
      </c>
      <c r="E76" s="873"/>
      <c r="F76" s="883"/>
      <c r="G76" s="883"/>
      <c r="H76" s="871">
        <f t="shared" si="2"/>
        <v>381</v>
      </c>
      <c r="I76" s="871">
        <f t="shared" si="2"/>
        <v>0</v>
      </c>
      <c r="J76" s="867"/>
      <c r="K76" s="1771" t="s">
        <v>953</v>
      </c>
    </row>
    <row r="77" spans="1:11" s="852" customFormat="1" x14ac:dyDescent="0.2">
      <c r="A77" s="1778"/>
      <c r="B77" s="1779"/>
      <c r="C77" s="872">
        <v>2314</v>
      </c>
      <c r="D77" s="873">
        <v>140</v>
      </c>
      <c r="E77" s="873"/>
      <c r="F77" s="883"/>
      <c r="G77" s="883"/>
      <c r="H77" s="871">
        <f t="shared" si="2"/>
        <v>140</v>
      </c>
      <c r="I77" s="871">
        <f t="shared" si="2"/>
        <v>0</v>
      </c>
      <c r="J77" s="867"/>
      <c r="K77" s="1771"/>
    </row>
    <row r="78" spans="1:11" s="852" customFormat="1" x14ac:dyDescent="0.2">
      <c r="A78" s="1778" t="s">
        <v>982</v>
      </c>
      <c r="B78" s="1779" t="s">
        <v>983</v>
      </c>
      <c r="C78" s="872"/>
      <c r="D78" s="884">
        <f>SUM(D79:D81)</f>
        <v>800</v>
      </c>
      <c r="E78" s="884">
        <f>SUM(E79:E81)</f>
        <v>0</v>
      </c>
      <c r="F78" s="884">
        <f t="shared" ref="F78:G78" si="17">SUM(F79:F81)</f>
        <v>0</v>
      </c>
      <c r="G78" s="884">
        <f t="shared" si="17"/>
        <v>0</v>
      </c>
      <c r="H78" s="866">
        <f t="shared" si="2"/>
        <v>800</v>
      </c>
      <c r="I78" s="866">
        <f t="shared" si="2"/>
        <v>0</v>
      </c>
      <c r="J78" s="867"/>
      <c r="K78" s="877"/>
    </row>
    <row r="79" spans="1:11" s="852" customFormat="1" x14ac:dyDescent="0.2">
      <c r="A79" s="1778"/>
      <c r="B79" s="1779"/>
      <c r="C79" s="872">
        <v>1150</v>
      </c>
      <c r="D79" s="873">
        <v>242</v>
      </c>
      <c r="E79" s="884"/>
      <c r="F79" s="883"/>
      <c r="G79" s="883"/>
      <c r="H79" s="871">
        <f t="shared" si="2"/>
        <v>242</v>
      </c>
      <c r="I79" s="871">
        <f t="shared" si="2"/>
        <v>0</v>
      </c>
      <c r="J79" s="867"/>
      <c r="K79" s="1771" t="s">
        <v>953</v>
      </c>
    </row>
    <row r="80" spans="1:11" s="852" customFormat="1" x14ac:dyDescent="0.2">
      <c r="A80" s="1778"/>
      <c r="B80" s="1779"/>
      <c r="C80" s="872">
        <v>2231</v>
      </c>
      <c r="D80" s="873">
        <v>0</v>
      </c>
      <c r="E80" s="884"/>
      <c r="F80" s="883"/>
      <c r="G80" s="883"/>
      <c r="H80" s="871">
        <f t="shared" si="2"/>
        <v>0</v>
      </c>
      <c r="I80" s="871">
        <f t="shared" si="2"/>
        <v>0</v>
      </c>
      <c r="J80" s="867"/>
      <c r="K80" s="1771"/>
    </row>
    <row r="81" spans="1:11" s="852" customFormat="1" x14ac:dyDescent="0.2">
      <c r="A81" s="1778"/>
      <c r="B81" s="1779"/>
      <c r="C81" s="872">
        <v>2314</v>
      </c>
      <c r="D81" s="873">
        <v>558</v>
      </c>
      <c r="E81" s="873"/>
      <c r="F81" s="883"/>
      <c r="G81" s="883"/>
      <c r="H81" s="871">
        <f t="shared" si="2"/>
        <v>558</v>
      </c>
      <c r="I81" s="871">
        <f t="shared" si="2"/>
        <v>0</v>
      </c>
      <c r="J81" s="867"/>
      <c r="K81" s="1771"/>
    </row>
    <row r="82" spans="1:11" s="852" customFormat="1" x14ac:dyDescent="0.2">
      <c r="A82" s="1778" t="s">
        <v>984</v>
      </c>
      <c r="B82" s="1779" t="s">
        <v>985</v>
      </c>
      <c r="C82" s="869"/>
      <c r="D82" s="862">
        <f>SUM(D83:D84)</f>
        <v>350</v>
      </c>
      <c r="E82" s="862">
        <f>SUM(E83:E84)</f>
        <v>0</v>
      </c>
      <c r="F82" s="862">
        <f t="shared" ref="F82:G82" si="18">SUM(F83:F84)</f>
        <v>0</v>
      </c>
      <c r="G82" s="862">
        <f t="shared" si="18"/>
        <v>0</v>
      </c>
      <c r="H82" s="866">
        <f t="shared" si="2"/>
        <v>350</v>
      </c>
      <c r="I82" s="866">
        <f t="shared" si="2"/>
        <v>0</v>
      </c>
      <c r="J82" s="867"/>
      <c r="K82" s="877"/>
    </row>
    <row r="83" spans="1:11" s="852" customFormat="1" x14ac:dyDescent="0.2">
      <c r="A83" s="1778"/>
      <c r="B83" s="1779"/>
      <c r="C83" s="872">
        <v>1150</v>
      </c>
      <c r="D83" s="873">
        <v>100</v>
      </c>
      <c r="E83" s="873"/>
      <c r="F83" s="883"/>
      <c r="G83" s="883"/>
      <c r="H83" s="871">
        <f t="shared" si="2"/>
        <v>100</v>
      </c>
      <c r="I83" s="871">
        <f t="shared" si="2"/>
        <v>0</v>
      </c>
      <c r="J83" s="867"/>
      <c r="K83" s="1771" t="s">
        <v>953</v>
      </c>
    </row>
    <row r="84" spans="1:11" s="852" customFormat="1" x14ac:dyDescent="0.2">
      <c r="A84" s="1778"/>
      <c r="B84" s="1779"/>
      <c r="C84" s="872">
        <v>2314</v>
      </c>
      <c r="D84" s="873">
        <v>250</v>
      </c>
      <c r="E84" s="873"/>
      <c r="F84" s="883"/>
      <c r="G84" s="883"/>
      <c r="H84" s="871">
        <f t="shared" si="2"/>
        <v>250</v>
      </c>
      <c r="I84" s="871">
        <f t="shared" si="2"/>
        <v>0</v>
      </c>
      <c r="J84" s="867"/>
      <c r="K84" s="1771"/>
    </row>
    <row r="85" spans="1:11" s="852" customFormat="1" x14ac:dyDescent="0.2">
      <c r="A85" s="1778" t="s">
        <v>986</v>
      </c>
      <c r="B85" s="1779" t="s">
        <v>987</v>
      </c>
      <c r="C85" s="872"/>
      <c r="D85" s="884">
        <f>SUM(D86:D89)</f>
        <v>9000</v>
      </c>
      <c r="E85" s="884">
        <f>SUM(E86:E89)</f>
        <v>0</v>
      </c>
      <c r="F85" s="884">
        <f t="shared" ref="F85:G85" si="19">SUM(F86:F89)</f>
        <v>0</v>
      </c>
      <c r="G85" s="884">
        <f t="shared" si="19"/>
        <v>0</v>
      </c>
      <c r="H85" s="866">
        <f t="shared" si="2"/>
        <v>9000</v>
      </c>
      <c r="I85" s="866">
        <f t="shared" si="2"/>
        <v>0</v>
      </c>
      <c r="J85" s="867"/>
      <c r="K85" s="877"/>
    </row>
    <row r="86" spans="1:11" s="852" customFormat="1" x14ac:dyDescent="0.2">
      <c r="A86" s="1778"/>
      <c r="B86" s="1779"/>
      <c r="C86" s="872">
        <v>1150</v>
      </c>
      <c r="D86" s="873">
        <f>2000+1000</f>
        <v>3000</v>
      </c>
      <c r="E86" s="873"/>
      <c r="F86" s="883"/>
      <c r="G86" s="883"/>
      <c r="H86" s="871">
        <f t="shared" si="2"/>
        <v>3000</v>
      </c>
      <c r="I86" s="871">
        <f t="shared" si="2"/>
        <v>0</v>
      </c>
      <c r="J86" s="867"/>
      <c r="K86" s="1771" t="s">
        <v>953</v>
      </c>
    </row>
    <row r="87" spans="1:11" s="852" customFormat="1" x14ac:dyDescent="0.2">
      <c r="A87" s="1778"/>
      <c r="B87" s="1779"/>
      <c r="C87" s="872">
        <v>2264</v>
      </c>
      <c r="D87" s="873">
        <f>1600+800</f>
        <v>2400</v>
      </c>
      <c r="E87" s="873"/>
      <c r="F87" s="883"/>
      <c r="G87" s="883"/>
      <c r="H87" s="871">
        <f t="shared" si="2"/>
        <v>2400</v>
      </c>
      <c r="I87" s="871">
        <f t="shared" si="2"/>
        <v>0</v>
      </c>
      <c r="J87" s="867"/>
      <c r="K87" s="1771"/>
    </row>
    <row r="88" spans="1:11" s="852" customFormat="1" x14ac:dyDescent="0.2">
      <c r="A88" s="1778"/>
      <c r="B88" s="1779"/>
      <c r="C88" s="872">
        <v>2279</v>
      </c>
      <c r="D88" s="873">
        <f>2127+1000</f>
        <v>3127</v>
      </c>
      <c r="E88" s="873"/>
      <c r="F88" s="883"/>
      <c r="G88" s="883"/>
      <c r="H88" s="871">
        <f t="shared" si="2"/>
        <v>3127</v>
      </c>
      <c r="I88" s="871">
        <f t="shared" si="2"/>
        <v>0</v>
      </c>
      <c r="J88" s="867"/>
      <c r="K88" s="1771"/>
    </row>
    <row r="89" spans="1:11" s="852" customFormat="1" x14ac:dyDescent="0.2">
      <c r="A89" s="1778"/>
      <c r="B89" s="1779"/>
      <c r="C89" s="872">
        <v>2314</v>
      </c>
      <c r="D89" s="873">
        <f>273+200</f>
        <v>473</v>
      </c>
      <c r="E89" s="873"/>
      <c r="F89" s="883"/>
      <c r="G89" s="883"/>
      <c r="H89" s="871">
        <f t="shared" si="2"/>
        <v>473</v>
      </c>
      <c r="I89" s="871">
        <f t="shared" si="2"/>
        <v>0</v>
      </c>
      <c r="J89" s="867"/>
      <c r="K89" s="1771"/>
    </row>
    <row r="90" spans="1:11" s="852" customFormat="1" x14ac:dyDescent="0.2">
      <c r="A90" s="1778" t="s">
        <v>988</v>
      </c>
      <c r="B90" s="1779" t="s">
        <v>989</v>
      </c>
      <c r="C90" s="872"/>
      <c r="D90" s="884">
        <f>SUM(D91:D94)</f>
        <v>3000</v>
      </c>
      <c r="E90" s="884">
        <f>SUM(E91:E94)</f>
        <v>0</v>
      </c>
      <c r="F90" s="884">
        <f t="shared" ref="F90:G90" si="20">SUM(F91:F94)</f>
        <v>0</v>
      </c>
      <c r="G90" s="884">
        <f t="shared" si="20"/>
        <v>0</v>
      </c>
      <c r="H90" s="866">
        <f t="shared" si="2"/>
        <v>3000</v>
      </c>
      <c r="I90" s="866">
        <f t="shared" si="2"/>
        <v>0</v>
      </c>
      <c r="J90" s="867"/>
      <c r="K90" s="877"/>
    </row>
    <row r="91" spans="1:11" s="852" customFormat="1" x14ac:dyDescent="0.2">
      <c r="A91" s="1778"/>
      <c r="B91" s="1779"/>
      <c r="C91" s="872">
        <v>1150</v>
      </c>
      <c r="D91" s="873">
        <v>866</v>
      </c>
      <c r="E91" s="873"/>
      <c r="F91" s="883"/>
      <c r="G91" s="883"/>
      <c r="H91" s="871">
        <f t="shared" si="2"/>
        <v>866</v>
      </c>
      <c r="I91" s="871">
        <f t="shared" si="2"/>
        <v>0</v>
      </c>
      <c r="J91" s="867"/>
      <c r="K91" s="1771" t="s">
        <v>953</v>
      </c>
    </row>
    <row r="92" spans="1:11" s="852" customFormat="1" x14ac:dyDescent="0.2">
      <c r="A92" s="1778"/>
      <c r="B92" s="1779"/>
      <c r="C92" s="872">
        <v>2231</v>
      </c>
      <c r="D92" s="873">
        <v>0</v>
      </c>
      <c r="E92" s="873"/>
      <c r="F92" s="883"/>
      <c r="G92" s="883"/>
      <c r="H92" s="871">
        <f t="shared" si="2"/>
        <v>0</v>
      </c>
      <c r="I92" s="871">
        <f t="shared" si="2"/>
        <v>0</v>
      </c>
      <c r="J92" s="867"/>
      <c r="K92" s="1771"/>
    </row>
    <row r="93" spans="1:11" s="852" customFormat="1" x14ac:dyDescent="0.2">
      <c r="A93" s="1778"/>
      <c r="B93" s="1779"/>
      <c r="C93" s="872">
        <v>2279</v>
      </c>
      <c r="D93" s="873">
        <v>2000</v>
      </c>
      <c r="E93" s="873"/>
      <c r="F93" s="883"/>
      <c r="G93" s="883"/>
      <c r="H93" s="871">
        <f t="shared" si="2"/>
        <v>2000</v>
      </c>
      <c r="I93" s="871">
        <f t="shared" si="2"/>
        <v>0</v>
      </c>
      <c r="J93" s="867"/>
      <c r="K93" s="1771"/>
    </row>
    <row r="94" spans="1:11" s="852" customFormat="1" x14ac:dyDescent="0.2">
      <c r="A94" s="1778"/>
      <c r="B94" s="1779"/>
      <c r="C94" s="872">
        <v>2314</v>
      </c>
      <c r="D94" s="873">
        <v>134</v>
      </c>
      <c r="E94" s="873"/>
      <c r="F94" s="883"/>
      <c r="G94" s="883"/>
      <c r="H94" s="871">
        <f t="shared" si="2"/>
        <v>134</v>
      </c>
      <c r="I94" s="871">
        <f t="shared" si="2"/>
        <v>0</v>
      </c>
      <c r="J94" s="867"/>
      <c r="K94" s="1771"/>
    </row>
    <row r="95" spans="1:11" s="852" customFormat="1" ht="12" customHeight="1" x14ac:dyDescent="0.2">
      <c r="A95" s="1784" t="s">
        <v>990</v>
      </c>
      <c r="B95" s="1779" t="s">
        <v>991</v>
      </c>
      <c r="C95" s="869"/>
      <c r="D95" s="862">
        <f>SUM(D96:D97)</f>
        <v>2554</v>
      </c>
      <c r="E95" s="862">
        <f>SUM(E96:E97)</f>
        <v>0</v>
      </c>
      <c r="F95" s="862">
        <f t="shared" ref="F95:G95" si="21">SUM(F96:F97)</f>
        <v>-2</v>
      </c>
      <c r="G95" s="862">
        <f t="shared" si="21"/>
        <v>0</v>
      </c>
      <c r="H95" s="866">
        <f t="shared" si="2"/>
        <v>2552</v>
      </c>
      <c r="I95" s="866">
        <f t="shared" si="2"/>
        <v>0</v>
      </c>
      <c r="J95" s="867"/>
      <c r="K95" s="877"/>
    </row>
    <row r="96" spans="1:11" s="852" customFormat="1" x14ac:dyDescent="0.2">
      <c r="A96" s="1784"/>
      <c r="B96" s="1779"/>
      <c r="C96" s="872">
        <v>1150</v>
      </c>
      <c r="D96" s="873">
        <v>1780</v>
      </c>
      <c r="E96" s="873"/>
      <c r="F96" s="883"/>
      <c r="G96" s="883"/>
      <c r="H96" s="871">
        <f t="shared" si="2"/>
        <v>1780</v>
      </c>
      <c r="I96" s="871">
        <f t="shared" si="2"/>
        <v>0</v>
      </c>
      <c r="J96" s="867"/>
      <c r="K96" s="1771" t="s">
        <v>953</v>
      </c>
    </row>
    <row r="97" spans="1:11" s="852" customFormat="1" ht="36" x14ac:dyDescent="0.2">
      <c r="A97" s="1784"/>
      <c r="B97" s="1779"/>
      <c r="C97" s="872">
        <v>2314</v>
      </c>
      <c r="D97" s="873">
        <v>774</v>
      </c>
      <c r="E97" s="873"/>
      <c r="F97" s="883">
        <v>-2</v>
      </c>
      <c r="G97" s="883"/>
      <c r="H97" s="871">
        <f t="shared" si="2"/>
        <v>772</v>
      </c>
      <c r="I97" s="871">
        <f t="shared" si="2"/>
        <v>0</v>
      </c>
      <c r="J97" s="867" t="s">
        <v>954</v>
      </c>
      <c r="K97" s="1771"/>
    </row>
    <row r="98" spans="1:11" s="852" customFormat="1" x14ac:dyDescent="0.2">
      <c r="A98" s="1799" t="s">
        <v>992</v>
      </c>
      <c r="B98" s="1779" t="s">
        <v>993</v>
      </c>
      <c r="C98" s="869"/>
      <c r="D98" s="862">
        <f>SUM(D99:D102)</f>
        <v>3430</v>
      </c>
      <c r="E98" s="862">
        <f>SUM(E99:E102)</f>
        <v>0</v>
      </c>
      <c r="F98" s="862">
        <f t="shared" ref="F98:G98" si="22">SUM(F99:F102)</f>
        <v>0</v>
      </c>
      <c r="G98" s="862">
        <f t="shared" si="22"/>
        <v>0</v>
      </c>
      <c r="H98" s="866">
        <f t="shared" si="2"/>
        <v>3430</v>
      </c>
      <c r="I98" s="866">
        <f t="shared" si="2"/>
        <v>0</v>
      </c>
      <c r="J98" s="867"/>
      <c r="K98" s="877"/>
    </row>
    <row r="99" spans="1:11" s="852" customFormat="1" x14ac:dyDescent="0.2">
      <c r="A99" s="1799"/>
      <c r="B99" s="1779"/>
      <c r="C99" s="872">
        <v>1150</v>
      </c>
      <c r="D99" s="873">
        <f>720+720</f>
        <v>1440</v>
      </c>
      <c r="E99" s="873"/>
      <c r="F99" s="883"/>
      <c r="G99" s="883"/>
      <c r="H99" s="871">
        <f t="shared" si="2"/>
        <v>1440</v>
      </c>
      <c r="I99" s="871">
        <f t="shared" si="2"/>
        <v>0</v>
      </c>
      <c r="J99" s="867"/>
      <c r="K99" s="1771" t="s">
        <v>953</v>
      </c>
    </row>
    <row r="100" spans="1:11" s="852" customFormat="1" x14ac:dyDescent="0.2">
      <c r="A100" s="1799"/>
      <c r="B100" s="1779"/>
      <c r="C100" s="872">
        <v>2264</v>
      </c>
      <c r="D100" s="873">
        <v>1280</v>
      </c>
      <c r="E100" s="873"/>
      <c r="F100" s="883"/>
      <c r="G100" s="883"/>
      <c r="H100" s="871">
        <f t="shared" si="2"/>
        <v>1280</v>
      </c>
      <c r="I100" s="871">
        <f t="shared" si="2"/>
        <v>0</v>
      </c>
      <c r="J100" s="867"/>
      <c r="K100" s="1771"/>
    </row>
    <row r="101" spans="1:11" s="852" customFormat="1" x14ac:dyDescent="0.2">
      <c r="A101" s="1799"/>
      <c r="B101" s="1779"/>
      <c r="C101" s="872">
        <v>2279</v>
      </c>
      <c r="D101" s="873">
        <v>100</v>
      </c>
      <c r="E101" s="873"/>
      <c r="F101" s="883"/>
      <c r="G101" s="883"/>
      <c r="H101" s="871">
        <f t="shared" si="2"/>
        <v>100</v>
      </c>
      <c r="I101" s="871">
        <f t="shared" si="2"/>
        <v>0</v>
      </c>
      <c r="J101" s="867"/>
      <c r="K101" s="1771"/>
    </row>
    <row r="102" spans="1:11" s="852" customFormat="1" x14ac:dyDescent="0.2">
      <c r="A102" s="1799"/>
      <c r="B102" s="1779"/>
      <c r="C102" s="872">
        <v>2314</v>
      </c>
      <c r="D102" s="873">
        <f>180+430</f>
        <v>610</v>
      </c>
      <c r="E102" s="873"/>
      <c r="F102" s="883"/>
      <c r="G102" s="883"/>
      <c r="H102" s="871">
        <f t="shared" si="2"/>
        <v>610</v>
      </c>
      <c r="I102" s="871">
        <f t="shared" si="2"/>
        <v>0</v>
      </c>
      <c r="J102" s="867"/>
      <c r="K102" s="1771"/>
    </row>
    <row r="103" spans="1:11" s="852" customFormat="1" ht="12" customHeight="1" x14ac:dyDescent="0.2">
      <c r="A103" s="1778" t="s">
        <v>994</v>
      </c>
      <c r="B103" s="1779" t="s">
        <v>995</v>
      </c>
      <c r="C103" s="872"/>
      <c r="D103" s="884">
        <f>SUM(D104:D106)</f>
        <v>4250</v>
      </c>
      <c r="E103" s="884">
        <f>SUM(E104:E106)</f>
        <v>0</v>
      </c>
      <c r="F103" s="884">
        <f t="shared" ref="F103:G103" si="23">SUM(F104:F106)</f>
        <v>0</v>
      </c>
      <c r="G103" s="884">
        <f t="shared" si="23"/>
        <v>0</v>
      </c>
      <c r="H103" s="866">
        <f t="shared" si="2"/>
        <v>4250</v>
      </c>
      <c r="I103" s="866">
        <f t="shared" si="2"/>
        <v>0</v>
      </c>
      <c r="J103" s="867"/>
      <c r="K103" s="877"/>
    </row>
    <row r="104" spans="1:11" s="852" customFormat="1" x14ac:dyDescent="0.2">
      <c r="A104" s="1778"/>
      <c r="B104" s="1779"/>
      <c r="C104" s="872">
        <v>1150</v>
      </c>
      <c r="D104" s="873">
        <v>1200</v>
      </c>
      <c r="E104" s="873"/>
      <c r="F104" s="883"/>
      <c r="G104" s="883"/>
      <c r="H104" s="871">
        <f t="shared" si="2"/>
        <v>1200</v>
      </c>
      <c r="I104" s="871">
        <f t="shared" si="2"/>
        <v>0</v>
      </c>
      <c r="J104" s="867"/>
      <c r="K104" s="1771" t="s">
        <v>953</v>
      </c>
    </row>
    <row r="105" spans="1:11" s="852" customFormat="1" x14ac:dyDescent="0.2">
      <c r="A105" s="1778"/>
      <c r="B105" s="1779"/>
      <c r="C105" s="872">
        <v>2314</v>
      </c>
      <c r="D105" s="873">
        <v>1250</v>
      </c>
      <c r="E105" s="873"/>
      <c r="F105" s="883"/>
      <c r="G105" s="883"/>
      <c r="H105" s="871">
        <f t="shared" si="2"/>
        <v>1250</v>
      </c>
      <c r="I105" s="871">
        <f t="shared" si="2"/>
        <v>0</v>
      </c>
      <c r="J105" s="867"/>
      <c r="K105" s="1771"/>
    </row>
    <row r="106" spans="1:11" s="852" customFormat="1" x14ac:dyDescent="0.2">
      <c r="A106" s="1778"/>
      <c r="B106" s="1779"/>
      <c r="C106" s="872">
        <v>6422</v>
      </c>
      <c r="D106" s="873">
        <v>1800</v>
      </c>
      <c r="E106" s="873"/>
      <c r="F106" s="883"/>
      <c r="G106" s="883"/>
      <c r="H106" s="871">
        <f t="shared" si="2"/>
        <v>1800</v>
      </c>
      <c r="I106" s="871">
        <f t="shared" si="2"/>
        <v>0</v>
      </c>
      <c r="J106" s="867"/>
      <c r="K106" s="1771"/>
    </row>
    <row r="107" spans="1:11" s="852" customFormat="1" ht="12" customHeight="1" x14ac:dyDescent="0.2">
      <c r="A107" s="1778" t="s">
        <v>996</v>
      </c>
      <c r="B107" s="1779" t="s">
        <v>997</v>
      </c>
      <c r="C107" s="872"/>
      <c r="D107" s="884">
        <f>SUM(D108:D109)</f>
        <v>285</v>
      </c>
      <c r="E107" s="884">
        <f>SUM(E108:E109)</f>
        <v>0</v>
      </c>
      <c r="F107" s="884">
        <f t="shared" ref="F107:G107" si="24">SUM(F108:F109)</f>
        <v>0</v>
      </c>
      <c r="G107" s="884">
        <f t="shared" si="24"/>
        <v>0</v>
      </c>
      <c r="H107" s="866">
        <f t="shared" si="2"/>
        <v>285</v>
      </c>
      <c r="I107" s="866">
        <f t="shared" si="2"/>
        <v>0</v>
      </c>
      <c r="J107" s="867"/>
      <c r="K107" s="877"/>
    </row>
    <row r="108" spans="1:11" s="852" customFormat="1" x14ac:dyDescent="0.2">
      <c r="A108" s="1778"/>
      <c r="B108" s="1779"/>
      <c r="C108" s="872">
        <v>1150</v>
      </c>
      <c r="D108" s="873">
        <v>115</v>
      </c>
      <c r="E108" s="873"/>
      <c r="F108" s="883"/>
      <c r="G108" s="883"/>
      <c r="H108" s="871">
        <f t="shared" si="2"/>
        <v>115</v>
      </c>
      <c r="I108" s="871">
        <f t="shared" si="2"/>
        <v>0</v>
      </c>
      <c r="J108" s="867"/>
      <c r="K108" s="1771" t="s">
        <v>953</v>
      </c>
    </row>
    <row r="109" spans="1:11" s="852" customFormat="1" x14ac:dyDescent="0.2">
      <c r="A109" s="1778"/>
      <c r="B109" s="1779"/>
      <c r="C109" s="872">
        <v>2314</v>
      </c>
      <c r="D109" s="873">
        <v>170</v>
      </c>
      <c r="E109" s="873"/>
      <c r="F109" s="883"/>
      <c r="G109" s="883"/>
      <c r="H109" s="871">
        <f t="shared" si="2"/>
        <v>170</v>
      </c>
      <c r="I109" s="871">
        <f t="shared" si="2"/>
        <v>0</v>
      </c>
      <c r="J109" s="867"/>
      <c r="K109" s="1771"/>
    </row>
    <row r="110" spans="1:11" s="852" customFormat="1" ht="12" customHeight="1" x14ac:dyDescent="0.2">
      <c r="A110" s="1778" t="s">
        <v>998</v>
      </c>
      <c r="B110" s="1800" t="s">
        <v>999</v>
      </c>
      <c r="C110" s="872"/>
      <c r="D110" s="884">
        <f>SUM(D111:D113)</f>
        <v>3830</v>
      </c>
      <c r="E110" s="884">
        <f>SUM(E111:E113)</f>
        <v>2170</v>
      </c>
      <c r="F110" s="884">
        <f t="shared" ref="F110:G110" si="25">SUM(F111:F113)</f>
        <v>0</v>
      </c>
      <c r="G110" s="884">
        <f t="shared" si="25"/>
        <v>0</v>
      </c>
      <c r="H110" s="866">
        <f t="shared" si="2"/>
        <v>3830</v>
      </c>
      <c r="I110" s="866">
        <f t="shared" si="2"/>
        <v>2170</v>
      </c>
      <c r="J110" s="867"/>
      <c r="K110" s="877"/>
    </row>
    <row r="111" spans="1:11" s="852" customFormat="1" x14ac:dyDescent="0.2">
      <c r="A111" s="1778"/>
      <c r="B111" s="1800"/>
      <c r="C111" s="872">
        <v>1150</v>
      </c>
      <c r="D111" s="873">
        <v>2835</v>
      </c>
      <c r="E111" s="873">
        <v>1025</v>
      </c>
      <c r="F111" s="883"/>
      <c r="G111" s="883"/>
      <c r="H111" s="871">
        <f t="shared" si="2"/>
        <v>2835</v>
      </c>
      <c r="I111" s="871">
        <f t="shared" si="2"/>
        <v>1025</v>
      </c>
      <c r="J111" s="867"/>
      <c r="K111" s="1771" t="s">
        <v>953</v>
      </c>
    </row>
    <row r="112" spans="1:11" s="852" customFormat="1" x14ac:dyDescent="0.2">
      <c r="A112" s="1778"/>
      <c r="B112" s="1800"/>
      <c r="C112" s="872">
        <v>2279</v>
      </c>
      <c r="D112" s="873">
        <v>575</v>
      </c>
      <c r="E112" s="873">
        <v>825</v>
      </c>
      <c r="F112" s="883"/>
      <c r="G112" s="883"/>
      <c r="H112" s="871">
        <f t="shared" si="2"/>
        <v>575</v>
      </c>
      <c r="I112" s="871">
        <f t="shared" si="2"/>
        <v>825</v>
      </c>
      <c r="J112" s="867"/>
      <c r="K112" s="1771"/>
    </row>
    <row r="113" spans="1:11" s="852" customFormat="1" ht="24.75" customHeight="1" x14ac:dyDescent="0.2">
      <c r="A113" s="1778"/>
      <c r="B113" s="1800"/>
      <c r="C113" s="872">
        <v>2314</v>
      </c>
      <c r="D113" s="873">
        <v>420</v>
      </c>
      <c r="E113" s="873">
        <v>320</v>
      </c>
      <c r="F113" s="883"/>
      <c r="G113" s="883"/>
      <c r="H113" s="871">
        <f t="shared" si="2"/>
        <v>420</v>
      </c>
      <c r="I113" s="871">
        <f t="shared" si="2"/>
        <v>320</v>
      </c>
      <c r="J113" s="867"/>
      <c r="K113" s="1771"/>
    </row>
    <row r="114" spans="1:11" s="852" customFormat="1" ht="12" customHeight="1" x14ac:dyDescent="0.2">
      <c r="A114" s="1778" t="s">
        <v>1000</v>
      </c>
      <c r="B114" s="1779" t="s">
        <v>1001</v>
      </c>
      <c r="C114" s="869"/>
      <c r="D114" s="862">
        <f>SUM(D115:D115)</f>
        <v>3000</v>
      </c>
      <c r="E114" s="862">
        <f>SUM(E115:E115)</f>
        <v>0</v>
      </c>
      <c r="F114" s="862">
        <f t="shared" ref="F114" si="26">SUM(F115:F115)</f>
        <v>0</v>
      </c>
      <c r="G114" s="862"/>
      <c r="H114" s="866">
        <f t="shared" si="2"/>
        <v>3000</v>
      </c>
      <c r="I114" s="866">
        <f t="shared" si="2"/>
        <v>0</v>
      </c>
      <c r="J114" s="867"/>
      <c r="K114" s="1785" t="s">
        <v>953</v>
      </c>
    </row>
    <row r="115" spans="1:11" s="852" customFormat="1" x14ac:dyDescent="0.2">
      <c r="A115" s="1778"/>
      <c r="B115" s="1779"/>
      <c r="C115" s="872">
        <v>2314</v>
      </c>
      <c r="D115" s="873">
        <v>3000</v>
      </c>
      <c r="E115" s="873"/>
      <c r="F115" s="883"/>
      <c r="G115" s="883"/>
      <c r="H115" s="871">
        <f t="shared" si="2"/>
        <v>3000</v>
      </c>
      <c r="I115" s="871">
        <f t="shared" si="2"/>
        <v>0</v>
      </c>
      <c r="J115" s="867"/>
      <c r="K115" s="1786"/>
    </row>
    <row r="116" spans="1:11" s="852" customFormat="1" ht="30" customHeight="1" x14ac:dyDescent="0.2">
      <c r="A116" s="1778" t="s">
        <v>1002</v>
      </c>
      <c r="B116" s="1779" t="s">
        <v>1003</v>
      </c>
      <c r="C116" s="869"/>
      <c r="D116" s="862">
        <f>SUM(D117:D120)</f>
        <v>1100</v>
      </c>
      <c r="E116" s="862">
        <f t="shared" ref="E116:F116" si="27">SUM(E117:E120)</f>
        <v>6700</v>
      </c>
      <c r="F116" s="862">
        <f t="shared" si="27"/>
        <v>0</v>
      </c>
      <c r="G116" s="862">
        <f>SUM(G117:G120)</f>
        <v>-800</v>
      </c>
      <c r="H116" s="862">
        <f t="shared" ref="H116:I116" si="28">SUM(H117:H120)</f>
        <v>1100</v>
      </c>
      <c r="I116" s="862">
        <f t="shared" si="28"/>
        <v>5900</v>
      </c>
      <c r="J116" s="867"/>
      <c r="K116" s="877"/>
    </row>
    <row r="117" spans="1:11" s="852" customFormat="1" ht="36" customHeight="1" x14ac:dyDescent="0.2">
      <c r="A117" s="1778"/>
      <c r="B117" s="1779"/>
      <c r="C117" s="869">
        <v>1150</v>
      </c>
      <c r="D117" s="870">
        <v>250</v>
      </c>
      <c r="E117" s="870">
        <v>2150</v>
      </c>
      <c r="F117" s="870"/>
      <c r="G117" s="870">
        <v>-800</v>
      </c>
      <c r="H117" s="871">
        <f t="shared" si="2"/>
        <v>250</v>
      </c>
      <c r="I117" s="871">
        <f t="shared" si="2"/>
        <v>1350</v>
      </c>
      <c r="J117" s="867" t="s">
        <v>1004</v>
      </c>
      <c r="K117" s="877"/>
    </row>
    <row r="118" spans="1:11" s="852" customFormat="1" x14ac:dyDescent="0.2">
      <c r="A118" s="1778"/>
      <c r="B118" s="1779"/>
      <c r="C118" s="872">
        <v>2262</v>
      </c>
      <c r="D118" s="873"/>
      <c r="E118" s="873">
        <v>300</v>
      </c>
      <c r="F118" s="883"/>
      <c r="G118" s="883"/>
      <c r="H118" s="871">
        <f t="shared" si="2"/>
        <v>0</v>
      </c>
      <c r="I118" s="871">
        <f t="shared" si="2"/>
        <v>300</v>
      </c>
      <c r="J118" s="867"/>
      <c r="K118" s="1771" t="s">
        <v>953</v>
      </c>
    </row>
    <row r="119" spans="1:11" s="852" customFormat="1" x14ac:dyDescent="0.2">
      <c r="A119" s="1778"/>
      <c r="B119" s="1779"/>
      <c r="C119" s="872">
        <v>2279</v>
      </c>
      <c r="D119" s="873">
        <v>850</v>
      </c>
      <c r="E119" s="873">
        <v>2750</v>
      </c>
      <c r="F119" s="883"/>
      <c r="G119" s="883"/>
      <c r="H119" s="871">
        <f t="shared" si="2"/>
        <v>850</v>
      </c>
      <c r="I119" s="871">
        <f t="shared" si="2"/>
        <v>2750</v>
      </c>
      <c r="J119" s="867"/>
      <c r="K119" s="1771"/>
    </row>
    <row r="120" spans="1:11" s="852" customFormat="1" x14ac:dyDescent="0.2">
      <c r="A120" s="1778"/>
      <c r="B120" s="1779"/>
      <c r="C120" s="872">
        <v>2269</v>
      </c>
      <c r="D120" s="873"/>
      <c r="E120" s="873">
        <v>1500</v>
      </c>
      <c r="F120" s="883"/>
      <c r="G120" s="883"/>
      <c r="H120" s="871">
        <f t="shared" si="2"/>
        <v>0</v>
      </c>
      <c r="I120" s="871">
        <f t="shared" si="2"/>
        <v>1500</v>
      </c>
      <c r="J120" s="867"/>
      <c r="K120" s="1771"/>
    </row>
    <row r="121" spans="1:11" s="852" customFormat="1" ht="27" customHeight="1" x14ac:dyDescent="0.2">
      <c r="A121" s="1778" t="s">
        <v>1005</v>
      </c>
      <c r="B121" s="1779" t="s">
        <v>1006</v>
      </c>
      <c r="C121" s="869"/>
      <c r="D121" s="862">
        <f>SUM(D122:D123)</f>
        <v>2000</v>
      </c>
      <c r="E121" s="862">
        <f>SUM(E122:E123)</f>
        <v>0</v>
      </c>
      <c r="F121" s="862">
        <f t="shared" ref="F121:G121" si="29">SUM(F122:F123)</f>
        <v>0</v>
      </c>
      <c r="G121" s="862">
        <f t="shared" si="29"/>
        <v>0</v>
      </c>
      <c r="H121" s="866">
        <f t="shared" si="2"/>
        <v>2000</v>
      </c>
      <c r="I121" s="866">
        <f t="shared" si="2"/>
        <v>0</v>
      </c>
      <c r="J121" s="867"/>
      <c r="K121" s="877"/>
    </row>
    <row r="122" spans="1:11" s="852" customFormat="1" x14ac:dyDescent="0.2">
      <c r="A122" s="1778"/>
      <c r="B122" s="1779"/>
      <c r="C122" s="874">
        <v>1150</v>
      </c>
      <c r="D122" s="873">
        <v>0</v>
      </c>
      <c r="E122" s="873"/>
      <c r="F122" s="883"/>
      <c r="G122" s="883"/>
      <c r="H122" s="871">
        <f t="shared" si="2"/>
        <v>0</v>
      </c>
      <c r="I122" s="871">
        <f t="shared" si="2"/>
        <v>0</v>
      </c>
      <c r="J122" s="867"/>
      <c r="K122" s="1771" t="s">
        <v>953</v>
      </c>
    </row>
    <row r="123" spans="1:11" s="852" customFormat="1" x14ac:dyDescent="0.2">
      <c r="A123" s="1778"/>
      <c r="B123" s="1779"/>
      <c r="C123" s="874">
        <v>2279</v>
      </c>
      <c r="D123" s="873">
        <f>1000+1000</f>
        <v>2000</v>
      </c>
      <c r="E123" s="873"/>
      <c r="F123" s="883">
        <v>0</v>
      </c>
      <c r="G123" s="883"/>
      <c r="H123" s="871">
        <f t="shared" si="2"/>
        <v>2000</v>
      </c>
      <c r="I123" s="871">
        <f t="shared" si="2"/>
        <v>0</v>
      </c>
      <c r="J123" s="867"/>
      <c r="K123" s="1771"/>
    </row>
    <row r="124" spans="1:11" s="852" customFormat="1" ht="23.25" customHeight="1" x14ac:dyDescent="0.2">
      <c r="A124" s="1778" t="s">
        <v>1007</v>
      </c>
      <c r="B124" s="1779" t="s">
        <v>1008</v>
      </c>
      <c r="C124" s="872"/>
      <c r="D124" s="884">
        <f>SUM(D125:D126)</f>
        <v>5000</v>
      </c>
      <c r="E124" s="884">
        <f>SUM(E125:E126)</f>
        <v>0</v>
      </c>
      <c r="F124" s="884">
        <f>SUM(F125:F126)</f>
        <v>0</v>
      </c>
      <c r="G124" s="884">
        <f>SUM(G125:G126)</f>
        <v>0</v>
      </c>
      <c r="H124" s="866">
        <f t="shared" si="2"/>
        <v>5000</v>
      </c>
      <c r="I124" s="866">
        <f t="shared" si="2"/>
        <v>0</v>
      </c>
      <c r="J124" s="867"/>
      <c r="K124" s="885"/>
    </row>
    <row r="125" spans="1:11" s="852" customFormat="1" ht="12" customHeight="1" x14ac:dyDescent="0.2">
      <c r="A125" s="1778"/>
      <c r="B125" s="1779"/>
      <c r="C125" s="872">
        <v>2275</v>
      </c>
      <c r="D125" s="873">
        <v>0</v>
      </c>
      <c r="E125" s="873"/>
      <c r="F125" s="873"/>
      <c r="G125" s="873"/>
      <c r="H125" s="866">
        <f t="shared" si="2"/>
        <v>0</v>
      </c>
      <c r="I125" s="871"/>
      <c r="J125" s="867"/>
      <c r="K125" s="885"/>
    </row>
    <row r="126" spans="1:11" s="852" customFormat="1" x14ac:dyDescent="0.2">
      <c r="A126" s="1778"/>
      <c r="B126" s="1779"/>
      <c r="C126" s="874">
        <v>2279</v>
      </c>
      <c r="D126" s="873">
        <v>5000</v>
      </c>
      <c r="E126" s="873"/>
      <c r="F126" s="883"/>
      <c r="G126" s="883"/>
      <c r="H126" s="871">
        <f t="shared" si="2"/>
        <v>5000</v>
      </c>
      <c r="I126" s="871">
        <f t="shared" si="2"/>
        <v>0</v>
      </c>
      <c r="J126" s="867"/>
      <c r="K126" s="885"/>
    </row>
    <row r="127" spans="1:11" s="852" customFormat="1" ht="12" customHeight="1" x14ac:dyDescent="0.2">
      <c r="A127" s="1778" t="s">
        <v>1009</v>
      </c>
      <c r="B127" s="1779" t="s">
        <v>1010</v>
      </c>
      <c r="C127" s="869"/>
      <c r="D127" s="862">
        <f>SUM(D128:D129)</f>
        <v>1450</v>
      </c>
      <c r="E127" s="862">
        <f>SUM(E128:E129)</f>
        <v>0</v>
      </c>
      <c r="F127" s="862">
        <f>SUM(F128:F129)</f>
        <v>0</v>
      </c>
      <c r="G127" s="862">
        <f>SUM(G128:G129)</f>
        <v>0</v>
      </c>
      <c r="H127" s="866">
        <f t="shared" si="2"/>
        <v>1450</v>
      </c>
      <c r="I127" s="866">
        <f t="shared" si="2"/>
        <v>0</v>
      </c>
      <c r="J127" s="867"/>
      <c r="K127" s="877"/>
    </row>
    <row r="128" spans="1:11" s="852" customFormat="1" x14ac:dyDescent="0.2">
      <c r="A128" s="1778"/>
      <c r="B128" s="1779"/>
      <c r="C128" s="872">
        <v>1150</v>
      </c>
      <c r="D128" s="873">
        <v>1000</v>
      </c>
      <c r="E128" s="873"/>
      <c r="F128" s="883"/>
      <c r="G128" s="883"/>
      <c r="H128" s="871">
        <f t="shared" si="2"/>
        <v>1000</v>
      </c>
      <c r="I128" s="871">
        <f t="shared" si="2"/>
        <v>0</v>
      </c>
      <c r="J128" s="867"/>
      <c r="K128" s="1771" t="s">
        <v>953</v>
      </c>
    </row>
    <row r="129" spans="1:11" s="852" customFormat="1" x14ac:dyDescent="0.2">
      <c r="A129" s="1778"/>
      <c r="B129" s="1779"/>
      <c r="C129" s="872">
        <v>2314</v>
      </c>
      <c r="D129" s="873">
        <v>450</v>
      </c>
      <c r="E129" s="873"/>
      <c r="F129" s="883"/>
      <c r="G129" s="883"/>
      <c r="H129" s="871">
        <f t="shared" si="2"/>
        <v>450</v>
      </c>
      <c r="I129" s="871">
        <f t="shared" si="2"/>
        <v>0</v>
      </c>
      <c r="J129" s="867"/>
      <c r="K129" s="1771"/>
    </row>
    <row r="130" spans="1:11" s="852" customFormat="1" ht="12" customHeight="1" x14ac:dyDescent="0.2">
      <c r="A130" s="1778" t="s">
        <v>1011</v>
      </c>
      <c r="B130" s="1779" t="s">
        <v>1012</v>
      </c>
      <c r="C130" s="875"/>
      <c r="D130" s="876">
        <f>SUM(D131:D132)</f>
        <v>2000</v>
      </c>
      <c r="E130" s="876">
        <f t="shared" ref="E130:G130" si="30">SUM(E131:E132)</f>
        <v>0</v>
      </c>
      <c r="F130" s="876">
        <f t="shared" si="30"/>
        <v>0</v>
      </c>
      <c r="G130" s="876">
        <f t="shared" si="30"/>
        <v>0</v>
      </c>
      <c r="H130" s="866">
        <f t="shared" si="2"/>
        <v>2000</v>
      </c>
      <c r="I130" s="866">
        <f t="shared" si="2"/>
        <v>0</v>
      </c>
      <c r="J130" s="867"/>
      <c r="K130" s="1785" t="s">
        <v>953</v>
      </c>
    </row>
    <row r="131" spans="1:11" s="852" customFormat="1" ht="15" customHeight="1" x14ac:dyDescent="0.2">
      <c r="A131" s="1778"/>
      <c r="B131" s="1779"/>
      <c r="C131" s="875">
        <v>1150</v>
      </c>
      <c r="D131" s="891">
        <v>2000</v>
      </c>
      <c r="E131" s="876"/>
      <c r="F131" s="891"/>
      <c r="G131" s="876"/>
      <c r="H131" s="871">
        <f t="shared" si="2"/>
        <v>2000</v>
      </c>
      <c r="I131" s="871"/>
      <c r="J131" s="867"/>
      <c r="K131" s="1798"/>
    </row>
    <row r="132" spans="1:11" s="852" customFormat="1" ht="15.75" customHeight="1" x14ac:dyDescent="0.2">
      <c r="A132" s="1778"/>
      <c r="B132" s="1779"/>
      <c r="C132" s="872">
        <v>2275</v>
      </c>
      <c r="D132" s="873">
        <v>0</v>
      </c>
      <c r="E132" s="873"/>
      <c r="F132" s="883"/>
      <c r="G132" s="883"/>
      <c r="H132" s="871">
        <f t="shared" si="2"/>
        <v>0</v>
      </c>
      <c r="I132" s="871">
        <f t="shared" si="2"/>
        <v>0</v>
      </c>
      <c r="J132" s="867"/>
      <c r="K132" s="1786"/>
    </row>
    <row r="133" spans="1:11" s="852" customFormat="1" ht="15" customHeight="1" x14ac:dyDescent="0.2">
      <c r="A133" s="1778" t="s">
        <v>1013</v>
      </c>
      <c r="B133" s="1779" t="s">
        <v>1014</v>
      </c>
      <c r="C133" s="869"/>
      <c r="D133" s="862">
        <f>SUM(D134:D136)</f>
        <v>4301</v>
      </c>
      <c r="E133" s="862">
        <f t="shared" ref="E133:G133" si="31">SUM(E134:E136)</f>
        <v>0</v>
      </c>
      <c r="F133" s="862">
        <f t="shared" si="31"/>
        <v>0</v>
      </c>
      <c r="G133" s="862">
        <f t="shared" si="31"/>
        <v>0</v>
      </c>
      <c r="H133" s="866">
        <f t="shared" si="2"/>
        <v>4301</v>
      </c>
      <c r="I133" s="866">
        <f t="shared" si="2"/>
        <v>0</v>
      </c>
      <c r="J133" s="867"/>
      <c r="K133" s="877"/>
    </row>
    <row r="134" spans="1:11" s="852" customFormat="1" ht="15" customHeight="1" x14ac:dyDescent="0.2">
      <c r="A134" s="1778"/>
      <c r="B134" s="1779"/>
      <c r="C134" s="869">
        <v>1150</v>
      </c>
      <c r="D134" s="870">
        <v>800</v>
      </c>
      <c r="E134" s="870"/>
      <c r="F134" s="870"/>
      <c r="G134" s="862"/>
      <c r="H134" s="871">
        <f t="shared" si="2"/>
        <v>800</v>
      </c>
      <c r="I134" s="871"/>
      <c r="J134" s="867"/>
      <c r="K134" s="877"/>
    </row>
    <row r="135" spans="1:11" s="852" customFormat="1" ht="14.25" customHeight="1" x14ac:dyDescent="0.2">
      <c r="A135" s="1778"/>
      <c r="B135" s="1779"/>
      <c r="C135" s="889">
        <v>2264</v>
      </c>
      <c r="D135" s="892">
        <v>3388</v>
      </c>
      <c r="E135" s="892"/>
      <c r="F135" s="883"/>
      <c r="G135" s="883"/>
      <c r="H135" s="871">
        <f t="shared" si="2"/>
        <v>3388</v>
      </c>
      <c r="I135" s="871">
        <f t="shared" si="2"/>
        <v>0</v>
      </c>
      <c r="J135" s="867"/>
      <c r="K135" s="1785" t="s">
        <v>953</v>
      </c>
    </row>
    <row r="136" spans="1:11" s="852" customFormat="1" ht="14.25" customHeight="1" x14ac:dyDescent="0.2">
      <c r="A136" s="1778"/>
      <c r="B136" s="1779"/>
      <c r="C136" s="889">
        <v>2314</v>
      </c>
      <c r="D136" s="890">
        <v>113</v>
      </c>
      <c r="E136" s="890"/>
      <c r="F136" s="883"/>
      <c r="G136" s="883"/>
      <c r="H136" s="871">
        <f t="shared" si="2"/>
        <v>113</v>
      </c>
      <c r="I136" s="871">
        <f t="shared" si="2"/>
        <v>0</v>
      </c>
      <c r="J136" s="867"/>
      <c r="K136" s="1786"/>
    </row>
    <row r="137" spans="1:11" s="852" customFormat="1" ht="16.5" customHeight="1" x14ac:dyDescent="0.2">
      <c r="A137" s="1796" t="s">
        <v>1015</v>
      </c>
      <c r="B137" s="1793" t="s">
        <v>1016</v>
      </c>
      <c r="C137" s="889"/>
      <c r="D137" s="889">
        <f>D138</f>
        <v>3625</v>
      </c>
      <c r="E137" s="890"/>
      <c r="F137" s="883"/>
      <c r="G137" s="883"/>
      <c r="H137" s="866">
        <f t="shared" si="2"/>
        <v>3625</v>
      </c>
      <c r="I137" s="866">
        <f t="shared" si="2"/>
        <v>0</v>
      </c>
      <c r="J137" s="867"/>
      <c r="K137" s="1771" t="s">
        <v>953</v>
      </c>
    </row>
    <row r="138" spans="1:11" s="852" customFormat="1" ht="12.75" customHeight="1" x14ac:dyDescent="0.2">
      <c r="A138" s="1797"/>
      <c r="B138" s="1795"/>
      <c r="C138" s="889">
        <v>2264</v>
      </c>
      <c r="D138" s="890">
        <v>3625</v>
      </c>
      <c r="E138" s="890"/>
      <c r="F138" s="883"/>
      <c r="G138" s="883"/>
      <c r="H138" s="871">
        <f t="shared" si="2"/>
        <v>3625</v>
      </c>
      <c r="I138" s="871">
        <f t="shared" si="2"/>
        <v>0</v>
      </c>
      <c r="J138" s="867"/>
      <c r="K138" s="1771"/>
    </row>
    <row r="139" spans="1:11" s="852" customFormat="1" ht="16.5" customHeight="1" x14ac:dyDescent="0.2">
      <c r="A139" s="1796" t="s">
        <v>1017</v>
      </c>
      <c r="B139" s="1793" t="s">
        <v>1018</v>
      </c>
      <c r="C139" s="889"/>
      <c r="D139" s="889">
        <f>SUM(D140:D142)</f>
        <v>5000</v>
      </c>
      <c r="E139" s="889">
        <f>SUM(E140:E142)</f>
        <v>695</v>
      </c>
      <c r="F139" s="889">
        <f>SUM(F140:F142)</f>
        <v>0</v>
      </c>
      <c r="G139" s="889">
        <f>SUM(G140:G142)</f>
        <v>0</v>
      </c>
      <c r="H139" s="866">
        <f>SUM(D139+F139)</f>
        <v>5000</v>
      </c>
      <c r="I139" s="866">
        <f t="shared" si="2"/>
        <v>695</v>
      </c>
      <c r="J139" s="867"/>
      <c r="K139" s="885"/>
    </row>
    <row r="140" spans="1:11" s="852" customFormat="1" ht="12.75" customHeight="1" x14ac:dyDescent="0.2">
      <c r="A140" s="1801"/>
      <c r="B140" s="1794"/>
      <c r="C140" s="889">
        <v>1150</v>
      </c>
      <c r="D140" s="890">
        <v>800</v>
      </c>
      <c r="E140" s="890">
        <v>135</v>
      </c>
      <c r="F140" s="883"/>
      <c r="G140" s="883"/>
      <c r="H140" s="871">
        <f t="shared" ref="H140:H149" si="32">SUM(D140+F140)</f>
        <v>800</v>
      </c>
      <c r="I140" s="871">
        <f t="shared" si="2"/>
        <v>135</v>
      </c>
      <c r="J140" s="867"/>
      <c r="K140" s="885"/>
    </row>
    <row r="141" spans="1:11" s="852" customFormat="1" ht="12.75" customHeight="1" x14ac:dyDescent="0.2">
      <c r="A141" s="1801"/>
      <c r="B141" s="1794"/>
      <c r="C141" s="889">
        <v>2279</v>
      </c>
      <c r="D141" s="890">
        <v>4050</v>
      </c>
      <c r="E141" s="890">
        <v>100</v>
      </c>
      <c r="F141" s="883"/>
      <c r="G141" s="883"/>
      <c r="H141" s="871">
        <f t="shared" si="32"/>
        <v>4050</v>
      </c>
      <c r="I141" s="871">
        <f t="shared" si="2"/>
        <v>100</v>
      </c>
      <c r="J141" s="867"/>
      <c r="K141" s="885"/>
    </row>
    <row r="142" spans="1:11" s="852" customFormat="1" ht="12.75" customHeight="1" x14ac:dyDescent="0.2">
      <c r="A142" s="1797"/>
      <c r="B142" s="1795"/>
      <c r="C142" s="889">
        <v>2314</v>
      </c>
      <c r="D142" s="890">
        <v>150</v>
      </c>
      <c r="E142" s="890">
        <v>460</v>
      </c>
      <c r="F142" s="883"/>
      <c r="G142" s="883"/>
      <c r="H142" s="871">
        <f t="shared" si="32"/>
        <v>150</v>
      </c>
      <c r="I142" s="871">
        <f t="shared" si="2"/>
        <v>460</v>
      </c>
      <c r="J142" s="867"/>
      <c r="K142" s="885"/>
    </row>
    <row r="143" spans="1:11" s="852" customFormat="1" ht="14.25" customHeight="1" x14ac:dyDescent="0.2">
      <c r="A143" s="1796" t="s">
        <v>1019</v>
      </c>
      <c r="B143" s="1793" t="s">
        <v>1020</v>
      </c>
      <c r="C143" s="889"/>
      <c r="D143" s="889">
        <f>SUM(D144+D145)</f>
        <v>1500</v>
      </c>
      <c r="E143" s="889">
        <f>SUM(E144+E145)</f>
        <v>0</v>
      </c>
      <c r="F143" s="889">
        <f>SUM(F144+F145)</f>
        <v>0</v>
      </c>
      <c r="G143" s="889">
        <f>SUM(G144+G145)</f>
        <v>0</v>
      </c>
      <c r="H143" s="866">
        <f t="shared" si="32"/>
        <v>1500</v>
      </c>
      <c r="I143" s="866">
        <f t="shared" si="2"/>
        <v>0</v>
      </c>
      <c r="J143" s="867"/>
      <c r="K143" s="885"/>
    </row>
    <row r="144" spans="1:11" s="852" customFormat="1" ht="13.5" customHeight="1" x14ac:dyDescent="0.2">
      <c r="A144" s="1801"/>
      <c r="B144" s="1794"/>
      <c r="C144" s="889">
        <v>1150</v>
      </c>
      <c r="D144" s="890">
        <v>610</v>
      </c>
      <c r="E144" s="889"/>
      <c r="F144" s="889"/>
      <c r="G144" s="889"/>
      <c r="H144" s="871">
        <f t="shared" si="32"/>
        <v>610</v>
      </c>
      <c r="I144" s="866"/>
      <c r="J144" s="867"/>
      <c r="K144" s="885"/>
    </row>
    <row r="145" spans="1:11" s="852" customFormat="1" ht="14.25" customHeight="1" x14ac:dyDescent="0.2">
      <c r="A145" s="1797"/>
      <c r="B145" s="1795"/>
      <c r="C145" s="889">
        <v>2279</v>
      </c>
      <c r="D145" s="890">
        <v>890</v>
      </c>
      <c r="E145" s="890">
        <v>0</v>
      </c>
      <c r="F145" s="883"/>
      <c r="G145" s="883">
        <v>0</v>
      </c>
      <c r="H145" s="871">
        <f t="shared" si="32"/>
        <v>890</v>
      </c>
      <c r="I145" s="871">
        <f t="shared" si="2"/>
        <v>0</v>
      </c>
      <c r="J145" s="867"/>
      <c r="K145" s="885"/>
    </row>
    <row r="146" spans="1:11" s="852" customFormat="1" ht="15.75" customHeight="1" x14ac:dyDescent="0.2">
      <c r="A146" s="1796" t="s">
        <v>1021</v>
      </c>
      <c r="B146" s="1793" t="s">
        <v>1022</v>
      </c>
      <c r="C146" s="889"/>
      <c r="D146" s="889">
        <f>SUM(D147:D149)</f>
        <v>5666</v>
      </c>
      <c r="E146" s="889">
        <f t="shared" ref="E146:G146" si="33">SUM(E147:E149)</f>
        <v>0</v>
      </c>
      <c r="F146" s="889">
        <f t="shared" si="33"/>
        <v>0</v>
      </c>
      <c r="G146" s="889">
        <f t="shared" si="33"/>
        <v>0</v>
      </c>
      <c r="H146" s="866">
        <f t="shared" si="32"/>
        <v>5666</v>
      </c>
      <c r="I146" s="866">
        <f t="shared" si="2"/>
        <v>0</v>
      </c>
      <c r="J146" s="867"/>
      <c r="K146" s="885"/>
    </row>
    <row r="147" spans="1:11" s="852" customFormat="1" ht="14.25" customHeight="1" x14ac:dyDescent="0.2">
      <c r="A147" s="1801"/>
      <c r="B147" s="1794"/>
      <c r="C147" s="889">
        <v>2264</v>
      </c>
      <c r="D147" s="890">
        <v>449</v>
      </c>
      <c r="E147" s="890"/>
      <c r="F147" s="883"/>
      <c r="G147" s="883"/>
      <c r="H147" s="871">
        <f t="shared" si="32"/>
        <v>449</v>
      </c>
      <c r="I147" s="871">
        <f t="shared" si="2"/>
        <v>0</v>
      </c>
      <c r="J147" s="867"/>
      <c r="K147" s="885"/>
    </row>
    <row r="148" spans="1:11" s="852" customFormat="1" ht="15" customHeight="1" x14ac:dyDescent="0.2">
      <c r="A148" s="1801"/>
      <c r="B148" s="1794"/>
      <c r="C148" s="889">
        <v>2279</v>
      </c>
      <c r="D148" s="890">
        <v>1961</v>
      </c>
      <c r="E148" s="890"/>
      <c r="F148" s="883"/>
      <c r="G148" s="883"/>
      <c r="H148" s="871">
        <f t="shared" si="32"/>
        <v>1961</v>
      </c>
      <c r="I148" s="871">
        <f t="shared" si="2"/>
        <v>0</v>
      </c>
      <c r="J148" s="867"/>
      <c r="K148" s="885"/>
    </row>
    <row r="149" spans="1:11" s="852" customFormat="1" ht="14.25" customHeight="1" x14ac:dyDescent="0.2">
      <c r="A149" s="1797"/>
      <c r="B149" s="1795"/>
      <c r="C149" s="889">
        <v>2314</v>
      </c>
      <c r="D149" s="890">
        <v>3256</v>
      </c>
      <c r="E149" s="890"/>
      <c r="F149" s="883"/>
      <c r="G149" s="883"/>
      <c r="H149" s="871">
        <f t="shared" si="32"/>
        <v>3256</v>
      </c>
      <c r="I149" s="871">
        <f t="shared" si="2"/>
        <v>0</v>
      </c>
      <c r="J149" s="867"/>
      <c r="K149" s="885"/>
    </row>
    <row r="150" spans="1:11" s="852" customFormat="1" ht="24" x14ac:dyDescent="0.2">
      <c r="A150" s="886">
        <v>5</v>
      </c>
      <c r="B150" s="878" t="s">
        <v>1023</v>
      </c>
      <c r="C150" s="874"/>
      <c r="D150" s="893">
        <f>SUM(D151,D159,D164,D169)</f>
        <v>46827</v>
      </c>
      <c r="E150" s="893">
        <f>SUM(E151,E159,E164,E169)</f>
        <v>4650</v>
      </c>
      <c r="F150" s="893">
        <f t="shared" ref="F150:G150" si="34">SUM(F151,F159,F164,F169)</f>
        <v>0</v>
      </c>
      <c r="G150" s="893">
        <f t="shared" si="34"/>
        <v>800</v>
      </c>
      <c r="H150" s="866">
        <f t="shared" si="2"/>
        <v>46827</v>
      </c>
      <c r="I150" s="866">
        <f t="shared" si="2"/>
        <v>5450</v>
      </c>
      <c r="J150" s="867"/>
      <c r="K150" s="877"/>
    </row>
    <row r="151" spans="1:11" s="852" customFormat="1" ht="16.5" customHeight="1" x14ac:dyDescent="0.2">
      <c r="A151" s="1778" t="s">
        <v>564</v>
      </c>
      <c r="B151" s="1779" t="s">
        <v>1024</v>
      </c>
      <c r="C151" s="894"/>
      <c r="D151" s="895">
        <f>SUM(D152:D158)</f>
        <v>17502</v>
      </c>
      <c r="E151" s="895">
        <f>SUM(E152:E158)</f>
        <v>0</v>
      </c>
      <c r="F151" s="895">
        <f t="shared" ref="F151:G151" si="35">SUM(F152:F158)</f>
        <v>0</v>
      </c>
      <c r="G151" s="895">
        <f t="shared" si="35"/>
        <v>0</v>
      </c>
      <c r="H151" s="871">
        <f t="shared" si="2"/>
        <v>17502</v>
      </c>
      <c r="I151" s="871">
        <f t="shared" si="2"/>
        <v>0</v>
      </c>
      <c r="J151" s="867"/>
      <c r="K151" s="877"/>
    </row>
    <row r="152" spans="1:11" s="852" customFormat="1" x14ac:dyDescent="0.2">
      <c r="A152" s="1778"/>
      <c r="B152" s="1779"/>
      <c r="C152" s="894">
        <v>1150</v>
      </c>
      <c r="D152" s="896">
        <v>372</v>
      </c>
      <c r="E152" s="896"/>
      <c r="F152" s="883"/>
      <c r="G152" s="883"/>
      <c r="H152" s="871">
        <f t="shared" si="2"/>
        <v>372</v>
      </c>
      <c r="I152" s="871">
        <f t="shared" si="2"/>
        <v>0</v>
      </c>
      <c r="J152" s="867"/>
      <c r="K152" s="1771" t="s">
        <v>953</v>
      </c>
    </row>
    <row r="153" spans="1:11" s="852" customFormat="1" x14ac:dyDescent="0.2">
      <c r="A153" s="1778"/>
      <c r="B153" s="1779"/>
      <c r="C153" s="894">
        <v>2111</v>
      </c>
      <c r="D153" s="896">
        <v>0</v>
      </c>
      <c r="E153" s="896"/>
      <c r="F153" s="883"/>
      <c r="G153" s="883"/>
      <c r="H153" s="871">
        <f t="shared" si="2"/>
        <v>0</v>
      </c>
      <c r="I153" s="871">
        <f t="shared" si="2"/>
        <v>0</v>
      </c>
      <c r="J153" s="867"/>
      <c r="K153" s="1771"/>
    </row>
    <row r="154" spans="1:11" s="852" customFormat="1" x14ac:dyDescent="0.2">
      <c r="A154" s="1778"/>
      <c r="B154" s="1779"/>
      <c r="C154" s="894">
        <v>2261</v>
      </c>
      <c r="D154" s="896">
        <v>81</v>
      </c>
      <c r="E154" s="896"/>
      <c r="F154" s="883"/>
      <c r="G154" s="883"/>
      <c r="H154" s="871">
        <f t="shared" si="2"/>
        <v>81</v>
      </c>
      <c r="I154" s="871">
        <f t="shared" si="2"/>
        <v>0</v>
      </c>
      <c r="J154" s="867"/>
      <c r="K154" s="1771"/>
    </row>
    <row r="155" spans="1:11" s="852" customFormat="1" x14ac:dyDescent="0.2">
      <c r="A155" s="1778"/>
      <c r="B155" s="1779"/>
      <c r="C155" s="872">
        <v>2262</v>
      </c>
      <c r="D155" s="873">
        <v>14207</v>
      </c>
      <c r="E155" s="873"/>
      <c r="F155" s="883"/>
      <c r="G155" s="883"/>
      <c r="H155" s="871">
        <f t="shared" si="2"/>
        <v>14207</v>
      </c>
      <c r="I155" s="871">
        <f t="shared" si="2"/>
        <v>0</v>
      </c>
      <c r="J155" s="867"/>
      <c r="K155" s="1771"/>
    </row>
    <row r="156" spans="1:11" s="852" customFormat="1" x14ac:dyDescent="0.2">
      <c r="A156" s="1778"/>
      <c r="B156" s="1779"/>
      <c r="C156" s="872">
        <v>2279</v>
      </c>
      <c r="D156" s="873">
        <v>740</v>
      </c>
      <c r="E156" s="873"/>
      <c r="F156" s="883"/>
      <c r="G156" s="883"/>
      <c r="H156" s="871">
        <f t="shared" ref="H156:I189" si="36">D156+F156</f>
        <v>740</v>
      </c>
      <c r="I156" s="871">
        <f t="shared" si="36"/>
        <v>0</v>
      </c>
      <c r="J156" s="867"/>
      <c r="K156" s="1771"/>
    </row>
    <row r="157" spans="1:11" s="852" customFormat="1" x14ac:dyDescent="0.2">
      <c r="A157" s="1778"/>
      <c r="B157" s="1779"/>
      <c r="C157" s="872">
        <v>2314</v>
      </c>
      <c r="D157" s="873">
        <v>805</v>
      </c>
      <c r="E157" s="873"/>
      <c r="F157" s="883"/>
      <c r="G157" s="883"/>
      <c r="H157" s="871">
        <f t="shared" si="36"/>
        <v>805</v>
      </c>
      <c r="I157" s="871">
        <f t="shared" si="36"/>
        <v>0</v>
      </c>
      <c r="J157" s="867"/>
      <c r="K157" s="1771"/>
    </row>
    <row r="158" spans="1:11" s="852" customFormat="1" x14ac:dyDescent="0.2">
      <c r="A158" s="1778"/>
      <c r="B158" s="1779"/>
      <c r="C158" s="872">
        <v>2363</v>
      </c>
      <c r="D158" s="873">
        <v>1297</v>
      </c>
      <c r="E158" s="873"/>
      <c r="F158" s="883"/>
      <c r="G158" s="883"/>
      <c r="H158" s="871">
        <f t="shared" si="36"/>
        <v>1297</v>
      </c>
      <c r="I158" s="871">
        <f t="shared" si="36"/>
        <v>0</v>
      </c>
      <c r="J158" s="867"/>
      <c r="K158" s="1771"/>
    </row>
    <row r="159" spans="1:11" s="852" customFormat="1" ht="12" customHeight="1" x14ac:dyDescent="0.2">
      <c r="A159" s="1778" t="s">
        <v>567</v>
      </c>
      <c r="B159" s="1779" t="s">
        <v>1025</v>
      </c>
      <c r="C159" s="894"/>
      <c r="D159" s="895">
        <f>SUM(D160:D163)</f>
        <v>2247</v>
      </c>
      <c r="E159" s="895">
        <f>SUM(E160:E163)</f>
        <v>0</v>
      </c>
      <c r="F159" s="895">
        <f t="shared" ref="F159:G159" si="37">SUM(F160:F163)</f>
        <v>0</v>
      </c>
      <c r="G159" s="895">
        <f t="shared" si="37"/>
        <v>0</v>
      </c>
      <c r="H159" s="866">
        <f t="shared" si="36"/>
        <v>2247</v>
      </c>
      <c r="I159" s="866">
        <f t="shared" si="36"/>
        <v>0</v>
      </c>
      <c r="J159" s="867"/>
      <c r="K159" s="877"/>
    </row>
    <row r="160" spans="1:11" s="852" customFormat="1" x14ac:dyDescent="0.2">
      <c r="A160" s="1778"/>
      <c r="B160" s="1779"/>
      <c r="C160" s="872">
        <v>1150</v>
      </c>
      <c r="D160" s="877">
        <v>712</v>
      </c>
      <c r="E160" s="877"/>
      <c r="F160" s="883"/>
      <c r="G160" s="883"/>
      <c r="H160" s="871">
        <f t="shared" si="36"/>
        <v>712</v>
      </c>
      <c r="I160" s="871">
        <f t="shared" si="36"/>
        <v>0</v>
      </c>
      <c r="J160" s="867"/>
      <c r="K160" s="1771" t="s">
        <v>953</v>
      </c>
    </row>
    <row r="161" spans="1:11" s="852" customFormat="1" x14ac:dyDescent="0.2">
      <c r="A161" s="1778"/>
      <c r="B161" s="1779"/>
      <c r="C161" s="872">
        <v>1210</v>
      </c>
      <c r="D161" s="877">
        <v>0</v>
      </c>
      <c r="E161" s="877"/>
      <c r="F161" s="883"/>
      <c r="G161" s="883"/>
      <c r="H161" s="871">
        <f t="shared" si="36"/>
        <v>0</v>
      </c>
      <c r="I161" s="871">
        <f t="shared" si="36"/>
        <v>0</v>
      </c>
      <c r="J161" s="867"/>
      <c r="K161" s="1771"/>
    </row>
    <row r="162" spans="1:11" s="852" customFormat="1" x14ac:dyDescent="0.2">
      <c r="A162" s="1778"/>
      <c r="B162" s="1779"/>
      <c r="C162" s="872">
        <v>2314</v>
      </c>
      <c r="D162" s="877">
        <v>1431</v>
      </c>
      <c r="E162" s="877"/>
      <c r="F162" s="883"/>
      <c r="G162" s="883"/>
      <c r="H162" s="871">
        <f t="shared" si="36"/>
        <v>1431</v>
      </c>
      <c r="I162" s="871">
        <f t="shared" si="36"/>
        <v>0</v>
      </c>
      <c r="J162" s="867"/>
      <c r="K162" s="1771"/>
    </row>
    <row r="163" spans="1:11" s="852" customFormat="1" x14ac:dyDescent="0.2">
      <c r="A163" s="1778"/>
      <c r="B163" s="1779"/>
      <c r="C163" s="894">
        <v>2363</v>
      </c>
      <c r="D163" s="896">
        <v>104</v>
      </c>
      <c r="E163" s="896"/>
      <c r="F163" s="883"/>
      <c r="G163" s="883"/>
      <c r="H163" s="871">
        <f t="shared" si="36"/>
        <v>104</v>
      </c>
      <c r="I163" s="871">
        <f t="shared" si="36"/>
        <v>0</v>
      </c>
      <c r="J163" s="867"/>
      <c r="K163" s="1771"/>
    </row>
    <row r="164" spans="1:11" s="852" customFormat="1" ht="14.25" customHeight="1" x14ac:dyDescent="0.2">
      <c r="A164" s="1778" t="s">
        <v>569</v>
      </c>
      <c r="B164" s="1802" t="s">
        <v>1026</v>
      </c>
      <c r="C164" s="869"/>
      <c r="D164" s="862">
        <f>SUM(D165:D168)</f>
        <v>23728</v>
      </c>
      <c r="E164" s="862">
        <f>SUM(E165:E168)</f>
        <v>0</v>
      </c>
      <c r="F164" s="862">
        <f t="shared" ref="F164:G164" si="38">SUM(F165:F168)</f>
        <v>0</v>
      </c>
      <c r="G164" s="862">
        <f t="shared" si="38"/>
        <v>0</v>
      </c>
      <c r="H164" s="866">
        <f t="shared" si="36"/>
        <v>23728</v>
      </c>
      <c r="I164" s="866">
        <f t="shared" si="36"/>
        <v>0</v>
      </c>
      <c r="J164" s="867"/>
      <c r="K164" s="877"/>
    </row>
    <row r="165" spans="1:11" s="852" customFormat="1" ht="12" customHeight="1" x14ac:dyDescent="0.2">
      <c r="A165" s="1778"/>
      <c r="B165" s="1802"/>
      <c r="C165" s="872">
        <v>2121</v>
      </c>
      <c r="D165" s="873">
        <v>1814</v>
      </c>
      <c r="E165" s="873"/>
      <c r="F165" s="883"/>
      <c r="G165" s="883"/>
      <c r="H165" s="871">
        <f t="shared" si="36"/>
        <v>1814</v>
      </c>
      <c r="I165" s="871">
        <f t="shared" si="36"/>
        <v>0</v>
      </c>
      <c r="J165" s="867"/>
      <c r="K165" s="1771" t="s">
        <v>953</v>
      </c>
    </row>
    <row r="166" spans="1:11" s="852" customFormat="1" x14ac:dyDescent="0.2">
      <c r="A166" s="1778"/>
      <c r="B166" s="1802"/>
      <c r="C166" s="872">
        <v>2122</v>
      </c>
      <c r="D166" s="873">
        <v>194</v>
      </c>
      <c r="E166" s="873"/>
      <c r="F166" s="883"/>
      <c r="G166" s="883"/>
      <c r="H166" s="871">
        <f t="shared" si="36"/>
        <v>194</v>
      </c>
      <c r="I166" s="871">
        <f t="shared" si="36"/>
        <v>0</v>
      </c>
      <c r="J166" s="867"/>
      <c r="K166" s="1771"/>
    </row>
    <row r="167" spans="1:11" s="852" customFormat="1" x14ac:dyDescent="0.2">
      <c r="A167" s="1778"/>
      <c r="B167" s="1802"/>
      <c r="C167" s="872">
        <v>2262</v>
      </c>
      <c r="D167" s="873">
        <v>2684</v>
      </c>
      <c r="E167" s="873"/>
      <c r="F167" s="883"/>
      <c r="G167" s="883"/>
      <c r="H167" s="871">
        <f t="shared" si="36"/>
        <v>2684</v>
      </c>
      <c r="I167" s="871">
        <f t="shared" si="36"/>
        <v>0</v>
      </c>
      <c r="J167" s="867"/>
      <c r="K167" s="1771"/>
    </row>
    <row r="168" spans="1:11" s="852" customFormat="1" ht="14.25" customHeight="1" x14ac:dyDescent="0.2">
      <c r="A168" s="1778"/>
      <c r="B168" s="1802"/>
      <c r="C168" s="869">
        <v>2279</v>
      </c>
      <c r="D168" s="870">
        <v>19036</v>
      </c>
      <c r="E168" s="870"/>
      <c r="F168" s="883"/>
      <c r="G168" s="883"/>
      <c r="H168" s="871">
        <f t="shared" si="36"/>
        <v>19036</v>
      </c>
      <c r="I168" s="871">
        <f t="shared" si="36"/>
        <v>0</v>
      </c>
      <c r="J168" s="867"/>
      <c r="K168" s="1771"/>
    </row>
    <row r="169" spans="1:11" s="852" customFormat="1" x14ac:dyDescent="0.2">
      <c r="A169" s="1799" t="s">
        <v>571</v>
      </c>
      <c r="B169" s="1779" t="s">
        <v>1027</v>
      </c>
      <c r="C169" s="897"/>
      <c r="D169" s="898">
        <f>SUM(D170:D172)</f>
        <v>3350</v>
      </c>
      <c r="E169" s="898">
        <f>SUM(E170:E172)</f>
        <v>4650</v>
      </c>
      <c r="F169" s="898">
        <f t="shared" ref="F169:G169" si="39">SUM(F170:F172)</f>
        <v>0</v>
      </c>
      <c r="G169" s="898">
        <f t="shared" si="39"/>
        <v>800</v>
      </c>
      <c r="H169" s="866">
        <f t="shared" si="36"/>
        <v>3350</v>
      </c>
      <c r="I169" s="866">
        <f t="shared" si="36"/>
        <v>5450</v>
      </c>
      <c r="J169" s="867"/>
      <c r="K169" s="899"/>
    </row>
    <row r="170" spans="1:11" s="852" customFormat="1" ht="75.75" customHeight="1" x14ac:dyDescent="0.2">
      <c r="A170" s="1799"/>
      <c r="B170" s="1779"/>
      <c r="C170" s="874">
        <v>1150</v>
      </c>
      <c r="D170" s="882">
        <v>1700</v>
      </c>
      <c r="E170" s="873">
        <v>1900</v>
      </c>
      <c r="F170" s="883"/>
      <c r="G170" s="883">
        <v>800</v>
      </c>
      <c r="H170" s="871">
        <f t="shared" si="36"/>
        <v>1700</v>
      </c>
      <c r="I170" s="871">
        <f t="shared" si="36"/>
        <v>2700</v>
      </c>
      <c r="J170" s="867" t="s">
        <v>1028</v>
      </c>
      <c r="K170" s="1803" t="s">
        <v>953</v>
      </c>
    </row>
    <row r="171" spans="1:11" s="852" customFormat="1" ht="15" customHeight="1" x14ac:dyDescent="0.2">
      <c r="A171" s="1799"/>
      <c r="B171" s="1779"/>
      <c r="C171" s="889">
        <v>2312</v>
      </c>
      <c r="D171" s="892">
        <v>150</v>
      </c>
      <c r="E171" s="892">
        <v>450</v>
      </c>
      <c r="F171" s="883"/>
      <c r="G171" s="883"/>
      <c r="H171" s="871">
        <f t="shared" si="36"/>
        <v>150</v>
      </c>
      <c r="I171" s="871">
        <f t="shared" si="36"/>
        <v>450</v>
      </c>
      <c r="J171" s="867"/>
      <c r="K171" s="1803"/>
    </row>
    <row r="172" spans="1:11" s="852" customFormat="1" ht="15" customHeight="1" x14ac:dyDescent="0.2">
      <c r="A172" s="1799"/>
      <c r="B172" s="1779"/>
      <c r="C172" s="889">
        <v>2314</v>
      </c>
      <c r="D172" s="892">
        <v>1500</v>
      </c>
      <c r="E172" s="892">
        <v>2300</v>
      </c>
      <c r="F172" s="883"/>
      <c r="G172" s="883"/>
      <c r="H172" s="871">
        <f t="shared" si="36"/>
        <v>1500</v>
      </c>
      <c r="I172" s="871">
        <f t="shared" si="36"/>
        <v>2300</v>
      </c>
      <c r="J172" s="867"/>
      <c r="K172" s="1803"/>
    </row>
    <row r="173" spans="1:11" s="852" customFormat="1" ht="24" x14ac:dyDescent="0.2">
      <c r="A173" s="868">
        <v>6</v>
      </c>
      <c r="B173" s="887" t="s">
        <v>1029</v>
      </c>
      <c r="C173" s="869"/>
      <c r="D173" s="862">
        <f>SUM(D174:D176,D178,D181)</f>
        <v>65892</v>
      </c>
      <c r="E173" s="862">
        <f>SUM(E174:E176,E178,E181)</f>
        <v>2500</v>
      </c>
      <c r="F173" s="862">
        <f t="shared" ref="F173:G173" si="40">SUM(F174:F176,F178,F181)</f>
        <v>0</v>
      </c>
      <c r="G173" s="862">
        <f t="shared" si="40"/>
        <v>0</v>
      </c>
      <c r="H173" s="866">
        <f t="shared" si="36"/>
        <v>65892</v>
      </c>
      <c r="I173" s="866">
        <f t="shared" si="36"/>
        <v>2500</v>
      </c>
      <c r="J173" s="867"/>
      <c r="K173" s="877"/>
    </row>
    <row r="174" spans="1:11" s="852" customFormat="1" ht="24" x14ac:dyDescent="0.2">
      <c r="A174" s="886" t="s">
        <v>574</v>
      </c>
      <c r="B174" s="891" t="s">
        <v>1030</v>
      </c>
      <c r="C174" s="874">
        <v>2314</v>
      </c>
      <c r="D174" s="893">
        <v>6000</v>
      </c>
      <c r="E174" s="882">
        <v>2000</v>
      </c>
      <c r="F174" s="883"/>
      <c r="G174" s="883"/>
      <c r="H174" s="866">
        <f t="shared" si="36"/>
        <v>6000</v>
      </c>
      <c r="I174" s="866">
        <f t="shared" si="36"/>
        <v>2000</v>
      </c>
      <c r="J174" s="867"/>
      <c r="K174" s="877"/>
    </row>
    <row r="175" spans="1:11" s="852" customFormat="1" x14ac:dyDescent="0.2">
      <c r="A175" s="886" t="s">
        <v>576</v>
      </c>
      <c r="B175" s="891" t="s">
        <v>1031</v>
      </c>
      <c r="C175" s="872">
        <v>2279</v>
      </c>
      <c r="D175" s="884">
        <v>4750</v>
      </c>
      <c r="E175" s="873">
        <v>500</v>
      </c>
      <c r="F175" s="883"/>
      <c r="G175" s="883"/>
      <c r="H175" s="866">
        <f t="shared" si="36"/>
        <v>4750</v>
      </c>
      <c r="I175" s="866">
        <f t="shared" si="36"/>
        <v>500</v>
      </c>
      <c r="J175" s="867"/>
      <c r="K175" s="877"/>
    </row>
    <row r="176" spans="1:11" s="852" customFormat="1" x14ac:dyDescent="0.2">
      <c r="A176" s="1778" t="s">
        <v>578</v>
      </c>
      <c r="B176" s="1779" t="s">
        <v>1032</v>
      </c>
      <c r="C176" s="875"/>
      <c r="D176" s="876">
        <f>SUM(D177:D177)</f>
        <v>500</v>
      </c>
      <c r="E176" s="876">
        <f>SUM(E177:E177)</f>
        <v>0</v>
      </c>
      <c r="F176" s="876">
        <f t="shared" ref="F176:G176" si="41">SUM(F177:F177)</f>
        <v>0</v>
      </c>
      <c r="G176" s="876">
        <f t="shared" si="41"/>
        <v>0</v>
      </c>
      <c r="H176" s="866">
        <f t="shared" si="36"/>
        <v>500</v>
      </c>
      <c r="I176" s="871">
        <f t="shared" si="36"/>
        <v>0</v>
      </c>
      <c r="J176" s="867"/>
      <c r="K176" s="877"/>
    </row>
    <row r="177" spans="1:11" s="852" customFormat="1" x14ac:dyDescent="0.2">
      <c r="A177" s="1778"/>
      <c r="B177" s="1779"/>
      <c r="C177" s="872">
        <v>2248</v>
      </c>
      <c r="D177" s="873">
        <v>500</v>
      </c>
      <c r="E177" s="873"/>
      <c r="F177" s="883"/>
      <c r="G177" s="883"/>
      <c r="H177" s="871">
        <f t="shared" si="36"/>
        <v>500</v>
      </c>
      <c r="I177" s="871">
        <f t="shared" si="36"/>
        <v>0</v>
      </c>
      <c r="J177" s="867"/>
      <c r="K177" s="877"/>
    </row>
    <row r="178" spans="1:11" s="852" customFormat="1" ht="12" customHeight="1" x14ac:dyDescent="0.2">
      <c r="A178" s="1778" t="s">
        <v>580</v>
      </c>
      <c r="B178" s="1779" t="s">
        <v>1033</v>
      </c>
      <c r="C178" s="875"/>
      <c r="D178" s="876">
        <f>SUM(D179:D180)</f>
        <v>1000</v>
      </c>
      <c r="E178" s="876">
        <f>SUM(E179:E180)</f>
        <v>0</v>
      </c>
      <c r="F178" s="876">
        <f t="shared" ref="F178:G178" si="42">SUM(F179:F180)</f>
        <v>0</v>
      </c>
      <c r="G178" s="876">
        <f t="shared" si="42"/>
        <v>0</v>
      </c>
      <c r="H178" s="866">
        <f t="shared" si="36"/>
        <v>1000</v>
      </c>
      <c r="I178" s="871">
        <f t="shared" si="36"/>
        <v>0</v>
      </c>
      <c r="J178" s="867"/>
      <c r="K178" s="877"/>
    </row>
    <row r="179" spans="1:11" s="852" customFormat="1" x14ac:dyDescent="0.2">
      <c r="A179" s="1778"/>
      <c r="B179" s="1779"/>
      <c r="C179" s="872">
        <v>2223</v>
      </c>
      <c r="D179" s="873">
        <v>200</v>
      </c>
      <c r="E179" s="873"/>
      <c r="F179" s="883"/>
      <c r="G179" s="883"/>
      <c r="H179" s="871">
        <f t="shared" si="36"/>
        <v>200</v>
      </c>
      <c r="I179" s="871">
        <f t="shared" si="36"/>
        <v>0</v>
      </c>
      <c r="J179" s="867"/>
      <c r="K179" s="877"/>
    </row>
    <row r="180" spans="1:11" s="852" customFormat="1" x14ac:dyDescent="0.2">
      <c r="A180" s="1778"/>
      <c r="B180" s="1779"/>
      <c r="C180" s="872">
        <v>2279</v>
      </c>
      <c r="D180" s="873">
        <v>800</v>
      </c>
      <c r="E180" s="873"/>
      <c r="F180" s="883"/>
      <c r="G180" s="883"/>
      <c r="H180" s="871">
        <f t="shared" si="36"/>
        <v>800</v>
      </c>
      <c r="I180" s="871">
        <f t="shared" si="36"/>
        <v>0</v>
      </c>
      <c r="J180" s="867"/>
      <c r="K180" s="877"/>
    </row>
    <row r="181" spans="1:11" s="852" customFormat="1" ht="12" customHeight="1" x14ac:dyDescent="0.2">
      <c r="A181" s="1778" t="s">
        <v>1034</v>
      </c>
      <c r="B181" s="1779" t="s">
        <v>1035</v>
      </c>
      <c r="C181" s="869"/>
      <c r="D181" s="862">
        <f>SUM(D182:D186)</f>
        <v>53642</v>
      </c>
      <c r="E181" s="862">
        <f t="shared" ref="E181:I181" si="43">SUM(E182:E186)</f>
        <v>0</v>
      </c>
      <c r="F181" s="862">
        <f t="shared" si="43"/>
        <v>0</v>
      </c>
      <c r="G181" s="862">
        <f t="shared" si="43"/>
        <v>0</v>
      </c>
      <c r="H181" s="862">
        <f t="shared" si="43"/>
        <v>53642</v>
      </c>
      <c r="I181" s="862">
        <f t="shared" si="43"/>
        <v>0</v>
      </c>
      <c r="J181" s="867"/>
      <c r="K181" s="900"/>
    </row>
    <row r="182" spans="1:11" s="852" customFormat="1" ht="38.25" customHeight="1" x14ac:dyDescent="0.2">
      <c r="A182" s="1778"/>
      <c r="B182" s="1779"/>
      <c r="C182" s="869">
        <v>2232</v>
      </c>
      <c r="D182" s="870">
        <v>100</v>
      </c>
      <c r="E182" s="862"/>
      <c r="F182" s="870">
        <v>-88</v>
      </c>
      <c r="G182" s="870"/>
      <c r="H182" s="871">
        <f t="shared" si="36"/>
        <v>12</v>
      </c>
      <c r="I182" s="866"/>
      <c r="J182" s="867" t="s">
        <v>1036</v>
      </c>
      <c r="K182" s="900"/>
    </row>
    <row r="183" spans="1:11" s="852" customFormat="1" ht="25.5" customHeight="1" x14ac:dyDescent="0.2">
      <c r="A183" s="1778"/>
      <c r="B183" s="1779"/>
      <c r="C183" s="872">
        <v>2239</v>
      </c>
      <c r="D183" s="873">
        <v>42000</v>
      </c>
      <c r="E183" s="873"/>
      <c r="F183" s="883">
        <v>-794</v>
      </c>
      <c r="G183" s="883"/>
      <c r="H183" s="871">
        <f t="shared" si="36"/>
        <v>41206</v>
      </c>
      <c r="I183" s="871">
        <f t="shared" si="36"/>
        <v>0</v>
      </c>
      <c r="J183" s="867" t="s">
        <v>1037</v>
      </c>
      <c r="K183" s="900"/>
    </row>
    <row r="184" spans="1:11" s="852" customFormat="1" ht="36" x14ac:dyDescent="0.2">
      <c r="A184" s="1778"/>
      <c r="B184" s="1779"/>
      <c r="C184" s="872">
        <v>2279</v>
      </c>
      <c r="D184" s="873">
        <v>2800</v>
      </c>
      <c r="E184" s="873"/>
      <c r="F184" s="867">
        <v>582</v>
      </c>
      <c r="G184" s="901"/>
      <c r="H184" s="871">
        <f t="shared" si="36"/>
        <v>3382</v>
      </c>
      <c r="I184" s="871">
        <f t="shared" si="36"/>
        <v>0</v>
      </c>
      <c r="J184" s="901" t="s">
        <v>1038</v>
      </c>
      <c r="K184" s="900"/>
    </row>
    <row r="185" spans="1:11" s="852" customFormat="1" ht="12.75" customHeight="1" x14ac:dyDescent="0.2">
      <c r="A185" s="1778"/>
      <c r="B185" s="1779"/>
      <c r="C185" s="872">
        <v>2312</v>
      </c>
      <c r="D185" s="873">
        <v>435</v>
      </c>
      <c r="E185" s="873"/>
      <c r="F185" s="901"/>
      <c r="G185" s="901"/>
      <c r="H185" s="871">
        <f t="shared" si="36"/>
        <v>435</v>
      </c>
      <c r="I185" s="871"/>
      <c r="J185" s="901"/>
      <c r="K185" s="900"/>
    </row>
    <row r="186" spans="1:11" s="852" customFormat="1" ht="13.5" customHeight="1" x14ac:dyDescent="0.2">
      <c r="A186" s="1778"/>
      <c r="B186" s="1779"/>
      <c r="C186" s="872">
        <v>2314</v>
      </c>
      <c r="D186" s="873">
        <v>8307</v>
      </c>
      <c r="E186" s="873"/>
      <c r="F186" s="902">
        <v>300</v>
      </c>
      <c r="G186" s="903"/>
      <c r="H186" s="871">
        <f t="shared" si="36"/>
        <v>8607</v>
      </c>
      <c r="I186" s="871">
        <f t="shared" si="36"/>
        <v>0</v>
      </c>
      <c r="J186" s="903"/>
      <c r="K186" s="900"/>
    </row>
    <row r="187" spans="1:11" s="852" customFormat="1" ht="24" x14ac:dyDescent="0.2">
      <c r="A187" s="868">
        <v>7</v>
      </c>
      <c r="B187" s="862" t="s">
        <v>1039</v>
      </c>
      <c r="C187" s="875"/>
      <c r="D187" s="876">
        <f>D188</f>
        <v>0</v>
      </c>
      <c r="E187" s="876">
        <f>E188</f>
        <v>0</v>
      </c>
      <c r="F187" s="876">
        <f t="shared" ref="F187:G187" si="44">F188</f>
        <v>0</v>
      </c>
      <c r="G187" s="876">
        <f t="shared" si="44"/>
        <v>0</v>
      </c>
      <c r="H187" s="866">
        <f t="shared" si="36"/>
        <v>0</v>
      </c>
      <c r="I187" s="866">
        <f t="shared" si="36"/>
        <v>0</v>
      </c>
      <c r="J187" s="867"/>
      <c r="K187" s="877"/>
    </row>
    <row r="188" spans="1:11" s="852" customFormat="1" x14ac:dyDescent="0.2">
      <c r="A188" s="1778" t="s">
        <v>583</v>
      </c>
      <c r="B188" s="1779" t="s">
        <v>1040</v>
      </c>
      <c r="C188" s="869"/>
      <c r="D188" s="862">
        <f>SUM(D189:D189)</f>
        <v>0</v>
      </c>
      <c r="E188" s="862">
        <f>SUM(E189:E189)</f>
        <v>0</v>
      </c>
      <c r="F188" s="862">
        <f t="shared" ref="F188:G188" si="45">SUM(F189:F189)</f>
        <v>0</v>
      </c>
      <c r="G188" s="862">
        <f t="shared" si="45"/>
        <v>0</v>
      </c>
      <c r="H188" s="866">
        <f t="shared" si="36"/>
        <v>0</v>
      </c>
      <c r="I188" s="866">
        <f t="shared" si="36"/>
        <v>0</v>
      </c>
      <c r="J188" s="867"/>
      <c r="K188" s="1785" t="s">
        <v>953</v>
      </c>
    </row>
    <row r="189" spans="1:11" s="852" customFormat="1" x14ac:dyDescent="0.2">
      <c r="A189" s="1778"/>
      <c r="B189" s="1779"/>
      <c r="C189" s="872">
        <v>2275</v>
      </c>
      <c r="D189" s="873">
        <v>0</v>
      </c>
      <c r="E189" s="873"/>
      <c r="F189" s="871"/>
      <c r="G189" s="871"/>
      <c r="H189" s="871">
        <f t="shared" si="36"/>
        <v>0</v>
      </c>
      <c r="I189" s="871">
        <f t="shared" si="36"/>
        <v>0</v>
      </c>
      <c r="J189" s="867"/>
      <c r="K189" s="1786"/>
    </row>
    <row r="190" spans="1:11" s="852" customFormat="1" x14ac:dyDescent="0.2">
      <c r="A190" s="851" t="s">
        <v>858</v>
      </c>
      <c r="B190" s="904"/>
      <c r="C190" s="904"/>
      <c r="D190" s="904"/>
    </row>
    <row r="191" spans="1:11" s="852" customFormat="1" ht="13.5" customHeight="1" x14ac:dyDescent="0.2">
      <c r="A191" s="851" t="s">
        <v>1041</v>
      </c>
      <c r="B191" s="904"/>
      <c r="C191" s="1804" t="s">
        <v>1042</v>
      </c>
      <c r="D191" s="1804"/>
      <c r="E191" s="1804"/>
      <c r="F191" s="1804"/>
      <c r="G191" s="1804"/>
      <c r="H191" s="1804"/>
      <c r="I191" s="1804"/>
      <c r="J191" s="1804"/>
    </row>
    <row r="192" spans="1:11" s="852" customFormat="1" x14ac:dyDescent="0.2">
      <c r="A192" s="851" t="s">
        <v>1043</v>
      </c>
      <c r="B192" s="904"/>
      <c r="C192" s="1805" t="s">
        <v>1044</v>
      </c>
      <c r="D192" s="1805"/>
      <c r="E192" s="1805"/>
      <c r="F192" s="1805"/>
      <c r="G192" s="1805"/>
      <c r="H192" s="1805"/>
      <c r="I192" s="1805"/>
      <c r="J192" s="1805"/>
      <c r="K192" s="1805"/>
    </row>
    <row r="193" spans="1:10" s="852" customFormat="1" x14ac:dyDescent="0.2">
      <c r="A193" s="904"/>
      <c r="B193" s="904"/>
      <c r="C193" s="1805" t="s">
        <v>1045</v>
      </c>
      <c r="D193" s="1805"/>
      <c r="E193" s="1805"/>
      <c r="F193" s="1805"/>
      <c r="G193" s="1805"/>
      <c r="H193" s="1805"/>
      <c r="I193" s="1805"/>
      <c r="J193" s="1805"/>
    </row>
    <row r="194" spans="1:10" s="852" customFormat="1" x14ac:dyDescent="0.2">
      <c r="A194" s="904"/>
      <c r="B194" s="904"/>
      <c r="C194" s="904"/>
      <c r="D194" s="904"/>
    </row>
  </sheetData>
  <sheetProtection algorithmName="SHA-512" hashValue="mxj6SairlTP94OySKw1eEK4ijcat+91VwUoV2XnU20TvLMqZ0huoh8A7av2ZyW9qNGyKUtcuOyVkgpfLLLuQ4w==" saltValue="xNZrApXPYwjScbhLSon7SA==" spinCount="100000" sheet="1" objects="1" scenarios="1"/>
  <mergeCells count="130">
    <mergeCell ref="A188:A189"/>
    <mergeCell ref="B188:B189"/>
    <mergeCell ref="K188:K189"/>
    <mergeCell ref="C191:J191"/>
    <mergeCell ref="C192:K192"/>
    <mergeCell ref="C193:J193"/>
    <mergeCell ref="A176:A177"/>
    <mergeCell ref="B176:B177"/>
    <mergeCell ref="A178:A180"/>
    <mergeCell ref="B178:B180"/>
    <mergeCell ref="A181:A186"/>
    <mergeCell ref="B181:B186"/>
    <mergeCell ref="A164:A168"/>
    <mergeCell ref="B164:B168"/>
    <mergeCell ref="K165:K168"/>
    <mergeCell ref="A169:A172"/>
    <mergeCell ref="B169:B172"/>
    <mergeCell ref="K170:K172"/>
    <mergeCell ref="A151:A158"/>
    <mergeCell ref="B151:B158"/>
    <mergeCell ref="K152:K158"/>
    <mergeCell ref="A159:A163"/>
    <mergeCell ref="B159:B163"/>
    <mergeCell ref="K160:K163"/>
    <mergeCell ref="A139:A142"/>
    <mergeCell ref="B139:B142"/>
    <mergeCell ref="A143:A145"/>
    <mergeCell ref="B143:B145"/>
    <mergeCell ref="A146:A149"/>
    <mergeCell ref="B146:B149"/>
    <mergeCell ref="A133:A136"/>
    <mergeCell ref="B133:B136"/>
    <mergeCell ref="K135:K136"/>
    <mergeCell ref="A137:A138"/>
    <mergeCell ref="B137:B138"/>
    <mergeCell ref="K137:K138"/>
    <mergeCell ref="A124:A126"/>
    <mergeCell ref="B124:B126"/>
    <mergeCell ref="A127:A129"/>
    <mergeCell ref="B127:B129"/>
    <mergeCell ref="K128:K129"/>
    <mergeCell ref="A130:A132"/>
    <mergeCell ref="B130:B132"/>
    <mergeCell ref="K130:K132"/>
    <mergeCell ref="A116:A120"/>
    <mergeCell ref="B116:B120"/>
    <mergeCell ref="K118:K120"/>
    <mergeCell ref="A121:A123"/>
    <mergeCell ref="B121:B123"/>
    <mergeCell ref="K122:K123"/>
    <mergeCell ref="A110:A113"/>
    <mergeCell ref="B110:B113"/>
    <mergeCell ref="K111:K113"/>
    <mergeCell ref="A114:A115"/>
    <mergeCell ref="B114:B115"/>
    <mergeCell ref="K114:K115"/>
    <mergeCell ref="A103:A106"/>
    <mergeCell ref="B103:B106"/>
    <mergeCell ref="K104:K106"/>
    <mergeCell ref="A107:A109"/>
    <mergeCell ref="B107:B109"/>
    <mergeCell ref="K108:K109"/>
    <mergeCell ref="A95:A97"/>
    <mergeCell ref="B95:B97"/>
    <mergeCell ref="K96:K97"/>
    <mergeCell ref="A98:A102"/>
    <mergeCell ref="B98:B102"/>
    <mergeCell ref="K99:K102"/>
    <mergeCell ref="A85:A89"/>
    <mergeCell ref="B85:B89"/>
    <mergeCell ref="K86:K89"/>
    <mergeCell ref="A90:A94"/>
    <mergeCell ref="B90:B94"/>
    <mergeCell ref="K91:K94"/>
    <mergeCell ref="A78:A81"/>
    <mergeCell ref="B78:B81"/>
    <mergeCell ref="K79:K81"/>
    <mergeCell ref="A82:A84"/>
    <mergeCell ref="B82:B84"/>
    <mergeCell ref="K83:K84"/>
    <mergeCell ref="A72:A74"/>
    <mergeCell ref="B72:B74"/>
    <mergeCell ref="K72:K74"/>
    <mergeCell ref="A75:A77"/>
    <mergeCell ref="B75:B77"/>
    <mergeCell ref="K76:K77"/>
    <mergeCell ref="A63:A68"/>
    <mergeCell ref="B63:B68"/>
    <mergeCell ref="K64:K68"/>
    <mergeCell ref="A69:A71"/>
    <mergeCell ref="B69:B71"/>
    <mergeCell ref="K70:K71"/>
    <mergeCell ref="A52:A55"/>
    <mergeCell ref="B52:B55"/>
    <mergeCell ref="K53:K55"/>
    <mergeCell ref="A56:A59"/>
    <mergeCell ref="B56:B59"/>
    <mergeCell ref="A61:A62"/>
    <mergeCell ref="B61:B62"/>
    <mergeCell ref="K61:K62"/>
    <mergeCell ref="A40:A45"/>
    <mergeCell ref="B40:B45"/>
    <mergeCell ref="K41:K45"/>
    <mergeCell ref="A46:A51"/>
    <mergeCell ref="B46:B51"/>
    <mergeCell ref="K47:K51"/>
    <mergeCell ref="A21:A28"/>
    <mergeCell ref="B21:B28"/>
    <mergeCell ref="A30:A31"/>
    <mergeCell ref="B30:B31"/>
    <mergeCell ref="K30:K31"/>
    <mergeCell ref="A32:A39"/>
    <mergeCell ref="B32:B39"/>
    <mergeCell ref="K33:K39"/>
    <mergeCell ref="J10:J11"/>
    <mergeCell ref="K10:K11"/>
    <mergeCell ref="A12:B12"/>
    <mergeCell ref="A13:A20"/>
    <mergeCell ref="B13:B20"/>
    <mergeCell ref="K14:K20"/>
    <mergeCell ref="A6:K6"/>
    <mergeCell ref="A7:B7"/>
    <mergeCell ref="C7:E7"/>
    <mergeCell ref="C9:E9"/>
    <mergeCell ref="A10:A11"/>
    <mergeCell ref="B10:B11"/>
    <mergeCell ref="C10:C11"/>
    <mergeCell ref="D10:E10"/>
    <mergeCell ref="F10:G10"/>
    <mergeCell ref="H10:I10"/>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118.pielikums Jūrmalas pilsētas domes
2017.gada 30.janvāra saistošajiem noteikumiem Nr.10
(Protokols Nr.4, 1.punkts)
 </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S13" sqref="S13"/>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1046</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7"/>
    </row>
    <row r="4" spans="1:17" ht="15.75" x14ac:dyDescent="0.25">
      <c r="A4" s="1560" t="s">
        <v>1</v>
      </c>
      <c r="B4" s="1561"/>
      <c r="C4" s="1561"/>
      <c r="D4" s="1561"/>
      <c r="E4" s="1561"/>
      <c r="F4" s="1561"/>
      <c r="G4" s="1561"/>
      <c r="H4" s="1561"/>
      <c r="I4" s="1561"/>
      <c r="J4" s="1561"/>
      <c r="K4" s="1561"/>
      <c r="L4" s="1561"/>
      <c r="M4" s="1561"/>
      <c r="N4" s="1561"/>
      <c r="O4" s="1561"/>
      <c r="P4" s="1562"/>
      <c r="Q4" s="7"/>
    </row>
    <row r="5" spans="1:17" x14ac:dyDescent="0.25">
      <c r="A5" s="8"/>
      <c r="B5" s="9"/>
      <c r="C5" s="10"/>
      <c r="D5" s="9"/>
      <c r="E5" s="9"/>
      <c r="F5" s="9"/>
      <c r="G5" s="9"/>
      <c r="H5" s="9"/>
      <c r="I5" s="9"/>
      <c r="J5" s="9"/>
      <c r="K5" s="9"/>
      <c r="L5" s="9"/>
      <c r="M5" s="9"/>
      <c r="N5" s="9"/>
      <c r="O5" s="11"/>
      <c r="P5" s="12"/>
      <c r="Q5" s="7"/>
    </row>
    <row r="6" spans="1:17" ht="12.75" x14ac:dyDescent="0.25">
      <c r="A6" s="13" t="s">
        <v>2</v>
      </c>
      <c r="B6" s="14"/>
      <c r="C6" s="1555" t="s">
        <v>1047</v>
      </c>
      <c r="D6" s="1555"/>
      <c r="E6" s="1555"/>
      <c r="F6" s="1555"/>
      <c r="G6" s="1555"/>
      <c r="H6" s="1555"/>
      <c r="I6" s="1555"/>
      <c r="J6" s="1555"/>
      <c r="K6" s="1555"/>
      <c r="L6" s="1555"/>
      <c r="M6" s="1555"/>
      <c r="N6" s="1555"/>
      <c r="O6" s="1555"/>
      <c r="P6" s="1556"/>
      <c r="Q6" s="7"/>
    </row>
    <row r="7" spans="1:17" ht="12.75" x14ac:dyDescent="0.25">
      <c r="A7" s="13" t="s">
        <v>4</v>
      </c>
      <c r="B7" s="14"/>
      <c r="C7" s="1555" t="s">
        <v>502</v>
      </c>
      <c r="D7" s="1555"/>
      <c r="E7" s="1555"/>
      <c r="F7" s="1555"/>
      <c r="G7" s="1555"/>
      <c r="H7" s="1555"/>
      <c r="I7" s="1555"/>
      <c r="J7" s="1555"/>
      <c r="K7" s="1555"/>
      <c r="L7" s="1555"/>
      <c r="M7" s="1555"/>
      <c r="N7" s="1555"/>
      <c r="O7" s="1555"/>
      <c r="P7" s="1556"/>
      <c r="Q7" s="7"/>
    </row>
    <row r="8" spans="1:17" x14ac:dyDescent="0.25">
      <c r="A8" s="8" t="s">
        <v>6</v>
      </c>
      <c r="B8" s="9"/>
      <c r="C8" s="1553" t="s">
        <v>1048</v>
      </c>
      <c r="D8" s="1553"/>
      <c r="E8" s="1553"/>
      <c r="F8" s="1553"/>
      <c r="G8" s="1553"/>
      <c r="H8" s="1553"/>
      <c r="I8" s="1553"/>
      <c r="J8" s="1553"/>
      <c r="K8" s="1553"/>
      <c r="L8" s="1553"/>
      <c r="M8" s="1553"/>
      <c r="N8" s="1553"/>
      <c r="O8" s="1553"/>
      <c r="P8" s="1554"/>
      <c r="Q8" s="7"/>
    </row>
    <row r="9" spans="1:17" x14ac:dyDescent="0.25">
      <c r="A9" s="8" t="s">
        <v>8</v>
      </c>
      <c r="B9" s="9"/>
      <c r="C9" s="1553" t="s">
        <v>1049</v>
      </c>
      <c r="D9" s="1553"/>
      <c r="E9" s="1553"/>
      <c r="F9" s="1553"/>
      <c r="G9" s="1553"/>
      <c r="H9" s="1553"/>
      <c r="I9" s="1553"/>
      <c r="J9" s="1553"/>
      <c r="K9" s="1553"/>
      <c r="L9" s="1553"/>
      <c r="M9" s="1553"/>
      <c r="N9" s="1553"/>
      <c r="O9" s="1553"/>
      <c r="P9" s="1554"/>
      <c r="Q9" s="7"/>
    </row>
    <row r="10" spans="1:17" x14ac:dyDescent="0.25">
      <c r="A10" s="8" t="s">
        <v>10</v>
      </c>
      <c r="B10" s="9"/>
      <c r="C10" s="1555" t="s">
        <v>1050</v>
      </c>
      <c r="D10" s="1555"/>
      <c r="E10" s="1555"/>
      <c r="F10" s="1555"/>
      <c r="G10" s="1555"/>
      <c r="H10" s="1555"/>
      <c r="I10" s="1555"/>
      <c r="J10" s="1555"/>
      <c r="K10" s="1555"/>
      <c r="L10" s="1555"/>
      <c r="M10" s="1555"/>
      <c r="N10" s="1555"/>
      <c r="O10" s="1555"/>
      <c r="P10" s="1556"/>
      <c r="Q10" s="7"/>
    </row>
    <row r="11" spans="1:17" x14ac:dyDescent="0.25">
      <c r="A11" s="8" t="s">
        <v>12</v>
      </c>
      <c r="B11" s="9"/>
      <c r="C11" s="1555"/>
      <c r="D11" s="1555"/>
      <c r="E11" s="1555"/>
      <c r="F11" s="1555"/>
      <c r="G11" s="1555"/>
      <c r="H11" s="1555"/>
      <c r="I11" s="1555"/>
      <c r="J11" s="1555"/>
      <c r="K11" s="1555"/>
      <c r="L11" s="1555"/>
      <c r="M11" s="1555"/>
      <c r="N11" s="1555"/>
      <c r="O11" s="1555"/>
      <c r="P11" s="1556"/>
      <c r="Q11" s="7"/>
    </row>
    <row r="12" spans="1:17" x14ac:dyDescent="0.25">
      <c r="A12" s="15" t="s">
        <v>14</v>
      </c>
      <c r="B12" s="9"/>
      <c r="C12" s="16"/>
      <c r="D12" s="16"/>
      <c r="E12" s="16"/>
      <c r="F12" s="16"/>
      <c r="G12" s="16"/>
      <c r="H12" s="16"/>
      <c r="I12" s="16"/>
      <c r="J12" s="16"/>
      <c r="K12" s="16"/>
      <c r="L12" s="16"/>
      <c r="M12" s="16"/>
      <c r="N12" s="16"/>
      <c r="O12" s="16"/>
      <c r="P12" s="17"/>
      <c r="Q12" s="7"/>
    </row>
    <row r="13" spans="1:17" x14ac:dyDescent="0.25">
      <c r="A13" s="8"/>
      <c r="B13" s="9" t="s">
        <v>15</v>
      </c>
      <c r="C13" s="1553" t="s">
        <v>1051</v>
      </c>
      <c r="D13" s="1553"/>
      <c r="E13" s="1553"/>
      <c r="F13" s="1553"/>
      <c r="G13" s="1553"/>
      <c r="H13" s="1553"/>
      <c r="I13" s="1553"/>
      <c r="J13" s="1553"/>
      <c r="K13" s="1553"/>
      <c r="L13" s="1553"/>
      <c r="M13" s="1553"/>
      <c r="N13" s="1553"/>
      <c r="O13" s="1553"/>
      <c r="P13" s="1554"/>
      <c r="Q13" s="7"/>
    </row>
    <row r="14" spans="1:17" x14ac:dyDescent="0.25">
      <c r="A14" s="8"/>
      <c r="B14" s="9" t="s">
        <v>17</v>
      </c>
      <c r="C14" s="1553"/>
      <c r="D14" s="1553"/>
      <c r="E14" s="1553"/>
      <c r="F14" s="1553"/>
      <c r="G14" s="1553"/>
      <c r="H14" s="1553"/>
      <c r="I14" s="1553"/>
      <c r="J14" s="1553"/>
      <c r="K14" s="1553"/>
      <c r="L14" s="1553"/>
      <c r="M14" s="1553"/>
      <c r="N14" s="1553"/>
      <c r="O14" s="1553"/>
      <c r="P14" s="1554"/>
      <c r="Q14" s="7"/>
    </row>
    <row r="15" spans="1:17" x14ac:dyDescent="0.25">
      <c r="A15" s="8"/>
      <c r="B15" s="9" t="s">
        <v>19</v>
      </c>
      <c r="C15" s="1553"/>
      <c r="D15" s="1553"/>
      <c r="E15" s="1553"/>
      <c r="F15" s="1553"/>
      <c r="G15" s="1553"/>
      <c r="H15" s="1553"/>
      <c r="I15" s="1553"/>
      <c r="J15" s="1553"/>
      <c r="K15" s="1553"/>
      <c r="L15" s="1553"/>
      <c r="M15" s="1553"/>
      <c r="N15" s="1553"/>
      <c r="O15" s="1553"/>
      <c r="P15" s="1554"/>
      <c r="Q15" s="7"/>
    </row>
    <row r="16" spans="1:17" x14ac:dyDescent="0.25">
      <c r="A16" s="8"/>
      <c r="B16" s="9" t="s">
        <v>20</v>
      </c>
      <c r="C16" s="1553"/>
      <c r="D16" s="1553"/>
      <c r="E16" s="1553"/>
      <c r="F16" s="1553"/>
      <c r="G16" s="1553"/>
      <c r="H16" s="1553"/>
      <c r="I16" s="1553"/>
      <c r="J16" s="1553"/>
      <c r="K16" s="1553"/>
      <c r="L16" s="1553"/>
      <c r="M16" s="1553"/>
      <c r="N16" s="1553"/>
      <c r="O16" s="1553"/>
      <c r="P16" s="1554"/>
      <c r="Q16" s="7"/>
    </row>
    <row r="17" spans="1:17" x14ac:dyDescent="0.25">
      <c r="A17" s="8"/>
      <c r="B17" s="9" t="s">
        <v>22</v>
      </c>
      <c r="C17" s="1553"/>
      <c r="D17" s="1553"/>
      <c r="E17" s="1553"/>
      <c r="F17" s="1553"/>
      <c r="G17" s="1553"/>
      <c r="H17" s="1553"/>
      <c r="I17" s="1553"/>
      <c r="J17" s="1553"/>
      <c r="K17" s="1553"/>
      <c r="L17" s="1553"/>
      <c r="M17" s="1553"/>
      <c r="N17" s="1553"/>
      <c r="O17" s="1553"/>
      <c r="P17" s="1554"/>
      <c r="Q17" s="7"/>
    </row>
    <row r="18" spans="1:17" x14ac:dyDescent="0.25">
      <c r="A18" s="18"/>
      <c r="B18" s="19"/>
      <c r="C18" s="1569"/>
      <c r="D18" s="1569"/>
      <c r="E18" s="1569"/>
      <c r="F18" s="1569"/>
      <c r="G18" s="1569"/>
      <c r="H18" s="1569"/>
      <c r="I18" s="1569"/>
      <c r="J18" s="1569"/>
      <c r="K18" s="1569"/>
      <c r="L18" s="1569"/>
      <c r="M18" s="1569"/>
      <c r="N18" s="1569"/>
      <c r="O18" s="1569"/>
      <c r="P18" s="1570"/>
      <c r="Q18" s="7"/>
    </row>
    <row r="19" spans="1:17"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17" s="20" customFormat="1" x14ac:dyDescent="0.25">
      <c r="A20" s="1572"/>
      <c r="B20" s="1575"/>
      <c r="C20" s="1580" t="s">
        <v>27</v>
      </c>
      <c r="D20" s="1565" t="s">
        <v>28</v>
      </c>
      <c r="E20" s="1582" t="s">
        <v>29</v>
      </c>
      <c r="F20" s="1584" t="s">
        <v>30</v>
      </c>
      <c r="G20" s="1565" t="s">
        <v>31</v>
      </c>
      <c r="H20" s="1567" t="s">
        <v>32</v>
      </c>
      <c r="I20" s="1563" t="s">
        <v>33</v>
      </c>
      <c r="J20" s="1565" t="s">
        <v>34</v>
      </c>
      <c r="K20" s="1567" t="s">
        <v>35</v>
      </c>
      <c r="L20" s="1563" t="s">
        <v>36</v>
      </c>
      <c r="M20" s="1565" t="s">
        <v>37</v>
      </c>
      <c r="N20" s="1567" t="s">
        <v>38</v>
      </c>
      <c r="O20" s="1563" t="s">
        <v>39</v>
      </c>
      <c r="P20" s="1575"/>
    </row>
    <row r="21" spans="1:17" s="21" customFormat="1" ht="70.5" customHeight="1" thickBot="1" x14ac:dyDescent="0.3">
      <c r="A21" s="1573"/>
      <c r="B21" s="1576"/>
      <c r="C21" s="1581"/>
      <c r="D21" s="1566"/>
      <c r="E21" s="1583"/>
      <c r="F21" s="1585"/>
      <c r="G21" s="1566"/>
      <c r="H21" s="1568"/>
      <c r="I21" s="1564"/>
      <c r="J21" s="1566"/>
      <c r="K21" s="1568"/>
      <c r="L21" s="1564"/>
      <c r="M21" s="1566"/>
      <c r="N21" s="1568"/>
      <c r="O21" s="1564"/>
      <c r="P21" s="1576"/>
    </row>
    <row r="22" spans="1:17" s="21" customFormat="1" ht="9" thickTop="1" x14ac:dyDescent="0.25">
      <c r="A22" s="22">
        <v>1</v>
      </c>
      <c r="B22" s="22">
        <v>2</v>
      </c>
      <c r="C22" s="22">
        <v>3</v>
      </c>
      <c r="D22" s="26">
        <v>4</v>
      </c>
      <c r="E22" s="25">
        <v>5</v>
      </c>
      <c r="F22" s="22">
        <v>6</v>
      </c>
      <c r="G22" s="24">
        <v>7</v>
      </c>
      <c r="H22" s="26">
        <v>8</v>
      </c>
      <c r="I22" s="27">
        <v>9</v>
      </c>
      <c r="J22" s="24">
        <v>10</v>
      </c>
      <c r="K22" s="28">
        <v>11</v>
      </c>
      <c r="L22" s="27">
        <v>12</v>
      </c>
      <c r="M22" s="28">
        <v>13</v>
      </c>
      <c r="N22" s="29">
        <v>14</v>
      </c>
      <c r="O22" s="27">
        <v>15</v>
      </c>
      <c r="P22" s="27">
        <v>16</v>
      </c>
    </row>
    <row r="23" spans="1:17" s="41" customFormat="1" x14ac:dyDescent="0.25">
      <c r="A23" s="30"/>
      <c r="B23" s="31" t="s">
        <v>41</v>
      </c>
      <c r="C23" s="35"/>
      <c r="D23" s="36"/>
      <c r="E23" s="34"/>
      <c r="F23" s="35"/>
      <c r="G23" s="33"/>
      <c r="H23" s="36"/>
      <c r="I23" s="37"/>
      <c r="J23" s="33"/>
      <c r="K23" s="38"/>
      <c r="L23" s="37"/>
      <c r="M23" s="38"/>
      <c r="N23" s="39"/>
      <c r="O23" s="37"/>
      <c r="P23" s="40"/>
    </row>
    <row r="24" spans="1:17" s="41" customFormat="1" ht="12.75" thickBot="1" x14ac:dyDescent="0.3">
      <c r="A24" s="42"/>
      <c r="B24" s="43" t="s">
        <v>42</v>
      </c>
      <c r="C24" s="47">
        <f>F24+I24+L24+O24</f>
        <v>46043</v>
      </c>
      <c r="D24" s="48">
        <f>SUM(D25,D28,D29,D45,D46)</f>
        <v>48865</v>
      </c>
      <c r="E24" s="46">
        <f>SUM(E25,E28,E29,E45,E46)</f>
        <v>-2822</v>
      </c>
      <c r="F24" s="47">
        <f t="shared" ref="F24:F29" si="0">D24+E24</f>
        <v>46043</v>
      </c>
      <c r="G24" s="45">
        <f>SUM(G25,G28,G46)</f>
        <v>0</v>
      </c>
      <c r="H24" s="48">
        <f>SUM(H25,H28,H46)</f>
        <v>0</v>
      </c>
      <c r="I24" s="49">
        <f>G24+H24</f>
        <v>0</v>
      </c>
      <c r="J24" s="45">
        <f>SUM(J25,J30,J46)</f>
        <v>0</v>
      </c>
      <c r="K24" s="48">
        <f>SUM(K25,K30,K46)</f>
        <v>0</v>
      </c>
      <c r="L24" s="49">
        <f>J24+K24</f>
        <v>0</v>
      </c>
      <c r="M24" s="50">
        <f>SUM(M25,M48)</f>
        <v>0</v>
      </c>
      <c r="N24" s="51">
        <f>SUM(N25,N48)</f>
        <v>0</v>
      </c>
      <c r="O24" s="49">
        <f>M24+N24</f>
        <v>0</v>
      </c>
      <c r="P24" s="52"/>
    </row>
    <row r="25" spans="1:17" ht="12.75" hidden="1" thickTop="1" x14ac:dyDescent="0.25">
      <c r="A25" s="54"/>
      <c r="B25" s="55" t="s">
        <v>43</v>
      </c>
      <c r="C25" s="59">
        <f>F25+I25+L25+O25</f>
        <v>0</v>
      </c>
      <c r="D25" s="60">
        <f>SUM(D26:D27)</f>
        <v>0</v>
      </c>
      <c r="E25" s="58">
        <f>SUM(E26:E27)</f>
        <v>0</v>
      </c>
      <c r="F25" s="59">
        <f t="shared" si="0"/>
        <v>0</v>
      </c>
      <c r="G25" s="57">
        <f>SUM(G26:G27)</f>
        <v>0</v>
      </c>
      <c r="H25" s="60">
        <f>SUM(H26:H27)</f>
        <v>0</v>
      </c>
      <c r="I25" s="61">
        <f>G25+H25</f>
        <v>0</v>
      </c>
      <c r="J25" s="57">
        <f>SUM(J26:J27)</f>
        <v>0</v>
      </c>
      <c r="K25" s="60">
        <f>SUM(K26:K27)</f>
        <v>0</v>
      </c>
      <c r="L25" s="61">
        <f>J25+K25</f>
        <v>0</v>
      </c>
      <c r="M25" s="62">
        <f>SUM(M26:M27)</f>
        <v>0</v>
      </c>
      <c r="N25" s="63">
        <f>SUM(N26:N27)</f>
        <v>0</v>
      </c>
      <c r="O25" s="61">
        <f>M25+N25</f>
        <v>0</v>
      </c>
      <c r="P25" s="64"/>
    </row>
    <row r="26" spans="1:17" ht="12.75" hidden="1" thickTop="1" x14ac:dyDescent="0.25">
      <c r="A26" s="65"/>
      <c r="B26" s="66" t="s">
        <v>44</v>
      </c>
      <c r="C26" s="625">
        <f>F26+I26+L26+O26</f>
        <v>0</v>
      </c>
      <c r="D26" s="71"/>
      <c r="E26" s="673"/>
      <c r="F26" s="625">
        <f t="shared" si="0"/>
        <v>0</v>
      </c>
      <c r="G26" s="68"/>
      <c r="H26" s="71"/>
      <c r="I26" s="72">
        <f>G26+H26</f>
        <v>0</v>
      </c>
      <c r="J26" s="68"/>
      <c r="K26" s="71"/>
      <c r="L26" s="72">
        <f>J26+K26</f>
        <v>0</v>
      </c>
      <c r="M26" s="73"/>
      <c r="N26" s="69"/>
      <c r="O26" s="72">
        <f>M26+N26</f>
        <v>0</v>
      </c>
      <c r="P26" s="74"/>
    </row>
    <row r="27" spans="1:17" ht="12.75" hidden="1" thickTop="1" x14ac:dyDescent="0.25">
      <c r="A27" s="75"/>
      <c r="B27" s="76" t="s">
        <v>45</v>
      </c>
      <c r="C27" s="80">
        <f>F27+I27+L27+O27</f>
        <v>0</v>
      </c>
      <c r="D27" s="81"/>
      <c r="E27" s="79"/>
      <c r="F27" s="80">
        <f t="shared" si="0"/>
        <v>0</v>
      </c>
      <c r="G27" s="78"/>
      <c r="H27" s="81"/>
      <c r="I27" s="82">
        <f>G27+H27</f>
        <v>0</v>
      </c>
      <c r="J27" s="78"/>
      <c r="K27" s="81"/>
      <c r="L27" s="82">
        <f>J27+K27</f>
        <v>0</v>
      </c>
      <c r="M27" s="83"/>
      <c r="N27" s="84"/>
      <c r="O27" s="82">
        <f>M27+N27</f>
        <v>0</v>
      </c>
      <c r="P27" s="85"/>
    </row>
    <row r="28" spans="1:17" s="41" customFormat="1" ht="25.5" thickTop="1" thickBot="1" x14ac:dyDescent="0.3">
      <c r="A28" s="86">
        <v>19300</v>
      </c>
      <c r="B28" s="86" t="s">
        <v>46</v>
      </c>
      <c r="C28" s="90">
        <f>SUM(F28,I28)</f>
        <v>46043</v>
      </c>
      <c r="D28" s="91">
        <f>D54</f>
        <v>48865</v>
      </c>
      <c r="E28" s="89">
        <f>E54</f>
        <v>-2822</v>
      </c>
      <c r="F28" s="90">
        <f t="shared" si="0"/>
        <v>46043</v>
      </c>
      <c r="G28" s="88"/>
      <c r="H28" s="91"/>
      <c r="I28" s="92">
        <f>G28+H28</f>
        <v>0</v>
      </c>
      <c r="J28" s="93" t="s">
        <v>47</v>
      </c>
      <c r="K28" s="94" t="s">
        <v>47</v>
      </c>
      <c r="L28" s="95" t="s">
        <v>47</v>
      </c>
      <c r="M28" s="96" t="s">
        <v>47</v>
      </c>
      <c r="N28" s="97" t="s">
        <v>47</v>
      </c>
      <c r="O28" s="95" t="s">
        <v>47</v>
      </c>
      <c r="P28" s="98" t="s">
        <v>1052</v>
      </c>
    </row>
    <row r="29" spans="1:17" s="41" customFormat="1" ht="34.5" hidden="1" customHeight="1" thickTop="1" x14ac:dyDescent="0.25">
      <c r="A29" s="99"/>
      <c r="B29" s="99" t="s">
        <v>48</v>
      </c>
      <c r="C29" s="249">
        <f>F29</f>
        <v>0</v>
      </c>
      <c r="D29" s="905"/>
      <c r="E29" s="665"/>
      <c r="F29" s="634">
        <f t="shared" si="0"/>
        <v>0</v>
      </c>
      <c r="G29" s="104" t="s">
        <v>47</v>
      </c>
      <c r="H29" s="105" t="s">
        <v>47</v>
      </c>
      <c r="I29" s="106" t="s">
        <v>47</v>
      </c>
      <c r="J29" s="104" t="s">
        <v>47</v>
      </c>
      <c r="K29" s="105" t="s">
        <v>47</v>
      </c>
      <c r="L29" s="106" t="s">
        <v>47</v>
      </c>
      <c r="M29" s="107" t="s">
        <v>47</v>
      </c>
      <c r="N29" s="108" t="s">
        <v>47</v>
      </c>
      <c r="O29" s="106" t="s">
        <v>47</v>
      </c>
      <c r="P29" s="109"/>
    </row>
    <row r="30" spans="1:17" s="41" customFormat="1" ht="36.75" hidden="1" thickTop="1" x14ac:dyDescent="0.25">
      <c r="A30" s="99">
        <v>21300</v>
      </c>
      <c r="B30" s="99" t="s">
        <v>49</v>
      </c>
      <c r="C30" s="249">
        <f t="shared" ref="C30:C44" si="1">L30</f>
        <v>0</v>
      </c>
      <c r="D30" s="105" t="s">
        <v>47</v>
      </c>
      <c r="E30" s="110" t="s">
        <v>47</v>
      </c>
      <c r="F30" s="111" t="s">
        <v>47</v>
      </c>
      <c r="G30" s="104" t="s">
        <v>47</v>
      </c>
      <c r="H30" s="105" t="s">
        <v>47</v>
      </c>
      <c r="I30" s="106" t="s">
        <v>47</v>
      </c>
      <c r="J30" s="112">
        <f>SUM(J31,J35,J37,J40)</f>
        <v>0</v>
      </c>
      <c r="K30" s="113">
        <f>SUM(K31,K35,K37,K40)</f>
        <v>0</v>
      </c>
      <c r="L30" s="114">
        <f t="shared" ref="L30:L44" si="2">J30+K30</f>
        <v>0</v>
      </c>
      <c r="M30" s="107" t="s">
        <v>47</v>
      </c>
      <c r="N30" s="108" t="s">
        <v>47</v>
      </c>
      <c r="O30" s="106" t="s">
        <v>47</v>
      </c>
      <c r="P30" s="109"/>
    </row>
    <row r="31" spans="1:17" s="41" customFormat="1" ht="24.75" hidden="1" thickTop="1" x14ac:dyDescent="0.25">
      <c r="A31" s="115">
        <v>21350</v>
      </c>
      <c r="B31" s="99" t="s">
        <v>50</v>
      </c>
      <c r="C31" s="249">
        <f t="shared" si="1"/>
        <v>0</v>
      </c>
      <c r="D31" s="105" t="s">
        <v>47</v>
      </c>
      <c r="E31" s="110" t="s">
        <v>47</v>
      </c>
      <c r="F31" s="111" t="s">
        <v>47</v>
      </c>
      <c r="G31" s="104" t="s">
        <v>47</v>
      </c>
      <c r="H31" s="105" t="s">
        <v>47</v>
      </c>
      <c r="I31" s="106" t="s">
        <v>47</v>
      </c>
      <c r="J31" s="112">
        <f>SUM(J32:J34)</f>
        <v>0</v>
      </c>
      <c r="K31" s="113">
        <f>SUM(K32:K34)</f>
        <v>0</v>
      </c>
      <c r="L31" s="114">
        <f t="shared" si="2"/>
        <v>0</v>
      </c>
      <c r="M31" s="107" t="s">
        <v>47</v>
      </c>
      <c r="N31" s="108" t="s">
        <v>47</v>
      </c>
      <c r="O31" s="106" t="s">
        <v>47</v>
      </c>
      <c r="P31" s="109"/>
    </row>
    <row r="32" spans="1:17" ht="12.75" hidden="1" thickTop="1" x14ac:dyDescent="0.25">
      <c r="A32" s="65">
        <v>21351</v>
      </c>
      <c r="B32" s="116" t="s">
        <v>51</v>
      </c>
      <c r="C32" s="296">
        <f t="shared" si="1"/>
        <v>0</v>
      </c>
      <c r="D32" s="121" t="s">
        <v>47</v>
      </c>
      <c r="E32" s="154" t="s">
        <v>47</v>
      </c>
      <c r="F32" s="155" t="s">
        <v>47</v>
      </c>
      <c r="G32" s="118" t="s">
        <v>47</v>
      </c>
      <c r="H32" s="121" t="s">
        <v>47</v>
      </c>
      <c r="I32" s="122" t="s">
        <v>47</v>
      </c>
      <c r="J32" s="123"/>
      <c r="K32" s="124"/>
      <c r="L32" s="125">
        <f t="shared" si="2"/>
        <v>0</v>
      </c>
      <c r="M32" s="126" t="s">
        <v>47</v>
      </c>
      <c r="N32" s="119" t="s">
        <v>47</v>
      </c>
      <c r="O32" s="122" t="s">
        <v>47</v>
      </c>
      <c r="P32" s="74"/>
    </row>
    <row r="33" spans="1:16" ht="12.75" hidden="1" thickTop="1" x14ac:dyDescent="0.25">
      <c r="A33" s="75">
        <v>21352</v>
      </c>
      <c r="B33" s="127" t="s">
        <v>52</v>
      </c>
      <c r="C33" s="279">
        <f t="shared" si="1"/>
        <v>0</v>
      </c>
      <c r="D33" s="132" t="s">
        <v>47</v>
      </c>
      <c r="E33" s="130" t="s">
        <v>47</v>
      </c>
      <c r="F33" s="131" t="s">
        <v>47</v>
      </c>
      <c r="G33" s="129" t="s">
        <v>47</v>
      </c>
      <c r="H33" s="132" t="s">
        <v>47</v>
      </c>
      <c r="I33" s="133" t="s">
        <v>47</v>
      </c>
      <c r="J33" s="134"/>
      <c r="K33" s="135"/>
      <c r="L33" s="136">
        <f t="shared" si="2"/>
        <v>0</v>
      </c>
      <c r="M33" s="137" t="s">
        <v>47</v>
      </c>
      <c r="N33" s="138" t="s">
        <v>47</v>
      </c>
      <c r="O33" s="133" t="s">
        <v>47</v>
      </c>
      <c r="P33" s="85"/>
    </row>
    <row r="34" spans="1:16" ht="24.75" hidden="1" thickTop="1" x14ac:dyDescent="0.25">
      <c r="A34" s="75">
        <v>21359</v>
      </c>
      <c r="B34" s="127" t="s">
        <v>53</v>
      </c>
      <c r="C34" s="279">
        <f t="shared" si="1"/>
        <v>0</v>
      </c>
      <c r="D34" s="132" t="s">
        <v>47</v>
      </c>
      <c r="E34" s="130" t="s">
        <v>47</v>
      </c>
      <c r="F34" s="131" t="s">
        <v>47</v>
      </c>
      <c r="G34" s="129" t="s">
        <v>47</v>
      </c>
      <c r="H34" s="132" t="s">
        <v>47</v>
      </c>
      <c r="I34" s="133" t="s">
        <v>47</v>
      </c>
      <c r="J34" s="134"/>
      <c r="K34" s="135"/>
      <c r="L34" s="136">
        <f t="shared" si="2"/>
        <v>0</v>
      </c>
      <c r="M34" s="137" t="s">
        <v>47</v>
      </c>
      <c r="N34" s="138" t="s">
        <v>47</v>
      </c>
      <c r="O34" s="133" t="s">
        <v>47</v>
      </c>
      <c r="P34" s="85"/>
    </row>
    <row r="35" spans="1:16" s="41" customFormat="1" ht="36.75" hidden="1" thickTop="1" x14ac:dyDescent="0.25">
      <c r="A35" s="115">
        <v>21370</v>
      </c>
      <c r="B35" s="99" t="s">
        <v>54</v>
      </c>
      <c r="C35" s="249">
        <f t="shared" si="1"/>
        <v>0</v>
      </c>
      <c r="D35" s="105" t="s">
        <v>47</v>
      </c>
      <c r="E35" s="110" t="s">
        <v>47</v>
      </c>
      <c r="F35" s="111" t="s">
        <v>47</v>
      </c>
      <c r="G35" s="104" t="s">
        <v>47</v>
      </c>
      <c r="H35" s="105" t="s">
        <v>47</v>
      </c>
      <c r="I35" s="106" t="s">
        <v>47</v>
      </c>
      <c r="J35" s="112">
        <f>SUM(J36)</f>
        <v>0</v>
      </c>
      <c r="K35" s="113">
        <f>SUM(K36)</f>
        <v>0</v>
      </c>
      <c r="L35" s="114">
        <f t="shared" si="2"/>
        <v>0</v>
      </c>
      <c r="M35" s="107" t="s">
        <v>47</v>
      </c>
      <c r="N35" s="108" t="s">
        <v>47</v>
      </c>
      <c r="O35" s="106" t="s">
        <v>47</v>
      </c>
      <c r="P35" s="109"/>
    </row>
    <row r="36" spans="1:16" ht="36.75" hidden="1" thickTop="1" x14ac:dyDescent="0.25">
      <c r="A36" s="141">
        <v>21379</v>
      </c>
      <c r="B36" s="142" t="s">
        <v>55</v>
      </c>
      <c r="C36" s="362">
        <f t="shared" si="1"/>
        <v>0</v>
      </c>
      <c r="D36" s="147" t="s">
        <v>47</v>
      </c>
      <c r="E36" s="668" t="s">
        <v>47</v>
      </c>
      <c r="F36" s="773" t="s">
        <v>47</v>
      </c>
      <c r="G36" s="144" t="s">
        <v>47</v>
      </c>
      <c r="H36" s="147" t="s">
        <v>47</v>
      </c>
      <c r="I36" s="148" t="s">
        <v>47</v>
      </c>
      <c r="J36" s="149"/>
      <c r="K36" s="150"/>
      <c r="L36" s="151">
        <f t="shared" si="2"/>
        <v>0</v>
      </c>
      <c r="M36" s="152" t="s">
        <v>47</v>
      </c>
      <c r="N36" s="145" t="s">
        <v>47</v>
      </c>
      <c r="O36" s="148" t="s">
        <v>47</v>
      </c>
      <c r="P36" s="153"/>
    </row>
    <row r="37" spans="1:16" s="41" customFormat="1" ht="12.75" hidden="1" thickTop="1" x14ac:dyDescent="0.25">
      <c r="A37" s="115">
        <v>21380</v>
      </c>
      <c r="B37" s="99" t="s">
        <v>56</v>
      </c>
      <c r="C37" s="249">
        <f t="shared" si="1"/>
        <v>0</v>
      </c>
      <c r="D37" s="105" t="s">
        <v>47</v>
      </c>
      <c r="E37" s="110" t="s">
        <v>47</v>
      </c>
      <c r="F37" s="111" t="s">
        <v>47</v>
      </c>
      <c r="G37" s="104" t="s">
        <v>47</v>
      </c>
      <c r="H37" s="105" t="s">
        <v>47</v>
      </c>
      <c r="I37" s="106" t="s">
        <v>47</v>
      </c>
      <c r="J37" s="112">
        <f>SUM(J38:J39)</f>
        <v>0</v>
      </c>
      <c r="K37" s="113">
        <f>SUM(K38:K39)</f>
        <v>0</v>
      </c>
      <c r="L37" s="114">
        <f t="shared" si="2"/>
        <v>0</v>
      </c>
      <c r="M37" s="107" t="s">
        <v>47</v>
      </c>
      <c r="N37" s="108" t="s">
        <v>47</v>
      </c>
      <c r="O37" s="106" t="s">
        <v>47</v>
      </c>
      <c r="P37" s="109"/>
    </row>
    <row r="38" spans="1:16" ht="12.75" hidden="1" thickTop="1" x14ac:dyDescent="0.25">
      <c r="A38" s="66">
        <v>21381</v>
      </c>
      <c r="B38" s="116" t="s">
        <v>57</v>
      </c>
      <c r="C38" s="296">
        <f t="shared" si="1"/>
        <v>0</v>
      </c>
      <c r="D38" s="121" t="s">
        <v>47</v>
      </c>
      <c r="E38" s="154" t="s">
        <v>47</v>
      </c>
      <c r="F38" s="155" t="s">
        <v>47</v>
      </c>
      <c r="G38" s="118" t="s">
        <v>47</v>
      </c>
      <c r="H38" s="121" t="s">
        <v>47</v>
      </c>
      <c r="I38" s="122" t="s">
        <v>47</v>
      </c>
      <c r="J38" s="123"/>
      <c r="K38" s="124"/>
      <c r="L38" s="125">
        <f t="shared" si="2"/>
        <v>0</v>
      </c>
      <c r="M38" s="126" t="s">
        <v>47</v>
      </c>
      <c r="N38" s="119" t="s">
        <v>47</v>
      </c>
      <c r="O38" s="122" t="s">
        <v>47</v>
      </c>
      <c r="P38" s="74"/>
    </row>
    <row r="39" spans="1:16" ht="24.75" hidden="1" thickTop="1" x14ac:dyDescent="0.25">
      <c r="A39" s="76">
        <v>21383</v>
      </c>
      <c r="B39" s="127" t="s">
        <v>58</v>
      </c>
      <c r="C39" s="279">
        <f t="shared" si="1"/>
        <v>0</v>
      </c>
      <c r="D39" s="132" t="s">
        <v>47</v>
      </c>
      <c r="E39" s="130" t="s">
        <v>47</v>
      </c>
      <c r="F39" s="131" t="s">
        <v>47</v>
      </c>
      <c r="G39" s="129" t="s">
        <v>47</v>
      </c>
      <c r="H39" s="132" t="s">
        <v>47</v>
      </c>
      <c r="I39" s="133" t="s">
        <v>47</v>
      </c>
      <c r="J39" s="134"/>
      <c r="K39" s="135"/>
      <c r="L39" s="136">
        <f t="shared" si="2"/>
        <v>0</v>
      </c>
      <c r="M39" s="137" t="s">
        <v>47</v>
      </c>
      <c r="N39" s="138" t="s">
        <v>47</v>
      </c>
      <c r="O39" s="133" t="s">
        <v>47</v>
      </c>
      <c r="P39" s="85"/>
    </row>
    <row r="40" spans="1:16" s="41" customFormat="1" ht="24.75" hidden="1" thickTop="1" x14ac:dyDescent="0.25">
      <c r="A40" s="115">
        <v>21390</v>
      </c>
      <c r="B40" s="99" t="s">
        <v>59</v>
      </c>
      <c r="C40" s="249">
        <f t="shared" si="1"/>
        <v>0</v>
      </c>
      <c r="D40" s="105" t="s">
        <v>47</v>
      </c>
      <c r="E40" s="110" t="s">
        <v>47</v>
      </c>
      <c r="F40" s="111" t="s">
        <v>47</v>
      </c>
      <c r="G40" s="104" t="s">
        <v>47</v>
      </c>
      <c r="H40" s="105" t="s">
        <v>47</v>
      </c>
      <c r="I40" s="106" t="s">
        <v>47</v>
      </c>
      <c r="J40" s="112">
        <f>SUM(J41:J44)</f>
        <v>0</v>
      </c>
      <c r="K40" s="113">
        <f>SUM(K41:K44)</f>
        <v>0</v>
      </c>
      <c r="L40" s="114">
        <f t="shared" si="2"/>
        <v>0</v>
      </c>
      <c r="M40" s="107" t="s">
        <v>47</v>
      </c>
      <c r="N40" s="108" t="s">
        <v>47</v>
      </c>
      <c r="O40" s="106" t="s">
        <v>47</v>
      </c>
      <c r="P40" s="109"/>
    </row>
    <row r="41" spans="1:16" ht="24.75" hidden="1" thickTop="1" x14ac:dyDescent="0.25">
      <c r="A41" s="66">
        <v>21391</v>
      </c>
      <c r="B41" s="116" t="s">
        <v>60</v>
      </c>
      <c r="C41" s="296">
        <f t="shared" si="1"/>
        <v>0</v>
      </c>
      <c r="D41" s="121" t="s">
        <v>47</v>
      </c>
      <c r="E41" s="154" t="s">
        <v>47</v>
      </c>
      <c r="F41" s="155" t="s">
        <v>47</v>
      </c>
      <c r="G41" s="118" t="s">
        <v>47</v>
      </c>
      <c r="H41" s="121" t="s">
        <v>47</v>
      </c>
      <c r="I41" s="122" t="s">
        <v>47</v>
      </c>
      <c r="J41" s="123"/>
      <c r="K41" s="124"/>
      <c r="L41" s="125">
        <f t="shared" si="2"/>
        <v>0</v>
      </c>
      <c r="M41" s="126" t="s">
        <v>47</v>
      </c>
      <c r="N41" s="119" t="s">
        <v>47</v>
      </c>
      <c r="O41" s="122" t="s">
        <v>47</v>
      </c>
      <c r="P41" s="74"/>
    </row>
    <row r="42" spans="1:16" ht="12.75" hidden="1" thickTop="1" x14ac:dyDescent="0.25">
      <c r="A42" s="76">
        <v>21393</v>
      </c>
      <c r="B42" s="127" t="s">
        <v>61</v>
      </c>
      <c r="C42" s="279">
        <f t="shared" si="1"/>
        <v>0</v>
      </c>
      <c r="D42" s="132" t="s">
        <v>47</v>
      </c>
      <c r="E42" s="130" t="s">
        <v>47</v>
      </c>
      <c r="F42" s="131" t="s">
        <v>47</v>
      </c>
      <c r="G42" s="129" t="s">
        <v>47</v>
      </c>
      <c r="H42" s="132" t="s">
        <v>47</v>
      </c>
      <c r="I42" s="133" t="s">
        <v>47</v>
      </c>
      <c r="J42" s="134"/>
      <c r="K42" s="135"/>
      <c r="L42" s="136">
        <f t="shared" si="2"/>
        <v>0</v>
      </c>
      <c r="M42" s="137" t="s">
        <v>47</v>
      </c>
      <c r="N42" s="138" t="s">
        <v>47</v>
      </c>
      <c r="O42" s="133" t="s">
        <v>47</v>
      </c>
      <c r="P42" s="85"/>
    </row>
    <row r="43" spans="1:16" ht="12.75" hidden="1" thickTop="1" x14ac:dyDescent="0.25">
      <c r="A43" s="76">
        <v>21395</v>
      </c>
      <c r="B43" s="127" t="s">
        <v>62</v>
      </c>
      <c r="C43" s="279">
        <f t="shared" si="1"/>
        <v>0</v>
      </c>
      <c r="D43" s="132" t="s">
        <v>47</v>
      </c>
      <c r="E43" s="130" t="s">
        <v>47</v>
      </c>
      <c r="F43" s="131" t="s">
        <v>47</v>
      </c>
      <c r="G43" s="129" t="s">
        <v>47</v>
      </c>
      <c r="H43" s="132" t="s">
        <v>47</v>
      </c>
      <c r="I43" s="133" t="s">
        <v>47</v>
      </c>
      <c r="J43" s="134"/>
      <c r="K43" s="135"/>
      <c r="L43" s="136">
        <f t="shared" si="2"/>
        <v>0</v>
      </c>
      <c r="M43" s="137" t="s">
        <v>47</v>
      </c>
      <c r="N43" s="138" t="s">
        <v>47</v>
      </c>
      <c r="O43" s="133" t="s">
        <v>47</v>
      </c>
      <c r="P43" s="85"/>
    </row>
    <row r="44" spans="1:16" ht="24.75" hidden="1" thickTop="1" x14ac:dyDescent="0.25">
      <c r="A44" s="76">
        <v>21399</v>
      </c>
      <c r="B44" s="127" t="s">
        <v>63</v>
      </c>
      <c r="C44" s="279">
        <f t="shared" si="1"/>
        <v>0</v>
      </c>
      <c r="D44" s="132" t="s">
        <v>47</v>
      </c>
      <c r="E44" s="130" t="s">
        <v>47</v>
      </c>
      <c r="F44" s="131" t="s">
        <v>47</v>
      </c>
      <c r="G44" s="129" t="s">
        <v>47</v>
      </c>
      <c r="H44" s="132" t="s">
        <v>47</v>
      </c>
      <c r="I44" s="133" t="s">
        <v>47</v>
      </c>
      <c r="J44" s="134"/>
      <c r="K44" s="135"/>
      <c r="L44" s="136">
        <f t="shared" si="2"/>
        <v>0</v>
      </c>
      <c r="M44" s="137" t="s">
        <v>47</v>
      </c>
      <c r="N44" s="138" t="s">
        <v>47</v>
      </c>
      <c r="O44" s="133" t="s">
        <v>47</v>
      </c>
      <c r="P44" s="85"/>
    </row>
    <row r="45" spans="1:16" s="41" customFormat="1" ht="24.75" hidden="1" thickTop="1" x14ac:dyDescent="0.25">
      <c r="A45" s="115">
        <v>21420</v>
      </c>
      <c r="B45" s="99" t="s">
        <v>64</v>
      </c>
      <c r="C45" s="634">
        <f>F45</f>
        <v>0</v>
      </c>
      <c r="D45" s="906"/>
      <c r="E45" s="702"/>
      <c r="F45" s="634">
        <f>D45+E45</f>
        <v>0</v>
      </c>
      <c r="G45" s="104" t="s">
        <v>47</v>
      </c>
      <c r="H45" s="105" t="s">
        <v>47</v>
      </c>
      <c r="I45" s="106" t="s">
        <v>47</v>
      </c>
      <c r="J45" s="104" t="s">
        <v>47</v>
      </c>
      <c r="K45" s="105" t="s">
        <v>47</v>
      </c>
      <c r="L45" s="106" t="s">
        <v>47</v>
      </c>
      <c r="M45" s="107" t="s">
        <v>47</v>
      </c>
      <c r="N45" s="108" t="s">
        <v>47</v>
      </c>
      <c r="O45" s="106" t="s">
        <v>47</v>
      </c>
      <c r="P45" s="109"/>
    </row>
    <row r="46" spans="1:16" s="41" customFormat="1" ht="24.75" hidden="1" thickTop="1" x14ac:dyDescent="0.25">
      <c r="A46" s="159">
        <v>21490</v>
      </c>
      <c r="B46" s="160" t="s">
        <v>65</v>
      </c>
      <c r="C46" s="634">
        <f>F46+I46+L46</f>
        <v>0</v>
      </c>
      <c r="D46" s="164">
        <f>D47</f>
        <v>0</v>
      </c>
      <c r="E46" s="672">
        <f>E47</f>
        <v>0</v>
      </c>
      <c r="F46" s="774">
        <f>D46+E46</f>
        <v>0</v>
      </c>
      <c r="G46" s="161">
        <f>G47</f>
        <v>0</v>
      </c>
      <c r="H46" s="164">
        <f t="shared" ref="H46:K46" si="3">H47</f>
        <v>0</v>
      </c>
      <c r="I46" s="165">
        <f>G46+H46</f>
        <v>0</v>
      </c>
      <c r="J46" s="161">
        <f>J47</f>
        <v>0</v>
      </c>
      <c r="K46" s="164">
        <f t="shared" si="3"/>
        <v>0</v>
      </c>
      <c r="L46" s="165">
        <f>J46+K46</f>
        <v>0</v>
      </c>
      <c r="M46" s="107" t="s">
        <v>47</v>
      </c>
      <c r="N46" s="108" t="s">
        <v>47</v>
      </c>
      <c r="O46" s="106" t="s">
        <v>47</v>
      </c>
      <c r="P46" s="109"/>
    </row>
    <row r="47" spans="1:16" s="41" customFormat="1" ht="24.75" hidden="1" thickTop="1" x14ac:dyDescent="0.25">
      <c r="A47" s="76">
        <v>21499</v>
      </c>
      <c r="B47" s="127" t="s">
        <v>66</v>
      </c>
      <c r="C47" s="638">
        <f>F47+I47+L47</f>
        <v>0</v>
      </c>
      <c r="D47" s="71"/>
      <c r="E47" s="673"/>
      <c r="F47" s="625">
        <f>D47+E47</f>
        <v>0</v>
      </c>
      <c r="G47" s="167"/>
      <c r="H47" s="71"/>
      <c r="I47" s="72">
        <f>G47+H47</f>
        <v>0</v>
      </c>
      <c r="J47" s="68"/>
      <c r="K47" s="71"/>
      <c r="L47" s="72">
        <f>J47+K47</f>
        <v>0</v>
      </c>
      <c r="M47" s="152" t="s">
        <v>47</v>
      </c>
      <c r="N47" s="145" t="s">
        <v>47</v>
      </c>
      <c r="O47" s="148" t="s">
        <v>47</v>
      </c>
      <c r="P47" s="153"/>
    </row>
    <row r="48" spans="1:16" ht="24.75" hidden="1" thickTop="1" x14ac:dyDescent="0.25">
      <c r="A48" s="168">
        <v>23000</v>
      </c>
      <c r="B48" s="169" t="s">
        <v>67</v>
      </c>
      <c r="C48" s="634">
        <f>O48</f>
        <v>0</v>
      </c>
      <c r="D48" s="173" t="s">
        <v>47</v>
      </c>
      <c r="E48" s="669" t="s">
        <v>47</v>
      </c>
      <c r="F48" s="907" t="s">
        <v>47</v>
      </c>
      <c r="G48" s="170" t="s">
        <v>47</v>
      </c>
      <c r="H48" s="173" t="s">
        <v>47</v>
      </c>
      <c r="I48" s="174" t="s">
        <v>47</v>
      </c>
      <c r="J48" s="170" t="s">
        <v>47</v>
      </c>
      <c r="K48" s="173" t="s">
        <v>47</v>
      </c>
      <c r="L48" s="174" t="s">
        <v>47</v>
      </c>
      <c r="M48" s="175">
        <f>SUM(M49:M50)</f>
        <v>0</v>
      </c>
      <c r="N48" s="176">
        <f>SUM(N49:N50)</f>
        <v>0</v>
      </c>
      <c r="O48" s="177">
        <f>M48+N48</f>
        <v>0</v>
      </c>
      <c r="P48" s="109"/>
    </row>
    <row r="49" spans="1:16" ht="24.75" hidden="1" thickTop="1" x14ac:dyDescent="0.25">
      <c r="A49" s="178">
        <v>23410</v>
      </c>
      <c r="B49" s="179" t="s">
        <v>68</v>
      </c>
      <c r="C49" s="194">
        <f>O49</f>
        <v>0</v>
      </c>
      <c r="D49" s="184" t="s">
        <v>47</v>
      </c>
      <c r="E49" s="674" t="s">
        <v>47</v>
      </c>
      <c r="F49" s="908" t="s">
        <v>47</v>
      </c>
      <c r="G49" s="181" t="s">
        <v>47</v>
      </c>
      <c r="H49" s="184" t="s">
        <v>47</v>
      </c>
      <c r="I49" s="185" t="s">
        <v>47</v>
      </c>
      <c r="J49" s="181" t="s">
        <v>47</v>
      </c>
      <c r="K49" s="184" t="s">
        <v>47</v>
      </c>
      <c r="L49" s="185" t="s">
        <v>47</v>
      </c>
      <c r="M49" s="186"/>
      <c r="N49" s="187"/>
      <c r="O49" s="188">
        <f>M49+N49</f>
        <v>0</v>
      </c>
      <c r="P49" s="189"/>
    </row>
    <row r="50" spans="1:16" ht="24.75" hidden="1" thickTop="1" x14ac:dyDescent="0.25">
      <c r="A50" s="178">
        <v>23510</v>
      </c>
      <c r="B50" s="179" t="s">
        <v>69</v>
      </c>
      <c r="C50" s="194">
        <f>O50</f>
        <v>0</v>
      </c>
      <c r="D50" s="184" t="s">
        <v>47</v>
      </c>
      <c r="E50" s="674" t="s">
        <v>47</v>
      </c>
      <c r="F50" s="908" t="s">
        <v>47</v>
      </c>
      <c r="G50" s="181" t="s">
        <v>47</v>
      </c>
      <c r="H50" s="184" t="s">
        <v>47</v>
      </c>
      <c r="I50" s="185" t="s">
        <v>47</v>
      </c>
      <c r="J50" s="181" t="s">
        <v>47</v>
      </c>
      <c r="K50" s="184" t="s">
        <v>47</v>
      </c>
      <c r="L50" s="185" t="s">
        <v>47</v>
      </c>
      <c r="M50" s="186"/>
      <c r="N50" s="187"/>
      <c r="O50" s="188">
        <f>M50+N50</f>
        <v>0</v>
      </c>
      <c r="P50" s="189"/>
    </row>
    <row r="51" spans="1:16" ht="12.75" thickTop="1" x14ac:dyDescent="0.25">
      <c r="A51" s="190"/>
      <c r="B51" s="179"/>
      <c r="C51" s="257"/>
      <c r="D51" s="184"/>
      <c r="E51" s="193"/>
      <c r="F51" s="194"/>
      <c r="G51" s="192"/>
      <c r="H51" s="195"/>
      <c r="I51" s="185"/>
      <c r="J51" s="196"/>
      <c r="K51" s="197"/>
      <c r="L51" s="188"/>
      <c r="M51" s="186"/>
      <c r="N51" s="187"/>
      <c r="O51" s="188"/>
      <c r="P51" s="189"/>
    </row>
    <row r="52" spans="1:16" s="41" customFormat="1" x14ac:dyDescent="0.25">
      <c r="A52" s="198"/>
      <c r="B52" s="199" t="s">
        <v>70</v>
      </c>
      <c r="C52" s="640"/>
      <c r="D52" s="909"/>
      <c r="E52" s="202"/>
      <c r="F52" s="203"/>
      <c r="G52" s="201"/>
      <c r="H52" s="204"/>
      <c r="I52" s="205"/>
      <c r="J52" s="201"/>
      <c r="K52" s="204"/>
      <c r="L52" s="205"/>
      <c r="M52" s="206"/>
      <c r="N52" s="207"/>
      <c r="O52" s="205"/>
      <c r="P52" s="208"/>
    </row>
    <row r="53" spans="1:16" s="41" customFormat="1" ht="12.75" thickBot="1" x14ac:dyDescent="0.3">
      <c r="A53" s="209"/>
      <c r="B53" s="42" t="s">
        <v>71</v>
      </c>
      <c r="C53" s="213">
        <f t="shared" ref="C53:C116" si="4">F53+I53+L53+O53</f>
        <v>46043</v>
      </c>
      <c r="D53" s="214">
        <f>SUM(D54,D284)</f>
        <v>48865</v>
      </c>
      <c r="E53" s="212">
        <f>SUM(E54,E284)</f>
        <v>-2822</v>
      </c>
      <c r="F53" s="213">
        <f t="shared" ref="F53:F117" si="5">D53+E53</f>
        <v>46043</v>
      </c>
      <c r="G53" s="211">
        <f>SUM(G54,G284)</f>
        <v>0</v>
      </c>
      <c r="H53" s="214">
        <f>SUM(H54,H284)</f>
        <v>0</v>
      </c>
      <c r="I53" s="215">
        <f t="shared" ref="I53:I117" si="6">G53+H53</f>
        <v>0</v>
      </c>
      <c r="J53" s="211">
        <f>SUM(J54,J284)</f>
        <v>0</v>
      </c>
      <c r="K53" s="214">
        <f>SUM(K54,K284)</f>
        <v>0</v>
      </c>
      <c r="L53" s="215">
        <f t="shared" ref="L53:L117" si="7">J53+K53</f>
        <v>0</v>
      </c>
      <c r="M53" s="216">
        <f>SUM(M54,M284)</f>
        <v>0</v>
      </c>
      <c r="N53" s="217">
        <f>SUM(N54,N284)</f>
        <v>0</v>
      </c>
      <c r="O53" s="215">
        <f t="shared" ref="O53:O117" si="8">M53+N53</f>
        <v>0</v>
      </c>
      <c r="P53" s="52"/>
    </row>
    <row r="54" spans="1:16" s="41" customFormat="1" ht="36.75" thickTop="1" x14ac:dyDescent="0.25">
      <c r="A54" s="218"/>
      <c r="B54" s="219" t="s">
        <v>72</v>
      </c>
      <c r="C54" s="223">
        <f t="shared" si="4"/>
        <v>46043</v>
      </c>
      <c r="D54" s="224">
        <f>SUM(D55,D197)</f>
        <v>48865</v>
      </c>
      <c r="E54" s="222">
        <f>SUM(E55,E197)</f>
        <v>-2822</v>
      </c>
      <c r="F54" s="223">
        <f t="shared" si="5"/>
        <v>46043</v>
      </c>
      <c r="G54" s="221">
        <f>SUM(G55,G197)</f>
        <v>0</v>
      </c>
      <c r="H54" s="224">
        <f>SUM(H55,H197)</f>
        <v>0</v>
      </c>
      <c r="I54" s="225">
        <f t="shared" si="6"/>
        <v>0</v>
      </c>
      <c r="J54" s="221">
        <f>SUM(J55,J197)</f>
        <v>0</v>
      </c>
      <c r="K54" s="224">
        <f>SUM(K55,K197)</f>
        <v>0</v>
      </c>
      <c r="L54" s="225">
        <f t="shared" si="7"/>
        <v>0</v>
      </c>
      <c r="M54" s="226">
        <f>SUM(M55,M197)</f>
        <v>0</v>
      </c>
      <c r="N54" s="227">
        <f>SUM(N55,N197)</f>
        <v>0</v>
      </c>
      <c r="O54" s="225">
        <f t="shared" si="8"/>
        <v>0</v>
      </c>
      <c r="P54" s="228"/>
    </row>
    <row r="55" spans="1:16" s="41" customFormat="1" ht="24" x14ac:dyDescent="0.25">
      <c r="A55" s="35"/>
      <c r="B55" s="30" t="s">
        <v>73</v>
      </c>
      <c r="C55" s="232">
        <f t="shared" si="4"/>
        <v>46043</v>
      </c>
      <c r="D55" s="233">
        <f>SUM(D56,D78,D176,D190)</f>
        <v>48865</v>
      </c>
      <c r="E55" s="231">
        <f>SUM(E56,E78,E176,E190)</f>
        <v>-2822</v>
      </c>
      <c r="F55" s="232">
        <f t="shared" si="5"/>
        <v>46043</v>
      </c>
      <c r="G55" s="230">
        <f>SUM(G56,G78,G176,G190)</f>
        <v>0</v>
      </c>
      <c r="H55" s="233">
        <f>SUM(H56,H78,H176,H190)</f>
        <v>0</v>
      </c>
      <c r="I55" s="234">
        <f t="shared" si="6"/>
        <v>0</v>
      </c>
      <c r="J55" s="230">
        <f>SUM(J56,J78,J176,J190)</f>
        <v>0</v>
      </c>
      <c r="K55" s="233">
        <f>SUM(K56,K78,K176,K190)</f>
        <v>0</v>
      </c>
      <c r="L55" s="234">
        <f t="shared" si="7"/>
        <v>0</v>
      </c>
      <c r="M55" s="53">
        <f>SUM(M56,M78,M176,M190)</f>
        <v>0</v>
      </c>
      <c r="N55" s="235">
        <f>SUM(N56,N78,N176,N190)</f>
        <v>0</v>
      </c>
      <c r="O55" s="234">
        <f t="shared" si="8"/>
        <v>0</v>
      </c>
      <c r="P55" s="236"/>
    </row>
    <row r="56" spans="1:16" s="41" customFormat="1" hidden="1" x14ac:dyDescent="0.25">
      <c r="A56" s="237">
        <v>1000</v>
      </c>
      <c r="B56" s="237" t="s">
        <v>74</v>
      </c>
      <c r="C56" s="241">
        <f t="shared" si="4"/>
        <v>0</v>
      </c>
      <c r="D56" s="469">
        <f>SUM(D57,D70)</f>
        <v>0</v>
      </c>
      <c r="E56" s="240">
        <f>SUM(E57,E70)</f>
        <v>0</v>
      </c>
      <c r="F56" s="241">
        <f t="shared" si="5"/>
        <v>0</v>
      </c>
      <c r="G56" s="239">
        <f>SUM(G57,G70)</f>
        <v>0</v>
      </c>
      <c r="H56" s="242">
        <f>SUM(H57,H70)</f>
        <v>0</v>
      </c>
      <c r="I56" s="243">
        <f t="shared" si="6"/>
        <v>0</v>
      </c>
      <c r="J56" s="239">
        <f>SUM(J57,J70)</f>
        <v>0</v>
      </c>
      <c r="K56" s="242">
        <f>SUM(K57,K70)</f>
        <v>0</v>
      </c>
      <c r="L56" s="243">
        <f t="shared" si="7"/>
        <v>0</v>
      </c>
      <c r="M56" s="244">
        <f>SUM(M57,M70)</f>
        <v>0</v>
      </c>
      <c r="N56" s="245">
        <f>SUM(N57,N70)</f>
        <v>0</v>
      </c>
      <c r="O56" s="243">
        <f t="shared" si="8"/>
        <v>0</v>
      </c>
      <c r="P56" s="246"/>
    </row>
    <row r="57" spans="1:16" hidden="1" x14ac:dyDescent="0.25">
      <c r="A57" s="99">
        <v>1100</v>
      </c>
      <c r="B57" s="247" t="s">
        <v>75</v>
      </c>
      <c r="C57" s="249">
        <f t="shared" si="4"/>
        <v>0</v>
      </c>
      <c r="D57" s="113">
        <f>SUM(D58,D61,D69)</f>
        <v>0</v>
      </c>
      <c r="E57" s="248">
        <f>SUM(E58,E61,E69)</f>
        <v>0</v>
      </c>
      <c r="F57" s="249">
        <f t="shared" si="5"/>
        <v>0</v>
      </c>
      <c r="G57" s="112">
        <f>SUM(G58,G61,G69)</f>
        <v>0</v>
      </c>
      <c r="H57" s="113">
        <f>SUM(H58,H61,H69)</f>
        <v>0</v>
      </c>
      <c r="I57" s="114">
        <f t="shared" si="6"/>
        <v>0</v>
      </c>
      <c r="J57" s="112">
        <f>SUM(J58,J61,J69)</f>
        <v>0</v>
      </c>
      <c r="K57" s="113">
        <f>SUM(K58,K61,K69)</f>
        <v>0</v>
      </c>
      <c r="L57" s="114">
        <f t="shared" si="7"/>
        <v>0</v>
      </c>
      <c r="M57" s="250">
        <f>SUM(M58,M61,M69)</f>
        <v>0</v>
      </c>
      <c r="N57" s="251">
        <f>SUM(N58,N61,N69)</f>
        <v>0</v>
      </c>
      <c r="O57" s="252">
        <f t="shared" si="8"/>
        <v>0</v>
      </c>
      <c r="P57" s="253"/>
    </row>
    <row r="58" spans="1:16" hidden="1" x14ac:dyDescent="0.25">
      <c r="A58" s="254">
        <v>1110</v>
      </c>
      <c r="B58" s="179" t="s">
        <v>76</v>
      </c>
      <c r="C58" s="257">
        <f t="shared" si="4"/>
        <v>0</v>
      </c>
      <c r="D58" s="258">
        <f>SUM(D59:D60)</f>
        <v>0</v>
      </c>
      <c r="E58" s="256">
        <f>SUM(E59:E60)</f>
        <v>0</v>
      </c>
      <c r="F58" s="257">
        <f t="shared" si="5"/>
        <v>0</v>
      </c>
      <c r="G58" s="255">
        <f>SUM(G59:G60)</f>
        <v>0</v>
      </c>
      <c r="H58" s="258">
        <f>SUM(H59:H60)</f>
        <v>0</v>
      </c>
      <c r="I58" s="259">
        <f t="shared" si="6"/>
        <v>0</v>
      </c>
      <c r="J58" s="255">
        <f>SUM(J59:J60)</f>
        <v>0</v>
      </c>
      <c r="K58" s="258">
        <f>SUM(K59:K60)</f>
        <v>0</v>
      </c>
      <c r="L58" s="259">
        <f t="shared" si="7"/>
        <v>0</v>
      </c>
      <c r="M58" s="260">
        <f>SUM(M59:M60)</f>
        <v>0</v>
      </c>
      <c r="N58" s="261">
        <f>SUM(N59:N60)</f>
        <v>0</v>
      </c>
      <c r="O58" s="259">
        <f t="shared" si="8"/>
        <v>0</v>
      </c>
      <c r="P58" s="189"/>
    </row>
    <row r="59" spans="1:16" hidden="1" x14ac:dyDescent="0.25">
      <c r="A59" s="66">
        <v>1111</v>
      </c>
      <c r="B59" s="116" t="s">
        <v>77</v>
      </c>
      <c r="C59" s="296">
        <f t="shared" si="4"/>
        <v>0</v>
      </c>
      <c r="D59" s="124"/>
      <c r="E59" s="295"/>
      <c r="F59" s="296">
        <f t="shared" si="5"/>
        <v>0</v>
      </c>
      <c r="G59" s="123"/>
      <c r="H59" s="124"/>
      <c r="I59" s="125">
        <f t="shared" si="6"/>
        <v>0</v>
      </c>
      <c r="J59" s="123"/>
      <c r="K59" s="124"/>
      <c r="L59" s="125">
        <f t="shared" si="7"/>
        <v>0</v>
      </c>
      <c r="M59" s="264"/>
      <c r="N59" s="262"/>
      <c r="O59" s="125">
        <f t="shared" si="8"/>
        <v>0</v>
      </c>
      <c r="P59" s="74"/>
    </row>
    <row r="60" spans="1:16" ht="24" hidden="1" x14ac:dyDescent="0.25">
      <c r="A60" s="76">
        <v>1119</v>
      </c>
      <c r="B60" s="127" t="s">
        <v>78</v>
      </c>
      <c r="C60" s="279">
        <f t="shared" si="4"/>
        <v>0</v>
      </c>
      <c r="D60" s="135"/>
      <c r="E60" s="283"/>
      <c r="F60" s="279">
        <f t="shared" si="5"/>
        <v>0</v>
      </c>
      <c r="G60" s="134"/>
      <c r="H60" s="135"/>
      <c r="I60" s="136">
        <f t="shared" si="6"/>
        <v>0</v>
      </c>
      <c r="J60" s="134"/>
      <c r="K60" s="135"/>
      <c r="L60" s="136">
        <f t="shared" si="7"/>
        <v>0</v>
      </c>
      <c r="M60" s="284"/>
      <c r="N60" s="285"/>
      <c r="O60" s="136">
        <f t="shared" si="8"/>
        <v>0</v>
      </c>
      <c r="P60" s="85"/>
    </row>
    <row r="61" spans="1:16" ht="24" hidden="1" x14ac:dyDescent="0.25">
      <c r="A61" s="276">
        <v>1140</v>
      </c>
      <c r="B61" s="127" t="s">
        <v>79</v>
      </c>
      <c r="C61" s="279">
        <f t="shared" si="4"/>
        <v>0</v>
      </c>
      <c r="D61" s="280">
        <f>SUM(D62:D68)</f>
        <v>0</v>
      </c>
      <c r="E61" s="278">
        <f>SUM(E62:E68)</f>
        <v>0</v>
      </c>
      <c r="F61" s="279">
        <f>D61+E61</f>
        <v>0</v>
      </c>
      <c r="G61" s="277">
        <f>SUM(G62:G68)</f>
        <v>0</v>
      </c>
      <c r="H61" s="280">
        <f>SUM(H62:H68)</f>
        <v>0</v>
      </c>
      <c r="I61" s="136">
        <f t="shared" si="6"/>
        <v>0</v>
      </c>
      <c r="J61" s="277">
        <f>SUM(J62:J68)</f>
        <v>0</v>
      </c>
      <c r="K61" s="280">
        <f>SUM(K62:K68)</f>
        <v>0</v>
      </c>
      <c r="L61" s="136">
        <f t="shared" si="7"/>
        <v>0</v>
      </c>
      <c r="M61" s="281">
        <f>SUM(M62:M68)</f>
        <v>0</v>
      </c>
      <c r="N61" s="282">
        <f>SUM(N62:N68)</f>
        <v>0</v>
      </c>
      <c r="O61" s="136">
        <f t="shared" si="8"/>
        <v>0</v>
      </c>
      <c r="P61" s="85"/>
    </row>
    <row r="62" spans="1:16" hidden="1" x14ac:dyDescent="0.25">
      <c r="A62" s="76">
        <v>1141</v>
      </c>
      <c r="B62" s="127" t="s">
        <v>80</v>
      </c>
      <c r="C62" s="279">
        <f t="shared" si="4"/>
        <v>0</v>
      </c>
      <c r="D62" s="135"/>
      <c r="E62" s="283"/>
      <c r="F62" s="279">
        <f t="shared" si="5"/>
        <v>0</v>
      </c>
      <c r="G62" s="134"/>
      <c r="H62" s="135"/>
      <c r="I62" s="136">
        <f t="shared" si="6"/>
        <v>0</v>
      </c>
      <c r="J62" s="134"/>
      <c r="K62" s="135"/>
      <c r="L62" s="136">
        <f t="shared" si="7"/>
        <v>0</v>
      </c>
      <c r="M62" s="284"/>
      <c r="N62" s="285"/>
      <c r="O62" s="136">
        <f t="shared" si="8"/>
        <v>0</v>
      </c>
      <c r="P62" s="85"/>
    </row>
    <row r="63" spans="1:16" ht="24" hidden="1" x14ac:dyDescent="0.25">
      <c r="A63" s="76">
        <v>1142</v>
      </c>
      <c r="B63" s="127" t="s">
        <v>81</v>
      </c>
      <c r="C63" s="279">
        <f t="shared" si="4"/>
        <v>0</v>
      </c>
      <c r="D63" s="135"/>
      <c r="E63" s="283"/>
      <c r="F63" s="279">
        <f t="shared" si="5"/>
        <v>0</v>
      </c>
      <c r="G63" s="134"/>
      <c r="H63" s="135"/>
      <c r="I63" s="136">
        <f t="shared" si="6"/>
        <v>0</v>
      </c>
      <c r="J63" s="134"/>
      <c r="K63" s="135"/>
      <c r="L63" s="136">
        <f t="shared" si="7"/>
        <v>0</v>
      </c>
      <c r="M63" s="284"/>
      <c r="N63" s="285"/>
      <c r="O63" s="136">
        <f t="shared" si="8"/>
        <v>0</v>
      </c>
      <c r="P63" s="85"/>
    </row>
    <row r="64" spans="1:16" ht="24" hidden="1" x14ac:dyDescent="0.25">
      <c r="A64" s="76">
        <v>1145</v>
      </c>
      <c r="B64" s="127" t="s">
        <v>82</v>
      </c>
      <c r="C64" s="279">
        <f t="shared" si="4"/>
        <v>0</v>
      </c>
      <c r="D64" s="135"/>
      <c r="E64" s="283"/>
      <c r="F64" s="279">
        <f t="shared" si="5"/>
        <v>0</v>
      </c>
      <c r="G64" s="134"/>
      <c r="H64" s="135"/>
      <c r="I64" s="136">
        <f t="shared" si="6"/>
        <v>0</v>
      </c>
      <c r="J64" s="134"/>
      <c r="K64" s="135"/>
      <c r="L64" s="136">
        <f t="shared" si="7"/>
        <v>0</v>
      </c>
      <c r="M64" s="284"/>
      <c r="N64" s="285"/>
      <c r="O64" s="136">
        <f t="shared" si="8"/>
        <v>0</v>
      </c>
      <c r="P64" s="85"/>
    </row>
    <row r="65" spans="1:16" ht="24" hidden="1" x14ac:dyDescent="0.25">
      <c r="A65" s="76">
        <v>1146</v>
      </c>
      <c r="B65" s="127" t="s">
        <v>83</v>
      </c>
      <c r="C65" s="279">
        <f t="shared" si="4"/>
        <v>0</v>
      </c>
      <c r="D65" s="135"/>
      <c r="E65" s="283"/>
      <c r="F65" s="279">
        <f t="shared" si="5"/>
        <v>0</v>
      </c>
      <c r="G65" s="134"/>
      <c r="H65" s="135"/>
      <c r="I65" s="136">
        <f t="shared" si="6"/>
        <v>0</v>
      </c>
      <c r="J65" s="134"/>
      <c r="K65" s="135"/>
      <c r="L65" s="136">
        <f t="shared" si="7"/>
        <v>0</v>
      </c>
      <c r="M65" s="284"/>
      <c r="N65" s="285"/>
      <c r="O65" s="136">
        <f t="shared" si="8"/>
        <v>0</v>
      </c>
      <c r="P65" s="85"/>
    </row>
    <row r="66" spans="1:16" hidden="1" x14ac:dyDescent="0.25">
      <c r="A66" s="76">
        <v>1147</v>
      </c>
      <c r="B66" s="127" t="s">
        <v>84</v>
      </c>
      <c r="C66" s="279">
        <f t="shared" si="4"/>
        <v>0</v>
      </c>
      <c r="D66" s="135"/>
      <c r="E66" s="283"/>
      <c r="F66" s="279">
        <f t="shared" si="5"/>
        <v>0</v>
      </c>
      <c r="G66" s="134"/>
      <c r="H66" s="135"/>
      <c r="I66" s="136">
        <f t="shared" si="6"/>
        <v>0</v>
      </c>
      <c r="J66" s="134"/>
      <c r="K66" s="135"/>
      <c r="L66" s="136">
        <f t="shared" si="7"/>
        <v>0</v>
      </c>
      <c r="M66" s="284"/>
      <c r="N66" s="285"/>
      <c r="O66" s="136">
        <f t="shared" si="8"/>
        <v>0</v>
      </c>
      <c r="P66" s="85"/>
    </row>
    <row r="67" spans="1:16" hidden="1" x14ac:dyDescent="0.25">
      <c r="A67" s="76">
        <v>1148</v>
      </c>
      <c r="B67" s="127" t="s">
        <v>85</v>
      </c>
      <c r="C67" s="279">
        <f t="shared" si="4"/>
        <v>0</v>
      </c>
      <c r="D67" s="135"/>
      <c r="E67" s="283"/>
      <c r="F67" s="279">
        <f t="shared" si="5"/>
        <v>0</v>
      </c>
      <c r="G67" s="134"/>
      <c r="H67" s="135"/>
      <c r="I67" s="136">
        <f t="shared" si="6"/>
        <v>0</v>
      </c>
      <c r="J67" s="134"/>
      <c r="K67" s="135"/>
      <c r="L67" s="136">
        <f t="shared" si="7"/>
        <v>0</v>
      </c>
      <c r="M67" s="284"/>
      <c r="N67" s="285"/>
      <c r="O67" s="136">
        <f t="shared" si="8"/>
        <v>0</v>
      </c>
      <c r="P67" s="85"/>
    </row>
    <row r="68" spans="1:16" ht="36" hidden="1" x14ac:dyDescent="0.25">
      <c r="A68" s="76">
        <v>1149</v>
      </c>
      <c r="B68" s="127" t="s">
        <v>86</v>
      </c>
      <c r="C68" s="279">
        <f t="shared" si="4"/>
        <v>0</v>
      </c>
      <c r="D68" s="135"/>
      <c r="E68" s="283"/>
      <c r="F68" s="279">
        <f t="shared" si="5"/>
        <v>0</v>
      </c>
      <c r="G68" s="134"/>
      <c r="H68" s="135"/>
      <c r="I68" s="136">
        <f t="shared" si="6"/>
        <v>0</v>
      </c>
      <c r="J68" s="134"/>
      <c r="K68" s="135"/>
      <c r="L68" s="136">
        <f t="shared" si="7"/>
        <v>0</v>
      </c>
      <c r="M68" s="284"/>
      <c r="N68" s="285"/>
      <c r="O68" s="136">
        <f t="shared" si="8"/>
        <v>0</v>
      </c>
      <c r="P68" s="85"/>
    </row>
    <row r="69" spans="1:16" ht="36" hidden="1" x14ac:dyDescent="0.25">
      <c r="A69" s="254">
        <v>1150</v>
      </c>
      <c r="B69" s="179" t="s">
        <v>87</v>
      </c>
      <c r="C69" s="279">
        <f t="shared" si="4"/>
        <v>0</v>
      </c>
      <c r="D69" s="289"/>
      <c r="E69" s="288"/>
      <c r="F69" s="257">
        <f t="shared" si="5"/>
        <v>0</v>
      </c>
      <c r="G69" s="287"/>
      <c r="H69" s="289"/>
      <c r="I69" s="259">
        <f t="shared" si="6"/>
        <v>0</v>
      </c>
      <c r="J69" s="287"/>
      <c r="K69" s="289"/>
      <c r="L69" s="259">
        <f t="shared" si="7"/>
        <v>0</v>
      </c>
      <c r="M69" s="290"/>
      <c r="N69" s="291"/>
      <c r="O69" s="259">
        <f t="shared" si="8"/>
        <v>0</v>
      </c>
      <c r="P69" s="189"/>
    </row>
    <row r="70" spans="1:16" ht="36" hidden="1" x14ac:dyDescent="0.25">
      <c r="A70" s="99">
        <v>1200</v>
      </c>
      <c r="B70" s="247" t="s">
        <v>88</v>
      </c>
      <c r="C70" s="249">
        <f t="shared" si="4"/>
        <v>0</v>
      </c>
      <c r="D70" s="113">
        <f>SUM(D71:D72)</f>
        <v>0</v>
      </c>
      <c r="E70" s="248">
        <f>SUM(E71:E72)</f>
        <v>0</v>
      </c>
      <c r="F70" s="249">
        <f>D70+E70</f>
        <v>0</v>
      </c>
      <c r="G70" s="112">
        <f>SUM(G71:G72)</f>
        <v>0</v>
      </c>
      <c r="H70" s="113">
        <f>SUM(H71:H72)</f>
        <v>0</v>
      </c>
      <c r="I70" s="114">
        <f t="shared" si="6"/>
        <v>0</v>
      </c>
      <c r="J70" s="112">
        <f>SUM(J71:J72)</f>
        <v>0</v>
      </c>
      <c r="K70" s="113">
        <f>SUM(K71:K72)</f>
        <v>0</v>
      </c>
      <c r="L70" s="114">
        <f t="shared" si="7"/>
        <v>0</v>
      </c>
      <c r="M70" s="292">
        <f>SUM(M71:M72)</f>
        <v>0</v>
      </c>
      <c r="N70" s="293">
        <f>SUM(N71:N72)</f>
        <v>0</v>
      </c>
      <c r="O70" s="114">
        <f t="shared" si="8"/>
        <v>0</v>
      </c>
      <c r="P70" s="109"/>
    </row>
    <row r="71" spans="1:16" ht="24" hidden="1" x14ac:dyDescent="0.25">
      <c r="A71" s="656">
        <v>1210</v>
      </c>
      <c r="B71" s="116" t="s">
        <v>89</v>
      </c>
      <c r="C71" s="296">
        <f t="shared" si="4"/>
        <v>0</v>
      </c>
      <c r="D71" s="124"/>
      <c r="E71" s="295"/>
      <c r="F71" s="296">
        <f t="shared" si="5"/>
        <v>0</v>
      </c>
      <c r="G71" s="123"/>
      <c r="H71" s="124"/>
      <c r="I71" s="125">
        <f t="shared" si="6"/>
        <v>0</v>
      </c>
      <c r="J71" s="123"/>
      <c r="K71" s="124"/>
      <c r="L71" s="125">
        <f t="shared" si="7"/>
        <v>0</v>
      </c>
      <c r="M71" s="264"/>
      <c r="N71" s="262"/>
      <c r="O71" s="125">
        <f t="shared" si="8"/>
        <v>0</v>
      </c>
      <c r="P71" s="74"/>
    </row>
    <row r="72" spans="1:16" ht="24" hidden="1" x14ac:dyDescent="0.25">
      <c r="A72" s="276">
        <v>1220</v>
      </c>
      <c r="B72" s="127" t="s">
        <v>90</v>
      </c>
      <c r="C72" s="279">
        <f t="shared" si="4"/>
        <v>0</v>
      </c>
      <c r="D72" s="280">
        <f>SUM(D73:D77)</f>
        <v>0</v>
      </c>
      <c r="E72" s="278">
        <f>SUM(E73:E77)</f>
        <v>0</v>
      </c>
      <c r="F72" s="279">
        <f t="shared" si="5"/>
        <v>0</v>
      </c>
      <c r="G72" s="277">
        <f>SUM(G73:G77)</f>
        <v>0</v>
      </c>
      <c r="H72" s="280">
        <f>SUM(H73:H77)</f>
        <v>0</v>
      </c>
      <c r="I72" s="136">
        <f t="shared" si="6"/>
        <v>0</v>
      </c>
      <c r="J72" s="277">
        <f>SUM(J73:J77)</f>
        <v>0</v>
      </c>
      <c r="K72" s="280">
        <f>SUM(K73:K77)</f>
        <v>0</v>
      </c>
      <c r="L72" s="136">
        <f t="shared" si="7"/>
        <v>0</v>
      </c>
      <c r="M72" s="281">
        <f>SUM(M73:M77)</f>
        <v>0</v>
      </c>
      <c r="N72" s="282">
        <f>SUM(N73:N77)</f>
        <v>0</v>
      </c>
      <c r="O72" s="136">
        <f t="shared" si="8"/>
        <v>0</v>
      </c>
      <c r="P72" s="85"/>
    </row>
    <row r="73" spans="1:16" ht="60" hidden="1" x14ac:dyDescent="0.25">
      <c r="A73" s="76">
        <v>1221</v>
      </c>
      <c r="B73" s="127" t="s">
        <v>91</v>
      </c>
      <c r="C73" s="279">
        <f t="shared" si="4"/>
        <v>0</v>
      </c>
      <c r="D73" s="135"/>
      <c r="E73" s="283"/>
      <c r="F73" s="279">
        <f t="shared" si="5"/>
        <v>0</v>
      </c>
      <c r="G73" s="134"/>
      <c r="H73" s="135"/>
      <c r="I73" s="136">
        <f t="shared" si="6"/>
        <v>0</v>
      </c>
      <c r="J73" s="134"/>
      <c r="K73" s="135"/>
      <c r="L73" s="136">
        <f t="shared" si="7"/>
        <v>0</v>
      </c>
      <c r="M73" s="284"/>
      <c r="N73" s="285"/>
      <c r="O73" s="136">
        <f t="shared" si="8"/>
        <v>0</v>
      </c>
      <c r="P73" s="85"/>
    </row>
    <row r="74" spans="1:16" hidden="1" x14ac:dyDescent="0.25">
      <c r="A74" s="76">
        <v>1223</v>
      </c>
      <c r="B74" s="127" t="s">
        <v>92</v>
      </c>
      <c r="C74" s="279">
        <f t="shared" si="4"/>
        <v>0</v>
      </c>
      <c r="D74" s="135"/>
      <c r="E74" s="283"/>
      <c r="F74" s="279">
        <f t="shared" si="5"/>
        <v>0</v>
      </c>
      <c r="G74" s="134"/>
      <c r="H74" s="135"/>
      <c r="I74" s="136">
        <f t="shared" si="6"/>
        <v>0</v>
      </c>
      <c r="J74" s="134"/>
      <c r="K74" s="135"/>
      <c r="L74" s="136">
        <f t="shared" si="7"/>
        <v>0</v>
      </c>
      <c r="M74" s="284"/>
      <c r="N74" s="285"/>
      <c r="O74" s="136">
        <f t="shared" si="8"/>
        <v>0</v>
      </c>
      <c r="P74" s="85"/>
    </row>
    <row r="75" spans="1:16" hidden="1" x14ac:dyDescent="0.25">
      <c r="A75" s="76">
        <v>1225</v>
      </c>
      <c r="B75" s="127" t="s">
        <v>93</v>
      </c>
      <c r="C75" s="279">
        <f t="shared" si="4"/>
        <v>0</v>
      </c>
      <c r="D75" s="135"/>
      <c r="E75" s="283"/>
      <c r="F75" s="279">
        <f t="shared" si="5"/>
        <v>0</v>
      </c>
      <c r="G75" s="134"/>
      <c r="H75" s="135"/>
      <c r="I75" s="136">
        <f t="shared" si="6"/>
        <v>0</v>
      </c>
      <c r="J75" s="134"/>
      <c r="K75" s="135"/>
      <c r="L75" s="136">
        <f t="shared" si="7"/>
        <v>0</v>
      </c>
      <c r="M75" s="284"/>
      <c r="N75" s="285"/>
      <c r="O75" s="136">
        <f t="shared" si="8"/>
        <v>0</v>
      </c>
      <c r="P75" s="85"/>
    </row>
    <row r="76" spans="1:16" ht="36" hidden="1" x14ac:dyDescent="0.25">
      <c r="A76" s="76">
        <v>1227</v>
      </c>
      <c r="B76" s="127" t="s">
        <v>94</v>
      </c>
      <c r="C76" s="279">
        <f t="shared" si="4"/>
        <v>0</v>
      </c>
      <c r="D76" s="135"/>
      <c r="E76" s="283"/>
      <c r="F76" s="279">
        <f t="shared" si="5"/>
        <v>0</v>
      </c>
      <c r="G76" s="134"/>
      <c r="H76" s="135"/>
      <c r="I76" s="136">
        <f t="shared" si="6"/>
        <v>0</v>
      </c>
      <c r="J76" s="134"/>
      <c r="K76" s="135"/>
      <c r="L76" s="136">
        <f t="shared" si="7"/>
        <v>0</v>
      </c>
      <c r="M76" s="284"/>
      <c r="N76" s="285"/>
      <c r="O76" s="136">
        <f t="shared" si="8"/>
        <v>0</v>
      </c>
      <c r="P76" s="85"/>
    </row>
    <row r="77" spans="1:16" ht="60" hidden="1" x14ac:dyDescent="0.25">
      <c r="A77" s="76">
        <v>1228</v>
      </c>
      <c r="B77" s="127" t="s">
        <v>95</v>
      </c>
      <c r="C77" s="279">
        <f t="shared" si="4"/>
        <v>0</v>
      </c>
      <c r="D77" s="135"/>
      <c r="E77" s="283"/>
      <c r="F77" s="279">
        <f t="shared" si="5"/>
        <v>0</v>
      </c>
      <c r="G77" s="134"/>
      <c r="H77" s="135"/>
      <c r="I77" s="136">
        <f t="shared" si="6"/>
        <v>0</v>
      </c>
      <c r="J77" s="134"/>
      <c r="K77" s="135"/>
      <c r="L77" s="136">
        <f t="shared" si="7"/>
        <v>0</v>
      </c>
      <c r="M77" s="284"/>
      <c r="N77" s="285"/>
      <c r="O77" s="136">
        <f t="shared" si="8"/>
        <v>0</v>
      </c>
      <c r="P77" s="85"/>
    </row>
    <row r="78" spans="1:16" x14ac:dyDescent="0.25">
      <c r="A78" s="237">
        <v>2000</v>
      </c>
      <c r="B78" s="237" t="s">
        <v>96</v>
      </c>
      <c r="C78" s="241">
        <f t="shared" si="4"/>
        <v>46043</v>
      </c>
      <c r="D78" s="469">
        <f>SUM(D79,D86,D133,D167,D168,D175)</f>
        <v>48865</v>
      </c>
      <c r="E78" s="240">
        <f>SUM(E79,E86,E133,E167,E168,E175)</f>
        <v>-2822</v>
      </c>
      <c r="F78" s="241">
        <f t="shared" si="5"/>
        <v>46043</v>
      </c>
      <c r="G78" s="239">
        <f>SUM(G79,G86,G133,G167,G168,G175)</f>
        <v>0</v>
      </c>
      <c r="H78" s="242">
        <f>SUM(H79,H86,H133,H167,H168,H175)</f>
        <v>0</v>
      </c>
      <c r="I78" s="243">
        <f t="shared" si="6"/>
        <v>0</v>
      </c>
      <c r="J78" s="239">
        <f>SUM(J79,J86,J133,J167,J168,J175)</f>
        <v>0</v>
      </c>
      <c r="K78" s="242">
        <f>SUM(K79,K86,K133,K167,K168,K175)</f>
        <v>0</v>
      </c>
      <c r="L78" s="243">
        <f t="shared" si="7"/>
        <v>0</v>
      </c>
      <c r="M78" s="244">
        <f>SUM(M79,M86,M133,M167,M168,M175)</f>
        <v>0</v>
      </c>
      <c r="N78" s="245">
        <f>SUM(N79,N86,N133,N167,N168,N175)</f>
        <v>0</v>
      </c>
      <c r="O78" s="243">
        <f t="shared" si="8"/>
        <v>0</v>
      </c>
      <c r="P78" s="246"/>
    </row>
    <row r="79" spans="1:16" ht="24" hidden="1" x14ac:dyDescent="0.25">
      <c r="A79" s="99">
        <v>2100</v>
      </c>
      <c r="B79" s="247" t="s">
        <v>97</v>
      </c>
      <c r="C79" s="249">
        <f t="shared" si="4"/>
        <v>0</v>
      </c>
      <c r="D79" s="113">
        <f>SUM(D80,D83)</f>
        <v>0</v>
      </c>
      <c r="E79" s="248">
        <f>SUM(E80,E83)</f>
        <v>0</v>
      </c>
      <c r="F79" s="249">
        <f t="shared" si="5"/>
        <v>0</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row>
    <row r="80" spans="1:16" ht="24" hidden="1" x14ac:dyDescent="0.25">
      <c r="A80" s="656">
        <v>2110</v>
      </c>
      <c r="B80" s="116" t="s">
        <v>98</v>
      </c>
      <c r="C80" s="296">
        <f t="shared" si="4"/>
        <v>0</v>
      </c>
      <c r="D80" s="299">
        <f>SUM(D81:D82)</f>
        <v>0</v>
      </c>
      <c r="E80" s="298">
        <f>SUM(E81:E82)</f>
        <v>0</v>
      </c>
      <c r="F80" s="296">
        <f t="shared" si="5"/>
        <v>0</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row>
    <row r="81" spans="1:16" hidden="1" x14ac:dyDescent="0.25">
      <c r="A81" s="76">
        <v>2111</v>
      </c>
      <c r="B81" s="127" t="s">
        <v>99</v>
      </c>
      <c r="C81" s="279">
        <f t="shared" si="4"/>
        <v>0</v>
      </c>
      <c r="D81" s="135"/>
      <c r="E81" s="283"/>
      <c r="F81" s="279">
        <f t="shared" si="5"/>
        <v>0</v>
      </c>
      <c r="G81" s="134"/>
      <c r="H81" s="135"/>
      <c r="I81" s="136">
        <f t="shared" si="6"/>
        <v>0</v>
      </c>
      <c r="J81" s="134"/>
      <c r="K81" s="135"/>
      <c r="L81" s="136">
        <f t="shared" si="7"/>
        <v>0</v>
      </c>
      <c r="M81" s="284"/>
      <c r="N81" s="285"/>
      <c r="O81" s="136">
        <f t="shared" si="8"/>
        <v>0</v>
      </c>
      <c r="P81" s="85"/>
    </row>
    <row r="82" spans="1:16" ht="24" hidden="1" x14ac:dyDescent="0.25">
      <c r="A82" s="76">
        <v>2112</v>
      </c>
      <c r="B82" s="127" t="s">
        <v>100</v>
      </c>
      <c r="C82" s="279">
        <f t="shared" si="4"/>
        <v>0</v>
      </c>
      <c r="D82" s="135"/>
      <c r="E82" s="283"/>
      <c r="F82" s="279">
        <f t="shared" si="5"/>
        <v>0</v>
      </c>
      <c r="G82" s="134"/>
      <c r="H82" s="135"/>
      <c r="I82" s="136">
        <f t="shared" si="6"/>
        <v>0</v>
      </c>
      <c r="J82" s="134"/>
      <c r="K82" s="135"/>
      <c r="L82" s="136">
        <f t="shared" si="7"/>
        <v>0</v>
      </c>
      <c r="M82" s="284"/>
      <c r="N82" s="285"/>
      <c r="O82" s="136">
        <f t="shared" si="8"/>
        <v>0</v>
      </c>
      <c r="P82" s="85"/>
    </row>
    <row r="83" spans="1:16" ht="24" hidden="1" x14ac:dyDescent="0.25">
      <c r="A83" s="276">
        <v>2120</v>
      </c>
      <c r="B83" s="127" t="s">
        <v>101</v>
      </c>
      <c r="C83" s="279">
        <f t="shared" si="4"/>
        <v>0</v>
      </c>
      <c r="D83" s="280">
        <f>SUM(D84:D85)</f>
        <v>0</v>
      </c>
      <c r="E83" s="278">
        <f>SUM(E84:E85)</f>
        <v>0</v>
      </c>
      <c r="F83" s="279">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row>
    <row r="84" spans="1:16" hidden="1" x14ac:dyDescent="0.25">
      <c r="A84" s="76">
        <v>2121</v>
      </c>
      <c r="B84" s="127" t="s">
        <v>99</v>
      </c>
      <c r="C84" s="279">
        <f t="shared" si="4"/>
        <v>0</v>
      </c>
      <c r="D84" s="135"/>
      <c r="E84" s="283"/>
      <c r="F84" s="279">
        <f t="shared" si="5"/>
        <v>0</v>
      </c>
      <c r="G84" s="134"/>
      <c r="H84" s="135"/>
      <c r="I84" s="136">
        <f t="shared" si="6"/>
        <v>0</v>
      </c>
      <c r="J84" s="134"/>
      <c r="K84" s="135"/>
      <c r="L84" s="136">
        <f t="shared" si="7"/>
        <v>0</v>
      </c>
      <c r="M84" s="284"/>
      <c r="N84" s="285"/>
      <c r="O84" s="136">
        <f t="shared" si="8"/>
        <v>0</v>
      </c>
      <c r="P84" s="85"/>
    </row>
    <row r="85" spans="1:16" ht="24" hidden="1" x14ac:dyDescent="0.25">
      <c r="A85" s="76">
        <v>2122</v>
      </c>
      <c r="B85" s="127" t="s">
        <v>100</v>
      </c>
      <c r="C85" s="279">
        <f t="shared" si="4"/>
        <v>0</v>
      </c>
      <c r="D85" s="135"/>
      <c r="E85" s="283"/>
      <c r="F85" s="279">
        <f t="shared" si="5"/>
        <v>0</v>
      </c>
      <c r="G85" s="134"/>
      <c r="H85" s="135"/>
      <c r="I85" s="136">
        <f t="shared" si="6"/>
        <v>0</v>
      </c>
      <c r="J85" s="134"/>
      <c r="K85" s="135"/>
      <c r="L85" s="136">
        <f t="shared" si="7"/>
        <v>0</v>
      </c>
      <c r="M85" s="284"/>
      <c r="N85" s="285"/>
      <c r="O85" s="136">
        <f t="shared" si="8"/>
        <v>0</v>
      </c>
      <c r="P85" s="85"/>
    </row>
    <row r="86" spans="1:16" x14ac:dyDescent="0.25">
      <c r="A86" s="99">
        <v>2200</v>
      </c>
      <c r="B86" s="247" t="s">
        <v>102</v>
      </c>
      <c r="C86" s="302">
        <f t="shared" si="4"/>
        <v>46043</v>
      </c>
      <c r="D86" s="113">
        <f>SUM(D87,D92,D98,D106,D115,D119,D125,D131)</f>
        <v>48865</v>
      </c>
      <c r="E86" s="248">
        <f>SUM(E87,E92,E98,E106,E115,E119,E125,E131)</f>
        <v>-2822</v>
      </c>
      <c r="F86" s="249">
        <f t="shared" si="5"/>
        <v>46043</v>
      </c>
      <c r="G86" s="112">
        <f>SUM(G87,G92,G98,G106,G115,G119,G125,G131)</f>
        <v>0</v>
      </c>
      <c r="H86" s="113">
        <f>SUM(H87,H92,H98,H106,H115,H119,H125,H131)</f>
        <v>0</v>
      </c>
      <c r="I86" s="114">
        <f t="shared" si="6"/>
        <v>0</v>
      </c>
      <c r="J86" s="112">
        <f>SUM(J87,J92,J98,J106,J115,J119,J125,J131)</f>
        <v>0</v>
      </c>
      <c r="K86" s="113">
        <f>SUM(K87,K92,K98,K106,K115,K119,K125,K131)</f>
        <v>0</v>
      </c>
      <c r="L86" s="114">
        <f t="shared" si="7"/>
        <v>0</v>
      </c>
      <c r="M86" s="303">
        <f>SUM(M87,M92,M98,M106,M115,M119,M125,M131)</f>
        <v>0</v>
      </c>
      <c r="N86" s="304">
        <f>SUM(N87,N92,N98,N106,N115,N119,N125,N131)</f>
        <v>0</v>
      </c>
      <c r="O86" s="305">
        <f t="shared" si="8"/>
        <v>0</v>
      </c>
      <c r="P86" s="306"/>
    </row>
    <row r="87" spans="1:16" ht="24" hidden="1" x14ac:dyDescent="0.25">
      <c r="A87" s="254">
        <v>2210</v>
      </c>
      <c r="B87" s="179" t="s">
        <v>103</v>
      </c>
      <c r="C87" s="257">
        <f t="shared" si="4"/>
        <v>0</v>
      </c>
      <c r="D87" s="258">
        <f>SUM(D88:D91)</f>
        <v>0</v>
      </c>
      <c r="E87" s="256">
        <f>SUM(E88:E91)</f>
        <v>0</v>
      </c>
      <c r="F87" s="257">
        <f t="shared" si="5"/>
        <v>0</v>
      </c>
      <c r="G87" s="255">
        <f>SUM(G88:G91)</f>
        <v>0</v>
      </c>
      <c r="H87" s="258">
        <f>SUM(H88:H91)</f>
        <v>0</v>
      </c>
      <c r="I87" s="259">
        <f t="shared" si="6"/>
        <v>0</v>
      </c>
      <c r="J87" s="255">
        <f>SUM(J88:J91)</f>
        <v>0</v>
      </c>
      <c r="K87" s="258">
        <f>SUM(K88:K91)</f>
        <v>0</v>
      </c>
      <c r="L87" s="259">
        <f t="shared" si="7"/>
        <v>0</v>
      </c>
      <c r="M87" s="260">
        <f>SUM(M88:M91)</f>
        <v>0</v>
      </c>
      <c r="N87" s="261">
        <f>SUM(N88:N91)</f>
        <v>0</v>
      </c>
      <c r="O87" s="259">
        <f t="shared" si="8"/>
        <v>0</v>
      </c>
      <c r="P87" s="189"/>
    </row>
    <row r="88" spans="1:16" ht="24" hidden="1" x14ac:dyDescent="0.25">
      <c r="A88" s="66">
        <v>2211</v>
      </c>
      <c r="B88" s="116" t="s">
        <v>104</v>
      </c>
      <c r="C88" s="279">
        <f t="shared" si="4"/>
        <v>0</v>
      </c>
      <c r="D88" s="124"/>
      <c r="E88" s="295"/>
      <c r="F88" s="296">
        <f t="shared" si="5"/>
        <v>0</v>
      </c>
      <c r="G88" s="123"/>
      <c r="H88" s="124"/>
      <c r="I88" s="125">
        <f t="shared" si="6"/>
        <v>0</v>
      </c>
      <c r="J88" s="123"/>
      <c r="K88" s="124"/>
      <c r="L88" s="125">
        <f t="shared" si="7"/>
        <v>0</v>
      </c>
      <c r="M88" s="264"/>
      <c r="N88" s="262"/>
      <c r="O88" s="125">
        <f t="shared" si="8"/>
        <v>0</v>
      </c>
      <c r="P88" s="74"/>
    </row>
    <row r="89" spans="1:16" ht="36" hidden="1" x14ac:dyDescent="0.25">
      <c r="A89" s="76">
        <v>2212</v>
      </c>
      <c r="B89" s="127" t="s">
        <v>105</v>
      </c>
      <c r="C89" s="279">
        <f t="shared" si="4"/>
        <v>0</v>
      </c>
      <c r="D89" s="135"/>
      <c r="E89" s="283"/>
      <c r="F89" s="279">
        <f t="shared" si="5"/>
        <v>0</v>
      </c>
      <c r="G89" s="134"/>
      <c r="H89" s="135"/>
      <c r="I89" s="136">
        <f t="shared" si="6"/>
        <v>0</v>
      </c>
      <c r="J89" s="134"/>
      <c r="K89" s="135"/>
      <c r="L89" s="136">
        <f t="shared" si="7"/>
        <v>0</v>
      </c>
      <c r="M89" s="284"/>
      <c r="N89" s="285"/>
      <c r="O89" s="136">
        <f t="shared" si="8"/>
        <v>0</v>
      </c>
      <c r="P89" s="85"/>
    </row>
    <row r="90" spans="1:16" ht="24" hidden="1" x14ac:dyDescent="0.25">
      <c r="A90" s="76">
        <v>2214</v>
      </c>
      <c r="B90" s="127" t="s">
        <v>106</v>
      </c>
      <c r="C90" s="279">
        <f t="shared" si="4"/>
        <v>0</v>
      </c>
      <c r="D90" s="135"/>
      <c r="E90" s="283"/>
      <c r="F90" s="279">
        <f t="shared" si="5"/>
        <v>0</v>
      </c>
      <c r="G90" s="134"/>
      <c r="H90" s="135"/>
      <c r="I90" s="136">
        <f t="shared" si="6"/>
        <v>0</v>
      </c>
      <c r="J90" s="134"/>
      <c r="K90" s="135"/>
      <c r="L90" s="136">
        <f t="shared" si="7"/>
        <v>0</v>
      </c>
      <c r="M90" s="284"/>
      <c r="N90" s="285"/>
      <c r="O90" s="136">
        <f t="shared" si="8"/>
        <v>0</v>
      </c>
      <c r="P90" s="85"/>
    </row>
    <row r="91" spans="1:16" hidden="1" x14ac:dyDescent="0.25">
      <c r="A91" s="76">
        <v>2219</v>
      </c>
      <c r="B91" s="127" t="s">
        <v>107</v>
      </c>
      <c r="C91" s="279">
        <f t="shared" si="4"/>
        <v>0</v>
      </c>
      <c r="D91" s="135"/>
      <c r="E91" s="283"/>
      <c r="F91" s="279">
        <f t="shared" si="5"/>
        <v>0</v>
      </c>
      <c r="G91" s="134"/>
      <c r="H91" s="135"/>
      <c r="I91" s="136">
        <f t="shared" si="6"/>
        <v>0</v>
      </c>
      <c r="J91" s="134"/>
      <c r="K91" s="135"/>
      <c r="L91" s="136">
        <f t="shared" si="7"/>
        <v>0</v>
      </c>
      <c r="M91" s="284"/>
      <c r="N91" s="285"/>
      <c r="O91" s="136">
        <f t="shared" si="8"/>
        <v>0</v>
      </c>
      <c r="P91" s="85"/>
    </row>
    <row r="92" spans="1:16" ht="24" hidden="1" x14ac:dyDescent="0.25">
      <c r="A92" s="276">
        <v>2220</v>
      </c>
      <c r="B92" s="127" t="s">
        <v>108</v>
      </c>
      <c r="C92" s="279">
        <f t="shared" si="4"/>
        <v>0</v>
      </c>
      <c r="D92" s="280">
        <f>SUM(D93:D97)</f>
        <v>0</v>
      </c>
      <c r="E92" s="278">
        <f>SUM(E93:E97)</f>
        <v>0</v>
      </c>
      <c r="F92" s="279">
        <f t="shared" si="5"/>
        <v>0</v>
      </c>
      <c r="G92" s="277">
        <f>SUM(G93:G97)</f>
        <v>0</v>
      </c>
      <c r="H92" s="280">
        <f>SUM(H93:H97)</f>
        <v>0</v>
      </c>
      <c r="I92" s="136">
        <f t="shared" si="6"/>
        <v>0</v>
      </c>
      <c r="J92" s="277">
        <f>SUM(J93:J97)</f>
        <v>0</v>
      </c>
      <c r="K92" s="280">
        <f>SUM(K93:K97)</f>
        <v>0</v>
      </c>
      <c r="L92" s="136">
        <f t="shared" si="7"/>
        <v>0</v>
      </c>
      <c r="M92" s="281">
        <f>SUM(M93:M97)</f>
        <v>0</v>
      </c>
      <c r="N92" s="282">
        <f>SUM(N93:N97)</f>
        <v>0</v>
      </c>
      <c r="O92" s="136">
        <f t="shared" si="8"/>
        <v>0</v>
      </c>
      <c r="P92" s="85"/>
    </row>
    <row r="93" spans="1:16" hidden="1" x14ac:dyDescent="0.25">
      <c r="A93" s="76">
        <v>2221</v>
      </c>
      <c r="B93" s="127" t="s">
        <v>109</v>
      </c>
      <c r="C93" s="279">
        <f t="shared" si="4"/>
        <v>0</v>
      </c>
      <c r="D93" s="135"/>
      <c r="E93" s="283"/>
      <c r="F93" s="279">
        <f t="shared" si="5"/>
        <v>0</v>
      </c>
      <c r="G93" s="134"/>
      <c r="H93" s="135"/>
      <c r="I93" s="136">
        <f t="shared" si="6"/>
        <v>0</v>
      </c>
      <c r="J93" s="134"/>
      <c r="K93" s="135"/>
      <c r="L93" s="136">
        <f t="shared" si="7"/>
        <v>0</v>
      </c>
      <c r="M93" s="284"/>
      <c r="N93" s="285"/>
      <c r="O93" s="136">
        <f t="shared" si="8"/>
        <v>0</v>
      </c>
      <c r="P93" s="85"/>
    </row>
    <row r="94" spans="1:16" hidden="1" x14ac:dyDescent="0.25">
      <c r="A94" s="76">
        <v>2222</v>
      </c>
      <c r="B94" s="127" t="s">
        <v>110</v>
      </c>
      <c r="C94" s="279">
        <f t="shared" si="4"/>
        <v>0</v>
      </c>
      <c r="D94" s="135"/>
      <c r="E94" s="283"/>
      <c r="F94" s="279">
        <f t="shared" si="5"/>
        <v>0</v>
      </c>
      <c r="G94" s="134"/>
      <c r="H94" s="135"/>
      <c r="I94" s="136">
        <f t="shared" si="6"/>
        <v>0</v>
      </c>
      <c r="J94" s="134"/>
      <c r="K94" s="135"/>
      <c r="L94" s="136">
        <f t="shared" si="7"/>
        <v>0</v>
      </c>
      <c r="M94" s="284"/>
      <c r="N94" s="285"/>
      <c r="O94" s="136">
        <f t="shared" si="8"/>
        <v>0</v>
      </c>
      <c r="P94" s="85"/>
    </row>
    <row r="95" spans="1:16" hidden="1" x14ac:dyDescent="0.25">
      <c r="A95" s="76">
        <v>2223</v>
      </c>
      <c r="B95" s="127" t="s">
        <v>111</v>
      </c>
      <c r="C95" s="279">
        <f t="shared" si="4"/>
        <v>0</v>
      </c>
      <c r="D95" s="135"/>
      <c r="E95" s="283"/>
      <c r="F95" s="279">
        <f t="shared" si="5"/>
        <v>0</v>
      </c>
      <c r="G95" s="134"/>
      <c r="H95" s="135"/>
      <c r="I95" s="136">
        <f t="shared" si="6"/>
        <v>0</v>
      </c>
      <c r="J95" s="134"/>
      <c r="K95" s="135"/>
      <c r="L95" s="136">
        <f t="shared" si="7"/>
        <v>0</v>
      </c>
      <c r="M95" s="284"/>
      <c r="N95" s="285"/>
      <c r="O95" s="136">
        <f t="shared" si="8"/>
        <v>0</v>
      </c>
      <c r="P95" s="85"/>
    </row>
    <row r="96" spans="1:16" ht="48" hidden="1" x14ac:dyDescent="0.25">
      <c r="A96" s="76">
        <v>2224</v>
      </c>
      <c r="B96" s="127" t="s">
        <v>112</v>
      </c>
      <c r="C96" s="279">
        <f t="shared" si="4"/>
        <v>0</v>
      </c>
      <c r="D96" s="135"/>
      <c r="E96" s="283"/>
      <c r="F96" s="279">
        <f t="shared" si="5"/>
        <v>0</v>
      </c>
      <c r="G96" s="134"/>
      <c r="H96" s="135"/>
      <c r="I96" s="136">
        <f t="shared" si="6"/>
        <v>0</v>
      </c>
      <c r="J96" s="134"/>
      <c r="K96" s="135"/>
      <c r="L96" s="136">
        <f t="shared" si="7"/>
        <v>0</v>
      </c>
      <c r="M96" s="284"/>
      <c r="N96" s="285"/>
      <c r="O96" s="136">
        <f t="shared" si="8"/>
        <v>0</v>
      </c>
      <c r="P96" s="85"/>
    </row>
    <row r="97" spans="1:16" ht="24" hidden="1" x14ac:dyDescent="0.25">
      <c r="A97" s="76">
        <v>2229</v>
      </c>
      <c r="B97" s="127" t="s">
        <v>113</v>
      </c>
      <c r="C97" s="279">
        <f t="shared" si="4"/>
        <v>0</v>
      </c>
      <c r="D97" s="135"/>
      <c r="E97" s="283"/>
      <c r="F97" s="279">
        <f t="shared" si="5"/>
        <v>0</v>
      </c>
      <c r="G97" s="134"/>
      <c r="H97" s="135"/>
      <c r="I97" s="136">
        <f t="shared" si="6"/>
        <v>0</v>
      </c>
      <c r="J97" s="134"/>
      <c r="K97" s="135"/>
      <c r="L97" s="136">
        <f t="shared" si="7"/>
        <v>0</v>
      </c>
      <c r="M97" s="284"/>
      <c r="N97" s="285"/>
      <c r="O97" s="136">
        <f t="shared" si="8"/>
        <v>0</v>
      </c>
      <c r="P97" s="85"/>
    </row>
    <row r="98" spans="1:16" ht="36" hidden="1" x14ac:dyDescent="0.25">
      <c r="A98" s="276">
        <v>2230</v>
      </c>
      <c r="B98" s="127" t="s">
        <v>114</v>
      </c>
      <c r="C98" s="279">
        <f t="shared" si="4"/>
        <v>0</v>
      </c>
      <c r="D98" s="280">
        <f>SUM(D99:D105)</f>
        <v>0</v>
      </c>
      <c r="E98" s="278">
        <f>SUM(E99:E105)</f>
        <v>0</v>
      </c>
      <c r="F98" s="279">
        <f t="shared" si="5"/>
        <v>0</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row>
    <row r="99" spans="1:16" ht="24" hidden="1" x14ac:dyDescent="0.25">
      <c r="A99" s="76">
        <v>2231</v>
      </c>
      <c r="B99" s="127" t="s">
        <v>115</v>
      </c>
      <c r="C99" s="279">
        <f t="shared" si="4"/>
        <v>0</v>
      </c>
      <c r="D99" s="135"/>
      <c r="E99" s="283"/>
      <c r="F99" s="279">
        <f t="shared" si="5"/>
        <v>0</v>
      </c>
      <c r="G99" s="134"/>
      <c r="H99" s="135"/>
      <c r="I99" s="136">
        <f t="shared" si="6"/>
        <v>0</v>
      </c>
      <c r="J99" s="134"/>
      <c r="K99" s="135"/>
      <c r="L99" s="136">
        <f t="shared" si="7"/>
        <v>0</v>
      </c>
      <c r="M99" s="284"/>
      <c r="N99" s="285"/>
      <c r="O99" s="136">
        <f t="shared" si="8"/>
        <v>0</v>
      </c>
      <c r="P99" s="85"/>
    </row>
    <row r="100" spans="1:16" ht="36" hidden="1" x14ac:dyDescent="0.25">
      <c r="A100" s="76">
        <v>2232</v>
      </c>
      <c r="B100" s="127" t="s">
        <v>116</v>
      </c>
      <c r="C100" s="279">
        <f t="shared" si="4"/>
        <v>0</v>
      </c>
      <c r="D100" s="135"/>
      <c r="E100" s="283"/>
      <c r="F100" s="279">
        <f t="shared" si="5"/>
        <v>0</v>
      </c>
      <c r="G100" s="134"/>
      <c r="H100" s="135"/>
      <c r="I100" s="136">
        <f t="shared" si="6"/>
        <v>0</v>
      </c>
      <c r="J100" s="134"/>
      <c r="K100" s="135"/>
      <c r="L100" s="136">
        <f t="shared" si="7"/>
        <v>0</v>
      </c>
      <c r="M100" s="284"/>
      <c r="N100" s="285"/>
      <c r="O100" s="136">
        <f t="shared" si="8"/>
        <v>0</v>
      </c>
      <c r="P100" s="85"/>
    </row>
    <row r="101" spans="1:16" ht="24" hidden="1" x14ac:dyDescent="0.25">
      <c r="A101" s="66">
        <v>2233</v>
      </c>
      <c r="B101" s="116" t="s">
        <v>117</v>
      </c>
      <c r="C101" s="279">
        <f t="shared" si="4"/>
        <v>0</v>
      </c>
      <c r="D101" s="124"/>
      <c r="E101" s="295"/>
      <c r="F101" s="296">
        <f t="shared" si="5"/>
        <v>0</v>
      </c>
      <c r="G101" s="123"/>
      <c r="H101" s="124"/>
      <c r="I101" s="125">
        <f t="shared" si="6"/>
        <v>0</v>
      </c>
      <c r="J101" s="123"/>
      <c r="K101" s="124"/>
      <c r="L101" s="125">
        <f t="shared" si="7"/>
        <v>0</v>
      </c>
      <c r="M101" s="264"/>
      <c r="N101" s="262"/>
      <c r="O101" s="125">
        <f t="shared" si="8"/>
        <v>0</v>
      </c>
      <c r="P101" s="74"/>
    </row>
    <row r="102" spans="1:16" ht="36" hidden="1" x14ac:dyDescent="0.25">
      <c r="A102" s="76">
        <v>2234</v>
      </c>
      <c r="B102" s="127" t="s">
        <v>118</v>
      </c>
      <c r="C102" s="279">
        <f t="shared" si="4"/>
        <v>0</v>
      </c>
      <c r="D102" s="135"/>
      <c r="E102" s="283"/>
      <c r="F102" s="279">
        <f t="shared" si="5"/>
        <v>0</v>
      </c>
      <c r="G102" s="134"/>
      <c r="H102" s="135"/>
      <c r="I102" s="136">
        <f t="shared" si="6"/>
        <v>0</v>
      </c>
      <c r="J102" s="134"/>
      <c r="K102" s="135"/>
      <c r="L102" s="136">
        <f t="shared" si="7"/>
        <v>0</v>
      </c>
      <c r="M102" s="284"/>
      <c r="N102" s="285"/>
      <c r="O102" s="136">
        <f t="shared" si="8"/>
        <v>0</v>
      </c>
      <c r="P102" s="85"/>
    </row>
    <row r="103" spans="1:16" ht="24" hidden="1" x14ac:dyDescent="0.25">
      <c r="A103" s="76">
        <v>2235</v>
      </c>
      <c r="B103" s="127" t="s">
        <v>119</v>
      </c>
      <c r="C103" s="279">
        <f t="shared" si="4"/>
        <v>0</v>
      </c>
      <c r="D103" s="135"/>
      <c r="E103" s="283"/>
      <c r="F103" s="279">
        <f t="shared" si="5"/>
        <v>0</v>
      </c>
      <c r="G103" s="134"/>
      <c r="H103" s="135"/>
      <c r="I103" s="136">
        <f t="shared" si="6"/>
        <v>0</v>
      </c>
      <c r="J103" s="134"/>
      <c r="K103" s="135"/>
      <c r="L103" s="136">
        <f t="shared" si="7"/>
        <v>0</v>
      </c>
      <c r="M103" s="284"/>
      <c r="N103" s="285"/>
      <c r="O103" s="136">
        <f t="shared" si="8"/>
        <v>0</v>
      </c>
      <c r="P103" s="85"/>
    </row>
    <row r="104" spans="1:16" hidden="1" x14ac:dyDescent="0.25">
      <c r="A104" s="76">
        <v>2236</v>
      </c>
      <c r="B104" s="127" t="s">
        <v>120</v>
      </c>
      <c r="C104" s="279">
        <f t="shared" si="4"/>
        <v>0</v>
      </c>
      <c r="D104" s="135"/>
      <c r="E104" s="283"/>
      <c r="F104" s="279">
        <f t="shared" si="5"/>
        <v>0</v>
      </c>
      <c r="G104" s="134"/>
      <c r="H104" s="135"/>
      <c r="I104" s="136">
        <f t="shared" si="6"/>
        <v>0</v>
      </c>
      <c r="J104" s="134"/>
      <c r="K104" s="135"/>
      <c r="L104" s="136">
        <f t="shared" si="7"/>
        <v>0</v>
      </c>
      <c r="M104" s="284"/>
      <c r="N104" s="285"/>
      <c r="O104" s="136">
        <f t="shared" si="8"/>
        <v>0</v>
      </c>
      <c r="P104" s="85"/>
    </row>
    <row r="105" spans="1:16" ht="24" hidden="1" x14ac:dyDescent="0.25">
      <c r="A105" s="76">
        <v>2239</v>
      </c>
      <c r="B105" s="127" t="s">
        <v>121</v>
      </c>
      <c r="C105" s="279">
        <f t="shared" si="4"/>
        <v>0</v>
      </c>
      <c r="D105" s="135"/>
      <c r="E105" s="283"/>
      <c r="F105" s="279">
        <f t="shared" si="5"/>
        <v>0</v>
      </c>
      <c r="G105" s="134"/>
      <c r="H105" s="135"/>
      <c r="I105" s="136">
        <f t="shared" si="6"/>
        <v>0</v>
      </c>
      <c r="J105" s="134"/>
      <c r="K105" s="135"/>
      <c r="L105" s="136">
        <f t="shared" si="7"/>
        <v>0</v>
      </c>
      <c r="M105" s="284"/>
      <c r="N105" s="285"/>
      <c r="O105" s="136">
        <f t="shared" si="8"/>
        <v>0</v>
      </c>
      <c r="P105" s="85"/>
    </row>
    <row r="106" spans="1:16" ht="36" hidden="1" x14ac:dyDescent="0.25">
      <c r="A106" s="276">
        <v>2240</v>
      </c>
      <c r="B106" s="127" t="s">
        <v>122</v>
      </c>
      <c r="C106" s="279">
        <f t="shared" si="4"/>
        <v>0</v>
      </c>
      <c r="D106" s="280">
        <f>SUM(D107:D114)</f>
        <v>0</v>
      </c>
      <c r="E106" s="278">
        <f>SUM(E107:E114)</f>
        <v>0</v>
      </c>
      <c r="F106" s="279">
        <f t="shared" si="5"/>
        <v>0</v>
      </c>
      <c r="G106" s="277">
        <f>SUM(G107:G114)</f>
        <v>0</v>
      </c>
      <c r="H106" s="280">
        <f>SUM(H107:H114)</f>
        <v>0</v>
      </c>
      <c r="I106" s="136">
        <f t="shared" si="6"/>
        <v>0</v>
      </c>
      <c r="J106" s="277">
        <f>SUM(J107:J114)</f>
        <v>0</v>
      </c>
      <c r="K106" s="280">
        <f>SUM(K107:K114)</f>
        <v>0</v>
      </c>
      <c r="L106" s="136">
        <f t="shared" si="7"/>
        <v>0</v>
      </c>
      <c r="M106" s="281">
        <f>SUM(M107:M114)</f>
        <v>0</v>
      </c>
      <c r="N106" s="282">
        <f>SUM(N107:N114)</f>
        <v>0</v>
      </c>
      <c r="O106" s="136">
        <f t="shared" si="8"/>
        <v>0</v>
      </c>
      <c r="P106" s="85"/>
    </row>
    <row r="107" spans="1:16" hidden="1" x14ac:dyDescent="0.25">
      <c r="A107" s="76">
        <v>2241</v>
      </c>
      <c r="B107" s="127" t="s">
        <v>123</v>
      </c>
      <c r="C107" s="279">
        <f t="shared" si="4"/>
        <v>0</v>
      </c>
      <c r="D107" s="135"/>
      <c r="E107" s="283"/>
      <c r="F107" s="279">
        <f t="shared" si="5"/>
        <v>0</v>
      </c>
      <c r="G107" s="134"/>
      <c r="H107" s="135"/>
      <c r="I107" s="136">
        <f t="shared" si="6"/>
        <v>0</v>
      </c>
      <c r="J107" s="134"/>
      <c r="K107" s="135"/>
      <c r="L107" s="136">
        <f t="shared" si="7"/>
        <v>0</v>
      </c>
      <c r="M107" s="284"/>
      <c r="N107" s="285"/>
      <c r="O107" s="136">
        <f t="shared" si="8"/>
        <v>0</v>
      </c>
      <c r="P107" s="85"/>
    </row>
    <row r="108" spans="1:16" ht="24" hidden="1" x14ac:dyDescent="0.25">
      <c r="A108" s="76">
        <v>2242</v>
      </c>
      <c r="B108" s="127" t="s">
        <v>124</v>
      </c>
      <c r="C108" s="279">
        <f t="shared" si="4"/>
        <v>0</v>
      </c>
      <c r="D108" s="135"/>
      <c r="E108" s="283"/>
      <c r="F108" s="279">
        <f t="shared" si="5"/>
        <v>0</v>
      </c>
      <c r="G108" s="134"/>
      <c r="H108" s="135"/>
      <c r="I108" s="136">
        <f t="shared" si="6"/>
        <v>0</v>
      </c>
      <c r="J108" s="134"/>
      <c r="K108" s="135"/>
      <c r="L108" s="136">
        <f t="shared" si="7"/>
        <v>0</v>
      </c>
      <c r="M108" s="284"/>
      <c r="N108" s="285"/>
      <c r="O108" s="136">
        <f t="shared" si="8"/>
        <v>0</v>
      </c>
      <c r="P108" s="85"/>
    </row>
    <row r="109" spans="1:16" ht="24" hidden="1" x14ac:dyDescent="0.25">
      <c r="A109" s="76">
        <v>2243</v>
      </c>
      <c r="B109" s="127" t="s">
        <v>125</v>
      </c>
      <c r="C109" s="279">
        <f t="shared" si="4"/>
        <v>0</v>
      </c>
      <c r="D109" s="135"/>
      <c r="E109" s="283"/>
      <c r="F109" s="279">
        <f t="shared" si="5"/>
        <v>0</v>
      </c>
      <c r="G109" s="134"/>
      <c r="H109" s="135"/>
      <c r="I109" s="136">
        <f t="shared" si="6"/>
        <v>0</v>
      </c>
      <c r="J109" s="134"/>
      <c r="K109" s="135"/>
      <c r="L109" s="136">
        <f t="shared" si="7"/>
        <v>0</v>
      </c>
      <c r="M109" s="284"/>
      <c r="N109" s="285"/>
      <c r="O109" s="136">
        <f t="shared" si="8"/>
        <v>0</v>
      </c>
      <c r="P109" s="85"/>
    </row>
    <row r="110" spans="1:16" hidden="1" x14ac:dyDescent="0.25">
      <c r="A110" s="76">
        <v>2244</v>
      </c>
      <c r="B110" s="127" t="s">
        <v>126</v>
      </c>
      <c r="C110" s="279">
        <f t="shared" si="4"/>
        <v>0</v>
      </c>
      <c r="D110" s="135"/>
      <c r="E110" s="283"/>
      <c r="F110" s="279">
        <f t="shared" si="5"/>
        <v>0</v>
      </c>
      <c r="G110" s="134"/>
      <c r="H110" s="135"/>
      <c r="I110" s="136">
        <f t="shared" si="6"/>
        <v>0</v>
      </c>
      <c r="J110" s="134"/>
      <c r="K110" s="135"/>
      <c r="L110" s="136">
        <f t="shared" si="7"/>
        <v>0</v>
      </c>
      <c r="M110" s="284"/>
      <c r="N110" s="285"/>
      <c r="O110" s="136">
        <f t="shared" si="8"/>
        <v>0</v>
      </c>
      <c r="P110" s="85"/>
    </row>
    <row r="111" spans="1:16" ht="24" hidden="1" x14ac:dyDescent="0.25">
      <c r="A111" s="76">
        <v>2246</v>
      </c>
      <c r="B111" s="127" t="s">
        <v>127</v>
      </c>
      <c r="C111" s="279">
        <f t="shared" si="4"/>
        <v>0</v>
      </c>
      <c r="D111" s="135"/>
      <c r="E111" s="283"/>
      <c r="F111" s="279">
        <f t="shared" si="5"/>
        <v>0</v>
      </c>
      <c r="G111" s="134"/>
      <c r="H111" s="135"/>
      <c r="I111" s="136">
        <f t="shared" si="6"/>
        <v>0</v>
      </c>
      <c r="J111" s="134"/>
      <c r="K111" s="135"/>
      <c r="L111" s="136">
        <f t="shared" si="7"/>
        <v>0</v>
      </c>
      <c r="M111" s="284"/>
      <c r="N111" s="285"/>
      <c r="O111" s="136">
        <f t="shared" si="8"/>
        <v>0</v>
      </c>
      <c r="P111" s="85"/>
    </row>
    <row r="112" spans="1:16" hidden="1" x14ac:dyDescent="0.25">
      <c r="A112" s="76">
        <v>2247</v>
      </c>
      <c r="B112" s="127" t="s">
        <v>128</v>
      </c>
      <c r="C112" s="279">
        <f t="shared" si="4"/>
        <v>0</v>
      </c>
      <c r="D112" s="135"/>
      <c r="E112" s="283"/>
      <c r="F112" s="279">
        <f t="shared" si="5"/>
        <v>0</v>
      </c>
      <c r="G112" s="134"/>
      <c r="H112" s="135"/>
      <c r="I112" s="136">
        <f t="shared" si="6"/>
        <v>0</v>
      </c>
      <c r="J112" s="134"/>
      <c r="K112" s="135"/>
      <c r="L112" s="136">
        <f t="shared" si="7"/>
        <v>0</v>
      </c>
      <c r="M112" s="284"/>
      <c r="N112" s="285"/>
      <c r="O112" s="136">
        <f t="shared" si="8"/>
        <v>0</v>
      </c>
      <c r="P112" s="85"/>
    </row>
    <row r="113" spans="1:16" ht="24" hidden="1" x14ac:dyDescent="0.25">
      <c r="A113" s="76">
        <v>2248</v>
      </c>
      <c r="B113" s="127" t="s">
        <v>129</v>
      </c>
      <c r="C113" s="279">
        <f t="shared" si="4"/>
        <v>0</v>
      </c>
      <c r="D113" s="135"/>
      <c r="E113" s="283"/>
      <c r="F113" s="279">
        <f t="shared" si="5"/>
        <v>0</v>
      </c>
      <c r="G113" s="134"/>
      <c r="H113" s="135"/>
      <c r="I113" s="136">
        <f t="shared" si="6"/>
        <v>0</v>
      </c>
      <c r="J113" s="134"/>
      <c r="K113" s="135"/>
      <c r="L113" s="136">
        <f t="shared" si="7"/>
        <v>0</v>
      </c>
      <c r="M113" s="284"/>
      <c r="N113" s="285"/>
      <c r="O113" s="136">
        <f t="shared" si="8"/>
        <v>0</v>
      </c>
      <c r="P113" s="85"/>
    </row>
    <row r="114" spans="1:16" ht="24" hidden="1" x14ac:dyDescent="0.25">
      <c r="A114" s="76">
        <v>2249</v>
      </c>
      <c r="B114" s="127" t="s">
        <v>130</v>
      </c>
      <c r="C114" s="279">
        <f t="shared" si="4"/>
        <v>0</v>
      </c>
      <c r="D114" s="135"/>
      <c r="E114" s="283"/>
      <c r="F114" s="279">
        <f t="shared" si="5"/>
        <v>0</v>
      </c>
      <c r="G114" s="134"/>
      <c r="H114" s="135"/>
      <c r="I114" s="136">
        <f t="shared" si="6"/>
        <v>0</v>
      </c>
      <c r="J114" s="134"/>
      <c r="K114" s="135"/>
      <c r="L114" s="136">
        <f t="shared" si="7"/>
        <v>0</v>
      </c>
      <c r="M114" s="284"/>
      <c r="N114" s="285"/>
      <c r="O114" s="136">
        <f t="shared" si="8"/>
        <v>0</v>
      </c>
      <c r="P114" s="85"/>
    </row>
    <row r="115" spans="1:16" hidden="1" x14ac:dyDescent="0.25">
      <c r="A115" s="276">
        <v>2250</v>
      </c>
      <c r="B115" s="127" t="s">
        <v>131</v>
      </c>
      <c r="C115" s="279">
        <f t="shared" si="4"/>
        <v>0</v>
      </c>
      <c r="D115" s="280">
        <f>SUM(D116:D118)</f>
        <v>0</v>
      </c>
      <c r="E115" s="278">
        <f>SUM(E116:E118)</f>
        <v>0</v>
      </c>
      <c r="F115" s="279">
        <f t="shared" si="5"/>
        <v>0</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row>
    <row r="116" spans="1:16" hidden="1" x14ac:dyDescent="0.25">
      <c r="A116" s="76">
        <v>2251</v>
      </c>
      <c r="B116" s="127" t="s">
        <v>132</v>
      </c>
      <c r="C116" s="279">
        <f t="shared" si="4"/>
        <v>0</v>
      </c>
      <c r="D116" s="135"/>
      <c r="E116" s="283"/>
      <c r="F116" s="279">
        <f t="shared" si="5"/>
        <v>0</v>
      </c>
      <c r="G116" s="134"/>
      <c r="H116" s="135"/>
      <c r="I116" s="136">
        <f t="shared" si="6"/>
        <v>0</v>
      </c>
      <c r="J116" s="134"/>
      <c r="K116" s="135"/>
      <c r="L116" s="136">
        <f t="shared" si="7"/>
        <v>0</v>
      </c>
      <c r="M116" s="284"/>
      <c r="N116" s="285"/>
      <c r="O116" s="136">
        <f t="shared" si="8"/>
        <v>0</v>
      </c>
      <c r="P116" s="85"/>
    </row>
    <row r="117" spans="1:16" ht="24" hidden="1" x14ac:dyDescent="0.25">
      <c r="A117" s="76">
        <v>2252</v>
      </c>
      <c r="B117" s="127" t="s">
        <v>133</v>
      </c>
      <c r="C117" s="279">
        <f t="shared" ref="C117:C181" si="9">F117+I117+L117+O117</f>
        <v>0</v>
      </c>
      <c r="D117" s="135"/>
      <c r="E117" s="283"/>
      <c r="F117" s="279">
        <f t="shared" si="5"/>
        <v>0</v>
      </c>
      <c r="G117" s="134"/>
      <c r="H117" s="135"/>
      <c r="I117" s="136">
        <f t="shared" si="6"/>
        <v>0</v>
      </c>
      <c r="J117" s="134"/>
      <c r="K117" s="135"/>
      <c r="L117" s="136">
        <f t="shared" si="7"/>
        <v>0</v>
      </c>
      <c r="M117" s="284"/>
      <c r="N117" s="285"/>
      <c r="O117" s="136">
        <f t="shared" si="8"/>
        <v>0</v>
      </c>
      <c r="P117" s="85"/>
    </row>
    <row r="118" spans="1:16" ht="24" hidden="1" x14ac:dyDescent="0.25">
      <c r="A118" s="76">
        <v>2259</v>
      </c>
      <c r="B118" s="127" t="s">
        <v>134</v>
      </c>
      <c r="C118" s="279">
        <f t="shared" si="9"/>
        <v>0</v>
      </c>
      <c r="D118" s="135"/>
      <c r="E118" s="283"/>
      <c r="F118" s="279">
        <f t="shared" ref="F118:F182" si="10">D118+E118</f>
        <v>0</v>
      </c>
      <c r="G118" s="134"/>
      <c r="H118" s="135"/>
      <c r="I118" s="136">
        <f t="shared" ref="I118:I182" si="11">G118+H118</f>
        <v>0</v>
      </c>
      <c r="J118" s="134"/>
      <c r="K118" s="135"/>
      <c r="L118" s="136">
        <f t="shared" ref="L118:L182" si="12">J118+K118</f>
        <v>0</v>
      </c>
      <c r="M118" s="284"/>
      <c r="N118" s="285"/>
      <c r="O118" s="136">
        <f t="shared" ref="O118:O182" si="13">M118+N118</f>
        <v>0</v>
      </c>
      <c r="P118" s="85"/>
    </row>
    <row r="119" spans="1:16" hidden="1" x14ac:dyDescent="0.25">
      <c r="A119" s="276">
        <v>2260</v>
      </c>
      <c r="B119" s="127" t="s">
        <v>135</v>
      </c>
      <c r="C119" s="279">
        <f t="shared" si="9"/>
        <v>0</v>
      </c>
      <c r="D119" s="280">
        <f>SUM(D120:D124)</f>
        <v>0</v>
      </c>
      <c r="E119" s="278">
        <f>SUM(E120:E124)</f>
        <v>0</v>
      </c>
      <c r="F119" s="279">
        <f t="shared" si="10"/>
        <v>0</v>
      </c>
      <c r="G119" s="277">
        <f>SUM(G120:G124)</f>
        <v>0</v>
      </c>
      <c r="H119" s="280">
        <f>SUM(H120:H124)</f>
        <v>0</v>
      </c>
      <c r="I119" s="136">
        <f t="shared" si="11"/>
        <v>0</v>
      </c>
      <c r="J119" s="277">
        <f>SUM(J120:J124)</f>
        <v>0</v>
      </c>
      <c r="K119" s="280">
        <f>SUM(K120:K124)</f>
        <v>0</v>
      </c>
      <c r="L119" s="136">
        <f t="shared" si="12"/>
        <v>0</v>
      </c>
      <c r="M119" s="281">
        <f>SUM(M120:M124)</f>
        <v>0</v>
      </c>
      <c r="N119" s="282">
        <f>SUM(N120:N124)</f>
        <v>0</v>
      </c>
      <c r="O119" s="136">
        <f t="shared" si="13"/>
        <v>0</v>
      </c>
      <c r="P119" s="85"/>
    </row>
    <row r="120" spans="1:16" hidden="1" x14ac:dyDescent="0.25">
      <c r="A120" s="76">
        <v>2261</v>
      </c>
      <c r="B120" s="127" t="s">
        <v>136</v>
      </c>
      <c r="C120" s="279">
        <f t="shared" si="9"/>
        <v>0</v>
      </c>
      <c r="D120" s="135"/>
      <c r="E120" s="283"/>
      <c r="F120" s="279">
        <f t="shared" si="10"/>
        <v>0</v>
      </c>
      <c r="G120" s="134"/>
      <c r="H120" s="135"/>
      <c r="I120" s="136">
        <f t="shared" si="11"/>
        <v>0</v>
      </c>
      <c r="J120" s="134"/>
      <c r="K120" s="135"/>
      <c r="L120" s="136">
        <f t="shared" si="12"/>
        <v>0</v>
      </c>
      <c r="M120" s="284"/>
      <c r="N120" s="285"/>
      <c r="O120" s="136">
        <f t="shared" si="13"/>
        <v>0</v>
      </c>
      <c r="P120" s="85"/>
    </row>
    <row r="121" spans="1:16" hidden="1" x14ac:dyDescent="0.25">
      <c r="A121" s="76">
        <v>2262</v>
      </c>
      <c r="B121" s="127" t="s">
        <v>137</v>
      </c>
      <c r="C121" s="279">
        <f t="shared" si="9"/>
        <v>0</v>
      </c>
      <c r="D121" s="135"/>
      <c r="E121" s="283"/>
      <c r="F121" s="279">
        <f t="shared" si="10"/>
        <v>0</v>
      </c>
      <c r="G121" s="134"/>
      <c r="H121" s="135"/>
      <c r="I121" s="136">
        <f t="shared" si="11"/>
        <v>0</v>
      </c>
      <c r="J121" s="134"/>
      <c r="K121" s="135"/>
      <c r="L121" s="136">
        <f t="shared" si="12"/>
        <v>0</v>
      </c>
      <c r="M121" s="284"/>
      <c r="N121" s="285"/>
      <c r="O121" s="136">
        <f t="shared" si="13"/>
        <v>0</v>
      </c>
      <c r="P121" s="85"/>
    </row>
    <row r="122" spans="1:16" hidden="1" x14ac:dyDescent="0.25">
      <c r="A122" s="76">
        <v>2263</v>
      </c>
      <c r="B122" s="127" t="s">
        <v>138</v>
      </c>
      <c r="C122" s="279">
        <f t="shared" si="9"/>
        <v>0</v>
      </c>
      <c r="D122" s="135"/>
      <c r="E122" s="283"/>
      <c r="F122" s="279">
        <f t="shared" si="10"/>
        <v>0</v>
      </c>
      <c r="G122" s="134"/>
      <c r="H122" s="135"/>
      <c r="I122" s="136">
        <f t="shared" si="11"/>
        <v>0</v>
      </c>
      <c r="J122" s="134"/>
      <c r="K122" s="135"/>
      <c r="L122" s="136">
        <f t="shared" si="12"/>
        <v>0</v>
      </c>
      <c r="M122" s="284"/>
      <c r="N122" s="285"/>
      <c r="O122" s="136">
        <f t="shared" si="13"/>
        <v>0</v>
      </c>
      <c r="P122" s="85"/>
    </row>
    <row r="123" spans="1:16" ht="24" hidden="1" x14ac:dyDescent="0.25">
      <c r="A123" s="76">
        <v>2264</v>
      </c>
      <c r="B123" s="127" t="s">
        <v>139</v>
      </c>
      <c r="C123" s="279">
        <f t="shared" si="9"/>
        <v>0</v>
      </c>
      <c r="D123" s="135"/>
      <c r="E123" s="283"/>
      <c r="F123" s="279">
        <f t="shared" si="10"/>
        <v>0</v>
      </c>
      <c r="G123" s="134"/>
      <c r="H123" s="135"/>
      <c r="I123" s="136">
        <f t="shared" si="11"/>
        <v>0</v>
      </c>
      <c r="J123" s="134"/>
      <c r="K123" s="135"/>
      <c r="L123" s="136">
        <f t="shared" si="12"/>
        <v>0</v>
      </c>
      <c r="M123" s="284"/>
      <c r="N123" s="285"/>
      <c r="O123" s="136">
        <f t="shared" si="13"/>
        <v>0</v>
      </c>
      <c r="P123" s="85"/>
    </row>
    <row r="124" spans="1:16" hidden="1" x14ac:dyDescent="0.25">
      <c r="A124" s="76">
        <v>2269</v>
      </c>
      <c r="B124" s="127" t="s">
        <v>140</v>
      </c>
      <c r="C124" s="279">
        <f t="shared" si="9"/>
        <v>0</v>
      </c>
      <c r="D124" s="135"/>
      <c r="E124" s="283"/>
      <c r="F124" s="279">
        <f t="shared" si="10"/>
        <v>0</v>
      </c>
      <c r="G124" s="134"/>
      <c r="H124" s="135"/>
      <c r="I124" s="136">
        <f t="shared" si="11"/>
        <v>0</v>
      </c>
      <c r="J124" s="134"/>
      <c r="K124" s="135"/>
      <c r="L124" s="136">
        <f t="shared" si="12"/>
        <v>0</v>
      </c>
      <c r="M124" s="284"/>
      <c r="N124" s="285"/>
      <c r="O124" s="136">
        <f t="shared" si="13"/>
        <v>0</v>
      </c>
      <c r="P124" s="85"/>
    </row>
    <row r="125" spans="1:16" x14ac:dyDescent="0.25">
      <c r="A125" s="276">
        <v>2270</v>
      </c>
      <c r="B125" s="127" t="s">
        <v>141</v>
      </c>
      <c r="C125" s="279">
        <f t="shared" si="9"/>
        <v>46043</v>
      </c>
      <c r="D125" s="280">
        <f>SUM(D126:D130)</f>
        <v>48865</v>
      </c>
      <c r="E125" s="278">
        <f>SUM(E126:E130)</f>
        <v>-2822</v>
      </c>
      <c r="F125" s="279">
        <f t="shared" si="10"/>
        <v>46043</v>
      </c>
      <c r="G125" s="277">
        <f>SUM(G126:G130)</f>
        <v>0</v>
      </c>
      <c r="H125" s="280">
        <f>SUM(H126:H130)</f>
        <v>0</v>
      </c>
      <c r="I125" s="136">
        <f t="shared" si="11"/>
        <v>0</v>
      </c>
      <c r="J125" s="277">
        <f>SUM(J126:J130)</f>
        <v>0</v>
      </c>
      <c r="K125" s="280">
        <f>SUM(K126:K130)</f>
        <v>0</v>
      </c>
      <c r="L125" s="136">
        <f t="shared" si="12"/>
        <v>0</v>
      </c>
      <c r="M125" s="281">
        <f>SUM(M126:M130)</f>
        <v>0</v>
      </c>
      <c r="N125" s="282">
        <f>SUM(N126:N130)</f>
        <v>0</v>
      </c>
      <c r="O125" s="136">
        <f t="shared" si="13"/>
        <v>0</v>
      </c>
      <c r="P125" s="85"/>
    </row>
    <row r="126" spans="1:16" hidden="1" x14ac:dyDescent="0.25">
      <c r="A126" s="76">
        <v>2272</v>
      </c>
      <c r="B126" s="5" t="s">
        <v>142</v>
      </c>
      <c r="C126" s="279">
        <f t="shared" si="9"/>
        <v>0</v>
      </c>
      <c r="D126" s="135"/>
      <c r="E126" s="283"/>
      <c r="F126" s="279">
        <f t="shared" si="10"/>
        <v>0</v>
      </c>
      <c r="G126" s="134"/>
      <c r="H126" s="135"/>
      <c r="I126" s="136">
        <f t="shared" si="11"/>
        <v>0</v>
      </c>
      <c r="J126" s="134"/>
      <c r="K126" s="135"/>
      <c r="L126" s="136">
        <f t="shared" si="12"/>
        <v>0</v>
      </c>
      <c r="M126" s="284"/>
      <c r="N126" s="285"/>
      <c r="O126" s="136">
        <f t="shared" si="13"/>
        <v>0</v>
      </c>
      <c r="P126" s="85"/>
    </row>
    <row r="127" spans="1:16" ht="24" x14ac:dyDescent="0.25">
      <c r="A127" s="76">
        <v>2275</v>
      </c>
      <c r="B127" s="127" t="s">
        <v>143</v>
      </c>
      <c r="C127" s="279">
        <f t="shared" si="9"/>
        <v>46043</v>
      </c>
      <c r="D127" s="135">
        <f>200000-54680-3838-556-9581-6234-2070-498-4598-6124-5637-21948-4031-538-3997-16000-3300-7505</f>
        <v>48865</v>
      </c>
      <c r="E127" s="283">
        <v>-2822</v>
      </c>
      <c r="F127" s="279">
        <f t="shared" si="10"/>
        <v>46043</v>
      </c>
      <c r="G127" s="134"/>
      <c r="H127" s="135"/>
      <c r="I127" s="136">
        <f t="shared" si="11"/>
        <v>0</v>
      </c>
      <c r="J127" s="134"/>
      <c r="K127" s="135"/>
      <c r="L127" s="136">
        <f t="shared" si="12"/>
        <v>0</v>
      </c>
      <c r="M127" s="284"/>
      <c r="N127" s="285"/>
      <c r="O127" s="136">
        <f t="shared" si="13"/>
        <v>0</v>
      </c>
      <c r="P127" s="85"/>
    </row>
    <row r="128" spans="1:16" ht="36" hidden="1" x14ac:dyDescent="0.25">
      <c r="A128" s="76">
        <v>2276</v>
      </c>
      <c r="B128" s="127" t="s">
        <v>144</v>
      </c>
      <c r="C128" s="279">
        <f t="shared" si="9"/>
        <v>0</v>
      </c>
      <c r="D128" s="135"/>
      <c r="E128" s="283"/>
      <c r="F128" s="279">
        <f t="shared" si="10"/>
        <v>0</v>
      </c>
      <c r="G128" s="134"/>
      <c r="H128" s="135"/>
      <c r="I128" s="136">
        <f t="shared" si="11"/>
        <v>0</v>
      </c>
      <c r="J128" s="134"/>
      <c r="K128" s="135"/>
      <c r="L128" s="136">
        <f t="shared" si="12"/>
        <v>0</v>
      </c>
      <c r="M128" s="284"/>
      <c r="N128" s="285"/>
      <c r="O128" s="136">
        <f t="shared" si="13"/>
        <v>0</v>
      </c>
      <c r="P128" s="85"/>
    </row>
    <row r="129" spans="1:16" ht="24" hidden="1" x14ac:dyDescent="0.25">
      <c r="A129" s="76">
        <v>2278</v>
      </c>
      <c r="B129" s="127" t="s">
        <v>145</v>
      </c>
      <c r="C129" s="279">
        <f t="shared" si="9"/>
        <v>0</v>
      </c>
      <c r="D129" s="135"/>
      <c r="E129" s="283"/>
      <c r="F129" s="279">
        <f t="shared" si="10"/>
        <v>0</v>
      </c>
      <c r="G129" s="134"/>
      <c r="H129" s="135"/>
      <c r="I129" s="136">
        <f t="shared" si="11"/>
        <v>0</v>
      </c>
      <c r="J129" s="134"/>
      <c r="K129" s="135"/>
      <c r="L129" s="136">
        <f t="shared" si="12"/>
        <v>0</v>
      </c>
      <c r="M129" s="284"/>
      <c r="N129" s="285"/>
      <c r="O129" s="136">
        <f t="shared" si="13"/>
        <v>0</v>
      </c>
      <c r="P129" s="85"/>
    </row>
    <row r="130" spans="1:16" ht="24" hidden="1" x14ac:dyDescent="0.25">
      <c r="A130" s="76">
        <v>2279</v>
      </c>
      <c r="B130" s="127" t="s">
        <v>146</v>
      </c>
      <c r="C130" s="279">
        <f t="shared" si="9"/>
        <v>0</v>
      </c>
      <c r="D130" s="135"/>
      <c r="E130" s="283"/>
      <c r="F130" s="279">
        <f t="shared" si="10"/>
        <v>0</v>
      </c>
      <c r="G130" s="134"/>
      <c r="H130" s="135"/>
      <c r="I130" s="136">
        <f t="shared" si="11"/>
        <v>0</v>
      </c>
      <c r="J130" s="134"/>
      <c r="K130" s="135"/>
      <c r="L130" s="136">
        <f t="shared" si="12"/>
        <v>0</v>
      </c>
      <c r="M130" s="284"/>
      <c r="N130" s="285"/>
      <c r="O130" s="136">
        <f t="shared" si="13"/>
        <v>0</v>
      </c>
      <c r="P130" s="85"/>
    </row>
    <row r="131" spans="1:16" ht="24" hidden="1" x14ac:dyDescent="0.25">
      <c r="A131" s="656">
        <v>2280</v>
      </c>
      <c r="B131" s="116" t="s">
        <v>147</v>
      </c>
      <c r="C131" s="279">
        <f t="shared" si="9"/>
        <v>0</v>
      </c>
      <c r="D131" s="299">
        <f t="shared" ref="D131" si="14">SUM(D132)</f>
        <v>0</v>
      </c>
      <c r="E131" s="298">
        <f t="shared" ref="E131:N131" si="15">SUM(E132)</f>
        <v>0</v>
      </c>
      <c r="F131" s="296">
        <f t="shared" si="10"/>
        <v>0</v>
      </c>
      <c r="G131" s="297">
        <f t="shared" ref="G131" si="16">SUM(G132)</f>
        <v>0</v>
      </c>
      <c r="H131" s="299">
        <f t="shared" si="15"/>
        <v>0</v>
      </c>
      <c r="I131" s="125">
        <f t="shared" si="11"/>
        <v>0</v>
      </c>
      <c r="J131" s="297">
        <f t="shared" ref="J131" si="17">SUM(J132)</f>
        <v>0</v>
      </c>
      <c r="K131" s="299">
        <f t="shared" si="15"/>
        <v>0</v>
      </c>
      <c r="L131" s="125">
        <f t="shared" si="12"/>
        <v>0</v>
      </c>
      <c r="M131" s="281">
        <f t="shared" si="15"/>
        <v>0</v>
      </c>
      <c r="N131" s="282">
        <f t="shared" si="15"/>
        <v>0</v>
      </c>
      <c r="O131" s="136">
        <f t="shared" si="13"/>
        <v>0</v>
      </c>
      <c r="P131" s="85"/>
    </row>
    <row r="132" spans="1:16" ht="24" hidden="1" x14ac:dyDescent="0.25">
      <c r="A132" s="76">
        <v>2283</v>
      </c>
      <c r="B132" s="127" t="s">
        <v>148</v>
      </c>
      <c r="C132" s="279">
        <f t="shared" si="9"/>
        <v>0</v>
      </c>
      <c r="D132" s="135"/>
      <c r="E132" s="283"/>
      <c r="F132" s="279">
        <f t="shared" si="10"/>
        <v>0</v>
      </c>
      <c r="G132" s="134"/>
      <c r="H132" s="135"/>
      <c r="I132" s="136">
        <f t="shared" si="11"/>
        <v>0</v>
      </c>
      <c r="J132" s="134"/>
      <c r="K132" s="135"/>
      <c r="L132" s="136">
        <f t="shared" si="12"/>
        <v>0</v>
      </c>
      <c r="M132" s="284"/>
      <c r="N132" s="285"/>
      <c r="O132" s="136">
        <f t="shared" si="13"/>
        <v>0</v>
      </c>
      <c r="P132" s="85"/>
    </row>
    <row r="133" spans="1:16" ht="36" hidden="1" x14ac:dyDescent="0.25">
      <c r="A133" s="99">
        <v>2300</v>
      </c>
      <c r="B133" s="247" t="s">
        <v>149</v>
      </c>
      <c r="C133" s="249">
        <f t="shared" si="9"/>
        <v>0</v>
      </c>
      <c r="D133" s="113">
        <f>SUM(D134,D139,D143,D144,D147,D154,D162,D163,D166)</f>
        <v>0</v>
      </c>
      <c r="E133" s="248">
        <f>SUM(E134,E139,E143,E144,E147,E154,E162,E163,E166)</f>
        <v>0</v>
      </c>
      <c r="F133" s="249">
        <f t="shared" si="10"/>
        <v>0</v>
      </c>
      <c r="G133" s="112">
        <f>SUM(G134,G139,G143,G144,G147,G154,G162,G163,G166)</f>
        <v>0</v>
      </c>
      <c r="H133" s="113">
        <f>SUM(H134,H139,H143,H144,H147,H154,H162,H163,H166)</f>
        <v>0</v>
      </c>
      <c r="I133" s="114">
        <f t="shared" si="11"/>
        <v>0</v>
      </c>
      <c r="J133" s="112">
        <f>SUM(J134,J139,J143,J144,J147,J154,J162,J163,J166)</f>
        <v>0</v>
      </c>
      <c r="K133" s="113">
        <f>SUM(K134,K139,K143,K144,K147,K154,K162,K163,K166)</f>
        <v>0</v>
      </c>
      <c r="L133" s="114">
        <f t="shared" si="12"/>
        <v>0</v>
      </c>
      <c r="M133" s="292">
        <f>SUM(M134,M139,M143,M144,M147,M154,M162,M163,M166)</f>
        <v>0</v>
      </c>
      <c r="N133" s="293">
        <f>SUM(N134,N139,N143,N144,N147,N154,N162,N163,N166)</f>
        <v>0</v>
      </c>
      <c r="O133" s="114">
        <f t="shared" si="13"/>
        <v>0</v>
      </c>
      <c r="P133" s="109"/>
    </row>
    <row r="134" spans="1:16" ht="24" hidden="1" x14ac:dyDescent="0.25">
      <c r="A134" s="656">
        <v>2310</v>
      </c>
      <c r="B134" s="116" t="s">
        <v>150</v>
      </c>
      <c r="C134" s="296">
        <f t="shared" si="9"/>
        <v>0</v>
      </c>
      <c r="D134" s="299">
        <f>SUM(D135:D138)</f>
        <v>0</v>
      </c>
      <c r="E134" s="300">
        <f>SUM(E135:E138)</f>
        <v>0</v>
      </c>
      <c r="F134" s="296">
        <f t="shared" si="10"/>
        <v>0</v>
      </c>
      <c r="G134" s="297">
        <f>SUM(G135:G138)</f>
        <v>0</v>
      </c>
      <c r="H134" s="299">
        <f>SUM(H135:H138)</f>
        <v>0</v>
      </c>
      <c r="I134" s="125">
        <f t="shared" si="11"/>
        <v>0</v>
      </c>
      <c r="J134" s="297">
        <f>SUM(J135:J138)</f>
        <v>0</v>
      </c>
      <c r="K134" s="299">
        <f>SUM(K135:K138)</f>
        <v>0</v>
      </c>
      <c r="L134" s="125">
        <f t="shared" si="12"/>
        <v>0</v>
      </c>
      <c r="M134" s="300">
        <f>SUM(M135:M138)</f>
        <v>0</v>
      </c>
      <c r="N134" s="301">
        <f>SUM(N135:N138)</f>
        <v>0</v>
      </c>
      <c r="O134" s="125">
        <f t="shared" si="13"/>
        <v>0</v>
      </c>
      <c r="P134" s="74"/>
    </row>
    <row r="135" spans="1:16" hidden="1" x14ac:dyDescent="0.25">
      <c r="A135" s="76">
        <v>2311</v>
      </c>
      <c r="B135" s="127" t="s">
        <v>151</v>
      </c>
      <c r="C135" s="279">
        <f t="shared" si="9"/>
        <v>0</v>
      </c>
      <c r="D135" s="135"/>
      <c r="E135" s="283"/>
      <c r="F135" s="279">
        <f t="shared" si="10"/>
        <v>0</v>
      </c>
      <c r="G135" s="134"/>
      <c r="H135" s="135"/>
      <c r="I135" s="136">
        <f t="shared" si="11"/>
        <v>0</v>
      </c>
      <c r="J135" s="134"/>
      <c r="K135" s="135"/>
      <c r="L135" s="136">
        <f t="shared" si="12"/>
        <v>0</v>
      </c>
      <c r="M135" s="284"/>
      <c r="N135" s="285"/>
      <c r="O135" s="136">
        <f t="shared" si="13"/>
        <v>0</v>
      </c>
      <c r="P135" s="85"/>
    </row>
    <row r="136" spans="1:16" hidden="1" x14ac:dyDescent="0.25">
      <c r="A136" s="76">
        <v>2312</v>
      </c>
      <c r="B136" s="127" t="s">
        <v>152</v>
      </c>
      <c r="C136" s="279">
        <f t="shared" si="9"/>
        <v>0</v>
      </c>
      <c r="D136" s="135"/>
      <c r="E136" s="283"/>
      <c r="F136" s="279">
        <f t="shared" si="10"/>
        <v>0</v>
      </c>
      <c r="G136" s="134"/>
      <c r="H136" s="135"/>
      <c r="I136" s="136">
        <f t="shared" si="11"/>
        <v>0</v>
      </c>
      <c r="J136" s="134"/>
      <c r="K136" s="135"/>
      <c r="L136" s="136">
        <f t="shared" si="12"/>
        <v>0</v>
      </c>
      <c r="M136" s="284"/>
      <c r="N136" s="285"/>
      <c r="O136" s="136">
        <f t="shared" si="13"/>
        <v>0</v>
      </c>
      <c r="P136" s="85"/>
    </row>
    <row r="137" spans="1:16" hidden="1" x14ac:dyDescent="0.25">
      <c r="A137" s="76">
        <v>2313</v>
      </c>
      <c r="B137" s="127" t="s">
        <v>153</v>
      </c>
      <c r="C137" s="279">
        <f t="shared" si="9"/>
        <v>0</v>
      </c>
      <c r="D137" s="135"/>
      <c r="E137" s="283"/>
      <c r="F137" s="279">
        <f t="shared" si="10"/>
        <v>0</v>
      </c>
      <c r="G137" s="134"/>
      <c r="H137" s="135"/>
      <c r="I137" s="136">
        <f t="shared" si="11"/>
        <v>0</v>
      </c>
      <c r="J137" s="134"/>
      <c r="K137" s="135"/>
      <c r="L137" s="136">
        <f t="shared" si="12"/>
        <v>0</v>
      </c>
      <c r="M137" s="284"/>
      <c r="N137" s="285"/>
      <c r="O137" s="136">
        <f t="shared" si="13"/>
        <v>0</v>
      </c>
      <c r="P137" s="85"/>
    </row>
    <row r="138" spans="1:16" ht="36" hidden="1" x14ac:dyDescent="0.25">
      <c r="A138" s="76">
        <v>2314</v>
      </c>
      <c r="B138" s="127" t="s">
        <v>154</v>
      </c>
      <c r="C138" s="279">
        <f t="shared" si="9"/>
        <v>0</v>
      </c>
      <c r="D138" s="135"/>
      <c r="E138" s="283"/>
      <c r="F138" s="279">
        <f t="shared" si="10"/>
        <v>0</v>
      </c>
      <c r="G138" s="134"/>
      <c r="H138" s="135"/>
      <c r="I138" s="136">
        <f t="shared" si="11"/>
        <v>0</v>
      </c>
      <c r="J138" s="134"/>
      <c r="K138" s="135"/>
      <c r="L138" s="136">
        <f t="shared" si="12"/>
        <v>0</v>
      </c>
      <c r="M138" s="284"/>
      <c r="N138" s="285"/>
      <c r="O138" s="136">
        <f t="shared" si="13"/>
        <v>0</v>
      </c>
      <c r="P138" s="85"/>
    </row>
    <row r="139" spans="1:16" hidden="1" x14ac:dyDescent="0.25">
      <c r="A139" s="276">
        <v>2320</v>
      </c>
      <c r="B139" s="127" t="s">
        <v>155</v>
      </c>
      <c r="C139" s="279">
        <f t="shared" si="9"/>
        <v>0</v>
      </c>
      <c r="D139" s="280">
        <f>SUM(D140:D142)</f>
        <v>0</v>
      </c>
      <c r="E139" s="278">
        <f>SUM(E140:E142)</f>
        <v>0</v>
      </c>
      <c r="F139" s="279">
        <f t="shared" si="10"/>
        <v>0</v>
      </c>
      <c r="G139" s="277">
        <f>SUM(G140:G142)</f>
        <v>0</v>
      </c>
      <c r="H139" s="280">
        <f>SUM(H140:H142)</f>
        <v>0</v>
      </c>
      <c r="I139" s="136">
        <f t="shared" si="11"/>
        <v>0</v>
      </c>
      <c r="J139" s="277">
        <f>SUM(J140:J142)</f>
        <v>0</v>
      </c>
      <c r="K139" s="280">
        <f>SUM(K140:K142)</f>
        <v>0</v>
      </c>
      <c r="L139" s="136">
        <f t="shared" si="12"/>
        <v>0</v>
      </c>
      <c r="M139" s="281">
        <f>SUM(M140:M142)</f>
        <v>0</v>
      </c>
      <c r="N139" s="282">
        <f>SUM(N140:N142)</f>
        <v>0</v>
      </c>
      <c r="O139" s="136">
        <f t="shared" si="13"/>
        <v>0</v>
      </c>
      <c r="P139" s="85"/>
    </row>
    <row r="140" spans="1:16" hidden="1" x14ac:dyDescent="0.25">
      <c r="A140" s="76">
        <v>2321</v>
      </c>
      <c r="B140" s="127" t="s">
        <v>156</v>
      </c>
      <c r="C140" s="279">
        <f t="shared" si="9"/>
        <v>0</v>
      </c>
      <c r="D140" s="135"/>
      <c r="E140" s="283"/>
      <c r="F140" s="279">
        <f t="shared" si="10"/>
        <v>0</v>
      </c>
      <c r="G140" s="134"/>
      <c r="H140" s="135"/>
      <c r="I140" s="136">
        <f t="shared" si="11"/>
        <v>0</v>
      </c>
      <c r="J140" s="134"/>
      <c r="K140" s="135"/>
      <c r="L140" s="136">
        <f t="shared" si="12"/>
        <v>0</v>
      </c>
      <c r="M140" s="284"/>
      <c r="N140" s="285"/>
      <c r="O140" s="136">
        <f t="shared" si="13"/>
        <v>0</v>
      </c>
      <c r="P140" s="85"/>
    </row>
    <row r="141" spans="1:16" hidden="1" x14ac:dyDescent="0.25">
      <c r="A141" s="76">
        <v>2322</v>
      </c>
      <c r="B141" s="127" t="s">
        <v>157</v>
      </c>
      <c r="C141" s="279">
        <f t="shared" si="9"/>
        <v>0</v>
      </c>
      <c r="D141" s="135"/>
      <c r="E141" s="283"/>
      <c r="F141" s="279">
        <f t="shared" si="10"/>
        <v>0</v>
      </c>
      <c r="G141" s="134"/>
      <c r="H141" s="135"/>
      <c r="I141" s="136">
        <f t="shared" si="11"/>
        <v>0</v>
      </c>
      <c r="J141" s="134"/>
      <c r="K141" s="135"/>
      <c r="L141" s="136">
        <f t="shared" si="12"/>
        <v>0</v>
      </c>
      <c r="M141" s="284"/>
      <c r="N141" s="285"/>
      <c r="O141" s="136">
        <f t="shared" si="13"/>
        <v>0</v>
      </c>
      <c r="P141" s="85"/>
    </row>
    <row r="142" spans="1:16" hidden="1" x14ac:dyDescent="0.25">
      <c r="A142" s="76">
        <v>2329</v>
      </c>
      <c r="B142" s="127" t="s">
        <v>158</v>
      </c>
      <c r="C142" s="279">
        <f t="shared" si="9"/>
        <v>0</v>
      </c>
      <c r="D142" s="135"/>
      <c r="E142" s="283"/>
      <c r="F142" s="279">
        <f t="shared" si="10"/>
        <v>0</v>
      </c>
      <c r="G142" s="134"/>
      <c r="H142" s="135"/>
      <c r="I142" s="136">
        <f t="shared" si="11"/>
        <v>0</v>
      </c>
      <c r="J142" s="134"/>
      <c r="K142" s="135"/>
      <c r="L142" s="136">
        <f t="shared" si="12"/>
        <v>0</v>
      </c>
      <c r="M142" s="284"/>
      <c r="N142" s="285"/>
      <c r="O142" s="136">
        <f t="shared" si="13"/>
        <v>0</v>
      </c>
      <c r="P142" s="85"/>
    </row>
    <row r="143" spans="1:16" hidden="1" x14ac:dyDescent="0.25">
      <c r="A143" s="276">
        <v>2330</v>
      </c>
      <c r="B143" s="127" t="s">
        <v>159</v>
      </c>
      <c r="C143" s="279">
        <f t="shared" si="9"/>
        <v>0</v>
      </c>
      <c r="D143" s="135"/>
      <c r="E143" s="283"/>
      <c r="F143" s="279">
        <f t="shared" si="10"/>
        <v>0</v>
      </c>
      <c r="G143" s="134"/>
      <c r="H143" s="135"/>
      <c r="I143" s="136">
        <f t="shared" si="11"/>
        <v>0</v>
      </c>
      <c r="J143" s="134"/>
      <c r="K143" s="135"/>
      <c r="L143" s="136">
        <f t="shared" si="12"/>
        <v>0</v>
      </c>
      <c r="M143" s="284"/>
      <c r="N143" s="285"/>
      <c r="O143" s="136">
        <f t="shared" si="13"/>
        <v>0</v>
      </c>
      <c r="P143" s="85"/>
    </row>
    <row r="144" spans="1:16" ht="48" hidden="1" x14ac:dyDescent="0.25">
      <c r="A144" s="276">
        <v>2340</v>
      </c>
      <c r="B144" s="127" t="s">
        <v>160</v>
      </c>
      <c r="C144" s="279">
        <f t="shared" si="9"/>
        <v>0</v>
      </c>
      <c r="D144" s="280">
        <f>SUM(D145:D146)</f>
        <v>0</v>
      </c>
      <c r="E144" s="278">
        <f>SUM(E145:E146)</f>
        <v>0</v>
      </c>
      <c r="F144" s="279">
        <f t="shared" si="10"/>
        <v>0</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row>
    <row r="145" spans="1:16" hidden="1" x14ac:dyDescent="0.25">
      <c r="A145" s="76">
        <v>2341</v>
      </c>
      <c r="B145" s="127" t="s">
        <v>161</v>
      </c>
      <c r="C145" s="279">
        <f t="shared" si="9"/>
        <v>0</v>
      </c>
      <c r="D145" s="135"/>
      <c r="E145" s="283"/>
      <c r="F145" s="279">
        <f t="shared" si="10"/>
        <v>0</v>
      </c>
      <c r="G145" s="134"/>
      <c r="H145" s="135"/>
      <c r="I145" s="136">
        <f t="shared" si="11"/>
        <v>0</v>
      </c>
      <c r="J145" s="134"/>
      <c r="K145" s="135"/>
      <c r="L145" s="136">
        <f t="shared" si="12"/>
        <v>0</v>
      </c>
      <c r="M145" s="284"/>
      <c r="N145" s="285"/>
      <c r="O145" s="136">
        <f t="shared" si="13"/>
        <v>0</v>
      </c>
      <c r="P145" s="85"/>
    </row>
    <row r="146" spans="1:16" ht="24" hidden="1" x14ac:dyDescent="0.25">
      <c r="A146" s="76">
        <v>2344</v>
      </c>
      <c r="B146" s="127" t="s">
        <v>162</v>
      </c>
      <c r="C146" s="279">
        <f t="shared" si="9"/>
        <v>0</v>
      </c>
      <c r="D146" s="135"/>
      <c r="E146" s="283"/>
      <c r="F146" s="279">
        <f t="shared" si="10"/>
        <v>0</v>
      </c>
      <c r="G146" s="134"/>
      <c r="H146" s="135"/>
      <c r="I146" s="136">
        <f t="shared" si="11"/>
        <v>0</v>
      </c>
      <c r="J146" s="134"/>
      <c r="K146" s="135"/>
      <c r="L146" s="136">
        <f t="shared" si="12"/>
        <v>0</v>
      </c>
      <c r="M146" s="284"/>
      <c r="N146" s="285"/>
      <c r="O146" s="136">
        <f t="shared" si="13"/>
        <v>0</v>
      </c>
      <c r="P146" s="85"/>
    </row>
    <row r="147" spans="1:16" ht="24" hidden="1" x14ac:dyDescent="0.25">
      <c r="A147" s="254">
        <v>2350</v>
      </c>
      <c r="B147" s="179" t="s">
        <v>163</v>
      </c>
      <c r="C147" s="279">
        <f t="shared" si="9"/>
        <v>0</v>
      </c>
      <c r="D147" s="258">
        <f>SUM(D148:D153)</f>
        <v>0</v>
      </c>
      <c r="E147" s="256">
        <f>SUM(E148:E153)</f>
        <v>0</v>
      </c>
      <c r="F147" s="257">
        <f t="shared" si="10"/>
        <v>0</v>
      </c>
      <c r="G147" s="255">
        <f>SUM(G148:G153)</f>
        <v>0</v>
      </c>
      <c r="H147" s="258">
        <f>SUM(H148:H153)</f>
        <v>0</v>
      </c>
      <c r="I147" s="259">
        <f t="shared" si="11"/>
        <v>0</v>
      </c>
      <c r="J147" s="255">
        <f>SUM(J148:J153)</f>
        <v>0</v>
      </c>
      <c r="K147" s="258">
        <f>SUM(K148:K153)</f>
        <v>0</v>
      </c>
      <c r="L147" s="259">
        <f t="shared" si="12"/>
        <v>0</v>
      </c>
      <c r="M147" s="260">
        <f>SUM(M148:M153)</f>
        <v>0</v>
      </c>
      <c r="N147" s="261">
        <f>SUM(N148:N153)</f>
        <v>0</v>
      </c>
      <c r="O147" s="259">
        <f t="shared" si="13"/>
        <v>0</v>
      </c>
      <c r="P147" s="189"/>
    </row>
    <row r="148" spans="1:16" hidden="1" x14ac:dyDescent="0.25">
      <c r="A148" s="66">
        <v>2351</v>
      </c>
      <c r="B148" s="116" t="s">
        <v>164</v>
      </c>
      <c r="C148" s="279">
        <f t="shared" si="9"/>
        <v>0</v>
      </c>
      <c r="D148" s="124"/>
      <c r="E148" s="295"/>
      <c r="F148" s="296">
        <f t="shared" si="10"/>
        <v>0</v>
      </c>
      <c r="G148" s="123"/>
      <c r="H148" s="124"/>
      <c r="I148" s="125">
        <f t="shared" si="11"/>
        <v>0</v>
      </c>
      <c r="J148" s="123"/>
      <c r="K148" s="124"/>
      <c r="L148" s="125">
        <f t="shared" si="12"/>
        <v>0</v>
      </c>
      <c r="M148" s="264"/>
      <c r="N148" s="262"/>
      <c r="O148" s="125">
        <f t="shared" si="13"/>
        <v>0</v>
      </c>
      <c r="P148" s="74"/>
    </row>
    <row r="149" spans="1:16" hidden="1" x14ac:dyDescent="0.25">
      <c r="A149" s="76">
        <v>2352</v>
      </c>
      <c r="B149" s="127" t="s">
        <v>165</v>
      </c>
      <c r="C149" s="279">
        <f t="shared" si="9"/>
        <v>0</v>
      </c>
      <c r="D149" s="135"/>
      <c r="E149" s="283"/>
      <c r="F149" s="279">
        <f t="shared" si="10"/>
        <v>0</v>
      </c>
      <c r="G149" s="134"/>
      <c r="H149" s="135"/>
      <c r="I149" s="136">
        <f t="shared" si="11"/>
        <v>0</v>
      </c>
      <c r="J149" s="134"/>
      <c r="K149" s="135"/>
      <c r="L149" s="136">
        <f t="shared" si="12"/>
        <v>0</v>
      </c>
      <c r="M149" s="284"/>
      <c r="N149" s="285"/>
      <c r="O149" s="136">
        <f t="shared" si="13"/>
        <v>0</v>
      </c>
      <c r="P149" s="85"/>
    </row>
    <row r="150" spans="1:16" ht="24" hidden="1" x14ac:dyDescent="0.25">
      <c r="A150" s="76">
        <v>2353</v>
      </c>
      <c r="B150" s="127" t="s">
        <v>166</v>
      </c>
      <c r="C150" s="279">
        <f t="shared" si="9"/>
        <v>0</v>
      </c>
      <c r="D150" s="135"/>
      <c r="E150" s="283"/>
      <c r="F150" s="279">
        <f t="shared" si="10"/>
        <v>0</v>
      </c>
      <c r="G150" s="134"/>
      <c r="H150" s="135"/>
      <c r="I150" s="136">
        <f t="shared" si="11"/>
        <v>0</v>
      </c>
      <c r="J150" s="134"/>
      <c r="K150" s="135"/>
      <c r="L150" s="136">
        <f t="shared" si="12"/>
        <v>0</v>
      </c>
      <c r="M150" s="284"/>
      <c r="N150" s="285"/>
      <c r="O150" s="136">
        <f t="shared" si="13"/>
        <v>0</v>
      </c>
      <c r="P150" s="85"/>
    </row>
    <row r="151" spans="1:16" ht="24" hidden="1" x14ac:dyDescent="0.25">
      <c r="A151" s="76">
        <v>2354</v>
      </c>
      <c r="B151" s="127" t="s">
        <v>167</v>
      </c>
      <c r="C151" s="279">
        <f t="shared" si="9"/>
        <v>0</v>
      </c>
      <c r="D151" s="135"/>
      <c r="E151" s="283"/>
      <c r="F151" s="279">
        <f t="shared" si="10"/>
        <v>0</v>
      </c>
      <c r="G151" s="134"/>
      <c r="H151" s="135"/>
      <c r="I151" s="136">
        <f t="shared" si="11"/>
        <v>0</v>
      </c>
      <c r="J151" s="134"/>
      <c r="K151" s="135"/>
      <c r="L151" s="136">
        <f t="shared" si="12"/>
        <v>0</v>
      </c>
      <c r="M151" s="284"/>
      <c r="N151" s="285"/>
      <c r="O151" s="136">
        <f t="shared" si="13"/>
        <v>0</v>
      </c>
      <c r="P151" s="85"/>
    </row>
    <row r="152" spans="1:16" ht="24" hidden="1" x14ac:dyDescent="0.25">
      <c r="A152" s="76">
        <v>2355</v>
      </c>
      <c r="B152" s="127" t="s">
        <v>168</v>
      </c>
      <c r="C152" s="279">
        <f t="shared" si="9"/>
        <v>0</v>
      </c>
      <c r="D152" s="135"/>
      <c r="E152" s="283"/>
      <c r="F152" s="279">
        <f t="shared" si="10"/>
        <v>0</v>
      </c>
      <c r="G152" s="134"/>
      <c r="H152" s="135"/>
      <c r="I152" s="136">
        <f t="shared" si="11"/>
        <v>0</v>
      </c>
      <c r="J152" s="134"/>
      <c r="K152" s="135"/>
      <c r="L152" s="136">
        <f t="shared" si="12"/>
        <v>0</v>
      </c>
      <c r="M152" s="284"/>
      <c r="N152" s="285"/>
      <c r="O152" s="136">
        <f t="shared" si="13"/>
        <v>0</v>
      </c>
      <c r="P152" s="85"/>
    </row>
    <row r="153" spans="1:16" ht="24" hidden="1" x14ac:dyDescent="0.25">
      <c r="A153" s="76">
        <v>2359</v>
      </c>
      <c r="B153" s="127" t="s">
        <v>169</v>
      </c>
      <c r="C153" s="279">
        <f t="shared" si="9"/>
        <v>0</v>
      </c>
      <c r="D153" s="135"/>
      <c r="E153" s="283"/>
      <c r="F153" s="279">
        <f t="shared" si="10"/>
        <v>0</v>
      </c>
      <c r="G153" s="134"/>
      <c r="H153" s="135"/>
      <c r="I153" s="136">
        <f t="shared" si="11"/>
        <v>0</v>
      </c>
      <c r="J153" s="134"/>
      <c r="K153" s="135"/>
      <c r="L153" s="136">
        <f t="shared" si="12"/>
        <v>0</v>
      </c>
      <c r="M153" s="284"/>
      <c r="N153" s="285"/>
      <c r="O153" s="136">
        <f t="shared" si="13"/>
        <v>0</v>
      </c>
      <c r="P153" s="85"/>
    </row>
    <row r="154" spans="1:16" ht="24" hidden="1" x14ac:dyDescent="0.25">
      <c r="A154" s="276">
        <v>2360</v>
      </c>
      <c r="B154" s="127" t="s">
        <v>170</v>
      </c>
      <c r="C154" s="279">
        <f t="shared" si="9"/>
        <v>0</v>
      </c>
      <c r="D154" s="280">
        <f>SUM(D155:D161)</f>
        <v>0</v>
      </c>
      <c r="E154" s="278">
        <f>SUM(E155:E161)</f>
        <v>0</v>
      </c>
      <c r="F154" s="279">
        <f t="shared" si="10"/>
        <v>0</v>
      </c>
      <c r="G154" s="277">
        <f>SUM(G155:G161)</f>
        <v>0</v>
      </c>
      <c r="H154" s="280">
        <f>SUM(H155:H161)</f>
        <v>0</v>
      </c>
      <c r="I154" s="136">
        <f t="shared" si="11"/>
        <v>0</v>
      </c>
      <c r="J154" s="277">
        <f>SUM(J155:J161)</f>
        <v>0</v>
      </c>
      <c r="K154" s="280">
        <f>SUM(K155:K161)</f>
        <v>0</v>
      </c>
      <c r="L154" s="136">
        <f t="shared" si="12"/>
        <v>0</v>
      </c>
      <c r="M154" s="281">
        <f>SUM(M155:M161)</f>
        <v>0</v>
      </c>
      <c r="N154" s="282">
        <f>SUM(N155:N161)</f>
        <v>0</v>
      </c>
      <c r="O154" s="136">
        <f t="shared" si="13"/>
        <v>0</v>
      </c>
      <c r="P154" s="85"/>
    </row>
    <row r="155" spans="1:16" hidden="1" x14ac:dyDescent="0.25">
      <c r="A155" s="75">
        <v>2361</v>
      </c>
      <c r="B155" s="127" t="s">
        <v>171</v>
      </c>
      <c r="C155" s="279">
        <f t="shared" si="9"/>
        <v>0</v>
      </c>
      <c r="D155" s="135"/>
      <c r="E155" s="283"/>
      <c r="F155" s="279">
        <f t="shared" si="10"/>
        <v>0</v>
      </c>
      <c r="G155" s="134"/>
      <c r="H155" s="135"/>
      <c r="I155" s="136">
        <f t="shared" si="11"/>
        <v>0</v>
      </c>
      <c r="J155" s="134"/>
      <c r="K155" s="135"/>
      <c r="L155" s="136">
        <f t="shared" si="12"/>
        <v>0</v>
      </c>
      <c r="M155" s="284"/>
      <c r="N155" s="285"/>
      <c r="O155" s="136">
        <f t="shared" si="13"/>
        <v>0</v>
      </c>
      <c r="P155" s="85"/>
    </row>
    <row r="156" spans="1:16" ht="24" hidden="1" x14ac:dyDescent="0.25">
      <c r="A156" s="75">
        <v>2362</v>
      </c>
      <c r="B156" s="127" t="s">
        <v>172</v>
      </c>
      <c r="C156" s="279">
        <f t="shared" si="9"/>
        <v>0</v>
      </c>
      <c r="D156" s="135"/>
      <c r="E156" s="283"/>
      <c r="F156" s="279">
        <f t="shared" si="10"/>
        <v>0</v>
      </c>
      <c r="G156" s="134"/>
      <c r="H156" s="135"/>
      <c r="I156" s="136">
        <f t="shared" si="11"/>
        <v>0</v>
      </c>
      <c r="J156" s="134"/>
      <c r="K156" s="135"/>
      <c r="L156" s="136">
        <f t="shared" si="12"/>
        <v>0</v>
      </c>
      <c r="M156" s="284"/>
      <c r="N156" s="285"/>
      <c r="O156" s="136">
        <f t="shared" si="13"/>
        <v>0</v>
      </c>
      <c r="P156" s="85"/>
    </row>
    <row r="157" spans="1:16" hidden="1" x14ac:dyDescent="0.25">
      <c r="A157" s="75">
        <v>2363</v>
      </c>
      <c r="B157" s="127" t="s">
        <v>173</v>
      </c>
      <c r="C157" s="279">
        <f t="shared" si="9"/>
        <v>0</v>
      </c>
      <c r="D157" s="135"/>
      <c r="E157" s="283"/>
      <c r="F157" s="279">
        <f t="shared" si="10"/>
        <v>0</v>
      </c>
      <c r="G157" s="134"/>
      <c r="H157" s="135"/>
      <c r="I157" s="136">
        <f t="shared" si="11"/>
        <v>0</v>
      </c>
      <c r="J157" s="134"/>
      <c r="K157" s="135"/>
      <c r="L157" s="136">
        <f t="shared" si="12"/>
        <v>0</v>
      </c>
      <c r="M157" s="284"/>
      <c r="N157" s="285"/>
      <c r="O157" s="136">
        <f t="shared" si="13"/>
        <v>0</v>
      </c>
      <c r="P157" s="85"/>
    </row>
    <row r="158" spans="1:16" hidden="1" x14ac:dyDescent="0.25">
      <c r="A158" s="75">
        <v>2364</v>
      </c>
      <c r="B158" s="127" t="s">
        <v>174</v>
      </c>
      <c r="C158" s="279">
        <f t="shared" si="9"/>
        <v>0</v>
      </c>
      <c r="D158" s="135"/>
      <c r="E158" s="283"/>
      <c r="F158" s="279">
        <f t="shared" si="10"/>
        <v>0</v>
      </c>
      <c r="G158" s="134"/>
      <c r="H158" s="135"/>
      <c r="I158" s="136">
        <f t="shared" si="11"/>
        <v>0</v>
      </c>
      <c r="J158" s="134"/>
      <c r="K158" s="135"/>
      <c r="L158" s="136">
        <f t="shared" si="12"/>
        <v>0</v>
      </c>
      <c r="M158" s="284"/>
      <c r="N158" s="285"/>
      <c r="O158" s="136">
        <f t="shared" si="13"/>
        <v>0</v>
      </c>
      <c r="P158" s="85"/>
    </row>
    <row r="159" spans="1:16" hidden="1" x14ac:dyDescent="0.25">
      <c r="A159" s="75">
        <v>2365</v>
      </c>
      <c r="B159" s="127" t="s">
        <v>175</v>
      </c>
      <c r="C159" s="279">
        <f t="shared" si="9"/>
        <v>0</v>
      </c>
      <c r="D159" s="135"/>
      <c r="E159" s="283"/>
      <c r="F159" s="279">
        <f t="shared" si="10"/>
        <v>0</v>
      </c>
      <c r="G159" s="134"/>
      <c r="H159" s="135"/>
      <c r="I159" s="136">
        <f t="shared" si="11"/>
        <v>0</v>
      </c>
      <c r="J159" s="134"/>
      <c r="K159" s="135"/>
      <c r="L159" s="136">
        <f t="shared" si="12"/>
        <v>0</v>
      </c>
      <c r="M159" s="284"/>
      <c r="N159" s="285"/>
      <c r="O159" s="136">
        <f t="shared" si="13"/>
        <v>0</v>
      </c>
      <c r="P159" s="85"/>
    </row>
    <row r="160" spans="1:16" ht="36" hidden="1" x14ac:dyDescent="0.25">
      <c r="A160" s="75">
        <v>2366</v>
      </c>
      <c r="B160" s="127" t="s">
        <v>176</v>
      </c>
      <c r="C160" s="279">
        <f t="shared" si="9"/>
        <v>0</v>
      </c>
      <c r="D160" s="135"/>
      <c r="E160" s="283"/>
      <c r="F160" s="279">
        <f t="shared" si="10"/>
        <v>0</v>
      </c>
      <c r="G160" s="134"/>
      <c r="H160" s="135"/>
      <c r="I160" s="136">
        <f t="shared" si="11"/>
        <v>0</v>
      </c>
      <c r="J160" s="134"/>
      <c r="K160" s="135"/>
      <c r="L160" s="136">
        <f t="shared" si="12"/>
        <v>0</v>
      </c>
      <c r="M160" s="284"/>
      <c r="N160" s="285"/>
      <c r="O160" s="136">
        <f t="shared" si="13"/>
        <v>0</v>
      </c>
      <c r="P160" s="85"/>
    </row>
    <row r="161" spans="1:16" ht="48" hidden="1" x14ac:dyDescent="0.25">
      <c r="A161" s="75">
        <v>2369</v>
      </c>
      <c r="B161" s="127" t="s">
        <v>177</v>
      </c>
      <c r="C161" s="279">
        <f t="shared" si="9"/>
        <v>0</v>
      </c>
      <c r="D161" s="135"/>
      <c r="E161" s="283"/>
      <c r="F161" s="279">
        <f t="shared" si="10"/>
        <v>0</v>
      </c>
      <c r="G161" s="134"/>
      <c r="H161" s="135"/>
      <c r="I161" s="136">
        <f t="shared" si="11"/>
        <v>0</v>
      </c>
      <c r="J161" s="134"/>
      <c r="K161" s="135"/>
      <c r="L161" s="136">
        <f t="shared" si="12"/>
        <v>0</v>
      </c>
      <c r="M161" s="284"/>
      <c r="N161" s="285"/>
      <c r="O161" s="136">
        <f t="shared" si="13"/>
        <v>0</v>
      </c>
      <c r="P161" s="85"/>
    </row>
    <row r="162" spans="1:16" hidden="1" x14ac:dyDescent="0.25">
      <c r="A162" s="254">
        <v>2370</v>
      </c>
      <c r="B162" s="179" t="s">
        <v>178</v>
      </c>
      <c r="C162" s="279">
        <f t="shared" si="9"/>
        <v>0</v>
      </c>
      <c r="D162" s="289"/>
      <c r="E162" s="288"/>
      <c r="F162" s="257">
        <f t="shared" si="10"/>
        <v>0</v>
      </c>
      <c r="G162" s="287"/>
      <c r="H162" s="289"/>
      <c r="I162" s="259">
        <f t="shared" si="11"/>
        <v>0</v>
      </c>
      <c r="J162" s="287"/>
      <c r="K162" s="289"/>
      <c r="L162" s="259">
        <f t="shared" si="12"/>
        <v>0</v>
      </c>
      <c r="M162" s="290"/>
      <c r="N162" s="291"/>
      <c r="O162" s="259">
        <f t="shared" si="13"/>
        <v>0</v>
      </c>
      <c r="P162" s="189"/>
    </row>
    <row r="163" spans="1:16" hidden="1" x14ac:dyDescent="0.25">
      <c r="A163" s="254">
        <v>2380</v>
      </c>
      <c r="B163" s="179" t="s">
        <v>179</v>
      </c>
      <c r="C163" s="279">
        <f t="shared" si="9"/>
        <v>0</v>
      </c>
      <c r="D163" s="258">
        <f>SUM(D164:D165)</f>
        <v>0</v>
      </c>
      <c r="E163" s="256">
        <f>SUM(E164:E165)</f>
        <v>0</v>
      </c>
      <c r="F163" s="257">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row>
    <row r="164" spans="1:16" hidden="1" x14ac:dyDescent="0.25">
      <c r="A164" s="65">
        <v>2381</v>
      </c>
      <c r="B164" s="116" t="s">
        <v>180</v>
      </c>
      <c r="C164" s="279">
        <f t="shared" si="9"/>
        <v>0</v>
      </c>
      <c r="D164" s="124"/>
      <c r="E164" s="295"/>
      <c r="F164" s="296">
        <f t="shared" si="10"/>
        <v>0</v>
      </c>
      <c r="G164" s="123"/>
      <c r="H164" s="124"/>
      <c r="I164" s="125">
        <f t="shared" si="11"/>
        <v>0</v>
      </c>
      <c r="J164" s="123"/>
      <c r="K164" s="124"/>
      <c r="L164" s="125">
        <f t="shared" si="12"/>
        <v>0</v>
      </c>
      <c r="M164" s="264"/>
      <c r="N164" s="262"/>
      <c r="O164" s="125">
        <f t="shared" si="13"/>
        <v>0</v>
      </c>
      <c r="P164" s="74"/>
    </row>
    <row r="165" spans="1:16" ht="24" hidden="1" x14ac:dyDescent="0.25">
      <c r="A165" s="75">
        <v>2389</v>
      </c>
      <c r="B165" s="127" t="s">
        <v>181</v>
      </c>
      <c r="C165" s="279">
        <f t="shared" si="9"/>
        <v>0</v>
      </c>
      <c r="D165" s="135"/>
      <c r="E165" s="283"/>
      <c r="F165" s="279">
        <f t="shared" si="10"/>
        <v>0</v>
      </c>
      <c r="G165" s="134"/>
      <c r="H165" s="135"/>
      <c r="I165" s="136">
        <f t="shared" si="11"/>
        <v>0</v>
      </c>
      <c r="J165" s="134"/>
      <c r="K165" s="135"/>
      <c r="L165" s="136">
        <f t="shared" si="12"/>
        <v>0</v>
      </c>
      <c r="M165" s="284"/>
      <c r="N165" s="285"/>
      <c r="O165" s="136">
        <f t="shared" si="13"/>
        <v>0</v>
      </c>
      <c r="P165" s="85"/>
    </row>
    <row r="166" spans="1:16" hidden="1" x14ac:dyDescent="0.25">
      <c r="A166" s="254">
        <v>2390</v>
      </c>
      <c r="B166" s="179" t="s">
        <v>182</v>
      </c>
      <c r="C166" s="279">
        <f t="shared" si="9"/>
        <v>0</v>
      </c>
      <c r="D166" s="289"/>
      <c r="E166" s="288"/>
      <c r="F166" s="257">
        <f t="shared" si="10"/>
        <v>0</v>
      </c>
      <c r="G166" s="287"/>
      <c r="H166" s="289"/>
      <c r="I166" s="259">
        <f t="shared" si="11"/>
        <v>0</v>
      </c>
      <c r="J166" s="287"/>
      <c r="K166" s="289"/>
      <c r="L166" s="259">
        <f t="shared" si="12"/>
        <v>0</v>
      </c>
      <c r="M166" s="290"/>
      <c r="N166" s="291"/>
      <c r="O166" s="259">
        <f t="shared" si="13"/>
        <v>0</v>
      </c>
      <c r="P166" s="189"/>
    </row>
    <row r="167" spans="1:16" hidden="1" x14ac:dyDescent="0.25">
      <c r="A167" s="99">
        <v>2400</v>
      </c>
      <c r="B167" s="247" t="s">
        <v>183</v>
      </c>
      <c r="C167" s="249">
        <f t="shared" si="9"/>
        <v>0</v>
      </c>
      <c r="D167" s="314"/>
      <c r="E167" s="712"/>
      <c r="F167" s="249">
        <f t="shared" si="10"/>
        <v>0</v>
      </c>
      <c r="G167" s="311"/>
      <c r="H167" s="314"/>
      <c r="I167" s="114">
        <f t="shared" si="11"/>
        <v>0</v>
      </c>
      <c r="J167" s="311"/>
      <c r="K167" s="314"/>
      <c r="L167" s="114">
        <f t="shared" si="12"/>
        <v>0</v>
      </c>
      <c r="M167" s="315"/>
      <c r="N167" s="312"/>
      <c r="O167" s="114">
        <f t="shared" si="13"/>
        <v>0</v>
      </c>
      <c r="P167" s="109"/>
    </row>
    <row r="168" spans="1:16" ht="24" hidden="1" x14ac:dyDescent="0.25">
      <c r="A168" s="99">
        <v>2500</v>
      </c>
      <c r="B168" s="247" t="s">
        <v>184</v>
      </c>
      <c r="C168" s="249">
        <f t="shared" si="9"/>
        <v>0</v>
      </c>
      <c r="D168" s="113">
        <f>SUM(D169,D174)</f>
        <v>0</v>
      </c>
      <c r="E168" s="248">
        <f>SUM(E169,E174)</f>
        <v>0</v>
      </c>
      <c r="F168" s="249">
        <f t="shared" si="10"/>
        <v>0</v>
      </c>
      <c r="G168" s="112">
        <f>SUM(G169,G174)</f>
        <v>0</v>
      </c>
      <c r="H168" s="113">
        <f t="shared" ref="H168" si="18">SUM(H169,H174)</f>
        <v>0</v>
      </c>
      <c r="I168" s="114">
        <f t="shared" si="11"/>
        <v>0</v>
      </c>
      <c r="J168" s="112">
        <f>SUM(J169,J174)</f>
        <v>0</v>
      </c>
      <c r="K168" s="113">
        <f t="shared" ref="K168" si="19">SUM(K169,K174)</f>
        <v>0</v>
      </c>
      <c r="L168" s="114">
        <f t="shared" si="12"/>
        <v>0</v>
      </c>
      <c r="M168" s="250">
        <f t="shared" ref="M168:N168" si="20">SUM(M169,M174)</f>
        <v>0</v>
      </c>
      <c r="N168" s="251">
        <f t="shared" si="20"/>
        <v>0</v>
      </c>
      <c r="O168" s="252">
        <f t="shared" si="13"/>
        <v>0</v>
      </c>
      <c r="P168" s="253"/>
    </row>
    <row r="169" spans="1:16" hidden="1" x14ac:dyDescent="0.25">
      <c r="A169" s="656">
        <v>2510</v>
      </c>
      <c r="B169" s="116" t="s">
        <v>185</v>
      </c>
      <c r="C169" s="296">
        <f t="shared" si="9"/>
        <v>0</v>
      </c>
      <c r="D169" s="299">
        <f>SUM(D170:D173)</f>
        <v>0</v>
      </c>
      <c r="E169" s="298">
        <f>SUM(E170:E173)</f>
        <v>0</v>
      </c>
      <c r="F169" s="296">
        <f t="shared" si="10"/>
        <v>0</v>
      </c>
      <c r="G169" s="297">
        <f>SUM(G170:G173)</f>
        <v>0</v>
      </c>
      <c r="H169" s="299">
        <f t="shared" ref="H169" si="21">SUM(H170:H173)</f>
        <v>0</v>
      </c>
      <c r="I169" s="125">
        <f t="shared" si="11"/>
        <v>0</v>
      </c>
      <c r="J169" s="297">
        <f>SUM(J170:J173)</f>
        <v>0</v>
      </c>
      <c r="K169" s="299">
        <f t="shared" ref="K169" si="22">SUM(K170:K173)</f>
        <v>0</v>
      </c>
      <c r="L169" s="125">
        <f t="shared" si="12"/>
        <v>0</v>
      </c>
      <c r="M169" s="317">
        <f t="shared" ref="M169:N169" si="23">SUM(M170:M173)</f>
        <v>0</v>
      </c>
      <c r="N169" s="318">
        <f t="shared" si="23"/>
        <v>0</v>
      </c>
      <c r="O169" s="151">
        <f t="shared" si="13"/>
        <v>0</v>
      </c>
      <c r="P169" s="153"/>
    </row>
    <row r="170" spans="1:16" ht="24" hidden="1" x14ac:dyDescent="0.25">
      <c r="A170" s="76">
        <v>2512</v>
      </c>
      <c r="B170" s="127" t="s">
        <v>186</v>
      </c>
      <c r="C170" s="279">
        <f t="shared" si="9"/>
        <v>0</v>
      </c>
      <c r="D170" s="135"/>
      <c r="E170" s="283"/>
      <c r="F170" s="279">
        <f t="shared" si="10"/>
        <v>0</v>
      </c>
      <c r="G170" s="134"/>
      <c r="H170" s="135"/>
      <c r="I170" s="136">
        <f t="shared" si="11"/>
        <v>0</v>
      </c>
      <c r="J170" s="134"/>
      <c r="K170" s="135"/>
      <c r="L170" s="136">
        <f t="shared" si="12"/>
        <v>0</v>
      </c>
      <c r="M170" s="284"/>
      <c r="N170" s="285"/>
      <c r="O170" s="136">
        <f t="shared" si="13"/>
        <v>0</v>
      </c>
      <c r="P170" s="85"/>
    </row>
    <row r="171" spans="1:16" ht="36" hidden="1" x14ac:dyDescent="0.25">
      <c r="A171" s="76">
        <v>2513</v>
      </c>
      <c r="B171" s="127" t="s">
        <v>187</v>
      </c>
      <c r="C171" s="279">
        <f t="shared" si="9"/>
        <v>0</v>
      </c>
      <c r="D171" s="135"/>
      <c r="E171" s="283"/>
      <c r="F171" s="279">
        <f t="shared" si="10"/>
        <v>0</v>
      </c>
      <c r="G171" s="134"/>
      <c r="H171" s="135"/>
      <c r="I171" s="136">
        <f t="shared" si="11"/>
        <v>0</v>
      </c>
      <c r="J171" s="134"/>
      <c r="K171" s="135"/>
      <c r="L171" s="136">
        <f t="shared" si="12"/>
        <v>0</v>
      </c>
      <c r="M171" s="284"/>
      <c r="N171" s="285"/>
      <c r="O171" s="136">
        <f t="shared" si="13"/>
        <v>0</v>
      </c>
      <c r="P171" s="85"/>
    </row>
    <row r="172" spans="1:16" ht="24" hidden="1" x14ac:dyDescent="0.25">
      <c r="A172" s="76">
        <v>2515</v>
      </c>
      <c r="B172" s="127" t="s">
        <v>188</v>
      </c>
      <c r="C172" s="279">
        <f t="shared" si="9"/>
        <v>0</v>
      </c>
      <c r="D172" s="135"/>
      <c r="E172" s="283"/>
      <c r="F172" s="279">
        <f t="shared" si="10"/>
        <v>0</v>
      </c>
      <c r="G172" s="134"/>
      <c r="H172" s="135"/>
      <c r="I172" s="136">
        <f t="shared" si="11"/>
        <v>0</v>
      </c>
      <c r="J172" s="134"/>
      <c r="K172" s="135"/>
      <c r="L172" s="136">
        <f t="shared" si="12"/>
        <v>0</v>
      </c>
      <c r="M172" s="284"/>
      <c r="N172" s="285"/>
      <c r="O172" s="136">
        <f t="shared" si="13"/>
        <v>0</v>
      </c>
      <c r="P172" s="85"/>
    </row>
    <row r="173" spans="1:16" ht="24" hidden="1" x14ac:dyDescent="0.25">
      <c r="A173" s="76">
        <v>2519</v>
      </c>
      <c r="B173" s="127" t="s">
        <v>189</v>
      </c>
      <c r="C173" s="279">
        <f t="shared" si="9"/>
        <v>0</v>
      </c>
      <c r="D173" s="135"/>
      <c r="E173" s="283"/>
      <c r="F173" s="279">
        <f t="shared" si="10"/>
        <v>0</v>
      </c>
      <c r="G173" s="134"/>
      <c r="H173" s="135"/>
      <c r="I173" s="136">
        <f t="shared" si="11"/>
        <v>0</v>
      </c>
      <c r="J173" s="134"/>
      <c r="K173" s="135"/>
      <c r="L173" s="136">
        <f t="shared" si="12"/>
        <v>0</v>
      </c>
      <c r="M173" s="284"/>
      <c r="N173" s="285"/>
      <c r="O173" s="136">
        <f t="shared" si="13"/>
        <v>0</v>
      </c>
      <c r="P173" s="85"/>
    </row>
    <row r="174" spans="1:16" ht="24" hidden="1" x14ac:dyDescent="0.25">
      <c r="A174" s="276">
        <v>2520</v>
      </c>
      <c r="B174" s="127" t="s">
        <v>190</v>
      </c>
      <c r="C174" s="279">
        <f t="shared" si="9"/>
        <v>0</v>
      </c>
      <c r="D174" s="135"/>
      <c r="E174" s="283"/>
      <c r="F174" s="279">
        <f t="shared" si="10"/>
        <v>0</v>
      </c>
      <c r="G174" s="134"/>
      <c r="H174" s="135"/>
      <c r="I174" s="136">
        <f t="shared" si="11"/>
        <v>0</v>
      </c>
      <c r="J174" s="134"/>
      <c r="K174" s="135"/>
      <c r="L174" s="136">
        <f t="shared" si="12"/>
        <v>0</v>
      </c>
      <c r="M174" s="284"/>
      <c r="N174" s="285"/>
      <c r="O174" s="136">
        <f t="shared" si="13"/>
        <v>0</v>
      </c>
      <c r="P174" s="85"/>
    </row>
    <row r="175" spans="1:16" s="319" customFormat="1" ht="48" hidden="1" x14ac:dyDescent="0.25">
      <c r="A175" s="31">
        <v>2800</v>
      </c>
      <c r="B175" s="116" t="s">
        <v>191</v>
      </c>
      <c r="C175" s="296">
        <f t="shared" si="9"/>
        <v>0</v>
      </c>
      <c r="D175" s="71"/>
      <c r="E175" s="673"/>
      <c r="F175" s="625">
        <f t="shared" si="10"/>
        <v>0</v>
      </c>
      <c r="G175" s="68"/>
      <c r="H175" s="71"/>
      <c r="I175" s="72">
        <f t="shared" si="11"/>
        <v>0</v>
      </c>
      <c r="J175" s="68"/>
      <c r="K175" s="71"/>
      <c r="L175" s="72">
        <f t="shared" si="12"/>
        <v>0</v>
      </c>
      <c r="M175" s="73"/>
      <c r="N175" s="69"/>
      <c r="O175" s="72">
        <f t="shared" si="13"/>
        <v>0</v>
      </c>
      <c r="P175" s="74"/>
    </row>
    <row r="176" spans="1:16" hidden="1" x14ac:dyDescent="0.25">
      <c r="A176" s="237">
        <v>3000</v>
      </c>
      <c r="B176" s="237" t="s">
        <v>192</v>
      </c>
      <c r="C176" s="241">
        <f t="shared" si="9"/>
        <v>0</v>
      </c>
      <c r="D176" s="469">
        <f>SUM(D177,D187)</f>
        <v>0</v>
      </c>
      <c r="E176" s="240">
        <f>SUM(E177,E187)</f>
        <v>0</v>
      </c>
      <c r="F176" s="241">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row>
    <row r="177" spans="1:16" ht="24" hidden="1" x14ac:dyDescent="0.25">
      <c r="A177" s="99">
        <v>3200</v>
      </c>
      <c r="B177" s="321" t="s">
        <v>193</v>
      </c>
      <c r="C177" s="249">
        <f t="shared" si="9"/>
        <v>0</v>
      </c>
      <c r="D177" s="113">
        <f>SUM(D178,D182)</f>
        <v>0</v>
      </c>
      <c r="E177" s="248">
        <f>SUM(E178,E182)</f>
        <v>0</v>
      </c>
      <c r="F177" s="249">
        <f t="shared" si="10"/>
        <v>0</v>
      </c>
      <c r="G177" s="112">
        <f>SUM(G178,G182)</f>
        <v>0</v>
      </c>
      <c r="H177" s="113">
        <f t="shared" ref="H177" si="24">SUM(H178,H182)</f>
        <v>0</v>
      </c>
      <c r="I177" s="114">
        <f t="shared" si="11"/>
        <v>0</v>
      </c>
      <c r="J177" s="112">
        <f>SUM(J178,J182)</f>
        <v>0</v>
      </c>
      <c r="K177" s="113">
        <f t="shared" ref="K177" si="25">SUM(K178,K182)</f>
        <v>0</v>
      </c>
      <c r="L177" s="114">
        <f t="shared" si="12"/>
        <v>0</v>
      </c>
      <c r="M177" s="250">
        <f t="shared" ref="M177:N177" si="26">SUM(M178,M182)</f>
        <v>0</v>
      </c>
      <c r="N177" s="251">
        <f t="shared" si="26"/>
        <v>0</v>
      </c>
      <c r="O177" s="252">
        <f t="shared" si="13"/>
        <v>0</v>
      </c>
      <c r="P177" s="253"/>
    </row>
    <row r="178" spans="1:16" ht="36" hidden="1" x14ac:dyDescent="0.25">
      <c r="A178" s="656">
        <v>3260</v>
      </c>
      <c r="B178" s="116" t="s">
        <v>194</v>
      </c>
      <c r="C178" s="296">
        <f t="shared" si="9"/>
        <v>0</v>
      </c>
      <c r="D178" s="299">
        <f>SUM(D179:D181)</f>
        <v>0</v>
      </c>
      <c r="E178" s="298">
        <f>SUM(E179:E181)</f>
        <v>0</v>
      </c>
      <c r="F178" s="296">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row>
    <row r="179" spans="1:16" ht="24" hidden="1" x14ac:dyDescent="0.25">
      <c r="A179" s="76">
        <v>3261</v>
      </c>
      <c r="B179" s="127" t="s">
        <v>195</v>
      </c>
      <c r="C179" s="279">
        <f t="shared" si="9"/>
        <v>0</v>
      </c>
      <c r="D179" s="135"/>
      <c r="E179" s="283"/>
      <c r="F179" s="279">
        <f t="shared" si="10"/>
        <v>0</v>
      </c>
      <c r="G179" s="134"/>
      <c r="H179" s="135"/>
      <c r="I179" s="136">
        <f t="shared" si="11"/>
        <v>0</v>
      </c>
      <c r="J179" s="134"/>
      <c r="K179" s="135"/>
      <c r="L179" s="136">
        <f t="shared" si="12"/>
        <v>0</v>
      </c>
      <c r="M179" s="284"/>
      <c r="N179" s="285"/>
      <c r="O179" s="136">
        <f t="shared" si="13"/>
        <v>0</v>
      </c>
      <c r="P179" s="85"/>
    </row>
    <row r="180" spans="1:16" ht="36" hidden="1" x14ac:dyDescent="0.25">
      <c r="A180" s="76">
        <v>3262</v>
      </c>
      <c r="B180" s="127" t="s">
        <v>196</v>
      </c>
      <c r="C180" s="279">
        <f t="shared" si="9"/>
        <v>0</v>
      </c>
      <c r="D180" s="135"/>
      <c r="E180" s="283"/>
      <c r="F180" s="279">
        <f t="shared" si="10"/>
        <v>0</v>
      </c>
      <c r="G180" s="134"/>
      <c r="H180" s="135"/>
      <c r="I180" s="136">
        <f t="shared" si="11"/>
        <v>0</v>
      </c>
      <c r="J180" s="134"/>
      <c r="K180" s="135"/>
      <c r="L180" s="136">
        <f t="shared" si="12"/>
        <v>0</v>
      </c>
      <c r="M180" s="284"/>
      <c r="N180" s="285"/>
      <c r="O180" s="136">
        <f t="shared" si="13"/>
        <v>0</v>
      </c>
      <c r="P180" s="85"/>
    </row>
    <row r="181" spans="1:16" ht="24" hidden="1" x14ac:dyDescent="0.25">
      <c r="A181" s="76">
        <v>3263</v>
      </c>
      <c r="B181" s="127" t="s">
        <v>197</v>
      </c>
      <c r="C181" s="279">
        <f t="shared" si="9"/>
        <v>0</v>
      </c>
      <c r="D181" s="135"/>
      <c r="E181" s="283"/>
      <c r="F181" s="279">
        <f t="shared" si="10"/>
        <v>0</v>
      </c>
      <c r="G181" s="134"/>
      <c r="H181" s="135"/>
      <c r="I181" s="136">
        <f t="shared" si="11"/>
        <v>0</v>
      </c>
      <c r="J181" s="134"/>
      <c r="K181" s="135"/>
      <c r="L181" s="136">
        <f t="shared" si="12"/>
        <v>0</v>
      </c>
      <c r="M181" s="284"/>
      <c r="N181" s="285"/>
      <c r="O181" s="136">
        <f t="shared" si="13"/>
        <v>0</v>
      </c>
      <c r="P181" s="85"/>
    </row>
    <row r="182" spans="1:16" ht="84" hidden="1" x14ac:dyDescent="0.25">
      <c r="A182" s="656">
        <v>3290</v>
      </c>
      <c r="B182" s="116" t="s">
        <v>198</v>
      </c>
      <c r="C182" s="279">
        <f t="shared" ref="C182:C258" si="27">F182+I182+L182+O182</f>
        <v>0</v>
      </c>
      <c r="D182" s="299">
        <f>SUM(D183:D186)</f>
        <v>0</v>
      </c>
      <c r="E182" s="298">
        <f>SUM(E183:E186)</f>
        <v>0</v>
      </c>
      <c r="F182" s="296">
        <f t="shared" si="10"/>
        <v>0</v>
      </c>
      <c r="G182" s="297">
        <f>SUM(G183:G186)</f>
        <v>0</v>
      </c>
      <c r="H182" s="299">
        <f t="shared" ref="H182" si="28">SUM(H183:H186)</f>
        <v>0</v>
      </c>
      <c r="I182" s="125">
        <f t="shared" si="11"/>
        <v>0</v>
      </c>
      <c r="J182" s="297">
        <f>SUM(J183:J186)</f>
        <v>0</v>
      </c>
      <c r="K182" s="299">
        <f t="shared" ref="K182" si="29">SUM(K183:K186)</f>
        <v>0</v>
      </c>
      <c r="L182" s="125">
        <f t="shared" si="12"/>
        <v>0</v>
      </c>
      <c r="M182" s="322">
        <f t="shared" ref="M182:N182" si="30">SUM(M183:M186)</f>
        <v>0</v>
      </c>
      <c r="N182" s="323">
        <f t="shared" si="30"/>
        <v>0</v>
      </c>
      <c r="O182" s="324">
        <f t="shared" si="13"/>
        <v>0</v>
      </c>
      <c r="P182" s="325"/>
    </row>
    <row r="183" spans="1:16" ht="72" hidden="1" x14ac:dyDescent="0.25">
      <c r="A183" s="76">
        <v>3291</v>
      </c>
      <c r="B183" s="127" t="s">
        <v>199</v>
      </c>
      <c r="C183" s="279">
        <f t="shared" si="27"/>
        <v>0</v>
      </c>
      <c r="D183" s="135"/>
      <c r="E183" s="283"/>
      <c r="F183" s="279">
        <f t="shared" ref="F183:F246" si="31">D183+E183</f>
        <v>0</v>
      </c>
      <c r="G183" s="134"/>
      <c r="H183" s="135"/>
      <c r="I183" s="136">
        <f t="shared" ref="I183:I246" si="32">G183+H183</f>
        <v>0</v>
      </c>
      <c r="J183" s="134"/>
      <c r="K183" s="135"/>
      <c r="L183" s="136">
        <f t="shared" ref="L183:L246" si="33">J183+K183</f>
        <v>0</v>
      </c>
      <c r="M183" s="284"/>
      <c r="N183" s="285"/>
      <c r="O183" s="136">
        <f t="shared" ref="O183:O246" si="34">M183+N183</f>
        <v>0</v>
      </c>
      <c r="P183" s="85"/>
    </row>
    <row r="184" spans="1:16" ht="72" hidden="1" x14ac:dyDescent="0.25">
      <c r="A184" s="76">
        <v>3292</v>
      </c>
      <c r="B184" s="127" t="s">
        <v>200</v>
      </c>
      <c r="C184" s="279">
        <f t="shared" si="27"/>
        <v>0</v>
      </c>
      <c r="D184" s="135"/>
      <c r="E184" s="283"/>
      <c r="F184" s="279">
        <f t="shared" si="31"/>
        <v>0</v>
      </c>
      <c r="G184" s="134"/>
      <c r="H184" s="135"/>
      <c r="I184" s="136">
        <f t="shared" si="32"/>
        <v>0</v>
      </c>
      <c r="J184" s="134"/>
      <c r="K184" s="135"/>
      <c r="L184" s="136">
        <f t="shared" si="33"/>
        <v>0</v>
      </c>
      <c r="M184" s="284"/>
      <c r="N184" s="285"/>
      <c r="O184" s="136">
        <f t="shared" si="34"/>
        <v>0</v>
      </c>
      <c r="P184" s="85"/>
    </row>
    <row r="185" spans="1:16" ht="72" hidden="1" x14ac:dyDescent="0.25">
      <c r="A185" s="76">
        <v>3293</v>
      </c>
      <c r="B185" s="127" t="s">
        <v>201</v>
      </c>
      <c r="C185" s="279">
        <f t="shared" si="27"/>
        <v>0</v>
      </c>
      <c r="D185" s="135"/>
      <c r="E185" s="283"/>
      <c r="F185" s="279">
        <f t="shared" si="31"/>
        <v>0</v>
      </c>
      <c r="G185" s="134"/>
      <c r="H185" s="135"/>
      <c r="I185" s="136">
        <f t="shared" si="32"/>
        <v>0</v>
      </c>
      <c r="J185" s="134"/>
      <c r="K185" s="135"/>
      <c r="L185" s="136">
        <f t="shared" si="33"/>
        <v>0</v>
      </c>
      <c r="M185" s="284"/>
      <c r="N185" s="285"/>
      <c r="O185" s="136">
        <f t="shared" si="34"/>
        <v>0</v>
      </c>
      <c r="P185" s="85"/>
    </row>
    <row r="186" spans="1:16" ht="60" hidden="1" x14ac:dyDescent="0.25">
      <c r="A186" s="326">
        <v>3294</v>
      </c>
      <c r="B186" s="127" t="s">
        <v>202</v>
      </c>
      <c r="C186" s="647">
        <f t="shared" si="27"/>
        <v>0</v>
      </c>
      <c r="D186" s="331"/>
      <c r="E186" s="683"/>
      <c r="F186" s="647">
        <f t="shared" si="31"/>
        <v>0</v>
      </c>
      <c r="G186" s="328"/>
      <c r="H186" s="331"/>
      <c r="I186" s="324">
        <f t="shared" si="32"/>
        <v>0</v>
      </c>
      <c r="J186" s="328"/>
      <c r="K186" s="331"/>
      <c r="L186" s="324">
        <f t="shared" si="33"/>
        <v>0</v>
      </c>
      <c r="M186" s="332"/>
      <c r="N186" s="329"/>
      <c r="O186" s="324">
        <f t="shared" si="34"/>
        <v>0</v>
      </c>
      <c r="P186" s="325"/>
    </row>
    <row r="187" spans="1:16" ht="48" hidden="1" x14ac:dyDescent="0.25">
      <c r="A187" s="160">
        <v>3300</v>
      </c>
      <c r="B187" s="321" t="s">
        <v>203</v>
      </c>
      <c r="C187" s="648">
        <f t="shared" si="27"/>
        <v>0</v>
      </c>
      <c r="D187" s="336">
        <f>SUM(D188:D189)</f>
        <v>0</v>
      </c>
      <c r="E187" s="684">
        <f>SUM(E188:E189)</f>
        <v>0</v>
      </c>
      <c r="F187" s="648">
        <f t="shared" si="31"/>
        <v>0</v>
      </c>
      <c r="G187" s="334">
        <f>SUM(G188:G189)</f>
        <v>0</v>
      </c>
      <c r="H187" s="336">
        <f t="shared" ref="H187" si="35">SUM(H188:H189)</f>
        <v>0</v>
      </c>
      <c r="I187" s="252">
        <f t="shared" si="32"/>
        <v>0</v>
      </c>
      <c r="J187" s="334">
        <f>SUM(J188:J189)</f>
        <v>0</v>
      </c>
      <c r="K187" s="336">
        <f t="shared" ref="K187" si="36">SUM(K188:K189)</f>
        <v>0</v>
      </c>
      <c r="L187" s="252">
        <f t="shared" si="33"/>
        <v>0</v>
      </c>
      <c r="M187" s="250">
        <f t="shared" ref="M187:N187" si="37">SUM(M188:M189)</f>
        <v>0</v>
      </c>
      <c r="N187" s="251">
        <f t="shared" si="37"/>
        <v>0</v>
      </c>
      <c r="O187" s="252">
        <f t="shared" si="34"/>
        <v>0</v>
      </c>
      <c r="P187" s="253"/>
    </row>
    <row r="188" spans="1:16" ht="48" hidden="1" x14ac:dyDescent="0.25">
      <c r="A188" s="178">
        <v>3310</v>
      </c>
      <c r="B188" s="179" t="s">
        <v>204</v>
      </c>
      <c r="C188" s="257">
        <f t="shared" si="27"/>
        <v>0</v>
      </c>
      <c r="D188" s="289"/>
      <c r="E188" s="288"/>
      <c r="F188" s="257">
        <f t="shared" si="31"/>
        <v>0</v>
      </c>
      <c r="G188" s="287"/>
      <c r="H188" s="289"/>
      <c r="I188" s="259">
        <f t="shared" si="32"/>
        <v>0</v>
      </c>
      <c r="J188" s="287"/>
      <c r="K188" s="289"/>
      <c r="L188" s="259">
        <f t="shared" si="33"/>
        <v>0</v>
      </c>
      <c r="M188" s="290"/>
      <c r="N188" s="291"/>
      <c r="O188" s="259">
        <f t="shared" si="34"/>
        <v>0</v>
      </c>
      <c r="P188" s="189"/>
    </row>
    <row r="189" spans="1:16" ht="60" hidden="1" x14ac:dyDescent="0.25">
      <c r="A189" s="66">
        <v>3320</v>
      </c>
      <c r="B189" s="116" t="s">
        <v>205</v>
      </c>
      <c r="C189" s="296">
        <f t="shared" si="27"/>
        <v>0</v>
      </c>
      <c r="D189" s="124"/>
      <c r="E189" s="295"/>
      <c r="F189" s="296">
        <f t="shared" si="31"/>
        <v>0</v>
      </c>
      <c r="G189" s="123"/>
      <c r="H189" s="124"/>
      <c r="I189" s="125">
        <f t="shared" si="32"/>
        <v>0</v>
      </c>
      <c r="J189" s="123"/>
      <c r="K189" s="124"/>
      <c r="L189" s="125">
        <f t="shared" si="33"/>
        <v>0</v>
      </c>
      <c r="M189" s="264"/>
      <c r="N189" s="262"/>
      <c r="O189" s="125">
        <f t="shared" si="34"/>
        <v>0</v>
      </c>
      <c r="P189" s="74"/>
    </row>
    <row r="190" spans="1:16" hidden="1" x14ac:dyDescent="0.25">
      <c r="A190" s="337">
        <v>4000</v>
      </c>
      <c r="B190" s="237" t="s">
        <v>206</v>
      </c>
      <c r="C190" s="241">
        <f t="shared" si="27"/>
        <v>0</v>
      </c>
      <c r="D190" s="469">
        <f>SUM(D191,D194)</f>
        <v>0</v>
      </c>
      <c r="E190" s="240">
        <f>SUM(E191,E194)</f>
        <v>0</v>
      </c>
      <c r="F190" s="241">
        <f t="shared" si="31"/>
        <v>0</v>
      </c>
      <c r="G190" s="239">
        <f>SUM(G191,G194)</f>
        <v>0</v>
      </c>
      <c r="H190" s="242">
        <f>SUM(H191,H194)</f>
        <v>0</v>
      </c>
      <c r="I190" s="243">
        <f t="shared" si="32"/>
        <v>0</v>
      </c>
      <c r="J190" s="239">
        <f>SUM(J191,J194)</f>
        <v>0</v>
      </c>
      <c r="K190" s="242">
        <f>SUM(K191,K194)</f>
        <v>0</v>
      </c>
      <c r="L190" s="243">
        <f t="shared" si="33"/>
        <v>0</v>
      </c>
      <c r="M190" s="244">
        <f>SUM(M191,M194)</f>
        <v>0</v>
      </c>
      <c r="N190" s="245">
        <f>SUM(N191,N194)</f>
        <v>0</v>
      </c>
      <c r="O190" s="243">
        <f t="shared" si="34"/>
        <v>0</v>
      </c>
      <c r="P190" s="246"/>
    </row>
    <row r="191" spans="1:16" ht="24" hidden="1" x14ac:dyDescent="0.25">
      <c r="A191" s="338">
        <v>4200</v>
      </c>
      <c r="B191" s="247" t="s">
        <v>207</v>
      </c>
      <c r="C191" s="249">
        <f t="shared" si="27"/>
        <v>0</v>
      </c>
      <c r="D191" s="113">
        <f>SUM(D192,D193)</f>
        <v>0</v>
      </c>
      <c r="E191" s="248">
        <f>SUM(E192,E193)</f>
        <v>0</v>
      </c>
      <c r="F191" s="249">
        <f t="shared" si="31"/>
        <v>0</v>
      </c>
      <c r="G191" s="112">
        <f>SUM(G192,G193)</f>
        <v>0</v>
      </c>
      <c r="H191" s="113">
        <f>SUM(H192,H193)</f>
        <v>0</v>
      </c>
      <c r="I191" s="114">
        <f t="shared" si="32"/>
        <v>0</v>
      </c>
      <c r="J191" s="112">
        <f>SUM(J192,J193)</f>
        <v>0</v>
      </c>
      <c r="K191" s="113">
        <f>SUM(K192,K193)</f>
        <v>0</v>
      </c>
      <c r="L191" s="114">
        <f t="shared" si="33"/>
        <v>0</v>
      </c>
      <c r="M191" s="292">
        <f>SUM(M192,M193)</f>
        <v>0</v>
      </c>
      <c r="N191" s="293">
        <f>SUM(N192,N193)</f>
        <v>0</v>
      </c>
      <c r="O191" s="114">
        <f t="shared" si="34"/>
        <v>0</v>
      </c>
      <c r="P191" s="109"/>
    </row>
    <row r="192" spans="1:16" ht="36" hidden="1" x14ac:dyDescent="0.25">
      <c r="A192" s="656">
        <v>4240</v>
      </c>
      <c r="B192" s="116" t="s">
        <v>208</v>
      </c>
      <c r="C192" s="296">
        <f t="shared" si="27"/>
        <v>0</v>
      </c>
      <c r="D192" s="124"/>
      <c r="E192" s="295"/>
      <c r="F192" s="296">
        <f t="shared" si="31"/>
        <v>0</v>
      </c>
      <c r="G192" s="123"/>
      <c r="H192" s="124"/>
      <c r="I192" s="125">
        <f t="shared" si="32"/>
        <v>0</v>
      </c>
      <c r="J192" s="123"/>
      <c r="K192" s="124"/>
      <c r="L192" s="125">
        <f t="shared" si="33"/>
        <v>0</v>
      </c>
      <c r="M192" s="264"/>
      <c r="N192" s="262"/>
      <c r="O192" s="125">
        <f t="shared" si="34"/>
        <v>0</v>
      </c>
      <c r="P192" s="74"/>
    </row>
    <row r="193" spans="1:16" ht="24" hidden="1" x14ac:dyDescent="0.25">
      <c r="A193" s="276">
        <v>4250</v>
      </c>
      <c r="B193" s="127" t="s">
        <v>209</v>
      </c>
      <c r="C193" s="279">
        <f t="shared" si="27"/>
        <v>0</v>
      </c>
      <c r="D193" s="135"/>
      <c r="E193" s="283"/>
      <c r="F193" s="279">
        <f t="shared" si="31"/>
        <v>0</v>
      </c>
      <c r="G193" s="134"/>
      <c r="H193" s="135"/>
      <c r="I193" s="136">
        <f t="shared" si="32"/>
        <v>0</v>
      </c>
      <c r="J193" s="134"/>
      <c r="K193" s="135"/>
      <c r="L193" s="136">
        <f t="shared" si="33"/>
        <v>0</v>
      </c>
      <c r="M193" s="284"/>
      <c r="N193" s="285"/>
      <c r="O193" s="136">
        <f t="shared" si="34"/>
        <v>0</v>
      </c>
      <c r="P193" s="85"/>
    </row>
    <row r="194" spans="1:16" hidden="1" x14ac:dyDescent="0.25">
      <c r="A194" s="99">
        <v>4300</v>
      </c>
      <c r="B194" s="247" t="s">
        <v>210</v>
      </c>
      <c r="C194" s="249">
        <f t="shared" si="27"/>
        <v>0</v>
      </c>
      <c r="D194" s="113">
        <f>SUM(D195)</f>
        <v>0</v>
      </c>
      <c r="E194" s="248">
        <f>SUM(E195)</f>
        <v>0</v>
      </c>
      <c r="F194" s="249">
        <f t="shared" si="31"/>
        <v>0</v>
      </c>
      <c r="G194" s="112">
        <f>SUM(G195)</f>
        <v>0</v>
      </c>
      <c r="H194" s="113">
        <f>SUM(H195)</f>
        <v>0</v>
      </c>
      <c r="I194" s="114">
        <f t="shared" si="32"/>
        <v>0</v>
      </c>
      <c r="J194" s="112">
        <f>SUM(J195)</f>
        <v>0</v>
      </c>
      <c r="K194" s="113">
        <f>SUM(K195)</f>
        <v>0</v>
      </c>
      <c r="L194" s="114">
        <f t="shared" si="33"/>
        <v>0</v>
      </c>
      <c r="M194" s="292">
        <f>SUM(M195)</f>
        <v>0</v>
      </c>
      <c r="N194" s="293">
        <f>SUM(N195)</f>
        <v>0</v>
      </c>
      <c r="O194" s="114">
        <f t="shared" si="34"/>
        <v>0</v>
      </c>
      <c r="P194" s="109"/>
    </row>
    <row r="195" spans="1:16" ht="24" hidden="1" x14ac:dyDescent="0.25">
      <c r="A195" s="656">
        <v>4310</v>
      </c>
      <c r="B195" s="116" t="s">
        <v>211</v>
      </c>
      <c r="C195" s="296">
        <f t="shared" si="27"/>
        <v>0</v>
      </c>
      <c r="D195" s="299">
        <f>SUM(D196:D196)</f>
        <v>0</v>
      </c>
      <c r="E195" s="298">
        <f>SUM(E196:E196)</f>
        <v>0</v>
      </c>
      <c r="F195" s="296">
        <f t="shared" si="31"/>
        <v>0</v>
      </c>
      <c r="G195" s="297">
        <f>SUM(G196:G196)</f>
        <v>0</v>
      </c>
      <c r="H195" s="299">
        <f>SUM(H196:H196)</f>
        <v>0</v>
      </c>
      <c r="I195" s="125">
        <f t="shared" si="32"/>
        <v>0</v>
      </c>
      <c r="J195" s="297">
        <f>SUM(J196:J196)</f>
        <v>0</v>
      </c>
      <c r="K195" s="299">
        <f>SUM(K196:K196)</f>
        <v>0</v>
      </c>
      <c r="L195" s="125">
        <f t="shared" si="33"/>
        <v>0</v>
      </c>
      <c r="M195" s="300">
        <f>SUM(M196:M196)</f>
        <v>0</v>
      </c>
      <c r="N195" s="301">
        <f>SUM(N196:N196)</f>
        <v>0</v>
      </c>
      <c r="O195" s="125">
        <f t="shared" si="34"/>
        <v>0</v>
      </c>
      <c r="P195" s="74"/>
    </row>
    <row r="196" spans="1:16" ht="36" hidden="1" x14ac:dyDescent="0.25">
      <c r="A196" s="76">
        <v>4311</v>
      </c>
      <c r="B196" s="127" t="s">
        <v>212</v>
      </c>
      <c r="C196" s="279">
        <f t="shared" si="27"/>
        <v>0</v>
      </c>
      <c r="D196" s="135"/>
      <c r="E196" s="283"/>
      <c r="F196" s="279">
        <f t="shared" si="31"/>
        <v>0</v>
      </c>
      <c r="G196" s="134"/>
      <c r="H196" s="135"/>
      <c r="I196" s="136">
        <f t="shared" si="32"/>
        <v>0</v>
      </c>
      <c r="J196" s="134"/>
      <c r="K196" s="135"/>
      <c r="L196" s="136">
        <f t="shared" si="33"/>
        <v>0</v>
      </c>
      <c r="M196" s="284"/>
      <c r="N196" s="285"/>
      <c r="O196" s="136">
        <f t="shared" si="34"/>
        <v>0</v>
      </c>
      <c r="P196" s="85"/>
    </row>
    <row r="197" spans="1:16" s="41" customFormat="1" ht="24" hidden="1" x14ac:dyDescent="0.25">
      <c r="A197" s="339"/>
      <c r="B197" s="31" t="s">
        <v>213</v>
      </c>
      <c r="C197" s="232">
        <f t="shared" si="27"/>
        <v>0</v>
      </c>
      <c r="D197" s="233">
        <f>SUM(D198,D233,D271)</f>
        <v>0</v>
      </c>
      <c r="E197" s="231">
        <f>SUM(E198,E233,E271)</f>
        <v>0</v>
      </c>
      <c r="F197" s="232">
        <f t="shared" si="31"/>
        <v>0</v>
      </c>
      <c r="G197" s="230">
        <f>SUM(G198,G233,G271)</f>
        <v>0</v>
      </c>
      <c r="H197" s="233">
        <f>SUM(H198,H233,H271)</f>
        <v>0</v>
      </c>
      <c r="I197" s="234">
        <f t="shared" si="32"/>
        <v>0</v>
      </c>
      <c r="J197" s="230">
        <f>SUM(J198,J233,J271)</f>
        <v>0</v>
      </c>
      <c r="K197" s="233">
        <f>SUM(K198,K233,K271)</f>
        <v>0</v>
      </c>
      <c r="L197" s="234">
        <f t="shared" si="33"/>
        <v>0</v>
      </c>
      <c r="M197" s="340">
        <f>SUM(M198,M233,M271)</f>
        <v>0</v>
      </c>
      <c r="N197" s="341">
        <f>SUM(N198,N233,N271)</f>
        <v>0</v>
      </c>
      <c r="O197" s="342">
        <f t="shared" si="34"/>
        <v>0</v>
      </c>
      <c r="P197" s="343"/>
    </row>
    <row r="198" spans="1:16" hidden="1" x14ac:dyDescent="0.25">
      <c r="A198" s="237">
        <v>5000</v>
      </c>
      <c r="B198" s="237" t="s">
        <v>214</v>
      </c>
      <c r="C198" s="241">
        <f>F198+I198+L198+O198</f>
        <v>0</v>
      </c>
      <c r="D198" s="469">
        <f>D199+D207</f>
        <v>0</v>
      </c>
      <c r="E198" s="240">
        <f>E199+E207</f>
        <v>0</v>
      </c>
      <c r="F198" s="241">
        <f t="shared" si="31"/>
        <v>0</v>
      </c>
      <c r="G198" s="239">
        <f>G199+G207</f>
        <v>0</v>
      </c>
      <c r="H198" s="242">
        <f>H199+H207</f>
        <v>0</v>
      </c>
      <c r="I198" s="243">
        <f t="shared" si="32"/>
        <v>0</v>
      </c>
      <c r="J198" s="239">
        <f>J199+J207</f>
        <v>0</v>
      </c>
      <c r="K198" s="242">
        <f>K199+K207</f>
        <v>0</v>
      </c>
      <c r="L198" s="243">
        <f t="shared" si="33"/>
        <v>0</v>
      </c>
      <c r="M198" s="244">
        <f>M199+M207</f>
        <v>0</v>
      </c>
      <c r="N198" s="245">
        <f>N199+N207</f>
        <v>0</v>
      </c>
      <c r="O198" s="243">
        <f t="shared" si="34"/>
        <v>0</v>
      </c>
      <c r="P198" s="246"/>
    </row>
    <row r="199" spans="1:16" hidden="1" x14ac:dyDescent="0.25">
      <c r="A199" s="99">
        <v>5100</v>
      </c>
      <c r="B199" s="247" t="s">
        <v>215</v>
      </c>
      <c r="C199" s="249">
        <f t="shared" si="27"/>
        <v>0</v>
      </c>
      <c r="D199" s="113">
        <f>D200+D201+D204+D205+D206</f>
        <v>0</v>
      </c>
      <c r="E199" s="248">
        <f>E200+E201+E204+E205+E206</f>
        <v>0</v>
      </c>
      <c r="F199" s="249">
        <f t="shared" si="31"/>
        <v>0</v>
      </c>
      <c r="G199" s="112">
        <f>G200+G201+G204+G205+G206</f>
        <v>0</v>
      </c>
      <c r="H199" s="113">
        <f>H200+H201+H204+H205+H206</f>
        <v>0</v>
      </c>
      <c r="I199" s="114">
        <f t="shared" si="32"/>
        <v>0</v>
      </c>
      <c r="J199" s="112">
        <f>J200+J201+J204+J205+J206</f>
        <v>0</v>
      </c>
      <c r="K199" s="113">
        <f>K200+K201+K204+K205+K206</f>
        <v>0</v>
      </c>
      <c r="L199" s="114">
        <f t="shared" si="33"/>
        <v>0</v>
      </c>
      <c r="M199" s="292">
        <f>M200+M201+M204+M205+M206</f>
        <v>0</v>
      </c>
      <c r="N199" s="293">
        <f>N200+N201+N204+N205+N206</f>
        <v>0</v>
      </c>
      <c r="O199" s="114">
        <f t="shared" si="34"/>
        <v>0</v>
      </c>
      <c r="P199" s="109"/>
    </row>
    <row r="200" spans="1:16" hidden="1" x14ac:dyDescent="0.25">
      <c r="A200" s="656">
        <v>5110</v>
      </c>
      <c r="B200" s="116" t="s">
        <v>216</v>
      </c>
      <c r="C200" s="296">
        <f t="shared" si="27"/>
        <v>0</v>
      </c>
      <c r="D200" s="124"/>
      <c r="E200" s="295"/>
      <c r="F200" s="296">
        <f t="shared" si="31"/>
        <v>0</v>
      </c>
      <c r="G200" s="123"/>
      <c r="H200" s="124"/>
      <c r="I200" s="125">
        <f t="shared" si="32"/>
        <v>0</v>
      </c>
      <c r="J200" s="123"/>
      <c r="K200" s="124"/>
      <c r="L200" s="125">
        <f t="shared" si="33"/>
        <v>0</v>
      </c>
      <c r="M200" s="264"/>
      <c r="N200" s="262"/>
      <c r="O200" s="125">
        <f t="shared" si="34"/>
        <v>0</v>
      </c>
      <c r="P200" s="74"/>
    </row>
    <row r="201" spans="1:16" ht="24" hidden="1" x14ac:dyDescent="0.25">
      <c r="A201" s="276">
        <v>5120</v>
      </c>
      <c r="B201" s="127" t="s">
        <v>217</v>
      </c>
      <c r="C201" s="279">
        <f t="shared" si="27"/>
        <v>0</v>
      </c>
      <c r="D201" s="280">
        <f>D202+D203</f>
        <v>0</v>
      </c>
      <c r="E201" s="278">
        <f>E202+E203</f>
        <v>0</v>
      </c>
      <c r="F201" s="279">
        <f t="shared" si="31"/>
        <v>0</v>
      </c>
      <c r="G201" s="277">
        <f>G202+G203</f>
        <v>0</v>
      </c>
      <c r="H201" s="280">
        <f>H202+H203</f>
        <v>0</v>
      </c>
      <c r="I201" s="136">
        <f t="shared" si="32"/>
        <v>0</v>
      </c>
      <c r="J201" s="277">
        <f>J202+J203</f>
        <v>0</v>
      </c>
      <c r="K201" s="280">
        <f>K202+K203</f>
        <v>0</v>
      </c>
      <c r="L201" s="136">
        <f t="shared" si="33"/>
        <v>0</v>
      </c>
      <c r="M201" s="281">
        <f>M202+M203</f>
        <v>0</v>
      </c>
      <c r="N201" s="282">
        <f>N202+N203</f>
        <v>0</v>
      </c>
      <c r="O201" s="136">
        <f t="shared" si="34"/>
        <v>0</v>
      </c>
      <c r="P201" s="85"/>
    </row>
    <row r="202" spans="1:16" hidden="1" x14ac:dyDescent="0.25">
      <c r="A202" s="76">
        <v>5121</v>
      </c>
      <c r="B202" s="127" t="s">
        <v>218</v>
      </c>
      <c r="C202" s="279">
        <f t="shared" si="27"/>
        <v>0</v>
      </c>
      <c r="D202" s="135"/>
      <c r="E202" s="283"/>
      <c r="F202" s="279">
        <f t="shared" si="31"/>
        <v>0</v>
      </c>
      <c r="G202" s="134"/>
      <c r="H202" s="135"/>
      <c r="I202" s="136">
        <f t="shared" si="32"/>
        <v>0</v>
      </c>
      <c r="J202" s="134"/>
      <c r="K202" s="135"/>
      <c r="L202" s="136">
        <f t="shared" si="33"/>
        <v>0</v>
      </c>
      <c r="M202" s="284"/>
      <c r="N202" s="285"/>
      <c r="O202" s="136">
        <f t="shared" si="34"/>
        <v>0</v>
      </c>
      <c r="P202" s="85"/>
    </row>
    <row r="203" spans="1:16" ht="24" hidden="1" x14ac:dyDescent="0.25">
      <c r="A203" s="76">
        <v>5129</v>
      </c>
      <c r="B203" s="127" t="s">
        <v>219</v>
      </c>
      <c r="C203" s="279">
        <f t="shared" si="27"/>
        <v>0</v>
      </c>
      <c r="D203" s="135"/>
      <c r="E203" s="283"/>
      <c r="F203" s="279">
        <f t="shared" si="31"/>
        <v>0</v>
      </c>
      <c r="G203" s="134"/>
      <c r="H203" s="135"/>
      <c r="I203" s="136">
        <f t="shared" si="32"/>
        <v>0</v>
      </c>
      <c r="J203" s="134"/>
      <c r="K203" s="135"/>
      <c r="L203" s="136">
        <f t="shared" si="33"/>
        <v>0</v>
      </c>
      <c r="M203" s="284"/>
      <c r="N203" s="285"/>
      <c r="O203" s="136">
        <f t="shared" si="34"/>
        <v>0</v>
      </c>
      <c r="P203" s="85"/>
    </row>
    <row r="204" spans="1:16" hidden="1" x14ac:dyDescent="0.25">
      <c r="A204" s="276">
        <v>5130</v>
      </c>
      <c r="B204" s="127" t="s">
        <v>220</v>
      </c>
      <c r="C204" s="279">
        <f t="shared" si="27"/>
        <v>0</v>
      </c>
      <c r="D204" s="135"/>
      <c r="E204" s="283"/>
      <c r="F204" s="279">
        <f t="shared" si="31"/>
        <v>0</v>
      </c>
      <c r="G204" s="134"/>
      <c r="H204" s="135"/>
      <c r="I204" s="136">
        <f t="shared" si="32"/>
        <v>0</v>
      </c>
      <c r="J204" s="134"/>
      <c r="K204" s="135"/>
      <c r="L204" s="136">
        <f t="shared" si="33"/>
        <v>0</v>
      </c>
      <c r="M204" s="284"/>
      <c r="N204" s="285"/>
      <c r="O204" s="136">
        <f t="shared" si="34"/>
        <v>0</v>
      </c>
      <c r="P204" s="85"/>
    </row>
    <row r="205" spans="1:16" hidden="1" x14ac:dyDescent="0.25">
      <c r="A205" s="276">
        <v>5140</v>
      </c>
      <c r="B205" s="127" t="s">
        <v>221</v>
      </c>
      <c r="C205" s="279">
        <f t="shared" si="27"/>
        <v>0</v>
      </c>
      <c r="D205" s="135"/>
      <c r="E205" s="283"/>
      <c r="F205" s="279">
        <f t="shared" si="31"/>
        <v>0</v>
      </c>
      <c r="G205" s="134"/>
      <c r="H205" s="135"/>
      <c r="I205" s="136">
        <f t="shared" si="32"/>
        <v>0</v>
      </c>
      <c r="J205" s="134"/>
      <c r="K205" s="135"/>
      <c r="L205" s="136">
        <f t="shared" si="33"/>
        <v>0</v>
      </c>
      <c r="M205" s="284"/>
      <c r="N205" s="285"/>
      <c r="O205" s="136">
        <f t="shared" si="34"/>
        <v>0</v>
      </c>
      <c r="P205" s="85"/>
    </row>
    <row r="206" spans="1:16" ht="24" hidden="1" x14ac:dyDescent="0.25">
      <c r="A206" s="276">
        <v>5170</v>
      </c>
      <c r="B206" s="127" t="s">
        <v>222</v>
      </c>
      <c r="C206" s="279">
        <f t="shared" si="27"/>
        <v>0</v>
      </c>
      <c r="D206" s="135"/>
      <c r="E206" s="283"/>
      <c r="F206" s="279">
        <f t="shared" si="31"/>
        <v>0</v>
      </c>
      <c r="G206" s="134"/>
      <c r="H206" s="135"/>
      <c r="I206" s="136">
        <f t="shared" si="32"/>
        <v>0</v>
      </c>
      <c r="J206" s="134"/>
      <c r="K206" s="135"/>
      <c r="L206" s="136">
        <f t="shared" si="33"/>
        <v>0</v>
      </c>
      <c r="M206" s="284"/>
      <c r="N206" s="285"/>
      <c r="O206" s="136">
        <f t="shared" si="34"/>
        <v>0</v>
      </c>
      <c r="P206" s="85"/>
    </row>
    <row r="207" spans="1:16" hidden="1" x14ac:dyDescent="0.25">
      <c r="A207" s="99">
        <v>5200</v>
      </c>
      <c r="B207" s="247" t="s">
        <v>223</v>
      </c>
      <c r="C207" s="249">
        <f t="shared" si="27"/>
        <v>0</v>
      </c>
      <c r="D207" s="113">
        <f>D208+D218+D219+D228+D229+D230+D232</f>
        <v>0</v>
      </c>
      <c r="E207" s="248">
        <f>E208+E218+E219+E228+E229+E230+E232</f>
        <v>0</v>
      </c>
      <c r="F207" s="249">
        <f t="shared" si="31"/>
        <v>0</v>
      </c>
      <c r="G207" s="112">
        <f>G208+G218+G219+G228+G229+G230+G232</f>
        <v>0</v>
      </c>
      <c r="H207" s="113">
        <f>H208+H218+H219+H228+H229+H230+H232</f>
        <v>0</v>
      </c>
      <c r="I207" s="114">
        <f t="shared" si="32"/>
        <v>0</v>
      </c>
      <c r="J207" s="112">
        <f>J208+J218+J219+J228+J229+J230+J232</f>
        <v>0</v>
      </c>
      <c r="K207" s="113">
        <f>K208+K218+K219+K228+K229+K230+K232</f>
        <v>0</v>
      </c>
      <c r="L207" s="114">
        <f t="shared" si="33"/>
        <v>0</v>
      </c>
      <c r="M207" s="292">
        <f>M208+M218+M219+M228+M229+M230+M232</f>
        <v>0</v>
      </c>
      <c r="N207" s="293">
        <f>N208+N218+N219+N228+N229+N230+N232</f>
        <v>0</v>
      </c>
      <c r="O207" s="114">
        <f t="shared" si="34"/>
        <v>0</v>
      </c>
      <c r="P207" s="109"/>
    </row>
    <row r="208" spans="1:16" hidden="1" x14ac:dyDescent="0.25">
      <c r="A208" s="254">
        <v>5210</v>
      </c>
      <c r="B208" s="179" t="s">
        <v>224</v>
      </c>
      <c r="C208" s="257">
        <f t="shared" si="27"/>
        <v>0</v>
      </c>
      <c r="D208" s="258">
        <f>SUM(D209:D217)</f>
        <v>0</v>
      </c>
      <c r="E208" s="256">
        <f>SUM(E209:E217)</f>
        <v>0</v>
      </c>
      <c r="F208" s="257">
        <f t="shared" si="31"/>
        <v>0</v>
      </c>
      <c r="G208" s="255">
        <f>SUM(G209:G217)</f>
        <v>0</v>
      </c>
      <c r="H208" s="258">
        <f>SUM(H209:H217)</f>
        <v>0</v>
      </c>
      <c r="I208" s="259">
        <f t="shared" si="32"/>
        <v>0</v>
      </c>
      <c r="J208" s="255">
        <f>SUM(J209:J217)</f>
        <v>0</v>
      </c>
      <c r="K208" s="258">
        <f>SUM(K209:K217)</f>
        <v>0</v>
      </c>
      <c r="L208" s="259">
        <f t="shared" si="33"/>
        <v>0</v>
      </c>
      <c r="M208" s="260">
        <f>SUM(M209:M217)</f>
        <v>0</v>
      </c>
      <c r="N208" s="261">
        <f>SUM(N209:N217)</f>
        <v>0</v>
      </c>
      <c r="O208" s="259">
        <f t="shared" si="34"/>
        <v>0</v>
      </c>
      <c r="P208" s="189"/>
    </row>
    <row r="209" spans="1:16" hidden="1" x14ac:dyDescent="0.25">
      <c r="A209" s="66">
        <v>5211</v>
      </c>
      <c r="B209" s="116" t="s">
        <v>225</v>
      </c>
      <c r="C209" s="279">
        <f t="shared" si="27"/>
        <v>0</v>
      </c>
      <c r="D209" s="124"/>
      <c r="E209" s="295"/>
      <c r="F209" s="296">
        <f t="shared" si="31"/>
        <v>0</v>
      </c>
      <c r="G209" s="123"/>
      <c r="H209" s="124"/>
      <c r="I209" s="125">
        <f t="shared" si="32"/>
        <v>0</v>
      </c>
      <c r="J209" s="123"/>
      <c r="K209" s="124"/>
      <c r="L209" s="125">
        <f t="shared" si="33"/>
        <v>0</v>
      </c>
      <c r="M209" s="264"/>
      <c r="N209" s="262"/>
      <c r="O209" s="125">
        <f t="shared" si="34"/>
        <v>0</v>
      </c>
      <c r="P209" s="74"/>
    </row>
    <row r="210" spans="1:16" hidden="1" x14ac:dyDescent="0.25">
      <c r="A210" s="76">
        <v>5212</v>
      </c>
      <c r="B210" s="127" t="s">
        <v>226</v>
      </c>
      <c r="C210" s="279">
        <f t="shared" si="27"/>
        <v>0</v>
      </c>
      <c r="D210" s="135"/>
      <c r="E210" s="283"/>
      <c r="F210" s="279">
        <f t="shared" si="31"/>
        <v>0</v>
      </c>
      <c r="G210" s="134"/>
      <c r="H210" s="135"/>
      <c r="I210" s="136">
        <f t="shared" si="32"/>
        <v>0</v>
      </c>
      <c r="J210" s="134"/>
      <c r="K210" s="135"/>
      <c r="L210" s="136">
        <f t="shared" si="33"/>
        <v>0</v>
      </c>
      <c r="M210" s="284"/>
      <c r="N210" s="285"/>
      <c r="O210" s="136">
        <f t="shared" si="34"/>
        <v>0</v>
      </c>
      <c r="P210" s="85"/>
    </row>
    <row r="211" spans="1:16" hidden="1" x14ac:dyDescent="0.25">
      <c r="A211" s="76">
        <v>5213</v>
      </c>
      <c r="B211" s="127" t="s">
        <v>227</v>
      </c>
      <c r="C211" s="279">
        <f t="shared" si="27"/>
        <v>0</v>
      </c>
      <c r="D211" s="135"/>
      <c r="E211" s="283"/>
      <c r="F211" s="279">
        <f t="shared" si="31"/>
        <v>0</v>
      </c>
      <c r="G211" s="134"/>
      <c r="H211" s="135"/>
      <c r="I211" s="136">
        <f t="shared" si="32"/>
        <v>0</v>
      </c>
      <c r="J211" s="134"/>
      <c r="K211" s="135"/>
      <c r="L211" s="136">
        <f t="shared" si="33"/>
        <v>0</v>
      </c>
      <c r="M211" s="284"/>
      <c r="N211" s="285"/>
      <c r="O211" s="136">
        <f t="shared" si="34"/>
        <v>0</v>
      </c>
      <c r="P211" s="85"/>
    </row>
    <row r="212" spans="1:16" hidden="1" x14ac:dyDescent="0.25">
      <c r="A212" s="76">
        <v>5214</v>
      </c>
      <c r="B212" s="127" t="s">
        <v>228</v>
      </c>
      <c r="C212" s="279">
        <f t="shared" si="27"/>
        <v>0</v>
      </c>
      <c r="D212" s="135"/>
      <c r="E212" s="283"/>
      <c r="F212" s="279">
        <f t="shared" si="31"/>
        <v>0</v>
      </c>
      <c r="G212" s="134"/>
      <c r="H212" s="135"/>
      <c r="I212" s="136">
        <f t="shared" si="32"/>
        <v>0</v>
      </c>
      <c r="J212" s="134"/>
      <c r="K212" s="135"/>
      <c r="L212" s="136">
        <f t="shared" si="33"/>
        <v>0</v>
      </c>
      <c r="M212" s="284"/>
      <c r="N212" s="285"/>
      <c r="O212" s="136">
        <f t="shared" si="34"/>
        <v>0</v>
      </c>
      <c r="P212" s="85"/>
    </row>
    <row r="213" spans="1:16" hidden="1" x14ac:dyDescent="0.25">
      <c r="A213" s="76">
        <v>5215</v>
      </c>
      <c r="B213" s="127" t="s">
        <v>229</v>
      </c>
      <c r="C213" s="279">
        <f t="shared" si="27"/>
        <v>0</v>
      </c>
      <c r="D213" s="135"/>
      <c r="E213" s="283"/>
      <c r="F213" s="279">
        <f t="shared" si="31"/>
        <v>0</v>
      </c>
      <c r="G213" s="134"/>
      <c r="H213" s="135"/>
      <c r="I213" s="136">
        <f t="shared" si="32"/>
        <v>0</v>
      </c>
      <c r="J213" s="134"/>
      <c r="K213" s="135"/>
      <c r="L213" s="136">
        <f t="shared" si="33"/>
        <v>0</v>
      </c>
      <c r="M213" s="284"/>
      <c r="N213" s="285"/>
      <c r="O213" s="136">
        <f t="shared" si="34"/>
        <v>0</v>
      </c>
      <c r="P213" s="85"/>
    </row>
    <row r="214" spans="1:16" ht="24" hidden="1" x14ac:dyDescent="0.25">
      <c r="A214" s="76">
        <v>5216</v>
      </c>
      <c r="B214" s="127" t="s">
        <v>230</v>
      </c>
      <c r="C214" s="279">
        <f t="shared" si="27"/>
        <v>0</v>
      </c>
      <c r="D214" s="135"/>
      <c r="E214" s="283"/>
      <c r="F214" s="279">
        <f t="shared" si="31"/>
        <v>0</v>
      </c>
      <c r="G214" s="134"/>
      <c r="H214" s="135"/>
      <c r="I214" s="136">
        <f t="shared" si="32"/>
        <v>0</v>
      </c>
      <c r="J214" s="134"/>
      <c r="K214" s="135"/>
      <c r="L214" s="136">
        <f t="shared" si="33"/>
        <v>0</v>
      </c>
      <c r="M214" s="284"/>
      <c r="N214" s="285"/>
      <c r="O214" s="136">
        <f t="shared" si="34"/>
        <v>0</v>
      </c>
      <c r="P214" s="85"/>
    </row>
    <row r="215" spans="1:16" hidden="1" x14ac:dyDescent="0.25">
      <c r="A215" s="76">
        <v>5217</v>
      </c>
      <c r="B215" s="127" t="s">
        <v>231</v>
      </c>
      <c r="C215" s="279">
        <f t="shared" si="27"/>
        <v>0</v>
      </c>
      <c r="D215" s="135"/>
      <c r="E215" s="283"/>
      <c r="F215" s="279">
        <f t="shared" si="31"/>
        <v>0</v>
      </c>
      <c r="G215" s="134"/>
      <c r="H215" s="135"/>
      <c r="I215" s="136">
        <f t="shared" si="32"/>
        <v>0</v>
      </c>
      <c r="J215" s="134"/>
      <c r="K215" s="135"/>
      <c r="L215" s="136">
        <f t="shared" si="33"/>
        <v>0</v>
      </c>
      <c r="M215" s="284"/>
      <c r="N215" s="285"/>
      <c r="O215" s="136">
        <f t="shared" si="34"/>
        <v>0</v>
      </c>
      <c r="P215" s="85"/>
    </row>
    <row r="216" spans="1:16" hidden="1" x14ac:dyDescent="0.25">
      <c r="A216" s="76">
        <v>5218</v>
      </c>
      <c r="B216" s="127" t="s">
        <v>232</v>
      </c>
      <c r="C216" s="279">
        <f t="shared" si="27"/>
        <v>0</v>
      </c>
      <c r="D216" s="135"/>
      <c r="E216" s="283"/>
      <c r="F216" s="279">
        <f t="shared" si="31"/>
        <v>0</v>
      </c>
      <c r="G216" s="134"/>
      <c r="H216" s="135"/>
      <c r="I216" s="136">
        <f t="shared" si="32"/>
        <v>0</v>
      </c>
      <c r="J216" s="134"/>
      <c r="K216" s="135"/>
      <c r="L216" s="136">
        <f t="shared" si="33"/>
        <v>0</v>
      </c>
      <c r="M216" s="284"/>
      <c r="N216" s="285"/>
      <c r="O216" s="136">
        <f t="shared" si="34"/>
        <v>0</v>
      </c>
      <c r="P216" s="85"/>
    </row>
    <row r="217" spans="1:16" hidden="1" x14ac:dyDescent="0.25">
      <c r="A217" s="76">
        <v>5219</v>
      </c>
      <c r="B217" s="127" t="s">
        <v>233</v>
      </c>
      <c r="C217" s="279">
        <f t="shared" si="27"/>
        <v>0</v>
      </c>
      <c r="D217" s="135"/>
      <c r="E217" s="283"/>
      <c r="F217" s="279">
        <f t="shared" si="31"/>
        <v>0</v>
      </c>
      <c r="G217" s="134"/>
      <c r="H217" s="135"/>
      <c r="I217" s="136">
        <f t="shared" si="32"/>
        <v>0</v>
      </c>
      <c r="J217" s="134"/>
      <c r="K217" s="135"/>
      <c r="L217" s="136">
        <f t="shared" si="33"/>
        <v>0</v>
      </c>
      <c r="M217" s="284"/>
      <c r="N217" s="285"/>
      <c r="O217" s="136">
        <f t="shared" si="34"/>
        <v>0</v>
      </c>
      <c r="P217" s="85"/>
    </row>
    <row r="218" spans="1:16" hidden="1" x14ac:dyDescent="0.25">
      <c r="A218" s="276">
        <v>5220</v>
      </c>
      <c r="B218" s="127" t="s">
        <v>234</v>
      </c>
      <c r="C218" s="279">
        <f t="shared" si="27"/>
        <v>0</v>
      </c>
      <c r="D218" s="135"/>
      <c r="E218" s="283"/>
      <c r="F218" s="279">
        <f t="shared" si="31"/>
        <v>0</v>
      </c>
      <c r="G218" s="134"/>
      <c r="H218" s="135"/>
      <c r="I218" s="136">
        <f t="shared" si="32"/>
        <v>0</v>
      </c>
      <c r="J218" s="134"/>
      <c r="K218" s="135"/>
      <c r="L218" s="136">
        <f t="shared" si="33"/>
        <v>0</v>
      </c>
      <c r="M218" s="284"/>
      <c r="N218" s="285"/>
      <c r="O218" s="136">
        <f t="shared" si="34"/>
        <v>0</v>
      </c>
      <c r="P218" s="85"/>
    </row>
    <row r="219" spans="1:16" hidden="1" x14ac:dyDescent="0.25">
      <c r="A219" s="276">
        <v>5230</v>
      </c>
      <c r="B219" s="127" t="s">
        <v>235</v>
      </c>
      <c r="C219" s="279">
        <f t="shared" si="27"/>
        <v>0</v>
      </c>
      <c r="D219" s="280">
        <f>SUM(D220:D227)</f>
        <v>0</v>
      </c>
      <c r="E219" s="278">
        <f>SUM(E220:E227)</f>
        <v>0</v>
      </c>
      <c r="F219" s="279">
        <f t="shared" si="31"/>
        <v>0</v>
      </c>
      <c r="G219" s="277">
        <f>SUM(G220:G227)</f>
        <v>0</v>
      </c>
      <c r="H219" s="280">
        <f>SUM(H220:H227)</f>
        <v>0</v>
      </c>
      <c r="I219" s="136">
        <f t="shared" si="32"/>
        <v>0</v>
      </c>
      <c r="J219" s="277">
        <f>SUM(J220:J227)</f>
        <v>0</v>
      </c>
      <c r="K219" s="280">
        <f>SUM(K220:K227)</f>
        <v>0</v>
      </c>
      <c r="L219" s="136">
        <f t="shared" si="33"/>
        <v>0</v>
      </c>
      <c r="M219" s="281">
        <f>SUM(M220:M227)</f>
        <v>0</v>
      </c>
      <c r="N219" s="282">
        <f>SUM(N220:N227)</f>
        <v>0</v>
      </c>
      <c r="O219" s="136">
        <f t="shared" si="34"/>
        <v>0</v>
      </c>
      <c r="P219" s="85"/>
    </row>
    <row r="220" spans="1:16" hidden="1" x14ac:dyDescent="0.25">
      <c r="A220" s="76">
        <v>5231</v>
      </c>
      <c r="B220" s="127" t="s">
        <v>236</v>
      </c>
      <c r="C220" s="279">
        <f t="shared" si="27"/>
        <v>0</v>
      </c>
      <c r="D220" s="135"/>
      <c r="E220" s="283"/>
      <c r="F220" s="279">
        <f t="shared" si="31"/>
        <v>0</v>
      </c>
      <c r="G220" s="134"/>
      <c r="H220" s="135"/>
      <c r="I220" s="136">
        <f t="shared" si="32"/>
        <v>0</v>
      </c>
      <c r="J220" s="134"/>
      <c r="K220" s="135"/>
      <c r="L220" s="136">
        <f t="shared" si="33"/>
        <v>0</v>
      </c>
      <c r="M220" s="284"/>
      <c r="N220" s="285"/>
      <c r="O220" s="136">
        <f t="shared" si="34"/>
        <v>0</v>
      </c>
      <c r="P220" s="85"/>
    </row>
    <row r="221" spans="1:16" hidden="1" x14ac:dyDescent="0.25">
      <c r="A221" s="76">
        <v>5232</v>
      </c>
      <c r="B221" s="127" t="s">
        <v>237</v>
      </c>
      <c r="C221" s="279">
        <f t="shared" si="27"/>
        <v>0</v>
      </c>
      <c r="D221" s="135"/>
      <c r="E221" s="283"/>
      <c r="F221" s="279">
        <f t="shared" si="31"/>
        <v>0</v>
      </c>
      <c r="G221" s="134"/>
      <c r="H221" s="135"/>
      <c r="I221" s="136">
        <f t="shared" si="32"/>
        <v>0</v>
      </c>
      <c r="J221" s="134"/>
      <c r="K221" s="135"/>
      <c r="L221" s="136">
        <f t="shared" si="33"/>
        <v>0</v>
      </c>
      <c r="M221" s="284"/>
      <c r="N221" s="285"/>
      <c r="O221" s="136">
        <f t="shared" si="34"/>
        <v>0</v>
      </c>
      <c r="P221" s="85"/>
    </row>
    <row r="222" spans="1:16" hidden="1" x14ac:dyDescent="0.25">
      <c r="A222" s="76">
        <v>5233</v>
      </c>
      <c r="B222" s="127" t="s">
        <v>238</v>
      </c>
      <c r="C222" s="279">
        <f t="shared" si="27"/>
        <v>0</v>
      </c>
      <c r="D222" s="135"/>
      <c r="E222" s="283"/>
      <c r="F222" s="279">
        <f t="shared" si="31"/>
        <v>0</v>
      </c>
      <c r="G222" s="134"/>
      <c r="H222" s="135"/>
      <c r="I222" s="136">
        <f t="shared" si="32"/>
        <v>0</v>
      </c>
      <c r="J222" s="134"/>
      <c r="K222" s="135"/>
      <c r="L222" s="136">
        <f t="shared" si="33"/>
        <v>0</v>
      </c>
      <c r="M222" s="284"/>
      <c r="N222" s="285"/>
      <c r="O222" s="136">
        <f t="shared" si="34"/>
        <v>0</v>
      </c>
      <c r="P222" s="85"/>
    </row>
    <row r="223" spans="1:16" ht="24" hidden="1" x14ac:dyDescent="0.25">
      <c r="A223" s="76">
        <v>5234</v>
      </c>
      <c r="B223" s="127" t="s">
        <v>239</v>
      </c>
      <c r="C223" s="279">
        <f t="shared" si="27"/>
        <v>0</v>
      </c>
      <c r="D223" s="135"/>
      <c r="E223" s="283"/>
      <c r="F223" s="279">
        <f t="shared" si="31"/>
        <v>0</v>
      </c>
      <c r="G223" s="134"/>
      <c r="H223" s="135"/>
      <c r="I223" s="136">
        <f t="shared" si="32"/>
        <v>0</v>
      </c>
      <c r="J223" s="134"/>
      <c r="K223" s="135"/>
      <c r="L223" s="136">
        <f t="shared" si="33"/>
        <v>0</v>
      </c>
      <c r="M223" s="284"/>
      <c r="N223" s="285"/>
      <c r="O223" s="136">
        <f t="shared" si="34"/>
        <v>0</v>
      </c>
      <c r="P223" s="85"/>
    </row>
    <row r="224" spans="1:16" hidden="1" x14ac:dyDescent="0.25">
      <c r="A224" s="76">
        <v>5236</v>
      </c>
      <c r="B224" s="127" t="s">
        <v>240</v>
      </c>
      <c r="C224" s="279">
        <f t="shared" si="27"/>
        <v>0</v>
      </c>
      <c r="D224" s="135"/>
      <c r="E224" s="283"/>
      <c r="F224" s="279">
        <f t="shared" si="31"/>
        <v>0</v>
      </c>
      <c r="G224" s="134"/>
      <c r="H224" s="135"/>
      <c r="I224" s="136">
        <f t="shared" si="32"/>
        <v>0</v>
      </c>
      <c r="J224" s="134"/>
      <c r="K224" s="135"/>
      <c r="L224" s="136">
        <f t="shared" si="33"/>
        <v>0</v>
      </c>
      <c r="M224" s="284"/>
      <c r="N224" s="285"/>
      <c r="O224" s="136">
        <f t="shared" si="34"/>
        <v>0</v>
      </c>
      <c r="P224" s="85"/>
    </row>
    <row r="225" spans="1:16" hidden="1" x14ac:dyDescent="0.25">
      <c r="A225" s="76">
        <v>5237</v>
      </c>
      <c r="B225" s="127" t="s">
        <v>241</v>
      </c>
      <c r="C225" s="279">
        <f t="shared" si="27"/>
        <v>0</v>
      </c>
      <c r="D225" s="135"/>
      <c r="E225" s="283"/>
      <c r="F225" s="279">
        <f t="shared" si="31"/>
        <v>0</v>
      </c>
      <c r="G225" s="134"/>
      <c r="H225" s="135"/>
      <c r="I225" s="136">
        <f t="shared" si="32"/>
        <v>0</v>
      </c>
      <c r="J225" s="134"/>
      <c r="K225" s="135"/>
      <c r="L225" s="136">
        <f t="shared" si="33"/>
        <v>0</v>
      </c>
      <c r="M225" s="284"/>
      <c r="N225" s="285"/>
      <c r="O225" s="136">
        <f t="shared" si="34"/>
        <v>0</v>
      </c>
      <c r="P225" s="85"/>
    </row>
    <row r="226" spans="1:16" ht="24" hidden="1" x14ac:dyDescent="0.25">
      <c r="A226" s="76">
        <v>5238</v>
      </c>
      <c r="B226" s="127" t="s">
        <v>242</v>
      </c>
      <c r="C226" s="279">
        <f t="shared" si="27"/>
        <v>0</v>
      </c>
      <c r="D226" s="135"/>
      <c r="E226" s="283"/>
      <c r="F226" s="279">
        <f t="shared" si="31"/>
        <v>0</v>
      </c>
      <c r="G226" s="134"/>
      <c r="H226" s="135"/>
      <c r="I226" s="136">
        <f t="shared" si="32"/>
        <v>0</v>
      </c>
      <c r="J226" s="134"/>
      <c r="K226" s="135"/>
      <c r="L226" s="136">
        <f t="shared" si="33"/>
        <v>0</v>
      </c>
      <c r="M226" s="284"/>
      <c r="N226" s="285"/>
      <c r="O226" s="136">
        <f t="shared" si="34"/>
        <v>0</v>
      </c>
      <c r="P226" s="85"/>
    </row>
    <row r="227" spans="1:16" ht="24" hidden="1" x14ac:dyDescent="0.25">
      <c r="A227" s="76">
        <v>5239</v>
      </c>
      <c r="B227" s="127" t="s">
        <v>243</v>
      </c>
      <c r="C227" s="279">
        <f t="shared" si="27"/>
        <v>0</v>
      </c>
      <c r="D227" s="135"/>
      <c r="E227" s="283"/>
      <c r="F227" s="279">
        <f t="shared" si="31"/>
        <v>0</v>
      </c>
      <c r="G227" s="134"/>
      <c r="H227" s="135"/>
      <c r="I227" s="136">
        <f t="shared" si="32"/>
        <v>0</v>
      </c>
      <c r="J227" s="134"/>
      <c r="K227" s="135"/>
      <c r="L227" s="136">
        <f t="shared" si="33"/>
        <v>0</v>
      </c>
      <c r="M227" s="284"/>
      <c r="N227" s="285"/>
      <c r="O227" s="136">
        <f t="shared" si="34"/>
        <v>0</v>
      </c>
      <c r="P227" s="85"/>
    </row>
    <row r="228" spans="1:16" ht="24" hidden="1" x14ac:dyDescent="0.25">
      <c r="A228" s="276">
        <v>5240</v>
      </c>
      <c r="B228" s="127" t="s">
        <v>244</v>
      </c>
      <c r="C228" s="279">
        <f t="shared" si="27"/>
        <v>0</v>
      </c>
      <c r="D228" s="135"/>
      <c r="E228" s="283"/>
      <c r="F228" s="279">
        <f t="shared" si="31"/>
        <v>0</v>
      </c>
      <c r="G228" s="134"/>
      <c r="H228" s="135"/>
      <c r="I228" s="136">
        <f t="shared" si="32"/>
        <v>0</v>
      </c>
      <c r="J228" s="134"/>
      <c r="K228" s="135"/>
      <c r="L228" s="136">
        <f t="shared" si="33"/>
        <v>0</v>
      </c>
      <c r="M228" s="284"/>
      <c r="N228" s="285"/>
      <c r="O228" s="136">
        <f t="shared" si="34"/>
        <v>0</v>
      </c>
      <c r="P228" s="85"/>
    </row>
    <row r="229" spans="1:16" hidden="1" x14ac:dyDescent="0.25">
      <c r="A229" s="276">
        <v>5250</v>
      </c>
      <c r="B229" s="127" t="s">
        <v>245</v>
      </c>
      <c r="C229" s="279">
        <f t="shared" si="27"/>
        <v>0</v>
      </c>
      <c r="D229" s="135"/>
      <c r="E229" s="283"/>
      <c r="F229" s="279">
        <f t="shared" si="31"/>
        <v>0</v>
      </c>
      <c r="G229" s="134"/>
      <c r="H229" s="135"/>
      <c r="I229" s="136">
        <f t="shared" si="32"/>
        <v>0</v>
      </c>
      <c r="J229" s="134"/>
      <c r="K229" s="135"/>
      <c r="L229" s="136">
        <f t="shared" si="33"/>
        <v>0</v>
      </c>
      <c r="M229" s="284"/>
      <c r="N229" s="285"/>
      <c r="O229" s="136">
        <f t="shared" si="34"/>
        <v>0</v>
      </c>
      <c r="P229" s="85"/>
    </row>
    <row r="230" spans="1:16" hidden="1" x14ac:dyDescent="0.25">
      <c r="A230" s="276">
        <v>5260</v>
      </c>
      <c r="B230" s="127" t="s">
        <v>246</v>
      </c>
      <c r="C230" s="279">
        <f t="shared" si="27"/>
        <v>0</v>
      </c>
      <c r="D230" s="280">
        <f>SUM(D231)</f>
        <v>0</v>
      </c>
      <c r="E230" s="278">
        <f>SUM(E231)</f>
        <v>0</v>
      </c>
      <c r="F230" s="279">
        <f t="shared" si="31"/>
        <v>0</v>
      </c>
      <c r="G230" s="277">
        <f>SUM(G231)</f>
        <v>0</v>
      </c>
      <c r="H230" s="280">
        <f>SUM(H231)</f>
        <v>0</v>
      </c>
      <c r="I230" s="136">
        <f t="shared" si="32"/>
        <v>0</v>
      </c>
      <c r="J230" s="277">
        <f>SUM(J231)</f>
        <v>0</v>
      </c>
      <c r="K230" s="280">
        <f>SUM(K231)</f>
        <v>0</v>
      </c>
      <c r="L230" s="136">
        <f t="shared" si="33"/>
        <v>0</v>
      </c>
      <c r="M230" s="281">
        <f>SUM(M231)</f>
        <v>0</v>
      </c>
      <c r="N230" s="282">
        <f>SUM(N231)</f>
        <v>0</v>
      </c>
      <c r="O230" s="136">
        <f t="shared" si="34"/>
        <v>0</v>
      </c>
      <c r="P230" s="85"/>
    </row>
    <row r="231" spans="1:16" ht="24" hidden="1" x14ac:dyDescent="0.25">
      <c r="A231" s="76">
        <v>5269</v>
      </c>
      <c r="B231" s="127" t="s">
        <v>247</v>
      </c>
      <c r="C231" s="279">
        <f t="shared" si="27"/>
        <v>0</v>
      </c>
      <c r="D231" s="135"/>
      <c r="E231" s="283"/>
      <c r="F231" s="279">
        <f t="shared" si="31"/>
        <v>0</v>
      </c>
      <c r="G231" s="134"/>
      <c r="H231" s="135"/>
      <c r="I231" s="136">
        <f t="shared" si="32"/>
        <v>0</v>
      </c>
      <c r="J231" s="134"/>
      <c r="K231" s="135"/>
      <c r="L231" s="136">
        <f t="shared" si="33"/>
        <v>0</v>
      </c>
      <c r="M231" s="284"/>
      <c r="N231" s="285"/>
      <c r="O231" s="136">
        <f t="shared" si="34"/>
        <v>0</v>
      </c>
      <c r="P231" s="85"/>
    </row>
    <row r="232" spans="1:16" ht="24" hidden="1" x14ac:dyDescent="0.25">
      <c r="A232" s="254">
        <v>5270</v>
      </c>
      <c r="B232" s="179" t="s">
        <v>248</v>
      </c>
      <c r="C232" s="302">
        <f t="shared" si="27"/>
        <v>0</v>
      </c>
      <c r="D232" s="289"/>
      <c r="E232" s="288"/>
      <c r="F232" s="257">
        <f t="shared" si="31"/>
        <v>0</v>
      </c>
      <c r="G232" s="287"/>
      <c r="H232" s="289"/>
      <c r="I232" s="259">
        <f t="shared" si="32"/>
        <v>0</v>
      </c>
      <c r="J232" s="287"/>
      <c r="K232" s="289"/>
      <c r="L232" s="259">
        <f t="shared" si="33"/>
        <v>0</v>
      </c>
      <c r="M232" s="290"/>
      <c r="N232" s="291"/>
      <c r="O232" s="259">
        <f t="shared" si="34"/>
        <v>0</v>
      </c>
      <c r="P232" s="189"/>
    </row>
    <row r="233" spans="1:16" hidden="1" x14ac:dyDescent="0.25">
      <c r="A233" s="237">
        <v>6000</v>
      </c>
      <c r="B233" s="237" t="s">
        <v>249</v>
      </c>
      <c r="C233" s="241">
        <f t="shared" si="27"/>
        <v>0</v>
      </c>
      <c r="D233" s="469">
        <f>D234+D254+D261</f>
        <v>0</v>
      </c>
      <c r="E233" s="240">
        <f>E234+E254+E261</f>
        <v>0</v>
      </c>
      <c r="F233" s="241">
        <f t="shared" si="31"/>
        <v>0</v>
      </c>
      <c r="G233" s="239">
        <f>G234+G254+G261</f>
        <v>0</v>
      </c>
      <c r="H233" s="242">
        <f>H234+H254+H261</f>
        <v>0</v>
      </c>
      <c r="I233" s="243">
        <f t="shared" si="32"/>
        <v>0</v>
      </c>
      <c r="J233" s="239">
        <f>J234+J254+J261</f>
        <v>0</v>
      </c>
      <c r="K233" s="242">
        <f>K234+K254+K261</f>
        <v>0</v>
      </c>
      <c r="L233" s="243">
        <f t="shared" si="33"/>
        <v>0</v>
      </c>
      <c r="M233" s="244">
        <f>M234+M254+M261</f>
        <v>0</v>
      </c>
      <c r="N233" s="245">
        <f>N234+N254+N261</f>
        <v>0</v>
      </c>
      <c r="O233" s="243">
        <f t="shared" si="34"/>
        <v>0</v>
      </c>
      <c r="P233" s="246"/>
    </row>
    <row r="234" spans="1:16" hidden="1" x14ac:dyDescent="0.25">
      <c r="A234" s="160">
        <v>6200</v>
      </c>
      <c r="B234" s="321" t="s">
        <v>250</v>
      </c>
      <c r="C234" s="648">
        <f>F234+I234+L234+O234</f>
        <v>0</v>
      </c>
      <c r="D234" s="336">
        <f>SUM(D235,D236,D238,D241,D247,D248,D249)</f>
        <v>0</v>
      </c>
      <c r="E234" s="684">
        <f>SUM(E235,E236,E238,E241,E247,E248,E249)</f>
        <v>0</v>
      </c>
      <c r="F234" s="648">
        <f>D234+E234</f>
        <v>0</v>
      </c>
      <c r="G234" s="334">
        <f>SUM(G235,G236,G238,G241,G247,G248,G249)</f>
        <v>0</v>
      </c>
      <c r="H234" s="336">
        <f>SUM(H235,H236,H238,H241,H247,H248,H249)</f>
        <v>0</v>
      </c>
      <c r="I234" s="252">
        <f t="shared" si="32"/>
        <v>0</v>
      </c>
      <c r="J234" s="334">
        <f>SUM(J235,J236,J238,J241,J247,J248,J249)</f>
        <v>0</v>
      </c>
      <c r="K234" s="336">
        <f>SUM(K235,K236,K238,K241,K247,K248,K249)</f>
        <v>0</v>
      </c>
      <c r="L234" s="252">
        <f t="shared" si="33"/>
        <v>0</v>
      </c>
      <c r="M234" s="250">
        <f>SUM(M235,M236,M238,M241,M247,M248,M249)</f>
        <v>0</v>
      </c>
      <c r="N234" s="251">
        <f>SUM(N235,N236,N238,N241,N247,N248,N249)</f>
        <v>0</v>
      </c>
      <c r="O234" s="252">
        <f t="shared" si="34"/>
        <v>0</v>
      </c>
      <c r="P234" s="253"/>
    </row>
    <row r="235" spans="1:16" ht="24" hidden="1" x14ac:dyDescent="0.25">
      <c r="A235" s="656">
        <v>6220</v>
      </c>
      <c r="B235" s="116" t="s">
        <v>251</v>
      </c>
      <c r="C235" s="296">
        <f t="shared" si="27"/>
        <v>0</v>
      </c>
      <c r="D235" s="124"/>
      <c r="E235" s="295"/>
      <c r="F235" s="296">
        <f t="shared" si="31"/>
        <v>0</v>
      </c>
      <c r="G235" s="123"/>
      <c r="H235" s="124"/>
      <c r="I235" s="125">
        <f t="shared" si="32"/>
        <v>0</v>
      </c>
      <c r="J235" s="123"/>
      <c r="K235" s="124"/>
      <c r="L235" s="125">
        <f t="shared" si="33"/>
        <v>0</v>
      </c>
      <c r="M235" s="264"/>
      <c r="N235" s="262"/>
      <c r="O235" s="125">
        <f t="shared" si="34"/>
        <v>0</v>
      </c>
      <c r="P235" s="74"/>
    </row>
    <row r="236" spans="1:16" hidden="1" x14ac:dyDescent="0.25">
      <c r="A236" s="276">
        <v>6230</v>
      </c>
      <c r="B236" s="127" t="s">
        <v>252</v>
      </c>
      <c r="C236" s="279">
        <f t="shared" si="27"/>
        <v>0</v>
      </c>
      <c r="D236" s="280">
        <f>SUM(D237)</f>
        <v>0</v>
      </c>
      <c r="E236" s="281">
        <f>SUM(E237)</f>
        <v>0</v>
      </c>
      <c r="F236" s="279">
        <f t="shared" si="31"/>
        <v>0</v>
      </c>
      <c r="G236" s="277">
        <f>SUM(G237)</f>
        <v>0</v>
      </c>
      <c r="H236" s="280">
        <f>SUM(H237)</f>
        <v>0</v>
      </c>
      <c r="I236" s="136">
        <f t="shared" si="32"/>
        <v>0</v>
      </c>
      <c r="J236" s="277">
        <f>SUM(J237)</f>
        <v>0</v>
      </c>
      <c r="K236" s="280">
        <f>SUM(K237)</f>
        <v>0</v>
      </c>
      <c r="L236" s="136">
        <f t="shared" si="33"/>
        <v>0</v>
      </c>
      <c r="M236" s="277">
        <f>SUM(M237)</f>
        <v>0</v>
      </c>
      <c r="N236" s="280">
        <f>SUM(N237)</f>
        <v>0</v>
      </c>
      <c r="O236" s="136">
        <f t="shared" si="34"/>
        <v>0</v>
      </c>
      <c r="P236" s="85"/>
    </row>
    <row r="237" spans="1:16" ht="24" hidden="1" x14ac:dyDescent="0.25">
      <c r="A237" s="76">
        <v>6239</v>
      </c>
      <c r="B237" s="116" t="s">
        <v>253</v>
      </c>
      <c r="C237" s="279">
        <f t="shared" si="27"/>
        <v>0</v>
      </c>
      <c r="D237" s="124"/>
      <c r="E237" s="283"/>
      <c r="F237" s="279">
        <f t="shared" si="31"/>
        <v>0</v>
      </c>
      <c r="G237" s="134"/>
      <c r="H237" s="135"/>
      <c r="I237" s="136">
        <f t="shared" si="32"/>
        <v>0</v>
      </c>
      <c r="J237" s="134"/>
      <c r="K237" s="135"/>
      <c r="L237" s="136">
        <f t="shared" si="33"/>
        <v>0</v>
      </c>
      <c r="M237" s="284"/>
      <c r="N237" s="285"/>
      <c r="O237" s="136">
        <f t="shared" si="34"/>
        <v>0</v>
      </c>
      <c r="P237" s="85"/>
    </row>
    <row r="238" spans="1:16" ht="24" hidden="1" x14ac:dyDescent="0.25">
      <c r="A238" s="276">
        <v>6240</v>
      </c>
      <c r="B238" s="127" t="s">
        <v>254</v>
      </c>
      <c r="C238" s="279">
        <f t="shared" si="27"/>
        <v>0</v>
      </c>
      <c r="D238" s="280">
        <f>SUM(D239:D240)</f>
        <v>0</v>
      </c>
      <c r="E238" s="278">
        <f>SUM(E239:E240)</f>
        <v>0</v>
      </c>
      <c r="F238" s="279">
        <f t="shared" si="31"/>
        <v>0</v>
      </c>
      <c r="G238" s="277">
        <f>SUM(G239:G240)</f>
        <v>0</v>
      </c>
      <c r="H238" s="280">
        <f>SUM(H239:H240)</f>
        <v>0</v>
      </c>
      <c r="I238" s="136">
        <f t="shared" si="32"/>
        <v>0</v>
      </c>
      <c r="J238" s="277">
        <f>SUM(J239:J240)</f>
        <v>0</v>
      </c>
      <c r="K238" s="280">
        <f>SUM(K239:K240)</f>
        <v>0</v>
      </c>
      <c r="L238" s="136">
        <f t="shared" si="33"/>
        <v>0</v>
      </c>
      <c r="M238" s="281">
        <f>SUM(M239:M240)</f>
        <v>0</v>
      </c>
      <c r="N238" s="282">
        <f>SUM(N239:N240)</f>
        <v>0</v>
      </c>
      <c r="O238" s="136">
        <f t="shared" si="34"/>
        <v>0</v>
      </c>
      <c r="P238" s="85"/>
    </row>
    <row r="239" spans="1:16" hidden="1" x14ac:dyDescent="0.25">
      <c r="A239" s="76">
        <v>6241</v>
      </c>
      <c r="B239" s="127" t="s">
        <v>255</v>
      </c>
      <c r="C239" s="279">
        <f t="shared" si="27"/>
        <v>0</v>
      </c>
      <c r="D239" s="135"/>
      <c r="E239" s="283"/>
      <c r="F239" s="279">
        <f t="shared" si="31"/>
        <v>0</v>
      </c>
      <c r="G239" s="134"/>
      <c r="H239" s="135"/>
      <c r="I239" s="136">
        <f t="shared" si="32"/>
        <v>0</v>
      </c>
      <c r="J239" s="134"/>
      <c r="K239" s="135"/>
      <c r="L239" s="136">
        <f t="shared" si="33"/>
        <v>0</v>
      </c>
      <c r="M239" s="284"/>
      <c r="N239" s="285"/>
      <c r="O239" s="136">
        <f t="shared" si="34"/>
        <v>0</v>
      </c>
      <c r="P239" s="85"/>
    </row>
    <row r="240" spans="1:16" hidden="1" x14ac:dyDescent="0.25">
      <c r="A240" s="76">
        <v>6242</v>
      </c>
      <c r="B240" s="127" t="s">
        <v>256</v>
      </c>
      <c r="C240" s="279">
        <f t="shared" si="27"/>
        <v>0</v>
      </c>
      <c r="D240" s="135"/>
      <c r="E240" s="283"/>
      <c r="F240" s="279">
        <f t="shared" si="31"/>
        <v>0</v>
      </c>
      <c r="G240" s="134"/>
      <c r="H240" s="135"/>
      <c r="I240" s="136">
        <f t="shared" si="32"/>
        <v>0</v>
      </c>
      <c r="J240" s="134"/>
      <c r="K240" s="135"/>
      <c r="L240" s="136">
        <f t="shared" si="33"/>
        <v>0</v>
      </c>
      <c r="M240" s="284"/>
      <c r="N240" s="285"/>
      <c r="O240" s="136">
        <f t="shared" si="34"/>
        <v>0</v>
      </c>
      <c r="P240" s="85"/>
    </row>
    <row r="241" spans="1:16" ht="24" hidden="1" x14ac:dyDescent="0.25">
      <c r="A241" s="276">
        <v>6250</v>
      </c>
      <c r="B241" s="127" t="s">
        <v>257</v>
      </c>
      <c r="C241" s="279">
        <f t="shared" si="27"/>
        <v>0</v>
      </c>
      <c r="D241" s="280">
        <f>SUM(D242:D246)</f>
        <v>0</v>
      </c>
      <c r="E241" s="278">
        <f>SUM(E242:E246)</f>
        <v>0</v>
      </c>
      <c r="F241" s="279">
        <f t="shared" si="31"/>
        <v>0</v>
      </c>
      <c r="G241" s="277">
        <f>SUM(G242:G246)</f>
        <v>0</v>
      </c>
      <c r="H241" s="280">
        <f>SUM(H242:H246)</f>
        <v>0</v>
      </c>
      <c r="I241" s="136">
        <f t="shared" si="32"/>
        <v>0</v>
      </c>
      <c r="J241" s="277">
        <f>SUM(J242:J246)</f>
        <v>0</v>
      </c>
      <c r="K241" s="280">
        <f>SUM(K242:K246)</f>
        <v>0</v>
      </c>
      <c r="L241" s="136">
        <f t="shared" si="33"/>
        <v>0</v>
      </c>
      <c r="M241" s="281">
        <f>SUM(M242:M246)</f>
        <v>0</v>
      </c>
      <c r="N241" s="282">
        <f>SUM(N242:N246)</f>
        <v>0</v>
      </c>
      <c r="O241" s="136">
        <f t="shared" si="34"/>
        <v>0</v>
      </c>
      <c r="P241" s="85"/>
    </row>
    <row r="242" spans="1:16" hidden="1" x14ac:dyDescent="0.25">
      <c r="A242" s="76">
        <v>6252</v>
      </c>
      <c r="B242" s="127" t="s">
        <v>258</v>
      </c>
      <c r="C242" s="279">
        <f t="shared" si="27"/>
        <v>0</v>
      </c>
      <c r="D242" s="135"/>
      <c r="E242" s="283"/>
      <c r="F242" s="279">
        <f t="shared" si="31"/>
        <v>0</v>
      </c>
      <c r="G242" s="134"/>
      <c r="H242" s="135"/>
      <c r="I242" s="136">
        <f t="shared" si="32"/>
        <v>0</v>
      </c>
      <c r="J242" s="134"/>
      <c r="K242" s="135"/>
      <c r="L242" s="136">
        <f t="shared" si="33"/>
        <v>0</v>
      </c>
      <c r="M242" s="284"/>
      <c r="N242" s="285"/>
      <c r="O242" s="136">
        <f t="shared" si="34"/>
        <v>0</v>
      </c>
      <c r="P242" s="85"/>
    </row>
    <row r="243" spans="1:16" hidden="1" x14ac:dyDescent="0.25">
      <c r="A243" s="76">
        <v>6253</v>
      </c>
      <c r="B243" s="127" t="s">
        <v>259</v>
      </c>
      <c r="C243" s="279">
        <f t="shared" si="27"/>
        <v>0</v>
      </c>
      <c r="D243" s="135"/>
      <c r="E243" s="283"/>
      <c r="F243" s="279">
        <f t="shared" si="31"/>
        <v>0</v>
      </c>
      <c r="G243" s="134"/>
      <c r="H243" s="135"/>
      <c r="I243" s="136">
        <f t="shared" si="32"/>
        <v>0</v>
      </c>
      <c r="J243" s="134"/>
      <c r="K243" s="135"/>
      <c r="L243" s="136">
        <f t="shared" si="33"/>
        <v>0</v>
      </c>
      <c r="M243" s="284"/>
      <c r="N243" s="285"/>
      <c r="O243" s="136">
        <f t="shared" si="34"/>
        <v>0</v>
      </c>
      <c r="P243" s="85"/>
    </row>
    <row r="244" spans="1:16" ht="24" hidden="1" x14ac:dyDescent="0.25">
      <c r="A244" s="76">
        <v>6254</v>
      </c>
      <c r="B244" s="127" t="s">
        <v>260</v>
      </c>
      <c r="C244" s="279">
        <f t="shared" si="27"/>
        <v>0</v>
      </c>
      <c r="D244" s="135"/>
      <c r="E244" s="283"/>
      <c r="F244" s="279">
        <f t="shared" si="31"/>
        <v>0</v>
      </c>
      <c r="G244" s="134"/>
      <c r="H244" s="135"/>
      <c r="I244" s="136">
        <f t="shared" si="32"/>
        <v>0</v>
      </c>
      <c r="J244" s="134"/>
      <c r="K244" s="135"/>
      <c r="L244" s="136">
        <f t="shared" si="33"/>
        <v>0</v>
      </c>
      <c r="M244" s="284"/>
      <c r="N244" s="285"/>
      <c r="O244" s="136">
        <f t="shared" si="34"/>
        <v>0</v>
      </c>
      <c r="P244" s="85"/>
    </row>
    <row r="245" spans="1:16" ht="24" hidden="1" x14ac:dyDescent="0.25">
      <c r="A245" s="76">
        <v>6255</v>
      </c>
      <c r="B245" s="127" t="s">
        <v>261</v>
      </c>
      <c r="C245" s="279">
        <f t="shared" si="27"/>
        <v>0</v>
      </c>
      <c r="D245" s="135"/>
      <c r="E245" s="283"/>
      <c r="F245" s="279">
        <f t="shared" si="31"/>
        <v>0</v>
      </c>
      <c r="G245" s="134"/>
      <c r="H245" s="135"/>
      <c r="I245" s="136">
        <f t="shared" si="32"/>
        <v>0</v>
      </c>
      <c r="J245" s="134"/>
      <c r="K245" s="135"/>
      <c r="L245" s="136">
        <f t="shared" si="33"/>
        <v>0</v>
      </c>
      <c r="M245" s="284"/>
      <c r="N245" s="285"/>
      <c r="O245" s="136">
        <f t="shared" si="34"/>
        <v>0</v>
      </c>
      <c r="P245" s="85"/>
    </row>
    <row r="246" spans="1:16" hidden="1" x14ac:dyDescent="0.25">
      <c r="A246" s="76">
        <v>6259</v>
      </c>
      <c r="B246" s="127" t="s">
        <v>262</v>
      </c>
      <c r="C246" s="279">
        <f t="shared" si="27"/>
        <v>0</v>
      </c>
      <c r="D246" s="135"/>
      <c r="E246" s="283"/>
      <c r="F246" s="279">
        <f t="shared" si="31"/>
        <v>0</v>
      </c>
      <c r="G246" s="134"/>
      <c r="H246" s="135"/>
      <c r="I246" s="136">
        <f t="shared" si="32"/>
        <v>0</v>
      </c>
      <c r="J246" s="134"/>
      <c r="K246" s="135"/>
      <c r="L246" s="136">
        <f t="shared" si="33"/>
        <v>0</v>
      </c>
      <c r="M246" s="284"/>
      <c r="N246" s="285"/>
      <c r="O246" s="136">
        <f t="shared" si="34"/>
        <v>0</v>
      </c>
      <c r="P246" s="85"/>
    </row>
    <row r="247" spans="1:16" ht="24" hidden="1" x14ac:dyDescent="0.25">
      <c r="A247" s="276">
        <v>6260</v>
      </c>
      <c r="B247" s="127" t="s">
        <v>263</v>
      </c>
      <c r="C247" s="279">
        <f t="shared" si="27"/>
        <v>0</v>
      </c>
      <c r="D247" s="135"/>
      <c r="E247" s="283"/>
      <c r="F247" s="279">
        <f t="shared" ref="F247:F299" si="38">D247+E247</f>
        <v>0</v>
      </c>
      <c r="G247" s="134"/>
      <c r="H247" s="135"/>
      <c r="I247" s="136">
        <f t="shared" ref="I247:I299" si="39">G247+H247</f>
        <v>0</v>
      </c>
      <c r="J247" s="134"/>
      <c r="K247" s="135"/>
      <c r="L247" s="136">
        <f t="shared" ref="L247:L299" si="40">J247+K247</f>
        <v>0</v>
      </c>
      <c r="M247" s="284"/>
      <c r="N247" s="285"/>
      <c r="O247" s="136">
        <f t="shared" ref="O247:O276" si="41">M247+N247</f>
        <v>0</v>
      </c>
      <c r="P247" s="85"/>
    </row>
    <row r="248" spans="1:16" hidden="1" x14ac:dyDescent="0.25">
      <c r="A248" s="276">
        <v>6270</v>
      </c>
      <c r="B248" s="127" t="s">
        <v>264</v>
      </c>
      <c r="C248" s="279">
        <f t="shared" si="27"/>
        <v>0</v>
      </c>
      <c r="D248" s="135"/>
      <c r="E248" s="283"/>
      <c r="F248" s="279">
        <f t="shared" si="38"/>
        <v>0</v>
      </c>
      <c r="G248" s="134"/>
      <c r="H248" s="135"/>
      <c r="I248" s="136">
        <f t="shared" si="39"/>
        <v>0</v>
      </c>
      <c r="J248" s="134"/>
      <c r="K248" s="135"/>
      <c r="L248" s="136">
        <f t="shared" si="40"/>
        <v>0</v>
      </c>
      <c r="M248" s="284"/>
      <c r="N248" s="285"/>
      <c r="O248" s="136">
        <f t="shared" si="41"/>
        <v>0</v>
      </c>
      <c r="P248" s="85"/>
    </row>
    <row r="249" spans="1:16" ht="24" hidden="1" x14ac:dyDescent="0.25">
      <c r="A249" s="656">
        <v>6290</v>
      </c>
      <c r="B249" s="116" t="s">
        <v>265</v>
      </c>
      <c r="C249" s="279">
        <f t="shared" si="27"/>
        <v>0</v>
      </c>
      <c r="D249" s="299">
        <f>SUM(D250:D253)</f>
        <v>0</v>
      </c>
      <c r="E249" s="298">
        <f>SUM(E250:E253)</f>
        <v>0</v>
      </c>
      <c r="F249" s="296">
        <f t="shared" si="38"/>
        <v>0</v>
      </c>
      <c r="G249" s="297">
        <f>SUM(G250:G253)</f>
        <v>0</v>
      </c>
      <c r="H249" s="299">
        <f t="shared" ref="H249" si="42">SUM(H250:H253)</f>
        <v>0</v>
      </c>
      <c r="I249" s="125">
        <f t="shared" si="39"/>
        <v>0</v>
      </c>
      <c r="J249" s="297">
        <f>SUM(J250:J253)</f>
        <v>0</v>
      </c>
      <c r="K249" s="299">
        <f t="shared" ref="K249" si="43">SUM(K250:K253)</f>
        <v>0</v>
      </c>
      <c r="L249" s="125">
        <f t="shared" si="40"/>
        <v>0</v>
      </c>
      <c r="M249" s="322">
        <f t="shared" ref="M249:N249" si="44">SUM(M250:M253)</f>
        <v>0</v>
      </c>
      <c r="N249" s="323">
        <f t="shared" si="44"/>
        <v>0</v>
      </c>
      <c r="O249" s="324">
        <f t="shared" si="41"/>
        <v>0</v>
      </c>
      <c r="P249" s="325"/>
    </row>
    <row r="250" spans="1:16" hidden="1" x14ac:dyDescent="0.25">
      <c r="A250" s="76">
        <v>6291</v>
      </c>
      <c r="B250" s="127" t="s">
        <v>266</v>
      </c>
      <c r="C250" s="279">
        <f t="shared" si="27"/>
        <v>0</v>
      </c>
      <c r="D250" s="135"/>
      <c r="E250" s="283"/>
      <c r="F250" s="279">
        <f t="shared" si="38"/>
        <v>0</v>
      </c>
      <c r="G250" s="134"/>
      <c r="H250" s="135"/>
      <c r="I250" s="136">
        <f t="shared" si="39"/>
        <v>0</v>
      </c>
      <c r="J250" s="134"/>
      <c r="K250" s="135"/>
      <c r="L250" s="136">
        <f t="shared" si="40"/>
        <v>0</v>
      </c>
      <c r="M250" s="284"/>
      <c r="N250" s="285"/>
      <c r="O250" s="136">
        <f t="shared" si="41"/>
        <v>0</v>
      </c>
      <c r="P250" s="85"/>
    </row>
    <row r="251" spans="1:16" hidden="1" x14ac:dyDescent="0.25">
      <c r="A251" s="76">
        <v>6292</v>
      </c>
      <c r="B251" s="127" t="s">
        <v>267</v>
      </c>
      <c r="C251" s="279">
        <f t="shared" si="27"/>
        <v>0</v>
      </c>
      <c r="D251" s="135"/>
      <c r="E251" s="283"/>
      <c r="F251" s="279">
        <f t="shared" si="38"/>
        <v>0</v>
      </c>
      <c r="G251" s="134"/>
      <c r="H251" s="135"/>
      <c r="I251" s="136">
        <f t="shared" si="39"/>
        <v>0</v>
      </c>
      <c r="J251" s="134"/>
      <c r="K251" s="135"/>
      <c r="L251" s="136">
        <f t="shared" si="40"/>
        <v>0</v>
      </c>
      <c r="M251" s="284"/>
      <c r="N251" s="285"/>
      <c r="O251" s="136">
        <f t="shared" si="41"/>
        <v>0</v>
      </c>
      <c r="P251" s="85"/>
    </row>
    <row r="252" spans="1:16" ht="72" hidden="1" x14ac:dyDescent="0.25">
      <c r="A252" s="76">
        <v>6296</v>
      </c>
      <c r="B252" s="127" t="s">
        <v>268</v>
      </c>
      <c r="C252" s="279">
        <f t="shared" si="27"/>
        <v>0</v>
      </c>
      <c r="D252" s="135"/>
      <c r="E252" s="283"/>
      <c r="F252" s="279">
        <f t="shared" si="38"/>
        <v>0</v>
      </c>
      <c r="G252" s="134"/>
      <c r="H252" s="135"/>
      <c r="I252" s="136">
        <f t="shared" si="39"/>
        <v>0</v>
      </c>
      <c r="J252" s="134"/>
      <c r="K252" s="135"/>
      <c r="L252" s="136">
        <f t="shared" si="40"/>
        <v>0</v>
      </c>
      <c r="M252" s="284"/>
      <c r="N252" s="285"/>
      <c r="O252" s="136">
        <f t="shared" si="41"/>
        <v>0</v>
      </c>
      <c r="P252" s="85"/>
    </row>
    <row r="253" spans="1:16" ht="36" hidden="1" x14ac:dyDescent="0.25">
      <c r="A253" s="76">
        <v>6299</v>
      </c>
      <c r="B253" s="127" t="s">
        <v>269</v>
      </c>
      <c r="C253" s="279">
        <f t="shared" si="27"/>
        <v>0</v>
      </c>
      <c r="D253" s="135"/>
      <c r="E253" s="283"/>
      <c r="F253" s="279">
        <f t="shared" si="38"/>
        <v>0</v>
      </c>
      <c r="G253" s="134"/>
      <c r="H253" s="135"/>
      <c r="I253" s="136">
        <f t="shared" si="39"/>
        <v>0</v>
      </c>
      <c r="J253" s="134"/>
      <c r="K253" s="135"/>
      <c r="L253" s="136">
        <f t="shared" si="40"/>
        <v>0</v>
      </c>
      <c r="M253" s="284"/>
      <c r="N253" s="285"/>
      <c r="O253" s="136">
        <f t="shared" si="41"/>
        <v>0</v>
      </c>
      <c r="P253" s="85"/>
    </row>
    <row r="254" spans="1:16" hidden="1" x14ac:dyDescent="0.25">
      <c r="A254" s="99">
        <v>6300</v>
      </c>
      <c r="B254" s="247" t="s">
        <v>270</v>
      </c>
      <c r="C254" s="249">
        <f t="shared" si="27"/>
        <v>0</v>
      </c>
      <c r="D254" s="113">
        <f>SUM(D255,D259,D260)</f>
        <v>0</v>
      </c>
      <c r="E254" s="248">
        <f>SUM(E255,E259,E260)</f>
        <v>0</v>
      </c>
      <c r="F254" s="249">
        <f t="shared" si="38"/>
        <v>0</v>
      </c>
      <c r="G254" s="112">
        <f>SUM(G255,G259,G260)</f>
        <v>0</v>
      </c>
      <c r="H254" s="113">
        <f t="shared" ref="H254" si="45">SUM(H255,H259,H260)</f>
        <v>0</v>
      </c>
      <c r="I254" s="114">
        <f t="shared" si="39"/>
        <v>0</v>
      </c>
      <c r="J254" s="112">
        <f>SUM(J255,J259,J260)</f>
        <v>0</v>
      </c>
      <c r="K254" s="113">
        <f t="shared" ref="K254" si="46">SUM(K255,K259,K260)</f>
        <v>0</v>
      </c>
      <c r="L254" s="114">
        <f t="shared" si="40"/>
        <v>0</v>
      </c>
      <c r="M254" s="303">
        <f t="shared" ref="M254:N254" si="47">SUM(M255,M259,M260)</f>
        <v>0</v>
      </c>
      <c r="N254" s="304">
        <f t="shared" si="47"/>
        <v>0</v>
      </c>
      <c r="O254" s="305">
        <f t="shared" si="41"/>
        <v>0</v>
      </c>
      <c r="P254" s="306"/>
    </row>
    <row r="255" spans="1:16" ht="24" hidden="1" x14ac:dyDescent="0.25">
      <c r="A255" s="656">
        <v>6320</v>
      </c>
      <c r="B255" s="116" t="s">
        <v>271</v>
      </c>
      <c r="C255" s="647">
        <f t="shared" si="27"/>
        <v>0</v>
      </c>
      <c r="D255" s="299">
        <f>SUM(D256:D258)</f>
        <v>0</v>
      </c>
      <c r="E255" s="298">
        <f>SUM(E256:E258)</f>
        <v>0</v>
      </c>
      <c r="F255" s="296">
        <f t="shared" si="38"/>
        <v>0</v>
      </c>
      <c r="G255" s="297">
        <f>SUM(G256:G258)</f>
        <v>0</v>
      </c>
      <c r="H255" s="299">
        <f t="shared" ref="H255" si="48">SUM(H256:H258)</f>
        <v>0</v>
      </c>
      <c r="I255" s="125">
        <f t="shared" si="39"/>
        <v>0</v>
      </c>
      <c r="J255" s="297">
        <f>SUM(J256:J258)</f>
        <v>0</v>
      </c>
      <c r="K255" s="299">
        <f t="shared" ref="K255" si="49">SUM(K256:K258)</f>
        <v>0</v>
      </c>
      <c r="L255" s="125">
        <f t="shared" si="40"/>
        <v>0</v>
      </c>
      <c r="M255" s="300">
        <f t="shared" ref="M255:N255" si="50">SUM(M256:M258)</f>
        <v>0</v>
      </c>
      <c r="N255" s="301">
        <f t="shared" si="50"/>
        <v>0</v>
      </c>
      <c r="O255" s="125">
        <f t="shared" si="41"/>
        <v>0</v>
      </c>
      <c r="P255" s="74"/>
    </row>
    <row r="256" spans="1:16" hidden="1" x14ac:dyDescent="0.25">
      <c r="A256" s="76">
        <v>6322</v>
      </c>
      <c r="B256" s="127" t="s">
        <v>272</v>
      </c>
      <c r="C256" s="279">
        <f t="shared" si="27"/>
        <v>0</v>
      </c>
      <c r="D256" s="135"/>
      <c r="E256" s="283"/>
      <c r="F256" s="279">
        <f t="shared" si="38"/>
        <v>0</v>
      </c>
      <c r="G256" s="134"/>
      <c r="H256" s="135"/>
      <c r="I256" s="136">
        <f t="shared" si="39"/>
        <v>0</v>
      </c>
      <c r="J256" s="134"/>
      <c r="K256" s="135"/>
      <c r="L256" s="136">
        <f t="shared" si="40"/>
        <v>0</v>
      </c>
      <c r="M256" s="284"/>
      <c r="N256" s="285"/>
      <c r="O256" s="136">
        <f t="shared" si="41"/>
        <v>0</v>
      </c>
      <c r="P256" s="85"/>
    </row>
    <row r="257" spans="1:16" ht="24" hidden="1" x14ac:dyDescent="0.25">
      <c r="A257" s="76">
        <v>6323</v>
      </c>
      <c r="B257" s="127" t="s">
        <v>273</v>
      </c>
      <c r="C257" s="279">
        <f t="shared" si="27"/>
        <v>0</v>
      </c>
      <c r="D257" s="135"/>
      <c r="E257" s="283"/>
      <c r="F257" s="279">
        <f t="shared" si="38"/>
        <v>0</v>
      </c>
      <c r="G257" s="134"/>
      <c r="H257" s="135"/>
      <c r="I257" s="136">
        <f t="shared" si="39"/>
        <v>0</v>
      </c>
      <c r="J257" s="134"/>
      <c r="K257" s="135"/>
      <c r="L257" s="136">
        <f t="shared" si="40"/>
        <v>0</v>
      </c>
      <c r="M257" s="284"/>
      <c r="N257" s="285"/>
      <c r="O257" s="136">
        <f t="shared" si="41"/>
        <v>0</v>
      </c>
      <c r="P257" s="85"/>
    </row>
    <row r="258" spans="1:16" ht="24" hidden="1" x14ac:dyDescent="0.25">
      <c r="A258" s="66">
        <v>6324</v>
      </c>
      <c r="B258" s="116" t="s">
        <v>274</v>
      </c>
      <c r="C258" s="279">
        <f t="shared" si="27"/>
        <v>0</v>
      </c>
      <c r="D258" s="124"/>
      <c r="E258" s="295"/>
      <c r="F258" s="296">
        <f t="shared" si="38"/>
        <v>0</v>
      </c>
      <c r="G258" s="123"/>
      <c r="H258" s="124"/>
      <c r="I258" s="125">
        <f t="shared" si="39"/>
        <v>0</v>
      </c>
      <c r="J258" s="123"/>
      <c r="K258" s="124"/>
      <c r="L258" s="125">
        <f t="shared" si="40"/>
        <v>0</v>
      </c>
      <c r="M258" s="264"/>
      <c r="N258" s="262"/>
      <c r="O258" s="125">
        <f t="shared" si="41"/>
        <v>0</v>
      </c>
      <c r="P258" s="74"/>
    </row>
    <row r="259" spans="1:16" ht="24" hidden="1" x14ac:dyDescent="0.25">
      <c r="A259" s="344">
        <v>6330</v>
      </c>
      <c r="B259" s="345" t="s">
        <v>275</v>
      </c>
      <c r="C259" s="279">
        <f t="shared" ref="C259:C286" si="51">F259+I259+L259+O259</f>
        <v>0</v>
      </c>
      <c r="D259" s="331"/>
      <c r="E259" s="683"/>
      <c r="F259" s="647">
        <f t="shared" si="38"/>
        <v>0</v>
      </c>
      <c r="G259" s="328"/>
      <c r="H259" s="331"/>
      <c r="I259" s="324">
        <f t="shared" si="39"/>
        <v>0</v>
      </c>
      <c r="J259" s="328"/>
      <c r="K259" s="331"/>
      <c r="L259" s="324">
        <f t="shared" si="40"/>
        <v>0</v>
      </c>
      <c r="M259" s="332"/>
      <c r="N259" s="329"/>
      <c r="O259" s="324">
        <f t="shared" si="41"/>
        <v>0</v>
      </c>
      <c r="P259" s="325"/>
    </row>
    <row r="260" spans="1:16" hidden="1" x14ac:dyDescent="0.25">
      <c r="A260" s="276">
        <v>6360</v>
      </c>
      <c r="B260" s="127" t="s">
        <v>276</v>
      </c>
      <c r="C260" s="279">
        <f t="shared" si="51"/>
        <v>0</v>
      </c>
      <c r="D260" s="135"/>
      <c r="E260" s="283"/>
      <c r="F260" s="279">
        <f t="shared" si="38"/>
        <v>0</v>
      </c>
      <c r="G260" s="134"/>
      <c r="H260" s="135"/>
      <c r="I260" s="136">
        <f t="shared" si="39"/>
        <v>0</v>
      </c>
      <c r="J260" s="134"/>
      <c r="K260" s="135"/>
      <c r="L260" s="136">
        <f t="shared" si="40"/>
        <v>0</v>
      </c>
      <c r="M260" s="284"/>
      <c r="N260" s="285"/>
      <c r="O260" s="136">
        <f t="shared" si="41"/>
        <v>0</v>
      </c>
      <c r="P260" s="85"/>
    </row>
    <row r="261" spans="1:16" ht="36" hidden="1" x14ac:dyDescent="0.25">
      <c r="A261" s="99">
        <v>6400</v>
      </c>
      <c r="B261" s="247" t="s">
        <v>277</v>
      </c>
      <c r="C261" s="249">
        <f t="shared" si="51"/>
        <v>0</v>
      </c>
      <c r="D261" s="113">
        <f>SUM(D262,D266)</f>
        <v>0</v>
      </c>
      <c r="E261" s="248">
        <f>SUM(E262,E266)</f>
        <v>0</v>
      </c>
      <c r="F261" s="249">
        <f t="shared" si="38"/>
        <v>0</v>
      </c>
      <c r="G261" s="112">
        <f>SUM(G262,G266)</f>
        <v>0</v>
      </c>
      <c r="H261" s="113">
        <f t="shared" ref="H261" si="52">SUM(H262,H266)</f>
        <v>0</v>
      </c>
      <c r="I261" s="114">
        <f t="shared" si="39"/>
        <v>0</v>
      </c>
      <c r="J261" s="112">
        <f>SUM(J262,J266)</f>
        <v>0</v>
      </c>
      <c r="K261" s="113">
        <f t="shared" ref="K261" si="53">SUM(K262,K266)</f>
        <v>0</v>
      </c>
      <c r="L261" s="114">
        <f t="shared" si="40"/>
        <v>0</v>
      </c>
      <c r="M261" s="303">
        <f t="shared" ref="M261:N261" si="54">SUM(M262,M266)</f>
        <v>0</v>
      </c>
      <c r="N261" s="304">
        <f t="shared" si="54"/>
        <v>0</v>
      </c>
      <c r="O261" s="305">
        <f t="shared" si="41"/>
        <v>0</v>
      </c>
      <c r="P261" s="306"/>
    </row>
    <row r="262" spans="1:16" ht="24" hidden="1" x14ac:dyDescent="0.25">
      <c r="A262" s="656">
        <v>6410</v>
      </c>
      <c r="B262" s="116" t="s">
        <v>278</v>
      </c>
      <c r="C262" s="296">
        <f t="shared" si="51"/>
        <v>0</v>
      </c>
      <c r="D262" s="299">
        <f>SUM(D263:D265)</f>
        <v>0</v>
      </c>
      <c r="E262" s="298">
        <f>SUM(E263:E265)</f>
        <v>0</v>
      </c>
      <c r="F262" s="296">
        <f t="shared" si="38"/>
        <v>0</v>
      </c>
      <c r="G262" s="297">
        <f>SUM(G263:G265)</f>
        <v>0</v>
      </c>
      <c r="H262" s="299">
        <f t="shared" ref="H262" si="55">SUM(H263:H265)</f>
        <v>0</v>
      </c>
      <c r="I262" s="125">
        <f t="shared" si="39"/>
        <v>0</v>
      </c>
      <c r="J262" s="297">
        <f>SUM(J263:J265)</f>
        <v>0</v>
      </c>
      <c r="K262" s="299">
        <f t="shared" ref="K262" si="56">SUM(K263:K265)</f>
        <v>0</v>
      </c>
      <c r="L262" s="125">
        <f t="shared" si="40"/>
        <v>0</v>
      </c>
      <c r="M262" s="317">
        <f t="shared" ref="M262:N262" si="57">SUM(M263:M265)</f>
        <v>0</v>
      </c>
      <c r="N262" s="318">
        <f t="shared" si="57"/>
        <v>0</v>
      </c>
      <c r="O262" s="151">
        <f t="shared" si="41"/>
        <v>0</v>
      </c>
      <c r="P262" s="153"/>
    </row>
    <row r="263" spans="1:16" hidden="1" x14ac:dyDescent="0.25">
      <c r="A263" s="76">
        <v>6411</v>
      </c>
      <c r="B263" s="346" t="s">
        <v>279</v>
      </c>
      <c r="C263" s="279">
        <f t="shared" si="51"/>
        <v>0</v>
      </c>
      <c r="D263" s="135"/>
      <c r="E263" s="283"/>
      <c r="F263" s="279">
        <f t="shared" si="38"/>
        <v>0</v>
      </c>
      <c r="G263" s="134"/>
      <c r="H263" s="135"/>
      <c r="I263" s="136">
        <f t="shared" si="39"/>
        <v>0</v>
      </c>
      <c r="J263" s="134"/>
      <c r="K263" s="135"/>
      <c r="L263" s="136">
        <f t="shared" si="40"/>
        <v>0</v>
      </c>
      <c r="M263" s="284"/>
      <c r="N263" s="285"/>
      <c r="O263" s="136">
        <f t="shared" si="41"/>
        <v>0</v>
      </c>
      <c r="P263" s="85"/>
    </row>
    <row r="264" spans="1:16" ht="36" hidden="1" x14ac:dyDescent="0.25">
      <c r="A264" s="76">
        <v>6412</v>
      </c>
      <c r="B264" s="127" t="s">
        <v>280</v>
      </c>
      <c r="C264" s="279">
        <f t="shared" si="51"/>
        <v>0</v>
      </c>
      <c r="D264" s="135"/>
      <c r="E264" s="283"/>
      <c r="F264" s="279">
        <f t="shared" si="38"/>
        <v>0</v>
      </c>
      <c r="G264" s="134"/>
      <c r="H264" s="135"/>
      <c r="I264" s="136">
        <f t="shared" si="39"/>
        <v>0</v>
      </c>
      <c r="J264" s="134"/>
      <c r="K264" s="135"/>
      <c r="L264" s="136">
        <f t="shared" si="40"/>
        <v>0</v>
      </c>
      <c r="M264" s="284"/>
      <c r="N264" s="285"/>
      <c r="O264" s="136">
        <f t="shared" si="41"/>
        <v>0</v>
      </c>
      <c r="P264" s="85"/>
    </row>
    <row r="265" spans="1:16" ht="36" hidden="1" x14ac:dyDescent="0.25">
      <c r="A265" s="76">
        <v>6419</v>
      </c>
      <c r="B265" s="127" t="s">
        <v>281</v>
      </c>
      <c r="C265" s="279">
        <f t="shared" si="51"/>
        <v>0</v>
      </c>
      <c r="D265" s="135"/>
      <c r="E265" s="283"/>
      <c r="F265" s="279">
        <f t="shared" si="38"/>
        <v>0</v>
      </c>
      <c r="G265" s="134"/>
      <c r="H265" s="135"/>
      <c r="I265" s="136">
        <f t="shared" si="39"/>
        <v>0</v>
      </c>
      <c r="J265" s="134"/>
      <c r="K265" s="135"/>
      <c r="L265" s="136">
        <f t="shared" si="40"/>
        <v>0</v>
      </c>
      <c r="M265" s="284"/>
      <c r="N265" s="285"/>
      <c r="O265" s="136">
        <f t="shared" si="41"/>
        <v>0</v>
      </c>
      <c r="P265" s="85"/>
    </row>
    <row r="266" spans="1:16" ht="36" hidden="1" x14ac:dyDescent="0.25">
      <c r="A266" s="276">
        <v>6420</v>
      </c>
      <c r="B266" s="127" t="s">
        <v>282</v>
      </c>
      <c r="C266" s="279">
        <f t="shared" si="51"/>
        <v>0</v>
      </c>
      <c r="D266" s="280">
        <f>SUM(D267:D270)</f>
        <v>0</v>
      </c>
      <c r="E266" s="278">
        <f>SUM(E267:E270)</f>
        <v>0</v>
      </c>
      <c r="F266" s="279">
        <f t="shared" si="38"/>
        <v>0</v>
      </c>
      <c r="G266" s="277">
        <f>SUM(G267:G270)</f>
        <v>0</v>
      </c>
      <c r="H266" s="280">
        <f>SUM(H267:H270)</f>
        <v>0</v>
      </c>
      <c r="I266" s="136">
        <f t="shared" si="39"/>
        <v>0</v>
      </c>
      <c r="J266" s="277">
        <f>SUM(J267:J270)</f>
        <v>0</v>
      </c>
      <c r="K266" s="280">
        <f>SUM(K267:K270)</f>
        <v>0</v>
      </c>
      <c r="L266" s="136">
        <f t="shared" si="40"/>
        <v>0</v>
      </c>
      <c r="M266" s="281">
        <f>SUM(M267:M270)</f>
        <v>0</v>
      </c>
      <c r="N266" s="282">
        <f>SUM(N267:N270)</f>
        <v>0</v>
      </c>
      <c r="O266" s="136">
        <f t="shared" si="41"/>
        <v>0</v>
      </c>
      <c r="P266" s="85"/>
    </row>
    <row r="267" spans="1:16" hidden="1" x14ac:dyDescent="0.25">
      <c r="A267" s="76">
        <v>6421</v>
      </c>
      <c r="B267" s="127" t="s">
        <v>283</v>
      </c>
      <c r="C267" s="279">
        <f t="shared" si="51"/>
        <v>0</v>
      </c>
      <c r="D267" s="135"/>
      <c r="E267" s="283"/>
      <c r="F267" s="279">
        <f t="shared" si="38"/>
        <v>0</v>
      </c>
      <c r="G267" s="134"/>
      <c r="H267" s="135"/>
      <c r="I267" s="136">
        <f t="shared" si="39"/>
        <v>0</v>
      </c>
      <c r="J267" s="134"/>
      <c r="K267" s="135"/>
      <c r="L267" s="136">
        <f t="shared" si="40"/>
        <v>0</v>
      </c>
      <c r="M267" s="284"/>
      <c r="N267" s="285"/>
      <c r="O267" s="136">
        <f t="shared" si="41"/>
        <v>0</v>
      </c>
      <c r="P267" s="85"/>
    </row>
    <row r="268" spans="1:16" hidden="1" x14ac:dyDescent="0.25">
      <c r="A268" s="76">
        <v>6422</v>
      </c>
      <c r="B268" s="127" t="s">
        <v>284</v>
      </c>
      <c r="C268" s="279">
        <f t="shared" si="51"/>
        <v>0</v>
      </c>
      <c r="D268" s="135"/>
      <c r="E268" s="283"/>
      <c r="F268" s="279">
        <f t="shared" si="38"/>
        <v>0</v>
      </c>
      <c r="G268" s="134"/>
      <c r="H268" s="135"/>
      <c r="I268" s="136">
        <f t="shared" si="39"/>
        <v>0</v>
      </c>
      <c r="J268" s="134"/>
      <c r="K268" s="135"/>
      <c r="L268" s="136">
        <f t="shared" si="40"/>
        <v>0</v>
      </c>
      <c r="M268" s="284"/>
      <c r="N268" s="285"/>
      <c r="O268" s="136">
        <f t="shared" si="41"/>
        <v>0</v>
      </c>
      <c r="P268" s="85"/>
    </row>
    <row r="269" spans="1:16" ht="24" hidden="1" x14ac:dyDescent="0.25">
      <c r="A269" s="76">
        <v>6423</v>
      </c>
      <c r="B269" s="127" t="s">
        <v>285</v>
      </c>
      <c r="C269" s="279">
        <f t="shared" si="51"/>
        <v>0</v>
      </c>
      <c r="D269" s="135"/>
      <c r="E269" s="283"/>
      <c r="F269" s="279">
        <f t="shared" si="38"/>
        <v>0</v>
      </c>
      <c r="G269" s="134"/>
      <c r="H269" s="135"/>
      <c r="I269" s="136">
        <f t="shared" si="39"/>
        <v>0</v>
      </c>
      <c r="J269" s="134"/>
      <c r="K269" s="135"/>
      <c r="L269" s="136">
        <f t="shared" si="40"/>
        <v>0</v>
      </c>
      <c r="M269" s="284"/>
      <c r="N269" s="285"/>
      <c r="O269" s="136">
        <f t="shared" si="41"/>
        <v>0</v>
      </c>
      <c r="P269" s="85"/>
    </row>
    <row r="270" spans="1:16" ht="36" hidden="1" x14ac:dyDescent="0.25">
      <c r="A270" s="76">
        <v>6424</v>
      </c>
      <c r="B270" s="127" t="s">
        <v>286</v>
      </c>
      <c r="C270" s="279">
        <f t="shared" si="51"/>
        <v>0</v>
      </c>
      <c r="D270" s="135"/>
      <c r="E270" s="283"/>
      <c r="F270" s="279">
        <f t="shared" si="38"/>
        <v>0</v>
      </c>
      <c r="G270" s="134"/>
      <c r="H270" s="135"/>
      <c r="I270" s="136">
        <f t="shared" si="39"/>
        <v>0</v>
      </c>
      <c r="J270" s="134"/>
      <c r="K270" s="135"/>
      <c r="L270" s="136">
        <f t="shared" si="40"/>
        <v>0</v>
      </c>
      <c r="M270" s="284"/>
      <c r="N270" s="285"/>
      <c r="O270" s="136">
        <f t="shared" si="41"/>
        <v>0</v>
      </c>
      <c r="P270" s="85"/>
    </row>
    <row r="271" spans="1:16" ht="36" hidden="1" x14ac:dyDescent="0.25">
      <c r="A271" s="347">
        <v>7000</v>
      </c>
      <c r="B271" s="347" t="s">
        <v>287</v>
      </c>
      <c r="C271" s="351">
        <f t="shared" si="51"/>
        <v>0</v>
      </c>
      <c r="D271" s="499">
        <f>SUM(D272,D282)</f>
        <v>0</v>
      </c>
      <c r="E271" s="350">
        <f>SUM(E272,E282)</f>
        <v>0</v>
      </c>
      <c r="F271" s="351">
        <f t="shared" si="38"/>
        <v>0</v>
      </c>
      <c r="G271" s="349">
        <f>SUM(G272,G282)</f>
        <v>0</v>
      </c>
      <c r="H271" s="352">
        <f>SUM(H272,H282)</f>
        <v>0</v>
      </c>
      <c r="I271" s="353">
        <f t="shared" si="39"/>
        <v>0</v>
      </c>
      <c r="J271" s="349">
        <f>SUM(J272,J282)</f>
        <v>0</v>
      </c>
      <c r="K271" s="352">
        <f>SUM(K272,K282)</f>
        <v>0</v>
      </c>
      <c r="L271" s="353">
        <f t="shared" si="40"/>
        <v>0</v>
      </c>
      <c r="M271" s="354">
        <f>SUM(M272,M282)</f>
        <v>0</v>
      </c>
      <c r="N271" s="355">
        <f>SUM(N272,N282)</f>
        <v>0</v>
      </c>
      <c r="O271" s="356">
        <f t="shared" si="41"/>
        <v>0</v>
      </c>
      <c r="P271" s="357"/>
    </row>
    <row r="272" spans="1:16" ht="24" hidden="1" x14ac:dyDescent="0.25">
      <c r="A272" s="99">
        <v>7200</v>
      </c>
      <c r="B272" s="247" t="s">
        <v>288</v>
      </c>
      <c r="C272" s="249">
        <f t="shared" si="51"/>
        <v>0</v>
      </c>
      <c r="D272" s="113">
        <f>SUM(D273,D274,D277,D278,D281)</f>
        <v>0</v>
      </c>
      <c r="E272" s="248">
        <f>SUM(E273,E274,E277,E278,E281)</f>
        <v>0</v>
      </c>
      <c r="F272" s="249">
        <f t="shared" si="38"/>
        <v>0</v>
      </c>
      <c r="G272" s="112">
        <f>SUM(G273,G274,G277,G278,G281)</f>
        <v>0</v>
      </c>
      <c r="H272" s="113">
        <f>SUM(H273,H274,H277,H278,H281)</f>
        <v>0</v>
      </c>
      <c r="I272" s="114">
        <f t="shared" si="39"/>
        <v>0</v>
      </c>
      <c r="J272" s="112">
        <f>SUM(J273,J274,J277,J278,J281)</f>
        <v>0</v>
      </c>
      <c r="K272" s="113">
        <f>SUM(K273,K274,K277,K278,K281)</f>
        <v>0</v>
      </c>
      <c r="L272" s="114">
        <f t="shared" si="40"/>
        <v>0</v>
      </c>
      <c r="M272" s="250">
        <f>SUM(M273,M274,M277,M278,M281)</f>
        <v>0</v>
      </c>
      <c r="N272" s="251">
        <f>SUM(N273,N274,N277,N278,N281)</f>
        <v>0</v>
      </c>
      <c r="O272" s="252">
        <f t="shared" si="41"/>
        <v>0</v>
      </c>
      <c r="P272" s="253"/>
    </row>
    <row r="273" spans="1:16" ht="24" hidden="1" x14ac:dyDescent="0.25">
      <c r="A273" s="656">
        <v>7210</v>
      </c>
      <c r="B273" s="116" t="s">
        <v>289</v>
      </c>
      <c r="C273" s="296">
        <f t="shared" si="51"/>
        <v>0</v>
      </c>
      <c r="D273" s="124"/>
      <c r="E273" s="295"/>
      <c r="F273" s="296">
        <f t="shared" si="38"/>
        <v>0</v>
      </c>
      <c r="G273" s="123"/>
      <c r="H273" s="124"/>
      <c r="I273" s="125">
        <f t="shared" si="39"/>
        <v>0</v>
      </c>
      <c r="J273" s="123"/>
      <c r="K273" s="124"/>
      <c r="L273" s="125">
        <f t="shared" si="40"/>
        <v>0</v>
      </c>
      <c r="M273" s="264"/>
      <c r="N273" s="262"/>
      <c r="O273" s="125">
        <f t="shared" si="41"/>
        <v>0</v>
      </c>
      <c r="P273" s="74"/>
    </row>
    <row r="274" spans="1:16" s="358" customFormat="1" ht="36" hidden="1" x14ac:dyDescent="0.25">
      <c r="A274" s="276">
        <v>7220</v>
      </c>
      <c r="B274" s="127" t="s">
        <v>290</v>
      </c>
      <c r="C274" s="279">
        <f t="shared" si="51"/>
        <v>0</v>
      </c>
      <c r="D274" s="280">
        <f>SUM(D275:D276)</f>
        <v>0</v>
      </c>
      <c r="E274" s="278">
        <f>SUM(E275:E276)</f>
        <v>0</v>
      </c>
      <c r="F274" s="279">
        <f t="shared" si="38"/>
        <v>0</v>
      </c>
      <c r="G274" s="277">
        <f>SUM(G275:G276)</f>
        <v>0</v>
      </c>
      <c r="H274" s="280">
        <f>SUM(H275:H276)</f>
        <v>0</v>
      </c>
      <c r="I274" s="136">
        <f t="shared" si="39"/>
        <v>0</v>
      </c>
      <c r="J274" s="277">
        <f>SUM(J275:J276)</f>
        <v>0</v>
      </c>
      <c r="K274" s="280">
        <f>SUM(K275:K276)</f>
        <v>0</v>
      </c>
      <c r="L274" s="136">
        <f t="shared" si="40"/>
        <v>0</v>
      </c>
      <c r="M274" s="281">
        <f>SUM(M275:M276)</f>
        <v>0</v>
      </c>
      <c r="N274" s="282">
        <f>SUM(N275:N276)</f>
        <v>0</v>
      </c>
      <c r="O274" s="136">
        <f t="shared" si="41"/>
        <v>0</v>
      </c>
      <c r="P274" s="85"/>
    </row>
    <row r="275" spans="1:16" s="358" customFormat="1" ht="36" hidden="1" x14ac:dyDescent="0.25">
      <c r="A275" s="76">
        <v>7221</v>
      </c>
      <c r="B275" s="127" t="s">
        <v>291</v>
      </c>
      <c r="C275" s="279">
        <f t="shared" si="51"/>
        <v>0</v>
      </c>
      <c r="D275" s="135"/>
      <c r="E275" s="283"/>
      <c r="F275" s="279">
        <f t="shared" si="38"/>
        <v>0</v>
      </c>
      <c r="G275" s="134"/>
      <c r="H275" s="135"/>
      <c r="I275" s="136">
        <f t="shared" si="39"/>
        <v>0</v>
      </c>
      <c r="J275" s="134"/>
      <c r="K275" s="135"/>
      <c r="L275" s="136">
        <f t="shared" si="40"/>
        <v>0</v>
      </c>
      <c r="M275" s="284"/>
      <c r="N275" s="285"/>
      <c r="O275" s="136">
        <f t="shared" si="41"/>
        <v>0</v>
      </c>
      <c r="P275" s="85"/>
    </row>
    <row r="276" spans="1:16" s="358" customFormat="1" ht="36" hidden="1" x14ac:dyDescent="0.25">
      <c r="A276" s="76">
        <v>7222</v>
      </c>
      <c r="B276" s="127" t="s">
        <v>292</v>
      </c>
      <c r="C276" s="279">
        <f t="shared" si="51"/>
        <v>0</v>
      </c>
      <c r="D276" s="135"/>
      <c r="E276" s="283"/>
      <c r="F276" s="279">
        <f t="shared" si="38"/>
        <v>0</v>
      </c>
      <c r="G276" s="134"/>
      <c r="H276" s="135"/>
      <c r="I276" s="136">
        <f t="shared" si="39"/>
        <v>0</v>
      </c>
      <c r="J276" s="134"/>
      <c r="K276" s="135"/>
      <c r="L276" s="136">
        <f t="shared" si="40"/>
        <v>0</v>
      </c>
      <c r="M276" s="284"/>
      <c r="N276" s="285"/>
      <c r="O276" s="136">
        <f t="shared" si="41"/>
        <v>0</v>
      </c>
      <c r="P276" s="85"/>
    </row>
    <row r="277" spans="1:16" s="358" customFormat="1" ht="24" hidden="1" x14ac:dyDescent="0.25">
      <c r="A277" s="276">
        <v>7230</v>
      </c>
      <c r="B277" s="127" t="s">
        <v>293</v>
      </c>
      <c r="C277" s="279">
        <f t="shared" si="51"/>
        <v>0</v>
      </c>
      <c r="D277" s="135"/>
      <c r="E277" s="283"/>
      <c r="F277" s="279">
        <f t="shared" si="38"/>
        <v>0</v>
      </c>
      <c r="G277" s="134"/>
      <c r="H277" s="135"/>
      <c r="I277" s="136">
        <f t="shared" si="39"/>
        <v>0</v>
      </c>
      <c r="J277" s="134"/>
      <c r="K277" s="135"/>
      <c r="L277" s="136">
        <f t="shared" si="40"/>
        <v>0</v>
      </c>
      <c r="M277" s="284"/>
      <c r="N277" s="285"/>
      <c r="O277" s="136">
        <f>M277+N277</f>
        <v>0</v>
      </c>
      <c r="P277" s="85"/>
    </row>
    <row r="278" spans="1:16" ht="24" hidden="1" x14ac:dyDescent="0.25">
      <c r="A278" s="276">
        <v>7240</v>
      </c>
      <c r="B278" s="127" t="s">
        <v>294</v>
      </c>
      <c r="C278" s="279">
        <f t="shared" si="51"/>
        <v>0</v>
      </c>
      <c r="D278" s="280">
        <f>SUM(D279:D280)</f>
        <v>0</v>
      </c>
      <c r="E278" s="278">
        <f>SUM(E279:E280)</f>
        <v>0</v>
      </c>
      <c r="F278" s="279">
        <f t="shared" si="38"/>
        <v>0</v>
      </c>
      <c r="G278" s="277">
        <f>SUM(G279:G280)</f>
        <v>0</v>
      </c>
      <c r="H278" s="280">
        <f>SUM(H279:H280)</f>
        <v>0</v>
      </c>
      <c r="I278" s="136">
        <f t="shared" si="39"/>
        <v>0</v>
      </c>
      <c r="J278" s="277">
        <f>SUM(J279:J280)</f>
        <v>0</v>
      </c>
      <c r="K278" s="280">
        <f>SUM(K279:K280)</f>
        <v>0</v>
      </c>
      <c r="L278" s="136">
        <f t="shared" si="40"/>
        <v>0</v>
      </c>
      <c r="M278" s="281">
        <f>SUM(M279:M280)</f>
        <v>0</v>
      </c>
      <c r="N278" s="282">
        <f>SUM(N279:N280)</f>
        <v>0</v>
      </c>
      <c r="O278" s="136">
        <f>SUM(O279:O280)</f>
        <v>0</v>
      </c>
      <c r="P278" s="85"/>
    </row>
    <row r="279" spans="1:16" ht="48" hidden="1" x14ac:dyDescent="0.25">
      <c r="A279" s="76">
        <v>7245</v>
      </c>
      <c r="B279" s="127" t="s">
        <v>295</v>
      </c>
      <c r="C279" s="279">
        <f t="shared" si="51"/>
        <v>0</v>
      </c>
      <c r="D279" s="135"/>
      <c r="E279" s="283"/>
      <c r="F279" s="279">
        <f t="shared" si="38"/>
        <v>0</v>
      </c>
      <c r="G279" s="134"/>
      <c r="H279" s="135"/>
      <c r="I279" s="136">
        <f t="shared" si="39"/>
        <v>0</v>
      </c>
      <c r="J279" s="134"/>
      <c r="K279" s="135"/>
      <c r="L279" s="136">
        <f t="shared" si="40"/>
        <v>0</v>
      </c>
      <c r="M279" s="284"/>
      <c r="N279" s="285"/>
      <c r="O279" s="136">
        <f t="shared" ref="O279:O282" si="58">M279+N279</f>
        <v>0</v>
      </c>
      <c r="P279" s="85"/>
    </row>
    <row r="280" spans="1:16" ht="96" hidden="1" x14ac:dyDescent="0.25">
      <c r="A280" s="76">
        <v>7246</v>
      </c>
      <c r="B280" s="127" t="s">
        <v>296</v>
      </c>
      <c r="C280" s="279">
        <f t="shared" si="51"/>
        <v>0</v>
      </c>
      <c r="D280" s="135"/>
      <c r="E280" s="283"/>
      <c r="F280" s="279">
        <f t="shared" si="38"/>
        <v>0</v>
      </c>
      <c r="G280" s="134"/>
      <c r="H280" s="135"/>
      <c r="I280" s="136">
        <f t="shared" si="39"/>
        <v>0</v>
      </c>
      <c r="J280" s="134"/>
      <c r="K280" s="135"/>
      <c r="L280" s="136">
        <f t="shared" si="40"/>
        <v>0</v>
      </c>
      <c r="M280" s="284"/>
      <c r="N280" s="285"/>
      <c r="O280" s="136">
        <f t="shared" si="58"/>
        <v>0</v>
      </c>
      <c r="P280" s="85"/>
    </row>
    <row r="281" spans="1:16" ht="24" hidden="1" x14ac:dyDescent="0.25">
      <c r="A281" s="276">
        <v>7260</v>
      </c>
      <c r="B281" s="127" t="s">
        <v>297</v>
      </c>
      <c r="C281" s="279">
        <f t="shared" si="51"/>
        <v>0</v>
      </c>
      <c r="D281" s="124"/>
      <c r="E281" s="295"/>
      <c r="F281" s="296">
        <f t="shared" si="38"/>
        <v>0</v>
      </c>
      <c r="G281" s="123"/>
      <c r="H281" s="124"/>
      <c r="I281" s="125">
        <f t="shared" si="39"/>
        <v>0</v>
      </c>
      <c r="J281" s="123"/>
      <c r="K281" s="124"/>
      <c r="L281" s="125">
        <f t="shared" si="40"/>
        <v>0</v>
      </c>
      <c r="M281" s="264"/>
      <c r="N281" s="262"/>
      <c r="O281" s="125">
        <f t="shared" si="58"/>
        <v>0</v>
      </c>
      <c r="P281" s="74"/>
    </row>
    <row r="282" spans="1:16" hidden="1" x14ac:dyDescent="0.25">
      <c r="A282" s="99">
        <v>7700</v>
      </c>
      <c r="B282" s="247" t="s">
        <v>298</v>
      </c>
      <c r="C282" s="302">
        <f t="shared" si="51"/>
        <v>0</v>
      </c>
      <c r="D282" s="361">
        <f>D283</f>
        <v>0</v>
      </c>
      <c r="E282" s="679">
        <f>SUM(E283)</f>
        <v>0</v>
      </c>
      <c r="F282" s="302">
        <f t="shared" si="38"/>
        <v>0</v>
      </c>
      <c r="G282" s="360">
        <f>G283</f>
        <v>0</v>
      </c>
      <c r="H282" s="361">
        <f>SUM(H283)</f>
        <v>0</v>
      </c>
      <c r="I282" s="305">
        <f t="shared" si="39"/>
        <v>0</v>
      </c>
      <c r="J282" s="360">
        <f>J283</f>
        <v>0</v>
      </c>
      <c r="K282" s="361">
        <f>SUM(K283)</f>
        <v>0</v>
      </c>
      <c r="L282" s="305">
        <f t="shared" si="40"/>
        <v>0</v>
      </c>
      <c r="M282" s="303">
        <f>SUM(M283)</f>
        <v>0</v>
      </c>
      <c r="N282" s="304">
        <f>SUM(N283)</f>
        <v>0</v>
      </c>
      <c r="O282" s="305">
        <f t="shared" si="58"/>
        <v>0</v>
      </c>
      <c r="P282" s="306"/>
    </row>
    <row r="283" spans="1:16" hidden="1" x14ac:dyDescent="0.25">
      <c r="A283" s="141">
        <v>7720</v>
      </c>
      <c r="B283" s="142" t="s">
        <v>299</v>
      </c>
      <c r="C283" s="362">
        <f t="shared" si="51"/>
        <v>0</v>
      </c>
      <c r="D283" s="150"/>
      <c r="E283" s="686"/>
      <c r="F283" s="362">
        <f t="shared" si="38"/>
        <v>0</v>
      </c>
      <c r="G283" s="149"/>
      <c r="H283" s="150"/>
      <c r="I283" s="151">
        <f t="shared" si="39"/>
        <v>0</v>
      </c>
      <c r="J283" s="149"/>
      <c r="K283" s="150"/>
      <c r="L283" s="151">
        <f t="shared" si="40"/>
        <v>0</v>
      </c>
      <c r="M283" s="365"/>
      <c r="N283" s="363"/>
      <c r="O283" s="151">
        <f>M283+N283</f>
        <v>0</v>
      </c>
      <c r="P283" s="153"/>
    </row>
    <row r="284" spans="1:16" hidden="1" x14ac:dyDescent="0.25">
      <c r="A284" s="366"/>
      <c r="B284" s="179" t="s">
        <v>300</v>
      </c>
      <c r="C284" s="296">
        <f t="shared" si="51"/>
        <v>0</v>
      </c>
      <c r="D284" s="280">
        <f>SUM(D285:D286)</f>
        <v>0</v>
      </c>
      <c r="E284" s="256">
        <f>SUM(E285:E286)</f>
        <v>0</v>
      </c>
      <c r="F284" s="257">
        <f t="shared" si="38"/>
        <v>0</v>
      </c>
      <c r="G284" s="255">
        <f>SUM(G285:G286)</f>
        <v>0</v>
      </c>
      <c r="H284" s="258">
        <f>SUM(H285:H286)</f>
        <v>0</v>
      </c>
      <c r="I284" s="259">
        <f t="shared" si="39"/>
        <v>0</v>
      </c>
      <c r="J284" s="255">
        <f>SUM(J285:J286)</f>
        <v>0</v>
      </c>
      <c r="K284" s="258">
        <f>SUM(K285:K286)</f>
        <v>0</v>
      </c>
      <c r="L284" s="259">
        <f t="shared" si="40"/>
        <v>0</v>
      </c>
      <c r="M284" s="260">
        <f>SUM(M285:M286)</f>
        <v>0</v>
      </c>
      <c r="N284" s="261">
        <f>SUM(N285:N286)</f>
        <v>0</v>
      </c>
      <c r="O284" s="259">
        <f t="shared" ref="O284:O299" si="59">M284+N284</f>
        <v>0</v>
      </c>
      <c r="P284" s="189"/>
    </row>
    <row r="285" spans="1:16" hidden="1" x14ac:dyDescent="0.25">
      <c r="A285" s="346" t="s">
        <v>301</v>
      </c>
      <c r="B285" s="76" t="s">
        <v>302</v>
      </c>
      <c r="C285" s="279">
        <f t="shared" si="51"/>
        <v>0</v>
      </c>
      <c r="D285" s="135"/>
      <c r="E285" s="283"/>
      <c r="F285" s="279">
        <f t="shared" si="38"/>
        <v>0</v>
      </c>
      <c r="G285" s="134"/>
      <c r="H285" s="135"/>
      <c r="I285" s="136">
        <f t="shared" si="39"/>
        <v>0</v>
      </c>
      <c r="J285" s="134"/>
      <c r="K285" s="135"/>
      <c r="L285" s="136">
        <f t="shared" si="40"/>
        <v>0</v>
      </c>
      <c r="M285" s="284"/>
      <c r="N285" s="285"/>
      <c r="O285" s="136">
        <f t="shared" si="59"/>
        <v>0</v>
      </c>
      <c r="P285" s="85"/>
    </row>
    <row r="286" spans="1:16" ht="24" hidden="1" x14ac:dyDescent="0.25">
      <c r="A286" s="346" t="s">
        <v>303</v>
      </c>
      <c r="B286" s="367" t="s">
        <v>304</v>
      </c>
      <c r="C286" s="296">
        <f t="shared" si="51"/>
        <v>0</v>
      </c>
      <c r="D286" s="124"/>
      <c r="E286" s="295"/>
      <c r="F286" s="296">
        <f t="shared" si="38"/>
        <v>0</v>
      </c>
      <c r="G286" s="123"/>
      <c r="H286" s="124"/>
      <c r="I286" s="125">
        <f t="shared" si="39"/>
        <v>0</v>
      </c>
      <c r="J286" s="123"/>
      <c r="K286" s="124"/>
      <c r="L286" s="125">
        <f t="shared" si="40"/>
        <v>0</v>
      </c>
      <c r="M286" s="264"/>
      <c r="N286" s="262"/>
      <c r="O286" s="125">
        <f t="shared" si="59"/>
        <v>0</v>
      </c>
      <c r="P286" s="74"/>
    </row>
    <row r="287" spans="1:16" x14ac:dyDescent="0.25">
      <c r="A287" s="368"/>
      <c r="B287" s="369" t="s">
        <v>305</v>
      </c>
      <c r="C287" s="648">
        <f>SUM(C284,C271,C233,C198,C190,C176,C78,C56)</f>
        <v>46043</v>
      </c>
      <c r="D287" s="336">
        <f t="shared" ref="D287" si="60">SUM(D284,D271,D233,D198,D190,D176,D78,D56)</f>
        <v>48865</v>
      </c>
      <c r="E287" s="684">
        <f>SUM(E284,E271,E233,E198,E190,E176,E78,E56)</f>
        <v>-2822</v>
      </c>
      <c r="F287" s="373">
        <f t="shared" si="38"/>
        <v>46043</v>
      </c>
      <c r="G287" s="371">
        <f>SUM(G284,G271,G233,G198,G190,G176,G78,G56)</f>
        <v>0</v>
      </c>
      <c r="H287" s="374">
        <f>SUM(H284,H271,H233,H198,H190,H176,H78,H56)</f>
        <v>0</v>
      </c>
      <c r="I287" s="375">
        <f t="shared" si="39"/>
        <v>0</v>
      </c>
      <c r="J287" s="371">
        <f>SUM(J284,J271,J233,J198,J190,J176,J78,J56)</f>
        <v>0</v>
      </c>
      <c r="K287" s="374">
        <f>SUM(K284,K271,K233,K198,K190,K176,K78,K56)</f>
        <v>0</v>
      </c>
      <c r="L287" s="375">
        <f t="shared" si="40"/>
        <v>0</v>
      </c>
      <c r="M287" s="250">
        <f>SUM(M284,M271,M233,M198,M190,M176,M78,M56)</f>
        <v>0</v>
      </c>
      <c r="N287" s="251">
        <f>SUM(N284,N271,N233,N198,N190,N176,N78,N56)</f>
        <v>0</v>
      </c>
      <c r="O287" s="252">
        <f t="shared" si="59"/>
        <v>0</v>
      </c>
      <c r="P287" s="253"/>
    </row>
    <row r="288" spans="1:16" hidden="1" x14ac:dyDescent="0.25">
      <c r="A288" s="376" t="s">
        <v>306</v>
      </c>
      <c r="B288" s="377"/>
      <c r="C288" s="381">
        <f t="shared" ref="C288" si="61">F288+I288+L288+O288</f>
        <v>0</v>
      </c>
      <c r="D288" s="382">
        <f>SUM(D28,D29,D45)-D54</f>
        <v>0</v>
      </c>
      <c r="E288" s="380">
        <f>SUM(E28,E29,E45)-E54</f>
        <v>0</v>
      </c>
      <c r="F288" s="381">
        <f t="shared" si="38"/>
        <v>0</v>
      </c>
      <c r="G288" s="379">
        <f>SUM(G28,G29,G45)-G54</f>
        <v>0</v>
      </c>
      <c r="H288" s="382">
        <f>SUM(H28,H29,H45)-H54</f>
        <v>0</v>
      </c>
      <c r="I288" s="383">
        <f t="shared" si="39"/>
        <v>0</v>
      </c>
      <c r="J288" s="379">
        <f>(J30+J46)-J54</f>
        <v>0</v>
      </c>
      <c r="K288" s="382">
        <f>(K30+K46)-K54</f>
        <v>0</v>
      </c>
      <c r="L288" s="383">
        <f t="shared" si="40"/>
        <v>0</v>
      </c>
      <c r="M288" s="378">
        <f>M48-M54</f>
        <v>0</v>
      </c>
      <c r="N288" s="384">
        <f>N48-N54</f>
        <v>0</v>
      </c>
      <c r="O288" s="383">
        <f t="shared" si="59"/>
        <v>0</v>
      </c>
      <c r="P288" s="385"/>
    </row>
    <row r="289" spans="1:17" s="41" customFormat="1" hidden="1" x14ac:dyDescent="0.25">
      <c r="A289" s="376" t="s">
        <v>307</v>
      </c>
      <c r="B289" s="377"/>
      <c r="C289" s="381">
        <f>SUM(C290,C291)-C298+C299</f>
        <v>0</v>
      </c>
      <c r="D289" s="382">
        <f t="shared" ref="D289" si="62">SUM(D290,D291)-D298+D299</f>
        <v>0</v>
      </c>
      <c r="E289" s="380">
        <f>SUM(E290,E291)-E298+E299</f>
        <v>0</v>
      </c>
      <c r="F289" s="381">
        <f t="shared" si="38"/>
        <v>0</v>
      </c>
      <c r="G289" s="379">
        <f>SUM(G290,G291)-G298+G299</f>
        <v>0</v>
      </c>
      <c r="H289" s="382">
        <f>SUM(H290,H291)-H298+H299</f>
        <v>0</v>
      </c>
      <c r="I289" s="383">
        <f t="shared" si="39"/>
        <v>0</v>
      </c>
      <c r="J289" s="379">
        <f>SUM(J290,J291)-J298+J299</f>
        <v>0</v>
      </c>
      <c r="K289" s="382">
        <f>SUM(K290,K291)-K298+K299</f>
        <v>0</v>
      </c>
      <c r="L289" s="383">
        <f t="shared" si="40"/>
        <v>0</v>
      </c>
      <c r="M289" s="378">
        <f>SUM(M290,M291)-M298+M299</f>
        <v>0</v>
      </c>
      <c r="N289" s="384">
        <f>SUM(N290,N291)-N298+N299</f>
        <v>0</v>
      </c>
      <c r="O289" s="383">
        <f t="shared" si="59"/>
        <v>0</v>
      </c>
      <c r="P289" s="385"/>
    </row>
    <row r="290" spans="1:17" s="41" customFormat="1" hidden="1" x14ac:dyDescent="0.25">
      <c r="A290" s="386" t="s">
        <v>308</v>
      </c>
      <c r="B290" s="386" t="s">
        <v>309</v>
      </c>
      <c r="C290" s="381">
        <f>C25-C284</f>
        <v>0</v>
      </c>
      <c r="D290" s="382">
        <f t="shared" ref="D290" si="63">D25-D284</f>
        <v>0</v>
      </c>
      <c r="E290" s="380">
        <f>E25-E284</f>
        <v>0</v>
      </c>
      <c r="F290" s="381">
        <f t="shared" si="38"/>
        <v>0</v>
      </c>
      <c r="G290" s="379">
        <f>G25-G284</f>
        <v>0</v>
      </c>
      <c r="H290" s="382">
        <f>H25-H284</f>
        <v>0</v>
      </c>
      <c r="I290" s="383">
        <f t="shared" si="39"/>
        <v>0</v>
      </c>
      <c r="J290" s="379">
        <f>J25-J284</f>
        <v>0</v>
      </c>
      <c r="K290" s="382">
        <f>K25-K284</f>
        <v>0</v>
      </c>
      <c r="L290" s="383">
        <f t="shared" si="40"/>
        <v>0</v>
      </c>
      <c r="M290" s="378">
        <f>M25-M284</f>
        <v>0</v>
      </c>
      <c r="N290" s="384">
        <f>N25-N284</f>
        <v>0</v>
      </c>
      <c r="O290" s="383">
        <f t="shared" si="59"/>
        <v>0</v>
      </c>
      <c r="P290" s="385"/>
    </row>
    <row r="291" spans="1:17" s="41" customFormat="1" hidden="1" x14ac:dyDescent="0.25">
      <c r="A291" s="387" t="s">
        <v>310</v>
      </c>
      <c r="B291" s="387" t="s">
        <v>311</v>
      </c>
      <c r="C291" s="381">
        <f>SUM(C292,C294,C296)-SUM(C293,C295,C297)</f>
        <v>0</v>
      </c>
      <c r="D291" s="382">
        <f t="shared" ref="D291:E291" si="64">SUM(D292,D294,D296)-SUM(D293,D295,D297)</f>
        <v>0</v>
      </c>
      <c r="E291" s="380">
        <f t="shared" si="64"/>
        <v>0</v>
      </c>
      <c r="F291" s="381">
        <f t="shared" si="38"/>
        <v>0</v>
      </c>
      <c r="G291" s="379">
        <f t="shared" ref="G291:H291" si="65">SUM(G292,G294,G296)-SUM(G293,G295,G297)</f>
        <v>0</v>
      </c>
      <c r="H291" s="382">
        <f t="shared" si="65"/>
        <v>0</v>
      </c>
      <c r="I291" s="383">
        <f t="shared" si="39"/>
        <v>0</v>
      </c>
      <c r="J291" s="379">
        <f t="shared" ref="J291:K291" si="66">SUM(J292,J294,J296)-SUM(J293,J295,J297)</f>
        <v>0</v>
      </c>
      <c r="K291" s="382">
        <f t="shared" si="66"/>
        <v>0</v>
      </c>
      <c r="L291" s="383">
        <f t="shared" si="40"/>
        <v>0</v>
      </c>
      <c r="M291" s="378">
        <f t="shared" ref="M291:N291" si="67">SUM(M292,M294,M296)-SUM(M293,M295,M297)</f>
        <v>0</v>
      </c>
      <c r="N291" s="384">
        <f t="shared" si="67"/>
        <v>0</v>
      </c>
      <c r="O291" s="383">
        <f t="shared" si="59"/>
        <v>0</v>
      </c>
      <c r="P291" s="385"/>
    </row>
    <row r="292" spans="1:17" s="41" customFormat="1" hidden="1" x14ac:dyDescent="0.25">
      <c r="A292" s="366" t="s">
        <v>312</v>
      </c>
      <c r="B292" s="190" t="s">
        <v>313</v>
      </c>
      <c r="C292" s="362">
        <f t="shared" ref="C292:C299" si="68">F292+I292+L292+O292</f>
        <v>0</v>
      </c>
      <c r="D292" s="150"/>
      <c r="E292" s="686"/>
      <c r="F292" s="362">
        <f t="shared" si="38"/>
        <v>0</v>
      </c>
      <c r="G292" s="149"/>
      <c r="H292" s="150"/>
      <c r="I292" s="151">
        <f t="shared" si="39"/>
        <v>0</v>
      </c>
      <c r="J292" s="149"/>
      <c r="K292" s="150"/>
      <c r="L292" s="151">
        <f t="shared" si="40"/>
        <v>0</v>
      </c>
      <c r="M292" s="365"/>
      <c r="N292" s="363"/>
      <c r="O292" s="151">
        <f t="shared" si="59"/>
        <v>0</v>
      </c>
      <c r="P292" s="153"/>
    </row>
    <row r="293" spans="1:17" ht="24" hidden="1" x14ac:dyDescent="0.25">
      <c r="A293" s="346" t="s">
        <v>314</v>
      </c>
      <c r="B293" s="75" t="s">
        <v>315</v>
      </c>
      <c r="C293" s="279">
        <f t="shared" si="68"/>
        <v>0</v>
      </c>
      <c r="D293" s="135"/>
      <c r="E293" s="283"/>
      <c r="F293" s="279">
        <f t="shared" si="38"/>
        <v>0</v>
      </c>
      <c r="G293" s="134"/>
      <c r="H293" s="135"/>
      <c r="I293" s="136">
        <f t="shared" si="39"/>
        <v>0</v>
      </c>
      <c r="J293" s="134"/>
      <c r="K293" s="135"/>
      <c r="L293" s="136">
        <f t="shared" si="40"/>
        <v>0</v>
      </c>
      <c r="M293" s="284"/>
      <c r="N293" s="285"/>
      <c r="O293" s="136">
        <f t="shared" si="59"/>
        <v>0</v>
      </c>
      <c r="P293" s="85"/>
    </row>
    <row r="294" spans="1:17" hidden="1" x14ac:dyDescent="0.25">
      <c r="A294" s="346" t="s">
        <v>316</v>
      </c>
      <c r="B294" s="75" t="s">
        <v>317</v>
      </c>
      <c r="C294" s="279">
        <f t="shared" si="68"/>
        <v>0</v>
      </c>
      <c r="D294" s="135"/>
      <c r="E294" s="283"/>
      <c r="F294" s="279">
        <f t="shared" si="38"/>
        <v>0</v>
      </c>
      <c r="G294" s="134"/>
      <c r="H294" s="135"/>
      <c r="I294" s="136">
        <f t="shared" si="39"/>
        <v>0</v>
      </c>
      <c r="J294" s="134"/>
      <c r="K294" s="135"/>
      <c r="L294" s="136">
        <f t="shared" si="40"/>
        <v>0</v>
      </c>
      <c r="M294" s="284"/>
      <c r="N294" s="285"/>
      <c r="O294" s="136">
        <f t="shared" si="59"/>
        <v>0</v>
      </c>
      <c r="P294" s="85"/>
    </row>
    <row r="295" spans="1:17" ht="24" hidden="1" x14ac:dyDescent="0.25">
      <c r="A295" s="346" t="s">
        <v>318</v>
      </c>
      <c r="B295" s="75" t="s">
        <v>319</v>
      </c>
      <c r="C295" s="279">
        <f t="shared" si="68"/>
        <v>0</v>
      </c>
      <c r="D295" s="135"/>
      <c r="E295" s="283"/>
      <c r="F295" s="279">
        <f t="shared" si="38"/>
        <v>0</v>
      </c>
      <c r="G295" s="134"/>
      <c r="H295" s="135"/>
      <c r="I295" s="136">
        <f t="shared" si="39"/>
        <v>0</v>
      </c>
      <c r="J295" s="134"/>
      <c r="K295" s="135"/>
      <c r="L295" s="136">
        <f t="shared" si="40"/>
        <v>0</v>
      </c>
      <c r="M295" s="284"/>
      <c r="N295" s="285"/>
      <c r="O295" s="136">
        <f t="shared" si="59"/>
        <v>0</v>
      </c>
      <c r="P295" s="85"/>
    </row>
    <row r="296" spans="1:17" hidden="1" x14ac:dyDescent="0.25">
      <c r="A296" s="346" t="s">
        <v>320</v>
      </c>
      <c r="B296" s="75" t="s">
        <v>321</v>
      </c>
      <c r="C296" s="279">
        <f t="shared" si="68"/>
        <v>0</v>
      </c>
      <c r="D296" s="135"/>
      <c r="E296" s="283"/>
      <c r="F296" s="279">
        <f t="shared" si="38"/>
        <v>0</v>
      </c>
      <c r="G296" s="134"/>
      <c r="H296" s="135"/>
      <c r="I296" s="136">
        <f t="shared" si="39"/>
        <v>0</v>
      </c>
      <c r="J296" s="134"/>
      <c r="K296" s="135"/>
      <c r="L296" s="136">
        <f t="shared" si="40"/>
        <v>0</v>
      </c>
      <c r="M296" s="284"/>
      <c r="N296" s="285"/>
      <c r="O296" s="136">
        <f t="shared" si="59"/>
        <v>0</v>
      </c>
      <c r="P296" s="85"/>
    </row>
    <row r="297" spans="1:17" ht="24" hidden="1" x14ac:dyDescent="0.25">
      <c r="A297" s="389" t="s">
        <v>322</v>
      </c>
      <c r="B297" s="390" t="s">
        <v>323</v>
      </c>
      <c r="C297" s="302">
        <f t="shared" si="68"/>
        <v>0</v>
      </c>
      <c r="D297" s="331"/>
      <c r="E297" s="682"/>
      <c r="F297" s="302">
        <f t="shared" si="38"/>
        <v>0</v>
      </c>
      <c r="G297" s="328"/>
      <c r="H297" s="331"/>
      <c r="I297" s="324">
        <f t="shared" si="39"/>
        <v>0</v>
      </c>
      <c r="J297" s="328"/>
      <c r="K297" s="331"/>
      <c r="L297" s="324">
        <f t="shared" si="40"/>
        <v>0</v>
      </c>
      <c r="M297" s="332"/>
      <c r="N297" s="329"/>
      <c r="O297" s="324">
        <f t="shared" si="59"/>
        <v>0</v>
      </c>
      <c r="P297" s="325"/>
    </row>
    <row r="298" spans="1:17" hidden="1" x14ac:dyDescent="0.25">
      <c r="A298" s="387" t="s">
        <v>324</v>
      </c>
      <c r="B298" s="387" t="s">
        <v>325</v>
      </c>
      <c r="C298" s="381">
        <f t="shared" si="68"/>
        <v>0</v>
      </c>
      <c r="D298" s="394"/>
      <c r="E298" s="687"/>
      <c r="F298" s="381">
        <f t="shared" si="38"/>
        <v>0</v>
      </c>
      <c r="G298" s="392"/>
      <c r="H298" s="394"/>
      <c r="I298" s="383">
        <f t="shared" si="39"/>
        <v>0</v>
      </c>
      <c r="J298" s="392"/>
      <c r="K298" s="394"/>
      <c r="L298" s="383">
        <f t="shared" si="40"/>
        <v>0</v>
      </c>
      <c r="M298" s="395"/>
      <c r="N298" s="393"/>
      <c r="O298" s="383">
        <f t="shared" si="59"/>
        <v>0</v>
      </c>
      <c r="P298" s="385"/>
    </row>
    <row r="299" spans="1:17" s="41" customFormat="1" ht="48" hidden="1" x14ac:dyDescent="0.25">
      <c r="A299" s="387" t="s">
        <v>326</v>
      </c>
      <c r="B299" s="396" t="s">
        <v>327</v>
      </c>
      <c r="C299" s="381">
        <f t="shared" si="68"/>
        <v>0</v>
      </c>
      <c r="D299" s="314"/>
      <c r="E299" s="687"/>
      <c r="F299" s="651">
        <f t="shared" si="38"/>
        <v>0</v>
      </c>
      <c r="G299" s="392"/>
      <c r="H299" s="394"/>
      <c r="I299" s="383">
        <f t="shared" si="39"/>
        <v>0</v>
      </c>
      <c r="J299" s="392"/>
      <c r="K299" s="394"/>
      <c r="L299" s="383">
        <f t="shared" si="40"/>
        <v>0</v>
      </c>
      <c r="M299" s="395"/>
      <c r="N299" s="393"/>
      <c r="O299" s="383">
        <f t="shared" si="59"/>
        <v>0</v>
      </c>
      <c r="P299" s="910"/>
      <c r="Q299" s="32"/>
    </row>
    <row r="300" spans="1:17" s="41" customFormat="1" x14ac:dyDescent="0.25">
      <c r="A300" s="401" t="s">
        <v>328</v>
      </c>
      <c r="B300" s="402"/>
      <c r="C300" s="402"/>
      <c r="D300" s="402"/>
      <c r="E300" s="402"/>
      <c r="F300" s="402"/>
      <c r="G300" s="402"/>
      <c r="H300" s="402"/>
      <c r="I300" s="402"/>
      <c r="J300" s="402"/>
      <c r="K300" s="402"/>
      <c r="L300" s="402"/>
      <c r="M300" s="402"/>
      <c r="N300" s="402"/>
      <c r="O300" s="402"/>
      <c r="P300" s="402"/>
      <c r="Q300" s="32"/>
    </row>
    <row r="301" spans="1:17" ht="12.75" thickBot="1" x14ac:dyDescent="0.3">
      <c r="A301" s="404"/>
      <c r="B301" s="405"/>
      <c r="C301" s="405"/>
      <c r="D301" s="405"/>
      <c r="E301" s="405"/>
      <c r="F301" s="405"/>
      <c r="G301" s="405"/>
      <c r="H301" s="405"/>
      <c r="I301" s="405"/>
      <c r="J301" s="405"/>
      <c r="K301" s="405"/>
      <c r="L301" s="405"/>
      <c r="M301" s="405"/>
      <c r="N301" s="405"/>
      <c r="O301" s="405"/>
      <c r="P301" s="405"/>
      <c r="Q301" s="7"/>
    </row>
    <row r="302" spans="1:17" x14ac:dyDescent="0.25">
      <c r="A302" s="5"/>
      <c r="B302" s="5"/>
      <c r="C302" s="5"/>
      <c r="D302" s="5"/>
      <c r="E302" s="5"/>
      <c r="F302" s="5"/>
      <c r="G302" s="5"/>
      <c r="H302" s="5"/>
      <c r="I302" s="5"/>
      <c r="J302" s="5"/>
      <c r="K302" s="5"/>
      <c r="L302" s="5"/>
      <c r="M302" s="5"/>
      <c r="N302" s="5"/>
      <c r="O302" s="5"/>
    </row>
    <row r="303" spans="1:17" x14ac:dyDescent="0.25">
      <c r="A303" s="5"/>
      <c r="B303" s="5"/>
      <c r="C303" s="5"/>
      <c r="D303" s="5"/>
      <c r="E303" s="5"/>
      <c r="F303" s="5"/>
      <c r="G303" s="5"/>
      <c r="H303" s="5"/>
      <c r="I303" s="5"/>
      <c r="J303" s="5"/>
      <c r="K303" s="5"/>
      <c r="L303" s="5"/>
      <c r="M303" s="5"/>
      <c r="N303" s="5"/>
      <c r="O303" s="5"/>
    </row>
    <row r="304" spans="1:17"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vs+7Q3BWpqUfCRwxf2rHHTWja/F2AtyvDXE6eOjD2YTAkOXYX7NkZrwacL8TOGsEdC2LFQaV4fl5E7vLoANVhw==" saltValue="4ycWaYKsnN+jOnfED0e4EQ==" spinCount="100000" sheet="1" objects="1" scenarios="1" selectLockedCells="1" selectUnlockedCells="1"/>
  <autoFilter ref="A22:P300">
    <filterColumn colId="2">
      <filters>
        <filter val="107 098"/>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68.pielikums Jūrmalas pilsētas domes
2017.gada 30.janvāra saistošajiem noteikumiem Nr.10
(Protokols Nr.4, 1.punkts)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8"/>
  <sheetViews>
    <sheetView view="pageLayout" zoomScaleNormal="90" workbookViewId="0">
      <selection activeCell="S8" sqref="S8"/>
    </sheetView>
  </sheetViews>
  <sheetFormatPr defaultRowHeight="15" outlineLevelCol="1" x14ac:dyDescent="0.25"/>
  <cols>
    <col min="1" max="1" width="10.85546875" style="1" customWidth="1"/>
    <col min="2" max="2" width="31"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8" style="1" customWidth="1" collapsed="1"/>
    <col min="13" max="14" width="8.7109375" style="1" hidden="1" customWidth="1" outlineLevel="1"/>
    <col min="15" max="15" width="8.42578125" style="1" customWidth="1" collapsed="1"/>
    <col min="16" max="16" width="36.7109375" style="5" hidden="1" customWidth="1" outlineLevel="1"/>
    <col min="17" max="17" width="9.140625" collapsed="1"/>
    <col min="18" max="16384" width="9.140625" style="5"/>
  </cols>
  <sheetData>
    <row r="1" spans="1:17" x14ac:dyDescent="0.25">
      <c r="B1" s="2"/>
      <c r="C1" s="2"/>
      <c r="D1" s="2"/>
      <c r="E1" s="2"/>
      <c r="F1" s="2"/>
      <c r="G1" s="2"/>
      <c r="H1" s="2"/>
      <c r="I1" s="2"/>
      <c r="J1" s="2"/>
      <c r="K1" s="2"/>
      <c r="L1" s="2"/>
      <c r="M1" s="3"/>
      <c r="N1" s="3"/>
      <c r="O1" s="4" t="s">
        <v>1250</v>
      </c>
    </row>
    <row r="2" spans="1:17" ht="37.5" customHeight="1" x14ac:dyDescent="0.25">
      <c r="A2" s="1586" t="s">
        <v>1</v>
      </c>
      <c r="B2" s="1587"/>
      <c r="C2" s="1587"/>
      <c r="D2" s="1587"/>
      <c r="E2" s="1587"/>
      <c r="F2" s="1587"/>
      <c r="G2" s="1587"/>
      <c r="H2" s="1587"/>
      <c r="I2" s="1587"/>
      <c r="J2" s="1587"/>
      <c r="K2" s="1587"/>
      <c r="L2" s="1587"/>
      <c r="M2" s="1587"/>
      <c r="N2" s="1587"/>
      <c r="O2" s="1587"/>
      <c r="P2" s="1588"/>
      <c r="Q2" s="610"/>
    </row>
    <row r="3" spans="1:17" ht="12.75" customHeight="1" x14ac:dyDescent="0.25">
      <c r="A3" s="13" t="s">
        <v>2</v>
      </c>
      <c r="B3" s="14"/>
      <c r="C3" s="1555" t="s">
        <v>501</v>
      </c>
      <c r="D3" s="1555"/>
      <c r="E3" s="1555"/>
      <c r="F3" s="1555"/>
      <c r="G3" s="1555"/>
      <c r="H3" s="1555"/>
      <c r="I3" s="1555"/>
      <c r="J3" s="1555"/>
      <c r="K3" s="1555"/>
      <c r="L3" s="1555"/>
      <c r="M3" s="1555"/>
      <c r="N3" s="1555"/>
      <c r="O3" s="1555"/>
      <c r="P3" s="1556"/>
      <c r="Q3" s="610"/>
    </row>
    <row r="4" spans="1:17" ht="12.75" customHeight="1" x14ac:dyDescent="0.25">
      <c r="A4" s="13" t="s">
        <v>4</v>
      </c>
      <c r="B4" s="14"/>
      <c r="C4" s="1555" t="s">
        <v>502</v>
      </c>
      <c r="D4" s="1555"/>
      <c r="E4" s="1555"/>
      <c r="F4" s="1555"/>
      <c r="G4" s="1555"/>
      <c r="H4" s="1555"/>
      <c r="I4" s="1555"/>
      <c r="J4" s="1555"/>
      <c r="K4" s="1555"/>
      <c r="L4" s="1555"/>
      <c r="M4" s="1555"/>
      <c r="N4" s="1555"/>
      <c r="O4" s="1555"/>
      <c r="P4" s="1556"/>
      <c r="Q4" s="610"/>
    </row>
    <row r="5" spans="1:17" ht="12.75" customHeight="1" x14ac:dyDescent="0.25">
      <c r="A5" s="8" t="s">
        <v>6</v>
      </c>
      <c r="B5" s="9"/>
      <c r="C5" s="1553" t="s">
        <v>503</v>
      </c>
      <c r="D5" s="1553"/>
      <c r="E5" s="1553"/>
      <c r="F5" s="1553"/>
      <c r="G5" s="1553"/>
      <c r="H5" s="1553"/>
      <c r="I5" s="1553"/>
      <c r="J5" s="1553"/>
      <c r="K5" s="1553"/>
      <c r="L5" s="1553"/>
      <c r="M5" s="1553"/>
      <c r="N5" s="1553"/>
      <c r="O5" s="1553"/>
      <c r="P5" s="1554"/>
      <c r="Q5" s="610"/>
    </row>
    <row r="6" spans="1:17" ht="12.75" customHeight="1" x14ac:dyDescent="0.25">
      <c r="A6" s="8" t="s">
        <v>8</v>
      </c>
      <c r="B6" s="9"/>
      <c r="C6" s="1553" t="s">
        <v>515</v>
      </c>
      <c r="D6" s="1553"/>
      <c r="E6" s="1553"/>
      <c r="F6" s="1553"/>
      <c r="G6" s="1553"/>
      <c r="H6" s="1553"/>
      <c r="I6" s="1553"/>
      <c r="J6" s="1553"/>
      <c r="K6" s="1553"/>
      <c r="L6" s="1553"/>
      <c r="M6" s="1553"/>
      <c r="N6" s="1553"/>
      <c r="O6" s="1553"/>
      <c r="P6" s="1554"/>
      <c r="Q6" s="610"/>
    </row>
    <row r="7" spans="1:17" ht="12.75" customHeight="1" x14ac:dyDescent="0.25">
      <c r="A7" s="8" t="s">
        <v>10</v>
      </c>
      <c r="B7" s="9"/>
      <c r="C7" s="1555" t="s">
        <v>525</v>
      </c>
      <c r="D7" s="1555"/>
      <c r="E7" s="1555"/>
      <c r="F7" s="1555"/>
      <c r="G7" s="1555"/>
      <c r="H7" s="1555"/>
      <c r="I7" s="1555"/>
      <c r="J7" s="1555"/>
      <c r="K7" s="1555"/>
      <c r="L7" s="1555"/>
      <c r="M7" s="1555"/>
      <c r="N7" s="1555"/>
      <c r="O7" s="1555"/>
      <c r="P7" s="1556"/>
      <c r="Q7" s="610"/>
    </row>
    <row r="8" spans="1:17" ht="12.75" customHeight="1" x14ac:dyDescent="0.25">
      <c r="A8" s="8" t="s">
        <v>12</v>
      </c>
      <c r="B8" s="9"/>
      <c r="C8" s="1555"/>
      <c r="D8" s="1555"/>
      <c r="E8" s="1555"/>
      <c r="F8" s="1555"/>
      <c r="G8" s="1555"/>
      <c r="H8" s="1555"/>
      <c r="I8" s="1555"/>
      <c r="J8" s="1555"/>
      <c r="K8" s="1555"/>
      <c r="L8" s="1555"/>
      <c r="M8" s="1555"/>
      <c r="N8" s="1555"/>
      <c r="O8" s="1555"/>
      <c r="P8" s="1556"/>
      <c r="Q8" s="610"/>
    </row>
    <row r="9" spans="1:17" ht="12.75" customHeight="1" x14ac:dyDescent="0.25">
      <c r="A9" s="15" t="s">
        <v>14</v>
      </c>
      <c r="B9" s="9"/>
      <c r="C9" s="16"/>
      <c r="D9" s="16"/>
      <c r="E9" s="16"/>
      <c r="F9" s="16"/>
      <c r="G9" s="16"/>
      <c r="H9" s="16"/>
      <c r="I9" s="16"/>
      <c r="J9" s="16"/>
      <c r="K9" s="16"/>
      <c r="L9" s="16"/>
      <c r="M9" s="16"/>
      <c r="N9" s="16"/>
      <c r="O9" s="16"/>
      <c r="P9" s="17"/>
      <c r="Q9" s="610"/>
    </row>
    <row r="10" spans="1:17" ht="12.75" customHeight="1" x14ac:dyDescent="0.25">
      <c r="A10" s="8"/>
      <c r="B10" s="9" t="s">
        <v>15</v>
      </c>
      <c r="C10" s="1553" t="s">
        <v>864</v>
      </c>
      <c r="D10" s="1553"/>
      <c r="E10" s="1553"/>
      <c r="F10" s="1553"/>
      <c r="G10" s="1553"/>
      <c r="H10" s="1553"/>
      <c r="I10" s="1553"/>
      <c r="J10" s="1553"/>
      <c r="K10" s="1553"/>
      <c r="L10" s="1553"/>
      <c r="M10" s="1553"/>
      <c r="N10" s="1553"/>
      <c r="O10" s="1553"/>
      <c r="P10" s="1554"/>
      <c r="Q10" s="610"/>
    </row>
    <row r="11" spans="1:17" ht="12.75" customHeight="1" x14ac:dyDescent="0.25">
      <c r="A11" s="8"/>
      <c r="B11" s="9" t="s">
        <v>17</v>
      </c>
      <c r="C11" s="1553"/>
      <c r="D11" s="1553"/>
      <c r="E11" s="1553"/>
      <c r="F11" s="1553"/>
      <c r="G11" s="1553"/>
      <c r="H11" s="1553"/>
      <c r="I11" s="1553"/>
      <c r="J11" s="1553"/>
      <c r="K11" s="1553"/>
      <c r="L11" s="1553"/>
      <c r="M11" s="1553"/>
      <c r="N11" s="1553"/>
      <c r="O11" s="1553"/>
      <c r="P11" s="1554"/>
      <c r="Q11" s="610"/>
    </row>
    <row r="12" spans="1:17" ht="12.75" customHeight="1" x14ac:dyDescent="0.25">
      <c r="A12" s="8"/>
      <c r="B12" s="9" t="s">
        <v>19</v>
      </c>
      <c r="C12" s="1553"/>
      <c r="D12" s="1553"/>
      <c r="E12" s="1553"/>
      <c r="F12" s="1553"/>
      <c r="G12" s="1553"/>
      <c r="H12" s="1553"/>
      <c r="I12" s="1553"/>
      <c r="J12" s="1553"/>
      <c r="K12" s="1553"/>
      <c r="L12" s="1553"/>
      <c r="M12" s="1553"/>
      <c r="N12" s="1553"/>
      <c r="O12" s="1553"/>
      <c r="P12" s="1554"/>
      <c r="Q12" s="610"/>
    </row>
    <row r="13" spans="1:17" ht="12.75" customHeight="1" x14ac:dyDescent="0.25">
      <c r="A13" s="8"/>
      <c r="B13" s="9" t="s">
        <v>20</v>
      </c>
      <c r="C13" s="1553"/>
      <c r="D13" s="1553"/>
      <c r="E13" s="1553"/>
      <c r="F13" s="1553"/>
      <c r="G13" s="1553"/>
      <c r="H13" s="1553"/>
      <c r="I13" s="1553"/>
      <c r="J13" s="1553"/>
      <c r="K13" s="1553"/>
      <c r="L13" s="1553"/>
      <c r="M13" s="1553"/>
      <c r="N13" s="1553"/>
      <c r="O13" s="1553"/>
      <c r="P13" s="1554"/>
      <c r="Q13" s="610"/>
    </row>
    <row r="14" spans="1:17" ht="12.75" customHeight="1" x14ac:dyDescent="0.25">
      <c r="A14" s="8"/>
      <c r="B14" s="9" t="s">
        <v>22</v>
      </c>
      <c r="C14" s="1553"/>
      <c r="D14" s="1553"/>
      <c r="E14" s="1553"/>
      <c r="F14" s="1553"/>
      <c r="G14" s="1553"/>
      <c r="H14" s="1553"/>
      <c r="I14" s="1553"/>
      <c r="J14" s="1553"/>
      <c r="K14" s="1553"/>
      <c r="L14" s="1553"/>
      <c r="M14" s="1553"/>
      <c r="N14" s="1553"/>
      <c r="O14" s="1553"/>
      <c r="P14" s="1554"/>
      <c r="Q14" s="610"/>
    </row>
    <row r="15" spans="1:17" ht="12.75" customHeight="1" x14ac:dyDescent="0.25">
      <c r="A15" s="18"/>
      <c r="B15" s="19"/>
      <c r="C15" s="1569"/>
      <c r="D15" s="1569"/>
      <c r="E15" s="1569"/>
      <c r="F15" s="1569"/>
      <c r="G15" s="1569"/>
      <c r="H15" s="1569"/>
      <c r="I15" s="1569"/>
      <c r="J15" s="1569"/>
      <c r="K15" s="1569"/>
      <c r="L15" s="1569"/>
      <c r="M15" s="1569"/>
      <c r="N15" s="1569"/>
      <c r="O15" s="1569"/>
      <c r="P15" s="1570"/>
      <c r="Q15" s="610"/>
    </row>
    <row r="16" spans="1:17" s="20" customFormat="1" ht="12" x14ac:dyDescent="0.25">
      <c r="A16" s="1571" t="s">
        <v>23</v>
      </c>
      <c r="B16" s="1574" t="s">
        <v>24</v>
      </c>
      <c r="C16" s="1577" t="s">
        <v>25</v>
      </c>
      <c r="D16" s="1578"/>
      <c r="E16" s="1578"/>
      <c r="F16" s="1578"/>
      <c r="G16" s="1578"/>
      <c r="H16" s="1578"/>
      <c r="I16" s="1578"/>
      <c r="J16" s="1578"/>
      <c r="K16" s="1578"/>
      <c r="L16" s="1578"/>
      <c r="M16" s="1578"/>
      <c r="N16" s="1578"/>
      <c r="O16" s="1579"/>
      <c r="P16" s="1574" t="s">
        <v>26</v>
      </c>
      <c r="Q16" s="954"/>
    </row>
    <row r="17" spans="1:16" s="20" customFormat="1" ht="12" x14ac:dyDescent="0.25">
      <c r="A17" s="1572"/>
      <c r="B17" s="1575"/>
      <c r="C17" s="1580" t="s">
        <v>27</v>
      </c>
      <c r="D17" s="1565" t="s">
        <v>28</v>
      </c>
      <c r="E17" s="1567" t="s">
        <v>29</v>
      </c>
      <c r="F17" s="1563" t="s">
        <v>30</v>
      </c>
      <c r="G17" s="1565" t="s">
        <v>31</v>
      </c>
      <c r="H17" s="1567" t="s">
        <v>32</v>
      </c>
      <c r="I17" s="1563" t="s">
        <v>33</v>
      </c>
      <c r="J17" s="1565" t="s">
        <v>34</v>
      </c>
      <c r="K17" s="1567" t="s">
        <v>35</v>
      </c>
      <c r="L17" s="1563" t="s">
        <v>36</v>
      </c>
      <c r="M17" s="1565" t="s">
        <v>37</v>
      </c>
      <c r="N17" s="1567" t="s">
        <v>38</v>
      </c>
      <c r="O17" s="1563" t="s">
        <v>39</v>
      </c>
      <c r="P17" s="1575"/>
    </row>
    <row r="18" spans="1:16" s="21" customFormat="1" ht="66.75" customHeight="1" thickBot="1" x14ac:dyDescent="0.3">
      <c r="A18" s="1573"/>
      <c r="B18" s="1576"/>
      <c r="C18" s="1581"/>
      <c r="D18" s="1566"/>
      <c r="E18" s="1568"/>
      <c r="F18" s="1564"/>
      <c r="G18" s="1566"/>
      <c r="H18" s="1568"/>
      <c r="I18" s="1564"/>
      <c r="J18" s="1566"/>
      <c r="K18" s="1568"/>
      <c r="L18" s="1564"/>
      <c r="M18" s="1566"/>
      <c r="N18" s="1568"/>
      <c r="O18" s="1564"/>
      <c r="P18" s="1576"/>
    </row>
    <row r="19" spans="1:16" s="21" customFormat="1" ht="9" thickTop="1" x14ac:dyDescent="0.25">
      <c r="A19" s="22" t="s">
        <v>40</v>
      </c>
      <c r="B19" s="22">
        <v>2</v>
      </c>
      <c r="C19" s="22">
        <v>3</v>
      </c>
      <c r="D19" s="24">
        <v>4</v>
      </c>
      <c r="E19" s="29">
        <v>5</v>
      </c>
      <c r="F19" s="661">
        <v>6</v>
      </c>
      <c r="G19" s="24">
        <v>7</v>
      </c>
      <c r="H19" s="26">
        <v>8</v>
      </c>
      <c r="I19" s="27">
        <v>9</v>
      </c>
      <c r="J19" s="24">
        <v>10</v>
      </c>
      <c r="K19" s="28">
        <v>11</v>
      </c>
      <c r="L19" s="27">
        <v>12</v>
      </c>
      <c r="M19" s="28">
        <v>13</v>
      </c>
      <c r="N19" s="29">
        <v>14</v>
      </c>
      <c r="O19" s="27">
        <v>15</v>
      </c>
      <c r="P19" s="27">
        <v>16</v>
      </c>
    </row>
    <row r="20" spans="1:16" s="41" customFormat="1" ht="12" x14ac:dyDescent="0.25">
      <c r="A20" s="30"/>
      <c r="B20" s="31" t="s">
        <v>41</v>
      </c>
      <c r="C20" s="35"/>
      <c r="D20" s="33"/>
      <c r="E20" s="39"/>
      <c r="F20" s="421"/>
      <c r="G20" s="33"/>
      <c r="H20" s="36"/>
      <c r="I20" s="37"/>
      <c r="J20" s="33"/>
      <c r="K20" s="38"/>
      <c r="L20" s="37"/>
      <c r="M20" s="38"/>
      <c r="N20" s="39"/>
      <c r="O20" s="37"/>
      <c r="P20" s="40"/>
    </row>
    <row r="21" spans="1:16" s="41" customFormat="1" ht="12.75" thickBot="1" x14ac:dyDescent="0.3">
      <c r="A21" s="42"/>
      <c r="B21" s="43" t="s">
        <v>42</v>
      </c>
      <c r="C21" s="47">
        <f>F21+I21+L21+O21</f>
        <v>3976637</v>
      </c>
      <c r="D21" s="45">
        <f>SUM(D22,D25,D26,D42,D43)</f>
        <v>3976637</v>
      </c>
      <c r="E21" s="51">
        <f>SUM(E22,E25,E26,E42,E43)</f>
        <v>0</v>
      </c>
      <c r="F21" s="425">
        <f t="shared" ref="F21:F26" si="0">D21+E21</f>
        <v>3976637</v>
      </c>
      <c r="G21" s="45">
        <f>SUM(G22,G25,G43)</f>
        <v>0</v>
      </c>
      <c r="H21" s="48">
        <f>SUM(H22,H25,H43)</f>
        <v>0</v>
      </c>
      <c r="I21" s="49">
        <f>G21+H21</f>
        <v>0</v>
      </c>
      <c r="J21" s="45">
        <f>SUM(J22,J27,J43)</f>
        <v>0</v>
      </c>
      <c r="K21" s="48">
        <f>SUM(K22,K27,K43)</f>
        <v>0</v>
      </c>
      <c r="L21" s="49">
        <f>J21+K21</f>
        <v>0</v>
      </c>
      <c r="M21" s="50">
        <f>SUM(M22,M45)</f>
        <v>0</v>
      </c>
      <c r="N21" s="51">
        <f>SUM(N22,N45)</f>
        <v>0</v>
      </c>
      <c r="O21" s="49">
        <f>M21+N21</f>
        <v>0</v>
      </c>
      <c r="P21" s="52"/>
    </row>
    <row r="22" spans="1:16" ht="15.75" hidden="1" thickTop="1" x14ac:dyDescent="0.25">
      <c r="A22" s="54"/>
      <c r="B22" s="55" t="s">
        <v>43</v>
      </c>
      <c r="C22" s="59">
        <f>F22+I22+L22+O22</f>
        <v>0</v>
      </c>
      <c r="D22" s="57">
        <f>SUM(D23:D24)</f>
        <v>0</v>
      </c>
      <c r="E22" s="63">
        <f>SUM(E23:E24)</f>
        <v>0</v>
      </c>
      <c r="F22" s="426">
        <f t="shared" si="0"/>
        <v>0</v>
      </c>
      <c r="G22" s="57">
        <f>SUM(G23:G24)</f>
        <v>0</v>
      </c>
      <c r="H22" s="60">
        <f>SUM(H23:H24)</f>
        <v>0</v>
      </c>
      <c r="I22" s="61">
        <f>G22+H22</f>
        <v>0</v>
      </c>
      <c r="J22" s="57">
        <f>SUM(J23:J24)</f>
        <v>0</v>
      </c>
      <c r="K22" s="60">
        <f>SUM(K23:K24)</f>
        <v>0</v>
      </c>
      <c r="L22" s="61">
        <f>J22+K22</f>
        <v>0</v>
      </c>
      <c r="M22" s="62">
        <f>SUM(M23:M24)</f>
        <v>0</v>
      </c>
      <c r="N22" s="63">
        <f>SUM(N23:N24)</f>
        <v>0</v>
      </c>
      <c r="O22" s="61">
        <f>M22+N22</f>
        <v>0</v>
      </c>
      <c r="P22" s="64"/>
    </row>
    <row r="23" spans="1:16" ht="15.75" hidden="1" thickTop="1" x14ac:dyDescent="0.25">
      <c r="A23" s="65"/>
      <c r="B23" s="66" t="s">
        <v>44</v>
      </c>
      <c r="C23" s="67">
        <f>F23+I23+L23+O23</f>
        <v>0</v>
      </c>
      <c r="D23" s="68"/>
      <c r="E23" s="69"/>
      <c r="F23" s="70">
        <f t="shared" si="0"/>
        <v>0</v>
      </c>
      <c r="G23" s="68"/>
      <c r="H23" s="71"/>
      <c r="I23" s="72">
        <f>G23+H23</f>
        <v>0</v>
      </c>
      <c r="J23" s="68"/>
      <c r="K23" s="71"/>
      <c r="L23" s="72">
        <f>J23+K23</f>
        <v>0</v>
      </c>
      <c r="M23" s="73"/>
      <c r="N23" s="69"/>
      <c r="O23" s="72">
        <f>M23+N23</f>
        <v>0</v>
      </c>
      <c r="P23" s="74"/>
    </row>
    <row r="24" spans="1:16" ht="15.75" hidden="1" thickTop="1" x14ac:dyDescent="0.25">
      <c r="A24" s="75"/>
      <c r="B24" s="76" t="s">
        <v>45</v>
      </c>
      <c r="C24" s="80">
        <f>F24+I24+L24+O24</f>
        <v>0</v>
      </c>
      <c r="D24" s="78"/>
      <c r="E24" s="84"/>
      <c r="F24" s="429">
        <f t="shared" si="0"/>
        <v>0</v>
      </c>
      <c r="G24" s="78"/>
      <c r="H24" s="81"/>
      <c r="I24" s="82">
        <f>G24+H24</f>
        <v>0</v>
      </c>
      <c r="J24" s="78"/>
      <c r="K24" s="81"/>
      <c r="L24" s="82">
        <f>J24+K24</f>
        <v>0</v>
      </c>
      <c r="M24" s="83"/>
      <c r="N24" s="84"/>
      <c r="O24" s="82">
        <f>M24+N24</f>
        <v>0</v>
      </c>
      <c r="P24" s="85"/>
    </row>
    <row r="25" spans="1:16" s="41" customFormat="1" ht="25.5" thickTop="1" thickBot="1" x14ac:dyDescent="0.3">
      <c r="A25" s="86">
        <v>19300</v>
      </c>
      <c r="B25" s="86" t="s">
        <v>46</v>
      </c>
      <c r="C25" s="90">
        <f>SUM(F25,I25)</f>
        <v>3976637</v>
      </c>
      <c r="D25" s="88">
        <f>D51</f>
        <v>3976637</v>
      </c>
      <c r="E25" s="434"/>
      <c r="F25" s="433">
        <f t="shared" si="0"/>
        <v>3976637</v>
      </c>
      <c r="G25" s="88"/>
      <c r="H25" s="91"/>
      <c r="I25" s="92">
        <f>G25+H25</f>
        <v>0</v>
      </c>
      <c r="J25" s="93" t="s">
        <v>47</v>
      </c>
      <c r="K25" s="94" t="s">
        <v>47</v>
      </c>
      <c r="L25" s="95" t="s">
        <v>47</v>
      </c>
      <c r="M25" s="96" t="s">
        <v>47</v>
      </c>
      <c r="N25" s="97" t="s">
        <v>47</v>
      </c>
      <c r="O25" s="95" t="s">
        <v>47</v>
      </c>
      <c r="P25" s="98"/>
    </row>
    <row r="26" spans="1:16" s="41" customFormat="1" ht="24.75" hidden="1" thickTop="1" x14ac:dyDescent="0.25">
      <c r="A26" s="99"/>
      <c r="B26" s="99" t="s">
        <v>48</v>
      </c>
      <c r="C26" s="100">
        <f>F26</f>
        <v>0</v>
      </c>
      <c r="D26" s="101"/>
      <c r="E26" s="102"/>
      <c r="F26" s="103">
        <f t="shared" si="0"/>
        <v>0</v>
      </c>
      <c r="G26" s="104" t="s">
        <v>47</v>
      </c>
      <c r="H26" s="105" t="s">
        <v>47</v>
      </c>
      <c r="I26" s="106" t="s">
        <v>47</v>
      </c>
      <c r="J26" s="104" t="s">
        <v>47</v>
      </c>
      <c r="K26" s="105" t="s">
        <v>47</v>
      </c>
      <c r="L26" s="106" t="s">
        <v>47</v>
      </c>
      <c r="M26" s="107" t="s">
        <v>47</v>
      </c>
      <c r="N26" s="108" t="s">
        <v>47</v>
      </c>
      <c r="O26" s="106" t="s">
        <v>47</v>
      </c>
      <c r="P26" s="109"/>
    </row>
    <row r="27" spans="1:16" s="41" customFormat="1" ht="24.75" hidden="1" thickTop="1" x14ac:dyDescent="0.25">
      <c r="A27" s="99">
        <v>21300</v>
      </c>
      <c r="B27" s="99" t="s">
        <v>49</v>
      </c>
      <c r="C27" s="100">
        <f t="shared" ref="C27:C41" si="1">L27</f>
        <v>0</v>
      </c>
      <c r="D27" s="104" t="s">
        <v>47</v>
      </c>
      <c r="E27" s="108" t="s">
        <v>47</v>
      </c>
      <c r="F27" s="140" t="s">
        <v>47</v>
      </c>
      <c r="G27" s="104" t="s">
        <v>47</v>
      </c>
      <c r="H27" s="105" t="s">
        <v>47</v>
      </c>
      <c r="I27" s="106" t="s">
        <v>47</v>
      </c>
      <c r="J27" s="112">
        <f>SUM(J28,J32,J34,J37)</f>
        <v>0</v>
      </c>
      <c r="K27" s="113">
        <f>SUM(K28,K32,K34,K37)</f>
        <v>0</v>
      </c>
      <c r="L27" s="114">
        <f t="shared" ref="L27:L41" si="2">J27+K27</f>
        <v>0</v>
      </c>
      <c r="M27" s="107" t="s">
        <v>47</v>
      </c>
      <c r="N27" s="108" t="s">
        <v>47</v>
      </c>
      <c r="O27" s="106" t="s">
        <v>47</v>
      </c>
      <c r="P27" s="109"/>
    </row>
    <row r="28" spans="1:16" s="41" customFormat="1" ht="12.75" hidden="1" thickTop="1" x14ac:dyDescent="0.25">
      <c r="A28" s="115">
        <v>21350</v>
      </c>
      <c r="B28" s="99" t="s">
        <v>50</v>
      </c>
      <c r="C28" s="100">
        <f t="shared" si="1"/>
        <v>0</v>
      </c>
      <c r="D28" s="104" t="s">
        <v>47</v>
      </c>
      <c r="E28" s="108" t="s">
        <v>47</v>
      </c>
      <c r="F28" s="140" t="s">
        <v>47</v>
      </c>
      <c r="G28" s="104" t="s">
        <v>47</v>
      </c>
      <c r="H28" s="105" t="s">
        <v>47</v>
      </c>
      <c r="I28" s="106" t="s">
        <v>47</v>
      </c>
      <c r="J28" s="112">
        <f>SUM(J29:J31)</f>
        <v>0</v>
      </c>
      <c r="K28" s="113">
        <f>SUM(K29:K31)</f>
        <v>0</v>
      </c>
      <c r="L28" s="114">
        <f t="shared" si="2"/>
        <v>0</v>
      </c>
      <c r="M28" s="107" t="s">
        <v>47</v>
      </c>
      <c r="N28" s="108" t="s">
        <v>47</v>
      </c>
      <c r="O28" s="106" t="s">
        <v>47</v>
      </c>
      <c r="P28" s="109"/>
    </row>
    <row r="29" spans="1:16" ht="15.75" hidden="1" thickTop="1" x14ac:dyDescent="0.25">
      <c r="A29" s="65">
        <v>21351</v>
      </c>
      <c r="B29" s="116" t="s">
        <v>51</v>
      </c>
      <c r="C29" s="117">
        <f t="shared" si="1"/>
        <v>0</v>
      </c>
      <c r="D29" s="118" t="s">
        <v>47</v>
      </c>
      <c r="E29" s="119" t="s">
        <v>47</v>
      </c>
      <c r="F29" s="120" t="s">
        <v>47</v>
      </c>
      <c r="G29" s="118" t="s">
        <v>47</v>
      </c>
      <c r="H29" s="121" t="s">
        <v>47</v>
      </c>
      <c r="I29" s="122" t="s">
        <v>47</v>
      </c>
      <c r="J29" s="123"/>
      <c r="K29" s="124"/>
      <c r="L29" s="125">
        <f t="shared" si="2"/>
        <v>0</v>
      </c>
      <c r="M29" s="126" t="s">
        <v>47</v>
      </c>
      <c r="N29" s="119" t="s">
        <v>47</v>
      </c>
      <c r="O29" s="122" t="s">
        <v>47</v>
      </c>
      <c r="P29" s="74"/>
    </row>
    <row r="30" spans="1:16" ht="15.75" hidden="1" thickTop="1" x14ac:dyDescent="0.25">
      <c r="A30" s="75">
        <v>21352</v>
      </c>
      <c r="B30" s="127" t="s">
        <v>52</v>
      </c>
      <c r="C30" s="128">
        <f t="shared" si="1"/>
        <v>0</v>
      </c>
      <c r="D30" s="129" t="s">
        <v>47</v>
      </c>
      <c r="E30" s="138" t="s">
        <v>47</v>
      </c>
      <c r="F30" s="139" t="s">
        <v>47</v>
      </c>
      <c r="G30" s="129" t="s">
        <v>47</v>
      </c>
      <c r="H30" s="132" t="s">
        <v>47</v>
      </c>
      <c r="I30" s="133" t="s">
        <v>47</v>
      </c>
      <c r="J30" s="134"/>
      <c r="K30" s="135"/>
      <c r="L30" s="136">
        <f t="shared" si="2"/>
        <v>0</v>
      </c>
      <c r="M30" s="137" t="s">
        <v>47</v>
      </c>
      <c r="N30" s="138" t="s">
        <v>47</v>
      </c>
      <c r="O30" s="133" t="s">
        <v>47</v>
      </c>
      <c r="P30" s="85"/>
    </row>
    <row r="31" spans="1:16" ht="24.75" hidden="1" thickTop="1" x14ac:dyDescent="0.25">
      <c r="A31" s="75">
        <v>21359</v>
      </c>
      <c r="B31" s="127" t="s">
        <v>53</v>
      </c>
      <c r="C31" s="128">
        <f t="shared" si="1"/>
        <v>0</v>
      </c>
      <c r="D31" s="129" t="s">
        <v>47</v>
      </c>
      <c r="E31" s="138" t="s">
        <v>47</v>
      </c>
      <c r="F31" s="139" t="s">
        <v>47</v>
      </c>
      <c r="G31" s="129" t="s">
        <v>47</v>
      </c>
      <c r="H31" s="132" t="s">
        <v>47</v>
      </c>
      <c r="I31" s="133" t="s">
        <v>47</v>
      </c>
      <c r="J31" s="134"/>
      <c r="K31" s="135"/>
      <c r="L31" s="136">
        <f t="shared" si="2"/>
        <v>0</v>
      </c>
      <c r="M31" s="137" t="s">
        <v>47</v>
      </c>
      <c r="N31" s="138" t="s">
        <v>47</v>
      </c>
      <c r="O31" s="133" t="s">
        <v>47</v>
      </c>
      <c r="P31" s="85"/>
    </row>
    <row r="32" spans="1:16" s="41" customFormat="1" ht="24.75" hidden="1" thickTop="1" x14ac:dyDescent="0.25">
      <c r="A32" s="115">
        <v>21370</v>
      </c>
      <c r="B32" s="99" t="s">
        <v>54</v>
      </c>
      <c r="C32" s="100">
        <f t="shared" si="1"/>
        <v>0</v>
      </c>
      <c r="D32" s="104" t="s">
        <v>47</v>
      </c>
      <c r="E32" s="108" t="s">
        <v>47</v>
      </c>
      <c r="F32" s="140" t="s">
        <v>47</v>
      </c>
      <c r="G32" s="104" t="s">
        <v>47</v>
      </c>
      <c r="H32" s="105" t="s">
        <v>47</v>
      </c>
      <c r="I32" s="106" t="s">
        <v>47</v>
      </c>
      <c r="J32" s="112">
        <f>SUM(J33)</f>
        <v>0</v>
      </c>
      <c r="K32" s="113">
        <f>SUM(K33)</f>
        <v>0</v>
      </c>
      <c r="L32" s="114">
        <f t="shared" si="2"/>
        <v>0</v>
      </c>
      <c r="M32" s="107" t="s">
        <v>47</v>
      </c>
      <c r="N32" s="108" t="s">
        <v>47</v>
      </c>
      <c r="O32" s="106" t="s">
        <v>47</v>
      </c>
      <c r="P32" s="109"/>
    </row>
    <row r="33" spans="1:16" ht="36.75" hidden="1" thickTop="1" x14ac:dyDescent="0.25">
      <c r="A33" s="141">
        <v>21379</v>
      </c>
      <c r="B33" s="142" t="s">
        <v>55</v>
      </c>
      <c r="C33" s="143">
        <f t="shared" si="1"/>
        <v>0</v>
      </c>
      <c r="D33" s="144" t="s">
        <v>47</v>
      </c>
      <c r="E33" s="145" t="s">
        <v>47</v>
      </c>
      <c r="F33" s="146" t="s">
        <v>47</v>
      </c>
      <c r="G33" s="144" t="s">
        <v>47</v>
      </c>
      <c r="H33" s="147" t="s">
        <v>47</v>
      </c>
      <c r="I33" s="148" t="s">
        <v>47</v>
      </c>
      <c r="J33" s="149"/>
      <c r="K33" s="150"/>
      <c r="L33" s="151">
        <f t="shared" si="2"/>
        <v>0</v>
      </c>
      <c r="M33" s="152" t="s">
        <v>47</v>
      </c>
      <c r="N33" s="145" t="s">
        <v>47</v>
      </c>
      <c r="O33" s="148" t="s">
        <v>47</v>
      </c>
      <c r="P33" s="153"/>
    </row>
    <row r="34" spans="1:16" s="41" customFormat="1" ht="12.75" hidden="1" thickTop="1" x14ac:dyDescent="0.25">
      <c r="A34" s="115">
        <v>21380</v>
      </c>
      <c r="B34" s="99" t="s">
        <v>56</v>
      </c>
      <c r="C34" s="100">
        <f t="shared" si="1"/>
        <v>0</v>
      </c>
      <c r="D34" s="104" t="s">
        <v>47</v>
      </c>
      <c r="E34" s="108" t="s">
        <v>47</v>
      </c>
      <c r="F34" s="140" t="s">
        <v>47</v>
      </c>
      <c r="G34" s="104" t="s">
        <v>47</v>
      </c>
      <c r="H34" s="105" t="s">
        <v>47</v>
      </c>
      <c r="I34" s="106" t="s">
        <v>47</v>
      </c>
      <c r="J34" s="112">
        <f>SUM(J35:J36)</f>
        <v>0</v>
      </c>
      <c r="K34" s="113">
        <f>SUM(K35:K36)</f>
        <v>0</v>
      </c>
      <c r="L34" s="114">
        <f t="shared" si="2"/>
        <v>0</v>
      </c>
      <c r="M34" s="107" t="s">
        <v>47</v>
      </c>
      <c r="N34" s="108" t="s">
        <v>47</v>
      </c>
      <c r="O34" s="106" t="s">
        <v>47</v>
      </c>
      <c r="P34" s="109"/>
    </row>
    <row r="35" spans="1:16" ht="15.75" hidden="1" thickTop="1" x14ac:dyDescent="0.25">
      <c r="A35" s="66">
        <v>21381</v>
      </c>
      <c r="B35" s="116" t="s">
        <v>57</v>
      </c>
      <c r="C35" s="117">
        <f t="shared" si="1"/>
        <v>0</v>
      </c>
      <c r="D35" s="118" t="s">
        <v>47</v>
      </c>
      <c r="E35" s="119" t="s">
        <v>47</v>
      </c>
      <c r="F35" s="120" t="s">
        <v>47</v>
      </c>
      <c r="G35" s="118" t="s">
        <v>47</v>
      </c>
      <c r="H35" s="121" t="s">
        <v>47</v>
      </c>
      <c r="I35" s="122" t="s">
        <v>47</v>
      </c>
      <c r="J35" s="123"/>
      <c r="K35" s="124"/>
      <c r="L35" s="125">
        <f t="shared" si="2"/>
        <v>0</v>
      </c>
      <c r="M35" s="126" t="s">
        <v>47</v>
      </c>
      <c r="N35" s="119" t="s">
        <v>47</v>
      </c>
      <c r="O35" s="122" t="s">
        <v>47</v>
      </c>
      <c r="P35" s="74"/>
    </row>
    <row r="36" spans="1:16" ht="24.75" hidden="1" thickTop="1" x14ac:dyDescent="0.25">
      <c r="A36" s="76">
        <v>21383</v>
      </c>
      <c r="B36" s="127" t="s">
        <v>58</v>
      </c>
      <c r="C36" s="128">
        <f t="shared" si="1"/>
        <v>0</v>
      </c>
      <c r="D36" s="129" t="s">
        <v>47</v>
      </c>
      <c r="E36" s="138" t="s">
        <v>47</v>
      </c>
      <c r="F36" s="139" t="s">
        <v>47</v>
      </c>
      <c r="G36" s="129" t="s">
        <v>47</v>
      </c>
      <c r="H36" s="132" t="s">
        <v>47</v>
      </c>
      <c r="I36" s="133" t="s">
        <v>47</v>
      </c>
      <c r="J36" s="134"/>
      <c r="K36" s="135"/>
      <c r="L36" s="136">
        <f t="shared" si="2"/>
        <v>0</v>
      </c>
      <c r="M36" s="137" t="s">
        <v>47</v>
      </c>
      <c r="N36" s="138" t="s">
        <v>47</v>
      </c>
      <c r="O36" s="133" t="s">
        <v>47</v>
      </c>
      <c r="P36" s="85"/>
    </row>
    <row r="37" spans="1:16" s="41" customFormat="1" ht="24.75" hidden="1" thickTop="1" x14ac:dyDescent="0.25">
      <c r="A37" s="115">
        <v>21390</v>
      </c>
      <c r="B37" s="99" t="s">
        <v>59</v>
      </c>
      <c r="C37" s="100">
        <f t="shared" si="1"/>
        <v>0</v>
      </c>
      <c r="D37" s="104" t="s">
        <v>47</v>
      </c>
      <c r="E37" s="108" t="s">
        <v>47</v>
      </c>
      <c r="F37" s="140" t="s">
        <v>47</v>
      </c>
      <c r="G37" s="104" t="s">
        <v>47</v>
      </c>
      <c r="H37" s="105" t="s">
        <v>47</v>
      </c>
      <c r="I37" s="106" t="s">
        <v>47</v>
      </c>
      <c r="J37" s="112">
        <f>SUM(J38:J41)</f>
        <v>0</v>
      </c>
      <c r="K37" s="113">
        <f>SUM(K38:K41)</f>
        <v>0</v>
      </c>
      <c r="L37" s="114">
        <f t="shared" si="2"/>
        <v>0</v>
      </c>
      <c r="M37" s="107" t="s">
        <v>47</v>
      </c>
      <c r="N37" s="108" t="s">
        <v>47</v>
      </c>
      <c r="O37" s="106" t="s">
        <v>47</v>
      </c>
      <c r="P37" s="109"/>
    </row>
    <row r="38" spans="1:16" ht="24.75" hidden="1" thickTop="1" x14ac:dyDescent="0.25">
      <c r="A38" s="66">
        <v>21391</v>
      </c>
      <c r="B38" s="116" t="s">
        <v>60</v>
      </c>
      <c r="C38" s="117">
        <f t="shared" si="1"/>
        <v>0</v>
      </c>
      <c r="D38" s="118" t="s">
        <v>47</v>
      </c>
      <c r="E38" s="119" t="s">
        <v>47</v>
      </c>
      <c r="F38" s="120" t="s">
        <v>47</v>
      </c>
      <c r="G38" s="118" t="s">
        <v>47</v>
      </c>
      <c r="H38" s="121" t="s">
        <v>47</v>
      </c>
      <c r="I38" s="122" t="s">
        <v>47</v>
      </c>
      <c r="J38" s="123"/>
      <c r="K38" s="124"/>
      <c r="L38" s="125">
        <f t="shared" si="2"/>
        <v>0</v>
      </c>
      <c r="M38" s="126" t="s">
        <v>47</v>
      </c>
      <c r="N38" s="119" t="s">
        <v>47</v>
      </c>
      <c r="O38" s="122" t="s">
        <v>47</v>
      </c>
      <c r="P38" s="74"/>
    </row>
    <row r="39" spans="1:16" ht="15.75" hidden="1" thickTop="1" x14ac:dyDescent="0.25">
      <c r="A39" s="76">
        <v>21393</v>
      </c>
      <c r="B39" s="127" t="s">
        <v>61</v>
      </c>
      <c r="C39" s="128">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row>
    <row r="40" spans="1:16" ht="15.75" hidden="1" thickTop="1" x14ac:dyDescent="0.25">
      <c r="A40" s="76">
        <v>21395</v>
      </c>
      <c r="B40" s="127" t="s">
        <v>62</v>
      </c>
      <c r="C40" s="128">
        <f t="shared" si="1"/>
        <v>0</v>
      </c>
      <c r="D40" s="129" t="s">
        <v>47</v>
      </c>
      <c r="E40" s="138" t="s">
        <v>47</v>
      </c>
      <c r="F40" s="139" t="s">
        <v>47</v>
      </c>
      <c r="G40" s="129" t="s">
        <v>47</v>
      </c>
      <c r="H40" s="132" t="s">
        <v>47</v>
      </c>
      <c r="I40" s="133" t="s">
        <v>47</v>
      </c>
      <c r="J40" s="134"/>
      <c r="K40" s="135"/>
      <c r="L40" s="136">
        <f t="shared" si="2"/>
        <v>0</v>
      </c>
      <c r="M40" s="137" t="s">
        <v>47</v>
      </c>
      <c r="N40" s="138" t="s">
        <v>47</v>
      </c>
      <c r="O40" s="133" t="s">
        <v>47</v>
      </c>
      <c r="P40" s="85"/>
    </row>
    <row r="41" spans="1:16" ht="15.75" hidden="1" thickTop="1" x14ac:dyDescent="0.25">
      <c r="A41" s="76">
        <v>21399</v>
      </c>
      <c r="B41" s="127" t="s">
        <v>63</v>
      </c>
      <c r="C41" s="128">
        <f t="shared" si="1"/>
        <v>0</v>
      </c>
      <c r="D41" s="129" t="s">
        <v>47</v>
      </c>
      <c r="E41" s="138" t="s">
        <v>47</v>
      </c>
      <c r="F41" s="139" t="s">
        <v>47</v>
      </c>
      <c r="G41" s="129" t="s">
        <v>47</v>
      </c>
      <c r="H41" s="132" t="s">
        <v>47</v>
      </c>
      <c r="I41" s="133" t="s">
        <v>47</v>
      </c>
      <c r="J41" s="134"/>
      <c r="K41" s="135"/>
      <c r="L41" s="136">
        <f t="shared" si="2"/>
        <v>0</v>
      </c>
      <c r="M41" s="137" t="s">
        <v>47</v>
      </c>
      <c r="N41" s="138" t="s">
        <v>47</v>
      </c>
      <c r="O41" s="133" t="s">
        <v>47</v>
      </c>
      <c r="P41" s="85"/>
    </row>
    <row r="42" spans="1:16" s="41" customFormat="1" ht="24.75" hidden="1" thickTop="1" x14ac:dyDescent="0.25">
      <c r="A42" s="115">
        <v>21420</v>
      </c>
      <c r="B42" s="99" t="s">
        <v>64</v>
      </c>
      <c r="C42" s="156">
        <f>F42</f>
        <v>0</v>
      </c>
      <c r="D42" s="157"/>
      <c r="E42" s="158"/>
      <c r="F42" s="103">
        <f>D42+E42</f>
        <v>0</v>
      </c>
      <c r="G42" s="104" t="s">
        <v>47</v>
      </c>
      <c r="H42" s="105" t="s">
        <v>47</v>
      </c>
      <c r="I42" s="106" t="s">
        <v>47</v>
      </c>
      <c r="J42" s="104" t="s">
        <v>47</v>
      </c>
      <c r="K42" s="105" t="s">
        <v>47</v>
      </c>
      <c r="L42" s="106" t="s">
        <v>47</v>
      </c>
      <c r="M42" s="107" t="s">
        <v>47</v>
      </c>
      <c r="N42" s="108" t="s">
        <v>47</v>
      </c>
      <c r="O42" s="106" t="s">
        <v>47</v>
      </c>
      <c r="P42" s="109"/>
    </row>
    <row r="43" spans="1:16" s="41" customFormat="1" ht="24.75" hidden="1" thickTop="1" x14ac:dyDescent="0.25">
      <c r="A43" s="159">
        <v>21490</v>
      </c>
      <c r="B43" s="160" t="s">
        <v>65</v>
      </c>
      <c r="C43" s="156">
        <f>F43+I43+L43</f>
        <v>0</v>
      </c>
      <c r="D43" s="161">
        <f>D44</f>
        <v>0</v>
      </c>
      <c r="E43" s="162">
        <f>E44</f>
        <v>0</v>
      </c>
      <c r="F43" s="163">
        <f>D43+E43</f>
        <v>0</v>
      </c>
      <c r="G43" s="161">
        <f>G44</f>
        <v>0</v>
      </c>
      <c r="H43" s="164">
        <f t="shared" ref="H43:K43" si="3">H44</f>
        <v>0</v>
      </c>
      <c r="I43" s="165">
        <f>G43+H43</f>
        <v>0</v>
      </c>
      <c r="J43" s="161">
        <f>J44</f>
        <v>0</v>
      </c>
      <c r="K43" s="164">
        <f t="shared" si="3"/>
        <v>0</v>
      </c>
      <c r="L43" s="165">
        <f>J43+K43</f>
        <v>0</v>
      </c>
      <c r="M43" s="107" t="s">
        <v>47</v>
      </c>
      <c r="N43" s="108" t="s">
        <v>47</v>
      </c>
      <c r="O43" s="106" t="s">
        <v>47</v>
      </c>
      <c r="P43" s="109"/>
    </row>
    <row r="44" spans="1:16" s="41" customFormat="1" ht="24.75" hidden="1" thickTop="1" x14ac:dyDescent="0.25">
      <c r="A44" s="76">
        <v>21499</v>
      </c>
      <c r="B44" s="127" t="s">
        <v>66</v>
      </c>
      <c r="C44" s="166">
        <f>F44+I44+L44</f>
        <v>0</v>
      </c>
      <c r="D44" s="68"/>
      <c r="E44" s="69"/>
      <c r="F44" s="70">
        <f>D44+E44</f>
        <v>0</v>
      </c>
      <c r="G44" s="167"/>
      <c r="H44" s="71"/>
      <c r="I44" s="72">
        <f>G44+H44</f>
        <v>0</v>
      </c>
      <c r="J44" s="68"/>
      <c r="K44" s="71"/>
      <c r="L44" s="72">
        <f>J44+K44</f>
        <v>0</v>
      </c>
      <c r="M44" s="152" t="s">
        <v>47</v>
      </c>
      <c r="N44" s="145" t="s">
        <v>47</v>
      </c>
      <c r="O44" s="148" t="s">
        <v>47</v>
      </c>
      <c r="P44" s="153"/>
    </row>
    <row r="45" spans="1:16" ht="15.75" hidden="1" thickTop="1" x14ac:dyDescent="0.25">
      <c r="A45" s="168">
        <v>23000</v>
      </c>
      <c r="B45" s="169" t="s">
        <v>67</v>
      </c>
      <c r="C45" s="156">
        <f>O45</f>
        <v>0</v>
      </c>
      <c r="D45" s="170" t="s">
        <v>47</v>
      </c>
      <c r="E45" s="171" t="s">
        <v>47</v>
      </c>
      <c r="F45" s="172" t="s">
        <v>47</v>
      </c>
      <c r="G45" s="170" t="s">
        <v>47</v>
      </c>
      <c r="H45" s="173" t="s">
        <v>47</v>
      </c>
      <c r="I45" s="174" t="s">
        <v>47</v>
      </c>
      <c r="J45" s="170" t="s">
        <v>47</v>
      </c>
      <c r="K45" s="173" t="s">
        <v>47</v>
      </c>
      <c r="L45" s="174" t="s">
        <v>47</v>
      </c>
      <c r="M45" s="175">
        <f>SUM(M46:M47)</f>
        <v>0</v>
      </c>
      <c r="N45" s="176">
        <f>SUM(N46:N47)</f>
        <v>0</v>
      </c>
      <c r="O45" s="177">
        <f>M45+N45</f>
        <v>0</v>
      </c>
      <c r="P45" s="109"/>
    </row>
    <row r="46" spans="1:16" ht="24.75" hidden="1" thickTop="1" x14ac:dyDescent="0.25">
      <c r="A46" s="178">
        <v>23410</v>
      </c>
      <c r="B46" s="179" t="s">
        <v>68</v>
      </c>
      <c r="C46" s="180">
        <f>O46</f>
        <v>0</v>
      </c>
      <c r="D46" s="181" t="s">
        <v>47</v>
      </c>
      <c r="E46" s="182" t="s">
        <v>47</v>
      </c>
      <c r="F46" s="183" t="s">
        <v>47</v>
      </c>
      <c r="G46" s="181" t="s">
        <v>47</v>
      </c>
      <c r="H46" s="184" t="s">
        <v>47</v>
      </c>
      <c r="I46" s="185" t="s">
        <v>47</v>
      </c>
      <c r="J46" s="181" t="s">
        <v>47</v>
      </c>
      <c r="K46" s="184" t="s">
        <v>47</v>
      </c>
      <c r="L46" s="185" t="s">
        <v>47</v>
      </c>
      <c r="M46" s="186"/>
      <c r="N46" s="187"/>
      <c r="O46" s="188">
        <f>M46+N46</f>
        <v>0</v>
      </c>
      <c r="P46" s="189"/>
    </row>
    <row r="47" spans="1:16" ht="24.75" hidden="1" thickTop="1" x14ac:dyDescent="0.25">
      <c r="A47" s="178">
        <v>23510</v>
      </c>
      <c r="B47" s="179" t="s">
        <v>69</v>
      </c>
      <c r="C47" s="180">
        <f>O47</f>
        <v>0</v>
      </c>
      <c r="D47" s="181" t="s">
        <v>47</v>
      </c>
      <c r="E47" s="182" t="s">
        <v>47</v>
      </c>
      <c r="F47" s="183" t="s">
        <v>47</v>
      </c>
      <c r="G47" s="181" t="s">
        <v>47</v>
      </c>
      <c r="H47" s="184" t="s">
        <v>47</v>
      </c>
      <c r="I47" s="185" t="s">
        <v>47</v>
      </c>
      <c r="J47" s="181" t="s">
        <v>47</v>
      </c>
      <c r="K47" s="184" t="s">
        <v>47</v>
      </c>
      <c r="L47" s="185" t="s">
        <v>47</v>
      </c>
      <c r="M47" s="186"/>
      <c r="N47" s="187"/>
      <c r="O47" s="188">
        <f>M47+N47</f>
        <v>0</v>
      </c>
      <c r="P47" s="189"/>
    </row>
    <row r="48" spans="1:16" ht="15.75" thickTop="1" x14ac:dyDescent="0.25">
      <c r="A48" s="190"/>
      <c r="B48" s="179"/>
      <c r="C48" s="257"/>
      <c r="D48" s="192"/>
      <c r="E48" s="689"/>
      <c r="F48" s="454"/>
      <c r="G48" s="192"/>
      <c r="H48" s="195"/>
      <c r="I48" s="185"/>
      <c r="J48" s="196"/>
      <c r="K48" s="197"/>
      <c r="L48" s="188"/>
      <c r="M48" s="186"/>
      <c r="N48" s="187"/>
      <c r="O48" s="188"/>
      <c r="P48" s="189"/>
    </row>
    <row r="49" spans="1:16" s="41" customFormat="1" ht="12" x14ac:dyDescent="0.25">
      <c r="A49" s="198"/>
      <c r="B49" s="199" t="s">
        <v>70</v>
      </c>
      <c r="C49" s="640"/>
      <c r="D49" s="201"/>
      <c r="E49" s="207"/>
      <c r="F49" s="770"/>
      <c r="G49" s="201"/>
      <c r="H49" s="204"/>
      <c r="I49" s="205"/>
      <c r="J49" s="201"/>
      <c r="K49" s="204"/>
      <c r="L49" s="205"/>
      <c r="M49" s="206"/>
      <c r="N49" s="207"/>
      <c r="O49" s="205"/>
      <c r="P49" s="208"/>
    </row>
    <row r="50" spans="1:16" s="41" customFormat="1" ht="12.75" thickBot="1" x14ac:dyDescent="0.3">
      <c r="A50" s="209"/>
      <c r="B50" s="42" t="s">
        <v>71</v>
      </c>
      <c r="C50" s="213">
        <f t="shared" ref="C50:C113" si="4">F50+I50+L50+O50</f>
        <v>3976637</v>
      </c>
      <c r="D50" s="211">
        <f>SUM(D51,D281)</f>
        <v>3976637</v>
      </c>
      <c r="E50" s="217">
        <f>SUM(E51,E281)</f>
        <v>0</v>
      </c>
      <c r="F50" s="463">
        <f t="shared" ref="F50:F114" si="5">D50+E50</f>
        <v>3976637</v>
      </c>
      <c r="G50" s="211">
        <f>SUM(G51,G281)</f>
        <v>0</v>
      </c>
      <c r="H50" s="214">
        <f>SUM(H51,H281)</f>
        <v>0</v>
      </c>
      <c r="I50" s="215">
        <f t="shared" ref="I50:I114" si="6">G50+H50</f>
        <v>0</v>
      </c>
      <c r="J50" s="211">
        <f>SUM(J51,J281)</f>
        <v>0</v>
      </c>
      <c r="K50" s="214">
        <f>SUM(K51,K281)</f>
        <v>0</v>
      </c>
      <c r="L50" s="215">
        <f t="shared" ref="L50:L114" si="7">J50+K50</f>
        <v>0</v>
      </c>
      <c r="M50" s="216">
        <f>SUM(M51,M281)</f>
        <v>0</v>
      </c>
      <c r="N50" s="217">
        <f>SUM(N51,N281)</f>
        <v>0</v>
      </c>
      <c r="O50" s="215">
        <f t="shared" ref="O50:O114" si="8">M50+N50</f>
        <v>0</v>
      </c>
      <c r="P50" s="52"/>
    </row>
    <row r="51" spans="1:16" s="41" customFormat="1" ht="36.75" thickTop="1" x14ac:dyDescent="0.25">
      <c r="A51" s="218"/>
      <c r="B51" s="219" t="s">
        <v>72</v>
      </c>
      <c r="C51" s="223">
        <f t="shared" si="4"/>
        <v>3976637</v>
      </c>
      <c r="D51" s="221">
        <f>SUM(D52,D194)</f>
        <v>3976637</v>
      </c>
      <c r="E51" s="227">
        <f>SUM(E52,E194)</f>
        <v>0</v>
      </c>
      <c r="F51" s="464">
        <f t="shared" si="5"/>
        <v>3976637</v>
      </c>
      <c r="G51" s="221">
        <f>SUM(G52,G194)</f>
        <v>0</v>
      </c>
      <c r="H51" s="224">
        <f>SUM(H52,H194)</f>
        <v>0</v>
      </c>
      <c r="I51" s="225">
        <f t="shared" si="6"/>
        <v>0</v>
      </c>
      <c r="J51" s="221">
        <f>SUM(J52,J194)</f>
        <v>0</v>
      </c>
      <c r="K51" s="224">
        <f>SUM(K52,K194)</f>
        <v>0</v>
      </c>
      <c r="L51" s="225">
        <f t="shared" si="7"/>
        <v>0</v>
      </c>
      <c r="M51" s="226">
        <f>SUM(M52,M194)</f>
        <v>0</v>
      </c>
      <c r="N51" s="227">
        <f>SUM(N52,N194)</f>
        <v>0</v>
      </c>
      <c r="O51" s="225">
        <f t="shared" si="8"/>
        <v>0</v>
      </c>
      <c r="P51" s="228"/>
    </row>
    <row r="52" spans="1:16" s="41" customFormat="1" ht="24" x14ac:dyDescent="0.25">
      <c r="A52" s="35"/>
      <c r="B52" s="30" t="s">
        <v>73</v>
      </c>
      <c r="C52" s="232">
        <f t="shared" si="4"/>
        <v>3815353</v>
      </c>
      <c r="D52" s="230">
        <f>SUM(D53,D75,D173,D187)</f>
        <v>3815353</v>
      </c>
      <c r="E52" s="235">
        <f>SUM(E53,E75,E173,E187)</f>
        <v>0</v>
      </c>
      <c r="F52" s="459">
        <f t="shared" si="5"/>
        <v>3815353</v>
      </c>
      <c r="G52" s="230">
        <f>SUM(G53,G75,G173,G187)</f>
        <v>0</v>
      </c>
      <c r="H52" s="233">
        <f>SUM(H53,H75,H173,H187)</f>
        <v>0</v>
      </c>
      <c r="I52" s="234">
        <f t="shared" si="6"/>
        <v>0</v>
      </c>
      <c r="J52" s="230">
        <f>SUM(J53,J75,J173,J187)</f>
        <v>0</v>
      </c>
      <c r="K52" s="233">
        <f>SUM(K53,K75,K173,K187)</f>
        <v>0</v>
      </c>
      <c r="L52" s="234">
        <f t="shared" si="7"/>
        <v>0</v>
      </c>
      <c r="M52" s="53">
        <f>SUM(M53,M75,M173,M187)</f>
        <v>0</v>
      </c>
      <c r="N52" s="235">
        <f>SUM(N53,N75,N173,N187)</f>
        <v>0</v>
      </c>
      <c r="O52" s="234">
        <f t="shared" si="8"/>
        <v>0</v>
      </c>
      <c r="P52" s="236"/>
    </row>
    <row r="53" spans="1:16" s="41" customFormat="1" ht="12" x14ac:dyDescent="0.25">
      <c r="A53" s="237">
        <v>1000</v>
      </c>
      <c r="B53" s="237" t="s">
        <v>74</v>
      </c>
      <c r="C53" s="241">
        <f t="shared" si="4"/>
        <v>3770484</v>
      </c>
      <c r="D53" s="239">
        <f>SUM(D54,D67)</f>
        <v>3770484</v>
      </c>
      <c r="E53" s="245">
        <f>SUM(E54,E67)</f>
        <v>0</v>
      </c>
      <c r="F53" s="320">
        <f t="shared" si="5"/>
        <v>3770484</v>
      </c>
      <c r="G53" s="239">
        <f>SUM(G54,G67)</f>
        <v>0</v>
      </c>
      <c r="H53" s="242">
        <f>SUM(H54,H67)</f>
        <v>0</v>
      </c>
      <c r="I53" s="243">
        <f t="shared" si="6"/>
        <v>0</v>
      </c>
      <c r="J53" s="239">
        <f>SUM(J54,J67)</f>
        <v>0</v>
      </c>
      <c r="K53" s="242">
        <f>SUM(K54,K67)</f>
        <v>0</v>
      </c>
      <c r="L53" s="243">
        <f t="shared" si="7"/>
        <v>0</v>
      </c>
      <c r="M53" s="244">
        <f>SUM(M54,M67)</f>
        <v>0</v>
      </c>
      <c r="N53" s="245">
        <f>SUM(N54,N67)</f>
        <v>0</v>
      </c>
      <c r="O53" s="243">
        <f t="shared" si="8"/>
        <v>0</v>
      </c>
      <c r="P53" s="246"/>
    </row>
    <row r="54" spans="1:16" x14ac:dyDescent="0.25">
      <c r="A54" s="99">
        <v>1100</v>
      </c>
      <c r="B54" s="247" t="s">
        <v>75</v>
      </c>
      <c r="C54" s="249">
        <f t="shared" si="4"/>
        <v>2899425</v>
      </c>
      <c r="D54" s="112">
        <f>SUM(D55,D58,D66)</f>
        <v>2899425</v>
      </c>
      <c r="E54" s="293">
        <f>SUM(E55,E58,E66)</f>
        <v>0</v>
      </c>
      <c r="F54" s="313">
        <f t="shared" si="5"/>
        <v>2899425</v>
      </c>
      <c r="G54" s="112">
        <f>SUM(G55,G58,G66)</f>
        <v>0</v>
      </c>
      <c r="H54" s="113">
        <f>SUM(H55,H58,H66)</f>
        <v>0</v>
      </c>
      <c r="I54" s="114">
        <f t="shared" si="6"/>
        <v>0</v>
      </c>
      <c r="J54" s="112">
        <f>SUM(J55,J58,J66)</f>
        <v>0</v>
      </c>
      <c r="K54" s="113">
        <f>SUM(K55,K58,K66)</f>
        <v>0</v>
      </c>
      <c r="L54" s="114">
        <f t="shared" si="7"/>
        <v>0</v>
      </c>
      <c r="M54" s="250">
        <f>SUM(M55,M58,M66)</f>
        <v>0</v>
      </c>
      <c r="N54" s="251">
        <f>SUM(N55,N58,N66)</f>
        <v>0</v>
      </c>
      <c r="O54" s="252">
        <f t="shared" si="8"/>
        <v>0</v>
      </c>
      <c r="P54" s="253"/>
    </row>
    <row r="55" spans="1:16" x14ac:dyDescent="0.25">
      <c r="A55" s="254">
        <v>1110</v>
      </c>
      <c r="B55" s="179" t="s">
        <v>76</v>
      </c>
      <c r="C55" s="257">
        <f t="shared" si="4"/>
        <v>2216315</v>
      </c>
      <c r="D55" s="255">
        <f>SUM(D56:D57)</f>
        <v>2216315</v>
      </c>
      <c r="E55" s="261">
        <f>SUM(E56:E57)</f>
        <v>0</v>
      </c>
      <c r="F55" s="310">
        <f t="shared" si="5"/>
        <v>2216315</v>
      </c>
      <c r="G55" s="255">
        <f>SUM(G56:G57)</f>
        <v>0</v>
      </c>
      <c r="H55" s="258">
        <f>SUM(H56:H57)</f>
        <v>0</v>
      </c>
      <c r="I55" s="259">
        <f t="shared" si="6"/>
        <v>0</v>
      </c>
      <c r="J55" s="255">
        <f>SUM(J56:J57)</f>
        <v>0</v>
      </c>
      <c r="K55" s="258">
        <f>SUM(K56:K57)</f>
        <v>0</v>
      </c>
      <c r="L55" s="259">
        <f t="shared" si="7"/>
        <v>0</v>
      </c>
      <c r="M55" s="260">
        <f>SUM(M56:M57)</f>
        <v>0</v>
      </c>
      <c r="N55" s="261">
        <f>SUM(N56:N57)</f>
        <v>0</v>
      </c>
      <c r="O55" s="259">
        <f t="shared" si="8"/>
        <v>0</v>
      </c>
      <c r="P55" s="189"/>
    </row>
    <row r="56" spans="1:16" hidden="1" x14ac:dyDescent="0.25">
      <c r="A56" s="66">
        <v>1111</v>
      </c>
      <c r="B56" s="116" t="s">
        <v>77</v>
      </c>
      <c r="C56" s="117">
        <f t="shared" si="4"/>
        <v>0</v>
      </c>
      <c r="D56" s="123">
        <v>0</v>
      </c>
      <c r="E56" s="262"/>
      <c r="F56" s="263">
        <f t="shared" si="5"/>
        <v>0</v>
      </c>
      <c r="G56" s="123"/>
      <c r="H56" s="124"/>
      <c r="I56" s="125">
        <f t="shared" si="6"/>
        <v>0</v>
      </c>
      <c r="J56" s="123"/>
      <c r="K56" s="124"/>
      <c r="L56" s="125">
        <f t="shared" si="7"/>
        <v>0</v>
      </c>
      <c r="M56" s="264"/>
      <c r="N56" s="262"/>
      <c r="O56" s="125">
        <f t="shared" si="8"/>
        <v>0</v>
      </c>
      <c r="P56" s="74"/>
    </row>
    <row r="57" spans="1:16" x14ac:dyDescent="0.25">
      <c r="A57" s="76">
        <v>1119</v>
      </c>
      <c r="B57" s="127" t="s">
        <v>78</v>
      </c>
      <c r="C57" s="279">
        <f t="shared" si="4"/>
        <v>2216315</v>
      </c>
      <c r="D57" s="134">
        <f>2300315-84000</f>
        <v>2216315</v>
      </c>
      <c r="E57" s="285"/>
      <c r="F57" s="286">
        <f t="shared" si="5"/>
        <v>2216315</v>
      </c>
      <c r="G57" s="134"/>
      <c r="H57" s="135"/>
      <c r="I57" s="136">
        <f t="shared" si="6"/>
        <v>0</v>
      </c>
      <c r="J57" s="134"/>
      <c r="K57" s="135"/>
      <c r="L57" s="136">
        <f t="shared" si="7"/>
        <v>0</v>
      </c>
      <c r="M57" s="284"/>
      <c r="N57" s="285"/>
      <c r="O57" s="136">
        <f t="shared" si="8"/>
        <v>0</v>
      </c>
      <c r="P57" s="85"/>
    </row>
    <row r="58" spans="1:16" x14ac:dyDescent="0.25">
      <c r="A58" s="276">
        <v>1140</v>
      </c>
      <c r="B58" s="127" t="s">
        <v>79</v>
      </c>
      <c r="C58" s="279">
        <f t="shared" si="4"/>
        <v>658022</v>
      </c>
      <c r="D58" s="277">
        <f>SUM(D59:D65)</f>
        <v>658022</v>
      </c>
      <c r="E58" s="282">
        <f>SUM(E59:E65)</f>
        <v>0</v>
      </c>
      <c r="F58" s="286">
        <f>D58+E58</f>
        <v>658022</v>
      </c>
      <c r="G58" s="277">
        <f>SUM(G59:G65)</f>
        <v>0</v>
      </c>
      <c r="H58" s="280">
        <f>SUM(H59:H65)</f>
        <v>0</v>
      </c>
      <c r="I58" s="136">
        <f t="shared" si="6"/>
        <v>0</v>
      </c>
      <c r="J58" s="277">
        <f>SUM(J59:J65)</f>
        <v>0</v>
      </c>
      <c r="K58" s="280">
        <f>SUM(K59:K65)</f>
        <v>0</v>
      </c>
      <c r="L58" s="136">
        <f t="shared" si="7"/>
        <v>0</v>
      </c>
      <c r="M58" s="281">
        <f>SUM(M59:M65)</f>
        <v>0</v>
      </c>
      <c r="N58" s="282">
        <f>SUM(N59:N65)</f>
        <v>0</v>
      </c>
      <c r="O58" s="136">
        <f t="shared" si="8"/>
        <v>0</v>
      </c>
      <c r="P58" s="85"/>
    </row>
    <row r="59" spans="1:16" hidden="1" x14ac:dyDescent="0.25">
      <c r="A59" s="76">
        <v>1141</v>
      </c>
      <c r="B59" s="127" t="s">
        <v>80</v>
      </c>
      <c r="C59" s="128">
        <f t="shared" si="4"/>
        <v>0</v>
      </c>
      <c r="D59" s="134">
        <v>0</v>
      </c>
      <c r="E59" s="285"/>
      <c r="F59" s="286">
        <f t="shared" si="5"/>
        <v>0</v>
      </c>
      <c r="G59" s="134"/>
      <c r="H59" s="135"/>
      <c r="I59" s="136">
        <f t="shared" si="6"/>
        <v>0</v>
      </c>
      <c r="J59" s="134"/>
      <c r="K59" s="135"/>
      <c r="L59" s="136">
        <f t="shared" si="7"/>
        <v>0</v>
      </c>
      <c r="M59" s="284"/>
      <c r="N59" s="285"/>
      <c r="O59" s="136">
        <f t="shared" si="8"/>
        <v>0</v>
      </c>
      <c r="P59" s="85"/>
    </row>
    <row r="60" spans="1:16" ht="24" x14ac:dyDescent="0.25">
      <c r="A60" s="76">
        <v>1142</v>
      </c>
      <c r="B60" s="127" t="s">
        <v>81</v>
      </c>
      <c r="C60" s="279">
        <f t="shared" si="4"/>
        <v>46824</v>
      </c>
      <c r="D60" s="134">
        <v>46824</v>
      </c>
      <c r="E60" s="285"/>
      <c r="F60" s="286">
        <f t="shared" si="5"/>
        <v>46824</v>
      </c>
      <c r="G60" s="134"/>
      <c r="H60" s="135"/>
      <c r="I60" s="136">
        <f t="shared" si="6"/>
        <v>0</v>
      </c>
      <c r="J60" s="134"/>
      <c r="K60" s="135"/>
      <c r="L60" s="136">
        <f t="shared" si="7"/>
        <v>0</v>
      </c>
      <c r="M60" s="284"/>
      <c r="N60" s="285"/>
      <c r="O60" s="136">
        <f t="shared" si="8"/>
        <v>0</v>
      </c>
      <c r="P60" s="85"/>
    </row>
    <row r="61" spans="1:16" ht="24" hidden="1" x14ac:dyDescent="0.25">
      <c r="A61" s="76">
        <v>1145</v>
      </c>
      <c r="B61" s="127" t="s">
        <v>82</v>
      </c>
      <c r="C61" s="128">
        <f t="shared" si="4"/>
        <v>0</v>
      </c>
      <c r="D61" s="134">
        <v>0</v>
      </c>
      <c r="E61" s="285"/>
      <c r="F61" s="286">
        <f t="shared" si="5"/>
        <v>0</v>
      </c>
      <c r="G61" s="134"/>
      <c r="H61" s="135"/>
      <c r="I61" s="136">
        <f t="shared" si="6"/>
        <v>0</v>
      </c>
      <c r="J61" s="134"/>
      <c r="K61" s="135"/>
      <c r="L61" s="136">
        <f t="shared" si="7"/>
        <v>0</v>
      </c>
      <c r="M61" s="284"/>
      <c r="N61" s="285"/>
      <c r="O61" s="136">
        <f t="shared" si="8"/>
        <v>0</v>
      </c>
      <c r="P61" s="85"/>
    </row>
    <row r="62" spans="1:16" ht="24" x14ac:dyDescent="0.25">
      <c r="A62" s="76">
        <v>1146</v>
      </c>
      <c r="B62" s="127" t="s">
        <v>83</v>
      </c>
      <c r="C62" s="279">
        <f t="shared" si="4"/>
        <v>375111</v>
      </c>
      <c r="D62" s="134">
        <v>375111</v>
      </c>
      <c r="E62" s="285"/>
      <c r="F62" s="286">
        <f t="shared" si="5"/>
        <v>375111</v>
      </c>
      <c r="G62" s="134"/>
      <c r="H62" s="135"/>
      <c r="I62" s="136">
        <f t="shared" si="6"/>
        <v>0</v>
      </c>
      <c r="J62" s="134"/>
      <c r="K62" s="135"/>
      <c r="L62" s="136">
        <f t="shared" si="7"/>
        <v>0</v>
      </c>
      <c r="M62" s="284"/>
      <c r="N62" s="285"/>
      <c r="O62" s="136">
        <f t="shared" si="8"/>
        <v>0</v>
      </c>
      <c r="P62" s="85"/>
    </row>
    <row r="63" spans="1:16" x14ac:dyDescent="0.25">
      <c r="A63" s="76">
        <v>1147</v>
      </c>
      <c r="B63" s="127" t="s">
        <v>84</v>
      </c>
      <c r="C63" s="279">
        <f t="shared" si="4"/>
        <v>85377</v>
      </c>
      <c r="D63" s="134">
        <v>85377</v>
      </c>
      <c r="E63" s="285"/>
      <c r="F63" s="286">
        <f t="shared" si="5"/>
        <v>85377</v>
      </c>
      <c r="G63" s="134"/>
      <c r="H63" s="135"/>
      <c r="I63" s="136">
        <f t="shared" si="6"/>
        <v>0</v>
      </c>
      <c r="J63" s="134"/>
      <c r="K63" s="135"/>
      <c r="L63" s="136">
        <f t="shared" si="7"/>
        <v>0</v>
      </c>
      <c r="M63" s="284"/>
      <c r="N63" s="285"/>
      <c r="O63" s="136">
        <f t="shared" si="8"/>
        <v>0</v>
      </c>
      <c r="P63" s="85"/>
    </row>
    <row r="64" spans="1:16" x14ac:dyDescent="0.25">
      <c r="A64" s="76">
        <v>1148</v>
      </c>
      <c r="B64" s="127" t="s">
        <v>85</v>
      </c>
      <c r="C64" s="279">
        <f t="shared" si="4"/>
        <v>150710</v>
      </c>
      <c r="D64" s="134">
        <v>150710</v>
      </c>
      <c r="E64" s="285"/>
      <c r="F64" s="286">
        <f t="shared" si="5"/>
        <v>150710</v>
      </c>
      <c r="G64" s="134"/>
      <c r="H64" s="135"/>
      <c r="I64" s="136">
        <f t="shared" si="6"/>
        <v>0</v>
      </c>
      <c r="J64" s="134"/>
      <c r="K64" s="135"/>
      <c r="L64" s="136">
        <f t="shared" si="7"/>
        <v>0</v>
      </c>
      <c r="M64" s="284"/>
      <c r="N64" s="285"/>
      <c r="O64" s="136">
        <f t="shared" si="8"/>
        <v>0</v>
      </c>
      <c r="P64" s="85"/>
    </row>
    <row r="65" spans="1:16" ht="24" hidden="1" x14ac:dyDescent="0.25">
      <c r="A65" s="76">
        <v>1149</v>
      </c>
      <c r="B65" s="127" t="s">
        <v>86</v>
      </c>
      <c r="C65" s="128">
        <f t="shared" si="4"/>
        <v>0</v>
      </c>
      <c r="D65" s="134">
        <v>0</v>
      </c>
      <c r="E65" s="285"/>
      <c r="F65" s="286">
        <f t="shared" si="5"/>
        <v>0</v>
      </c>
      <c r="G65" s="134"/>
      <c r="H65" s="135"/>
      <c r="I65" s="136">
        <f t="shared" si="6"/>
        <v>0</v>
      </c>
      <c r="J65" s="134"/>
      <c r="K65" s="135"/>
      <c r="L65" s="136">
        <f t="shared" si="7"/>
        <v>0</v>
      </c>
      <c r="M65" s="284"/>
      <c r="N65" s="285"/>
      <c r="O65" s="136">
        <f t="shared" si="8"/>
        <v>0</v>
      </c>
      <c r="P65" s="85"/>
    </row>
    <row r="66" spans="1:16" ht="36" x14ac:dyDescent="0.25">
      <c r="A66" s="254">
        <v>1150</v>
      </c>
      <c r="B66" s="179" t="s">
        <v>87</v>
      </c>
      <c r="C66" s="279">
        <f t="shared" si="4"/>
        <v>25088</v>
      </c>
      <c r="D66" s="287">
        <f>14088+3000+8000</f>
        <v>25088</v>
      </c>
      <c r="E66" s="291"/>
      <c r="F66" s="310">
        <f t="shared" si="5"/>
        <v>25088</v>
      </c>
      <c r="G66" s="287"/>
      <c r="H66" s="289"/>
      <c r="I66" s="259">
        <f t="shared" si="6"/>
        <v>0</v>
      </c>
      <c r="J66" s="287"/>
      <c r="K66" s="289"/>
      <c r="L66" s="259">
        <f t="shared" si="7"/>
        <v>0</v>
      </c>
      <c r="M66" s="290"/>
      <c r="N66" s="291"/>
      <c r="O66" s="259">
        <f t="shared" si="8"/>
        <v>0</v>
      </c>
      <c r="P66" s="85"/>
    </row>
    <row r="67" spans="1:16" ht="36" x14ac:dyDescent="0.25">
      <c r="A67" s="99">
        <v>1200</v>
      </c>
      <c r="B67" s="247" t="s">
        <v>88</v>
      </c>
      <c r="C67" s="249">
        <f t="shared" si="4"/>
        <v>871059</v>
      </c>
      <c r="D67" s="112">
        <f>SUM(D68:D69)</f>
        <v>871059</v>
      </c>
      <c r="E67" s="293">
        <f>SUM(E68:E69)</f>
        <v>0</v>
      </c>
      <c r="F67" s="313">
        <f>D67+E67</f>
        <v>871059</v>
      </c>
      <c r="G67" s="112">
        <f>SUM(G68:G69)</f>
        <v>0</v>
      </c>
      <c r="H67" s="113">
        <f>SUM(H68:H69)</f>
        <v>0</v>
      </c>
      <c r="I67" s="114">
        <f t="shared" si="6"/>
        <v>0</v>
      </c>
      <c r="J67" s="112">
        <f>SUM(J68:J69)</f>
        <v>0</v>
      </c>
      <c r="K67" s="113">
        <f>SUM(K68:K69)</f>
        <v>0</v>
      </c>
      <c r="L67" s="114">
        <f t="shared" si="7"/>
        <v>0</v>
      </c>
      <c r="M67" s="292">
        <f>SUM(M68:M69)</f>
        <v>0</v>
      </c>
      <c r="N67" s="293">
        <f>SUM(N68:N69)</f>
        <v>0</v>
      </c>
      <c r="O67" s="114">
        <f t="shared" si="8"/>
        <v>0</v>
      </c>
      <c r="P67" s="109"/>
    </row>
    <row r="68" spans="1:16" ht="24" x14ac:dyDescent="0.25">
      <c r="A68" s="656">
        <v>1210</v>
      </c>
      <c r="B68" s="116" t="s">
        <v>89</v>
      </c>
      <c r="C68" s="296">
        <f t="shared" si="4"/>
        <v>715172</v>
      </c>
      <c r="D68" s="123">
        <v>723672</v>
      </c>
      <c r="E68" s="262">
        <v>-8500</v>
      </c>
      <c r="F68" s="263">
        <f t="shared" si="5"/>
        <v>715172</v>
      </c>
      <c r="G68" s="123"/>
      <c r="H68" s="124"/>
      <c r="I68" s="125">
        <f t="shared" si="6"/>
        <v>0</v>
      </c>
      <c r="J68" s="123"/>
      <c r="K68" s="124"/>
      <c r="L68" s="125">
        <f t="shared" si="7"/>
        <v>0</v>
      </c>
      <c r="M68" s="264"/>
      <c r="N68" s="262"/>
      <c r="O68" s="125">
        <f t="shared" si="8"/>
        <v>0</v>
      </c>
      <c r="P68" s="74" t="s">
        <v>544</v>
      </c>
    </row>
    <row r="69" spans="1:16" ht="24" x14ac:dyDescent="0.25">
      <c r="A69" s="276">
        <v>1220</v>
      </c>
      <c r="B69" s="127" t="s">
        <v>90</v>
      </c>
      <c r="C69" s="279">
        <f t="shared" si="4"/>
        <v>155887</v>
      </c>
      <c r="D69" s="277">
        <f>SUM(D70:D74)</f>
        <v>147387</v>
      </c>
      <c r="E69" s="282">
        <f>SUM(E70:E74)</f>
        <v>8500</v>
      </c>
      <c r="F69" s="286">
        <f t="shared" si="5"/>
        <v>155887</v>
      </c>
      <c r="G69" s="277">
        <f>SUM(G70:G74)</f>
        <v>0</v>
      </c>
      <c r="H69" s="280">
        <f>SUM(H70:H74)</f>
        <v>0</v>
      </c>
      <c r="I69" s="136">
        <f t="shared" si="6"/>
        <v>0</v>
      </c>
      <c r="J69" s="277">
        <f>SUM(J70:J74)</f>
        <v>0</v>
      </c>
      <c r="K69" s="280">
        <f>SUM(K70:K74)</f>
        <v>0</v>
      </c>
      <c r="L69" s="136">
        <f t="shared" si="7"/>
        <v>0</v>
      </c>
      <c r="M69" s="281">
        <f>SUM(M70:M74)</f>
        <v>0</v>
      </c>
      <c r="N69" s="282">
        <f>SUM(N70:N74)</f>
        <v>0</v>
      </c>
      <c r="O69" s="136">
        <f t="shared" si="8"/>
        <v>0</v>
      </c>
      <c r="P69" s="85"/>
    </row>
    <row r="70" spans="1:16" ht="48" x14ac:dyDescent="0.25">
      <c r="A70" s="76">
        <v>1221</v>
      </c>
      <c r="B70" s="127" t="s">
        <v>91</v>
      </c>
      <c r="C70" s="279">
        <f t="shared" si="4"/>
        <v>122278</v>
      </c>
      <c r="D70" s="134">
        <f>93778+20000</f>
        <v>113778</v>
      </c>
      <c r="E70" s="285">
        <v>8500</v>
      </c>
      <c r="F70" s="286">
        <f t="shared" si="5"/>
        <v>122278</v>
      </c>
      <c r="G70" s="134"/>
      <c r="H70" s="135"/>
      <c r="I70" s="136">
        <f t="shared" si="6"/>
        <v>0</v>
      </c>
      <c r="J70" s="134"/>
      <c r="K70" s="135"/>
      <c r="L70" s="136">
        <f t="shared" si="7"/>
        <v>0</v>
      </c>
      <c r="M70" s="284"/>
      <c r="N70" s="285"/>
      <c r="O70" s="136">
        <f t="shared" si="8"/>
        <v>0</v>
      </c>
      <c r="P70" s="85" t="s">
        <v>1251</v>
      </c>
    </row>
    <row r="71" spans="1:16" x14ac:dyDescent="0.25">
      <c r="A71" s="76">
        <v>1223</v>
      </c>
      <c r="B71" s="127" t="s">
        <v>92</v>
      </c>
      <c r="C71" s="279">
        <f t="shared" si="4"/>
        <v>1500</v>
      </c>
      <c r="D71" s="134">
        <v>1500</v>
      </c>
      <c r="E71" s="285"/>
      <c r="F71" s="286">
        <f t="shared" si="5"/>
        <v>1500</v>
      </c>
      <c r="G71" s="134"/>
      <c r="H71" s="135"/>
      <c r="I71" s="136">
        <f t="shared" si="6"/>
        <v>0</v>
      </c>
      <c r="J71" s="134"/>
      <c r="K71" s="135"/>
      <c r="L71" s="136">
        <f t="shared" si="7"/>
        <v>0</v>
      </c>
      <c r="M71" s="284"/>
      <c r="N71" s="285"/>
      <c r="O71" s="136">
        <f t="shared" si="8"/>
        <v>0</v>
      </c>
      <c r="P71" s="85"/>
    </row>
    <row r="72" spans="1:16" hidden="1" x14ac:dyDescent="0.25">
      <c r="A72" s="76">
        <v>1225</v>
      </c>
      <c r="B72" s="127" t="s">
        <v>93</v>
      </c>
      <c r="C72" s="128">
        <f t="shared" si="4"/>
        <v>0</v>
      </c>
      <c r="D72" s="134">
        <v>0</v>
      </c>
      <c r="E72" s="285"/>
      <c r="F72" s="286">
        <f t="shared" si="5"/>
        <v>0</v>
      </c>
      <c r="G72" s="134"/>
      <c r="H72" s="135"/>
      <c r="I72" s="136">
        <f t="shared" si="6"/>
        <v>0</v>
      </c>
      <c r="J72" s="134"/>
      <c r="K72" s="135"/>
      <c r="L72" s="136">
        <f t="shared" si="7"/>
        <v>0</v>
      </c>
      <c r="M72" s="284"/>
      <c r="N72" s="285"/>
      <c r="O72" s="136">
        <f t="shared" si="8"/>
        <v>0</v>
      </c>
      <c r="P72" s="85"/>
    </row>
    <row r="73" spans="1:16" ht="24" x14ac:dyDescent="0.25">
      <c r="A73" s="76">
        <v>1227</v>
      </c>
      <c r="B73" s="127" t="s">
        <v>94</v>
      </c>
      <c r="C73" s="279">
        <f t="shared" si="4"/>
        <v>32109</v>
      </c>
      <c r="D73" s="134">
        <f>32709-600</f>
        <v>32109</v>
      </c>
      <c r="E73" s="285"/>
      <c r="F73" s="286">
        <f t="shared" si="5"/>
        <v>32109</v>
      </c>
      <c r="G73" s="134"/>
      <c r="H73" s="135"/>
      <c r="I73" s="136">
        <f t="shared" si="6"/>
        <v>0</v>
      </c>
      <c r="J73" s="134"/>
      <c r="K73" s="135"/>
      <c r="L73" s="136">
        <f t="shared" si="7"/>
        <v>0</v>
      </c>
      <c r="M73" s="284"/>
      <c r="N73" s="285"/>
      <c r="O73" s="136">
        <f t="shared" si="8"/>
        <v>0</v>
      </c>
      <c r="P73" s="85"/>
    </row>
    <row r="74" spans="1:16" ht="48" hidden="1" x14ac:dyDescent="0.25">
      <c r="A74" s="76">
        <v>1228</v>
      </c>
      <c r="B74" s="127" t="s">
        <v>95</v>
      </c>
      <c r="C74" s="279">
        <f t="shared" si="4"/>
        <v>0</v>
      </c>
      <c r="D74" s="134">
        <v>0</v>
      </c>
      <c r="E74" s="285"/>
      <c r="F74" s="286">
        <f t="shared" si="5"/>
        <v>0</v>
      </c>
      <c r="G74" s="134"/>
      <c r="H74" s="135"/>
      <c r="I74" s="136">
        <f t="shared" si="6"/>
        <v>0</v>
      </c>
      <c r="J74" s="134"/>
      <c r="K74" s="135"/>
      <c r="L74" s="136">
        <f t="shared" si="7"/>
        <v>0</v>
      </c>
      <c r="M74" s="284"/>
      <c r="N74" s="285"/>
      <c r="O74" s="136">
        <f t="shared" si="8"/>
        <v>0</v>
      </c>
      <c r="P74" s="85"/>
    </row>
    <row r="75" spans="1:16" x14ac:dyDescent="0.25">
      <c r="A75" s="237">
        <v>2000</v>
      </c>
      <c r="B75" s="237" t="s">
        <v>96</v>
      </c>
      <c r="C75" s="241">
        <f t="shared" si="4"/>
        <v>44869</v>
      </c>
      <c r="D75" s="239">
        <f>SUM(D76,D83,D130,D164,D165,D172)</f>
        <v>44869</v>
      </c>
      <c r="E75" s="245">
        <f>SUM(E76,E83,E130,E164,E165,E172)</f>
        <v>0</v>
      </c>
      <c r="F75" s="320">
        <f t="shared" si="5"/>
        <v>44869</v>
      </c>
      <c r="G75" s="239">
        <f>SUM(G76,G83,G130,G164,G165,G172)</f>
        <v>0</v>
      </c>
      <c r="H75" s="242">
        <f>SUM(H76,H83,H130,H164,H165,H172)</f>
        <v>0</v>
      </c>
      <c r="I75" s="243">
        <f t="shared" si="6"/>
        <v>0</v>
      </c>
      <c r="J75" s="239">
        <f>SUM(J76,J83,J130,J164,J165,J172)</f>
        <v>0</v>
      </c>
      <c r="K75" s="242">
        <f>SUM(K76,K83,K130,K164,K165,K172)</f>
        <v>0</v>
      </c>
      <c r="L75" s="243">
        <f t="shared" si="7"/>
        <v>0</v>
      </c>
      <c r="M75" s="244">
        <f>SUM(M76,M83,M130,M164,M165,M172)</f>
        <v>0</v>
      </c>
      <c r="N75" s="245">
        <f>SUM(N76,N83,N130,N164,N165,N172)</f>
        <v>0</v>
      </c>
      <c r="O75" s="243">
        <f t="shared" si="8"/>
        <v>0</v>
      </c>
      <c r="P75" s="246"/>
    </row>
    <row r="76" spans="1:16" ht="24" hidden="1" x14ac:dyDescent="0.25">
      <c r="A76" s="99">
        <v>2100</v>
      </c>
      <c r="B76" s="247" t="s">
        <v>97</v>
      </c>
      <c r="C76" s="249">
        <f t="shared" si="4"/>
        <v>0</v>
      </c>
      <c r="D76" s="112">
        <f>SUM(D77,D80)</f>
        <v>0</v>
      </c>
      <c r="E76" s="293">
        <f>SUM(E77,E80)</f>
        <v>0</v>
      </c>
      <c r="F76" s="313">
        <f t="shared" si="5"/>
        <v>0</v>
      </c>
      <c r="G76" s="112">
        <f>SUM(G77,G80)</f>
        <v>0</v>
      </c>
      <c r="H76" s="113">
        <f>SUM(H77,H80)</f>
        <v>0</v>
      </c>
      <c r="I76" s="114">
        <f t="shared" si="6"/>
        <v>0</v>
      </c>
      <c r="J76" s="112">
        <f>SUM(J77,J80)</f>
        <v>0</v>
      </c>
      <c r="K76" s="113">
        <f>SUM(K77,K80)</f>
        <v>0</v>
      </c>
      <c r="L76" s="114">
        <f t="shared" si="7"/>
        <v>0</v>
      </c>
      <c r="M76" s="292">
        <f>SUM(M77,M80)</f>
        <v>0</v>
      </c>
      <c r="N76" s="293">
        <f>SUM(N77,N80)</f>
        <v>0</v>
      </c>
      <c r="O76" s="114">
        <f t="shared" si="8"/>
        <v>0</v>
      </c>
      <c r="P76" s="109"/>
    </row>
    <row r="77" spans="1:16" ht="24" hidden="1" x14ac:dyDescent="0.25">
      <c r="A77" s="656">
        <v>2110</v>
      </c>
      <c r="B77" s="116" t="s">
        <v>98</v>
      </c>
      <c r="C77" s="296">
        <f t="shared" si="4"/>
        <v>0</v>
      </c>
      <c r="D77" s="297">
        <f>SUM(D78:D79)</f>
        <v>0</v>
      </c>
      <c r="E77" s="301">
        <f>SUM(E78:E79)</f>
        <v>0</v>
      </c>
      <c r="F77" s="263">
        <f t="shared" si="5"/>
        <v>0</v>
      </c>
      <c r="G77" s="297">
        <f>SUM(G78:G79)</f>
        <v>0</v>
      </c>
      <c r="H77" s="299">
        <f>SUM(H78:H79)</f>
        <v>0</v>
      </c>
      <c r="I77" s="125">
        <f t="shared" si="6"/>
        <v>0</v>
      </c>
      <c r="J77" s="297">
        <f>SUM(J78:J79)</f>
        <v>0</v>
      </c>
      <c r="K77" s="299">
        <f>SUM(K78:K79)</f>
        <v>0</v>
      </c>
      <c r="L77" s="125">
        <f t="shared" si="7"/>
        <v>0</v>
      </c>
      <c r="M77" s="300">
        <f>SUM(M78:M79)</f>
        <v>0</v>
      </c>
      <c r="N77" s="301">
        <f>SUM(N78:N79)</f>
        <v>0</v>
      </c>
      <c r="O77" s="125">
        <f t="shared" si="8"/>
        <v>0</v>
      </c>
      <c r="P77" s="74"/>
    </row>
    <row r="78" spans="1:16" hidden="1" x14ac:dyDescent="0.25">
      <c r="A78" s="76">
        <v>2111</v>
      </c>
      <c r="B78" s="127" t="s">
        <v>99</v>
      </c>
      <c r="C78" s="128">
        <f t="shared" si="4"/>
        <v>0</v>
      </c>
      <c r="D78" s="134">
        <v>0</v>
      </c>
      <c r="E78" s="285"/>
      <c r="F78" s="286">
        <f t="shared" si="5"/>
        <v>0</v>
      </c>
      <c r="G78" s="134"/>
      <c r="H78" s="135"/>
      <c r="I78" s="136">
        <f t="shared" si="6"/>
        <v>0</v>
      </c>
      <c r="J78" s="134"/>
      <c r="K78" s="135"/>
      <c r="L78" s="136">
        <f t="shared" si="7"/>
        <v>0</v>
      </c>
      <c r="M78" s="284"/>
      <c r="N78" s="285"/>
      <c r="O78" s="136">
        <f t="shared" si="8"/>
        <v>0</v>
      </c>
      <c r="P78" s="85"/>
    </row>
    <row r="79" spans="1:16" ht="24" hidden="1" x14ac:dyDescent="0.25">
      <c r="A79" s="76">
        <v>2112</v>
      </c>
      <c r="B79" s="127" t="s">
        <v>100</v>
      </c>
      <c r="C79" s="279">
        <f t="shared" si="4"/>
        <v>0</v>
      </c>
      <c r="D79" s="134">
        <v>0</v>
      </c>
      <c r="E79" s="285"/>
      <c r="F79" s="286">
        <f t="shared" si="5"/>
        <v>0</v>
      </c>
      <c r="G79" s="134"/>
      <c r="H79" s="135"/>
      <c r="I79" s="136">
        <f t="shared" si="6"/>
        <v>0</v>
      </c>
      <c r="J79" s="134"/>
      <c r="K79" s="135"/>
      <c r="L79" s="136">
        <f t="shared" si="7"/>
        <v>0</v>
      </c>
      <c r="M79" s="284"/>
      <c r="N79" s="285"/>
      <c r="O79" s="136">
        <f t="shared" si="8"/>
        <v>0</v>
      </c>
      <c r="P79" s="85"/>
    </row>
    <row r="80" spans="1:16" ht="24" hidden="1" x14ac:dyDescent="0.25">
      <c r="A80" s="276">
        <v>2120</v>
      </c>
      <c r="B80" s="127" t="s">
        <v>101</v>
      </c>
      <c r="C80" s="128">
        <f t="shared" si="4"/>
        <v>0</v>
      </c>
      <c r="D80" s="277">
        <f>SUM(D81:D82)</f>
        <v>0</v>
      </c>
      <c r="E80" s="282">
        <f>SUM(E81:E82)</f>
        <v>0</v>
      </c>
      <c r="F80" s="286">
        <f t="shared" si="5"/>
        <v>0</v>
      </c>
      <c r="G80" s="277">
        <f>SUM(G81:G82)</f>
        <v>0</v>
      </c>
      <c r="H80" s="280">
        <f>SUM(H81:H82)</f>
        <v>0</v>
      </c>
      <c r="I80" s="136">
        <f t="shared" si="6"/>
        <v>0</v>
      </c>
      <c r="J80" s="277">
        <f>SUM(J81:J82)</f>
        <v>0</v>
      </c>
      <c r="K80" s="280">
        <f>SUM(K81:K82)</f>
        <v>0</v>
      </c>
      <c r="L80" s="136">
        <f t="shared" si="7"/>
        <v>0</v>
      </c>
      <c r="M80" s="281">
        <f>SUM(M81:M82)</f>
        <v>0</v>
      </c>
      <c r="N80" s="282">
        <f>SUM(N81:N82)</f>
        <v>0</v>
      </c>
      <c r="O80" s="136">
        <f t="shared" si="8"/>
        <v>0</v>
      </c>
      <c r="P80" s="85"/>
    </row>
    <row r="81" spans="1:16" hidden="1" x14ac:dyDescent="0.25">
      <c r="A81" s="76">
        <v>2121</v>
      </c>
      <c r="B81" s="127" t="s">
        <v>99</v>
      </c>
      <c r="C81" s="128">
        <f t="shared" si="4"/>
        <v>0</v>
      </c>
      <c r="D81" s="134">
        <v>0</v>
      </c>
      <c r="E81" s="285"/>
      <c r="F81" s="286">
        <f t="shared" si="5"/>
        <v>0</v>
      </c>
      <c r="G81" s="134"/>
      <c r="H81" s="135"/>
      <c r="I81" s="136">
        <f t="shared" si="6"/>
        <v>0</v>
      </c>
      <c r="J81" s="134"/>
      <c r="K81" s="135"/>
      <c r="L81" s="136">
        <f t="shared" si="7"/>
        <v>0</v>
      </c>
      <c r="M81" s="284"/>
      <c r="N81" s="285"/>
      <c r="O81" s="136">
        <f t="shared" si="8"/>
        <v>0</v>
      </c>
      <c r="P81" s="85"/>
    </row>
    <row r="82" spans="1:16" ht="24" hidden="1" x14ac:dyDescent="0.25">
      <c r="A82" s="76">
        <v>2122</v>
      </c>
      <c r="B82" s="127" t="s">
        <v>100</v>
      </c>
      <c r="C82" s="128">
        <f t="shared" si="4"/>
        <v>0</v>
      </c>
      <c r="D82" s="134">
        <v>0</v>
      </c>
      <c r="E82" s="285"/>
      <c r="F82" s="286">
        <f t="shared" si="5"/>
        <v>0</v>
      </c>
      <c r="G82" s="134"/>
      <c r="H82" s="135"/>
      <c r="I82" s="136">
        <f t="shared" si="6"/>
        <v>0</v>
      </c>
      <c r="J82" s="134"/>
      <c r="K82" s="135"/>
      <c r="L82" s="136">
        <f t="shared" si="7"/>
        <v>0</v>
      </c>
      <c r="M82" s="284"/>
      <c r="N82" s="285"/>
      <c r="O82" s="136">
        <f t="shared" si="8"/>
        <v>0</v>
      </c>
      <c r="P82" s="85"/>
    </row>
    <row r="83" spans="1:16" x14ac:dyDescent="0.25">
      <c r="A83" s="99">
        <v>2200</v>
      </c>
      <c r="B83" s="247" t="s">
        <v>102</v>
      </c>
      <c r="C83" s="302">
        <f t="shared" si="4"/>
        <v>14022</v>
      </c>
      <c r="D83" s="112">
        <f>SUM(D84,D89,D95,D103,D112,D116,D122,D128)</f>
        <v>14022</v>
      </c>
      <c r="E83" s="293">
        <f>SUM(E84,E89,E95,E103,E112,E116,E122,E128)</f>
        <v>0</v>
      </c>
      <c r="F83" s="313">
        <f t="shared" si="5"/>
        <v>14022</v>
      </c>
      <c r="G83" s="112">
        <f>SUM(G84,G89,G95,G103,G112,G116,G122,G128)</f>
        <v>0</v>
      </c>
      <c r="H83" s="113">
        <f>SUM(H84,H89,H95,H103,H112,H116,H122,H128)</f>
        <v>0</v>
      </c>
      <c r="I83" s="114">
        <f t="shared" si="6"/>
        <v>0</v>
      </c>
      <c r="J83" s="112">
        <f>SUM(J84,J89,J95,J103,J112,J116,J122,J128)</f>
        <v>0</v>
      </c>
      <c r="K83" s="113">
        <f>SUM(K84,K89,K95,K103,K112,K116,K122,K128)</f>
        <v>0</v>
      </c>
      <c r="L83" s="114">
        <f t="shared" si="7"/>
        <v>0</v>
      </c>
      <c r="M83" s="303">
        <f>SUM(M84,M89,M95,M103,M112,M116,M122,M128)</f>
        <v>0</v>
      </c>
      <c r="N83" s="304">
        <f>SUM(N84,N89,N95,N103,N112,N116,N122,N128)</f>
        <v>0</v>
      </c>
      <c r="O83" s="305">
        <f t="shared" si="8"/>
        <v>0</v>
      </c>
      <c r="P83" s="306"/>
    </row>
    <row r="84" spans="1:16" ht="17.25" customHeight="1" x14ac:dyDescent="0.25">
      <c r="A84" s="254">
        <v>2210</v>
      </c>
      <c r="B84" s="179" t="s">
        <v>103</v>
      </c>
      <c r="C84" s="257">
        <f t="shared" si="4"/>
        <v>4792</v>
      </c>
      <c r="D84" s="255">
        <f>SUM(D85:D88)</f>
        <v>4792</v>
      </c>
      <c r="E84" s="261">
        <f>SUM(E85:E88)</f>
        <v>0</v>
      </c>
      <c r="F84" s="310">
        <f t="shared" si="5"/>
        <v>4792</v>
      </c>
      <c r="G84" s="255">
        <f>SUM(G85:G88)</f>
        <v>0</v>
      </c>
      <c r="H84" s="258">
        <f>SUM(H85:H88)</f>
        <v>0</v>
      </c>
      <c r="I84" s="259">
        <f t="shared" si="6"/>
        <v>0</v>
      </c>
      <c r="J84" s="255">
        <f>SUM(J85:J88)</f>
        <v>0</v>
      </c>
      <c r="K84" s="258">
        <f>SUM(K85:K88)</f>
        <v>0</v>
      </c>
      <c r="L84" s="259">
        <f t="shared" si="7"/>
        <v>0</v>
      </c>
      <c r="M84" s="260">
        <f>SUM(M85:M88)</f>
        <v>0</v>
      </c>
      <c r="N84" s="261">
        <f>SUM(N85:N88)</f>
        <v>0</v>
      </c>
      <c r="O84" s="259">
        <f t="shared" si="8"/>
        <v>0</v>
      </c>
      <c r="P84" s="189"/>
    </row>
    <row r="85" spans="1:16" ht="24" x14ac:dyDescent="0.25">
      <c r="A85" s="66">
        <v>2211</v>
      </c>
      <c r="B85" s="116" t="s">
        <v>104</v>
      </c>
      <c r="C85" s="279">
        <f t="shared" si="4"/>
        <v>4342</v>
      </c>
      <c r="D85" s="123">
        <v>4342</v>
      </c>
      <c r="E85" s="262"/>
      <c r="F85" s="263">
        <f t="shared" si="5"/>
        <v>4342</v>
      </c>
      <c r="G85" s="123"/>
      <c r="H85" s="124"/>
      <c r="I85" s="125">
        <f t="shared" si="6"/>
        <v>0</v>
      </c>
      <c r="J85" s="123"/>
      <c r="K85" s="124"/>
      <c r="L85" s="125">
        <f t="shared" si="7"/>
        <v>0</v>
      </c>
      <c r="M85" s="264"/>
      <c r="N85" s="262"/>
      <c r="O85" s="125">
        <f t="shared" si="8"/>
        <v>0</v>
      </c>
      <c r="P85" s="74"/>
    </row>
    <row r="86" spans="1:16" ht="36" hidden="1" x14ac:dyDescent="0.25">
      <c r="A86" s="76">
        <v>2212</v>
      </c>
      <c r="B86" s="127" t="s">
        <v>105</v>
      </c>
      <c r="C86" s="128">
        <f t="shared" si="4"/>
        <v>0</v>
      </c>
      <c r="D86" s="134">
        <v>0</v>
      </c>
      <c r="E86" s="285"/>
      <c r="F86" s="286">
        <f t="shared" si="5"/>
        <v>0</v>
      </c>
      <c r="G86" s="134"/>
      <c r="H86" s="135"/>
      <c r="I86" s="136">
        <f t="shared" si="6"/>
        <v>0</v>
      </c>
      <c r="J86" s="134"/>
      <c r="K86" s="135"/>
      <c r="L86" s="136">
        <f t="shared" si="7"/>
        <v>0</v>
      </c>
      <c r="M86" s="284"/>
      <c r="N86" s="285"/>
      <c r="O86" s="136">
        <f t="shared" si="8"/>
        <v>0</v>
      </c>
      <c r="P86" s="85"/>
    </row>
    <row r="87" spans="1:16" ht="24" hidden="1" x14ac:dyDescent="0.25">
      <c r="A87" s="76">
        <v>2214</v>
      </c>
      <c r="B87" s="127" t="s">
        <v>106</v>
      </c>
      <c r="C87" s="279">
        <f t="shared" si="4"/>
        <v>0</v>
      </c>
      <c r="D87" s="134">
        <v>0</v>
      </c>
      <c r="E87" s="285"/>
      <c r="F87" s="286">
        <f t="shared" si="5"/>
        <v>0</v>
      </c>
      <c r="G87" s="134"/>
      <c r="H87" s="135"/>
      <c r="I87" s="136">
        <f t="shared" si="6"/>
        <v>0</v>
      </c>
      <c r="J87" s="134"/>
      <c r="K87" s="135"/>
      <c r="L87" s="136">
        <f t="shared" si="7"/>
        <v>0</v>
      </c>
      <c r="M87" s="284"/>
      <c r="N87" s="285"/>
      <c r="O87" s="136">
        <f t="shared" si="8"/>
        <v>0</v>
      </c>
      <c r="P87" s="85"/>
    </row>
    <row r="88" spans="1:16" x14ac:dyDescent="0.25">
      <c r="A88" s="76">
        <v>2219</v>
      </c>
      <c r="B88" s="127" t="s">
        <v>107</v>
      </c>
      <c r="C88" s="279">
        <f t="shared" si="4"/>
        <v>450</v>
      </c>
      <c r="D88" s="134">
        <f>200+250</f>
        <v>450</v>
      </c>
      <c r="E88" s="285"/>
      <c r="F88" s="286">
        <f t="shared" si="5"/>
        <v>450</v>
      </c>
      <c r="G88" s="134"/>
      <c r="H88" s="135"/>
      <c r="I88" s="136">
        <f t="shared" si="6"/>
        <v>0</v>
      </c>
      <c r="J88" s="134"/>
      <c r="K88" s="135"/>
      <c r="L88" s="136">
        <f t="shared" si="7"/>
        <v>0</v>
      </c>
      <c r="M88" s="284"/>
      <c r="N88" s="285"/>
      <c r="O88" s="136">
        <f t="shared" si="8"/>
        <v>0</v>
      </c>
      <c r="P88" s="85"/>
    </row>
    <row r="89" spans="1:16" ht="24" hidden="1" x14ac:dyDescent="0.25">
      <c r="A89" s="276">
        <v>2220</v>
      </c>
      <c r="B89" s="127" t="s">
        <v>108</v>
      </c>
      <c r="C89" s="128">
        <f t="shared" si="4"/>
        <v>0</v>
      </c>
      <c r="D89" s="277">
        <f>SUM(D90:D94)</f>
        <v>0</v>
      </c>
      <c r="E89" s="282">
        <f>SUM(E90:E94)</f>
        <v>0</v>
      </c>
      <c r="F89" s="286">
        <f t="shared" si="5"/>
        <v>0</v>
      </c>
      <c r="G89" s="277">
        <f>SUM(G90:G94)</f>
        <v>0</v>
      </c>
      <c r="H89" s="280">
        <f>SUM(H90:H94)</f>
        <v>0</v>
      </c>
      <c r="I89" s="136">
        <f t="shared" si="6"/>
        <v>0</v>
      </c>
      <c r="J89" s="277">
        <f>SUM(J90:J94)</f>
        <v>0</v>
      </c>
      <c r="K89" s="280">
        <f>SUM(K90:K94)</f>
        <v>0</v>
      </c>
      <c r="L89" s="136">
        <f t="shared" si="7"/>
        <v>0</v>
      </c>
      <c r="M89" s="281">
        <f>SUM(M90:M94)</f>
        <v>0</v>
      </c>
      <c r="N89" s="282">
        <f>SUM(N90:N94)</f>
        <v>0</v>
      </c>
      <c r="O89" s="136">
        <f t="shared" si="8"/>
        <v>0</v>
      </c>
      <c r="P89" s="85"/>
    </row>
    <row r="90" spans="1:16" hidden="1" x14ac:dyDescent="0.25">
      <c r="A90" s="76">
        <v>2221</v>
      </c>
      <c r="B90" s="127" t="s">
        <v>109</v>
      </c>
      <c r="C90" s="128">
        <f t="shared" si="4"/>
        <v>0</v>
      </c>
      <c r="D90" s="134">
        <v>0</v>
      </c>
      <c r="E90" s="285"/>
      <c r="F90" s="286">
        <f t="shared" si="5"/>
        <v>0</v>
      </c>
      <c r="G90" s="134"/>
      <c r="H90" s="135"/>
      <c r="I90" s="136">
        <f t="shared" si="6"/>
        <v>0</v>
      </c>
      <c r="J90" s="134"/>
      <c r="K90" s="135"/>
      <c r="L90" s="136">
        <f t="shared" si="7"/>
        <v>0</v>
      </c>
      <c r="M90" s="284"/>
      <c r="N90" s="285"/>
      <c r="O90" s="136">
        <f t="shared" si="8"/>
        <v>0</v>
      </c>
      <c r="P90" s="85"/>
    </row>
    <row r="91" spans="1:16" hidden="1" x14ac:dyDescent="0.25">
      <c r="A91" s="76">
        <v>2222</v>
      </c>
      <c r="B91" s="127" t="s">
        <v>110</v>
      </c>
      <c r="C91" s="128">
        <f t="shared" si="4"/>
        <v>0</v>
      </c>
      <c r="D91" s="134">
        <v>0</v>
      </c>
      <c r="E91" s="285"/>
      <c r="F91" s="286">
        <f t="shared" si="5"/>
        <v>0</v>
      </c>
      <c r="G91" s="134"/>
      <c r="H91" s="135"/>
      <c r="I91" s="136">
        <f t="shared" si="6"/>
        <v>0</v>
      </c>
      <c r="J91" s="134"/>
      <c r="K91" s="135"/>
      <c r="L91" s="136">
        <f t="shared" si="7"/>
        <v>0</v>
      </c>
      <c r="M91" s="284"/>
      <c r="N91" s="285"/>
      <c r="O91" s="136">
        <f t="shared" si="8"/>
        <v>0</v>
      </c>
      <c r="P91" s="85"/>
    </row>
    <row r="92" spans="1:16" hidden="1" x14ac:dyDescent="0.25">
      <c r="A92" s="76">
        <v>2223</v>
      </c>
      <c r="B92" s="127" t="s">
        <v>111</v>
      </c>
      <c r="C92" s="128">
        <f t="shared" si="4"/>
        <v>0</v>
      </c>
      <c r="D92" s="134">
        <v>0</v>
      </c>
      <c r="E92" s="285"/>
      <c r="F92" s="286">
        <f t="shared" si="5"/>
        <v>0</v>
      </c>
      <c r="G92" s="134"/>
      <c r="H92" s="135"/>
      <c r="I92" s="136">
        <f t="shared" si="6"/>
        <v>0</v>
      </c>
      <c r="J92" s="134"/>
      <c r="K92" s="135"/>
      <c r="L92" s="136">
        <f t="shared" si="7"/>
        <v>0</v>
      </c>
      <c r="M92" s="284"/>
      <c r="N92" s="285"/>
      <c r="O92" s="136">
        <f t="shared" si="8"/>
        <v>0</v>
      </c>
      <c r="P92" s="85"/>
    </row>
    <row r="93" spans="1:16" ht="48" hidden="1" x14ac:dyDescent="0.25">
      <c r="A93" s="76">
        <v>2224</v>
      </c>
      <c r="B93" s="127" t="s">
        <v>112</v>
      </c>
      <c r="C93" s="128">
        <f t="shared" si="4"/>
        <v>0</v>
      </c>
      <c r="D93" s="134">
        <v>0</v>
      </c>
      <c r="E93" s="285"/>
      <c r="F93" s="286">
        <f t="shared" si="5"/>
        <v>0</v>
      </c>
      <c r="G93" s="134"/>
      <c r="H93" s="135"/>
      <c r="I93" s="136">
        <f t="shared" si="6"/>
        <v>0</v>
      </c>
      <c r="J93" s="134"/>
      <c r="K93" s="135"/>
      <c r="L93" s="136">
        <f t="shared" si="7"/>
        <v>0</v>
      </c>
      <c r="M93" s="284"/>
      <c r="N93" s="285"/>
      <c r="O93" s="136">
        <f t="shared" si="8"/>
        <v>0</v>
      </c>
      <c r="P93" s="85"/>
    </row>
    <row r="94" spans="1:16" ht="24" hidden="1" x14ac:dyDescent="0.25">
      <c r="A94" s="76">
        <v>2229</v>
      </c>
      <c r="B94" s="127" t="s">
        <v>113</v>
      </c>
      <c r="C94" s="128">
        <f t="shared" si="4"/>
        <v>0</v>
      </c>
      <c r="D94" s="134">
        <v>0</v>
      </c>
      <c r="E94" s="285"/>
      <c r="F94" s="286">
        <f t="shared" si="5"/>
        <v>0</v>
      </c>
      <c r="G94" s="134"/>
      <c r="H94" s="135"/>
      <c r="I94" s="136">
        <f t="shared" si="6"/>
        <v>0</v>
      </c>
      <c r="J94" s="134"/>
      <c r="K94" s="135"/>
      <c r="L94" s="136">
        <f t="shared" si="7"/>
        <v>0</v>
      </c>
      <c r="M94" s="284"/>
      <c r="N94" s="285"/>
      <c r="O94" s="136">
        <f t="shared" si="8"/>
        <v>0</v>
      </c>
      <c r="P94" s="85"/>
    </row>
    <row r="95" spans="1:16" ht="36" hidden="1" x14ac:dyDescent="0.25">
      <c r="A95" s="276">
        <v>2230</v>
      </c>
      <c r="B95" s="127" t="s">
        <v>114</v>
      </c>
      <c r="C95" s="128">
        <f t="shared" si="4"/>
        <v>0</v>
      </c>
      <c r="D95" s="277">
        <f>SUM(D96:D102)</f>
        <v>0</v>
      </c>
      <c r="E95" s="282">
        <f>SUM(E96:E102)</f>
        <v>0</v>
      </c>
      <c r="F95" s="286">
        <f t="shared" si="5"/>
        <v>0</v>
      </c>
      <c r="G95" s="277">
        <f>SUM(G96:G102)</f>
        <v>0</v>
      </c>
      <c r="H95" s="280">
        <f>SUM(H96:H102)</f>
        <v>0</v>
      </c>
      <c r="I95" s="136">
        <f t="shared" si="6"/>
        <v>0</v>
      </c>
      <c r="J95" s="277">
        <f>SUM(J96:J102)</f>
        <v>0</v>
      </c>
      <c r="K95" s="280">
        <f>SUM(K96:K102)</f>
        <v>0</v>
      </c>
      <c r="L95" s="136">
        <f t="shared" si="7"/>
        <v>0</v>
      </c>
      <c r="M95" s="281">
        <f>SUM(M96:M102)</f>
        <v>0</v>
      </c>
      <c r="N95" s="282">
        <f>SUM(N96:N102)</f>
        <v>0</v>
      </c>
      <c r="O95" s="136">
        <f t="shared" si="8"/>
        <v>0</v>
      </c>
      <c r="P95" s="85"/>
    </row>
    <row r="96" spans="1:16" ht="24" hidden="1" x14ac:dyDescent="0.25">
      <c r="A96" s="76">
        <v>2231</v>
      </c>
      <c r="B96" s="127" t="s">
        <v>115</v>
      </c>
      <c r="C96" s="128">
        <f t="shared" si="4"/>
        <v>0</v>
      </c>
      <c r="D96" s="134">
        <v>0</v>
      </c>
      <c r="E96" s="285"/>
      <c r="F96" s="286">
        <f t="shared" si="5"/>
        <v>0</v>
      </c>
      <c r="G96" s="134"/>
      <c r="H96" s="135"/>
      <c r="I96" s="136">
        <f t="shared" si="6"/>
        <v>0</v>
      </c>
      <c r="J96" s="134"/>
      <c r="K96" s="135"/>
      <c r="L96" s="136">
        <f t="shared" si="7"/>
        <v>0</v>
      </c>
      <c r="M96" s="284"/>
      <c r="N96" s="285"/>
      <c r="O96" s="136">
        <f t="shared" si="8"/>
        <v>0</v>
      </c>
      <c r="P96" s="85"/>
    </row>
    <row r="97" spans="1:16" ht="24" hidden="1" x14ac:dyDescent="0.25">
      <c r="A97" s="76">
        <v>2232</v>
      </c>
      <c r="B97" s="127" t="s">
        <v>116</v>
      </c>
      <c r="C97" s="128">
        <f t="shared" si="4"/>
        <v>0</v>
      </c>
      <c r="D97" s="134">
        <v>0</v>
      </c>
      <c r="E97" s="285"/>
      <c r="F97" s="286">
        <f t="shared" si="5"/>
        <v>0</v>
      </c>
      <c r="G97" s="134"/>
      <c r="H97" s="135"/>
      <c r="I97" s="136">
        <f t="shared" si="6"/>
        <v>0</v>
      </c>
      <c r="J97" s="134"/>
      <c r="K97" s="135"/>
      <c r="L97" s="136">
        <f t="shared" si="7"/>
        <v>0</v>
      </c>
      <c r="M97" s="284"/>
      <c r="N97" s="285"/>
      <c r="O97" s="136">
        <f t="shared" si="8"/>
        <v>0</v>
      </c>
      <c r="P97" s="85"/>
    </row>
    <row r="98" spans="1:16" hidden="1" x14ac:dyDescent="0.25">
      <c r="A98" s="66">
        <v>2233</v>
      </c>
      <c r="B98" s="116" t="s">
        <v>117</v>
      </c>
      <c r="C98" s="128">
        <f t="shared" si="4"/>
        <v>0</v>
      </c>
      <c r="D98" s="123">
        <v>0</v>
      </c>
      <c r="E98" s="262"/>
      <c r="F98" s="263">
        <f t="shared" si="5"/>
        <v>0</v>
      </c>
      <c r="G98" s="123"/>
      <c r="H98" s="124"/>
      <c r="I98" s="125">
        <f t="shared" si="6"/>
        <v>0</v>
      </c>
      <c r="J98" s="123"/>
      <c r="K98" s="124"/>
      <c r="L98" s="125">
        <f t="shared" si="7"/>
        <v>0</v>
      </c>
      <c r="M98" s="264"/>
      <c r="N98" s="262"/>
      <c r="O98" s="125">
        <f t="shared" si="8"/>
        <v>0</v>
      </c>
      <c r="P98" s="74"/>
    </row>
    <row r="99" spans="1:16" ht="24" hidden="1" x14ac:dyDescent="0.25">
      <c r="A99" s="76">
        <v>2234</v>
      </c>
      <c r="B99" s="127" t="s">
        <v>118</v>
      </c>
      <c r="C99" s="128">
        <f t="shared" si="4"/>
        <v>0</v>
      </c>
      <c r="D99" s="134">
        <v>0</v>
      </c>
      <c r="E99" s="285"/>
      <c r="F99" s="286">
        <f t="shared" si="5"/>
        <v>0</v>
      </c>
      <c r="G99" s="134"/>
      <c r="H99" s="135"/>
      <c r="I99" s="136">
        <f t="shared" si="6"/>
        <v>0</v>
      </c>
      <c r="J99" s="134"/>
      <c r="K99" s="135"/>
      <c r="L99" s="136">
        <f t="shared" si="7"/>
        <v>0</v>
      </c>
      <c r="M99" s="284"/>
      <c r="N99" s="285"/>
      <c r="O99" s="136">
        <f t="shared" si="8"/>
        <v>0</v>
      </c>
      <c r="P99" s="85"/>
    </row>
    <row r="100" spans="1:16" ht="24" hidden="1" x14ac:dyDescent="0.25">
      <c r="A100" s="76">
        <v>2235</v>
      </c>
      <c r="B100" s="127" t="s">
        <v>119</v>
      </c>
      <c r="C100" s="128">
        <f t="shared" si="4"/>
        <v>0</v>
      </c>
      <c r="D100" s="134">
        <v>0</v>
      </c>
      <c r="E100" s="285"/>
      <c r="F100" s="286">
        <f t="shared" si="5"/>
        <v>0</v>
      </c>
      <c r="G100" s="134"/>
      <c r="H100" s="135"/>
      <c r="I100" s="136">
        <f t="shared" si="6"/>
        <v>0</v>
      </c>
      <c r="J100" s="134"/>
      <c r="K100" s="135"/>
      <c r="L100" s="136">
        <f t="shared" si="7"/>
        <v>0</v>
      </c>
      <c r="M100" s="284"/>
      <c r="N100" s="285"/>
      <c r="O100" s="136">
        <f t="shared" si="8"/>
        <v>0</v>
      </c>
      <c r="P100" s="85"/>
    </row>
    <row r="101" spans="1:16" hidden="1" x14ac:dyDescent="0.25">
      <c r="A101" s="76">
        <v>2236</v>
      </c>
      <c r="B101" s="127" t="s">
        <v>120</v>
      </c>
      <c r="C101" s="128">
        <f t="shared" si="4"/>
        <v>0</v>
      </c>
      <c r="D101" s="134">
        <v>0</v>
      </c>
      <c r="E101" s="285"/>
      <c r="F101" s="286">
        <f t="shared" si="5"/>
        <v>0</v>
      </c>
      <c r="G101" s="134"/>
      <c r="H101" s="135"/>
      <c r="I101" s="136">
        <f t="shared" si="6"/>
        <v>0</v>
      </c>
      <c r="J101" s="134"/>
      <c r="K101" s="135"/>
      <c r="L101" s="136">
        <f t="shared" si="7"/>
        <v>0</v>
      </c>
      <c r="M101" s="284"/>
      <c r="N101" s="285"/>
      <c r="O101" s="136">
        <f t="shared" si="8"/>
        <v>0</v>
      </c>
      <c r="P101" s="85"/>
    </row>
    <row r="102" spans="1:16" hidden="1" x14ac:dyDescent="0.25">
      <c r="A102" s="76">
        <v>2239</v>
      </c>
      <c r="B102" s="127" t="s">
        <v>121</v>
      </c>
      <c r="C102" s="128">
        <f t="shared" si="4"/>
        <v>0</v>
      </c>
      <c r="D102" s="134">
        <v>0</v>
      </c>
      <c r="E102" s="285"/>
      <c r="F102" s="286">
        <f t="shared" si="5"/>
        <v>0</v>
      </c>
      <c r="G102" s="134"/>
      <c r="H102" s="135"/>
      <c r="I102" s="136">
        <f t="shared" si="6"/>
        <v>0</v>
      </c>
      <c r="J102" s="134"/>
      <c r="K102" s="135"/>
      <c r="L102" s="136">
        <f t="shared" si="7"/>
        <v>0</v>
      </c>
      <c r="M102" s="284"/>
      <c r="N102" s="285"/>
      <c r="O102" s="136">
        <f t="shared" si="8"/>
        <v>0</v>
      </c>
      <c r="P102" s="85"/>
    </row>
    <row r="103" spans="1:16" ht="24" hidden="1" x14ac:dyDescent="0.25">
      <c r="A103" s="276">
        <v>2240</v>
      </c>
      <c r="B103" s="127" t="s">
        <v>122</v>
      </c>
      <c r="C103" s="128">
        <f t="shared" si="4"/>
        <v>0</v>
      </c>
      <c r="D103" s="277">
        <f>SUM(D104:D111)</f>
        <v>0</v>
      </c>
      <c r="E103" s="282">
        <f>SUM(E104:E111)</f>
        <v>0</v>
      </c>
      <c r="F103" s="286">
        <f t="shared" si="5"/>
        <v>0</v>
      </c>
      <c r="G103" s="277">
        <f>SUM(G104:G111)</f>
        <v>0</v>
      </c>
      <c r="H103" s="280">
        <f>SUM(H104:H111)</f>
        <v>0</v>
      </c>
      <c r="I103" s="136">
        <f t="shared" si="6"/>
        <v>0</v>
      </c>
      <c r="J103" s="277">
        <f>SUM(J104:J111)</f>
        <v>0</v>
      </c>
      <c r="K103" s="280">
        <f>SUM(K104:K111)</f>
        <v>0</v>
      </c>
      <c r="L103" s="136">
        <f t="shared" si="7"/>
        <v>0</v>
      </c>
      <c r="M103" s="281">
        <f>SUM(M104:M111)</f>
        <v>0</v>
      </c>
      <c r="N103" s="282">
        <f>SUM(N104:N111)</f>
        <v>0</v>
      </c>
      <c r="O103" s="136">
        <f t="shared" si="8"/>
        <v>0</v>
      </c>
      <c r="P103" s="85"/>
    </row>
    <row r="104" spans="1:16" hidden="1" x14ac:dyDescent="0.25">
      <c r="A104" s="76">
        <v>2241</v>
      </c>
      <c r="B104" s="127" t="s">
        <v>123</v>
      </c>
      <c r="C104" s="128">
        <f t="shared" si="4"/>
        <v>0</v>
      </c>
      <c r="D104" s="134">
        <v>0</v>
      </c>
      <c r="E104" s="285"/>
      <c r="F104" s="286">
        <f t="shared" si="5"/>
        <v>0</v>
      </c>
      <c r="G104" s="134"/>
      <c r="H104" s="135"/>
      <c r="I104" s="136">
        <f t="shared" si="6"/>
        <v>0</v>
      </c>
      <c r="J104" s="134"/>
      <c r="K104" s="135"/>
      <c r="L104" s="136">
        <f t="shared" si="7"/>
        <v>0</v>
      </c>
      <c r="M104" s="284"/>
      <c r="N104" s="285"/>
      <c r="O104" s="136">
        <f t="shared" si="8"/>
        <v>0</v>
      </c>
      <c r="P104" s="85"/>
    </row>
    <row r="105" spans="1:16" hidden="1" x14ac:dyDescent="0.25">
      <c r="A105" s="76">
        <v>2242</v>
      </c>
      <c r="B105" s="127" t="s">
        <v>124</v>
      </c>
      <c r="C105" s="128">
        <f t="shared" si="4"/>
        <v>0</v>
      </c>
      <c r="D105" s="134">
        <v>0</v>
      </c>
      <c r="E105" s="285"/>
      <c r="F105" s="286">
        <f t="shared" si="5"/>
        <v>0</v>
      </c>
      <c r="G105" s="134"/>
      <c r="H105" s="135"/>
      <c r="I105" s="136">
        <f t="shared" si="6"/>
        <v>0</v>
      </c>
      <c r="J105" s="134"/>
      <c r="K105" s="135"/>
      <c r="L105" s="136">
        <f t="shared" si="7"/>
        <v>0</v>
      </c>
      <c r="M105" s="284"/>
      <c r="N105" s="285"/>
      <c r="O105" s="136">
        <f t="shared" si="8"/>
        <v>0</v>
      </c>
      <c r="P105" s="85"/>
    </row>
    <row r="106" spans="1:16" ht="24" hidden="1" x14ac:dyDescent="0.25">
      <c r="A106" s="76">
        <v>2243</v>
      </c>
      <c r="B106" s="127" t="s">
        <v>125</v>
      </c>
      <c r="C106" s="128">
        <f t="shared" si="4"/>
        <v>0</v>
      </c>
      <c r="D106" s="134">
        <v>0</v>
      </c>
      <c r="E106" s="285"/>
      <c r="F106" s="286">
        <f t="shared" si="5"/>
        <v>0</v>
      </c>
      <c r="G106" s="134"/>
      <c r="H106" s="135"/>
      <c r="I106" s="136">
        <f t="shared" si="6"/>
        <v>0</v>
      </c>
      <c r="J106" s="134"/>
      <c r="K106" s="135"/>
      <c r="L106" s="136">
        <f t="shared" si="7"/>
        <v>0</v>
      </c>
      <c r="M106" s="284"/>
      <c r="N106" s="285"/>
      <c r="O106" s="136">
        <f t="shared" si="8"/>
        <v>0</v>
      </c>
      <c r="P106" s="85"/>
    </row>
    <row r="107" spans="1:16" hidden="1" x14ac:dyDescent="0.25">
      <c r="A107" s="76">
        <v>2244</v>
      </c>
      <c r="B107" s="127" t="s">
        <v>126</v>
      </c>
      <c r="C107" s="128">
        <f t="shared" si="4"/>
        <v>0</v>
      </c>
      <c r="D107" s="134">
        <v>0</v>
      </c>
      <c r="E107" s="285"/>
      <c r="F107" s="286">
        <f t="shared" si="5"/>
        <v>0</v>
      </c>
      <c r="G107" s="134"/>
      <c r="H107" s="135"/>
      <c r="I107" s="136">
        <f t="shared" si="6"/>
        <v>0</v>
      </c>
      <c r="J107" s="134"/>
      <c r="K107" s="135"/>
      <c r="L107" s="136">
        <f t="shared" si="7"/>
        <v>0</v>
      </c>
      <c r="M107" s="284"/>
      <c r="N107" s="285"/>
      <c r="O107" s="136">
        <f t="shared" si="8"/>
        <v>0</v>
      </c>
      <c r="P107" s="85"/>
    </row>
    <row r="108" spans="1:16" ht="24" hidden="1" x14ac:dyDescent="0.25">
      <c r="A108" s="76">
        <v>2246</v>
      </c>
      <c r="B108" s="127" t="s">
        <v>127</v>
      </c>
      <c r="C108" s="128">
        <f t="shared" si="4"/>
        <v>0</v>
      </c>
      <c r="D108" s="134">
        <v>0</v>
      </c>
      <c r="E108" s="285"/>
      <c r="F108" s="286">
        <f t="shared" si="5"/>
        <v>0</v>
      </c>
      <c r="G108" s="134"/>
      <c r="H108" s="135"/>
      <c r="I108" s="136">
        <f t="shared" si="6"/>
        <v>0</v>
      </c>
      <c r="J108" s="134"/>
      <c r="K108" s="135"/>
      <c r="L108" s="136">
        <f t="shared" si="7"/>
        <v>0</v>
      </c>
      <c r="M108" s="284"/>
      <c r="N108" s="285"/>
      <c r="O108" s="136">
        <f t="shared" si="8"/>
        <v>0</v>
      </c>
      <c r="P108" s="85"/>
    </row>
    <row r="109" spans="1:16" hidden="1" x14ac:dyDescent="0.25">
      <c r="A109" s="76">
        <v>2247</v>
      </c>
      <c r="B109" s="127" t="s">
        <v>128</v>
      </c>
      <c r="C109" s="128">
        <f t="shared" si="4"/>
        <v>0</v>
      </c>
      <c r="D109" s="134">
        <v>0</v>
      </c>
      <c r="E109" s="285"/>
      <c r="F109" s="286">
        <f t="shared" si="5"/>
        <v>0</v>
      </c>
      <c r="G109" s="134"/>
      <c r="H109" s="135"/>
      <c r="I109" s="136">
        <f t="shared" si="6"/>
        <v>0</v>
      </c>
      <c r="J109" s="134"/>
      <c r="K109" s="135"/>
      <c r="L109" s="136">
        <f t="shared" si="7"/>
        <v>0</v>
      </c>
      <c r="M109" s="284"/>
      <c r="N109" s="285"/>
      <c r="O109" s="136">
        <f t="shared" si="8"/>
        <v>0</v>
      </c>
      <c r="P109" s="85"/>
    </row>
    <row r="110" spans="1:16" ht="24" hidden="1" x14ac:dyDescent="0.25">
      <c r="A110" s="76">
        <v>2248</v>
      </c>
      <c r="B110" s="127" t="s">
        <v>129</v>
      </c>
      <c r="C110" s="128">
        <f t="shared" si="4"/>
        <v>0</v>
      </c>
      <c r="D110" s="134">
        <v>0</v>
      </c>
      <c r="E110" s="285"/>
      <c r="F110" s="286">
        <f t="shared" si="5"/>
        <v>0</v>
      </c>
      <c r="G110" s="134"/>
      <c r="H110" s="135"/>
      <c r="I110" s="136">
        <f t="shared" si="6"/>
        <v>0</v>
      </c>
      <c r="J110" s="134"/>
      <c r="K110" s="135"/>
      <c r="L110" s="136">
        <f t="shared" si="7"/>
        <v>0</v>
      </c>
      <c r="M110" s="284"/>
      <c r="N110" s="285"/>
      <c r="O110" s="136">
        <f t="shared" si="8"/>
        <v>0</v>
      </c>
      <c r="P110" s="85"/>
    </row>
    <row r="111" spans="1:16" ht="24" hidden="1" x14ac:dyDescent="0.25">
      <c r="A111" s="76">
        <v>2249</v>
      </c>
      <c r="B111" s="127" t="s">
        <v>130</v>
      </c>
      <c r="C111" s="128">
        <f t="shared" si="4"/>
        <v>0</v>
      </c>
      <c r="D111" s="134">
        <v>0</v>
      </c>
      <c r="E111" s="285"/>
      <c r="F111" s="286">
        <f t="shared" si="5"/>
        <v>0</v>
      </c>
      <c r="G111" s="134"/>
      <c r="H111" s="135"/>
      <c r="I111" s="136">
        <f t="shared" si="6"/>
        <v>0</v>
      </c>
      <c r="J111" s="134"/>
      <c r="K111" s="135"/>
      <c r="L111" s="136">
        <f t="shared" si="7"/>
        <v>0</v>
      </c>
      <c r="M111" s="284"/>
      <c r="N111" s="285"/>
      <c r="O111" s="136">
        <f t="shared" si="8"/>
        <v>0</v>
      </c>
      <c r="P111" s="85"/>
    </row>
    <row r="112" spans="1:16" x14ac:dyDescent="0.25">
      <c r="A112" s="276">
        <v>2250</v>
      </c>
      <c r="B112" s="127" t="s">
        <v>131</v>
      </c>
      <c r="C112" s="279">
        <f t="shared" si="4"/>
        <v>9230</v>
      </c>
      <c r="D112" s="277">
        <f>SUM(D113:D115)</f>
        <v>9230</v>
      </c>
      <c r="E112" s="282">
        <f>SUM(E113:E115)</f>
        <v>0</v>
      </c>
      <c r="F112" s="286">
        <f t="shared" si="5"/>
        <v>9230</v>
      </c>
      <c r="G112" s="277">
        <f>SUM(G113:G115)</f>
        <v>0</v>
      </c>
      <c r="H112" s="280">
        <f>SUM(H113:H115)</f>
        <v>0</v>
      </c>
      <c r="I112" s="136">
        <f t="shared" si="6"/>
        <v>0</v>
      </c>
      <c r="J112" s="277">
        <f>SUM(J113:J115)</f>
        <v>0</v>
      </c>
      <c r="K112" s="280">
        <f>SUM(K113:K115)</f>
        <v>0</v>
      </c>
      <c r="L112" s="136">
        <f t="shared" si="7"/>
        <v>0</v>
      </c>
      <c r="M112" s="281">
        <f>SUM(M113:M115)</f>
        <v>0</v>
      </c>
      <c r="N112" s="282">
        <f>SUM(N113:N115)</f>
        <v>0</v>
      </c>
      <c r="O112" s="136">
        <f t="shared" si="8"/>
        <v>0</v>
      </c>
      <c r="P112" s="85"/>
    </row>
    <row r="113" spans="1:16" x14ac:dyDescent="0.25">
      <c r="A113" s="76">
        <v>2251</v>
      </c>
      <c r="B113" s="127" t="s">
        <v>132</v>
      </c>
      <c r="C113" s="279">
        <f t="shared" si="4"/>
        <v>290</v>
      </c>
      <c r="D113" s="134">
        <v>290</v>
      </c>
      <c r="E113" s="285"/>
      <c r="F113" s="286">
        <f t="shared" si="5"/>
        <v>290</v>
      </c>
      <c r="G113" s="134"/>
      <c r="H113" s="135"/>
      <c r="I113" s="136">
        <f t="shared" si="6"/>
        <v>0</v>
      </c>
      <c r="J113" s="134"/>
      <c r="K113" s="135"/>
      <c r="L113" s="136">
        <f t="shared" si="7"/>
        <v>0</v>
      </c>
      <c r="M113" s="284"/>
      <c r="N113" s="285"/>
      <c r="O113" s="136">
        <f t="shared" si="8"/>
        <v>0</v>
      </c>
      <c r="P113" s="85"/>
    </row>
    <row r="114" spans="1:16" ht="24" hidden="1" x14ac:dyDescent="0.25">
      <c r="A114" s="76">
        <v>2252</v>
      </c>
      <c r="B114" s="127" t="s">
        <v>133</v>
      </c>
      <c r="C114" s="128">
        <f t="shared" ref="C114:C178" si="9">F114+I114+L114+O114</f>
        <v>0</v>
      </c>
      <c r="D114" s="134">
        <v>0</v>
      </c>
      <c r="E114" s="285"/>
      <c r="F114" s="286">
        <f t="shared" si="5"/>
        <v>0</v>
      </c>
      <c r="G114" s="134"/>
      <c r="H114" s="135"/>
      <c r="I114" s="136">
        <f t="shared" si="6"/>
        <v>0</v>
      </c>
      <c r="J114" s="134"/>
      <c r="K114" s="135"/>
      <c r="L114" s="136">
        <f t="shared" si="7"/>
        <v>0</v>
      </c>
      <c r="M114" s="284"/>
      <c r="N114" s="285"/>
      <c r="O114" s="136">
        <f t="shared" si="8"/>
        <v>0</v>
      </c>
      <c r="P114" s="85"/>
    </row>
    <row r="115" spans="1:16" ht="24" customHeight="1" x14ac:dyDescent="0.25">
      <c r="A115" s="76">
        <v>2259</v>
      </c>
      <c r="B115" s="127" t="s">
        <v>134</v>
      </c>
      <c r="C115" s="279">
        <f t="shared" si="9"/>
        <v>8940</v>
      </c>
      <c r="D115" s="134">
        <f>5240+3700</f>
        <v>8940</v>
      </c>
      <c r="E115" s="285"/>
      <c r="F115" s="286">
        <f t="shared" ref="F115:F179" si="10">D115+E115</f>
        <v>8940</v>
      </c>
      <c r="G115" s="134"/>
      <c r="H115" s="135"/>
      <c r="I115" s="136">
        <f t="shared" ref="I115:I179" si="11">G115+H115</f>
        <v>0</v>
      </c>
      <c r="J115" s="134"/>
      <c r="K115" s="135"/>
      <c r="L115" s="136">
        <f t="shared" ref="L115:L179" si="12">J115+K115</f>
        <v>0</v>
      </c>
      <c r="M115" s="284"/>
      <c r="N115" s="285"/>
      <c r="O115" s="136">
        <f t="shared" ref="O115:O179" si="13">M115+N115</f>
        <v>0</v>
      </c>
      <c r="P115" s="85"/>
    </row>
    <row r="116" spans="1:16" hidden="1" x14ac:dyDescent="0.25">
      <c r="A116" s="276">
        <v>2260</v>
      </c>
      <c r="B116" s="127" t="s">
        <v>135</v>
      </c>
      <c r="C116" s="128">
        <f t="shared" si="9"/>
        <v>0</v>
      </c>
      <c r="D116" s="277">
        <f>SUM(D117:D121)</f>
        <v>0</v>
      </c>
      <c r="E116" s="282">
        <f>SUM(E117:E121)</f>
        <v>0</v>
      </c>
      <c r="F116" s="286">
        <f t="shared" si="10"/>
        <v>0</v>
      </c>
      <c r="G116" s="277">
        <f>SUM(G117:G121)</f>
        <v>0</v>
      </c>
      <c r="H116" s="280">
        <f>SUM(H117:H121)</f>
        <v>0</v>
      </c>
      <c r="I116" s="136">
        <f t="shared" si="11"/>
        <v>0</v>
      </c>
      <c r="J116" s="277">
        <f>SUM(J117:J121)</f>
        <v>0</v>
      </c>
      <c r="K116" s="280">
        <f>SUM(K117:K121)</f>
        <v>0</v>
      </c>
      <c r="L116" s="136">
        <f t="shared" si="12"/>
        <v>0</v>
      </c>
      <c r="M116" s="281">
        <f>SUM(M117:M121)</f>
        <v>0</v>
      </c>
      <c r="N116" s="282">
        <f>SUM(N117:N121)</f>
        <v>0</v>
      </c>
      <c r="O116" s="136">
        <f t="shared" si="13"/>
        <v>0</v>
      </c>
      <c r="P116" s="85"/>
    </row>
    <row r="117" spans="1:16" hidden="1" x14ac:dyDescent="0.25">
      <c r="A117" s="76">
        <v>2261</v>
      </c>
      <c r="B117" s="127" t="s">
        <v>136</v>
      </c>
      <c r="C117" s="128">
        <f t="shared" si="9"/>
        <v>0</v>
      </c>
      <c r="D117" s="134">
        <v>0</v>
      </c>
      <c r="E117" s="285"/>
      <c r="F117" s="286">
        <f t="shared" si="10"/>
        <v>0</v>
      </c>
      <c r="G117" s="134"/>
      <c r="H117" s="135"/>
      <c r="I117" s="136">
        <f t="shared" si="11"/>
        <v>0</v>
      </c>
      <c r="J117" s="134"/>
      <c r="K117" s="135"/>
      <c r="L117" s="136">
        <f t="shared" si="12"/>
        <v>0</v>
      </c>
      <c r="M117" s="284"/>
      <c r="N117" s="285"/>
      <c r="O117" s="136">
        <f t="shared" si="13"/>
        <v>0</v>
      </c>
      <c r="P117" s="85"/>
    </row>
    <row r="118" spans="1:16" hidden="1" x14ac:dyDescent="0.25">
      <c r="A118" s="76">
        <v>2262</v>
      </c>
      <c r="B118" s="127" t="s">
        <v>137</v>
      </c>
      <c r="C118" s="128">
        <f t="shared" si="9"/>
        <v>0</v>
      </c>
      <c r="D118" s="134">
        <v>0</v>
      </c>
      <c r="E118" s="285"/>
      <c r="F118" s="286">
        <f t="shared" si="10"/>
        <v>0</v>
      </c>
      <c r="G118" s="134"/>
      <c r="H118" s="135"/>
      <c r="I118" s="136">
        <f t="shared" si="11"/>
        <v>0</v>
      </c>
      <c r="J118" s="134"/>
      <c r="K118" s="135"/>
      <c r="L118" s="136">
        <f t="shared" si="12"/>
        <v>0</v>
      </c>
      <c r="M118" s="284"/>
      <c r="N118" s="285"/>
      <c r="O118" s="136">
        <f t="shared" si="13"/>
        <v>0</v>
      </c>
      <c r="P118" s="85"/>
    </row>
    <row r="119" spans="1:16" hidden="1" x14ac:dyDescent="0.25">
      <c r="A119" s="76">
        <v>2263</v>
      </c>
      <c r="B119" s="127" t="s">
        <v>138</v>
      </c>
      <c r="C119" s="128">
        <f t="shared" si="9"/>
        <v>0</v>
      </c>
      <c r="D119" s="134">
        <v>0</v>
      </c>
      <c r="E119" s="285"/>
      <c r="F119" s="286">
        <f t="shared" si="10"/>
        <v>0</v>
      </c>
      <c r="G119" s="134"/>
      <c r="H119" s="135"/>
      <c r="I119" s="136">
        <f t="shared" si="11"/>
        <v>0</v>
      </c>
      <c r="J119" s="134"/>
      <c r="K119" s="135"/>
      <c r="L119" s="136">
        <f t="shared" si="12"/>
        <v>0</v>
      </c>
      <c r="M119" s="284"/>
      <c r="N119" s="285"/>
      <c r="O119" s="136">
        <f t="shared" si="13"/>
        <v>0</v>
      </c>
      <c r="P119" s="85"/>
    </row>
    <row r="120" spans="1:16" ht="24" hidden="1" x14ac:dyDescent="0.25">
      <c r="A120" s="76">
        <v>2264</v>
      </c>
      <c r="B120" s="127" t="s">
        <v>139</v>
      </c>
      <c r="C120" s="128">
        <f t="shared" si="9"/>
        <v>0</v>
      </c>
      <c r="D120" s="134">
        <v>0</v>
      </c>
      <c r="E120" s="285"/>
      <c r="F120" s="286">
        <f t="shared" si="10"/>
        <v>0</v>
      </c>
      <c r="G120" s="134"/>
      <c r="H120" s="135"/>
      <c r="I120" s="136">
        <f t="shared" si="11"/>
        <v>0</v>
      </c>
      <c r="J120" s="134"/>
      <c r="K120" s="135"/>
      <c r="L120" s="136">
        <f t="shared" si="12"/>
        <v>0</v>
      </c>
      <c r="M120" s="284"/>
      <c r="N120" s="285"/>
      <c r="O120" s="136">
        <f t="shared" si="13"/>
        <v>0</v>
      </c>
      <c r="P120" s="85"/>
    </row>
    <row r="121" spans="1:16" hidden="1" x14ac:dyDescent="0.25">
      <c r="A121" s="76">
        <v>2269</v>
      </c>
      <c r="B121" s="127" t="s">
        <v>140</v>
      </c>
      <c r="C121" s="128">
        <f t="shared" si="9"/>
        <v>0</v>
      </c>
      <c r="D121" s="134">
        <v>0</v>
      </c>
      <c r="E121" s="285"/>
      <c r="F121" s="286">
        <f t="shared" si="10"/>
        <v>0</v>
      </c>
      <c r="G121" s="134"/>
      <c r="H121" s="135"/>
      <c r="I121" s="136">
        <f t="shared" si="11"/>
        <v>0</v>
      </c>
      <c r="J121" s="134"/>
      <c r="K121" s="135"/>
      <c r="L121" s="136">
        <f t="shared" si="12"/>
        <v>0</v>
      </c>
      <c r="M121" s="284"/>
      <c r="N121" s="285"/>
      <c r="O121" s="136">
        <f t="shared" si="13"/>
        <v>0</v>
      </c>
      <c r="P121" s="85"/>
    </row>
    <row r="122" spans="1:16" hidden="1" x14ac:dyDescent="0.25">
      <c r="A122" s="276">
        <v>2270</v>
      </c>
      <c r="B122" s="127" t="s">
        <v>141</v>
      </c>
      <c r="C122" s="128">
        <f t="shared" si="9"/>
        <v>0</v>
      </c>
      <c r="D122" s="277">
        <f>SUM(D123:D127)</f>
        <v>0</v>
      </c>
      <c r="E122" s="282">
        <f>SUM(E123:E127)</f>
        <v>0</v>
      </c>
      <c r="F122" s="286">
        <f t="shared" si="10"/>
        <v>0</v>
      </c>
      <c r="G122" s="277">
        <f>SUM(G123:G127)</f>
        <v>0</v>
      </c>
      <c r="H122" s="280">
        <f>SUM(H123:H127)</f>
        <v>0</v>
      </c>
      <c r="I122" s="136">
        <f t="shared" si="11"/>
        <v>0</v>
      </c>
      <c r="J122" s="277">
        <f>SUM(J123:J127)</f>
        <v>0</v>
      </c>
      <c r="K122" s="280">
        <f>SUM(K123:K127)</f>
        <v>0</v>
      </c>
      <c r="L122" s="136">
        <f t="shared" si="12"/>
        <v>0</v>
      </c>
      <c r="M122" s="281">
        <f>SUM(M123:M127)</f>
        <v>0</v>
      </c>
      <c r="N122" s="282">
        <f>SUM(N123:N127)</f>
        <v>0</v>
      </c>
      <c r="O122" s="136">
        <f t="shared" si="13"/>
        <v>0</v>
      </c>
      <c r="P122" s="85"/>
    </row>
    <row r="123" spans="1:16" hidden="1" x14ac:dyDescent="0.25">
      <c r="A123" s="76">
        <v>2272</v>
      </c>
      <c r="B123" s="5" t="s">
        <v>142</v>
      </c>
      <c r="C123" s="128">
        <f t="shared" si="9"/>
        <v>0</v>
      </c>
      <c r="D123" s="134">
        <v>0</v>
      </c>
      <c r="E123" s="285"/>
      <c r="F123" s="286">
        <f t="shared" si="10"/>
        <v>0</v>
      </c>
      <c r="G123" s="134"/>
      <c r="H123" s="135"/>
      <c r="I123" s="136">
        <f t="shared" si="11"/>
        <v>0</v>
      </c>
      <c r="J123" s="134"/>
      <c r="K123" s="135"/>
      <c r="L123" s="136">
        <f t="shared" si="12"/>
        <v>0</v>
      </c>
      <c r="M123" s="284"/>
      <c r="N123" s="285"/>
      <c r="O123" s="136">
        <f t="shared" si="13"/>
        <v>0</v>
      </c>
      <c r="P123" s="85"/>
    </row>
    <row r="124" spans="1:16" ht="24" hidden="1" x14ac:dyDescent="0.25">
      <c r="A124" s="76">
        <v>2275</v>
      </c>
      <c r="B124" s="127" t="s">
        <v>143</v>
      </c>
      <c r="C124" s="128">
        <f t="shared" si="9"/>
        <v>0</v>
      </c>
      <c r="D124" s="134">
        <v>0</v>
      </c>
      <c r="E124" s="285"/>
      <c r="F124" s="286">
        <f t="shared" si="10"/>
        <v>0</v>
      </c>
      <c r="G124" s="134"/>
      <c r="H124" s="135"/>
      <c r="I124" s="136">
        <f t="shared" si="11"/>
        <v>0</v>
      </c>
      <c r="J124" s="134"/>
      <c r="K124" s="135"/>
      <c r="L124" s="136">
        <f t="shared" si="12"/>
        <v>0</v>
      </c>
      <c r="M124" s="284"/>
      <c r="N124" s="285"/>
      <c r="O124" s="136">
        <f t="shared" si="13"/>
        <v>0</v>
      </c>
      <c r="P124" s="85"/>
    </row>
    <row r="125" spans="1:16" ht="24" hidden="1" x14ac:dyDescent="0.25">
      <c r="A125" s="76">
        <v>2276</v>
      </c>
      <c r="B125" s="127" t="s">
        <v>144</v>
      </c>
      <c r="C125" s="128">
        <f t="shared" si="9"/>
        <v>0</v>
      </c>
      <c r="D125" s="134">
        <v>0</v>
      </c>
      <c r="E125" s="285"/>
      <c r="F125" s="286">
        <f t="shared" si="10"/>
        <v>0</v>
      </c>
      <c r="G125" s="134"/>
      <c r="H125" s="135"/>
      <c r="I125" s="136">
        <f t="shared" si="11"/>
        <v>0</v>
      </c>
      <c r="J125" s="134"/>
      <c r="K125" s="135"/>
      <c r="L125" s="136">
        <f t="shared" si="12"/>
        <v>0</v>
      </c>
      <c r="M125" s="284"/>
      <c r="N125" s="285"/>
      <c r="O125" s="136">
        <f t="shared" si="13"/>
        <v>0</v>
      </c>
      <c r="P125" s="85"/>
    </row>
    <row r="126" spans="1:16" ht="24" hidden="1" x14ac:dyDescent="0.25">
      <c r="A126" s="76">
        <v>2278</v>
      </c>
      <c r="B126" s="127" t="s">
        <v>145</v>
      </c>
      <c r="C126" s="128">
        <f t="shared" si="9"/>
        <v>0</v>
      </c>
      <c r="D126" s="134">
        <v>0</v>
      </c>
      <c r="E126" s="285"/>
      <c r="F126" s="286">
        <f t="shared" si="10"/>
        <v>0</v>
      </c>
      <c r="G126" s="134"/>
      <c r="H126" s="135"/>
      <c r="I126" s="136">
        <f t="shared" si="11"/>
        <v>0</v>
      </c>
      <c r="J126" s="134"/>
      <c r="K126" s="135"/>
      <c r="L126" s="136">
        <f t="shared" si="12"/>
        <v>0</v>
      </c>
      <c r="M126" s="284"/>
      <c r="N126" s="285"/>
      <c r="O126" s="136">
        <f t="shared" si="13"/>
        <v>0</v>
      </c>
      <c r="P126" s="85"/>
    </row>
    <row r="127" spans="1:16" ht="24" hidden="1" x14ac:dyDescent="0.25">
      <c r="A127" s="76">
        <v>2279</v>
      </c>
      <c r="B127" s="127" t="s">
        <v>146</v>
      </c>
      <c r="C127" s="128">
        <f t="shared" si="9"/>
        <v>0</v>
      </c>
      <c r="D127" s="134">
        <v>0</v>
      </c>
      <c r="E127" s="285"/>
      <c r="F127" s="286">
        <f t="shared" si="10"/>
        <v>0</v>
      </c>
      <c r="G127" s="134"/>
      <c r="H127" s="135"/>
      <c r="I127" s="136">
        <f t="shared" si="11"/>
        <v>0</v>
      </c>
      <c r="J127" s="134"/>
      <c r="K127" s="135"/>
      <c r="L127" s="136">
        <f t="shared" si="12"/>
        <v>0</v>
      </c>
      <c r="M127" s="284"/>
      <c r="N127" s="285"/>
      <c r="O127" s="136">
        <f t="shared" si="13"/>
        <v>0</v>
      </c>
      <c r="P127" s="85"/>
    </row>
    <row r="128" spans="1:16" ht="24" hidden="1" x14ac:dyDescent="0.25">
      <c r="A128" s="656">
        <v>2280</v>
      </c>
      <c r="B128" s="116" t="s">
        <v>147</v>
      </c>
      <c r="C128" s="128">
        <f t="shared" si="9"/>
        <v>0</v>
      </c>
      <c r="D128" s="297">
        <f>SUM(D129)</f>
        <v>0</v>
      </c>
      <c r="E128" s="301">
        <f t="shared" ref="E128:N128" si="14">SUM(E129)</f>
        <v>0</v>
      </c>
      <c r="F128" s="263">
        <f t="shared" si="10"/>
        <v>0</v>
      </c>
      <c r="G128" s="297">
        <f t="shared" ref="G128" si="15">SUM(G129)</f>
        <v>0</v>
      </c>
      <c r="H128" s="299">
        <f t="shared" si="14"/>
        <v>0</v>
      </c>
      <c r="I128" s="125">
        <f t="shared" si="11"/>
        <v>0</v>
      </c>
      <c r="J128" s="297">
        <f t="shared" ref="J128" si="16">SUM(J129)</f>
        <v>0</v>
      </c>
      <c r="K128" s="299">
        <f t="shared" si="14"/>
        <v>0</v>
      </c>
      <c r="L128" s="125">
        <f t="shared" si="12"/>
        <v>0</v>
      </c>
      <c r="M128" s="281">
        <f t="shared" si="14"/>
        <v>0</v>
      </c>
      <c r="N128" s="282">
        <f t="shared" si="14"/>
        <v>0</v>
      </c>
      <c r="O128" s="136">
        <f t="shared" si="13"/>
        <v>0</v>
      </c>
      <c r="P128" s="85"/>
    </row>
    <row r="129" spans="1:16" ht="24" hidden="1" x14ac:dyDescent="0.25">
      <c r="A129" s="76">
        <v>2283</v>
      </c>
      <c r="B129" s="127" t="s">
        <v>148</v>
      </c>
      <c r="C129" s="128">
        <f t="shared" si="9"/>
        <v>0</v>
      </c>
      <c r="D129" s="134">
        <v>0</v>
      </c>
      <c r="E129" s="285"/>
      <c r="F129" s="286">
        <f t="shared" si="10"/>
        <v>0</v>
      </c>
      <c r="G129" s="134"/>
      <c r="H129" s="135"/>
      <c r="I129" s="136">
        <f t="shared" si="11"/>
        <v>0</v>
      </c>
      <c r="J129" s="134"/>
      <c r="K129" s="135"/>
      <c r="L129" s="136">
        <f t="shared" si="12"/>
        <v>0</v>
      </c>
      <c r="M129" s="284"/>
      <c r="N129" s="285"/>
      <c r="O129" s="136">
        <f t="shared" si="13"/>
        <v>0</v>
      </c>
      <c r="P129" s="85"/>
    </row>
    <row r="130" spans="1:16" ht="36" x14ac:dyDescent="0.25">
      <c r="A130" s="99">
        <v>2300</v>
      </c>
      <c r="B130" s="247" t="s">
        <v>149</v>
      </c>
      <c r="C130" s="249">
        <f t="shared" si="9"/>
        <v>30847</v>
      </c>
      <c r="D130" s="112">
        <f>SUM(D131,D136,D140,D141,D144,D151,D159,D160,D163)</f>
        <v>30847</v>
      </c>
      <c r="E130" s="293">
        <f>SUM(E131,E136,E140,E141,E144,E151,E159,E160,E163)</f>
        <v>0</v>
      </c>
      <c r="F130" s="313">
        <f t="shared" si="10"/>
        <v>30847</v>
      </c>
      <c r="G130" s="112">
        <f>SUM(G131,G136,G140,G141,G144,G151,G159,G160,G163)</f>
        <v>0</v>
      </c>
      <c r="H130" s="113">
        <f>SUM(H131,H136,H140,H141,H144,H151,H159,H160,H163)</f>
        <v>0</v>
      </c>
      <c r="I130" s="114">
        <f t="shared" si="11"/>
        <v>0</v>
      </c>
      <c r="J130" s="112">
        <f>SUM(J131,J136,J140,J141,J144,J151,J159,J160,J163)</f>
        <v>0</v>
      </c>
      <c r="K130" s="113">
        <f>SUM(K131,K136,K140,K141,K144,K151,K159,K160,K163)</f>
        <v>0</v>
      </c>
      <c r="L130" s="114">
        <f t="shared" si="12"/>
        <v>0</v>
      </c>
      <c r="M130" s="292">
        <f>SUM(M131,M136,M140,M141,M144,M151,M159,M160,M163)</f>
        <v>0</v>
      </c>
      <c r="N130" s="293">
        <f>SUM(N131,N136,N140,N141,N144,N151,N159,N160,N163)</f>
        <v>0</v>
      </c>
      <c r="O130" s="114">
        <f t="shared" si="13"/>
        <v>0</v>
      </c>
      <c r="P130" s="109"/>
    </row>
    <row r="131" spans="1:16" ht="24" x14ac:dyDescent="0.25">
      <c r="A131" s="656">
        <v>2310</v>
      </c>
      <c r="B131" s="116" t="s">
        <v>150</v>
      </c>
      <c r="C131" s="296">
        <f t="shared" si="9"/>
        <v>26477</v>
      </c>
      <c r="D131" s="308">
        <f>SUM(D132:D135)</f>
        <v>26477</v>
      </c>
      <c r="E131" s="299">
        <f>SUM(E132:E135)</f>
        <v>0</v>
      </c>
      <c r="F131" s="263">
        <f t="shared" si="10"/>
        <v>26477</v>
      </c>
      <c r="G131" s="297">
        <f>SUM(G132:G135)</f>
        <v>0</v>
      </c>
      <c r="H131" s="299">
        <f>SUM(H132:H135)</f>
        <v>0</v>
      </c>
      <c r="I131" s="125">
        <f t="shared" si="11"/>
        <v>0</v>
      </c>
      <c r="J131" s="297">
        <f>SUM(J132:J135)</f>
        <v>0</v>
      </c>
      <c r="K131" s="299">
        <f>SUM(K132:K135)</f>
        <v>0</v>
      </c>
      <c r="L131" s="125">
        <f t="shared" si="12"/>
        <v>0</v>
      </c>
      <c r="M131" s="300">
        <f>SUM(M132:M135)</f>
        <v>0</v>
      </c>
      <c r="N131" s="301">
        <f>SUM(N132:N135)</f>
        <v>0</v>
      </c>
      <c r="O131" s="125">
        <f t="shared" si="13"/>
        <v>0</v>
      </c>
      <c r="P131" s="74"/>
    </row>
    <row r="132" spans="1:16" x14ac:dyDescent="0.25">
      <c r="A132" s="76">
        <v>2311</v>
      </c>
      <c r="B132" s="127" t="s">
        <v>151</v>
      </c>
      <c r="C132" s="279">
        <f t="shared" si="9"/>
        <v>17990</v>
      </c>
      <c r="D132" s="134">
        <f>18050-60</f>
        <v>17990</v>
      </c>
      <c r="E132" s="285"/>
      <c r="F132" s="286">
        <f t="shared" si="10"/>
        <v>17990</v>
      </c>
      <c r="G132" s="134"/>
      <c r="H132" s="135"/>
      <c r="I132" s="136">
        <f t="shared" si="11"/>
        <v>0</v>
      </c>
      <c r="J132" s="134"/>
      <c r="K132" s="135"/>
      <c r="L132" s="136">
        <f t="shared" si="12"/>
        <v>0</v>
      </c>
      <c r="M132" s="284"/>
      <c r="N132" s="285"/>
      <c r="O132" s="136">
        <f t="shared" si="13"/>
        <v>0</v>
      </c>
      <c r="P132" s="85"/>
    </row>
    <row r="133" spans="1:16" x14ac:dyDescent="0.25">
      <c r="A133" s="76">
        <v>2312</v>
      </c>
      <c r="B133" s="127" t="s">
        <v>152</v>
      </c>
      <c r="C133" s="279">
        <f t="shared" si="9"/>
        <v>8487</v>
      </c>
      <c r="D133" s="134">
        <f>9260-773</f>
        <v>8487</v>
      </c>
      <c r="E133" s="285"/>
      <c r="F133" s="286">
        <f t="shared" si="10"/>
        <v>8487</v>
      </c>
      <c r="G133" s="134"/>
      <c r="H133" s="135"/>
      <c r="I133" s="136">
        <f t="shared" si="11"/>
        <v>0</v>
      </c>
      <c r="J133" s="134"/>
      <c r="K133" s="135"/>
      <c r="L133" s="136">
        <f t="shared" si="12"/>
        <v>0</v>
      </c>
      <c r="M133" s="284"/>
      <c r="N133" s="285"/>
      <c r="O133" s="136">
        <f t="shared" si="13"/>
        <v>0</v>
      </c>
      <c r="P133" s="85"/>
    </row>
    <row r="134" spans="1:16" hidden="1" x14ac:dyDescent="0.25">
      <c r="A134" s="76">
        <v>2313</v>
      </c>
      <c r="B134" s="127" t="s">
        <v>153</v>
      </c>
      <c r="C134" s="128">
        <f t="shared" si="9"/>
        <v>0</v>
      </c>
      <c r="D134" s="134">
        <v>0</v>
      </c>
      <c r="E134" s="285"/>
      <c r="F134" s="286">
        <f t="shared" si="10"/>
        <v>0</v>
      </c>
      <c r="G134" s="134"/>
      <c r="H134" s="135"/>
      <c r="I134" s="136">
        <f t="shared" si="11"/>
        <v>0</v>
      </c>
      <c r="J134" s="134"/>
      <c r="K134" s="135"/>
      <c r="L134" s="136">
        <f t="shared" si="12"/>
        <v>0</v>
      </c>
      <c r="M134" s="284"/>
      <c r="N134" s="285"/>
      <c r="O134" s="136">
        <f t="shared" si="13"/>
        <v>0</v>
      </c>
      <c r="P134" s="85"/>
    </row>
    <row r="135" spans="1:16" ht="24" hidden="1" x14ac:dyDescent="0.25">
      <c r="A135" s="76">
        <v>2314</v>
      </c>
      <c r="B135" s="127" t="s">
        <v>154</v>
      </c>
      <c r="C135" s="128">
        <f t="shared" si="9"/>
        <v>0</v>
      </c>
      <c r="D135" s="134">
        <v>0</v>
      </c>
      <c r="E135" s="285"/>
      <c r="F135" s="286">
        <f t="shared" si="10"/>
        <v>0</v>
      </c>
      <c r="G135" s="134"/>
      <c r="H135" s="135"/>
      <c r="I135" s="136">
        <f t="shared" si="11"/>
        <v>0</v>
      </c>
      <c r="J135" s="134"/>
      <c r="K135" s="135"/>
      <c r="L135" s="136">
        <f t="shared" si="12"/>
        <v>0</v>
      </c>
      <c r="M135" s="284"/>
      <c r="N135" s="285"/>
      <c r="O135" s="136">
        <f t="shared" si="13"/>
        <v>0</v>
      </c>
      <c r="P135" s="85"/>
    </row>
    <row r="136" spans="1:16" hidden="1" x14ac:dyDescent="0.25">
      <c r="A136" s="276">
        <v>2320</v>
      </c>
      <c r="B136" s="127" t="s">
        <v>155</v>
      </c>
      <c r="C136" s="279">
        <f t="shared" si="9"/>
        <v>0</v>
      </c>
      <c r="D136" s="277">
        <f>SUM(D137:D139)</f>
        <v>0</v>
      </c>
      <c r="E136" s="282">
        <f>SUM(E137:E139)</f>
        <v>0</v>
      </c>
      <c r="F136" s="286">
        <f t="shared" si="10"/>
        <v>0</v>
      </c>
      <c r="G136" s="277">
        <f>SUM(G137:G139)</f>
        <v>0</v>
      </c>
      <c r="H136" s="280">
        <f>SUM(H137:H139)</f>
        <v>0</v>
      </c>
      <c r="I136" s="136">
        <f t="shared" si="11"/>
        <v>0</v>
      </c>
      <c r="J136" s="277">
        <f>SUM(J137:J139)</f>
        <v>0</v>
      </c>
      <c r="K136" s="280">
        <f>SUM(K137:K139)</f>
        <v>0</v>
      </c>
      <c r="L136" s="136">
        <f t="shared" si="12"/>
        <v>0</v>
      </c>
      <c r="M136" s="281">
        <f>SUM(M137:M139)</f>
        <v>0</v>
      </c>
      <c r="N136" s="282">
        <f>SUM(N137:N139)</f>
        <v>0</v>
      </c>
      <c r="O136" s="136">
        <f t="shared" si="13"/>
        <v>0</v>
      </c>
      <c r="P136" s="85"/>
    </row>
    <row r="137" spans="1:16" hidden="1" x14ac:dyDescent="0.25">
      <c r="A137" s="76">
        <v>2321</v>
      </c>
      <c r="B137" s="127" t="s">
        <v>156</v>
      </c>
      <c r="C137" s="128">
        <f t="shared" si="9"/>
        <v>0</v>
      </c>
      <c r="D137" s="134">
        <v>0</v>
      </c>
      <c r="E137" s="285"/>
      <c r="F137" s="286">
        <f t="shared" si="10"/>
        <v>0</v>
      </c>
      <c r="G137" s="134"/>
      <c r="H137" s="135"/>
      <c r="I137" s="136">
        <f t="shared" si="11"/>
        <v>0</v>
      </c>
      <c r="J137" s="134"/>
      <c r="K137" s="135"/>
      <c r="L137" s="136">
        <f t="shared" si="12"/>
        <v>0</v>
      </c>
      <c r="M137" s="284"/>
      <c r="N137" s="285"/>
      <c r="O137" s="136">
        <f t="shared" si="13"/>
        <v>0</v>
      </c>
      <c r="P137" s="85"/>
    </row>
    <row r="138" spans="1:16" hidden="1" x14ac:dyDescent="0.25">
      <c r="A138" s="76">
        <v>2322</v>
      </c>
      <c r="B138" s="127" t="s">
        <v>157</v>
      </c>
      <c r="C138" s="279">
        <f t="shared" si="9"/>
        <v>0</v>
      </c>
      <c r="D138" s="134">
        <v>0</v>
      </c>
      <c r="E138" s="285"/>
      <c r="F138" s="286">
        <f t="shared" si="10"/>
        <v>0</v>
      </c>
      <c r="G138" s="134"/>
      <c r="H138" s="135"/>
      <c r="I138" s="136">
        <f t="shared" si="11"/>
        <v>0</v>
      </c>
      <c r="J138" s="134"/>
      <c r="K138" s="135"/>
      <c r="L138" s="136">
        <f t="shared" si="12"/>
        <v>0</v>
      </c>
      <c r="M138" s="284"/>
      <c r="N138" s="285"/>
      <c r="O138" s="136">
        <f t="shared" si="13"/>
        <v>0</v>
      </c>
      <c r="P138" s="85"/>
    </row>
    <row r="139" spans="1:16" hidden="1" x14ac:dyDescent="0.25">
      <c r="A139" s="76">
        <v>2329</v>
      </c>
      <c r="B139" s="127" t="s">
        <v>158</v>
      </c>
      <c r="C139" s="128">
        <f t="shared" si="9"/>
        <v>0</v>
      </c>
      <c r="D139" s="134">
        <v>0</v>
      </c>
      <c r="E139" s="285"/>
      <c r="F139" s="286">
        <f t="shared" si="10"/>
        <v>0</v>
      </c>
      <c r="G139" s="134"/>
      <c r="H139" s="135"/>
      <c r="I139" s="136">
        <f t="shared" si="11"/>
        <v>0</v>
      </c>
      <c r="J139" s="134"/>
      <c r="K139" s="135"/>
      <c r="L139" s="136">
        <f t="shared" si="12"/>
        <v>0</v>
      </c>
      <c r="M139" s="284"/>
      <c r="N139" s="285"/>
      <c r="O139" s="136">
        <f t="shared" si="13"/>
        <v>0</v>
      </c>
      <c r="P139" s="85"/>
    </row>
    <row r="140" spans="1:16" hidden="1" x14ac:dyDescent="0.25">
      <c r="A140" s="276">
        <v>2330</v>
      </c>
      <c r="B140" s="127" t="s">
        <v>159</v>
      </c>
      <c r="C140" s="128">
        <f t="shared" si="9"/>
        <v>0</v>
      </c>
      <c r="D140" s="134">
        <v>0</v>
      </c>
      <c r="E140" s="285"/>
      <c r="F140" s="286">
        <f t="shared" si="10"/>
        <v>0</v>
      </c>
      <c r="G140" s="134"/>
      <c r="H140" s="135"/>
      <c r="I140" s="136">
        <f t="shared" si="11"/>
        <v>0</v>
      </c>
      <c r="J140" s="134"/>
      <c r="K140" s="135"/>
      <c r="L140" s="136">
        <f t="shared" si="12"/>
        <v>0</v>
      </c>
      <c r="M140" s="284"/>
      <c r="N140" s="285"/>
      <c r="O140" s="136">
        <f t="shared" si="13"/>
        <v>0</v>
      </c>
      <c r="P140" s="85"/>
    </row>
    <row r="141" spans="1:16" ht="36" hidden="1" x14ac:dyDescent="0.25">
      <c r="A141" s="276">
        <v>2340</v>
      </c>
      <c r="B141" s="127" t="s">
        <v>160</v>
      </c>
      <c r="C141" s="128">
        <f t="shared" si="9"/>
        <v>0</v>
      </c>
      <c r="D141" s="277">
        <f>SUM(D142:D143)</f>
        <v>0</v>
      </c>
      <c r="E141" s="282">
        <f>SUM(E142:E143)</f>
        <v>0</v>
      </c>
      <c r="F141" s="286">
        <f t="shared" si="10"/>
        <v>0</v>
      </c>
      <c r="G141" s="277">
        <f>SUM(G142:G143)</f>
        <v>0</v>
      </c>
      <c r="H141" s="280">
        <f>SUM(H142:H143)</f>
        <v>0</v>
      </c>
      <c r="I141" s="136">
        <f t="shared" si="11"/>
        <v>0</v>
      </c>
      <c r="J141" s="277">
        <f>SUM(J142:J143)</f>
        <v>0</v>
      </c>
      <c r="K141" s="280">
        <f>SUM(K142:K143)</f>
        <v>0</v>
      </c>
      <c r="L141" s="136">
        <f t="shared" si="12"/>
        <v>0</v>
      </c>
      <c r="M141" s="281">
        <f>SUM(M142:M143)</f>
        <v>0</v>
      </c>
      <c r="N141" s="282">
        <f>SUM(N142:N143)</f>
        <v>0</v>
      </c>
      <c r="O141" s="136">
        <f t="shared" si="13"/>
        <v>0</v>
      </c>
      <c r="P141" s="85"/>
    </row>
    <row r="142" spans="1:16" hidden="1" x14ac:dyDescent="0.25">
      <c r="A142" s="76">
        <v>2341</v>
      </c>
      <c r="B142" s="127" t="s">
        <v>161</v>
      </c>
      <c r="C142" s="128">
        <f t="shared" si="9"/>
        <v>0</v>
      </c>
      <c r="D142" s="134">
        <v>0</v>
      </c>
      <c r="E142" s="285"/>
      <c r="F142" s="286">
        <f t="shared" si="10"/>
        <v>0</v>
      </c>
      <c r="G142" s="134"/>
      <c r="H142" s="135"/>
      <c r="I142" s="136">
        <f t="shared" si="11"/>
        <v>0</v>
      </c>
      <c r="J142" s="134"/>
      <c r="K142" s="135"/>
      <c r="L142" s="136">
        <f t="shared" si="12"/>
        <v>0</v>
      </c>
      <c r="M142" s="284"/>
      <c r="N142" s="285"/>
      <c r="O142" s="136">
        <f t="shared" si="13"/>
        <v>0</v>
      </c>
      <c r="P142" s="85"/>
    </row>
    <row r="143" spans="1:16" ht="24" hidden="1" x14ac:dyDescent="0.25">
      <c r="A143" s="76">
        <v>2344</v>
      </c>
      <c r="B143" s="127" t="s">
        <v>162</v>
      </c>
      <c r="C143" s="128">
        <f t="shared" si="9"/>
        <v>0</v>
      </c>
      <c r="D143" s="134">
        <v>0</v>
      </c>
      <c r="E143" s="285"/>
      <c r="F143" s="286">
        <f t="shared" si="10"/>
        <v>0</v>
      </c>
      <c r="G143" s="134"/>
      <c r="H143" s="135"/>
      <c r="I143" s="136">
        <f t="shared" si="11"/>
        <v>0</v>
      </c>
      <c r="J143" s="134"/>
      <c r="K143" s="135"/>
      <c r="L143" s="136">
        <f t="shared" si="12"/>
        <v>0</v>
      </c>
      <c r="M143" s="284"/>
      <c r="N143" s="285"/>
      <c r="O143" s="136">
        <f t="shared" si="13"/>
        <v>0</v>
      </c>
      <c r="P143" s="85"/>
    </row>
    <row r="144" spans="1:16" ht="24" x14ac:dyDescent="0.25">
      <c r="A144" s="254">
        <v>2350</v>
      </c>
      <c r="B144" s="179" t="s">
        <v>163</v>
      </c>
      <c r="C144" s="279">
        <f t="shared" si="9"/>
        <v>4370</v>
      </c>
      <c r="D144" s="255">
        <f>SUM(D145:D150)</f>
        <v>4370</v>
      </c>
      <c r="E144" s="261">
        <f>SUM(E145:E150)</f>
        <v>0</v>
      </c>
      <c r="F144" s="310">
        <f t="shared" si="10"/>
        <v>4370</v>
      </c>
      <c r="G144" s="255">
        <f>SUM(G145:G150)</f>
        <v>0</v>
      </c>
      <c r="H144" s="258">
        <f>SUM(H145:H150)</f>
        <v>0</v>
      </c>
      <c r="I144" s="259">
        <f t="shared" si="11"/>
        <v>0</v>
      </c>
      <c r="J144" s="255">
        <f>SUM(J145:J150)</f>
        <v>0</v>
      </c>
      <c r="K144" s="258">
        <f>SUM(K145:K150)</f>
        <v>0</v>
      </c>
      <c r="L144" s="259">
        <f t="shared" si="12"/>
        <v>0</v>
      </c>
      <c r="M144" s="260">
        <f>SUM(M145:M150)</f>
        <v>0</v>
      </c>
      <c r="N144" s="261">
        <f>SUM(N145:N150)</f>
        <v>0</v>
      </c>
      <c r="O144" s="259">
        <f t="shared" si="13"/>
        <v>0</v>
      </c>
      <c r="P144" s="189"/>
    </row>
    <row r="145" spans="1:16" hidden="1" x14ac:dyDescent="0.25">
      <c r="A145" s="66">
        <v>2351</v>
      </c>
      <c r="B145" s="116" t="s">
        <v>164</v>
      </c>
      <c r="C145" s="128">
        <f t="shared" si="9"/>
        <v>0</v>
      </c>
      <c r="D145" s="123">
        <v>0</v>
      </c>
      <c r="E145" s="262"/>
      <c r="F145" s="263">
        <f t="shared" si="10"/>
        <v>0</v>
      </c>
      <c r="G145" s="123"/>
      <c r="H145" s="124"/>
      <c r="I145" s="125">
        <f t="shared" si="11"/>
        <v>0</v>
      </c>
      <c r="J145" s="123"/>
      <c r="K145" s="124"/>
      <c r="L145" s="125">
        <f t="shared" si="12"/>
        <v>0</v>
      </c>
      <c r="M145" s="264"/>
      <c r="N145" s="262"/>
      <c r="O145" s="125">
        <f t="shared" si="13"/>
        <v>0</v>
      </c>
      <c r="P145" s="74"/>
    </row>
    <row r="146" spans="1:16" hidden="1" x14ac:dyDescent="0.25">
      <c r="A146" s="76">
        <v>2352</v>
      </c>
      <c r="B146" s="127" t="s">
        <v>165</v>
      </c>
      <c r="C146" s="128">
        <f t="shared" si="9"/>
        <v>0</v>
      </c>
      <c r="D146" s="134">
        <v>0</v>
      </c>
      <c r="E146" s="285"/>
      <c r="F146" s="286">
        <f t="shared" si="10"/>
        <v>0</v>
      </c>
      <c r="G146" s="134"/>
      <c r="H146" s="135"/>
      <c r="I146" s="136">
        <f t="shared" si="11"/>
        <v>0</v>
      </c>
      <c r="J146" s="134"/>
      <c r="K146" s="135"/>
      <c r="L146" s="136">
        <f t="shared" si="12"/>
        <v>0</v>
      </c>
      <c r="M146" s="284"/>
      <c r="N146" s="285"/>
      <c r="O146" s="136">
        <f t="shared" si="13"/>
        <v>0</v>
      </c>
      <c r="P146" s="85"/>
    </row>
    <row r="147" spans="1:16" ht="24" hidden="1" x14ac:dyDescent="0.25">
      <c r="A147" s="76">
        <v>2353</v>
      </c>
      <c r="B147" s="127" t="s">
        <v>166</v>
      </c>
      <c r="C147" s="128">
        <f t="shared" si="9"/>
        <v>0</v>
      </c>
      <c r="D147" s="134">
        <v>0</v>
      </c>
      <c r="E147" s="285"/>
      <c r="F147" s="286">
        <f t="shared" si="10"/>
        <v>0</v>
      </c>
      <c r="G147" s="134"/>
      <c r="H147" s="135"/>
      <c r="I147" s="136">
        <f t="shared" si="11"/>
        <v>0</v>
      </c>
      <c r="J147" s="134"/>
      <c r="K147" s="135"/>
      <c r="L147" s="136">
        <f t="shared" si="12"/>
        <v>0</v>
      </c>
      <c r="M147" s="284"/>
      <c r="N147" s="285"/>
      <c r="O147" s="136">
        <f t="shared" si="13"/>
        <v>0</v>
      </c>
      <c r="P147" s="85"/>
    </row>
    <row r="148" spans="1:16" ht="24" hidden="1" x14ac:dyDescent="0.25">
      <c r="A148" s="76">
        <v>2354</v>
      </c>
      <c r="B148" s="127" t="s">
        <v>167</v>
      </c>
      <c r="C148" s="128">
        <f t="shared" si="9"/>
        <v>0</v>
      </c>
      <c r="D148" s="134">
        <v>0</v>
      </c>
      <c r="E148" s="285"/>
      <c r="F148" s="286">
        <f t="shared" si="10"/>
        <v>0</v>
      </c>
      <c r="G148" s="134"/>
      <c r="H148" s="135"/>
      <c r="I148" s="136">
        <f t="shared" si="11"/>
        <v>0</v>
      </c>
      <c r="J148" s="134"/>
      <c r="K148" s="135"/>
      <c r="L148" s="136">
        <f t="shared" si="12"/>
        <v>0</v>
      </c>
      <c r="M148" s="284"/>
      <c r="N148" s="285"/>
      <c r="O148" s="136">
        <f t="shared" si="13"/>
        <v>0</v>
      </c>
      <c r="P148" s="85"/>
    </row>
    <row r="149" spans="1:16" ht="24" x14ac:dyDescent="0.25">
      <c r="A149" s="76">
        <v>2355</v>
      </c>
      <c r="B149" s="127" t="s">
        <v>168</v>
      </c>
      <c r="C149" s="279">
        <f t="shared" si="9"/>
        <v>4370</v>
      </c>
      <c r="D149" s="134">
        <f>8320-250-3700</f>
        <v>4370</v>
      </c>
      <c r="E149" s="285"/>
      <c r="F149" s="286">
        <f t="shared" si="10"/>
        <v>4370</v>
      </c>
      <c r="G149" s="134"/>
      <c r="H149" s="135"/>
      <c r="I149" s="136">
        <f t="shared" si="11"/>
        <v>0</v>
      </c>
      <c r="J149" s="134"/>
      <c r="K149" s="135"/>
      <c r="L149" s="136">
        <f t="shared" si="12"/>
        <v>0</v>
      </c>
      <c r="M149" s="284"/>
      <c r="N149" s="285"/>
      <c r="O149" s="136">
        <f t="shared" si="13"/>
        <v>0</v>
      </c>
      <c r="P149" s="85"/>
    </row>
    <row r="150" spans="1:16" ht="24" hidden="1" x14ac:dyDescent="0.25">
      <c r="A150" s="76">
        <v>2359</v>
      </c>
      <c r="B150" s="127" t="s">
        <v>169</v>
      </c>
      <c r="C150" s="128">
        <f t="shared" si="9"/>
        <v>0</v>
      </c>
      <c r="D150" s="134">
        <v>0</v>
      </c>
      <c r="E150" s="285"/>
      <c r="F150" s="286">
        <f t="shared" si="10"/>
        <v>0</v>
      </c>
      <c r="G150" s="134"/>
      <c r="H150" s="135"/>
      <c r="I150" s="136">
        <f t="shared" si="11"/>
        <v>0</v>
      </c>
      <c r="J150" s="134"/>
      <c r="K150" s="135"/>
      <c r="L150" s="136">
        <f t="shared" si="12"/>
        <v>0</v>
      </c>
      <c r="M150" s="284"/>
      <c r="N150" s="285"/>
      <c r="O150" s="136">
        <f t="shared" si="13"/>
        <v>0</v>
      </c>
      <c r="P150" s="85"/>
    </row>
    <row r="151" spans="1:16" ht="24" hidden="1" x14ac:dyDescent="0.25">
      <c r="A151" s="276">
        <v>2360</v>
      </c>
      <c r="B151" s="127" t="s">
        <v>170</v>
      </c>
      <c r="C151" s="128">
        <f t="shared" si="9"/>
        <v>0</v>
      </c>
      <c r="D151" s="277">
        <f>SUM(D152:D158)</f>
        <v>0</v>
      </c>
      <c r="E151" s="282">
        <f>SUM(E152:E158)</f>
        <v>0</v>
      </c>
      <c r="F151" s="286">
        <f t="shared" si="10"/>
        <v>0</v>
      </c>
      <c r="G151" s="277">
        <f>SUM(G152:G158)</f>
        <v>0</v>
      </c>
      <c r="H151" s="280">
        <f>SUM(H152:H158)</f>
        <v>0</v>
      </c>
      <c r="I151" s="136">
        <f t="shared" si="11"/>
        <v>0</v>
      </c>
      <c r="J151" s="277">
        <f>SUM(J152:J158)</f>
        <v>0</v>
      </c>
      <c r="K151" s="280">
        <f>SUM(K152:K158)</f>
        <v>0</v>
      </c>
      <c r="L151" s="136">
        <f t="shared" si="12"/>
        <v>0</v>
      </c>
      <c r="M151" s="281">
        <f>SUM(M152:M158)</f>
        <v>0</v>
      </c>
      <c r="N151" s="282">
        <f>SUM(N152:N158)</f>
        <v>0</v>
      </c>
      <c r="O151" s="136">
        <f t="shared" si="13"/>
        <v>0</v>
      </c>
      <c r="P151" s="85"/>
    </row>
    <row r="152" spans="1:16" hidden="1" x14ac:dyDescent="0.25">
      <c r="A152" s="75">
        <v>2361</v>
      </c>
      <c r="B152" s="127" t="s">
        <v>171</v>
      </c>
      <c r="C152" s="128">
        <f t="shared" si="9"/>
        <v>0</v>
      </c>
      <c r="D152" s="134">
        <v>0</v>
      </c>
      <c r="E152" s="285"/>
      <c r="F152" s="286">
        <f t="shared" si="10"/>
        <v>0</v>
      </c>
      <c r="G152" s="134"/>
      <c r="H152" s="135"/>
      <c r="I152" s="136">
        <f t="shared" si="11"/>
        <v>0</v>
      </c>
      <c r="J152" s="134"/>
      <c r="K152" s="135"/>
      <c r="L152" s="136">
        <f t="shared" si="12"/>
        <v>0</v>
      </c>
      <c r="M152" s="284"/>
      <c r="N152" s="285"/>
      <c r="O152" s="136">
        <f t="shared" si="13"/>
        <v>0</v>
      </c>
      <c r="P152" s="85"/>
    </row>
    <row r="153" spans="1:16" ht="24" hidden="1" x14ac:dyDescent="0.25">
      <c r="A153" s="75">
        <v>2362</v>
      </c>
      <c r="B153" s="127" t="s">
        <v>172</v>
      </c>
      <c r="C153" s="128">
        <f t="shared" si="9"/>
        <v>0</v>
      </c>
      <c r="D153" s="134">
        <v>0</v>
      </c>
      <c r="E153" s="285"/>
      <c r="F153" s="286">
        <f t="shared" si="10"/>
        <v>0</v>
      </c>
      <c r="G153" s="134"/>
      <c r="H153" s="135"/>
      <c r="I153" s="136">
        <f t="shared" si="11"/>
        <v>0</v>
      </c>
      <c r="J153" s="134"/>
      <c r="K153" s="135"/>
      <c r="L153" s="136">
        <f t="shared" si="12"/>
        <v>0</v>
      </c>
      <c r="M153" s="284"/>
      <c r="N153" s="285"/>
      <c r="O153" s="136">
        <f t="shared" si="13"/>
        <v>0</v>
      </c>
      <c r="P153" s="85"/>
    </row>
    <row r="154" spans="1:16" hidden="1" x14ac:dyDescent="0.25">
      <c r="A154" s="75">
        <v>2363</v>
      </c>
      <c r="B154" s="127" t="s">
        <v>173</v>
      </c>
      <c r="C154" s="128">
        <f t="shared" si="9"/>
        <v>0</v>
      </c>
      <c r="D154" s="134">
        <v>0</v>
      </c>
      <c r="E154" s="285"/>
      <c r="F154" s="286">
        <f t="shared" si="10"/>
        <v>0</v>
      </c>
      <c r="G154" s="134"/>
      <c r="H154" s="135"/>
      <c r="I154" s="136">
        <f t="shared" si="11"/>
        <v>0</v>
      </c>
      <c r="J154" s="134"/>
      <c r="K154" s="135"/>
      <c r="L154" s="136">
        <f t="shared" si="12"/>
        <v>0</v>
      </c>
      <c r="M154" s="284"/>
      <c r="N154" s="285"/>
      <c r="O154" s="136">
        <f t="shared" si="13"/>
        <v>0</v>
      </c>
      <c r="P154" s="85"/>
    </row>
    <row r="155" spans="1:16" hidden="1" x14ac:dyDescent="0.25">
      <c r="A155" s="75">
        <v>2364</v>
      </c>
      <c r="B155" s="127" t="s">
        <v>174</v>
      </c>
      <c r="C155" s="128">
        <f t="shared" si="9"/>
        <v>0</v>
      </c>
      <c r="D155" s="134">
        <v>0</v>
      </c>
      <c r="E155" s="285"/>
      <c r="F155" s="286">
        <f t="shared" si="10"/>
        <v>0</v>
      </c>
      <c r="G155" s="134"/>
      <c r="H155" s="135"/>
      <c r="I155" s="136">
        <f t="shared" si="11"/>
        <v>0</v>
      </c>
      <c r="J155" s="134"/>
      <c r="K155" s="135"/>
      <c r="L155" s="136">
        <f t="shared" si="12"/>
        <v>0</v>
      </c>
      <c r="M155" s="284"/>
      <c r="N155" s="285"/>
      <c r="O155" s="136">
        <f t="shared" si="13"/>
        <v>0</v>
      </c>
      <c r="P155" s="85"/>
    </row>
    <row r="156" spans="1:16" hidden="1" x14ac:dyDescent="0.25">
      <c r="A156" s="75">
        <v>2365</v>
      </c>
      <c r="B156" s="127" t="s">
        <v>175</v>
      </c>
      <c r="C156" s="128">
        <f t="shared" si="9"/>
        <v>0</v>
      </c>
      <c r="D156" s="134">
        <v>0</v>
      </c>
      <c r="E156" s="285"/>
      <c r="F156" s="286">
        <f t="shared" si="10"/>
        <v>0</v>
      </c>
      <c r="G156" s="134"/>
      <c r="H156" s="135"/>
      <c r="I156" s="136">
        <f t="shared" si="11"/>
        <v>0</v>
      </c>
      <c r="J156" s="134"/>
      <c r="K156" s="135"/>
      <c r="L156" s="136">
        <f t="shared" si="12"/>
        <v>0</v>
      </c>
      <c r="M156" s="284"/>
      <c r="N156" s="285"/>
      <c r="O156" s="136">
        <f t="shared" si="13"/>
        <v>0</v>
      </c>
      <c r="P156" s="85"/>
    </row>
    <row r="157" spans="1:16" ht="36" hidden="1" x14ac:dyDescent="0.25">
      <c r="A157" s="75">
        <v>2366</v>
      </c>
      <c r="B157" s="127" t="s">
        <v>176</v>
      </c>
      <c r="C157" s="128">
        <f t="shared" si="9"/>
        <v>0</v>
      </c>
      <c r="D157" s="134">
        <v>0</v>
      </c>
      <c r="E157" s="285"/>
      <c r="F157" s="286">
        <f t="shared" si="10"/>
        <v>0</v>
      </c>
      <c r="G157" s="134"/>
      <c r="H157" s="135"/>
      <c r="I157" s="136">
        <f t="shared" si="11"/>
        <v>0</v>
      </c>
      <c r="J157" s="134"/>
      <c r="K157" s="135"/>
      <c r="L157" s="136">
        <f t="shared" si="12"/>
        <v>0</v>
      </c>
      <c r="M157" s="284"/>
      <c r="N157" s="285"/>
      <c r="O157" s="136">
        <f t="shared" si="13"/>
        <v>0</v>
      </c>
      <c r="P157" s="85"/>
    </row>
    <row r="158" spans="1:16" ht="48" hidden="1" x14ac:dyDescent="0.25">
      <c r="A158" s="75">
        <v>2369</v>
      </c>
      <c r="B158" s="127" t="s">
        <v>177</v>
      </c>
      <c r="C158" s="128">
        <f t="shared" si="9"/>
        <v>0</v>
      </c>
      <c r="D158" s="134">
        <v>0</v>
      </c>
      <c r="E158" s="285"/>
      <c r="F158" s="286">
        <f t="shared" si="10"/>
        <v>0</v>
      </c>
      <c r="G158" s="134"/>
      <c r="H158" s="135"/>
      <c r="I158" s="136">
        <f t="shared" si="11"/>
        <v>0</v>
      </c>
      <c r="J158" s="134"/>
      <c r="K158" s="135"/>
      <c r="L158" s="136">
        <f t="shared" si="12"/>
        <v>0</v>
      </c>
      <c r="M158" s="284"/>
      <c r="N158" s="285"/>
      <c r="O158" s="136">
        <f t="shared" si="13"/>
        <v>0</v>
      </c>
      <c r="P158" s="85"/>
    </row>
    <row r="159" spans="1:16" hidden="1" x14ac:dyDescent="0.25">
      <c r="A159" s="254">
        <v>2370</v>
      </c>
      <c r="B159" s="179" t="s">
        <v>178</v>
      </c>
      <c r="C159" s="128">
        <f t="shared" si="9"/>
        <v>0</v>
      </c>
      <c r="D159" s="287">
        <v>0</v>
      </c>
      <c r="E159" s="291"/>
      <c r="F159" s="310">
        <f t="shared" si="10"/>
        <v>0</v>
      </c>
      <c r="G159" s="287"/>
      <c r="H159" s="289"/>
      <c r="I159" s="259">
        <f t="shared" si="11"/>
        <v>0</v>
      </c>
      <c r="J159" s="287"/>
      <c r="K159" s="289"/>
      <c r="L159" s="259">
        <f t="shared" si="12"/>
        <v>0</v>
      </c>
      <c r="M159" s="290"/>
      <c r="N159" s="291"/>
      <c r="O159" s="259">
        <f t="shared" si="13"/>
        <v>0</v>
      </c>
      <c r="P159" s="189"/>
    </row>
    <row r="160" spans="1:16" hidden="1" x14ac:dyDescent="0.25">
      <c r="A160" s="254">
        <v>2380</v>
      </c>
      <c r="B160" s="179" t="s">
        <v>179</v>
      </c>
      <c r="C160" s="128">
        <f t="shared" si="9"/>
        <v>0</v>
      </c>
      <c r="D160" s="255">
        <f>SUM(D161:D162)</f>
        <v>0</v>
      </c>
      <c r="E160" s="261">
        <f>SUM(E161:E162)</f>
        <v>0</v>
      </c>
      <c r="F160" s="310">
        <f t="shared" si="10"/>
        <v>0</v>
      </c>
      <c r="G160" s="255">
        <f>SUM(G161:G162)</f>
        <v>0</v>
      </c>
      <c r="H160" s="258">
        <f>SUM(H161:H162)</f>
        <v>0</v>
      </c>
      <c r="I160" s="259">
        <f t="shared" si="11"/>
        <v>0</v>
      </c>
      <c r="J160" s="255">
        <f>SUM(J161:J162)</f>
        <v>0</v>
      </c>
      <c r="K160" s="258">
        <f>SUM(K161:K162)</f>
        <v>0</v>
      </c>
      <c r="L160" s="259">
        <f t="shared" si="12"/>
        <v>0</v>
      </c>
      <c r="M160" s="260">
        <f>SUM(M161:M162)</f>
        <v>0</v>
      </c>
      <c r="N160" s="261">
        <f>SUM(N161:N162)</f>
        <v>0</v>
      </c>
      <c r="O160" s="259">
        <f t="shared" si="13"/>
        <v>0</v>
      </c>
      <c r="P160" s="189"/>
    </row>
    <row r="161" spans="1:16" hidden="1" x14ac:dyDescent="0.25">
      <c r="A161" s="65">
        <v>2381</v>
      </c>
      <c r="B161" s="116" t="s">
        <v>180</v>
      </c>
      <c r="C161" s="128">
        <f t="shared" si="9"/>
        <v>0</v>
      </c>
      <c r="D161" s="123">
        <v>0</v>
      </c>
      <c r="E161" s="262"/>
      <c r="F161" s="263">
        <f t="shared" si="10"/>
        <v>0</v>
      </c>
      <c r="G161" s="123"/>
      <c r="H161" s="124"/>
      <c r="I161" s="125">
        <f t="shared" si="11"/>
        <v>0</v>
      </c>
      <c r="J161" s="123"/>
      <c r="K161" s="124"/>
      <c r="L161" s="125">
        <f t="shared" si="12"/>
        <v>0</v>
      </c>
      <c r="M161" s="264"/>
      <c r="N161" s="262"/>
      <c r="O161" s="125">
        <f t="shared" si="13"/>
        <v>0</v>
      </c>
      <c r="P161" s="74"/>
    </row>
    <row r="162" spans="1:16" ht="24" hidden="1" x14ac:dyDescent="0.25">
      <c r="A162" s="75">
        <v>2389</v>
      </c>
      <c r="B162" s="127" t="s">
        <v>181</v>
      </c>
      <c r="C162" s="128">
        <f t="shared" si="9"/>
        <v>0</v>
      </c>
      <c r="D162" s="134">
        <v>0</v>
      </c>
      <c r="E162" s="285"/>
      <c r="F162" s="286">
        <f t="shared" si="10"/>
        <v>0</v>
      </c>
      <c r="G162" s="134"/>
      <c r="H162" s="135"/>
      <c r="I162" s="136">
        <f t="shared" si="11"/>
        <v>0</v>
      </c>
      <c r="J162" s="134"/>
      <c r="K162" s="135"/>
      <c r="L162" s="136">
        <f t="shared" si="12"/>
        <v>0</v>
      </c>
      <c r="M162" s="284"/>
      <c r="N162" s="285"/>
      <c r="O162" s="136">
        <f t="shared" si="13"/>
        <v>0</v>
      </c>
      <c r="P162" s="85"/>
    </row>
    <row r="163" spans="1:16" hidden="1" x14ac:dyDescent="0.25">
      <c r="A163" s="254">
        <v>2390</v>
      </c>
      <c r="B163" s="179" t="s">
        <v>182</v>
      </c>
      <c r="C163" s="128">
        <f t="shared" si="9"/>
        <v>0</v>
      </c>
      <c r="D163" s="287">
        <v>0</v>
      </c>
      <c r="E163" s="291"/>
      <c r="F163" s="310">
        <f t="shared" si="10"/>
        <v>0</v>
      </c>
      <c r="G163" s="287"/>
      <c r="H163" s="289"/>
      <c r="I163" s="259">
        <f t="shared" si="11"/>
        <v>0</v>
      </c>
      <c r="J163" s="287"/>
      <c r="K163" s="289"/>
      <c r="L163" s="259">
        <f t="shared" si="12"/>
        <v>0</v>
      </c>
      <c r="M163" s="290"/>
      <c r="N163" s="291"/>
      <c r="O163" s="259">
        <f t="shared" si="13"/>
        <v>0</v>
      </c>
      <c r="P163" s="189"/>
    </row>
    <row r="164" spans="1:16" hidden="1" x14ac:dyDescent="0.25">
      <c r="A164" s="99">
        <v>2400</v>
      </c>
      <c r="B164" s="247" t="s">
        <v>183</v>
      </c>
      <c r="C164" s="100">
        <f t="shared" si="9"/>
        <v>0</v>
      </c>
      <c r="D164" s="311">
        <v>0</v>
      </c>
      <c r="E164" s="312"/>
      <c r="F164" s="313">
        <f t="shared" si="10"/>
        <v>0</v>
      </c>
      <c r="G164" s="311"/>
      <c r="H164" s="314"/>
      <c r="I164" s="114">
        <f t="shared" si="11"/>
        <v>0</v>
      </c>
      <c r="J164" s="311"/>
      <c r="K164" s="314"/>
      <c r="L164" s="114">
        <f t="shared" si="12"/>
        <v>0</v>
      </c>
      <c r="M164" s="315"/>
      <c r="N164" s="312"/>
      <c r="O164" s="114">
        <f t="shared" si="13"/>
        <v>0</v>
      </c>
      <c r="P164" s="109"/>
    </row>
    <row r="165" spans="1:16" ht="24" hidden="1" x14ac:dyDescent="0.25">
      <c r="A165" s="99">
        <v>2500</v>
      </c>
      <c r="B165" s="247" t="s">
        <v>184</v>
      </c>
      <c r="C165" s="100">
        <f t="shared" si="9"/>
        <v>0</v>
      </c>
      <c r="D165" s="112">
        <f>SUM(D166,D171)</f>
        <v>0</v>
      </c>
      <c r="E165" s="293">
        <f>SUM(E166,E171)</f>
        <v>0</v>
      </c>
      <c r="F165" s="313">
        <f t="shared" si="10"/>
        <v>0</v>
      </c>
      <c r="G165" s="112">
        <f>SUM(G166,G171)</f>
        <v>0</v>
      </c>
      <c r="H165" s="113">
        <f t="shared" ref="H165" si="17">SUM(H166,H171)</f>
        <v>0</v>
      </c>
      <c r="I165" s="114">
        <f t="shared" si="11"/>
        <v>0</v>
      </c>
      <c r="J165" s="112">
        <f>SUM(J166,J171)</f>
        <v>0</v>
      </c>
      <c r="K165" s="113">
        <f t="shared" ref="K165" si="18">SUM(K166,K171)</f>
        <v>0</v>
      </c>
      <c r="L165" s="114">
        <f t="shared" si="12"/>
        <v>0</v>
      </c>
      <c r="M165" s="250">
        <f t="shared" ref="M165:N165" si="19">SUM(M166,M171)</f>
        <v>0</v>
      </c>
      <c r="N165" s="251">
        <f t="shared" si="19"/>
        <v>0</v>
      </c>
      <c r="O165" s="252">
        <f t="shared" si="13"/>
        <v>0</v>
      </c>
      <c r="P165" s="253"/>
    </row>
    <row r="166" spans="1:16" hidden="1" x14ac:dyDescent="0.25">
      <c r="A166" s="656">
        <v>2510</v>
      </c>
      <c r="B166" s="116" t="s">
        <v>185</v>
      </c>
      <c r="C166" s="117">
        <f t="shared" si="9"/>
        <v>0</v>
      </c>
      <c r="D166" s="297">
        <f>SUM(D167:D170)</f>
        <v>0</v>
      </c>
      <c r="E166" s="301">
        <f>SUM(E167:E170)</f>
        <v>0</v>
      </c>
      <c r="F166" s="263">
        <f t="shared" si="10"/>
        <v>0</v>
      </c>
      <c r="G166" s="297">
        <f>SUM(G167:G170)</f>
        <v>0</v>
      </c>
      <c r="H166" s="299">
        <f t="shared" ref="H166" si="20">SUM(H167:H170)</f>
        <v>0</v>
      </c>
      <c r="I166" s="125">
        <f t="shared" si="11"/>
        <v>0</v>
      </c>
      <c r="J166" s="297">
        <f>SUM(J167:J170)</f>
        <v>0</v>
      </c>
      <c r="K166" s="299">
        <f t="shared" ref="K166" si="21">SUM(K167:K170)</f>
        <v>0</v>
      </c>
      <c r="L166" s="125">
        <f t="shared" si="12"/>
        <v>0</v>
      </c>
      <c r="M166" s="317">
        <f t="shared" ref="M166:N166" si="22">SUM(M167:M170)</f>
        <v>0</v>
      </c>
      <c r="N166" s="318">
        <f t="shared" si="22"/>
        <v>0</v>
      </c>
      <c r="O166" s="151">
        <f t="shared" si="13"/>
        <v>0</v>
      </c>
      <c r="P166" s="153"/>
    </row>
    <row r="167" spans="1:16" ht="24" hidden="1" x14ac:dyDescent="0.25">
      <c r="A167" s="76">
        <v>2512</v>
      </c>
      <c r="B167" s="127" t="s">
        <v>186</v>
      </c>
      <c r="C167" s="128">
        <f t="shared" si="9"/>
        <v>0</v>
      </c>
      <c r="D167" s="134">
        <v>0</v>
      </c>
      <c r="E167" s="285"/>
      <c r="F167" s="286">
        <f t="shared" si="10"/>
        <v>0</v>
      </c>
      <c r="G167" s="134"/>
      <c r="H167" s="135"/>
      <c r="I167" s="136">
        <f t="shared" si="11"/>
        <v>0</v>
      </c>
      <c r="J167" s="134"/>
      <c r="K167" s="135"/>
      <c r="L167" s="136">
        <f t="shared" si="12"/>
        <v>0</v>
      </c>
      <c r="M167" s="284"/>
      <c r="N167" s="285"/>
      <c r="O167" s="136">
        <f t="shared" si="13"/>
        <v>0</v>
      </c>
      <c r="P167" s="85"/>
    </row>
    <row r="168" spans="1:16" ht="36" hidden="1" x14ac:dyDescent="0.25">
      <c r="A168" s="76">
        <v>2513</v>
      </c>
      <c r="B168" s="127" t="s">
        <v>187</v>
      </c>
      <c r="C168" s="128">
        <f t="shared" si="9"/>
        <v>0</v>
      </c>
      <c r="D168" s="134">
        <v>0</v>
      </c>
      <c r="E168" s="285"/>
      <c r="F168" s="286">
        <f t="shared" si="10"/>
        <v>0</v>
      </c>
      <c r="G168" s="134"/>
      <c r="H168" s="135"/>
      <c r="I168" s="136">
        <f t="shared" si="11"/>
        <v>0</v>
      </c>
      <c r="J168" s="134"/>
      <c r="K168" s="135"/>
      <c r="L168" s="136">
        <f t="shared" si="12"/>
        <v>0</v>
      </c>
      <c r="M168" s="284"/>
      <c r="N168" s="285"/>
      <c r="O168" s="136">
        <f t="shared" si="13"/>
        <v>0</v>
      </c>
      <c r="P168" s="85"/>
    </row>
    <row r="169" spans="1:16" ht="24" hidden="1" x14ac:dyDescent="0.25">
      <c r="A169" s="76">
        <v>2515</v>
      </c>
      <c r="B169" s="127" t="s">
        <v>188</v>
      </c>
      <c r="C169" s="128">
        <f t="shared" si="9"/>
        <v>0</v>
      </c>
      <c r="D169" s="134">
        <v>0</v>
      </c>
      <c r="E169" s="285"/>
      <c r="F169" s="286">
        <f t="shared" si="10"/>
        <v>0</v>
      </c>
      <c r="G169" s="134"/>
      <c r="H169" s="135"/>
      <c r="I169" s="136">
        <f t="shared" si="11"/>
        <v>0</v>
      </c>
      <c r="J169" s="134"/>
      <c r="K169" s="135"/>
      <c r="L169" s="136">
        <f t="shared" si="12"/>
        <v>0</v>
      </c>
      <c r="M169" s="284"/>
      <c r="N169" s="285"/>
      <c r="O169" s="136">
        <f t="shared" si="13"/>
        <v>0</v>
      </c>
      <c r="P169" s="85"/>
    </row>
    <row r="170" spans="1:16" ht="24" hidden="1" x14ac:dyDescent="0.25">
      <c r="A170" s="76">
        <v>2519</v>
      </c>
      <c r="B170" s="127" t="s">
        <v>189</v>
      </c>
      <c r="C170" s="128">
        <f t="shared" si="9"/>
        <v>0</v>
      </c>
      <c r="D170" s="134">
        <v>0</v>
      </c>
      <c r="E170" s="285"/>
      <c r="F170" s="286">
        <f t="shared" si="10"/>
        <v>0</v>
      </c>
      <c r="G170" s="134"/>
      <c r="H170" s="135"/>
      <c r="I170" s="136">
        <f t="shared" si="11"/>
        <v>0</v>
      </c>
      <c r="J170" s="134"/>
      <c r="K170" s="135"/>
      <c r="L170" s="136">
        <f t="shared" si="12"/>
        <v>0</v>
      </c>
      <c r="M170" s="284"/>
      <c r="N170" s="285"/>
      <c r="O170" s="136">
        <f t="shared" si="13"/>
        <v>0</v>
      </c>
      <c r="P170" s="85"/>
    </row>
    <row r="171" spans="1:16" hidden="1" x14ac:dyDescent="0.25">
      <c r="A171" s="276">
        <v>2520</v>
      </c>
      <c r="B171" s="127" t="s">
        <v>190</v>
      </c>
      <c r="C171" s="128">
        <f t="shared" si="9"/>
        <v>0</v>
      </c>
      <c r="D171" s="134">
        <v>0</v>
      </c>
      <c r="E171" s="285"/>
      <c r="F171" s="286">
        <f t="shared" si="10"/>
        <v>0</v>
      </c>
      <c r="G171" s="134"/>
      <c r="H171" s="135"/>
      <c r="I171" s="136">
        <f t="shared" si="11"/>
        <v>0</v>
      </c>
      <c r="J171" s="134"/>
      <c r="K171" s="135"/>
      <c r="L171" s="136">
        <f t="shared" si="12"/>
        <v>0</v>
      </c>
      <c r="M171" s="284"/>
      <c r="N171" s="285"/>
      <c r="O171" s="136">
        <f t="shared" si="13"/>
        <v>0</v>
      </c>
      <c r="P171" s="85"/>
    </row>
    <row r="172" spans="1:16" s="319" customFormat="1" ht="36" hidden="1" x14ac:dyDescent="0.25">
      <c r="A172" s="31">
        <v>2800</v>
      </c>
      <c r="B172" s="116" t="s">
        <v>191</v>
      </c>
      <c r="C172" s="117">
        <f t="shared" si="9"/>
        <v>0</v>
      </c>
      <c r="D172" s="68">
        <v>0</v>
      </c>
      <c r="E172" s="69"/>
      <c r="F172" s="70">
        <f t="shared" si="10"/>
        <v>0</v>
      </c>
      <c r="G172" s="68"/>
      <c r="H172" s="71"/>
      <c r="I172" s="72">
        <f t="shared" si="11"/>
        <v>0</v>
      </c>
      <c r="J172" s="68"/>
      <c r="K172" s="71"/>
      <c r="L172" s="72">
        <f t="shared" si="12"/>
        <v>0</v>
      </c>
      <c r="M172" s="73"/>
      <c r="N172" s="69"/>
      <c r="O172" s="72">
        <f t="shared" si="13"/>
        <v>0</v>
      </c>
      <c r="P172" s="74"/>
    </row>
    <row r="173" spans="1:16" hidden="1" x14ac:dyDescent="0.25">
      <c r="A173" s="237">
        <v>3000</v>
      </c>
      <c r="B173" s="237" t="s">
        <v>192</v>
      </c>
      <c r="C173" s="238">
        <f t="shared" si="9"/>
        <v>0</v>
      </c>
      <c r="D173" s="239">
        <f>SUM(D174,D184)</f>
        <v>0</v>
      </c>
      <c r="E173" s="245">
        <f>SUM(E174,E184)</f>
        <v>0</v>
      </c>
      <c r="F173" s="320">
        <f t="shared" si="10"/>
        <v>0</v>
      </c>
      <c r="G173" s="239">
        <f>SUM(G174,G184)</f>
        <v>0</v>
      </c>
      <c r="H173" s="242">
        <f>SUM(H174,H184)</f>
        <v>0</v>
      </c>
      <c r="I173" s="243">
        <f t="shared" si="11"/>
        <v>0</v>
      </c>
      <c r="J173" s="239">
        <f>SUM(J174,J184)</f>
        <v>0</v>
      </c>
      <c r="K173" s="242">
        <f>SUM(K174,K184)</f>
        <v>0</v>
      </c>
      <c r="L173" s="243">
        <f t="shared" si="12"/>
        <v>0</v>
      </c>
      <c r="M173" s="244">
        <f>SUM(M174,M184)</f>
        <v>0</v>
      </c>
      <c r="N173" s="245">
        <f>SUM(N174,N184)</f>
        <v>0</v>
      </c>
      <c r="O173" s="243">
        <f t="shared" si="13"/>
        <v>0</v>
      </c>
      <c r="P173" s="246"/>
    </row>
    <row r="174" spans="1:16" ht="24" hidden="1" x14ac:dyDescent="0.25">
      <c r="A174" s="99">
        <v>3200</v>
      </c>
      <c r="B174" s="321" t="s">
        <v>193</v>
      </c>
      <c r="C174" s="100">
        <f t="shared" si="9"/>
        <v>0</v>
      </c>
      <c r="D174" s="112">
        <f>SUM(D175,D179)</f>
        <v>0</v>
      </c>
      <c r="E174" s="293">
        <f>SUM(E175,E179)</f>
        <v>0</v>
      </c>
      <c r="F174" s="313">
        <f t="shared" si="10"/>
        <v>0</v>
      </c>
      <c r="G174" s="112">
        <f>SUM(G175,G179)</f>
        <v>0</v>
      </c>
      <c r="H174" s="113">
        <f t="shared" ref="H174" si="23">SUM(H175,H179)</f>
        <v>0</v>
      </c>
      <c r="I174" s="114">
        <f t="shared" si="11"/>
        <v>0</v>
      </c>
      <c r="J174" s="112">
        <f>SUM(J175,J179)</f>
        <v>0</v>
      </c>
      <c r="K174" s="113">
        <f t="shared" ref="K174" si="24">SUM(K175,K179)</f>
        <v>0</v>
      </c>
      <c r="L174" s="114">
        <f t="shared" si="12"/>
        <v>0</v>
      </c>
      <c r="M174" s="250">
        <f t="shared" ref="M174:N174" si="25">SUM(M175,M179)</f>
        <v>0</v>
      </c>
      <c r="N174" s="251">
        <f t="shared" si="25"/>
        <v>0</v>
      </c>
      <c r="O174" s="252">
        <f t="shared" si="13"/>
        <v>0</v>
      </c>
      <c r="P174" s="253"/>
    </row>
    <row r="175" spans="1:16" ht="36" hidden="1" x14ac:dyDescent="0.25">
      <c r="A175" s="656">
        <v>3260</v>
      </c>
      <c r="B175" s="116" t="s">
        <v>194</v>
      </c>
      <c r="C175" s="117">
        <f t="shared" si="9"/>
        <v>0</v>
      </c>
      <c r="D175" s="297">
        <f>SUM(D176:D178)</f>
        <v>0</v>
      </c>
      <c r="E175" s="301">
        <f>SUM(E176:E178)</f>
        <v>0</v>
      </c>
      <c r="F175" s="263">
        <f t="shared" si="10"/>
        <v>0</v>
      </c>
      <c r="G175" s="297">
        <f>SUM(G176:G178)</f>
        <v>0</v>
      </c>
      <c r="H175" s="299">
        <f>SUM(H176:H178)</f>
        <v>0</v>
      </c>
      <c r="I175" s="125">
        <f t="shared" si="11"/>
        <v>0</v>
      </c>
      <c r="J175" s="297">
        <f>SUM(J176:J178)</f>
        <v>0</v>
      </c>
      <c r="K175" s="299">
        <f>SUM(K176:K178)</f>
        <v>0</v>
      </c>
      <c r="L175" s="125">
        <f t="shared" si="12"/>
        <v>0</v>
      </c>
      <c r="M175" s="300">
        <f>SUM(M176:M178)</f>
        <v>0</v>
      </c>
      <c r="N175" s="301">
        <f>SUM(N176:N178)</f>
        <v>0</v>
      </c>
      <c r="O175" s="125">
        <f t="shared" si="13"/>
        <v>0</v>
      </c>
      <c r="P175" s="74"/>
    </row>
    <row r="176" spans="1:16" ht="24" hidden="1" x14ac:dyDescent="0.25">
      <c r="A176" s="76">
        <v>3261</v>
      </c>
      <c r="B176" s="127" t="s">
        <v>195</v>
      </c>
      <c r="C176" s="128">
        <f t="shared" si="9"/>
        <v>0</v>
      </c>
      <c r="D176" s="134">
        <v>0</v>
      </c>
      <c r="E176" s="285"/>
      <c r="F176" s="286">
        <f t="shared" si="10"/>
        <v>0</v>
      </c>
      <c r="G176" s="134"/>
      <c r="H176" s="135"/>
      <c r="I176" s="136">
        <f t="shared" si="11"/>
        <v>0</v>
      </c>
      <c r="J176" s="134"/>
      <c r="K176" s="135"/>
      <c r="L176" s="136">
        <f t="shared" si="12"/>
        <v>0</v>
      </c>
      <c r="M176" s="284"/>
      <c r="N176" s="285"/>
      <c r="O176" s="136">
        <f t="shared" si="13"/>
        <v>0</v>
      </c>
      <c r="P176" s="85"/>
    </row>
    <row r="177" spans="1:16" ht="36" hidden="1" x14ac:dyDescent="0.25">
      <c r="A177" s="76">
        <v>3262</v>
      </c>
      <c r="B177" s="127" t="s">
        <v>196</v>
      </c>
      <c r="C177" s="128">
        <f t="shared" si="9"/>
        <v>0</v>
      </c>
      <c r="D177" s="134">
        <v>0</v>
      </c>
      <c r="E177" s="285"/>
      <c r="F177" s="286">
        <f t="shared" si="10"/>
        <v>0</v>
      </c>
      <c r="G177" s="134"/>
      <c r="H177" s="135"/>
      <c r="I177" s="136">
        <f t="shared" si="11"/>
        <v>0</v>
      </c>
      <c r="J177" s="134"/>
      <c r="K177" s="135"/>
      <c r="L177" s="136">
        <f t="shared" si="12"/>
        <v>0</v>
      </c>
      <c r="M177" s="284"/>
      <c r="N177" s="285"/>
      <c r="O177" s="136">
        <f t="shared" si="13"/>
        <v>0</v>
      </c>
      <c r="P177" s="85"/>
    </row>
    <row r="178" spans="1:16" ht="24" hidden="1" x14ac:dyDescent="0.25">
      <c r="A178" s="76">
        <v>3263</v>
      </c>
      <c r="B178" s="127" t="s">
        <v>197</v>
      </c>
      <c r="C178" s="128">
        <f t="shared" si="9"/>
        <v>0</v>
      </c>
      <c r="D178" s="134">
        <v>0</v>
      </c>
      <c r="E178" s="285"/>
      <c r="F178" s="286">
        <f t="shared" si="10"/>
        <v>0</v>
      </c>
      <c r="G178" s="134"/>
      <c r="H178" s="135"/>
      <c r="I178" s="136">
        <f t="shared" si="11"/>
        <v>0</v>
      </c>
      <c r="J178" s="134"/>
      <c r="K178" s="135"/>
      <c r="L178" s="136">
        <f t="shared" si="12"/>
        <v>0</v>
      </c>
      <c r="M178" s="284"/>
      <c r="N178" s="285"/>
      <c r="O178" s="136">
        <f t="shared" si="13"/>
        <v>0</v>
      </c>
      <c r="P178" s="85"/>
    </row>
    <row r="179" spans="1:16" ht="84" hidden="1" x14ac:dyDescent="0.25">
      <c r="A179" s="656">
        <v>3290</v>
      </c>
      <c r="B179" s="116" t="s">
        <v>198</v>
      </c>
      <c r="C179" s="128">
        <f t="shared" ref="C179:C255" si="26">F179+I179+L179+O179</f>
        <v>0</v>
      </c>
      <c r="D179" s="297">
        <f>SUM(D180:D183)</f>
        <v>0</v>
      </c>
      <c r="E179" s="301">
        <f>SUM(E180:E183)</f>
        <v>0</v>
      </c>
      <c r="F179" s="263">
        <f t="shared" si="10"/>
        <v>0</v>
      </c>
      <c r="G179" s="297">
        <f>SUM(G180:G183)</f>
        <v>0</v>
      </c>
      <c r="H179" s="299">
        <f t="shared" ref="H179" si="27">SUM(H180:H183)</f>
        <v>0</v>
      </c>
      <c r="I179" s="125">
        <f t="shared" si="11"/>
        <v>0</v>
      </c>
      <c r="J179" s="297">
        <f>SUM(J180:J183)</f>
        <v>0</v>
      </c>
      <c r="K179" s="299">
        <f t="shared" ref="K179" si="28">SUM(K180:K183)</f>
        <v>0</v>
      </c>
      <c r="L179" s="125">
        <f t="shared" si="12"/>
        <v>0</v>
      </c>
      <c r="M179" s="322">
        <f t="shared" ref="M179:N179" si="29">SUM(M180:M183)</f>
        <v>0</v>
      </c>
      <c r="N179" s="323">
        <f t="shared" si="29"/>
        <v>0</v>
      </c>
      <c r="O179" s="324">
        <f t="shared" si="13"/>
        <v>0</v>
      </c>
      <c r="P179" s="325"/>
    </row>
    <row r="180" spans="1:16" ht="60" hidden="1" x14ac:dyDescent="0.25">
      <c r="A180" s="76">
        <v>3291</v>
      </c>
      <c r="B180" s="127" t="s">
        <v>199</v>
      </c>
      <c r="C180" s="128">
        <f t="shared" si="26"/>
        <v>0</v>
      </c>
      <c r="D180" s="134">
        <v>0</v>
      </c>
      <c r="E180" s="285"/>
      <c r="F180" s="286">
        <f t="shared" ref="F180:F243" si="30">D180+E180</f>
        <v>0</v>
      </c>
      <c r="G180" s="134"/>
      <c r="H180" s="135"/>
      <c r="I180" s="136">
        <f t="shared" ref="I180:I243" si="31">G180+H180</f>
        <v>0</v>
      </c>
      <c r="J180" s="134"/>
      <c r="K180" s="135"/>
      <c r="L180" s="136">
        <f t="shared" ref="L180:L243" si="32">J180+K180</f>
        <v>0</v>
      </c>
      <c r="M180" s="284"/>
      <c r="N180" s="285"/>
      <c r="O180" s="136">
        <f t="shared" ref="O180:O243" si="33">M180+N180</f>
        <v>0</v>
      </c>
      <c r="P180" s="85"/>
    </row>
    <row r="181" spans="1:16" ht="72" hidden="1" x14ac:dyDescent="0.25">
      <c r="A181" s="76">
        <v>3292</v>
      </c>
      <c r="B181" s="127" t="s">
        <v>200</v>
      </c>
      <c r="C181" s="128">
        <f t="shared" si="26"/>
        <v>0</v>
      </c>
      <c r="D181" s="134">
        <v>0</v>
      </c>
      <c r="E181" s="285"/>
      <c r="F181" s="286">
        <f t="shared" si="30"/>
        <v>0</v>
      </c>
      <c r="G181" s="134"/>
      <c r="H181" s="135"/>
      <c r="I181" s="136">
        <f t="shared" si="31"/>
        <v>0</v>
      </c>
      <c r="J181" s="134"/>
      <c r="K181" s="135"/>
      <c r="L181" s="136">
        <f t="shared" si="32"/>
        <v>0</v>
      </c>
      <c r="M181" s="284"/>
      <c r="N181" s="285"/>
      <c r="O181" s="136">
        <f t="shared" si="33"/>
        <v>0</v>
      </c>
      <c r="P181" s="85"/>
    </row>
    <row r="182" spans="1:16" ht="60" hidden="1" x14ac:dyDescent="0.25">
      <c r="A182" s="76">
        <v>3293</v>
      </c>
      <c r="B182" s="127" t="s">
        <v>201</v>
      </c>
      <c r="C182" s="128">
        <f t="shared" si="26"/>
        <v>0</v>
      </c>
      <c r="D182" s="134">
        <v>0</v>
      </c>
      <c r="E182" s="285"/>
      <c r="F182" s="286">
        <f t="shared" si="30"/>
        <v>0</v>
      </c>
      <c r="G182" s="134"/>
      <c r="H182" s="135"/>
      <c r="I182" s="136">
        <f t="shared" si="31"/>
        <v>0</v>
      </c>
      <c r="J182" s="134"/>
      <c r="K182" s="135"/>
      <c r="L182" s="136">
        <f t="shared" si="32"/>
        <v>0</v>
      </c>
      <c r="M182" s="284"/>
      <c r="N182" s="285"/>
      <c r="O182" s="136">
        <f t="shared" si="33"/>
        <v>0</v>
      </c>
      <c r="P182" s="85"/>
    </row>
    <row r="183" spans="1:16" ht="60" hidden="1" x14ac:dyDescent="0.25">
      <c r="A183" s="326">
        <v>3294</v>
      </c>
      <c r="B183" s="127" t="s">
        <v>202</v>
      </c>
      <c r="C183" s="327">
        <f t="shared" si="26"/>
        <v>0</v>
      </c>
      <c r="D183" s="328">
        <v>0</v>
      </c>
      <c r="E183" s="329"/>
      <c r="F183" s="330">
        <f t="shared" si="30"/>
        <v>0</v>
      </c>
      <c r="G183" s="328"/>
      <c r="H183" s="331"/>
      <c r="I183" s="324">
        <f t="shared" si="31"/>
        <v>0</v>
      </c>
      <c r="J183" s="328"/>
      <c r="K183" s="331"/>
      <c r="L183" s="324">
        <f t="shared" si="32"/>
        <v>0</v>
      </c>
      <c r="M183" s="332"/>
      <c r="N183" s="329"/>
      <c r="O183" s="324">
        <f t="shared" si="33"/>
        <v>0</v>
      </c>
      <c r="P183" s="325"/>
    </row>
    <row r="184" spans="1:16" ht="48" hidden="1" x14ac:dyDescent="0.25">
      <c r="A184" s="160">
        <v>3300</v>
      </c>
      <c r="B184" s="321" t="s">
        <v>203</v>
      </c>
      <c r="C184" s="333">
        <f t="shared" si="26"/>
        <v>0</v>
      </c>
      <c r="D184" s="334">
        <f>SUM(D185:D186)</f>
        <v>0</v>
      </c>
      <c r="E184" s="251">
        <f>SUM(E185:E186)</f>
        <v>0</v>
      </c>
      <c r="F184" s="335">
        <f t="shared" si="30"/>
        <v>0</v>
      </c>
      <c r="G184" s="334">
        <f>SUM(G185:G186)</f>
        <v>0</v>
      </c>
      <c r="H184" s="336">
        <f t="shared" ref="H184" si="34">SUM(H185:H186)</f>
        <v>0</v>
      </c>
      <c r="I184" s="252">
        <f t="shared" si="31"/>
        <v>0</v>
      </c>
      <c r="J184" s="334">
        <f>SUM(J185:J186)</f>
        <v>0</v>
      </c>
      <c r="K184" s="336">
        <f t="shared" ref="K184" si="35">SUM(K185:K186)</f>
        <v>0</v>
      </c>
      <c r="L184" s="252">
        <f t="shared" si="32"/>
        <v>0</v>
      </c>
      <c r="M184" s="250">
        <f t="shared" ref="M184:N184" si="36">SUM(M185:M186)</f>
        <v>0</v>
      </c>
      <c r="N184" s="251">
        <f t="shared" si="36"/>
        <v>0</v>
      </c>
      <c r="O184" s="252">
        <f t="shared" si="33"/>
        <v>0</v>
      </c>
      <c r="P184" s="253"/>
    </row>
    <row r="185" spans="1:16" ht="48" hidden="1" x14ac:dyDescent="0.25">
      <c r="A185" s="178">
        <v>3310</v>
      </c>
      <c r="B185" s="179" t="s">
        <v>204</v>
      </c>
      <c r="C185" s="191">
        <f t="shared" si="26"/>
        <v>0</v>
      </c>
      <c r="D185" s="287">
        <v>0</v>
      </c>
      <c r="E185" s="291"/>
      <c r="F185" s="310">
        <f t="shared" si="30"/>
        <v>0</v>
      </c>
      <c r="G185" s="287"/>
      <c r="H185" s="289"/>
      <c r="I185" s="259">
        <f t="shared" si="31"/>
        <v>0</v>
      </c>
      <c r="J185" s="287"/>
      <c r="K185" s="289"/>
      <c r="L185" s="259">
        <f t="shared" si="32"/>
        <v>0</v>
      </c>
      <c r="M185" s="290"/>
      <c r="N185" s="291"/>
      <c r="O185" s="259">
        <f t="shared" si="33"/>
        <v>0</v>
      </c>
      <c r="P185" s="189"/>
    </row>
    <row r="186" spans="1:16" ht="48" hidden="1" x14ac:dyDescent="0.25">
      <c r="A186" s="66">
        <v>3320</v>
      </c>
      <c r="B186" s="116" t="s">
        <v>205</v>
      </c>
      <c r="C186" s="117">
        <f t="shared" si="26"/>
        <v>0</v>
      </c>
      <c r="D186" s="123">
        <v>0</v>
      </c>
      <c r="E186" s="262"/>
      <c r="F186" s="263">
        <f t="shared" si="30"/>
        <v>0</v>
      </c>
      <c r="G186" s="123"/>
      <c r="H186" s="124"/>
      <c r="I186" s="125">
        <f t="shared" si="31"/>
        <v>0</v>
      </c>
      <c r="J186" s="123"/>
      <c r="K186" s="124"/>
      <c r="L186" s="125">
        <f t="shared" si="32"/>
        <v>0</v>
      </c>
      <c r="M186" s="264"/>
      <c r="N186" s="262"/>
      <c r="O186" s="125">
        <f t="shared" si="33"/>
        <v>0</v>
      </c>
      <c r="P186" s="74"/>
    </row>
    <row r="187" spans="1:16" hidden="1" x14ac:dyDescent="0.25">
      <c r="A187" s="337">
        <v>4000</v>
      </c>
      <c r="B187" s="237" t="s">
        <v>206</v>
      </c>
      <c r="C187" s="238">
        <f t="shared" si="26"/>
        <v>0</v>
      </c>
      <c r="D187" s="239">
        <f>SUM(D188,D191)</f>
        <v>0</v>
      </c>
      <c r="E187" s="245">
        <f>SUM(E188,E191)</f>
        <v>0</v>
      </c>
      <c r="F187" s="320">
        <f t="shared" si="30"/>
        <v>0</v>
      </c>
      <c r="G187" s="239">
        <f>SUM(G188,G191)</f>
        <v>0</v>
      </c>
      <c r="H187" s="242">
        <f>SUM(H188,H191)</f>
        <v>0</v>
      </c>
      <c r="I187" s="243">
        <f t="shared" si="31"/>
        <v>0</v>
      </c>
      <c r="J187" s="239">
        <f>SUM(J188,J191)</f>
        <v>0</v>
      </c>
      <c r="K187" s="242">
        <f>SUM(K188,K191)</f>
        <v>0</v>
      </c>
      <c r="L187" s="243">
        <f t="shared" si="32"/>
        <v>0</v>
      </c>
      <c r="M187" s="244">
        <f>SUM(M188,M191)</f>
        <v>0</v>
      </c>
      <c r="N187" s="245">
        <f>SUM(N188,N191)</f>
        <v>0</v>
      </c>
      <c r="O187" s="243">
        <f t="shared" si="33"/>
        <v>0</v>
      </c>
      <c r="P187" s="246"/>
    </row>
    <row r="188" spans="1:16" ht="24" hidden="1" x14ac:dyDescent="0.25">
      <c r="A188" s="338">
        <v>4200</v>
      </c>
      <c r="B188" s="247" t="s">
        <v>207</v>
      </c>
      <c r="C188" s="100">
        <f t="shared" si="26"/>
        <v>0</v>
      </c>
      <c r="D188" s="112">
        <f>SUM(D189,D190)</f>
        <v>0</v>
      </c>
      <c r="E188" s="293">
        <f>SUM(E189,E190)</f>
        <v>0</v>
      </c>
      <c r="F188" s="313">
        <f t="shared" si="30"/>
        <v>0</v>
      </c>
      <c r="G188" s="112">
        <f>SUM(G189,G190)</f>
        <v>0</v>
      </c>
      <c r="H188" s="113">
        <f>SUM(H189,H190)</f>
        <v>0</v>
      </c>
      <c r="I188" s="114">
        <f t="shared" si="31"/>
        <v>0</v>
      </c>
      <c r="J188" s="112">
        <f>SUM(J189,J190)</f>
        <v>0</v>
      </c>
      <c r="K188" s="113">
        <f>SUM(K189,K190)</f>
        <v>0</v>
      </c>
      <c r="L188" s="114">
        <f t="shared" si="32"/>
        <v>0</v>
      </c>
      <c r="M188" s="292">
        <f>SUM(M189,M190)</f>
        <v>0</v>
      </c>
      <c r="N188" s="293">
        <f>SUM(N189,N190)</f>
        <v>0</v>
      </c>
      <c r="O188" s="114">
        <f t="shared" si="33"/>
        <v>0</v>
      </c>
      <c r="P188" s="109"/>
    </row>
    <row r="189" spans="1:16" ht="36" hidden="1" x14ac:dyDescent="0.25">
      <c r="A189" s="656">
        <v>4240</v>
      </c>
      <c r="B189" s="116" t="s">
        <v>208</v>
      </c>
      <c r="C189" s="117">
        <f t="shared" si="26"/>
        <v>0</v>
      </c>
      <c r="D189" s="123">
        <v>0</v>
      </c>
      <c r="E189" s="262"/>
      <c r="F189" s="263">
        <f t="shared" si="30"/>
        <v>0</v>
      </c>
      <c r="G189" s="123"/>
      <c r="H189" s="124"/>
      <c r="I189" s="125">
        <f t="shared" si="31"/>
        <v>0</v>
      </c>
      <c r="J189" s="123"/>
      <c r="K189" s="124"/>
      <c r="L189" s="125">
        <f t="shared" si="32"/>
        <v>0</v>
      </c>
      <c r="M189" s="264"/>
      <c r="N189" s="262"/>
      <c r="O189" s="125">
        <f t="shared" si="33"/>
        <v>0</v>
      </c>
      <c r="P189" s="74"/>
    </row>
    <row r="190" spans="1:16" ht="24" hidden="1" x14ac:dyDescent="0.25">
      <c r="A190" s="276">
        <v>4250</v>
      </c>
      <c r="B190" s="127" t="s">
        <v>209</v>
      </c>
      <c r="C190" s="128">
        <f t="shared" si="26"/>
        <v>0</v>
      </c>
      <c r="D190" s="134">
        <v>0</v>
      </c>
      <c r="E190" s="285"/>
      <c r="F190" s="286">
        <f t="shared" si="30"/>
        <v>0</v>
      </c>
      <c r="G190" s="134"/>
      <c r="H190" s="135"/>
      <c r="I190" s="136">
        <f t="shared" si="31"/>
        <v>0</v>
      </c>
      <c r="J190" s="134"/>
      <c r="K190" s="135"/>
      <c r="L190" s="136">
        <f t="shared" si="32"/>
        <v>0</v>
      </c>
      <c r="M190" s="284"/>
      <c r="N190" s="285"/>
      <c r="O190" s="136">
        <f t="shared" si="33"/>
        <v>0</v>
      </c>
      <c r="P190" s="85"/>
    </row>
    <row r="191" spans="1:16" hidden="1" x14ac:dyDescent="0.25">
      <c r="A191" s="99">
        <v>4300</v>
      </c>
      <c r="B191" s="247" t="s">
        <v>210</v>
      </c>
      <c r="C191" s="100">
        <f t="shared" si="26"/>
        <v>0</v>
      </c>
      <c r="D191" s="112">
        <f>SUM(D192)</f>
        <v>0</v>
      </c>
      <c r="E191" s="293">
        <f>SUM(E192)</f>
        <v>0</v>
      </c>
      <c r="F191" s="313">
        <f t="shared" si="30"/>
        <v>0</v>
      </c>
      <c r="G191" s="112">
        <f>SUM(G192)</f>
        <v>0</v>
      </c>
      <c r="H191" s="113">
        <f>SUM(H192)</f>
        <v>0</v>
      </c>
      <c r="I191" s="114">
        <f t="shared" si="31"/>
        <v>0</v>
      </c>
      <c r="J191" s="112">
        <f>SUM(J192)</f>
        <v>0</v>
      </c>
      <c r="K191" s="113">
        <f>SUM(K192)</f>
        <v>0</v>
      </c>
      <c r="L191" s="114">
        <f t="shared" si="32"/>
        <v>0</v>
      </c>
      <c r="M191" s="292">
        <f>SUM(M192)</f>
        <v>0</v>
      </c>
      <c r="N191" s="293">
        <f>SUM(N192)</f>
        <v>0</v>
      </c>
      <c r="O191" s="114">
        <f t="shared" si="33"/>
        <v>0</v>
      </c>
      <c r="P191" s="109"/>
    </row>
    <row r="192" spans="1:16" ht="24" hidden="1" x14ac:dyDescent="0.25">
      <c r="A192" s="656">
        <v>4310</v>
      </c>
      <c r="B192" s="116" t="s">
        <v>211</v>
      </c>
      <c r="C192" s="117">
        <f t="shared" si="26"/>
        <v>0</v>
      </c>
      <c r="D192" s="297">
        <f>SUM(D193:D193)</f>
        <v>0</v>
      </c>
      <c r="E192" s="301">
        <f>SUM(E193:E193)</f>
        <v>0</v>
      </c>
      <c r="F192" s="263">
        <f t="shared" si="30"/>
        <v>0</v>
      </c>
      <c r="G192" s="297">
        <f>SUM(G193:G193)</f>
        <v>0</v>
      </c>
      <c r="H192" s="299">
        <f>SUM(H193:H193)</f>
        <v>0</v>
      </c>
      <c r="I192" s="125">
        <f t="shared" si="31"/>
        <v>0</v>
      </c>
      <c r="J192" s="297">
        <f>SUM(J193:J193)</f>
        <v>0</v>
      </c>
      <c r="K192" s="299">
        <f>SUM(K193:K193)</f>
        <v>0</v>
      </c>
      <c r="L192" s="125">
        <f t="shared" si="32"/>
        <v>0</v>
      </c>
      <c r="M192" s="300">
        <f>SUM(M193:M193)</f>
        <v>0</v>
      </c>
      <c r="N192" s="301">
        <f>SUM(N193:N193)</f>
        <v>0</v>
      </c>
      <c r="O192" s="125">
        <f t="shared" si="33"/>
        <v>0</v>
      </c>
      <c r="P192" s="74"/>
    </row>
    <row r="193" spans="1:16" ht="36" hidden="1" x14ac:dyDescent="0.25">
      <c r="A193" s="76">
        <v>4311</v>
      </c>
      <c r="B193" s="127" t="s">
        <v>212</v>
      </c>
      <c r="C193" s="128">
        <f t="shared" si="26"/>
        <v>0</v>
      </c>
      <c r="D193" s="134">
        <v>0</v>
      </c>
      <c r="E193" s="285"/>
      <c r="F193" s="286">
        <f t="shared" si="30"/>
        <v>0</v>
      </c>
      <c r="G193" s="134"/>
      <c r="H193" s="135"/>
      <c r="I193" s="136">
        <f t="shared" si="31"/>
        <v>0</v>
      </c>
      <c r="J193" s="134"/>
      <c r="K193" s="135"/>
      <c r="L193" s="136">
        <f t="shared" si="32"/>
        <v>0</v>
      </c>
      <c r="M193" s="284"/>
      <c r="N193" s="285"/>
      <c r="O193" s="136">
        <f t="shared" si="33"/>
        <v>0</v>
      </c>
      <c r="P193" s="85"/>
    </row>
    <row r="194" spans="1:16" s="41" customFormat="1" ht="16.5" customHeight="1" x14ac:dyDescent="0.25">
      <c r="A194" s="339"/>
      <c r="B194" s="31" t="s">
        <v>213</v>
      </c>
      <c r="C194" s="232">
        <f t="shared" si="26"/>
        <v>161284</v>
      </c>
      <c r="D194" s="230">
        <f>SUM(D195,D230,D268)</f>
        <v>161284</v>
      </c>
      <c r="E194" s="235">
        <f>SUM(E195,E230,E268)</f>
        <v>0</v>
      </c>
      <c r="F194" s="459">
        <f t="shared" si="30"/>
        <v>161284</v>
      </c>
      <c r="G194" s="230">
        <f>SUM(G195,G230,G268)</f>
        <v>0</v>
      </c>
      <c r="H194" s="233">
        <f>SUM(H195,H230,H268)</f>
        <v>0</v>
      </c>
      <c r="I194" s="234">
        <f t="shared" si="31"/>
        <v>0</v>
      </c>
      <c r="J194" s="230">
        <f>SUM(J195,J230,J268)</f>
        <v>0</v>
      </c>
      <c r="K194" s="233">
        <f>SUM(K195,K230,K268)</f>
        <v>0</v>
      </c>
      <c r="L194" s="234">
        <f t="shared" si="32"/>
        <v>0</v>
      </c>
      <c r="M194" s="340">
        <f>SUM(M195,M230,M268)</f>
        <v>0</v>
      </c>
      <c r="N194" s="341">
        <f>SUM(N195,N230,N268)</f>
        <v>0</v>
      </c>
      <c r="O194" s="342">
        <f t="shared" si="33"/>
        <v>0</v>
      </c>
      <c r="P194" s="343"/>
    </row>
    <row r="195" spans="1:16" x14ac:dyDescent="0.25">
      <c r="A195" s="237">
        <v>5000</v>
      </c>
      <c r="B195" s="237" t="s">
        <v>214</v>
      </c>
      <c r="C195" s="241">
        <f>F195+I195+L195+O195</f>
        <v>161284</v>
      </c>
      <c r="D195" s="239">
        <f>D196+D204</f>
        <v>161284</v>
      </c>
      <c r="E195" s="245">
        <f>E196+E204</f>
        <v>0</v>
      </c>
      <c r="F195" s="320">
        <f t="shared" si="30"/>
        <v>161284</v>
      </c>
      <c r="G195" s="239">
        <f>G196+G204</f>
        <v>0</v>
      </c>
      <c r="H195" s="242">
        <f>H196+H204</f>
        <v>0</v>
      </c>
      <c r="I195" s="243">
        <f t="shared" si="31"/>
        <v>0</v>
      </c>
      <c r="J195" s="239">
        <f>J196+J204</f>
        <v>0</v>
      </c>
      <c r="K195" s="242">
        <f>K196+K204</f>
        <v>0</v>
      </c>
      <c r="L195" s="243">
        <f t="shared" si="32"/>
        <v>0</v>
      </c>
      <c r="M195" s="244">
        <f>M196+M204</f>
        <v>0</v>
      </c>
      <c r="N195" s="245">
        <f>N196+N204</f>
        <v>0</v>
      </c>
      <c r="O195" s="243">
        <f t="shared" si="33"/>
        <v>0</v>
      </c>
      <c r="P195" s="246"/>
    </row>
    <row r="196" spans="1:16" x14ac:dyDescent="0.25">
      <c r="A196" s="99">
        <v>5100</v>
      </c>
      <c r="B196" s="247" t="s">
        <v>215</v>
      </c>
      <c r="C196" s="249">
        <f t="shared" si="26"/>
        <v>3584</v>
      </c>
      <c r="D196" s="112">
        <f>D197+D198+D201+D202+D203</f>
        <v>3584</v>
      </c>
      <c r="E196" s="293">
        <f>E197+E198+E201+E202+E203</f>
        <v>0</v>
      </c>
      <c r="F196" s="313">
        <f t="shared" si="30"/>
        <v>3584</v>
      </c>
      <c r="G196" s="112">
        <f>G197+G198+G201+G202+G203</f>
        <v>0</v>
      </c>
      <c r="H196" s="113">
        <f>H197+H198+H201+H202+H203</f>
        <v>0</v>
      </c>
      <c r="I196" s="114">
        <f t="shared" si="31"/>
        <v>0</v>
      </c>
      <c r="J196" s="112">
        <f>J197+J198+J201+J202+J203</f>
        <v>0</v>
      </c>
      <c r="K196" s="113">
        <f>K197+K198+K201+K202+K203</f>
        <v>0</v>
      </c>
      <c r="L196" s="114">
        <f t="shared" si="32"/>
        <v>0</v>
      </c>
      <c r="M196" s="292">
        <f>M197+M198+M201+M202+M203</f>
        <v>0</v>
      </c>
      <c r="N196" s="293">
        <f>N197+N198+N201+N202+N203</f>
        <v>0</v>
      </c>
      <c r="O196" s="114">
        <f t="shared" si="33"/>
        <v>0</v>
      </c>
      <c r="P196" s="109"/>
    </row>
    <row r="197" spans="1:16" hidden="1" x14ac:dyDescent="0.25">
      <c r="A197" s="656">
        <v>5110</v>
      </c>
      <c r="B197" s="116" t="s">
        <v>216</v>
      </c>
      <c r="C197" s="117">
        <f t="shared" si="26"/>
        <v>0</v>
      </c>
      <c r="D197" s="123">
        <v>0</v>
      </c>
      <c r="E197" s="262"/>
      <c r="F197" s="263">
        <f t="shared" si="30"/>
        <v>0</v>
      </c>
      <c r="G197" s="123"/>
      <c r="H197" s="124"/>
      <c r="I197" s="125">
        <f t="shared" si="31"/>
        <v>0</v>
      </c>
      <c r="J197" s="123"/>
      <c r="K197" s="124"/>
      <c r="L197" s="125">
        <f t="shared" si="32"/>
        <v>0</v>
      </c>
      <c r="M197" s="264"/>
      <c r="N197" s="262"/>
      <c r="O197" s="125">
        <f t="shared" si="33"/>
        <v>0</v>
      </c>
      <c r="P197" s="74"/>
    </row>
    <row r="198" spans="1:16" ht="24" x14ac:dyDescent="0.25">
      <c r="A198" s="276">
        <v>5120</v>
      </c>
      <c r="B198" s="127" t="s">
        <v>217</v>
      </c>
      <c r="C198" s="279">
        <f t="shared" si="26"/>
        <v>3584</v>
      </c>
      <c r="D198" s="277">
        <f>D199+D200</f>
        <v>3584</v>
      </c>
      <c r="E198" s="282">
        <f>E199+E200</f>
        <v>0</v>
      </c>
      <c r="F198" s="286">
        <f t="shared" si="30"/>
        <v>3584</v>
      </c>
      <c r="G198" s="277">
        <f>G199+G200</f>
        <v>0</v>
      </c>
      <c r="H198" s="280">
        <f>H199+H200</f>
        <v>0</v>
      </c>
      <c r="I198" s="136">
        <f t="shared" si="31"/>
        <v>0</v>
      </c>
      <c r="J198" s="277">
        <f>J199+J200</f>
        <v>0</v>
      </c>
      <c r="K198" s="280">
        <f>K199+K200</f>
        <v>0</v>
      </c>
      <c r="L198" s="136">
        <f t="shared" si="32"/>
        <v>0</v>
      </c>
      <c r="M198" s="281">
        <f>M199+M200</f>
        <v>0</v>
      </c>
      <c r="N198" s="282">
        <f>N199+N200</f>
        <v>0</v>
      </c>
      <c r="O198" s="136">
        <f t="shared" si="33"/>
        <v>0</v>
      </c>
      <c r="P198" s="85"/>
    </row>
    <row r="199" spans="1:16" x14ac:dyDescent="0.25">
      <c r="A199" s="76">
        <v>5121</v>
      </c>
      <c r="B199" s="127" t="s">
        <v>218</v>
      </c>
      <c r="C199" s="279">
        <f t="shared" si="26"/>
        <v>3584</v>
      </c>
      <c r="D199" s="134">
        <f>2811+773</f>
        <v>3584</v>
      </c>
      <c r="E199" s="285"/>
      <c r="F199" s="286">
        <f t="shared" si="30"/>
        <v>3584</v>
      </c>
      <c r="G199" s="134"/>
      <c r="H199" s="135"/>
      <c r="I199" s="136">
        <f t="shared" si="31"/>
        <v>0</v>
      </c>
      <c r="J199" s="134"/>
      <c r="K199" s="135"/>
      <c r="L199" s="136">
        <f t="shared" si="32"/>
        <v>0</v>
      </c>
      <c r="M199" s="284"/>
      <c r="N199" s="285"/>
      <c r="O199" s="136">
        <f t="shared" si="33"/>
        <v>0</v>
      </c>
      <c r="P199" s="1032"/>
    </row>
    <row r="200" spans="1:16" ht="24" hidden="1" x14ac:dyDescent="0.25">
      <c r="A200" s="76">
        <v>5129</v>
      </c>
      <c r="B200" s="127" t="s">
        <v>219</v>
      </c>
      <c r="C200" s="128">
        <f t="shared" si="26"/>
        <v>0</v>
      </c>
      <c r="D200" s="134">
        <v>0</v>
      </c>
      <c r="E200" s="285"/>
      <c r="F200" s="286">
        <f t="shared" si="30"/>
        <v>0</v>
      </c>
      <c r="G200" s="134"/>
      <c r="H200" s="135"/>
      <c r="I200" s="136">
        <f t="shared" si="31"/>
        <v>0</v>
      </c>
      <c r="J200" s="134"/>
      <c r="K200" s="135"/>
      <c r="L200" s="136">
        <f t="shared" si="32"/>
        <v>0</v>
      </c>
      <c r="M200" s="284"/>
      <c r="N200" s="285"/>
      <c r="O200" s="136">
        <f t="shared" si="33"/>
        <v>0</v>
      </c>
      <c r="P200" s="85"/>
    </row>
    <row r="201" spans="1:16" hidden="1" x14ac:dyDescent="0.25">
      <c r="A201" s="276">
        <v>5130</v>
      </c>
      <c r="B201" s="127" t="s">
        <v>220</v>
      </c>
      <c r="C201" s="128">
        <f t="shared" si="26"/>
        <v>0</v>
      </c>
      <c r="D201" s="134">
        <v>0</v>
      </c>
      <c r="E201" s="285"/>
      <c r="F201" s="286">
        <f t="shared" si="30"/>
        <v>0</v>
      </c>
      <c r="G201" s="134"/>
      <c r="H201" s="135"/>
      <c r="I201" s="136">
        <f t="shared" si="31"/>
        <v>0</v>
      </c>
      <c r="J201" s="134"/>
      <c r="K201" s="135"/>
      <c r="L201" s="136">
        <f t="shared" si="32"/>
        <v>0</v>
      </c>
      <c r="M201" s="284"/>
      <c r="N201" s="285"/>
      <c r="O201" s="136">
        <f t="shared" si="33"/>
        <v>0</v>
      </c>
      <c r="P201" s="85"/>
    </row>
    <row r="202" spans="1:16" hidden="1" x14ac:dyDescent="0.25">
      <c r="A202" s="276">
        <v>5140</v>
      </c>
      <c r="B202" s="127" t="s">
        <v>221</v>
      </c>
      <c r="C202" s="128">
        <f t="shared" si="26"/>
        <v>0</v>
      </c>
      <c r="D202" s="134">
        <v>0</v>
      </c>
      <c r="E202" s="285"/>
      <c r="F202" s="286">
        <f t="shared" si="30"/>
        <v>0</v>
      </c>
      <c r="G202" s="134"/>
      <c r="H202" s="135"/>
      <c r="I202" s="136">
        <f t="shared" si="31"/>
        <v>0</v>
      </c>
      <c r="J202" s="134"/>
      <c r="K202" s="135"/>
      <c r="L202" s="136">
        <f t="shared" si="32"/>
        <v>0</v>
      </c>
      <c r="M202" s="284"/>
      <c r="N202" s="285"/>
      <c r="O202" s="136">
        <f t="shared" si="33"/>
        <v>0</v>
      </c>
      <c r="P202" s="85"/>
    </row>
    <row r="203" spans="1:16" ht="24" hidden="1" x14ac:dyDescent="0.25">
      <c r="A203" s="276">
        <v>5170</v>
      </c>
      <c r="B203" s="127" t="s">
        <v>222</v>
      </c>
      <c r="C203" s="128">
        <f t="shared" si="26"/>
        <v>0</v>
      </c>
      <c r="D203" s="134">
        <v>0</v>
      </c>
      <c r="E203" s="285"/>
      <c r="F203" s="286">
        <f t="shared" si="30"/>
        <v>0</v>
      </c>
      <c r="G203" s="134"/>
      <c r="H203" s="135"/>
      <c r="I203" s="136">
        <f t="shared" si="31"/>
        <v>0</v>
      </c>
      <c r="J203" s="134"/>
      <c r="K203" s="135"/>
      <c r="L203" s="136">
        <f t="shared" si="32"/>
        <v>0</v>
      </c>
      <c r="M203" s="284"/>
      <c r="N203" s="285"/>
      <c r="O203" s="136">
        <f t="shared" si="33"/>
        <v>0</v>
      </c>
      <c r="P203" s="85"/>
    </row>
    <row r="204" spans="1:16" x14ac:dyDescent="0.25">
      <c r="A204" s="99">
        <v>5200</v>
      </c>
      <c r="B204" s="247" t="s">
        <v>223</v>
      </c>
      <c r="C204" s="249">
        <f t="shared" si="26"/>
        <v>157700</v>
      </c>
      <c r="D204" s="112">
        <f>D205+D215+D216+D225+D226+D227+D229</f>
        <v>157700</v>
      </c>
      <c r="E204" s="293">
        <f>E205+E215+E216+E225+E226+E227+E229</f>
        <v>0</v>
      </c>
      <c r="F204" s="313">
        <f t="shared" si="30"/>
        <v>157700</v>
      </c>
      <c r="G204" s="112">
        <f>G205+G215+G216+G225+G226+G227+G229</f>
        <v>0</v>
      </c>
      <c r="H204" s="113">
        <f>H205+H215+H216+H225+H226+H227+H229</f>
        <v>0</v>
      </c>
      <c r="I204" s="114">
        <f t="shared" si="31"/>
        <v>0</v>
      </c>
      <c r="J204" s="112">
        <f>J205+J215+J216+J225+J226+J227+J229</f>
        <v>0</v>
      </c>
      <c r="K204" s="113">
        <f>K205+K215+K216+K225+K226+K227+K229</f>
        <v>0</v>
      </c>
      <c r="L204" s="114">
        <f t="shared" si="32"/>
        <v>0</v>
      </c>
      <c r="M204" s="292">
        <f>M205+M215+M216+M225+M226+M227+M229</f>
        <v>0</v>
      </c>
      <c r="N204" s="293">
        <f>N205+N215+N216+N225+N226+N227+N229</f>
        <v>0</v>
      </c>
      <c r="O204" s="114">
        <f t="shared" si="33"/>
        <v>0</v>
      </c>
      <c r="P204" s="109"/>
    </row>
    <row r="205" spans="1:16" hidden="1" x14ac:dyDescent="0.25">
      <c r="A205" s="254">
        <v>5210</v>
      </c>
      <c r="B205" s="179" t="s">
        <v>224</v>
      </c>
      <c r="C205" s="191">
        <f t="shared" si="26"/>
        <v>0</v>
      </c>
      <c r="D205" s="255">
        <f>SUM(D206:D214)</f>
        <v>0</v>
      </c>
      <c r="E205" s="261">
        <f>SUM(E206:E214)</f>
        <v>0</v>
      </c>
      <c r="F205" s="310">
        <f t="shared" si="30"/>
        <v>0</v>
      </c>
      <c r="G205" s="255">
        <f>SUM(G206:G214)</f>
        <v>0</v>
      </c>
      <c r="H205" s="258">
        <f>SUM(H206:H214)</f>
        <v>0</v>
      </c>
      <c r="I205" s="259">
        <f t="shared" si="31"/>
        <v>0</v>
      </c>
      <c r="J205" s="255">
        <f>SUM(J206:J214)</f>
        <v>0</v>
      </c>
      <c r="K205" s="258">
        <f>SUM(K206:K214)</f>
        <v>0</v>
      </c>
      <c r="L205" s="259">
        <f t="shared" si="32"/>
        <v>0</v>
      </c>
      <c r="M205" s="260">
        <f>SUM(M206:M214)</f>
        <v>0</v>
      </c>
      <c r="N205" s="261">
        <f>SUM(N206:N214)</f>
        <v>0</v>
      </c>
      <c r="O205" s="259">
        <f t="shared" si="33"/>
        <v>0</v>
      </c>
      <c r="P205" s="189"/>
    </row>
    <row r="206" spans="1:16" hidden="1" x14ac:dyDescent="0.25">
      <c r="A206" s="66">
        <v>5211</v>
      </c>
      <c r="B206" s="116" t="s">
        <v>225</v>
      </c>
      <c r="C206" s="279">
        <f t="shared" si="26"/>
        <v>0</v>
      </c>
      <c r="D206" s="123">
        <v>0</v>
      </c>
      <c r="E206" s="262"/>
      <c r="F206" s="263">
        <f t="shared" si="30"/>
        <v>0</v>
      </c>
      <c r="G206" s="123"/>
      <c r="H206" s="124"/>
      <c r="I206" s="125">
        <f t="shared" si="31"/>
        <v>0</v>
      </c>
      <c r="J206" s="123"/>
      <c r="K206" s="124"/>
      <c r="L206" s="125">
        <f t="shared" si="32"/>
        <v>0</v>
      </c>
      <c r="M206" s="264"/>
      <c r="N206" s="262"/>
      <c r="O206" s="125">
        <f t="shared" si="33"/>
        <v>0</v>
      </c>
      <c r="P206" s="74"/>
    </row>
    <row r="207" spans="1:16" hidden="1" x14ac:dyDescent="0.25">
      <c r="A207" s="76">
        <v>5212</v>
      </c>
      <c r="B207" s="127" t="s">
        <v>226</v>
      </c>
      <c r="C207" s="279">
        <f t="shared" si="26"/>
        <v>0</v>
      </c>
      <c r="D207" s="134">
        <v>0</v>
      </c>
      <c r="E207" s="285"/>
      <c r="F207" s="286">
        <f t="shared" si="30"/>
        <v>0</v>
      </c>
      <c r="G207" s="134"/>
      <c r="H207" s="135"/>
      <c r="I207" s="136">
        <f t="shared" si="31"/>
        <v>0</v>
      </c>
      <c r="J207" s="134"/>
      <c r="K207" s="135"/>
      <c r="L207" s="136">
        <f t="shared" si="32"/>
        <v>0</v>
      </c>
      <c r="M207" s="284"/>
      <c r="N207" s="285"/>
      <c r="O207" s="136">
        <f t="shared" si="33"/>
        <v>0</v>
      </c>
      <c r="P207" s="85"/>
    </row>
    <row r="208" spans="1:16" hidden="1" x14ac:dyDescent="0.25">
      <c r="A208" s="76">
        <v>5213</v>
      </c>
      <c r="B208" s="127" t="s">
        <v>227</v>
      </c>
      <c r="C208" s="279">
        <f t="shared" si="26"/>
        <v>0</v>
      </c>
      <c r="D208" s="134">
        <v>0</v>
      </c>
      <c r="E208" s="285"/>
      <c r="F208" s="286">
        <f t="shared" si="30"/>
        <v>0</v>
      </c>
      <c r="G208" s="134"/>
      <c r="H208" s="135"/>
      <c r="I208" s="136">
        <f t="shared" si="31"/>
        <v>0</v>
      </c>
      <c r="J208" s="134"/>
      <c r="K208" s="135"/>
      <c r="L208" s="136">
        <f t="shared" si="32"/>
        <v>0</v>
      </c>
      <c r="M208" s="284"/>
      <c r="N208" s="285"/>
      <c r="O208" s="136">
        <f t="shared" si="33"/>
        <v>0</v>
      </c>
      <c r="P208" s="85"/>
    </row>
    <row r="209" spans="1:16" hidden="1" x14ac:dyDescent="0.25">
      <c r="A209" s="76">
        <v>5214</v>
      </c>
      <c r="B209" s="127" t="s">
        <v>228</v>
      </c>
      <c r="C209" s="279">
        <f t="shared" si="26"/>
        <v>0</v>
      </c>
      <c r="D209" s="134">
        <v>0</v>
      </c>
      <c r="E209" s="285"/>
      <c r="F209" s="286">
        <f t="shared" si="30"/>
        <v>0</v>
      </c>
      <c r="G209" s="134"/>
      <c r="H209" s="135"/>
      <c r="I209" s="136">
        <f t="shared" si="31"/>
        <v>0</v>
      </c>
      <c r="J209" s="134"/>
      <c r="K209" s="135"/>
      <c r="L209" s="136">
        <f t="shared" si="32"/>
        <v>0</v>
      </c>
      <c r="M209" s="284"/>
      <c r="N209" s="285"/>
      <c r="O209" s="136">
        <f t="shared" si="33"/>
        <v>0</v>
      </c>
      <c r="P209" s="85"/>
    </row>
    <row r="210" spans="1:16" hidden="1" x14ac:dyDescent="0.25">
      <c r="A210" s="76">
        <v>5215</v>
      </c>
      <c r="B210" s="127" t="s">
        <v>229</v>
      </c>
      <c r="C210" s="279">
        <f t="shared" si="26"/>
        <v>0</v>
      </c>
      <c r="D210" s="134">
        <v>0</v>
      </c>
      <c r="E210" s="285"/>
      <c r="F210" s="286">
        <f t="shared" si="30"/>
        <v>0</v>
      </c>
      <c r="G210" s="134"/>
      <c r="H210" s="135"/>
      <c r="I210" s="136">
        <f t="shared" si="31"/>
        <v>0</v>
      </c>
      <c r="J210" s="134"/>
      <c r="K210" s="135"/>
      <c r="L210" s="136">
        <f t="shared" si="32"/>
        <v>0</v>
      </c>
      <c r="M210" s="284"/>
      <c r="N210" s="285"/>
      <c r="O210" s="136">
        <f t="shared" si="33"/>
        <v>0</v>
      </c>
      <c r="P210" s="85"/>
    </row>
    <row r="211" spans="1:16" hidden="1" x14ac:dyDescent="0.25">
      <c r="A211" s="76">
        <v>5216</v>
      </c>
      <c r="B211" s="127" t="s">
        <v>230</v>
      </c>
      <c r="C211" s="279">
        <f t="shared" si="26"/>
        <v>0</v>
      </c>
      <c r="D211" s="134">
        <v>0</v>
      </c>
      <c r="E211" s="285"/>
      <c r="F211" s="286">
        <f t="shared" si="30"/>
        <v>0</v>
      </c>
      <c r="G211" s="134"/>
      <c r="H211" s="135"/>
      <c r="I211" s="136">
        <f t="shared" si="31"/>
        <v>0</v>
      </c>
      <c r="J211" s="134"/>
      <c r="K211" s="135"/>
      <c r="L211" s="136">
        <f t="shared" si="32"/>
        <v>0</v>
      </c>
      <c r="M211" s="284"/>
      <c r="N211" s="285"/>
      <c r="O211" s="136">
        <f t="shared" si="33"/>
        <v>0</v>
      </c>
      <c r="P211" s="85"/>
    </row>
    <row r="212" spans="1:16" hidden="1" x14ac:dyDescent="0.25">
      <c r="A212" s="76">
        <v>5217</v>
      </c>
      <c r="B212" s="127" t="s">
        <v>231</v>
      </c>
      <c r="C212" s="279">
        <f t="shared" si="26"/>
        <v>0</v>
      </c>
      <c r="D212" s="134">
        <v>0</v>
      </c>
      <c r="E212" s="285"/>
      <c r="F212" s="286">
        <f t="shared" si="30"/>
        <v>0</v>
      </c>
      <c r="G212" s="134"/>
      <c r="H212" s="135"/>
      <c r="I212" s="136">
        <f t="shared" si="31"/>
        <v>0</v>
      </c>
      <c r="J212" s="134"/>
      <c r="K212" s="135"/>
      <c r="L212" s="136">
        <f t="shared" si="32"/>
        <v>0</v>
      </c>
      <c r="M212" s="284"/>
      <c r="N212" s="285"/>
      <c r="O212" s="136">
        <f t="shared" si="33"/>
        <v>0</v>
      </c>
      <c r="P212" s="85"/>
    </row>
    <row r="213" spans="1:16" hidden="1" x14ac:dyDescent="0.25">
      <c r="A213" s="76">
        <v>5218</v>
      </c>
      <c r="B213" s="127" t="s">
        <v>232</v>
      </c>
      <c r="C213" s="279">
        <f t="shared" si="26"/>
        <v>0</v>
      </c>
      <c r="D213" s="134">
        <v>0</v>
      </c>
      <c r="E213" s="285"/>
      <c r="F213" s="286">
        <f t="shared" si="30"/>
        <v>0</v>
      </c>
      <c r="G213" s="134"/>
      <c r="H213" s="135"/>
      <c r="I213" s="136">
        <f t="shared" si="31"/>
        <v>0</v>
      </c>
      <c r="J213" s="134"/>
      <c r="K213" s="135"/>
      <c r="L213" s="136">
        <f t="shared" si="32"/>
        <v>0</v>
      </c>
      <c r="M213" s="284"/>
      <c r="N213" s="285"/>
      <c r="O213" s="136">
        <f t="shared" si="33"/>
        <v>0</v>
      </c>
      <c r="P213" s="85"/>
    </row>
    <row r="214" spans="1:16" hidden="1" x14ac:dyDescent="0.25">
      <c r="A214" s="76">
        <v>5219</v>
      </c>
      <c r="B214" s="127" t="s">
        <v>233</v>
      </c>
      <c r="C214" s="279">
        <f t="shared" si="26"/>
        <v>0</v>
      </c>
      <c r="D214" s="134">
        <v>0</v>
      </c>
      <c r="E214" s="285"/>
      <c r="F214" s="286">
        <f t="shared" si="30"/>
        <v>0</v>
      </c>
      <c r="G214" s="134"/>
      <c r="H214" s="135"/>
      <c r="I214" s="136">
        <f t="shared" si="31"/>
        <v>0</v>
      </c>
      <c r="J214" s="134"/>
      <c r="K214" s="135"/>
      <c r="L214" s="136">
        <f t="shared" si="32"/>
        <v>0</v>
      </c>
      <c r="M214" s="284"/>
      <c r="N214" s="285"/>
      <c r="O214" s="136">
        <f t="shared" si="33"/>
        <v>0</v>
      </c>
      <c r="P214" s="85"/>
    </row>
    <row r="215" spans="1:16" hidden="1" x14ac:dyDescent="0.25">
      <c r="A215" s="276">
        <v>5220</v>
      </c>
      <c r="B215" s="127" t="s">
        <v>234</v>
      </c>
      <c r="C215" s="279">
        <f t="shared" si="26"/>
        <v>0</v>
      </c>
      <c r="D215" s="134">
        <v>0</v>
      </c>
      <c r="E215" s="285"/>
      <c r="F215" s="286">
        <f t="shared" si="30"/>
        <v>0</v>
      </c>
      <c r="G215" s="134"/>
      <c r="H215" s="135"/>
      <c r="I215" s="136">
        <f t="shared" si="31"/>
        <v>0</v>
      </c>
      <c r="J215" s="134"/>
      <c r="K215" s="135"/>
      <c r="L215" s="136">
        <f t="shared" si="32"/>
        <v>0</v>
      </c>
      <c r="M215" s="284"/>
      <c r="N215" s="285"/>
      <c r="O215" s="136">
        <f t="shared" si="33"/>
        <v>0</v>
      </c>
      <c r="P215" s="85"/>
    </row>
    <row r="216" spans="1:16" x14ac:dyDescent="0.25">
      <c r="A216" s="276">
        <v>5230</v>
      </c>
      <c r="B216" s="127" t="s">
        <v>235</v>
      </c>
      <c r="C216" s="279">
        <f t="shared" si="26"/>
        <v>157700</v>
      </c>
      <c r="D216" s="277">
        <f>SUM(D217:D224)</f>
        <v>157700</v>
      </c>
      <c r="E216" s="282">
        <f>SUM(E217:E224)</f>
        <v>0</v>
      </c>
      <c r="F216" s="286">
        <f t="shared" si="30"/>
        <v>157700</v>
      </c>
      <c r="G216" s="277">
        <f>SUM(G217:G224)</f>
        <v>0</v>
      </c>
      <c r="H216" s="280">
        <f>SUM(H217:H224)</f>
        <v>0</v>
      </c>
      <c r="I216" s="136">
        <f t="shared" si="31"/>
        <v>0</v>
      </c>
      <c r="J216" s="277">
        <f>SUM(J217:J224)</f>
        <v>0</v>
      </c>
      <c r="K216" s="280">
        <f>SUM(K217:K224)</f>
        <v>0</v>
      </c>
      <c r="L216" s="136">
        <f t="shared" si="32"/>
        <v>0</v>
      </c>
      <c r="M216" s="281">
        <f>SUM(M217:M224)</f>
        <v>0</v>
      </c>
      <c r="N216" s="282">
        <f>SUM(N217:N224)</f>
        <v>0</v>
      </c>
      <c r="O216" s="136">
        <f t="shared" si="33"/>
        <v>0</v>
      </c>
      <c r="P216" s="85"/>
    </row>
    <row r="217" spans="1:16" hidden="1" x14ac:dyDescent="0.25">
      <c r="A217" s="76">
        <v>5231</v>
      </c>
      <c r="B217" s="127" t="s">
        <v>236</v>
      </c>
      <c r="C217" s="279">
        <f t="shared" si="26"/>
        <v>0</v>
      </c>
      <c r="D217" s="134">
        <v>0</v>
      </c>
      <c r="E217" s="285"/>
      <c r="F217" s="286">
        <f t="shared" si="30"/>
        <v>0</v>
      </c>
      <c r="G217" s="134"/>
      <c r="H217" s="135"/>
      <c r="I217" s="136">
        <f t="shared" si="31"/>
        <v>0</v>
      </c>
      <c r="J217" s="134"/>
      <c r="K217" s="135"/>
      <c r="L217" s="136">
        <f t="shared" si="32"/>
        <v>0</v>
      </c>
      <c r="M217" s="284"/>
      <c r="N217" s="285"/>
      <c r="O217" s="136">
        <f t="shared" si="33"/>
        <v>0</v>
      </c>
      <c r="P217" s="85"/>
    </row>
    <row r="218" spans="1:16" hidden="1" x14ac:dyDescent="0.25">
      <c r="A218" s="76">
        <v>5232</v>
      </c>
      <c r="B218" s="127" t="s">
        <v>237</v>
      </c>
      <c r="C218" s="279">
        <f t="shared" si="26"/>
        <v>0</v>
      </c>
      <c r="D218" s="134">
        <v>0</v>
      </c>
      <c r="E218" s="285"/>
      <c r="F218" s="286">
        <f t="shared" si="30"/>
        <v>0</v>
      </c>
      <c r="G218" s="134"/>
      <c r="H218" s="135"/>
      <c r="I218" s="136">
        <f t="shared" si="31"/>
        <v>0</v>
      </c>
      <c r="J218" s="134"/>
      <c r="K218" s="135"/>
      <c r="L218" s="136">
        <f t="shared" si="32"/>
        <v>0</v>
      </c>
      <c r="M218" s="284"/>
      <c r="N218" s="285"/>
      <c r="O218" s="136">
        <f t="shared" si="33"/>
        <v>0</v>
      </c>
      <c r="P218" s="85"/>
    </row>
    <row r="219" spans="1:16" hidden="1" x14ac:dyDescent="0.25">
      <c r="A219" s="76">
        <v>5233</v>
      </c>
      <c r="B219" s="127" t="s">
        <v>238</v>
      </c>
      <c r="C219" s="279">
        <f t="shared" si="26"/>
        <v>0</v>
      </c>
      <c r="D219" s="134">
        <v>0</v>
      </c>
      <c r="E219" s="285"/>
      <c r="F219" s="286">
        <f t="shared" si="30"/>
        <v>0</v>
      </c>
      <c r="G219" s="134"/>
      <c r="H219" s="135"/>
      <c r="I219" s="136">
        <f t="shared" si="31"/>
        <v>0</v>
      </c>
      <c r="J219" s="134"/>
      <c r="K219" s="135"/>
      <c r="L219" s="136">
        <f t="shared" si="32"/>
        <v>0</v>
      </c>
      <c r="M219" s="284"/>
      <c r="N219" s="285"/>
      <c r="O219" s="136">
        <f t="shared" si="33"/>
        <v>0</v>
      </c>
      <c r="P219" s="85"/>
    </row>
    <row r="220" spans="1:16" hidden="1" x14ac:dyDescent="0.25">
      <c r="A220" s="76">
        <v>5234</v>
      </c>
      <c r="B220" s="127" t="s">
        <v>239</v>
      </c>
      <c r="C220" s="279">
        <f t="shared" si="26"/>
        <v>0</v>
      </c>
      <c r="D220" s="134">
        <v>0</v>
      </c>
      <c r="E220" s="285"/>
      <c r="F220" s="286">
        <f t="shared" si="30"/>
        <v>0</v>
      </c>
      <c r="G220" s="134"/>
      <c r="H220" s="135"/>
      <c r="I220" s="136">
        <f t="shared" si="31"/>
        <v>0</v>
      </c>
      <c r="J220" s="134"/>
      <c r="K220" s="135"/>
      <c r="L220" s="136">
        <f t="shared" si="32"/>
        <v>0</v>
      </c>
      <c r="M220" s="284"/>
      <c r="N220" s="285"/>
      <c r="O220" s="136">
        <f t="shared" si="33"/>
        <v>0</v>
      </c>
      <c r="P220" s="85"/>
    </row>
    <row r="221" spans="1:16" hidden="1" x14ac:dyDescent="0.25">
      <c r="A221" s="76">
        <v>5236</v>
      </c>
      <c r="B221" s="127" t="s">
        <v>240</v>
      </c>
      <c r="C221" s="279">
        <f t="shared" si="26"/>
        <v>0</v>
      </c>
      <c r="D221" s="134">
        <v>0</v>
      </c>
      <c r="E221" s="285"/>
      <c r="F221" s="286">
        <f t="shared" si="30"/>
        <v>0</v>
      </c>
      <c r="G221" s="134"/>
      <c r="H221" s="135"/>
      <c r="I221" s="136">
        <f t="shared" si="31"/>
        <v>0</v>
      </c>
      <c r="J221" s="134"/>
      <c r="K221" s="135"/>
      <c r="L221" s="136">
        <f t="shared" si="32"/>
        <v>0</v>
      </c>
      <c r="M221" s="284"/>
      <c r="N221" s="285"/>
      <c r="O221" s="136">
        <f t="shared" si="33"/>
        <v>0</v>
      </c>
      <c r="P221" s="85"/>
    </row>
    <row r="222" spans="1:16" hidden="1" x14ac:dyDescent="0.25">
      <c r="A222" s="76">
        <v>5237</v>
      </c>
      <c r="B222" s="127" t="s">
        <v>241</v>
      </c>
      <c r="C222" s="279">
        <f t="shared" si="26"/>
        <v>0</v>
      </c>
      <c r="D222" s="134">
        <v>0</v>
      </c>
      <c r="E222" s="285"/>
      <c r="F222" s="286">
        <f t="shared" si="30"/>
        <v>0</v>
      </c>
      <c r="G222" s="134"/>
      <c r="H222" s="135"/>
      <c r="I222" s="136">
        <f t="shared" si="31"/>
        <v>0</v>
      </c>
      <c r="J222" s="134"/>
      <c r="K222" s="135"/>
      <c r="L222" s="136">
        <f t="shared" si="32"/>
        <v>0</v>
      </c>
      <c r="M222" s="284"/>
      <c r="N222" s="285"/>
      <c r="O222" s="136">
        <f t="shared" si="33"/>
        <v>0</v>
      </c>
      <c r="P222" s="85"/>
    </row>
    <row r="223" spans="1:16" x14ac:dyDescent="0.25">
      <c r="A223" s="76">
        <v>5238</v>
      </c>
      <c r="B223" s="127" t="s">
        <v>242</v>
      </c>
      <c r="C223" s="279">
        <f t="shared" si="26"/>
        <v>47700</v>
      </c>
      <c r="D223" s="134">
        <v>47700</v>
      </c>
      <c r="E223" s="285"/>
      <c r="F223" s="286">
        <f t="shared" si="30"/>
        <v>47700</v>
      </c>
      <c r="G223" s="134"/>
      <c r="H223" s="135"/>
      <c r="I223" s="136">
        <f t="shared" si="31"/>
        <v>0</v>
      </c>
      <c r="J223" s="134"/>
      <c r="K223" s="135"/>
      <c r="L223" s="136">
        <f t="shared" si="32"/>
        <v>0</v>
      </c>
      <c r="M223" s="284"/>
      <c r="N223" s="285"/>
      <c r="O223" s="136">
        <f t="shared" si="33"/>
        <v>0</v>
      </c>
      <c r="P223" s="85"/>
    </row>
    <row r="224" spans="1:16" ht="24" x14ac:dyDescent="0.25">
      <c r="A224" s="76">
        <v>5239</v>
      </c>
      <c r="B224" s="127" t="s">
        <v>243</v>
      </c>
      <c r="C224" s="279">
        <f t="shared" si="26"/>
        <v>110000</v>
      </c>
      <c r="D224" s="134">
        <v>110000</v>
      </c>
      <c r="E224" s="285"/>
      <c r="F224" s="286">
        <f t="shared" si="30"/>
        <v>110000</v>
      </c>
      <c r="G224" s="134"/>
      <c r="H224" s="135"/>
      <c r="I224" s="136">
        <f t="shared" si="31"/>
        <v>0</v>
      </c>
      <c r="J224" s="134"/>
      <c r="K224" s="135"/>
      <c r="L224" s="136">
        <f t="shared" si="32"/>
        <v>0</v>
      </c>
      <c r="M224" s="284"/>
      <c r="N224" s="285"/>
      <c r="O224" s="136">
        <f t="shared" si="33"/>
        <v>0</v>
      </c>
      <c r="P224" s="85"/>
    </row>
    <row r="225" spans="1:16" ht="24" hidden="1" x14ac:dyDescent="0.25">
      <c r="A225" s="276">
        <v>5240</v>
      </c>
      <c r="B225" s="127" t="s">
        <v>244</v>
      </c>
      <c r="C225" s="279">
        <f t="shared" si="26"/>
        <v>0</v>
      </c>
      <c r="D225" s="134">
        <v>0</v>
      </c>
      <c r="E225" s="285"/>
      <c r="F225" s="286">
        <f t="shared" si="30"/>
        <v>0</v>
      </c>
      <c r="G225" s="134"/>
      <c r="H225" s="135"/>
      <c r="I225" s="136">
        <f t="shared" si="31"/>
        <v>0</v>
      </c>
      <c r="J225" s="134"/>
      <c r="K225" s="135"/>
      <c r="L225" s="136">
        <f t="shared" si="32"/>
        <v>0</v>
      </c>
      <c r="M225" s="284"/>
      <c r="N225" s="285"/>
      <c r="O225" s="136">
        <f t="shared" si="33"/>
        <v>0</v>
      </c>
      <c r="P225" s="85"/>
    </row>
    <row r="226" spans="1:16" hidden="1" x14ac:dyDescent="0.25">
      <c r="A226" s="276">
        <v>5250</v>
      </c>
      <c r="B226" s="127" t="s">
        <v>245</v>
      </c>
      <c r="C226" s="279">
        <f t="shared" si="26"/>
        <v>0</v>
      </c>
      <c r="D226" s="134">
        <v>0</v>
      </c>
      <c r="E226" s="285"/>
      <c r="F226" s="286">
        <f t="shared" si="30"/>
        <v>0</v>
      </c>
      <c r="G226" s="134"/>
      <c r="H226" s="135"/>
      <c r="I226" s="136">
        <f t="shared" si="31"/>
        <v>0</v>
      </c>
      <c r="J226" s="134"/>
      <c r="K226" s="135"/>
      <c r="L226" s="136">
        <f t="shared" si="32"/>
        <v>0</v>
      </c>
      <c r="M226" s="284"/>
      <c r="N226" s="285"/>
      <c r="O226" s="136">
        <f t="shared" si="33"/>
        <v>0</v>
      </c>
      <c r="P226" s="85"/>
    </row>
    <row r="227" spans="1:16" hidden="1" x14ac:dyDescent="0.25">
      <c r="A227" s="276">
        <v>5260</v>
      </c>
      <c r="B227" s="127" t="s">
        <v>246</v>
      </c>
      <c r="C227" s="279">
        <f t="shared" si="26"/>
        <v>0</v>
      </c>
      <c r="D227" s="277">
        <f>SUM(D228)</f>
        <v>0</v>
      </c>
      <c r="E227" s="282">
        <f>SUM(E228)</f>
        <v>0</v>
      </c>
      <c r="F227" s="286">
        <f t="shared" si="30"/>
        <v>0</v>
      </c>
      <c r="G227" s="277">
        <f>SUM(G228)</f>
        <v>0</v>
      </c>
      <c r="H227" s="280">
        <f>SUM(H228)</f>
        <v>0</v>
      </c>
      <c r="I227" s="136">
        <f t="shared" si="31"/>
        <v>0</v>
      </c>
      <c r="J227" s="277">
        <f>SUM(J228)</f>
        <v>0</v>
      </c>
      <c r="K227" s="280">
        <f>SUM(K228)</f>
        <v>0</v>
      </c>
      <c r="L227" s="136">
        <f t="shared" si="32"/>
        <v>0</v>
      </c>
      <c r="M227" s="281">
        <f>SUM(M228)</f>
        <v>0</v>
      </c>
      <c r="N227" s="282">
        <f>SUM(N228)</f>
        <v>0</v>
      </c>
      <c r="O227" s="136">
        <f t="shared" si="33"/>
        <v>0</v>
      </c>
      <c r="P227" s="85"/>
    </row>
    <row r="228" spans="1:16" ht="24" hidden="1" x14ac:dyDescent="0.25">
      <c r="A228" s="76">
        <v>5269</v>
      </c>
      <c r="B228" s="127" t="s">
        <v>247</v>
      </c>
      <c r="C228" s="279">
        <f t="shared" si="26"/>
        <v>0</v>
      </c>
      <c r="D228" s="134">
        <v>0</v>
      </c>
      <c r="E228" s="285"/>
      <c r="F228" s="286">
        <f t="shared" si="30"/>
        <v>0</v>
      </c>
      <c r="G228" s="134"/>
      <c r="H228" s="135"/>
      <c r="I228" s="136">
        <f t="shared" si="31"/>
        <v>0</v>
      </c>
      <c r="J228" s="134"/>
      <c r="K228" s="135"/>
      <c r="L228" s="136">
        <f t="shared" si="32"/>
        <v>0</v>
      </c>
      <c r="M228" s="284"/>
      <c r="N228" s="285"/>
      <c r="O228" s="136">
        <f t="shared" si="33"/>
        <v>0</v>
      </c>
      <c r="P228" s="85"/>
    </row>
    <row r="229" spans="1:16" ht="24" hidden="1" x14ac:dyDescent="0.25">
      <c r="A229" s="254">
        <v>5270</v>
      </c>
      <c r="B229" s="179" t="s">
        <v>248</v>
      </c>
      <c r="C229" s="302">
        <f t="shared" si="26"/>
        <v>0</v>
      </c>
      <c r="D229" s="287">
        <v>0</v>
      </c>
      <c r="E229" s="291"/>
      <c r="F229" s="310">
        <f t="shared" si="30"/>
        <v>0</v>
      </c>
      <c r="G229" s="287"/>
      <c r="H229" s="289"/>
      <c r="I229" s="259">
        <f t="shared" si="31"/>
        <v>0</v>
      </c>
      <c r="J229" s="287"/>
      <c r="K229" s="289"/>
      <c r="L229" s="259">
        <f t="shared" si="32"/>
        <v>0</v>
      </c>
      <c r="M229" s="290"/>
      <c r="N229" s="291"/>
      <c r="O229" s="259">
        <f t="shared" si="33"/>
        <v>0</v>
      </c>
      <c r="P229" s="189"/>
    </row>
    <row r="230" spans="1:16" hidden="1" x14ac:dyDescent="0.25">
      <c r="A230" s="237">
        <v>6000</v>
      </c>
      <c r="B230" s="237" t="s">
        <v>249</v>
      </c>
      <c r="C230" s="241">
        <f t="shared" si="26"/>
        <v>0</v>
      </c>
      <c r="D230" s="239">
        <f>D231+D251+D258</f>
        <v>0</v>
      </c>
      <c r="E230" s="245">
        <f>E231+E251+E258</f>
        <v>0</v>
      </c>
      <c r="F230" s="320">
        <f t="shared" si="30"/>
        <v>0</v>
      </c>
      <c r="G230" s="239">
        <f>G231+G251+G258</f>
        <v>0</v>
      </c>
      <c r="H230" s="242">
        <f>H231+H251+H258</f>
        <v>0</v>
      </c>
      <c r="I230" s="243">
        <f t="shared" si="31"/>
        <v>0</v>
      </c>
      <c r="J230" s="239">
        <f>J231+J251+J258</f>
        <v>0</v>
      </c>
      <c r="K230" s="242">
        <f>K231+K251+K258</f>
        <v>0</v>
      </c>
      <c r="L230" s="243">
        <f t="shared" si="32"/>
        <v>0</v>
      </c>
      <c r="M230" s="244">
        <f>M231+M251+M258</f>
        <v>0</v>
      </c>
      <c r="N230" s="245">
        <f>N231+N251+N258</f>
        <v>0</v>
      </c>
      <c r="O230" s="243">
        <f t="shared" si="33"/>
        <v>0</v>
      </c>
      <c r="P230" s="246"/>
    </row>
    <row r="231" spans="1:16" hidden="1" x14ac:dyDescent="0.25">
      <c r="A231" s="160">
        <v>6200</v>
      </c>
      <c r="B231" s="321" t="s">
        <v>250</v>
      </c>
      <c r="C231" s="648">
        <f>F231+I231+L231+O231</f>
        <v>0</v>
      </c>
      <c r="D231" s="334">
        <f>SUM(D232,D233,D235,D238,D244,D245,D246)</f>
        <v>0</v>
      </c>
      <c r="E231" s="251">
        <f>SUM(E232,E233,E235,E238,E244,E245,E246)</f>
        <v>0</v>
      </c>
      <c r="F231" s="335">
        <f>D231+E231</f>
        <v>0</v>
      </c>
      <c r="G231" s="334">
        <f>SUM(G232,G233,G235,G238,G244,G245,G246)</f>
        <v>0</v>
      </c>
      <c r="H231" s="336">
        <f>SUM(H232,H233,H235,H238,H244,H245,H246)</f>
        <v>0</v>
      </c>
      <c r="I231" s="252">
        <f t="shared" si="31"/>
        <v>0</v>
      </c>
      <c r="J231" s="334">
        <f>SUM(J232,J233,J235,J238,J244,J245,J246)</f>
        <v>0</v>
      </c>
      <c r="K231" s="336">
        <f>SUM(K232,K233,K235,K238,K244,K245,K246)</f>
        <v>0</v>
      </c>
      <c r="L231" s="252">
        <f t="shared" si="32"/>
        <v>0</v>
      </c>
      <c r="M231" s="250">
        <f>SUM(M232,M233,M235,M238,M244,M245,M246)</f>
        <v>0</v>
      </c>
      <c r="N231" s="251">
        <f>SUM(N232,N233,N235,N238,N244,N245,N246)</f>
        <v>0</v>
      </c>
      <c r="O231" s="252">
        <f t="shared" si="33"/>
        <v>0</v>
      </c>
      <c r="P231" s="253"/>
    </row>
    <row r="232" spans="1:16" ht="24" hidden="1" x14ac:dyDescent="0.25">
      <c r="A232" s="656">
        <v>6220</v>
      </c>
      <c r="B232" s="116" t="s">
        <v>251</v>
      </c>
      <c r="C232" s="298">
        <f t="shared" si="26"/>
        <v>0</v>
      </c>
      <c r="D232" s="123">
        <v>0</v>
      </c>
      <c r="E232" s="262"/>
      <c r="F232" s="263">
        <f t="shared" si="30"/>
        <v>0</v>
      </c>
      <c r="G232" s="123"/>
      <c r="H232" s="124"/>
      <c r="I232" s="125">
        <f t="shared" si="31"/>
        <v>0</v>
      </c>
      <c r="J232" s="123"/>
      <c r="K232" s="124"/>
      <c r="L232" s="125">
        <f t="shared" si="32"/>
        <v>0</v>
      </c>
      <c r="M232" s="264"/>
      <c r="N232" s="262"/>
      <c r="O232" s="125">
        <f t="shared" si="33"/>
        <v>0</v>
      </c>
      <c r="P232" s="74"/>
    </row>
    <row r="233" spans="1:16" hidden="1" x14ac:dyDescent="0.25">
      <c r="A233" s="276">
        <v>6230</v>
      </c>
      <c r="B233" s="127" t="s">
        <v>252</v>
      </c>
      <c r="C233" s="278">
        <f t="shared" si="26"/>
        <v>0</v>
      </c>
      <c r="D233" s="277">
        <f>SUM(D234)</f>
        <v>0</v>
      </c>
      <c r="E233" s="280">
        <f>SUM(E234)</f>
        <v>0</v>
      </c>
      <c r="F233" s="286">
        <f t="shared" si="30"/>
        <v>0</v>
      </c>
      <c r="G233" s="277">
        <f>SUM(G234)</f>
        <v>0</v>
      </c>
      <c r="H233" s="280">
        <f>SUM(H234)</f>
        <v>0</v>
      </c>
      <c r="I233" s="136">
        <f t="shared" si="31"/>
        <v>0</v>
      </c>
      <c r="J233" s="277">
        <f>SUM(J234)</f>
        <v>0</v>
      </c>
      <c r="K233" s="280">
        <f>SUM(K234)</f>
        <v>0</v>
      </c>
      <c r="L233" s="136">
        <f t="shared" si="32"/>
        <v>0</v>
      </c>
      <c r="M233" s="277">
        <f>SUM(M234)</f>
        <v>0</v>
      </c>
      <c r="N233" s="280">
        <f>SUM(N234)</f>
        <v>0</v>
      </c>
      <c r="O233" s="136">
        <f t="shared" si="33"/>
        <v>0</v>
      </c>
      <c r="P233" s="85"/>
    </row>
    <row r="234" spans="1:16" hidden="1" x14ac:dyDescent="0.25">
      <c r="A234" s="76">
        <v>6239</v>
      </c>
      <c r="B234" s="116" t="s">
        <v>253</v>
      </c>
      <c r="C234" s="278">
        <f t="shared" si="26"/>
        <v>0</v>
      </c>
      <c r="D234" s="134">
        <v>0</v>
      </c>
      <c r="E234" s="285"/>
      <c r="F234" s="286">
        <f t="shared" si="30"/>
        <v>0</v>
      </c>
      <c r="G234" s="134"/>
      <c r="H234" s="135"/>
      <c r="I234" s="136">
        <f t="shared" si="31"/>
        <v>0</v>
      </c>
      <c r="J234" s="134"/>
      <c r="K234" s="135"/>
      <c r="L234" s="136">
        <f t="shared" si="32"/>
        <v>0</v>
      </c>
      <c r="M234" s="284"/>
      <c r="N234" s="285"/>
      <c r="O234" s="136">
        <f t="shared" si="33"/>
        <v>0</v>
      </c>
      <c r="P234" s="85"/>
    </row>
    <row r="235" spans="1:16" ht="24" hidden="1" x14ac:dyDescent="0.25">
      <c r="A235" s="276">
        <v>6240</v>
      </c>
      <c r="B235" s="127" t="s">
        <v>254</v>
      </c>
      <c r="C235" s="279">
        <f t="shared" si="26"/>
        <v>0</v>
      </c>
      <c r="D235" s="277">
        <f>SUM(D236:D237)</f>
        <v>0</v>
      </c>
      <c r="E235" s="282">
        <f>SUM(E236:E237)</f>
        <v>0</v>
      </c>
      <c r="F235" s="286">
        <f t="shared" si="30"/>
        <v>0</v>
      </c>
      <c r="G235" s="277">
        <f>SUM(G236:G237)</f>
        <v>0</v>
      </c>
      <c r="H235" s="280">
        <f>SUM(H236:H237)</f>
        <v>0</v>
      </c>
      <c r="I235" s="136">
        <f t="shared" si="31"/>
        <v>0</v>
      </c>
      <c r="J235" s="277">
        <f>SUM(J236:J237)</f>
        <v>0</v>
      </c>
      <c r="K235" s="280">
        <f>SUM(K236:K237)</f>
        <v>0</v>
      </c>
      <c r="L235" s="136">
        <f t="shared" si="32"/>
        <v>0</v>
      </c>
      <c r="M235" s="281">
        <f>SUM(M236:M237)</f>
        <v>0</v>
      </c>
      <c r="N235" s="282">
        <f>SUM(N236:N237)</f>
        <v>0</v>
      </c>
      <c r="O235" s="136">
        <f t="shared" si="33"/>
        <v>0</v>
      </c>
      <c r="P235" s="85"/>
    </row>
    <row r="236" spans="1:16" hidden="1" x14ac:dyDescent="0.25">
      <c r="A236" s="76">
        <v>6241</v>
      </c>
      <c r="B236" s="127" t="s">
        <v>255</v>
      </c>
      <c r="C236" s="278">
        <f t="shared" si="26"/>
        <v>0</v>
      </c>
      <c r="D236" s="134">
        <v>0</v>
      </c>
      <c r="E236" s="285"/>
      <c r="F236" s="286">
        <f t="shared" si="30"/>
        <v>0</v>
      </c>
      <c r="G236" s="134"/>
      <c r="H236" s="135"/>
      <c r="I236" s="136">
        <f t="shared" si="31"/>
        <v>0</v>
      </c>
      <c r="J236" s="134"/>
      <c r="K236" s="135"/>
      <c r="L236" s="136">
        <f t="shared" si="32"/>
        <v>0</v>
      </c>
      <c r="M236" s="284"/>
      <c r="N236" s="285"/>
      <c r="O236" s="136">
        <f t="shared" si="33"/>
        <v>0</v>
      </c>
      <c r="P236" s="85"/>
    </row>
    <row r="237" spans="1:16" hidden="1" x14ac:dyDescent="0.25">
      <c r="A237" s="76">
        <v>6242</v>
      </c>
      <c r="B237" s="127" t="s">
        <v>256</v>
      </c>
      <c r="C237" s="279">
        <f t="shared" si="26"/>
        <v>0</v>
      </c>
      <c r="D237" s="134">
        <v>0</v>
      </c>
      <c r="E237" s="285"/>
      <c r="F237" s="286">
        <f t="shared" si="30"/>
        <v>0</v>
      </c>
      <c r="G237" s="134"/>
      <c r="H237" s="135"/>
      <c r="I237" s="136">
        <f t="shared" si="31"/>
        <v>0</v>
      </c>
      <c r="J237" s="134"/>
      <c r="K237" s="135"/>
      <c r="L237" s="136">
        <f t="shared" si="32"/>
        <v>0</v>
      </c>
      <c r="M237" s="284"/>
      <c r="N237" s="285"/>
      <c r="O237" s="136">
        <f t="shared" si="33"/>
        <v>0</v>
      </c>
      <c r="P237" s="85"/>
    </row>
    <row r="238" spans="1:16" ht="24" hidden="1" x14ac:dyDescent="0.25">
      <c r="A238" s="276">
        <v>6250</v>
      </c>
      <c r="B238" s="127" t="s">
        <v>257</v>
      </c>
      <c r="C238" s="278">
        <f t="shared" si="26"/>
        <v>0</v>
      </c>
      <c r="D238" s="277">
        <f>SUM(D239:D243)</f>
        <v>0</v>
      </c>
      <c r="E238" s="282">
        <f>SUM(E239:E243)</f>
        <v>0</v>
      </c>
      <c r="F238" s="286">
        <f t="shared" si="30"/>
        <v>0</v>
      </c>
      <c r="G238" s="277">
        <f>SUM(G239:G243)</f>
        <v>0</v>
      </c>
      <c r="H238" s="280">
        <f>SUM(H239:H243)</f>
        <v>0</v>
      </c>
      <c r="I238" s="136">
        <f t="shared" si="31"/>
        <v>0</v>
      </c>
      <c r="J238" s="277">
        <f>SUM(J239:J243)</f>
        <v>0</v>
      </c>
      <c r="K238" s="280">
        <f>SUM(K239:K243)</f>
        <v>0</v>
      </c>
      <c r="L238" s="136">
        <f t="shared" si="32"/>
        <v>0</v>
      </c>
      <c r="M238" s="281">
        <f>SUM(M239:M243)</f>
        <v>0</v>
      </c>
      <c r="N238" s="282">
        <f>SUM(N239:N243)</f>
        <v>0</v>
      </c>
      <c r="O238" s="136">
        <f t="shared" si="33"/>
        <v>0</v>
      </c>
      <c r="P238" s="85"/>
    </row>
    <row r="239" spans="1:16" hidden="1" x14ac:dyDescent="0.25">
      <c r="A239" s="76">
        <v>6252</v>
      </c>
      <c r="B239" s="127" t="s">
        <v>258</v>
      </c>
      <c r="C239" s="278">
        <f t="shared" si="26"/>
        <v>0</v>
      </c>
      <c r="D239" s="134">
        <v>0</v>
      </c>
      <c r="E239" s="285"/>
      <c r="F239" s="286">
        <f t="shared" si="30"/>
        <v>0</v>
      </c>
      <c r="G239" s="134"/>
      <c r="H239" s="135"/>
      <c r="I239" s="136">
        <f t="shared" si="31"/>
        <v>0</v>
      </c>
      <c r="J239" s="134"/>
      <c r="K239" s="135"/>
      <c r="L239" s="136">
        <f t="shared" si="32"/>
        <v>0</v>
      </c>
      <c r="M239" s="284"/>
      <c r="N239" s="285"/>
      <c r="O239" s="136">
        <f t="shared" si="33"/>
        <v>0</v>
      </c>
      <c r="P239" s="85"/>
    </row>
    <row r="240" spans="1:16" hidden="1" x14ac:dyDescent="0.25">
      <c r="A240" s="76">
        <v>6253</v>
      </c>
      <c r="B240" s="127" t="s">
        <v>259</v>
      </c>
      <c r="C240" s="278">
        <f t="shared" si="26"/>
        <v>0</v>
      </c>
      <c r="D240" s="134">
        <v>0</v>
      </c>
      <c r="E240" s="285"/>
      <c r="F240" s="286">
        <f t="shared" si="30"/>
        <v>0</v>
      </c>
      <c r="G240" s="134"/>
      <c r="H240" s="135"/>
      <c r="I240" s="136">
        <f t="shared" si="31"/>
        <v>0</v>
      </c>
      <c r="J240" s="134"/>
      <c r="K240" s="135"/>
      <c r="L240" s="136">
        <f t="shared" si="32"/>
        <v>0</v>
      </c>
      <c r="M240" s="284"/>
      <c r="N240" s="285"/>
      <c r="O240" s="136">
        <f t="shared" si="33"/>
        <v>0</v>
      </c>
      <c r="P240" s="85"/>
    </row>
    <row r="241" spans="1:16" ht="24" hidden="1" x14ac:dyDescent="0.25">
      <c r="A241" s="76">
        <v>6254</v>
      </c>
      <c r="B241" s="127" t="s">
        <v>260</v>
      </c>
      <c r="C241" s="278">
        <f t="shared" si="26"/>
        <v>0</v>
      </c>
      <c r="D241" s="134">
        <v>0</v>
      </c>
      <c r="E241" s="285"/>
      <c r="F241" s="286">
        <f t="shared" si="30"/>
        <v>0</v>
      </c>
      <c r="G241" s="134"/>
      <c r="H241" s="135"/>
      <c r="I241" s="136">
        <f t="shared" si="31"/>
        <v>0</v>
      </c>
      <c r="J241" s="134"/>
      <c r="K241" s="135"/>
      <c r="L241" s="136">
        <f t="shared" si="32"/>
        <v>0</v>
      </c>
      <c r="M241" s="284"/>
      <c r="N241" s="285"/>
      <c r="O241" s="136">
        <f t="shared" si="33"/>
        <v>0</v>
      </c>
      <c r="P241" s="85"/>
    </row>
    <row r="242" spans="1:16" ht="24" hidden="1" x14ac:dyDescent="0.25">
      <c r="A242" s="76">
        <v>6255</v>
      </c>
      <c r="B242" s="127" t="s">
        <v>261</v>
      </c>
      <c r="C242" s="278">
        <f t="shared" si="26"/>
        <v>0</v>
      </c>
      <c r="D242" s="134">
        <v>0</v>
      </c>
      <c r="E242" s="285"/>
      <c r="F242" s="286">
        <f t="shared" si="30"/>
        <v>0</v>
      </c>
      <c r="G242" s="134"/>
      <c r="H242" s="135"/>
      <c r="I242" s="136">
        <f t="shared" si="31"/>
        <v>0</v>
      </c>
      <c r="J242" s="134"/>
      <c r="K242" s="135"/>
      <c r="L242" s="136">
        <f t="shared" si="32"/>
        <v>0</v>
      </c>
      <c r="M242" s="284"/>
      <c r="N242" s="285"/>
      <c r="O242" s="136">
        <f t="shared" si="33"/>
        <v>0</v>
      </c>
      <c r="P242" s="85"/>
    </row>
    <row r="243" spans="1:16" hidden="1" x14ac:dyDescent="0.25">
      <c r="A243" s="76">
        <v>6259</v>
      </c>
      <c r="B243" s="127" t="s">
        <v>262</v>
      </c>
      <c r="C243" s="278">
        <f t="shared" si="26"/>
        <v>0</v>
      </c>
      <c r="D243" s="134">
        <v>0</v>
      </c>
      <c r="E243" s="285"/>
      <c r="F243" s="286">
        <f t="shared" si="30"/>
        <v>0</v>
      </c>
      <c r="G243" s="134"/>
      <c r="H243" s="135"/>
      <c r="I243" s="136">
        <f t="shared" si="31"/>
        <v>0</v>
      </c>
      <c r="J243" s="134"/>
      <c r="K243" s="135"/>
      <c r="L243" s="136">
        <f t="shared" si="32"/>
        <v>0</v>
      </c>
      <c r="M243" s="284"/>
      <c r="N243" s="285"/>
      <c r="O243" s="136">
        <f t="shared" si="33"/>
        <v>0</v>
      </c>
      <c r="P243" s="85"/>
    </row>
    <row r="244" spans="1:16" ht="24" hidden="1" x14ac:dyDescent="0.25">
      <c r="A244" s="276">
        <v>6260</v>
      </c>
      <c r="B244" s="127" t="s">
        <v>263</v>
      </c>
      <c r="C244" s="278">
        <f t="shared" si="26"/>
        <v>0</v>
      </c>
      <c r="D244" s="134">
        <v>0</v>
      </c>
      <c r="E244" s="285"/>
      <c r="F244" s="286">
        <f t="shared" ref="F244:F296" si="37">D244+E244</f>
        <v>0</v>
      </c>
      <c r="G244" s="134"/>
      <c r="H244" s="135"/>
      <c r="I244" s="136">
        <f t="shared" ref="I244:I296" si="38">G244+H244</f>
        <v>0</v>
      </c>
      <c r="J244" s="134"/>
      <c r="K244" s="135"/>
      <c r="L244" s="136">
        <f t="shared" ref="L244:L296" si="39">J244+K244</f>
        <v>0</v>
      </c>
      <c r="M244" s="284"/>
      <c r="N244" s="285"/>
      <c r="O244" s="136">
        <f t="shared" ref="O244:O273" si="40">M244+N244</f>
        <v>0</v>
      </c>
      <c r="P244" s="85"/>
    </row>
    <row r="245" spans="1:16" hidden="1" x14ac:dyDescent="0.25">
      <c r="A245" s="276">
        <v>6270</v>
      </c>
      <c r="B245" s="127" t="s">
        <v>264</v>
      </c>
      <c r="C245" s="278">
        <f t="shared" si="26"/>
        <v>0</v>
      </c>
      <c r="D245" s="134">
        <v>0</v>
      </c>
      <c r="E245" s="285"/>
      <c r="F245" s="286">
        <f t="shared" si="37"/>
        <v>0</v>
      </c>
      <c r="G245" s="134"/>
      <c r="H245" s="135"/>
      <c r="I245" s="136">
        <f t="shared" si="38"/>
        <v>0</v>
      </c>
      <c r="J245" s="134"/>
      <c r="K245" s="135"/>
      <c r="L245" s="136">
        <f t="shared" si="39"/>
        <v>0</v>
      </c>
      <c r="M245" s="284"/>
      <c r="N245" s="285"/>
      <c r="O245" s="136">
        <f t="shared" si="40"/>
        <v>0</v>
      </c>
      <c r="P245" s="85"/>
    </row>
    <row r="246" spans="1:16" hidden="1" x14ac:dyDescent="0.25">
      <c r="A246" s="656">
        <v>6290</v>
      </c>
      <c r="B246" s="116" t="s">
        <v>265</v>
      </c>
      <c r="C246" s="278">
        <f t="shared" si="26"/>
        <v>0</v>
      </c>
      <c r="D246" s="297">
        <f>SUM(D247:D250)</f>
        <v>0</v>
      </c>
      <c r="E246" s="301">
        <f>SUM(E247:E250)</f>
        <v>0</v>
      </c>
      <c r="F246" s="263">
        <f t="shared" si="37"/>
        <v>0</v>
      </c>
      <c r="G246" s="297">
        <f>SUM(G247:G250)</f>
        <v>0</v>
      </c>
      <c r="H246" s="299">
        <f t="shared" ref="H246" si="41">SUM(H247:H250)</f>
        <v>0</v>
      </c>
      <c r="I246" s="125">
        <f t="shared" si="38"/>
        <v>0</v>
      </c>
      <c r="J246" s="297">
        <f>SUM(J247:J250)</f>
        <v>0</v>
      </c>
      <c r="K246" s="299">
        <f t="shared" ref="K246" si="42">SUM(K247:K250)</f>
        <v>0</v>
      </c>
      <c r="L246" s="125">
        <f t="shared" si="39"/>
        <v>0</v>
      </c>
      <c r="M246" s="322">
        <f t="shared" ref="M246:N246" si="43">SUM(M247:M250)</f>
        <v>0</v>
      </c>
      <c r="N246" s="323">
        <f t="shared" si="43"/>
        <v>0</v>
      </c>
      <c r="O246" s="324">
        <f t="shared" si="40"/>
        <v>0</v>
      </c>
      <c r="P246" s="325"/>
    </row>
    <row r="247" spans="1:16" hidden="1" x14ac:dyDescent="0.25">
      <c r="A247" s="76">
        <v>6291</v>
      </c>
      <c r="B247" s="127" t="s">
        <v>266</v>
      </c>
      <c r="C247" s="278">
        <f t="shared" si="26"/>
        <v>0</v>
      </c>
      <c r="D247" s="134">
        <v>0</v>
      </c>
      <c r="E247" s="285"/>
      <c r="F247" s="286">
        <f t="shared" si="37"/>
        <v>0</v>
      </c>
      <c r="G247" s="134"/>
      <c r="H247" s="135"/>
      <c r="I247" s="136">
        <f t="shared" si="38"/>
        <v>0</v>
      </c>
      <c r="J247" s="134"/>
      <c r="K247" s="135"/>
      <c r="L247" s="136">
        <f t="shared" si="39"/>
        <v>0</v>
      </c>
      <c r="M247" s="284"/>
      <c r="N247" s="285"/>
      <c r="O247" s="136">
        <f t="shared" si="40"/>
        <v>0</v>
      </c>
      <c r="P247" s="85"/>
    </row>
    <row r="248" spans="1:16" hidden="1" x14ac:dyDescent="0.25">
      <c r="A248" s="76">
        <v>6292</v>
      </c>
      <c r="B248" s="127" t="s">
        <v>267</v>
      </c>
      <c r="C248" s="278">
        <f t="shared" si="26"/>
        <v>0</v>
      </c>
      <c r="D248" s="134">
        <v>0</v>
      </c>
      <c r="E248" s="285"/>
      <c r="F248" s="286">
        <f t="shared" si="37"/>
        <v>0</v>
      </c>
      <c r="G248" s="134"/>
      <c r="H248" s="135"/>
      <c r="I248" s="136">
        <f t="shared" si="38"/>
        <v>0</v>
      </c>
      <c r="J248" s="134"/>
      <c r="K248" s="135"/>
      <c r="L248" s="136">
        <f t="shared" si="39"/>
        <v>0</v>
      </c>
      <c r="M248" s="284"/>
      <c r="N248" s="285"/>
      <c r="O248" s="136">
        <f t="shared" si="40"/>
        <v>0</v>
      </c>
      <c r="P248" s="85"/>
    </row>
    <row r="249" spans="1:16" ht="72" hidden="1" x14ac:dyDescent="0.25">
      <c r="A249" s="76">
        <v>6296</v>
      </c>
      <c r="B249" s="127" t="s">
        <v>268</v>
      </c>
      <c r="C249" s="278">
        <f t="shared" si="26"/>
        <v>0</v>
      </c>
      <c r="D249" s="134">
        <v>0</v>
      </c>
      <c r="E249" s="285"/>
      <c r="F249" s="286">
        <f t="shared" si="37"/>
        <v>0</v>
      </c>
      <c r="G249" s="134"/>
      <c r="H249" s="135"/>
      <c r="I249" s="136">
        <f t="shared" si="38"/>
        <v>0</v>
      </c>
      <c r="J249" s="134"/>
      <c r="K249" s="135"/>
      <c r="L249" s="136">
        <f t="shared" si="39"/>
        <v>0</v>
      </c>
      <c r="M249" s="284"/>
      <c r="N249" s="285"/>
      <c r="O249" s="136">
        <f t="shared" si="40"/>
        <v>0</v>
      </c>
      <c r="P249" s="85"/>
    </row>
    <row r="250" spans="1:16" ht="36" hidden="1" x14ac:dyDescent="0.25">
      <c r="A250" s="76">
        <v>6299</v>
      </c>
      <c r="B250" s="127" t="s">
        <v>269</v>
      </c>
      <c r="C250" s="278">
        <f t="shared" si="26"/>
        <v>0</v>
      </c>
      <c r="D250" s="134">
        <v>0</v>
      </c>
      <c r="E250" s="285"/>
      <c r="F250" s="286">
        <f t="shared" si="37"/>
        <v>0</v>
      </c>
      <c r="G250" s="134"/>
      <c r="H250" s="135"/>
      <c r="I250" s="136">
        <f t="shared" si="38"/>
        <v>0</v>
      </c>
      <c r="J250" s="134"/>
      <c r="K250" s="135"/>
      <c r="L250" s="136">
        <f t="shared" si="39"/>
        <v>0</v>
      </c>
      <c r="M250" s="284"/>
      <c r="N250" s="285"/>
      <c r="O250" s="136">
        <f t="shared" si="40"/>
        <v>0</v>
      </c>
      <c r="P250" s="85"/>
    </row>
    <row r="251" spans="1:16" hidden="1" x14ac:dyDescent="0.25">
      <c r="A251" s="99">
        <v>6300</v>
      </c>
      <c r="B251" s="247" t="s">
        <v>270</v>
      </c>
      <c r="C251" s="100">
        <f t="shared" si="26"/>
        <v>0</v>
      </c>
      <c r="D251" s="112">
        <f>SUM(D252,D256,D257)</f>
        <v>0</v>
      </c>
      <c r="E251" s="293">
        <f>SUM(E252,E256,E257)</f>
        <v>0</v>
      </c>
      <c r="F251" s="313">
        <f t="shared" si="37"/>
        <v>0</v>
      </c>
      <c r="G251" s="112">
        <f>SUM(G252,G256,G257)</f>
        <v>0</v>
      </c>
      <c r="H251" s="113">
        <f t="shared" ref="H251" si="44">SUM(H252,H256,H257)</f>
        <v>0</v>
      </c>
      <c r="I251" s="114">
        <f t="shared" si="38"/>
        <v>0</v>
      </c>
      <c r="J251" s="112">
        <f>SUM(J252,J256,J257)</f>
        <v>0</v>
      </c>
      <c r="K251" s="113">
        <f t="shared" ref="K251" si="45">SUM(K252,K256,K257)</f>
        <v>0</v>
      </c>
      <c r="L251" s="114">
        <f t="shared" si="39"/>
        <v>0</v>
      </c>
      <c r="M251" s="303">
        <f t="shared" ref="M251:N251" si="46">SUM(M252,M256,M257)</f>
        <v>0</v>
      </c>
      <c r="N251" s="304">
        <f t="shared" si="46"/>
        <v>0</v>
      </c>
      <c r="O251" s="305">
        <f t="shared" si="40"/>
        <v>0</v>
      </c>
      <c r="P251" s="306"/>
    </row>
    <row r="252" spans="1:16" ht="24" hidden="1" x14ac:dyDescent="0.25">
      <c r="A252" s="656">
        <v>6320</v>
      </c>
      <c r="B252" s="116" t="s">
        <v>271</v>
      </c>
      <c r="C252" s="322">
        <f t="shared" si="26"/>
        <v>0</v>
      </c>
      <c r="D252" s="297">
        <f>SUM(D253:D255)</f>
        <v>0</v>
      </c>
      <c r="E252" s="301">
        <f>SUM(E253:E255)</f>
        <v>0</v>
      </c>
      <c r="F252" s="263">
        <f t="shared" si="37"/>
        <v>0</v>
      </c>
      <c r="G252" s="297">
        <f>SUM(G253:G255)</f>
        <v>0</v>
      </c>
      <c r="H252" s="299">
        <f t="shared" ref="H252" si="47">SUM(H253:H255)</f>
        <v>0</v>
      </c>
      <c r="I252" s="125">
        <f t="shared" si="38"/>
        <v>0</v>
      </c>
      <c r="J252" s="297">
        <f>SUM(J253:J255)</f>
        <v>0</v>
      </c>
      <c r="K252" s="299">
        <f t="shared" ref="K252" si="48">SUM(K253:K255)</f>
        <v>0</v>
      </c>
      <c r="L252" s="125">
        <f t="shared" si="39"/>
        <v>0</v>
      </c>
      <c r="M252" s="300">
        <f t="shared" ref="M252:N252" si="49">SUM(M253:M255)</f>
        <v>0</v>
      </c>
      <c r="N252" s="301">
        <f t="shared" si="49"/>
        <v>0</v>
      </c>
      <c r="O252" s="125">
        <f t="shared" si="40"/>
        <v>0</v>
      </c>
      <c r="P252" s="74"/>
    </row>
    <row r="253" spans="1:16" hidden="1" x14ac:dyDescent="0.25">
      <c r="A253" s="76">
        <v>6322</v>
      </c>
      <c r="B253" s="127" t="s">
        <v>272</v>
      </c>
      <c r="C253" s="281">
        <f t="shared" si="26"/>
        <v>0</v>
      </c>
      <c r="D253" s="134">
        <v>0</v>
      </c>
      <c r="E253" s="285"/>
      <c r="F253" s="286">
        <f t="shared" si="37"/>
        <v>0</v>
      </c>
      <c r="G253" s="134"/>
      <c r="H253" s="135"/>
      <c r="I253" s="136">
        <f t="shared" si="38"/>
        <v>0</v>
      </c>
      <c r="J253" s="134"/>
      <c r="K253" s="135"/>
      <c r="L253" s="136">
        <f t="shared" si="39"/>
        <v>0</v>
      </c>
      <c r="M253" s="284"/>
      <c r="N253" s="285"/>
      <c r="O253" s="136">
        <f t="shared" si="40"/>
        <v>0</v>
      </c>
      <c r="P253" s="85"/>
    </row>
    <row r="254" spans="1:16" ht="24" hidden="1" x14ac:dyDescent="0.25">
      <c r="A254" s="76">
        <v>6323</v>
      </c>
      <c r="B254" s="127" t="s">
        <v>273</v>
      </c>
      <c r="C254" s="281">
        <f t="shared" si="26"/>
        <v>0</v>
      </c>
      <c r="D254" s="134">
        <v>0</v>
      </c>
      <c r="E254" s="285"/>
      <c r="F254" s="286">
        <f t="shared" si="37"/>
        <v>0</v>
      </c>
      <c r="G254" s="134"/>
      <c r="H254" s="135"/>
      <c r="I254" s="136">
        <f t="shared" si="38"/>
        <v>0</v>
      </c>
      <c r="J254" s="134"/>
      <c r="K254" s="135"/>
      <c r="L254" s="136">
        <f t="shared" si="39"/>
        <v>0</v>
      </c>
      <c r="M254" s="284"/>
      <c r="N254" s="285"/>
      <c r="O254" s="136">
        <f t="shared" si="40"/>
        <v>0</v>
      </c>
      <c r="P254" s="85"/>
    </row>
    <row r="255" spans="1:16" ht="24" hidden="1" x14ac:dyDescent="0.25">
      <c r="A255" s="66">
        <v>6324</v>
      </c>
      <c r="B255" s="116" t="s">
        <v>274</v>
      </c>
      <c r="C255" s="281">
        <f t="shared" si="26"/>
        <v>0</v>
      </c>
      <c r="D255" s="123">
        <v>0</v>
      </c>
      <c r="E255" s="262"/>
      <c r="F255" s="263">
        <f t="shared" si="37"/>
        <v>0</v>
      </c>
      <c r="G255" s="123"/>
      <c r="H255" s="124"/>
      <c r="I255" s="125">
        <f t="shared" si="38"/>
        <v>0</v>
      </c>
      <c r="J255" s="123"/>
      <c r="K255" s="124"/>
      <c r="L255" s="125">
        <f t="shared" si="39"/>
        <v>0</v>
      </c>
      <c r="M255" s="264"/>
      <c r="N255" s="262"/>
      <c r="O255" s="125">
        <f t="shared" si="40"/>
        <v>0</v>
      </c>
      <c r="P255" s="74"/>
    </row>
    <row r="256" spans="1:16" ht="24" hidden="1" x14ac:dyDescent="0.25">
      <c r="A256" s="344">
        <v>6330</v>
      </c>
      <c r="B256" s="345" t="s">
        <v>275</v>
      </c>
      <c r="C256" s="281">
        <f t="shared" ref="C256:C283" si="50">F256+I256+L256+O256</f>
        <v>0</v>
      </c>
      <c r="D256" s="328">
        <v>0</v>
      </c>
      <c r="E256" s="329"/>
      <c r="F256" s="330">
        <f t="shared" si="37"/>
        <v>0</v>
      </c>
      <c r="G256" s="328"/>
      <c r="H256" s="331"/>
      <c r="I256" s="324">
        <f t="shared" si="38"/>
        <v>0</v>
      </c>
      <c r="J256" s="328"/>
      <c r="K256" s="331"/>
      <c r="L256" s="324">
        <f t="shared" si="39"/>
        <v>0</v>
      </c>
      <c r="M256" s="332"/>
      <c r="N256" s="329"/>
      <c r="O256" s="324">
        <f t="shared" si="40"/>
        <v>0</v>
      </c>
      <c r="P256" s="325"/>
    </row>
    <row r="257" spans="1:16" hidden="1" x14ac:dyDescent="0.25">
      <c r="A257" s="276">
        <v>6360</v>
      </c>
      <c r="B257" s="127" t="s">
        <v>276</v>
      </c>
      <c r="C257" s="281">
        <f t="shared" si="50"/>
        <v>0</v>
      </c>
      <c r="D257" s="134">
        <v>0</v>
      </c>
      <c r="E257" s="285"/>
      <c r="F257" s="286">
        <f t="shared" si="37"/>
        <v>0</v>
      </c>
      <c r="G257" s="134"/>
      <c r="H257" s="135"/>
      <c r="I257" s="136">
        <f t="shared" si="38"/>
        <v>0</v>
      </c>
      <c r="J257" s="134"/>
      <c r="K257" s="135"/>
      <c r="L257" s="136">
        <f t="shared" si="39"/>
        <v>0</v>
      </c>
      <c r="M257" s="284"/>
      <c r="N257" s="285"/>
      <c r="O257" s="136">
        <f t="shared" si="40"/>
        <v>0</v>
      </c>
      <c r="P257" s="85"/>
    </row>
    <row r="258" spans="1:16" ht="24" hidden="1" x14ac:dyDescent="0.25">
      <c r="A258" s="99">
        <v>6400</v>
      </c>
      <c r="B258" s="247" t="s">
        <v>277</v>
      </c>
      <c r="C258" s="100">
        <f t="shared" si="50"/>
        <v>0</v>
      </c>
      <c r="D258" s="112">
        <f>SUM(D259,D263)</f>
        <v>0</v>
      </c>
      <c r="E258" s="293">
        <f>SUM(E259,E263)</f>
        <v>0</v>
      </c>
      <c r="F258" s="313">
        <f t="shared" si="37"/>
        <v>0</v>
      </c>
      <c r="G258" s="112">
        <f>SUM(G259,G263)</f>
        <v>0</v>
      </c>
      <c r="H258" s="113">
        <f t="shared" ref="H258" si="51">SUM(H259,H263)</f>
        <v>0</v>
      </c>
      <c r="I258" s="114">
        <f t="shared" si="38"/>
        <v>0</v>
      </c>
      <c r="J258" s="112">
        <f>SUM(J259,J263)</f>
        <v>0</v>
      </c>
      <c r="K258" s="113">
        <f t="shared" ref="K258" si="52">SUM(K259,K263)</f>
        <v>0</v>
      </c>
      <c r="L258" s="114">
        <f t="shared" si="39"/>
        <v>0</v>
      </c>
      <c r="M258" s="303">
        <f t="shared" ref="M258:N258" si="53">SUM(M259,M263)</f>
        <v>0</v>
      </c>
      <c r="N258" s="304">
        <f t="shared" si="53"/>
        <v>0</v>
      </c>
      <c r="O258" s="305">
        <f t="shared" si="40"/>
        <v>0</v>
      </c>
      <c r="P258" s="306"/>
    </row>
    <row r="259" spans="1:16" ht="24" hidden="1" x14ac:dyDescent="0.25">
      <c r="A259" s="656">
        <v>6410</v>
      </c>
      <c r="B259" s="116" t="s">
        <v>278</v>
      </c>
      <c r="C259" s="300">
        <f t="shared" si="50"/>
        <v>0</v>
      </c>
      <c r="D259" s="297">
        <f>SUM(D260:D262)</f>
        <v>0</v>
      </c>
      <c r="E259" s="301">
        <f>SUM(E260:E262)</f>
        <v>0</v>
      </c>
      <c r="F259" s="263">
        <f t="shared" si="37"/>
        <v>0</v>
      </c>
      <c r="G259" s="297">
        <f>SUM(G260:G262)</f>
        <v>0</v>
      </c>
      <c r="H259" s="299">
        <f t="shared" ref="H259" si="54">SUM(H260:H262)</f>
        <v>0</v>
      </c>
      <c r="I259" s="125">
        <f t="shared" si="38"/>
        <v>0</v>
      </c>
      <c r="J259" s="297">
        <f>SUM(J260:J262)</f>
        <v>0</v>
      </c>
      <c r="K259" s="299">
        <f t="shared" ref="K259" si="55">SUM(K260:K262)</f>
        <v>0</v>
      </c>
      <c r="L259" s="125">
        <f t="shared" si="39"/>
        <v>0</v>
      </c>
      <c r="M259" s="317">
        <f t="shared" ref="M259:N259" si="56">SUM(M260:M262)</f>
        <v>0</v>
      </c>
      <c r="N259" s="318">
        <f t="shared" si="56"/>
        <v>0</v>
      </c>
      <c r="O259" s="151">
        <f t="shared" si="40"/>
        <v>0</v>
      </c>
      <c r="P259" s="153"/>
    </row>
    <row r="260" spans="1:16" hidden="1" x14ac:dyDescent="0.25">
      <c r="A260" s="76">
        <v>6411</v>
      </c>
      <c r="B260" s="346" t="s">
        <v>279</v>
      </c>
      <c r="C260" s="278">
        <f t="shared" si="50"/>
        <v>0</v>
      </c>
      <c r="D260" s="134">
        <v>0</v>
      </c>
      <c r="E260" s="285"/>
      <c r="F260" s="286">
        <f t="shared" si="37"/>
        <v>0</v>
      </c>
      <c r="G260" s="134"/>
      <c r="H260" s="135"/>
      <c r="I260" s="136">
        <f t="shared" si="38"/>
        <v>0</v>
      </c>
      <c r="J260" s="134"/>
      <c r="K260" s="135"/>
      <c r="L260" s="136">
        <f t="shared" si="39"/>
        <v>0</v>
      </c>
      <c r="M260" s="284"/>
      <c r="N260" s="285"/>
      <c r="O260" s="136">
        <f t="shared" si="40"/>
        <v>0</v>
      </c>
      <c r="P260" s="85"/>
    </row>
    <row r="261" spans="1:16" ht="36" hidden="1" x14ac:dyDescent="0.25">
      <c r="A261" s="76">
        <v>6412</v>
      </c>
      <c r="B261" s="127" t="s">
        <v>280</v>
      </c>
      <c r="C261" s="278">
        <f t="shared" si="50"/>
        <v>0</v>
      </c>
      <c r="D261" s="134">
        <v>0</v>
      </c>
      <c r="E261" s="285"/>
      <c r="F261" s="286">
        <f t="shared" si="37"/>
        <v>0</v>
      </c>
      <c r="G261" s="134"/>
      <c r="H261" s="135"/>
      <c r="I261" s="136">
        <f t="shared" si="38"/>
        <v>0</v>
      </c>
      <c r="J261" s="134"/>
      <c r="K261" s="135"/>
      <c r="L261" s="136">
        <f t="shared" si="39"/>
        <v>0</v>
      </c>
      <c r="M261" s="284"/>
      <c r="N261" s="285"/>
      <c r="O261" s="136">
        <f t="shared" si="40"/>
        <v>0</v>
      </c>
      <c r="P261" s="85"/>
    </row>
    <row r="262" spans="1:16" ht="36" hidden="1" x14ac:dyDescent="0.25">
      <c r="A262" s="76">
        <v>6419</v>
      </c>
      <c r="B262" s="127" t="s">
        <v>281</v>
      </c>
      <c r="C262" s="278">
        <f t="shared" si="50"/>
        <v>0</v>
      </c>
      <c r="D262" s="134">
        <v>0</v>
      </c>
      <c r="E262" s="285"/>
      <c r="F262" s="286">
        <f t="shared" si="37"/>
        <v>0</v>
      </c>
      <c r="G262" s="134"/>
      <c r="H262" s="135"/>
      <c r="I262" s="136">
        <f t="shared" si="38"/>
        <v>0</v>
      </c>
      <c r="J262" s="134"/>
      <c r="K262" s="135"/>
      <c r="L262" s="136">
        <f t="shared" si="39"/>
        <v>0</v>
      </c>
      <c r="M262" s="284"/>
      <c r="N262" s="285"/>
      <c r="O262" s="136">
        <f t="shared" si="40"/>
        <v>0</v>
      </c>
      <c r="P262" s="85"/>
    </row>
    <row r="263" spans="1:16" ht="36" hidden="1" x14ac:dyDescent="0.25">
      <c r="A263" s="276">
        <v>6420</v>
      </c>
      <c r="B263" s="127" t="s">
        <v>282</v>
      </c>
      <c r="C263" s="278">
        <f t="shared" si="50"/>
        <v>0</v>
      </c>
      <c r="D263" s="277">
        <f>SUM(D264:D267)</f>
        <v>0</v>
      </c>
      <c r="E263" s="282">
        <f>SUM(E264:E267)</f>
        <v>0</v>
      </c>
      <c r="F263" s="286">
        <f t="shared" si="37"/>
        <v>0</v>
      </c>
      <c r="G263" s="277">
        <f>SUM(G264:G267)</f>
        <v>0</v>
      </c>
      <c r="H263" s="280">
        <f>SUM(H264:H267)</f>
        <v>0</v>
      </c>
      <c r="I263" s="136">
        <f t="shared" si="38"/>
        <v>0</v>
      </c>
      <c r="J263" s="277">
        <f>SUM(J264:J267)</f>
        <v>0</v>
      </c>
      <c r="K263" s="280">
        <f>SUM(K264:K267)</f>
        <v>0</v>
      </c>
      <c r="L263" s="136">
        <f t="shared" si="39"/>
        <v>0</v>
      </c>
      <c r="M263" s="281">
        <f>SUM(M264:M267)</f>
        <v>0</v>
      </c>
      <c r="N263" s="282">
        <f>SUM(N264:N267)</f>
        <v>0</v>
      </c>
      <c r="O263" s="136">
        <f t="shared" si="40"/>
        <v>0</v>
      </c>
      <c r="P263" s="85"/>
    </row>
    <row r="264" spans="1:16" hidden="1" x14ac:dyDescent="0.25">
      <c r="A264" s="76">
        <v>6421</v>
      </c>
      <c r="B264" s="127" t="s">
        <v>283</v>
      </c>
      <c r="C264" s="278">
        <f t="shared" si="50"/>
        <v>0</v>
      </c>
      <c r="D264" s="134">
        <v>0</v>
      </c>
      <c r="E264" s="285"/>
      <c r="F264" s="286">
        <f t="shared" si="37"/>
        <v>0</v>
      </c>
      <c r="G264" s="134"/>
      <c r="H264" s="135"/>
      <c r="I264" s="136">
        <f t="shared" si="38"/>
        <v>0</v>
      </c>
      <c r="J264" s="134"/>
      <c r="K264" s="135"/>
      <c r="L264" s="136">
        <f t="shared" si="39"/>
        <v>0</v>
      </c>
      <c r="M264" s="284"/>
      <c r="N264" s="285"/>
      <c r="O264" s="136">
        <f t="shared" si="40"/>
        <v>0</v>
      </c>
      <c r="P264" s="85"/>
    </row>
    <row r="265" spans="1:16" hidden="1" x14ac:dyDescent="0.25">
      <c r="A265" s="76">
        <v>6422</v>
      </c>
      <c r="B265" s="127" t="s">
        <v>284</v>
      </c>
      <c r="C265" s="278">
        <f t="shared" si="50"/>
        <v>0</v>
      </c>
      <c r="D265" s="134">
        <v>0</v>
      </c>
      <c r="E265" s="285"/>
      <c r="F265" s="286">
        <f t="shared" si="37"/>
        <v>0</v>
      </c>
      <c r="G265" s="134"/>
      <c r="H265" s="135"/>
      <c r="I265" s="136">
        <f t="shared" si="38"/>
        <v>0</v>
      </c>
      <c r="J265" s="134"/>
      <c r="K265" s="135"/>
      <c r="L265" s="136">
        <f t="shared" si="39"/>
        <v>0</v>
      </c>
      <c r="M265" s="284"/>
      <c r="N265" s="285"/>
      <c r="O265" s="136">
        <f t="shared" si="40"/>
        <v>0</v>
      </c>
      <c r="P265" s="85"/>
    </row>
    <row r="266" spans="1:16" hidden="1" x14ac:dyDescent="0.25">
      <c r="A266" s="76">
        <v>6423</v>
      </c>
      <c r="B266" s="127" t="s">
        <v>285</v>
      </c>
      <c r="C266" s="278">
        <f t="shared" si="50"/>
        <v>0</v>
      </c>
      <c r="D266" s="134">
        <v>0</v>
      </c>
      <c r="E266" s="285"/>
      <c r="F266" s="286">
        <f t="shared" si="37"/>
        <v>0</v>
      </c>
      <c r="G266" s="134"/>
      <c r="H266" s="135"/>
      <c r="I266" s="136">
        <f t="shared" si="38"/>
        <v>0</v>
      </c>
      <c r="J266" s="134"/>
      <c r="K266" s="135"/>
      <c r="L266" s="136">
        <f t="shared" si="39"/>
        <v>0</v>
      </c>
      <c r="M266" s="284"/>
      <c r="N266" s="285"/>
      <c r="O266" s="136">
        <f t="shared" si="40"/>
        <v>0</v>
      </c>
      <c r="P266" s="85"/>
    </row>
    <row r="267" spans="1:16" ht="24" hidden="1" x14ac:dyDescent="0.25">
      <c r="A267" s="76">
        <v>6424</v>
      </c>
      <c r="B267" s="127" t="s">
        <v>286</v>
      </c>
      <c r="C267" s="278">
        <f t="shared" si="50"/>
        <v>0</v>
      </c>
      <c r="D267" s="134">
        <v>0</v>
      </c>
      <c r="E267" s="285"/>
      <c r="F267" s="286">
        <f t="shared" si="37"/>
        <v>0</v>
      </c>
      <c r="G267" s="134"/>
      <c r="H267" s="135"/>
      <c r="I267" s="136">
        <f t="shared" si="38"/>
        <v>0</v>
      </c>
      <c r="J267" s="134"/>
      <c r="K267" s="135"/>
      <c r="L267" s="136">
        <f t="shared" si="39"/>
        <v>0</v>
      </c>
      <c r="M267" s="284"/>
      <c r="N267" s="285"/>
      <c r="O267" s="136">
        <f t="shared" si="40"/>
        <v>0</v>
      </c>
      <c r="P267" s="85"/>
    </row>
    <row r="268" spans="1:16" ht="36" hidden="1" x14ac:dyDescent="0.25">
      <c r="A268" s="347">
        <v>7000</v>
      </c>
      <c r="B268" s="347" t="s">
        <v>287</v>
      </c>
      <c r="C268" s="348">
        <f t="shared" si="50"/>
        <v>0</v>
      </c>
      <c r="D268" s="349">
        <f>SUM(D269,D279)</f>
        <v>0</v>
      </c>
      <c r="E268" s="407">
        <f>SUM(E269,E279)</f>
        <v>0</v>
      </c>
      <c r="F268" s="408">
        <f t="shared" si="37"/>
        <v>0</v>
      </c>
      <c r="G268" s="349">
        <f>SUM(G269,G279)</f>
        <v>0</v>
      </c>
      <c r="H268" s="352">
        <f>SUM(H269,H279)</f>
        <v>0</v>
      </c>
      <c r="I268" s="353">
        <f t="shared" si="38"/>
        <v>0</v>
      </c>
      <c r="J268" s="349">
        <f>SUM(J269,J279)</f>
        <v>0</v>
      </c>
      <c r="K268" s="352">
        <f>SUM(K269,K279)</f>
        <v>0</v>
      </c>
      <c r="L268" s="353">
        <f t="shared" si="39"/>
        <v>0</v>
      </c>
      <c r="M268" s="354">
        <f>SUM(M269,M279)</f>
        <v>0</v>
      </c>
      <c r="N268" s="355">
        <f>SUM(N269,N279)</f>
        <v>0</v>
      </c>
      <c r="O268" s="356">
        <f t="shared" si="40"/>
        <v>0</v>
      </c>
      <c r="P268" s="357"/>
    </row>
    <row r="269" spans="1:16" ht="24" hidden="1" x14ac:dyDescent="0.25">
      <c r="A269" s="99">
        <v>7200</v>
      </c>
      <c r="B269" s="247" t="s">
        <v>288</v>
      </c>
      <c r="C269" s="100">
        <f t="shared" si="50"/>
        <v>0</v>
      </c>
      <c r="D269" s="112">
        <f>SUM(D270,D271,D274,D275,D278)</f>
        <v>0</v>
      </c>
      <c r="E269" s="293">
        <f>SUM(E270,E271,E274,E275,E278)</f>
        <v>0</v>
      </c>
      <c r="F269" s="313">
        <f t="shared" si="37"/>
        <v>0</v>
      </c>
      <c r="G269" s="112">
        <f>SUM(G270,G271,G274,G275,G278)</f>
        <v>0</v>
      </c>
      <c r="H269" s="113">
        <f>SUM(H270,H271,H274,H275,H278)</f>
        <v>0</v>
      </c>
      <c r="I269" s="114">
        <f t="shared" si="38"/>
        <v>0</v>
      </c>
      <c r="J269" s="112">
        <f>SUM(J270,J271,J274,J275,J278)</f>
        <v>0</v>
      </c>
      <c r="K269" s="113">
        <f>SUM(K270,K271,K274,K275,K278)</f>
        <v>0</v>
      </c>
      <c r="L269" s="114">
        <f t="shared" si="39"/>
        <v>0</v>
      </c>
      <c r="M269" s="250">
        <f>SUM(M270,M271,M274,M275,M278)</f>
        <v>0</v>
      </c>
      <c r="N269" s="251">
        <f>SUM(N270,N271,N274,N275,N278)</f>
        <v>0</v>
      </c>
      <c r="O269" s="252">
        <f t="shared" si="40"/>
        <v>0</v>
      </c>
      <c r="P269" s="253"/>
    </row>
    <row r="270" spans="1:16" ht="24" hidden="1" x14ac:dyDescent="0.25">
      <c r="A270" s="656">
        <v>7210</v>
      </c>
      <c r="B270" s="116" t="s">
        <v>289</v>
      </c>
      <c r="C270" s="117">
        <f t="shared" si="50"/>
        <v>0</v>
      </c>
      <c r="D270" s="123">
        <v>0</v>
      </c>
      <c r="E270" s="262"/>
      <c r="F270" s="263">
        <f t="shared" si="37"/>
        <v>0</v>
      </c>
      <c r="G270" s="123"/>
      <c r="H270" s="124"/>
      <c r="I270" s="125">
        <f t="shared" si="38"/>
        <v>0</v>
      </c>
      <c r="J270" s="123"/>
      <c r="K270" s="124"/>
      <c r="L270" s="125">
        <f t="shared" si="39"/>
        <v>0</v>
      </c>
      <c r="M270" s="264"/>
      <c r="N270" s="262"/>
      <c r="O270" s="125">
        <f t="shared" si="40"/>
        <v>0</v>
      </c>
      <c r="P270" s="74"/>
    </row>
    <row r="271" spans="1:16" s="358" customFormat="1" ht="36" hidden="1" x14ac:dyDescent="0.25">
      <c r="A271" s="276">
        <v>7220</v>
      </c>
      <c r="B271" s="127" t="s">
        <v>290</v>
      </c>
      <c r="C271" s="128">
        <f t="shared" si="50"/>
        <v>0</v>
      </c>
      <c r="D271" s="277">
        <f>SUM(D272:D273)</f>
        <v>0</v>
      </c>
      <c r="E271" s="282">
        <f>SUM(E272:E273)</f>
        <v>0</v>
      </c>
      <c r="F271" s="286">
        <f t="shared" si="37"/>
        <v>0</v>
      </c>
      <c r="G271" s="277">
        <f>SUM(G272:G273)</f>
        <v>0</v>
      </c>
      <c r="H271" s="280">
        <f>SUM(H272:H273)</f>
        <v>0</v>
      </c>
      <c r="I271" s="136">
        <f t="shared" si="38"/>
        <v>0</v>
      </c>
      <c r="J271" s="277">
        <f>SUM(J272:J273)</f>
        <v>0</v>
      </c>
      <c r="K271" s="280">
        <f>SUM(K272:K273)</f>
        <v>0</v>
      </c>
      <c r="L271" s="136">
        <f t="shared" si="39"/>
        <v>0</v>
      </c>
      <c r="M271" s="281">
        <f>SUM(M272:M273)</f>
        <v>0</v>
      </c>
      <c r="N271" s="282">
        <f>SUM(N272:N273)</f>
        <v>0</v>
      </c>
      <c r="O271" s="136">
        <f t="shared" si="40"/>
        <v>0</v>
      </c>
      <c r="P271" s="85"/>
    </row>
    <row r="272" spans="1:16" s="358" customFormat="1" ht="36" hidden="1" x14ac:dyDescent="0.25">
      <c r="A272" s="76">
        <v>7221</v>
      </c>
      <c r="B272" s="127" t="s">
        <v>291</v>
      </c>
      <c r="C272" s="128">
        <f t="shared" si="50"/>
        <v>0</v>
      </c>
      <c r="D272" s="134">
        <v>0</v>
      </c>
      <c r="E272" s="285"/>
      <c r="F272" s="286">
        <f t="shared" si="37"/>
        <v>0</v>
      </c>
      <c r="G272" s="134"/>
      <c r="H272" s="135"/>
      <c r="I272" s="136">
        <f t="shared" si="38"/>
        <v>0</v>
      </c>
      <c r="J272" s="134"/>
      <c r="K272" s="135"/>
      <c r="L272" s="136">
        <f t="shared" si="39"/>
        <v>0</v>
      </c>
      <c r="M272" s="284"/>
      <c r="N272" s="285"/>
      <c r="O272" s="136">
        <f t="shared" si="40"/>
        <v>0</v>
      </c>
      <c r="P272" s="85"/>
    </row>
    <row r="273" spans="1:16" s="358" customFormat="1" ht="36" hidden="1" x14ac:dyDescent="0.25">
      <c r="A273" s="76">
        <v>7222</v>
      </c>
      <c r="B273" s="127" t="s">
        <v>292</v>
      </c>
      <c r="C273" s="128">
        <f t="shared" si="50"/>
        <v>0</v>
      </c>
      <c r="D273" s="134">
        <v>0</v>
      </c>
      <c r="E273" s="285"/>
      <c r="F273" s="286">
        <f t="shared" si="37"/>
        <v>0</v>
      </c>
      <c r="G273" s="134"/>
      <c r="H273" s="135"/>
      <c r="I273" s="136">
        <f t="shared" si="38"/>
        <v>0</v>
      </c>
      <c r="J273" s="134"/>
      <c r="K273" s="135"/>
      <c r="L273" s="136">
        <f t="shared" si="39"/>
        <v>0</v>
      </c>
      <c r="M273" s="284"/>
      <c r="N273" s="285"/>
      <c r="O273" s="136">
        <f t="shared" si="40"/>
        <v>0</v>
      </c>
      <c r="P273" s="85"/>
    </row>
    <row r="274" spans="1:16" s="358" customFormat="1" ht="24" hidden="1" x14ac:dyDescent="0.25">
      <c r="A274" s="276">
        <v>7230</v>
      </c>
      <c r="B274" s="127" t="s">
        <v>293</v>
      </c>
      <c r="C274" s="128">
        <f t="shared" si="50"/>
        <v>0</v>
      </c>
      <c r="D274" s="134">
        <v>0</v>
      </c>
      <c r="E274" s="285"/>
      <c r="F274" s="286">
        <f t="shared" si="37"/>
        <v>0</v>
      </c>
      <c r="G274" s="134"/>
      <c r="H274" s="135"/>
      <c r="I274" s="136">
        <f t="shared" si="38"/>
        <v>0</v>
      </c>
      <c r="J274" s="134"/>
      <c r="K274" s="135"/>
      <c r="L274" s="136">
        <f t="shared" si="39"/>
        <v>0</v>
      </c>
      <c r="M274" s="284"/>
      <c r="N274" s="285"/>
      <c r="O274" s="136">
        <f>M274+N274</f>
        <v>0</v>
      </c>
      <c r="P274" s="85"/>
    </row>
    <row r="275" spans="1:16" ht="24" hidden="1" x14ac:dyDescent="0.25">
      <c r="A275" s="276">
        <v>7240</v>
      </c>
      <c r="B275" s="127" t="s">
        <v>294</v>
      </c>
      <c r="C275" s="128">
        <f t="shared" si="50"/>
        <v>0</v>
      </c>
      <c r="D275" s="277">
        <f>SUM(D276:D277)</f>
        <v>0</v>
      </c>
      <c r="E275" s="282">
        <f>SUM(E276:E277)</f>
        <v>0</v>
      </c>
      <c r="F275" s="286">
        <f t="shared" si="37"/>
        <v>0</v>
      </c>
      <c r="G275" s="277">
        <f>SUM(G276:G277)</f>
        <v>0</v>
      </c>
      <c r="H275" s="280">
        <f>SUM(H276:H277)</f>
        <v>0</v>
      </c>
      <c r="I275" s="136">
        <f t="shared" si="38"/>
        <v>0</v>
      </c>
      <c r="J275" s="277">
        <f>SUM(J276:J277)</f>
        <v>0</v>
      </c>
      <c r="K275" s="280">
        <f>SUM(K276:K277)</f>
        <v>0</v>
      </c>
      <c r="L275" s="136">
        <f t="shared" si="39"/>
        <v>0</v>
      </c>
      <c r="M275" s="281">
        <f>SUM(M276:M277)</f>
        <v>0</v>
      </c>
      <c r="N275" s="282">
        <f>SUM(N276:N277)</f>
        <v>0</v>
      </c>
      <c r="O275" s="136">
        <f>SUM(O276:O277)</f>
        <v>0</v>
      </c>
      <c r="P275" s="85"/>
    </row>
    <row r="276" spans="1:16" ht="48" hidden="1" x14ac:dyDescent="0.25">
      <c r="A276" s="76">
        <v>7245</v>
      </c>
      <c r="B276" s="127" t="s">
        <v>295</v>
      </c>
      <c r="C276" s="128">
        <f t="shared" si="50"/>
        <v>0</v>
      </c>
      <c r="D276" s="134">
        <v>0</v>
      </c>
      <c r="E276" s="285"/>
      <c r="F276" s="286">
        <f t="shared" si="37"/>
        <v>0</v>
      </c>
      <c r="G276" s="134"/>
      <c r="H276" s="135"/>
      <c r="I276" s="136">
        <f t="shared" si="38"/>
        <v>0</v>
      </c>
      <c r="J276" s="134"/>
      <c r="K276" s="135"/>
      <c r="L276" s="136">
        <f t="shared" si="39"/>
        <v>0</v>
      </c>
      <c r="M276" s="284"/>
      <c r="N276" s="285"/>
      <c r="O276" s="136">
        <f t="shared" ref="O276:O279" si="57">M276+N276</f>
        <v>0</v>
      </c>
      <c r="P276" s="85"/>
    </row>
    <row r="277" spans="1:16" ht="84" hidden="1" x14ac:dyDescent="0.25">
      <c r="A277" s="76">
        <v>7246</v>
      </c>
      <c r="B277" s="127" t="s">
        <v>296</v>
      </c>
      <c r="C277" s="128">
        <f t="shared" si="50"/>
        <v>0</v>
      </c>
      <c r="D277" s="134">
        <v>0</v>
      </c>
      <c r="E277" s="285"/>
      <c r="F277" s="286">
        <f t="shared" si="37"/>
        <v>0</v>
      </c>
      <c r="G277" s="134"/>
      <c r="H277" s="135"/>
      <c r="I277" s="136">
        <f t="shared" si="38"/>
        <v>0</v>
      </c>
      <c r="J277" s="134"/>
      <c r="K277" s="135"/>
      <c r="L277" s="136">
        <f t="shared" si="39"/>
        <v>0</v>
      </c>
      <c r="M277" s="284"/>
      <c r="N277" s="285"/>
      <c r="O277" s="136">
        <f t="shared" si="57"/>
        <v>0</v>
      </c>
      <c r="P277" s="85"/>
    </row>
    <row r="278" spans="1:16" ht="24" hidden="1" x14ac:dyDescent="0.25">
      <c r="A278" s="276">
        <v>7260</v>
      </c>
      <c r="B278" s="127" t="s">
        <v>297</v>
      </c>
      <c r="C278" s="128">
        <f t="shared" si="50"/>
        <v>0</v>
      </c>
      <c r="D278" s="123">
        <v>0</v>
      </c>
      <c r="E278" s="262"/>
      <c r="F278" s="263">
        <f t="shared" si="37"/>
        <v>0</v>
      </c>
      <c r="G278" s="123"/>
      <c r="H278" s="124"/>
      <c r="I278" s="125">
        <f t="shared" si="38"/>
        <v>0</v>
      </c>
      <c r="J278" s="123"/>
      <c r="K278" s="124"/>
      <c r="L278" s="125">
        <f t="shared" si="39"/>
        <v>0</v>
      </c>
      <c r="M278" s="264"/>
      <c r="N278" s="262"/>
      <c r="O278" s="125">
        <f t="shared" si="57"/>
        <v>0</v>
      </c>
      <c r="P278" s="74"/>
    </row>
    <row r="279" spans="1:16" hidden="1" x14ac:dyDescent="0.25">
      <c r="A279" s="99">
        <v>7700</v>
      </c>
      <c r="B279" s="247" t="s">
        <v>298</v>
      </c>
      <c r="C279" s="359">
        <f t="shared" si="50"/>
        <v>0</v>
      </c>
      <c r="D279" s="360">
        <f>D280</f>
        <v>0</v>
      </c>
      <c r="E279" s="304">
        <f>SUM(E280)</f>
        <v>0</v>
      </c>
      <c r="F279" s="316">
        <f t="shared" si="37"/>
        <v>0</v>
      </c>
      <c r="G279" s="360">
        <f>G280</f>
        <v>0</v>
      </c>
      <c r="H279" s="361">
        <f>SUM(H280)</f>
        <v>0</v>
      </c>
      <c r="I279" s="305">
        <f t="shared" si="38"/>
        <v>0</v>
      </c>
      <c r="J279" s="360">
        <f>J280</f>
        <v>0</v>
      </c>
      <c r="K279" s="361">
        <f>SUM(K280)</f>
        <v>0</v>
      </c>
      <c r="L279" s="305">
        <f t="shared" si="39"/>
        <v>0</v>
      </c>
      <c r="M279" s="303">
        <f>SUM(M280)</f>
        <v>0</v>
      </c>
      <c r="N279" s="304">
        <f>SUM(N280)</f>
        <v>0</v>
      </c>
      <c r="O279" s="305">
        <f t="shared" si="57"/>
        <v>0</v>
      </c>
      <c r="P279" s="306"/>
    </row>
    <row r="280" spans="1:16" hidden="1" x14ac:dyDescent="0.25">
      <c r="A280" s="141">
        <v>7720</v>
      </c>
      <c r="B280" s="142" t="s">
        <v>299</v>
      </c>
      <c r="C280" s="362">
        <f t="shared" si="50"/>
        <v>0</v>
      </c>
      <c r="D280" s="149">
        <v>0</v>
      </c>
      <c r="E280" s="363"/>
      <c r="F280" s="364">
        <f t="shared" si="37"/>
        <v>0</v>
      </c>
      <c r="G280" s="149"/>
      <c r="H280" s="150"/>
      <c r="I280" s="151">
        <f t="shared" si="38"/>
        <v>0</v>
      </c>
      <c r="J280" s="149"/>
      <c r="K280" s="150"/>
      <c r="L280" s="151">
        <f t="shared" si="39"/>
        <v>0</v>
      </c>
      <c r="M280" s="365"/>
      <c r="N280" s="363"/>
      <c r="O280" s="151">
        <f>M280+N280</f>
        <v>0</v>
      </c>
      <c r="P280" s="153"/>
    </row>
    <row r="281" spans="1:16" hidden="1" x14ac:dyDescent="0.25">
      <c r="A281" s="366"/>
      <c r="B281" s="179" t="s">
        <v>300</v>
      </c>
      <c r="C281" s="117">
        <f t="shared" si="50"/>
        <v>0</v>
      </c>
      <c r="D281" s="255">
        <f>SUM(D282:D283)</f>
        <v>0</v>
      </c>
      <c r="E281" s="261">
        <f>SUM(E282:E283)</f>
        <v>0</v>
      </c>
      <c r="F281" s="310">
        <f t="shared" si="37"/>
        <v>0</v>
      </c>
      <c r="G281" s="255">
        <f>SUM(G282:G283)</f>
        <v>0</v>
      </c>
      <c r="H281" s="258">
        <f>SUM(H282:H283)</f>
        <v>0</v>
      </c>
      <c r="I281" s="259">
        <f t="shared" si="38"/>
        <v>0</v>
      </c>
      <c r="J281" s="255">
        <f>SUM(J282:J283)</f>
        <v>0</v>
      </c>
      <c r="K281" s="258">
        <f>SUM(K282:K283)</f>
        <v>0</v>
      </c>
      <c r="L281" s="259">
        <f t="shared" si="39"/>
        <v>0</v>
      </c>
      <c r="M281" s="260">
        <f>SUM(M282:M283)</f>
        <v>0</v>
      </c>
      <c r="N281" s="261">
        <f>SUM(N282:N283)</f>
        <v>0</v>
      </c>
      <c r="O281" s="259">
        <f t="shared" ref="O281:O296" si="58">M281+N281</f>
        <v>0</v>
      </c>
      <c r="P281" s="189"/>
    </row>
    <row r="282" spans="1:16" hidden="1" x14ac:dyDescent="0.25">
      <c r="A282" s="346" t="s">
        <v>301</v>
      </c>
      <c r="B282" s="76" t="s">
        <v>302</v>
      </c>
      <c r="C282" s="279">
        <f t="shared" si="50"/>
        <v>0</v>
      </c>
      <c r="D282" s="134"/>
      <c r="E282" s="285"/>
      <c r="F282" s="286">
        <f t="shared" si="37"/>
        <v>0</v>
      </c>
      <c r="G282" s="134"/>
      <c r="H282" s="135"/>
      <c r="I282" s="136">
        <f t="shared" si="38"/>
        <v>0</v>
      </c>
      <c r="J282" s="134"/>
      <c r="K282" s="135"/>
      <c r="L282" s="136">
        <f t="shared" si="39"/>
        <v>0</v>
      </c>
      <c r="M282" s="284"/>
      <c r="N282" s="285"/>
      <c r="O282" s="136">
        <f t="shared" si="58"/>
        <v>0</v>
      </c>
      <c r="P282" s="85"/>
    </row>
    <row r="283" spans="1:16" hidden="1" x14ac:dyDescent="0.25">
      <c r="A283" s="346" t="s">
        <v>303</v>
      </c>
      <c r="B283" s="367" t="s">
        <v>304</v>
      </c>
      <c r="C283" s="117">
        <f t="shared" si="50"/>
        <v>0</v>
      </c>
      <c r="D283" s="123"/>
      <c r="E283" s="262"/>
      <c r="F283" s="263">
        <f t="shared" si="37"/>
        <v>0</v>
      </c>
      <c r="G283" s="123"/>
      <c r="H283" s="124"/>
      <c r="I283" s="125">
        <f t="shared" si="38"/>
        <v>0</v>
      </c>
      <c r="J283" s="123"/>
      <c r="K283" s="124"/>
      <c r="L283" s="125">
        <f t="shared" si="39"/>
        <v>0</v>
      </c>
      <c r="M283" s="264"/>
      <c r="N283" s="262"/>
      <c r="O283" s="125">
        <f t="shared" si="58"/>
        <v>0</v>
      </c>
      <c r="P283" s="74"/>
    </row>
    <row r="284" spans="1:16" x14ac:dyDescent="0.25">
      <c r="A284" s="368"/>
      <c r="B284" s="369" t="s">
        <v>305</v>
      </c>
      <c r="C284" s="373">
        <f>SUM(C281,C268,C230,C195,C187,C173,C75,C53)</f>
        <v>3976637</v>
      </c>
      <c r="D284" s="371">
        <f>SUM(D281,D268,D230,D195,D187,D173,D75,D53)</f>
        <v>3976637</v>
      </c>
      <c r="E284" s="692">
        <f>SUM(E281,E268,E230,E195,E187,E173,E75,E53)</f>
        <v>0</v>
      </c>
      <c r="F284" s="681">
        <f t="shared" si="37"/>
        <v>3976637</v>
      </c>
      <c r="G284" s="371">
        <f>SUM(G281,G268,G230,G195,G187,G173,G75,G53)</f>
        <v>0</v>
      </c>
      <c r="H284" s="374">
        <f>SUM(H281,H268,H230,H195,H187,H173,H75,H53)</f>
        <v>0</v>
      </c>
      <c r="I284" s="375">
        <f t="shared" si="38"/>
        <v>0</v>
      </c>
      <c r="J284" s="371">
        <f>SUM(J281,J268,J230,J195,J187,J173,J75,J53)</f>
        <v>0</v>
      </c>
      <c r="K284" s="374">
        <f>SUM(K281,K268,K230,K195,K187,K173,K75,K53)</f>
        <v>0</v>
      </c>
      <c r="L284" s="375">
        <f t="shared" si="39"/>
        <v>0</v>
      </c>
      <c r="M284" s="250">
        <f>SUM(M281,M268,M230,M195,M187,M173,M75,M53)</f>
        <v>0</v>
      </c>
      <c r="N284" s="251">
        <f>SUM(N281,N268,N230,N195,N187,N173,N75,N53)</f>
        <v>0</v>
      </c>
      <c r="O284" s="252">
        <f t="shared" si="58"/>
        <v>0</v>
      </c>
      <c r="P284" s="253"/>
    </row>
    <row r="285" spans="1:16" hidden="1" x14ac:dyDescent="0.25">
      <c r="A285" s="376" t="s">
        <v>306</v>
      </c>
      <c r="B285" s="377"/>
      <c r="C285" s="381">
        <f t="shared" ref="C285" si="59">F285+I285+L285+O285</f>
        <v>0</v>
      </c>
      <c r="D285" s="379">
        <f>SUM(D25,D26,D42)-D51</f>
        <v>0</v>
      </c>
      <c r="E285" s="384">
        <f>SUM(E25,E26,E42)-E51</f>
        <v>0</v>
      </c>
      <c r="F285" s="388">
        <f t="shared" si="37"/>
        <v>0</v>
      </c>
      <c r="G285" s="379">
        <f>SUM(G25,G26,G42)-G51</f>
        <v>0</v>
      </c>
      <c r="H285" s="382">
        <f>SUM(H25,H26,H42)-H51</f>
        <v>0</v>
      </c>
      <c r="I285" s="383">
        <f t="shared" si="38"/>
        <v>0</v>
      </c>
      <c r="J285" s="379">
        <f>(J27+J43)-J51</f>
        <v>0</v>
      </c>
      <c r="K285" s="382">
        <f>(K27+K43)-K51</f>
        <v>0</v>
      </c>
      <c r="L285" s="383">
        <f t="shared" si="39"/>
        <v>0</v>
      </c>
      <c r="M285" s="378">
        <f>M45-M51</f>
        <v>0</v>
      </c>
      <c r="N285" s="384">
        <f>N45-N51</f>
        <v>0</v>
      </c>
      <c r="O285" s="383">
        <f t="shared" si="58"/>
        <v>0</v>
      </c>
      <c r="P285" s="385"/>
    </row>
    <row r="286" spans="1:16" s="41" customFormat="1" ht="12" hidden="1" x14ac:dyDescent="0.25">
      <c r="A286" s="376" t="s">
        <v>307</v>
      </c>
      <c r="B286" s="377"/>
      <c r="C286" s="381">
        <f>SUM(C287,C288)-C295+C296</f>
        <v>0</v>
      </c>
      <c r="D286" s="379">
        <f>SUM(D287,D288)-D295+D296</f>
        <v>0</v>
      </c>
      <c r="E286" s="384">
        <f>SUM(E287,E288)-E295+E296</f>
        <v>0</v>
      </c>
      <c r="F286" s="388">
        <f t="shared" si="37"/>
        <v>0</v>
      </c>
      <c r="G286" s="379">
        <f>SUM(G287,G288)-G295+G296</f>
        <v>0</v>
      </c>
      <c r="H286" s="382">
        <f>SUM(H287,H288)-H295+H296</f>
        <v>0</v>
      </c>
      <c r="I286" s="383">
        <f t="shared" si="38"/>
        <v>0</v>
      </c>
      <c r="J286" s="379">
        <f>SUM(J287,J288)-J295+J296</f>
        <v>0</v>
      </c>
      <c r="K286" s="382">
        <f>SUM(K287,K288)-K295+K296</f>
        <v>0</v>
      </c>
      <c r="L286" s="383">
        <f t="shared" si="39"/>
        <v>0</v>
      </c>
      <c r="M286" s="378">
        <f>SUM(M287,M288)-M295+M296</f>
        <v>0</v>
      </c>
      <c r="N286" s="384">
        <f>SUM(N287,N288)-N295+N296</f>
        <v>0</v>
      </c>
      <c r="O286" s="383">
        <f t="shared" si="58"/>
        <v>0</v>
      </c>
      <c r="P286" s="385"/>
    </row>
    <row r="287" spans="1:16" s="41" customFormat="1" ht="12" hidden="1" x14ac:dyDescent="0.25">
      <c r="A287" s="386" t="s">
        <v>308</v>
      </c>
      <c r="B287" s="386" t="s">
        <v>309</v>
      </c>
      <c r="C287" s="381">
        <f>C22-C281</f>
        <v>0</v>
      </c>
      <c r="D287" s="379">
        <f>D22-D281</f>
        <v>0</v>
      </c>
      <c r="E287" s="384">
        <f>E22-E281</f>
        <v>0</v>
      </c>
      <c r="F287" s="388">
        <f t="shared" si="37"/>
        <v>0</v>
      </c>
      <c r="G287" s="379">
        <f>G22-G281</f>
        <v>0</v>
      </c>
      <c r="H287" s="382">
        <f>H22-H281</f>
        <v>0</v>
      </c>
      <c r="I287" s="383">
        <f t="shared" si="38"/>
        <v>0</v>
      </c>
      <c r="J287" s="379">
        <f>J22-J281</f>
        <v>0</v>
      </c>
      <c r="K287" s="382">
        <f>K22-K281</f>
        <v>0</v>
      </c>
      <c r="L287" s="383">
        <f t="shared" si="39"/>
        <v>0</v>
      </c>
      <c r="M287" s="378">
        <f>M22-M281</f>
        <v>0</v>
      </c>
      <c r="N287" s="384">
        <f>N22-N281</f>
        <v>0</v>
      </c>
      <c r="O287" s="383">
        <f t="shared" si="58"/>
        <v>0</v>
      </c>
      <c r="P287" s="385"/>
    </row>
    <row r="288" spans="1:16" s="41" customFormat="1" ht="12" hidden="1" x14ac:dyDescent="0.25">
      <c r="A288" s="387" t="s">
        <v>310</v>
      </c>
      <c r="B288" s="387" t="s">
        <v>311</v>
      </c>
      <c r="C288" s="380">
        <f>SUM(C289,C291,C293)-SUM(C290,C292,C294)</f>
        <v>0</v>
      </c>
      <c r="D288" s="379">
        <f>SUM(D289,D291,D293)-SUM(D290,D292,D294)</f>
        <v>0</v>
      </c>
      <c r="E288" s="384">
        <f t="shared" ref="E288" si="60">SUM(E289,E291,E293)-SUM(E290,E292,E294)</f>
        <v>0</v>
      </c>
      <c r="F288" s="388">
        <f t="shared" si="37"/>
        <v>0</v>
      </c>
      <c r="G288" s="379">
        <f t="shared" ref="G288:H288" si="61">SUM(G289,G291,G293)-SUM(G290,G292,G294)</f>
        <v>0</v>
      </c>
      <c r="H288" s="382">
        <f t="shared" si="61"/>
        <v>0</v>
      </c>
      <c r="I288" s="383">
        <f t="shared" si="38"/>
        <v>0</v>
      </c>
      <c r="J288" s="379">
        <f t="shared" ref="J288:K288" si="62">SUM(J289,J291,J293)-SUM(J290,J292,J294)</f>
        <v>0</v>
      </c>
      <c r="K288" s="382">
        <f t="shared" si="62"/>
        <v>0</v>
      </c>
      <c r="L288" s="383">
        <f t="shared" si="39"/>
        <v>0</v>
      </c>
      <c r="M288" s="378">
        <f t="shared" ref="M288:N288" si="63">SUM(M289,M291,M293)-SUM(M290,M292,M294)</f>
        <v>0</v>
      </c>
      <c r="N288" s="384">
        <f t="shared" si="63"/>
        <v>0</v>
      </c>
      <c r="O288" s="383">
        <f t="shared" si="58"/>
        <v>0</v>
      </c>
      <c r="P288" s="385"/>
    </row>
    <row r="289" spans="1:17" s="41" customFormat="1" ht="12" hidden="1" x14ac:dyDescent="0.25">
      <c r="A289" s="366" t="s">
        <v>312</v>
      </c>
      <c r="B289" s="190" t="s">
        <v>313</v>
      </c>
      <c r="C289" s="143">
        <f t="shared" ref="C289:C296" si="64">F289+I289+L289+O289</f>
        <v>0</v>
      </c>
      <c r="D289" s="149"/>
      <c r="E289" s="363"/>
      <c r="F289" s="364">
        <f t="shared" si="37"/>
        <v>0</v>
      </c>
      <c r="G289" s="149"/>
      <c r="H289" s="150"/>
      <c r="I289" s="151">
        <f t="shared" si="38"/>
        <v>0</v>
      </c>
      <c r="J289" s="149"/>
      <c r="K289" s="150"/>
      <c r="L289" s="151">
        <f t="shared" si="39"/>
        <v>0</v>
      </c>
      <c r="M289" s="365"/>
      <c r="N289" s="363"/>
      <c r="O289" s="151">
        <f t="shared" si="58"/>
        <v>0</v>
      </c>
      <c r="P289" s="153"/>
    </row>
    <row r="290" spans="1:17" hidden="1" x14ac:dyDescent="0.25">
      <c r="A290" s="346" t="s">
        <v>314</v>
      </c>
      <c r="B290" s="75" t="s">
        <v>315</v>
      </c>
      <c r="C290" s="128">
        <f t="shared" si="64"/>
        <v>0</v>
      </c>
      <c r="D290" s="134"/>
      <c r="E290" s="285"/>
      <c r="F290" s="286">
        <f t="shared" si="37"/>
        <v>0</v>
      </c>
      <c r="G290" s="134"/>
      <c r="H290" s="135"/>
      <c r="I290" s="136">
        <f t="shared" si="38"/>
        <v>0</v>
      </c>
      <c r="J290" s="134"/>
      <c r="K290" s="135"/>
      <c r="L290" s="136">
        <f t="shared" si="39"/>
        <v>0</v>
      </c>
      <c r="M290" s="284"/>
      <c r="N290" s="285"/>
      <c r="O290" s="136">
        <f t="shared" si="58"/>
        <v>0</v>
      </c>
      <c r="P290" s="85"/>
    </row>
    <row r="291" spans="1:17" hidden="1" x14ac:dyDescent="0.25">
      <c r="A291" s="346" t="s">
        <v>316</v>
      </c>
      <c r="B291" s="75" t="s">
        <v>317</v>
      </c>
      <c r="C291" s="128">
        <f t="shared" si="64"/>
        <v>0</v>
      </c>
      <c r="D291" s="134"/>
      <c r="E291" s="285"/>
      <c r="F291" s="286">
        <f t="shared" si="37"/>
        <v>0</v>
      </c>
      <c r="G291" s="134"/>
      <c r="H291" s="135"/>
      <c r="I291" s="136">
        <f t="shared" si="38"/>
        <v>0</v>
      </c>
      <c r="J291" s="134"/>
      <c r="K291" s="135"/>
      <c r="L291" s="136">
        <f t="shared" si="39"/>
        <v>0</v>
      </c>
      <c r="M291" s="284"/>
      <c r="N291" s="285"/>
      <c r="O291" s="136">
        <f t="shared" si="58"/>
        <v>0</v>
      </c>
      <c r="P291" s="85"/>
    </row>
    <row r="292" spans="1:17" ht="24" hidden="1" x14ac:dyDescent="0.25">
      <c r="A292" s="346" t="s">
        <v>318</v>
      </c>
      <c r="B292" s="75" t="s">
        <v>319</v>
      </c>
      <c r="C292" s="128">
        <f t="shared" si="64"/>
        <v>0</v>
      </c>
      <c r="D292" s="134"/>
      <c r="E292" s="285"/>
      <c r="F292" s="286">
        <f t="shared" si="37"/>
        <v>0</v>
      </c>
      <c r="G292" s="134"/>
      <c r="H292" s="135"/>
      <c r="I292" s="136">
        <f t="shared" si="38"/>
        <v>0</v>
      </c>
      <c r="J292" s="134"/>
      <c r="K292" s="135"/>
      <c r="L292" s="136">
        <f t="shared" si="39"/>
        <v>0</v>
      </c>
      <c r="M292" s="284"/>
      <c r="N292" s="285"/>
      <c r="O292" s="136">
        <f t="shared" si="58"/>
        <v>0</v>
      </c>
      <c r="P292" s="85"/>
    </row>
    <row r="293" spans="1:17" hidden="1" x14ac:dyDescent="0.25">
      <c r="A293" s="346" t="s">
        <v>320</v>
      </c>
      <c r="B293" s="75" t="s">
        <v>321</v>
      </c>
      <c r="C293" s="128">
        <f t="shared" si="64"/>
        <v>0</v>
      </c>
      <c r="D293" s="134"/>
      <c r="E293" s="285"/>
      <c r="F293" s="286">
        <f t="shared" si="37"/>
        <v>0</v>
      </c>
      <c r="G293" s="134"/>
      <c r="H293" s="135"/>
      <c r="I293" s="136">
        <f t="shared" si="38"/>
        <v>0</v>
      </c>
      <c r="J293" s="134"/>
      <c r="K293" s="135"/>
      <c r="L293" s="136">
        <f t="shared" si="39"/>
        <v>0</v>
      </c>
      <c r="M293" s="284"/>
      <c r="N293" s="285"/>
      <c r="O293" s="136">
        <f t="shared" si="58"/>
        <v>0</v>
      </c>
      <c r="P293" s="85"/>
    </row>
    <row r="294" spans="1:17" hidden="1" x14ac:dyDescent="0.25">
      <c r="A294" s="389" t="s">
        <v>322</v>
      </c>
      <c r="B294" s="390" t="s">
        <v>323</v>
      </c>
      <c r="C294" s="327">
        <f t="shared" si="64"/>
        <v>0</v>
      </c>
      <c r="D294" s="328"/>
      <c r="E294" s="329"/>
      <c r="F294" s="330">
        <f t="shared" si="37"/>
        <v>0</v>
      </c>
      <c r="G294" s="328"/>
      <c r="H294" s="331"/>
      <c r="I294" s="324">
        <f t="shared" si="38"/>
        <v>0</v>
      </c>
      <c r="J294" s="328"/>
      <c r="K294" s="331"/>
      <c r="L294" s="324">
        <f t="shared" si="39"/>
        <v>0</v>
      </c>
      <c r="M294" s="332"/>
      <c r="N294" s="329"/>
      <c r="O294" s="324">
        <f t="shared" si="58"/>
        <v>0</v>
      </c>
      <c r="P294" s="325"/>
    </row>
    <row r="295" spans="1:17" hidden="1" x14ac:dyDescent="0.25">
      <c r="A295" s="387" t="s">
        <v>324</v>
      </c>
      <c r="B295" s="387" t="s">
        <v>325</v>
      </c>
      <c r="C295" s="391">
        <f t="shared" si="64"/>
        <v>0</v>
      </c>
      <c r="D295" s="392"/>
      <c r="E295" s="393"/>
      <c r="F295" s="388">
        <f t="shared" si="37"/>
        <v>0</v>
      </c>
      <c r="G295" s="392"/>
      <c r="H295" s="394"/>
      <c r="I295" s="383">
        <f t="shared" si="38"/>
        <v>0</v>
      </c>
      <c r="J295" s="392"/>
      <c r="K295" s="394"/>
      <c r="L295" s="383">
        <f t="shared" si="39"/>
        <v>0</v>
      </c>
      <c r="M295" s="395"/>
      <c r="N295" s="393"/>
      <c r="O295" s="383">
        <f t="shared" si="58"/>
        <v>0</v>
      </c>
      <c r="P295" s="385"/>
    </row>
    <row r="296" spans="1:17" s="41" customFormat="1" ht="36" hidden="1" x14ac:dyDescent="0.25">
      <c r="A296" s="387" t="s">
        <v>326</v>
      </c>
      <c r="B296" s="396" t="s">
        <v>327</v>
      </c>
      <c r="C296" s="397">
        <f t="shared" si="64"/>
        <v>0</v>
      </c>
      <c r="D296" s="398"/>
      <c r="E296" s="399"/>
      <c r="F296" s="400">
        <f t="shared" si="37"/>
        <v>0</v>
      </c>
      <c r="G296" s="392"/>
      <c r="H296" s="394"/>
      <c r="I296" s="383">
        <f t="shared" si="38"/>
        <v>0</v>
      </c>
      <c r="J296" s="392"/>
      <c r="K296" s="394"/>
      <c r="L296" s="383">
        <f t="shared" si="39"/>
        <v>0</v>
      </c>
      <c r="M296" s="395"/>
      <c r="N296" s="393"/>
      <c r="O296" s="383">
        <f t="shared" si="58"/>
        <v>0</v>
      </c>
      <c r="P296" s="385"/>
    </row>
    <row r="297" spans="1:17" s="41" customFormat="1" ht="12" x14ac:dyDescent="0.25">
      <c r="A297" s="401" t="s">
        <v>328</v>
      </c>
      <c r="B297" s="402"/>
      <c r="C297" s="402"/>
      <c r="D297" s="402"/>
      <c r="E297" s="402"/>
      <c r="F297" s="402"/>
      <c r="G297" s="402"/>
      <c r="H297" s="402"/>
      <c r="I297" s="402"/>
      <c r="J297" s="402"/>
      <c r="K297" s="402"/>
      <c r="L297" s="402"/>
      <c r="M297" s="402"/>
      <c r="N297" s="402"/>
      <c r="O297" s="402"/>
      <c r="P297" s="403"/>
      <c r="Q297" s="32"/>
    </row>
    <row r="298" spans="1:17" customFormat="1" ht="9.75" customHeight="1" thickBot="1" x14ac:dyDescent="0.3">
      <c r="A298" s="404"/>
      <c r="B298" s="405"/>
      <c r="C298" s="405"/>
      <c r="D298" s="405"/>
      <c r="E298" s="405"/>
      <c r="F298" s="405"/>
      <c r="G298" s="405"/>
      <c r="H298" s="405"/>
      <c r="I298" s="405"/>
      <c r="J298" s="405"/>
      <c r="K298" s="405"/>
      <c r="L298" s="405"/>
      <c r="M298" s="405"/>
      <c r="N298" s="405"/>
      <c r="O298" s="405"/>
      <c r="P298" s="406"/>
      <c r="Q298" s="610"/>
    </row>
    <row r="299" spans="1:17" customFormat="1" x14ac:dyDescent="0.25">
      <c r="A299" s="1033"/>
      <c r="B299" s="1033"/>
      <c r="C299" s="1033"/>
      <c r="D299" s="1033"/>
      <c r="E299" s="1033"/>
      <c r="F299" s="1033"/>
      <c r="G299" s="1033"/>
      <c r="H299" s="1033"/>
      <c r="I299" s="1033"/>
      <c r="J299" s="1033"/>
      <c r="K299" s="1033"/>
      <c r="L299" s="1033"/>
      <c r="M299" s="1033"/>
      <c r="N299" s="1033"/>
      <c r="O299" s="1033"/>
      <c r="P299" s="1033"/>
    </row>
    <row r="300" spans="1:17" customFormat="1" x14ac:dyDescent="0.25">
      <c r="A300" s="1033"/>
      <c r="B300" s="1033"/>
      <c r="C300" s="1033"/>
      <c r="D300" s="1033"/>
      <c r="E300" s="1033"/>
      <c r="F300" s="1033"/>
      <c r="G300" s="1033"/>
      <c r="H300" s="1033"/>
      <c r="I300" s="1033"/>
      <c r="J300" s="1033"/>
      <c r="K300" s="1033"/>
      <c r="L300" s="1033"/>
      <c r="M300" s="1033"/>
      <c r="N300" s="1033"/>
      <c r="O300" s="1033"/>
      <c r="P300" s="1033"/>
    </row>
    <row r="301" spans="1:17" customFormat="1" x14ac:dyDescent="0.25">
      <c r="A301" s="1033"/>
      <c r="B301" s="1033"/>
      <c r="C301" s="1033"/>
      <c r="D301" s="1033"/>
      <c r="E301" s="1033"/>
      <c r="F301" s="1033"/>
      <c r="G301" s="1033"/>
      <c r="H301" s="1033"/>
      <c r="I301" s="1033"/>
      <c r="J301" s="1033"/>
      <c r="K301" s="1033"/>
      <c r="L301" s="1033"/>
      <c r="M301" s="1033"/>
      <c r="N301" s="1033"/>
      <c r="O301" s="1033"/>
      <c r="P301" s="1033"/>
    </row>
    <row r="302" spans="1:17" customFormat="1" x14ac:dyDescent="0.25">
      <c r="A302" s="1033"/>
      <c r="B302" s="1033"/>
      <c r="C302" s="1033"/>
      <c r="D302" s="1033"/>
      <c r="E302" s="1033"/>
      <c r="F302" s="1033"/>
      <c r="G302" s="1033"/>
      <c r="H302" s="1033"/>
      <c r="I302" s="1033"/>
      <c r="J302" s="1033"/>
      <c r="K302" s="1033"/>
      <c r="L302" s="1033"/>
      <c r="M302" s="1033"/>
      <c r="N302" s="1033"/>
      <c r="O302" s="1033"/>
      <c r="P302" s="1033"/>
    </row>
    <row r="303" spans="1:17" customFormat="1" x14ac:dyDescent="0.25">
      <c r="A303" s="1033"/>
      <c r="B303" s="1033"/>
      <c r="C303" s="1033"/>
      <c r="D303" s="1033"/>
      <c r="E303" s="1033"/>
      <c r="F303" s="1033"/>
      <c r="G303" s="1033"/>
      <c r="H303" s="1033"/>
      <c r="I303" s="1033"/>
      <c r="J303" s="1033"/>
      <c r="K303" s="1033"/>
      <c r="L303" s="1033"/>
      <c r="M303" s="1033"/>
      <c r="N303" s="1033"/>
      <c r="O303" s="1033"/>
      <c r="P303" s="1033"/>
    </row>
    <row r="304" spans="1:17" customFormat="1" x14ac:dyDescent="0.25">
      <c r="A304" s="1033"/>
      <c r="B304" s="1033"/>
      <c r="C304" s="1033"/>
      <c r="D304" s="1033"/>
      <c r="E304" s="1033"/>
      <c r="F304" s="1033"/>
      <c r="G304" s="1033"/>
      <c r="H304" s="1033"/>
      <c r="I304" s="1033"/>
      <c r="J304" s="1033"/>
      <c r="K304" s="1033"/>
      <c r="L304" s="1033"/>
      <c r="M304" s="1033"/>
      <c r="N304" s="1033"/>
      <c r="O304" s="1033"/>
      <c r="P304" s="1033"/>
    </row>
    <row r="305" spans="1:16" customFormat="1" x14ac:dyDescent="0.25">
      <c r="A305" s="1033"/>
      <c r="B305" s="1033"/>
      <c r="C305" s="1033"/>
      <c r="D305" s="1033"/>
      <c r="E305" s="1033"/>
      <c r="F305" s="1033"/>
      <c r="G305" s="1033"/>
      <c r="H305" s="1033"/>
      <c r="I305" s="1033"/>
      <c r="J305" s="1033"/>
      <c r="K305" s="1033"/>
      <c r="L305" s="1033"/>
      <c r="M305" s="1033"/>
      <c r="N305" s="1033"/>
      <c r="O305" s="1033"/>
      <c r="P305" s="1033"/>
    </row>
    <row r="306" spans="1:16" customFormat="1" x14ac:dyDescent="0.25">
      <c r="A306" s="1033"/>
      <c r="B306" s="1033"/>
      <c r="C306" s="1033"/>
      <c r="D306" s="1033"/>
      <c r="E306" s="1033"/>
      <c r="F306" s="1033"/>
      <c r="G306" s="1033"/>
      <c r="H306" s="1033"/>
      <c r="I306" s="1033"/>
      <c r="J306" s="1033"/>
      <c r="K306" s="1033"/>
      <c r="L306" s="1033"/>
      <c r="M306" s="1033"/>
      <c r="N306" s="1033"/>
      <c r="O306" s="1033"/>
      <c r="P306" s="1033"/>
    </row>
    <row r="307" spans="1:16" customFormat="1" x14ac:dyDescent="0.25">
      <c r="A307" s="1033"/>
      <c r="B307" s="1033"/>
      <c r="C307" s="1033"/>
      <c r="D307" s="1033"/>
      <c r="E307" s="1033"/>
      <c r="F307" s="1033"/>
      <c r="G307" s="1033"/>
      <c r="H307" s="1033"/>
      <c r="I307" s="1033"/>
      <c r="J307" s="1033"/>
      <c r="K307" s="1033"/>
      <c r="L307" s="1033"/>
      <c r="M307" s="1033"/>
      <c r="N307" s="1033"/>
      <c r="O307" s="1033"/>
      <c r="P307" s="1033"/>
    </row>
    <row r="308" spans="1:16" customFormat="1" x14ac:dyDescent="0.25">
      <c r="A308" s="1033"/>
      <c r="B308" s="1033"/>
      <c r="C308" s="1033"/>
      <c r="D308" s="1033"/>
      <c r="E308" s="1033"/>
      <c r="F308" s="1033"/>
      <c r="G308" s="1033"/>
      <c r="H308" s="1033"/>
      <c r="I308" s="1033"/>
      <c r="J308" s="1033"/>
      <c r="K308" s="1033"/>
      <c r="L308" s="1033"/>
      <c r="M308" s="1033"/>
      <c r="N308" s="1033"/>
      <c r="O308" s="1033"/>
      <c r="P308" s="1033"/>
    </row>
    <row r="309" spans="1:16" customFormat="1" x14ac:dyDescent="0.25">
      <c r="A309" s="1033"/>
      <c r="B309" s="1033"/>
      <c r="C309" s="1033"/>
      <c r="D309" s="1033"/>
      <c r="E309" s="1033"/>
      <c r="F309" s="1033"/>
      <c r="G309" s="1033"/>
      <c r="H309" s="1033"/>
      <c r="I309" s="1033"/>
      <c r="J309" s="1033"/>
      <c r="K309" s="1033"/>
      <c r="L309" s="1033"/>
      <c r="M309" s="1033"/>
      <c r="N309" s="1033"/>
      <c r="O309" s="1033"/>
      <c r="P309" s="1033"/>
    </row>
    <row r="310" spans="1:16" customFormat="1" x14ac:dyDescent="0.25">
      <c r="A310" s="1033"/>
      <c r="B310" s="1033"/>
      <c r="C310" s="1033"/>
      <c r="D310" s="1033"/>
      <c r="E310" s="1033"/>
      <c r="F310" s="1033"/>
      <c r="G310" s="1033"/>
      <c r="H310" s="1033"/>
      <c r="I310" s="1033"/>
      <c r="J310" s="1033"/>
      <c r="K310" s="1033"/>
      <c r="L310" s="1033"/>
      <c r="M310" s="1033"/>
      <c r="N310" s="1033"/>
      <c r="O310" s="1033"/>
      <c r="P310" s="1033"/>
    </row>
    <row r="311" spans="1:16" customFormat="1" x14ac:dyDescent="0.25">
      <c r="A311" s="5"/>
      <c r="B311" s="5"/>
      <c r="C311" s="5"/>
      <c r="D311" s="5"/>
      <c r="E311" s="5"/>
      <c r="F311" s="5"/>
      <c r="G311" s="5"/>
      <c r="H311" s="5"/>
      <c r="I311" s="5"/>
      <c r="J311" s="5"/>
      <c r="K311" s="5"/>
      <c r="L311" s="5"/>
      <c r="M311" s="5"/>
      <c r="N311" s="5"/>
      <c r="O311" s="5"/>
      <c r="P311" s="5"/>
    </row>
    <row r="312" spans="1:16" customFormat="1" x14ac:dyDescent="0.25">
      <c r="A312" s="5"/>
      <c r="B312" s="5"/>
      <c r="C312" s="5"/>
      <c r="D312" s="5"/>
      <c r="E312" s="5"/>
      <c r="F312" s="5"/>
      <c r="G312" s="5"/>
      <c r="H312" s="5"/>
      <c r="I312" s="5"/>
      <c r="J312" s="5"/>
      <c r="K312" s="5"/>
      <c r="L312" s="5"/>
      <c r="M312" s="5"/>
      <c r="N312" s="5"/>
      <c r="O312" s="5"/>
      <c r="P312" s="5"/>
    </row>
    <row r="313" spans="1:16" customFormat="1" x14ac:dyDescent="0.25">
      <c r="A313" s="5"/>
      <c r="B313" s="5"/>
      <c r="C313" s="5"/>
      <c r="D313" s="5"/>
      <c r="E313" s="5"/>
      <c r="F313" s="5"/>
      <c r="G313" s="5"/>
      <c r="H313" s="5"/>
      <c r="I313" s="5"/>
      <c r="J313" s="5"/>
      <c r="K313" s="5"/>
      <c r="L313" s="5"/>
      <c r="M313" s="5"/>
      <c r="N313" s="5"/>
      <c r="O313" s="5"/>
      <c r="P313" s="5"/>
    </row>
    <row r="314" spans="1:16" customFormat="1" x14ac:dyDescent="0.25">
      <c r="A314" s="5"/>
      <c r="B314" s="5"/>
      <c r="C314" s="5"/>
      <c r="D314" s="5"/>
      <c r="E314" s="5"/>
      <c r="F314" s="5"/>
      <c r="G314" s="5"/>
      <c r="H314" s="5"/>
      <c r="I314" s="5"/>
      <c r="J314" s="5"/>
      <c r="K314" s="5"/>
      <c r="L314" s="5"/>
      <c r="M314" s="5"/>
      <c r="N314" s="5"/>
      <c r="O314" s="5"/>
      <c r="P314" s="5"/>
    </row>
    <row r="315" spans="1:16" customFormat="1" x14ac:dyDescent="0.25">
      <c r="A315" s="5"/>
      <c r="B315" s="5"/>
      <c r="C315" s="5"/>
      <c r="D315" s="5"/>
      <c r="E315" s="5"/>
      <c r="F315" s="5"/>
      <c r="G315" s="5"/>
      <c r="H315" s="5"/>
      <c r="I315" s="5"/>
      <c r="J315" s="5"/>
      <c r="K315" s="5"/>
      <c r="L315" s="5"/>
      <c r="M315" s="5"/>
      <c r="N315" s="5"/>
      <c r="O315" s="5"/>
      <c r="P315" s="5"/>
    </row>
    <row r="316" spans="1:16" x14ac:dyDescent="0.25">
      <c r="A316" s="5"/>
      <c r="B316" s="5"/>
      <c r="C316" s="5"/>
      <c r="D316" s="5"/>
      <c r="E316" s="5"/>
      <c r="F316" s="5"/>
      <c r="G316" s="5"/>
      <c r="H316" s="5"/>
      <c r="I316" s="5"/>
      <c r="J316" s="5"/>
      <c r="K316" s="5"/>
      <c r="L316" s="5"/>
      <c r="M316" s="5"/>
      <c r="N316" s="5"/>
      <c r="O316" s="5"/>
    </row>
    <row r="317" spans="1:16" x14ac:dyDescent="0.25">
      <c r="A317" s="5"/>
      <c r="B317" s="5"/>
      <c r="C317" s="5"/>
      <c r="D317" s="5"/>
      <c r="E317" s="5"/>
      <c r="F317" s="5"/>
      <c r="G317" s="5"/>
      <c r="H317" s="5"/>
      <c r="I317" s="5"/>
      <c r="J317" s="5"/>
      <c r="K317" s="5"/>
      <c r="L317" s="5"/>
      <c r="M317" s="5"/>
      <c r="N317" s="5"/>
      <c r="O317" s="5"/>
    </row>
    <row r="318" spans="1:16" x14ac:dyDescent="0.25">
      <c r="A318" s="5"/>
      <c r="B318" s="5"/>
      <c r="C318" s="5"/>
      <c r="D318" s="5"/>
      <c r="E318" s="5"/>
      <c r="F318" s="5"/>
      <c r="G318" s="5"/>
      <c r="H318" s="5"/>
      <c r="I318" s="5"/>
      <c r="J318" s="5"/>
      <c r="K318" s="5"/>
      <c r="L318" s="5"/>
      <c r="M318" s="5"/>
      <c r="N318" s="5"/>
      <c r="O318" s="5"/>
    </row>
  </sheetData>
  <sheetProtection algorithmName="SHA-512" hashValue="IY9Q2DUhnHeZ1dJVbg4lHKkXSwRmrlfoD1DaKK1MNM+sMG/r/F5EFpsLy75JGdEwoqA+6Aat6fLq3LVanQZD3w==" saltValue="SXV2z44Jc4D0IDNA995i2w==" spinCount="100000" sheet="1" objects="1" scenarios="1" formatCells="0" formatColumns="0" formatRows="0"/>
  <autoFilter ref="A19:P297">
    <filterColumn colId="2">
      <filters blank="1">
        <filter val="1 500"/>
        <filter val="110 000"/>
        <filter val="122 278"/>
        <filter val="14 022"/>
        <filter val="150 710"/>
        <filter val="155 887"/>
        <filter val="157 700"/>
        <filter val="161 284"/>
        <filter val="17 990"/>
        <filter val="2 216 315"/>
        <filter val="2 899 425"/>
        <filter val="25 088"/>
        <filter val="26 477"/>
        <filter val="290"/>
        <filter val="3 584"/>
        <filter val="3 770 484"/>
        <filter val="3 815 353"/>
        <filter val="3 976 637"/>
        <filter val="30 847"/>
        <filter val="32 109"/>
        <filter val="375 111"/>
        <filter val="4 342"/>
        <filter val="4 370"/>
        <filter val="4 792"/>
        <filter val="44 869"/>
        <filter val="450"/>
        <filter val="46 824"/>
        <filter val="47 700"/>
        <filter val="658 022"/>
        <filter val="715 172"/>
        <filter val="8 487"/>
        <filter val="8 940"/>
        <filter val="85 377"/>
        <filter val="871 059"/>
        <filter val="9 230"/>
      </filters>
    </filterColumn>
  </autoFilter>
  <mergeCells count="30">
    <mergeCell ref="B16:B18"/>
    <mergeCell ref="C16:O16"/>
    <mergeCell ref="P16:P18"/>
    <mergeCell ref="C17:C18"/>
    <mergeCell ref="D17:D18"/>
    <mergeCell ref="E17:E18"/>
    <mergeCell ref="F17:F18"/>
    <mergeCell ref="G17:G18"/>
    <mergeCell ref="N17:N18"/>
    <mergeCell ref="O17:O18"/>
    <mergeCell ref="H17:H18"/>
    <mergeCell ref="I17:I18"/>
    <mergeCell ref="J17:J18"/>
    <mergeCell ref="K17:K18"/>
    <mergeCell ref="L17:L18"/>
    <mergeCell ref="M17:M18"/>
    <mergeCell ref="C14:P14"/>
    <mergeCell ref="A2:P2"/>
    <mergeCell ref="C3:P3"/>
    <mergeCell ref="C4:P4"/>
    <mergeCell ref="C5:P5"/>
    <mergeCell ref="C6:P6"/>
    <mergeCell ref="C7:P7"/>
    <mergeCell ref="C8:P8"/>
    <mergeCell ref="C10:P10"/>
    <mergeCell ref="C11:P11"/>
    <mergeCell ref="C12:P12"/>
    <mergeCell ref="C13:P13"/>
    <mergeCell ref="C15:P15"/>
    <mergeCell ref="A16:A18"/>
  </mergeCells>
  <pageMargins left="0.98425196850393704" right="0.39370078740157483" top="0.59055118110236227" bottom="0.39370078740157483" header="0.23622047244094491" footer="0.23622047244094491"/>
  <pageSetup paperSize="9" scale="70" fitToHeight="0" orientation="portrait" verticalDpi="200" r:id="rId1"/>
  <headerFooter differentFirst="1">
    <oddFooter>&amp;L&amp;"Times New Roman,Regular"&amp;9&amp;D; &amp;T&amp;R&amp;"Times New Roman,Regular"&amp;9&amp;P (&amp;N)</oddFooter>
    <firstHeader xml:space="preserve">&amp;R&amp;"Times New Roman,Regular"&amp;9
69.pielikums Jūrmalas pilsētas domes
2017.gada 30.janvāra saistošajiem noteikumiem Nr.10
(Protokols Nr.4, 1.punkts)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21"/>
  <sheetViews>
    <sheetView view="pageLayout" zoomScaleNormal="90" workbookViewId="0">
      <selection activeCell="Q2" sqref="Q2"/>
    </sheetView>
  </sheetViews>
  <sheetFormatPr defaultRowHeight="12" outlineLevelCol="1" x14ac:dyDescent="0.25"/>
  <cols>
    <col min="1" max="1" width="10.85546875" style="1" customWidth="1"/>
    <col min="2" max="2" width="3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style="5" collapsed="1"/>
    <col min="18" max="16384" width="9.140625" style="5"/>
  </cols>
  <sheetData>
    <row r="1" spans="1:17" x14ac:dyDescent="0.25">
      <c r="B1" s="2"/>
      <c r="C1" s="2"/>
      <c r="D1" s="2"/>
      <c r="E1" s="2"/>
      <c r="F1" s="2"/>
      <c r="G1" s="2"/>
      <c r="H1" s="2"/>
      <c r="I1" s="2"/>
      <c r="J1" s="2"/>
      <c r="K1" s="2"/>
      <c r="L1" s="2"/>
      <c r="M1" s="3"/>
      <c r="N1" s="3"/>
      <c r="O1" s="4" t="s">
        <v>514</v>
      </c>
    </row>
    <row r="2" spans="1:17" x14ac:dyDescent="0.25">
      <c r="B2" s="2"/>
      <c r="C2" s="2"/>
      <c r="D2" s="2"/>
      <c r="E2" s="2"/>
      <c r="F2" s="2"/>
      <c r="G2" s="2"/>
      <c r="H2" s="2"/>
      <c r="I2" s="2"/>
      <c r="J2" s="2"/>
      <c r="K2" s="2"/>
      <c r="L2" s="2"/>
      <c r="M2" s="3"/>
      <c r="N2" s="3"/>
      <c r="O2" s="4"/>
    </row>
    <row r="3" spans="1:17" x14ac:dyDescent="0.25">
      <c r="A3" s="1589"/>
      <c r="B3" s="1590"/>
      <c r="C3" s="1591"/>
      <c r="D3" s="1590"/>
      <c r="E3" s="1590"/>
      <c r="F3" s="1591"/>
      <c r="G3" s="1590"/>
      <c r="H3" s="1590"/>
      <c r="I3" s="1591"/>
      <c r="J3" s="1590"/>
      <c r="K3" s="1590"/>
      <c r="L3" s="1591"/>
      <c r="M3" s="1590"/>
      <c r="N3" s="1590"/>
      <c r="O3" s="1591"/>
      <c r="P3" s="1591"/>
      <c r="Q3" s="7"/>
    </row>
    <row r="4" spans="1:17" ht="15.75" x14ac:dyDescent="0.25">
      <c r="A4" s="1560" t="s">
        <v>1</v>
      </c>
      <c r="B4" s="1561"/>
      <c r="C4" s="1561"/>
      <c r="D4" s="1561"/>
      <c r="E4" s="1561"/>
      <c r="F4" s="1561"/>
      <c r="G4" s="1561"/>
      <c r="H4" s="1561"/>
      <c r="I4" s="1561"/>
      <c r="J4" s="1561"/>
      <c r="K4" s="1561"/>
      <c r="L4" s="1561"/>
      <c r="M4" s="1561"/>
      <c r="N4" s="1561"/>
      <c r="O4" s="1561"/>
      <c r="P4" s="1561"/>
      <c r="Q4" s="7"/>
    </row>
    <row r="5" spans="1:17" ht="15.75" x14ac:dyDescent="0.25">
      <c r="A5" s="653"/>
      <c r="B5" s="654"/>
      <c r="C5" s="654"/>
      <c r="D5" s="654"/>
      <c r="E5" s="654"/>
      <c r="F5" s="654"/>
      <c r="G5" s="654"/>
      <c r="H5" s="654"/>
      <c r="I5" s="654"/>
      <c r="J5" s="654"/>
      <c r="K5" s="654"/>
      <c r="L5" s="654"/>
      <c r="M5" s="654"/>
      <c r="N5" s="654"/>
      <c r="O5" s="654"/>
      <c r="P5" s="654"/>
      <c r="Q5" s="7"/>
    </row>
    <row r="6" spans="1:17" ht="12.75" x14ac:dyDescent="0.25">
      <c r="A6" s="13" t="s">
        <v>2</v>
      </c>
      <c r="B6" s="14"/>
      <c r="C6" s="1555" t="s">
        <v>501</v>
      </c>
      <c r="D6" s="1555"/>
      <c r="E6" s="1555"/>
      <c r="F6" s="1555"/>
      <c r="G6" s="1555"/>
      <c r="H6" s="1555"/>
      <c r="I6" s="1555"/>
      <c r="J6" s="1555"/>
      <c r="K6" s="1555"/>
      <c r="L6" s="1555"/>
      <c r="M6" s="1555"/>
      <c r="N6" s="1555"/>
      <c r="O6" s="1555"/>
      <c r="P6" s="1555"/>
      <c r="Q6" s="7"/>
    </row>
    <row r="7" spans="1:17" ht="12.75" x14ac:dyDescent="0.25">
      <c r="A7" s="13" t="s">
        <v>4</v>
      </c>
      <c r="B7" s="14"/>
      <c r="C7" s="1555" t="s">
        <v>502</v>
      </c>
      <c r="D7" s="1555"/>
      <c r="E7" s="1555"/>
      <c r="F7" s="1555"/>
      <c r="G7" s="1555"/>
      <c r="H7" s="1555"/>
      <c r="I7" s="1555"/>
      <c r="J7" s="1555"/>
      <c r="K7" s="1555"/>
      <c r="L7" s="1555"/>
      <c r="M7" s="1555"/>
      <c r="N7" s="1555"/>
      <c r="O7" s="1555"/>
      <c r="P7" s="1555"/>
      <c r="Q7" s="7"/>
    </row>
    <row r="8" spans="1:17" x14ac:dyDescent="0.25">
      <c r="A8" s="8" t="s">
        <v>6</v>
      </c>
      <c r="B8" s="9"/>
      <c r="C8" s="1553" t="s">
        <v>503</v>
      </c>
      <c r="D8" s="1553"/>
      <c r="E8" s="1553"/>
      <c r="F8" s="1553"/>
      <c r="G8" s="1553"/>
      <c r="H8" s="1553"/>
      <c r="I8" s="1553"/>
      <c r="J8" s="1553"/>
      <c r="K8" s="1553"/>
      <c r="L8" s="1553"/>
      <c r="M8" s="1553"/>
      <c r="N8" s="1553"/>
      <c r="O8" s="1553"/>
      <c r="P8" s="1553"/>
      <c r="Q8" s="7"/>
    </row>
    <row r="9" spans="1:17" x14ac:dyDescent="0.25">
      <c r="A9" s="8" t="s">
        <v>8</v>
      </c>
      <c r="B9" s="9"/>
      <c r="C9" s="1592" t="s">
        <v>515</v>
      </c>
      <c r="D9" s="1592"/>
      <c r="E9" s="1592"/>
      <c r="F9" s="1592"/>
      <c r="G9" s="1592"/>
      <c r="H9" s="1592"/>
      <c r="I9" s="1592"/>
      <c r="J9" s="1592"/>
      <c r="K9" s="1592"/>
      <c r="L9" s="1592"/>
      <c r="M9" s="1592"/>
      <c r="N9" s="1592"/>
      <c r="O9" s="1592"/>
      <c r="P9" s="1592"/>
      <c r="Q9" s="7"/>
    </row>
    <row r="10" spans="1:17" ht="30" customHeight="1" x14ac:dyDescent="0.25">
      <c r="A10" s="8" t="s">
        <v>10</v>
      </c>
      <c r="B10" s="9"/>
      <c r="C10" s="1555" t="s">
        <v>516</v>
      </c>
      <c r="D10" s="1555"/>
      <c r="E10" s="1555"/>
      <c r="F10" s="1555"/>
      <c r="G10" s="1555"/>
      <c r="H10" s="1555"/>
      <c r="I10" s="1555"/>
      <c r="J10" s="1555"/>
      <c r="K10" s="1555"/>
      <c r="L10" s="1555"/>
      <c r="M10" s="1555"/>
      <c r="N10" s="1555"/>
      <c r="O10" s="1555"/>
      <c r="P10" s="1555"/>
      <c r="Q10" s="7"/>
    </row>
    <row r="11" spans="1:17" x14ac:dyDescent="0.25">
      <c r="A11" s="8" t="s">
        <v>12</v>
      </c>
      <c r="B11" s="9"/>
      <c r="C11" s="1555"/>
      <c r="D11" s="1555"/>
      <c r="E11" s="1555"/>
      <c r="F11" s="1555"/>
      <c r="G11" s="1555"/>
      <c r="H11" s="1555"/>
      <c r="I11" s="1555"/>
      <c r="J11" s="1555"/>
      <c r="K11" s="1555"/>
      <c r="L11" s="1555"/>
      <c r="M11" s="1555"/>
      <c r="N11" s="1555"/>
      <c r="O11" s="1555"/>
      <c r="P11" s="1555"/>
      <c r="Q11" s="7"/>
    </row>
    <row r="12" spans="1:17" x14ac:dyDescent="0.25">
      <c r="A12" s="15" t="s">
        <v>14</v>
      </c>
      <c r="B12" s="9"/>
      <c r="C12" s="16"/>
      <c r="D12" s="16"/>
      <c r="E12" s="16"/>
      <c r="F12" s="16"/>
      <c r="G12" s="16"/>
      <c r="H12" s="16"/>
      <c r="I12" s="16"/>
      <c r="J12" s="16"/>
      <c r="K12" s="16"/>
      <c r="L12" s="16"/>
      <c r="M12" s="16"/>
      <c r="N12" s="16"/>
      <c r="O12" s="16"/>
      <c r="P12" s="624"/>
      <c r="Q12" s="7"/>
    </row>
    <row r="13" spans="1:17" x14ac:dyDescent="0.25">
      <c r="A13" s="8"/>
      <c r="B13" s="9" t="s">
        <v>15</v>
      </c>
      <c r="C13" s="1553" t="s">
        <v>510</v>
      </c>
      <c r="D13" s="1553"/>
      <c r="E13" s="1553"/>
      <c r="F13" s="1553"/>
      <c r="G13" s="1553"/>
      <c r="H13" s="1553"/>
      <c r="I13" s="1553"/>
      <c r="J13" s="1553"/>
      <c r="K13" s="1553"/>
      <c r="L13" s="1553"/>
      <c r="M13" s="1553"/>
      <c r="N13" s="1553"/>
      <c r="O13" s="1553"/>
      <c r="P13" s="1553"/>
      <c r="Q13" s="7"/>
    </row>
    <row r="14" spans="1:17" x14ac:dyDescent="0.25">
      <c r="A14" s="8"/>
      <c r="B14" s="9" t="s">
        <v>17</v>
      </c>
      <c r="C14" s="1553"/>
      <c r="D14" s="1553"/>
      <c r="E14" s="1553"/>
      <c r="F14" s="1553"/>
      <c r="G14" s="1553"/>
      <c r="H14" s="1553"/>
      <c r="I14" s="1553"/>
      <c r="J14" s="1553"/>
      <c r="K14" s="1553"/>
      <c r="L14" s="1553"/>
      <c r="M14" s="1553"/>
      <c r="N14" s="1553"/>
      <c r="O14" s="1553"/>
      <c r="P14" s="1553"/>
      <c r="Q14" s="7"/>
    </row>
    <row r="15" spans="1:17" x14ac:dyDescent="0.25">
      <c r="A15" s="8"/>
      <c r="B15" s="9" t="s">
        <v>19</v>
      </c>
      <c r="C15" s="1553"/>
      <c r="D15" s="1553"/>
      <c r="E15" s="1553"/>
      <c r="F15" s="1553"/>
      <c r="G15" s="1553"/>
      <c r="H15" s="1553"/>
      <c r="I15" s="1553"/>
      <c r="J15" s="1553"/>
      <c r="K15" s="1553"/>
      <c r="L15" s="1553"/>
      <c r="M15" s="1553"/>
      <c r="N15" s="1553"/>
      <c r="O15" s="1553"/>
      <c r="P15" s="1553"/>
      <c r="Q15" s="7"/>
    </row>
    <row r="16" spans="1:17" x14ac:dyDescent="0.25">
      <c r="A16" s="8"/>
      <c r="B16" s="9" t="s">
        <v>20</v>
      </c>
      <c r="C16" s="1553"/>
      <c r="D16" s="1553"/>
      <c r="E16" s="1553"/>
      <c r="F16" s="1553"/>
      <c r="G16" s="1553"/>
      <c r="H16" s="1553"/>
      <c r="I16" s="1553"/>
      <c r="J16" s="1553"/>
      <c r="K16" s="1553"/>
      <c r="L16" s="1553"/>
      <c r="M16" s="1553"/>
      <c r="N16" s="1553"/>
      <c r="O16" s="1553"/>
      <c r="P16" s="1553"/>
      <c r="Q16" s="7"/>
    </row>
    <row r="17" spans="1:18" x14ac:dyDescent="0.25">
      <c r="A17" s="8"/>
      <c r="B17" s="9" t="s">
        <v>22</v>
      </c>
      <c r="C17" s="1553"/>
      <c r="D17" s="1553"/>
      <c r="E17" s="1553"/>
      <c r="F17" s="1553"/>
      <c r="G17" s="1553"/>
      <c r="H17" s="1553"/>
      <c r="I17" s="1553"/>
      <c r="J17" s="1553"/>
      <c r="K17" s="1553"/>
      <c r="L17" s="1553"/>
      <c r="M17" s="1553"/>
      <c r="N17" s="1553"/>
      <c r="O17" s="1553"/>
      <c r="P17" s="1553"/>
      <c r="Q17" s="7"/>
    </row>
    <row r="18" spans="1:18" x14ac:dyDescent="0.25">
      <c r="A18" s="18"/>
      <c r="B18" s="19"/>
      <c r="C18" s="1569"/>
      <c r="D18" s="1569"/>
      <c r="E18" s="1569"/>
      <c r="F18" s="1569"/>
      <c r="G18" s="1569"/>
      <c r="H18" s="1569"/>
      <c r="I18" s="1569"/>
      <c r="J18" s="1569"/>
      <c r="K18" s="1569"/>
      <c r="L18" s="1569"/>
      <c r="M18" s="1569"/>
      <c r="N18" s="1569"/>
      <c r="O18" s="1569"/>
      <c r="P18" s="1569"/>
      <c r="Q18" s="7"/>
    </row>
    <row r="19" spans="1:18" s="20" customFormat="1"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18" s="20" customFormat="1" x14ac:dyDescent="0.25">
      <c r="A20" s="1572"/>
      <c r="B20" s="1575"/>
      <c r="C20" s="1580" t="s">
        <v>27</v>
      </c>
      <c r="D20" s="1565" t="s">
        <v>28</v>
      </c>
      <c r="E20" s="1582" t="s">
        <v>29</v>
      </c>
      <c r="F20" s="1593" t="s">
        <v>30</v>
      </c>
      <c r="G20" s="1565" t="s">
        <v>31</v>
      </c>
      <c r="H20" s="1567" t="s">
        <v>32</v>
      </c>
      <c r="I20" s="1563" t="s">
        <v>33</v>
      </c>
      <c r="J20" s="1565" t="s">
        <v>34</v>
      </c>
      <c r="K20" s="1567" t="s">
        <v>35</v>
      </c>
      <c r="L20" s="1563" t="s">
        <v>36</v>
      </c>
      <c r="M20" s="1565" t="s">
        <v>37</v>
      </c>
      <c r="N20" s="1567" t="s">
        <v>38</v>
      </c>
      <c r="O20" s="1563" t="s">
        <v>39</v>
      </c>
      <c r="P20" s="1575"/>
    </row>
    <row r="21" spans="1:18" s="21" customFormat="1" ht="70.5" customHeight="1" thickBot="1" x14ac:dyDescent="0.3">
      <c r="A21" s="1573"/>
      <c r="B21" s="1576"/>
      <c r="C21" s="1581"/>
      <c r="D21" s="1566"/>
      <c r="E21" s="1583"/>
      <c r="F21" s="1594"/>
      <c r="G21" s="1566"/>
      <c r="H21" s="1568"/>
      <c r="I21" s="1564"/>
      <c r="J21" s="1566"/>
      <c r="K21" s="1568"/>
      <c r="L21" s="1564"/>
      <c r="M21" s="1566"/>
      <c r="N21" s="1568"/>
      <c r="O21" s="1564"/>
      <c r="P21" s="1576"/>
    </row>
    <row r="22" spans="1:18" s="21" customFormat="1" ht="9" thickTop="1" x14ac:dyDescent="0.25">
      <c r="A22" s="22" t="s">
        <v>40</v>
      </c>
      <c r="B22" s="22">
        <v>2</v>
      </c>
      <c r="C22" s="23">
        <v>3</v>
      </c>
      <c r="D22" s="24">
        <v>4</v>
      </c>
      <c r="E22" s="25">
        <v>5</v>
      </c>
      <c r="F22" s="661">
        <v>4</v>
      </c>
      <c r="G22" s="24">
        <v>7</v>
      </c>
      <c r="H22" s="26">
        <v>8</v>
      </c>
      <c r="I22" s="27">
        <v>5</v>
      </c>
      <c r="J22" s="24">
        <v>10</v>
      </c>
      <c r="K22" s="28">
        <v>11</v>
      </c>
      <c r="L22" s="27">
        <v>6</v>
      </c>
      <c r="M22" s="28">
        <v>13</v>
      </c>
      <c r="N22" s="29">
        <v>14</v>
      </c>
      <c r="O22" s="27">
        <v>7</v>
      </c>
      <c r="P22" s="27">
        <v>16</v>
      </c>
    </row>
    <row r="23" spans="1:18" s="41" customFormat="1" x14ac:dyDescent="0.25">
      <c r="A23" s="30"/>
      <c r="B23" s="31" t="s">
        <v>41</v>
      </c>
      <c r="C23" s="32"/>
      <c r="D23" s="33"/>
      <c r="E23" s="34"/>
      <c r="F23" s="421"/>
      <c r="G23" s="33"/>
      <c r="H23" s="36"/>
      <c r="I23" s="37"/>
      <c r="J23" s="33"/>
      <c r="K23" s="38"/>
      <c r="L23" s="37"/>
      <c r="M23" s="38"/>
      <c r="N23" s="39"/>
      <c r="O23" s="37"/>
      <c r="P23" s="40"/>
    </row>
    <row r="24" spans="1:18" s="41" customFormat="1" ht="12.75" thickBot="1" x14ac:dyDescent="0.3">
      <c r="A24" s="42"/>
      <c r="B24" s="43" t="s">
        <v>42</v>
      </c>
      <c r="C24" s="44">
        <f>F24+I24+L24+O24</f>
        <v>76369</v>
      </c>
      <c r="D24" s="45">
        <f>SUM(D25,D28,D29,D45,D46)</f>
        <v>85275</v>
      </c>
      <c r="E24" s="46">
        <f>SUM(E25,E28,E29,E45,E46)</f>
        <v>-8906</v>
      </c>
      <c r="F24" s="425">
        <f t="shared" ref="F24:F29" si="0">D24+E24</f>
        <v>76369</v>
      </c>
      <c r="G24" s="45">
        <f>SUM(G25,G28,G46)</f>
        <v>0</v>
      </c>
      <c r="H24" s="48">
        <f>SUM(H25,H28,H46)</f>
        <v>0</v>
      </c>
      <c r="I24" s="49">
        <f>G24+H24</f>
        <v>0</v>
      </c>
      <c r="J24" s="45">
        <f>SUM(J25,J30,J46)</f>
        <v>0</v>
      </c>
      <c r="K24" s="48">
        <f>SUM(K25,K30,K46)</f>
        <v>0</v>
      </c>
      <c r="L24" s="49">
        <f>J24+K24</f>
        <v>0</v>
      </c>
      <c r="M24" s="50">
        <f>SUM(M25,M48)</f>
        <v>0</v>
      </c>
      <c r="N24" s="51">
        <f>SUM(N25,N48)</f>
        <v>0</v>
      </c>
      <c r="O24" s="49">
        <f>M24+N24</f>
        <v>0</v>
      </c>
      <c r="P24" s="52"/>
      <c r="R24" s="53"/>
    </row>
    <row r="25" spans="1:18" ht="12.75" hidden="1" thickTop="1" x14ac:dyDescent="0.25">
      <c r="A25" s="54"/>
      <c r="B25" s="55" t="s">
        <v>43</v>
      </c>
      <c r="C25" s="56">
        <f>F25+I25+L25+O25</f>
        <v>0</v>
      </c>
      <c r="D25" s="57">
        <f>SUM(D26:D27)</f>
        <v>0</v>
      </c>
      <c r="E25" s="58">
        <f>SUM(E26:E27)</f>
        <v>0</v>
      </c>
      <c r="F25" s="426">
        <f t="shared" si="0"/>
        <v>0</v>
      </c>
      <c r="G25" s="57">
        <f>SUM(G26:G27)</f>
        <v>0</v>
      </c>
      <c r="H25" s="60">
        <f>SUM(H26:H27)</f>
        <v>0</v>
      </c>
      <c r="I25" s="61">
        <f>G25+H25</f>
        <v>0</v>
      </c>
      <c r="J25" s="57">
        <f>SUM(J26:J27)</f>
        <v>0</v>
      </c>
      <c r="K25" s="60">
        <f>SUM(K26:K27)</f>
        <v>0</v>
      </c>
      <c r="L25" s="61">
        <f>J25+K25</f>
        <v>0</v>
      </c>
      <c r="M25" s="62">
        <f>SUM(M26:M27)</f>
        <v>0</v>
      </c>
      <c r="N25" s="63">
        <f>SUM(N26:N27)</f>
        <v>0</v>
      </c>
      <c r="O25" s="61">
        <f>M25+N25</f>
        <v>0</v>
      </c>
      <c r="P25" s="64"/>
      <c r="R25" s="53"/>
    </row>
    <row r="26" spans="1:18" ht="12.75" hidden="1" thickTop="1" x14ac:dyDescent="0.25">
      <c r="A26" s="65"/>
      <c r="B26" s="66" t="s">
        <v>44</v>
      </c>
      <c r="C26" s="67">
        <f>F26+I26+L26+O26</f>
        <v>0</v>
      </c>
      <c r="D26" s="626"/>
      <c r="E26" s="662"/>
      <c r="F26" s="448">
        <f t="shared" si="0"/>
        <v>0</v>
      </c>
      <c r="G26" s="68"/>
      <c r="H26" s="71"/>
      <c r="I26" s="72">
        <f>G26+H26</f>
        <v>0</v>
      </c>
      <c r="J26" s="68"/>
      <c r="K26" s="71"/>
      <c r="L26" s="72">
        <f>J26+K26</f>
        <v>0</v>
      </c>
      <c r="M26" s="73"/>
      <c r="N26" s="69"/>
      <c r="O26" s="72">
        <f>M26+N26</f>
        <v>0</v>
      </c>
      <c r="P26" s="74"/>
      <c r="R26" s="53"/>
    </row>
    <row r="27" spans="1:18" ht="12.75" hidden="1" thickTop="1" x14ac:dyDescent="0.25">
      <c r="A27" s="75"/>
      <c r="B27" s="76" t="s">
        <v>45</v>
      </c>
      <c r="C27" s="77">
        <f>F27+I27+L27+O27</f>
        <v>0</v>
      </c>
      <c r="D27" s="78"/>
      <c r="E27" s="79"/>
      <c r="F27" s="429">
        <f t="shared" si="0"/>
        <v>0</v>
      </c>
      <c r="G27" s="78"/>
      <c r="H27" s="81"/>
      <c r="I27" s="82">
        <f>G27+H27</f>
        <v>0</v>
      </c>
      <c r="J27" s="78"/>
      <c r="K27" s="81"/>
      <c r="L27" s="82">
        <f>J27+K27</f>
        <v>0</v>
      </c>
      <c r="M27" s="83"/>
      <c r="N27" s="84"/>
      <c r="O27" s="82">
        <f>M27+N27</f>
        <v>0</v>
      </c>
      <c r="P27" s="85"/>
      <c r="R27" s="53"/>
    </row>
    <row r="28" spans="1:18" s="41" customFormat="1" ht="25.5" thickTop="1" thickBot="1" x14ac:dyDescent="0.3">
      <c r="A28" s="86">
        <v>19300</v>
      </c>
      <c r="B28" s="86" t="s">
        <v>46</v>
      </c>
      <c r="C28" s="87">
        <f>SUM(F28,I28)</f>
        <v>76369</v>
      </c>
      <c r="D28" s="629">
        <f>D54</f>
        <v>85275</v>
      </c>
      <c r="E28" s="663">
        <f>E54</f>
        <v>-8906</v>
      </c>
      <c r="F28" s="664">
        <f t="shared" si="0"/>
        <v>76369</v>
      </c>
      <c r="G28" s="88">
        <f>G54</f>
        <v>0</v>
      </c>
      <c r="H28" s="91"/>
      <c r="I28" s="92">
        <f>G28+H28</f>
        <v>0</v>
      </c>
      <c r="J28" s="93" t="s">
        <v>47</v>
      </c>
      <c r="K28" s="94" t="s">
        <v>47</v>
      </c>
      <c r="L28" s="95" t="s">
        <v>47</v>
      </c>
      <c r="M28" s="96" t="s">
        <v>47</v>
      </c>
      <c r="N28" s="97" t="s">
        <v>47</v>
      </c>
      <c r="O28" s="95" t="s">
        <v>47</v>
      </c>
      <c r="P28" s="98"/>
      <c r="R28" s="53"/>
    </row>
    <row r="29" spans="1:18" s="41" customFormat="1" ht="34.5" hidden="1" customHeight="1" thickTop="1" x14ac:dyDescent="0.25">
      <c r="A29" s="99"/>
      <c r="B29" s="99" t="s">
        <v>48</v>
      </c>
      <c r="C29" s="100">
        <f>F29</f>
        <v>0</v>
      </c>
      <c r="D29" s="101"/>
      <c r="E29" s="665"/>
      <c r="F29" s="103">
        <f t="shared" si="0"/>
        <v>0</v>
      </c>
      <c r="G29" s="104" t="s">
        <v>47</v>
      </c>
      <c r="H29" s="105" t="s">
        <v>47</v>
      </c>
      <c r="I29" s="106" t="s">
        <v>47</v>
      </c>
      <c r="J29" s="104" t="s">
        <v>47</v>
      </c>
      <c r="K29" s="105" t="s">
        <v>47</v>
      </c>
      <c r="L29" s="106" t="s">
        <v>47</v>
      </c>
      <c r="M29" s="107" t="s">
        <v>47</v>
      </c>
      <c r="N29" s="108" t="s">
        <v>47</v>
      </c>
      <c r="O29" s="106" t="s">
        <v>47</v>
      </c>
      <c r="P29" s="109"/>
      <c r="R29" s="53"/>
    </row>
    <row r="30" spans="1:18" s="41" customFormat="1" ht="24.75" hidden="1" thickTop="1" x14ac:dyDescent="0.25">
      <c r="A30" s="99">
        <v>21300</v>
      </c>
      <c r="B30" s="99" t="s">
        <v>49</v>
      </c>
      <c r="C30" s="100">
        <f t="shared" ref="C30:C44" si="1">L30</f>
        <v>0</v>
      </c>
      <c r="D30" s="631" t="s">
        <v>47</v>
      </c>
      <c r="E30" s="666" t="s">
        <v>47</v>
      </c>
      <c r="F30" s="667" t="s">
        <v>47</v>
      </c>
      <c r="G30" s="104" t="s">
        <v>47</v>
      </c>
      <c r="H30" s="105" t="s">
        <v>47</v>
      </c>
      <c r="I30" s="106" t="s">
        <v>47</v>
      </c>
      <c r="J30" s="112">
        <f>SUM(J31,J35,J37,J40)</f>
        <v>0</v>
      </c>
      <c r="K30" s="113">
        <f>SUM(K31,K35,K37,K40)</f>
        <v>0</v>
      </c>
      <c r="L30" s="114">
        <f t="shared" ref="L30:L44" si="2">J30+K30</f>
        <v>0</v>
      </c>
      <c r="M30" s="107" t="s">
        <v>47</v>
      </c>
      <c r="N30" s="108" t="s">
        <v>47</v>
      </c>
      <c r="O30" s="106" t="s">
        <v>47</v>
      </c>
      <c r="P30" s="109"/>
      <c r="R30" s="53"/>
    </row>
    <row r="31" spans="1:18" s="41" customFormat="1" ht="12.75" hidden="1" thickTop="1" x14ac:dyDescent="0.25">
      <c r="A31" s="115">
        <v>21350</v>
      </c>
      <c r="B31" s="99" t="s">
        <v>50</v>
      </c>
      <c r="C31" s="100">
        <f t="shared" si="1"/>
        <v>0</v>
      </c>
      <c r="D31" s="104" t="s">
        <v>47</v>
      </c>
      <c r="E31" s="110" t="s">
        <v>47</v>
      </c>
      <c r="F31" s="140" t="s">
        <v>47</v>
      </c>
      <c r="G31" s="104" t="s">
        <v>47</v>
      </c>
      <c r="H31" s="105" t="s">
        <v>47</v>
      </c>
      <c r="I31" s="106" t="s">
        <v>47</v>
      </c>
      <c r="J31" s="112">
        <f>SUM(J32:J34)</f>
        <v>0</v>
      </c>
      <c r="K31" s="113">
        <f>SUM(K32:K34)</f>
        <v>0</v>
      </c>
      <c r="L31" s="114">
        <f t="shared" si="2"/>
        <v>0</v>
      </c>
      <c r="M31" s="107" t="s">
        <v>47</v>
      </c>
      <c r="N31" s="108" t="s">
        <v>47</v>
      </c>
      <c r="O31" s="106" t="s">
        <v>47</v>
      </c>
      <c r="P31" s="109"/>
      <c r="R31" s="53"/>
    </row>
    <row r="32" spans="1:18" ht="12.75" hidden="1" thickTop="1" x14ac:dyDescent="0.25">
      <c r="A32" s="65">
        <v>21351</v>
      </c>
      <c r="B32" s="116" t="s">
        <v>51</v>
      </c>
      <c r="C32" s="117">
        <f t="shared" si="1"/>
        <v>0</v>
      </c>
      <c r="D32" s="118" t="s">
        <v>47</v>
      </c>
      <c r="E32" s="154" t="s">
        <v>47</v>
      </c>
      <c r="F32" s="120" t="s">
        <v>47</v>
      </c>
      <c r="G32" s="118" t="s">
        <v>47</v>
      </c>
      <c r="H32" s="121" t="s">
        <v>47</v>
      </c>
      <c r="I32" s="122" t="s">
        <v>47</v>
      </c>
      <c r="J32" s="123"/>
      <c r="K32" s="124"/>
      <c r="L32" s="125">
        <f t="shared" si="2"/>
        <v>0</v>
      </c>
      <c r="M32" s="126" t="s">
        <v>47</v>
      </c>
      <c r="N32" s="119" t="s">
        <v>47</v>
      </c>
      <c r="O32" s="122" t="s">
        <v>47</v>
      </c>
      <c r="P32" s="74"/>
      <c r="R32" s="53"/>
    </row>
    <row r="33" spans="1:18" ht="12.75" hidden="1" thickTop="1" x14ac:dyDescent="0.25">
      <c r="A33" s="75">
        <v>21352</v>
      </c>
      <c r="B33" s="127" t="s">
        <v>52</v>
      </c>
      <c r="C33" s="128">
        <f t="shared" si="1"/>
        <v>0</v>
      </c>
      <c r="D33" s="129" t="s">
        <v>47</v>
      </c>
      <c r="E33" s="130" t="s">
        <v>47</v>
      </c>
      <c r="F33" s="139" t="s">
        <v>47</v>
      </c>
      <c r="G33" s="129" t="s">
        <v>47</v>
      </c>
      <c r="H33" s="132" t="s">
        <v>47</v>
      </c>
      <c r="I33" s="133" t="s">
        <v>47</v>
      </c>
      <c r="J33" s="134"/>
      <c r="K33" s="135"/>
      <c r="L33" s="136">
        <f t="shared" si="2"/>
        <v>0</v>
      </c>
      <c r="M33" s="137" t="s">
        <v>47</v>
      </c>
      <c r="N33" s="138" t="s">
        <v>47</v>
      </c>
      <c r="O33" s="133" t="s">
        <v>47</v>
      </c>
      <c r="P33" s="85"/>
      <c r="R33" s="53"/>
    </row>
    <row r="34" spans="1:18" ht="12.75" hidden="1" thickTop="1" x14ac:dyDescent="0.25">
      <c r="A34" s="75">
        <v>21359</v>
      </c>
      <c r="B34" s="127" t="s">
        <v>53</v>
      </c>
      <c r="C34" s="128">
        <f t="shared" si="1"/>
        <v>0</v>
      </c>
      <c r="D34" s="129" t="s">
        <v>47</v>
      </c>
      <c r="E34" s="130" t="s">
        <v>47</v>
      </c>
      <c r="F34" s="139" t="s">
        <v>47</v>
      </c>
      <c r="G34" s="129" t="s">
        <v>47</v>
      </c>
      <c r="H34" s="132" t="s">
        <v>47</v>
      </c>
      <c r="I34" s="133" t="s">
        <v>47</v>
      </c>
      <c r="J34" s="134"/>
      <c r="K34" s="135"/>
      <c r="L34" s="136">
        <f t="shared" si="2"/>
        <v>0</v>
      </c>
      <c r="M34" s="137" t="s">
        <v>47</v>
      </c>
      <c r="N34" s="138" t="s">
        <v>47</v>
      </c>
      <c r="O34" s="133" t="s">
        <v>47</v>
      </c>
      <c r="P34" s="85"/>
      <c r="R34" s="53"/>
    </row>
    <row r="35" spans="1:18" s="41" customFormat="1" ht="24.75" hidden="1" thickTop="1" x14ac:dyDescent="0.25">
      <c r="A35" s="115">
        <v>21370</v>
      </c>
      <c r="B35" s="99" t="s">
        <v>54</v>
      </c>
      <c r="C35" s="100">
        <f t="shared" si="1"/>
        <v>0</v>
      </c>
      <c r="D35" s="104" t="s">
        <v>47</v>
      </c>
      <c r="E35" s="110" t="s">
        <v>47</v>
      </c>
      <c r="F35" s="140" t="s">
        <v>47</v>
      </c>
      <c r="G35" s="104" t="s">
        <v>47</v>
      </c>
      <c r="H35" s="105" t="s">
        <v>47</v>
      </c>
      <c r="I35" s="106" t="s">
        <v>47</v>
      </c>
      <c r="J35" s="112">
        <f>SUM(J36)</f>
        <v>0</v>
      </c>
      <c r="K35" s="113">
        <f>SUM(K36)</f>
        <v>0</v>
      </c>
      <c r="L35" s="114">
        <f t="shared" si="2"/>
        <v>0</v>
      </c>
      <c r="M35" s="107" t="s">
        <v>47</v>
      </c>
      <c r="N35" s="108" t="s">
        <v>47</v>
      </c>
      <c r="O35" s="106" t="s">
        <v>47</v>
      </c>
      <c r="P35" s="109"/>
      <c r="R35" s="53"/>
    </row>
    <row r="36" spans="1:18" ht="24.75" hidden="1" thickTop="1" x14ac:dyDescent="0.25">
      <c r="A36" s="141">
        <v>21379</v>
      </c>
      <c r="B36" s="142" t="s">
        <v>55</v>
      </c>
      <c r="C36" s="143">
        <f t="shared" si="1"/>
        <v>0</v>
      </c>
      <c r="D36" s="144" t="s">
        <v>47</v>
      </c>
      <c r="E36" s="668" t="s">
        <v>47</v>
      </c>
      <c r="F36" s="146" t="s">
        <v>47</v>
      </c>
      <c r="G36" s="144" t="s">
        <v>47</v>
      </c>
      <c r="H36" s="147" t="s">
        <v>47</v>
      </c>
      <c r="I36" s="148" t="s">
        <v>47</v>
      </c>
      <c r="J36" s="149"/>
      <c r="K36" s="150"/>
      <c r="L36" s="151">
        <f t="shared" si="2"/>
        <v>0</v>
      </c>
      <c r="M36" s="152" t="s">
        <v>47</v>
      </c>
      <c r="N36" s="145" t="s">
        <v>47</v>
      </c>
      <c r="O36" s="148" t="s">
        <v>47</v>
      </c>
      <c r="P36" s="153"/>
      <c r="R36" s="53"/>
    </row>
    <row r="37" spans="1:18" s="41" customFormat="1" ht="12.75" hidden="1" thickTop="1" x14ac:dyDescent="0.25">
      <c r="A37" s="115">
        <v>21380</v>
      </c>
      <c r="B37" s="99" t="s">
        <v>56</v>
      </c>
      <c r="C37" s="100">
        <f t="shared" si="1"/>
        <v>0</v>
      </c>
      <c r="D37" s="104" t="s">
        <v>47</v>
      </c>
      <c r="E37" s="110" t="s">
        <v>47</v>
      </c>
      <c r="F37" s="140" t="s">
        <v>47</v>
      </c>
      <c r="G37" s="104" t="s">
        <v>47</v>
      </c>
      <c r="H37" s="105" t="s">
        <v>47</v>
      </c>
      <c r="I37" s="106" t="s">
        <v>47</v>
      </c>
      <c r="J37" s="112">
        <f>SUM(J38:J39)</f>
        <v>0</v>
      </c>
      <c r="K37" s="113">
        <f>SUM(K38:K39)</f>
        <v>0</v>
      </c>
      <c r="L37" s="114">
        <f t="shared" si="2"/>
        <v>0</v>
      </c>
      <c r="M37" s="107" t="s">
        <v>47</v>
      </c>
      <c r="N37" s="108" t="s">
        <v>47</v>
      </c>
      <c r="O37" s="106" t="s">
        <v>47</v>
      </c>
      <c r="P37" s="109"/>
      <c r="R37" s="53"/>
    </row>
    <row r="38" spans="1:18" ht="12.75" hidden="1" thickTop="1" x14ac:dyDescent="0.25">
      <c r="A38" s="66">
        <v>21381</v>
      </c>
      <c r="B38" s="116" t="s">
        <v>57</v>
      </c>
      <c r="C38" s="117">
        <f t="shared" si="1"/>
        <v>0</v>
      </c>
      <c r="D38" s="144" t="s">
        <v>47</v>
      </c>
      <c r="E38" s="668" t="s">
        <v>47</v>
      </c>
      <c r="F38" s="146" t="s">
        <v>47</v>
      </c>
      <c r="G38" s="118" t="s">
        <v>47</v>
      </c>
      <c r="H38" s="121" t="s">
        <v>47</v>
      </c>
      <c r="I38" s="122" t="s">
        <v>47</v>
      </c>
      <c r="J38" s="123"/>
      <c r="K38" s="124"/>
      <c r="L38" s="125">
        <f t="shared" si="2"/>
        <v>0</v>
      </c>
      <c r="M38" s="126" t="s">
        <v>47</v>
      </c>
      <c r="N38" s="119" t="s">
        <v>47</v>
      </c>
      <c r="O38" s="122" t="s">
        <v>47</v>
      </c>
      <c r="P38" s="74"/>
      <c r="R38" s="53"/>
    </row>
    <row r="39" spans="1:18" ht="12.75" hidden="1" thickTop="1" x14ac:dyDescent="0.25">
      <c r="A39" s="76">
        <v>21383</v>
      </c>
      <c r="B39" s="127" t="s">
        <v>58</v>
      </c>
      <c r="C39" s="128">
        <f t="shared" si="1"/>
        <v>0</v>
      </c>
      <c r="D39" s="129" t="s">
        <v>47</v>
      </c>
      <c r="E39" s="130" t="s">
        <v>47</v>
      </c>
      <c r="F39" s="139" t="s">
        <v>47</v>
      </c>
      <c r="G39" s="129" t="s">
        <v>47</v>
      </c>
      <c r="H39" s="132" t="s">
        <v>47</v>
      </c>
      <c r="I39" s="133" t="s">
        <v>47</v>
      </c>
      <c r="J39" s="134"/>
      <c r="K39" s="135"/>
      <c r="L39" s="136">
        <f t="shared" si="2"/>
        <v>0</v>
      </c>
      <c r="M39" s="137" t="s">
        <v>47</v>
      </c>
      <c r="N39" s="138" t="s">
        <v>47</v>
      </c>
      <c r="O39" s="133" t="s">
        <v>47</v>
      </c>
      <c r="P39" s="85"/>
      <c r="R39" s="53"/>
    </row>
    <row r="40" spans="1:18" s="41" customFormat="1" ht="24.75" hidden="1" thickTop="1" x14ac:dyDescent="0.25">
      <c r="A40" s="115">
        <v>21390</v>
      </c>
      <c r="B40" s="99" t="s">
        <v>59</v>
      </c>
      <c r="C40" s="100">
        <f t="shared" si="1"/>
        <v>0</v>
      </c>
      <c r="D40" s="170" t="s">
        <v>47</v>
      </c>
      <c r="E40" s="669" t="s">
        <v>47</v>
      </c>
      <c r="F40" s="172" t="s">
        <v>47</v>
      </c>
      <c r="G40" s="104" t="s">
        <v>47</v>
      </c>
      <c r="H40" s="105" t="s">
        <v>47</v>
      </c>
      <c r="I40" s="106" t="s">
        <v>47</v>
      </c>
      <c r="J40" s="112">
        <f>SUM(J41:J44)</f>
        <v>0</v>
      </c>
      <c r="K40" s="113">
        <f>SUM(K41:K44)</f>
        <v>0</v>
      </c>
      <c r="L40" s="114">
        <f t="shared" si="2"/>
        <v>0</v>
      </c>
      <c r="M40" s="107" t="s">
        <v>47</v>
      </c>
      <c r="N40" s="108" t="s">
        <v>47</v>
      </c>
      <c r="O40" s="106" t="s">
        <v>47</v>
      </c>
      <c r="P40" s="109"/>
      <c r="R40" s="53"/>
    </row>
    <row r="41" spans="1:18" ht="24.75" hidden="1" thickTop="1" x14ac:dyDescent="0.25">
      <c r="A41" s="66">
        <v>21391</v>
      </c>
      <c r="B41" s="116" t="s">
        <v>60</v>
      </c>
      <c r="C41" s="117">
        <f t="shared" si="1"/>
        <v>0</v>
      </c>
      <c r="D41" s="144" t="s">
        <v>47</v>
      </c>
      <c r="E41" s="668" t="s">
        <v>47</v>
      </c>
      <c r="F41" s="146" t="s">
        <v>47</v>
      </c>
      <c r="G41" s="118" t="s">
        <v>47</v>
      </c>
      <c r="H41" s="121" t="s">
        <v>47</v>
      </c>
      <c r="I41" s="122" t="s">
        <v>47</v>
      </c>
      <c r="J41" s="123"/>
      <c r="K41" s="124"/>
      <c r="L41" s="125">
        <f t="shared" si="2"/>
        <v>0</v>
      </c>
      <c r="M41" s="126" t="s">
        <v>47</v>
      </c>
      <c r="N41" s="119" t="s">
        <v>47</v>
      </c>
      <c r="O41" s="122" t="s">
        <v>47</v>
      </c>
      <c r="P41" s="74"/>
      <c r="R41" s="53"/>
    </row>
    <row r="42" spans="1:18" ht="12.75" hidden="1" thickTop="1" x14ac:dyDescent="0.25">
      <c r="A42" s="76">
        <v>21393</v>
      </c>
      <c r="B42" s="127" t="s">
        <v>61</v>
      </c>
      <c r="C42" s="128">
        <f t="shared" si="1"/>
        <v>0</v>
      </c>
      <c r="D42" s="129" t="s">
        <v>47</v>
      </c>
      <c r="E42" s="130" t="s">
        <v>47</v>
      </c>
      <c r="F42" s="139" t="s">
        <v>47</v>
      </c>
      <c r="G42" s="129" t="s">
        <v>47</v>
      </c>
      <c r="H42" s="132" t="s">
        <v>47</v>
      </c>
      <c r="I42" s="133" t="s">
        <v>47</v>
      </c>
      <c r="J42" s="134"/>
      <c r="K42" s="135"/>
      <c r="L42" s="136">
        <f t="shared" si="2"/>
        <v>0</v>
      </c>
      <c r="M42" s="137" t="s">
        <v>47</v>
      </c>
      <c r="N42" s="138" t="s">
        <v>47</v>
      </c>
      <c r="O42" s="133" t="s">
        <v>47</v>
      </c>
      <c r="P42" s="85"/>
      <c r="R42" s="53"/>
    </row>
    <row r="43" spans="1:18" ht="12.75" hidden="1" thickTop="1" x14ac:dyDescent="0.25">
      <c r="A43" s="76">
        <v>21395</v>
      </c>
      <c r="B43" s="127" t="s">
        <v>62</v>
      </c>
      <c r="C43" s="128">
        <f t="shared" si="1"/>
        <v>0</v>
      </c>
      <c r="D43" s="129" t="s">
        <v>47</v>
      </c>
      <c r="E43" s="130" t="s">
        <v>47</v>
      </c>
      <c r="F43" s="139" t="s">
        <v>47</v>
      </c>
      <c r="G43" s="129" t="s">
        <v>47</v>
      </c>
      <c r="H43" s="132" t="s">
        <v>47</v>
      </c>
      <c r="I43" s="133" t="s">
        <v>47</v>
      </c>
      <c r="J43" s="134"/>
      <c r="K43" s="135"/>
      <c r="L43" s="136">
        <f t="shared" si="2"/>
        <v>0</v>
      </c>
      <c r="M43" s="137" t="s">
        <v>47</v>
      </c>
      <c r="N43" s="138" t="s">
        <v>47</v>
      </c>
      <c r="O43" s="133" t="s">
        <v>47</v>
      </c>
      <c r="P43" s="85"/>
      <c r="R43" s="53"/>
    </row>
    <row r="44" spans="1:18" ht="12.75" hidden="1" thickTop="1" x14ac:dyDescent="0.25">
      <c r="A44" s="76">
        <v>21399</v>
      </c>
      <c r="B44" s="127" t="s">
        <v>63</v>
      </c>
      <c r="C44" s="128">
        <f t="shared" si="1"/>
        <v>0</v>
      </c>
      <c r="D44" s="129" t="s">
        <v>47</v>
      </c>
      <c r="E44" s="130" t="s">
        <v>47</v>
      </c>
      <c r="F44" s="139" t="s">
        <v>47</v>
      </c>
      <c r="G44" s="129" t="s">
        <v>47</v>
      </c>
      <c r="H44" s="132" t="s">
        <v>47</v>
      </c>
      <c r="I44" s="133" t="s">
        <v>47</v>
      </c>
      <c r="J44" s="134"/>
      <c r="K44" s="135"/>
      <c r="L44" s="136">
        <f t="shared" si="2"/>
        <v>0</v>
      </c>
      <c r="M44" s="137" t="s">
        <v>47</v>
      </c>
      <c r="N44" s="138" t="s">
        <v>47</v>
      </c>
      <c r="O44" s="133" t="s">
        <v>47</v>
      </c>
      <c r="P44" s="85"/>
      <c r="R44" s="53"/>
    </row>
    <row r="45" spans="1:18" s="41" customFormat="1" ht="24.75" hidden="1" thickTop="1" x14ac:dyDescent="0.25">
      <c r="A45" s="115">
        <v>21420</v>
      </c>
      <c r="B45" s="99" t="s">
        <v>64</v>
      </c>
      <c r="C45" s="156">
        <f>F45</f>
        <v>0</v>
      </c>
      <c r="D45" s="635"/>
      <c r="E45" s="670"/>
      <c r="F45" s="671">
        <f>D45+E45</f>
        <v>0</v>
      </c>
      <c r="G45" s="104" t="s">
        <v>47</v>
      </c>
      <c r="H45" s="105" t="s">
        <v>47</v>
      </c>
      <c r="I45" s="106" t="s">
        <v>47</v>
      </c>
      <c r="J45" s="104" t="s">
        <v>47</v>
      </c>
      <c r="K45" s="105" t="s">
        <v>47</v>
      </c>
      <c r="L45" s="106" t="s">
        <v>47</v>
      </c>
      <c r="M45" s="107" t="s">
        <v>47</v>
      </c>
      <c r="N45" s="108" t="s">
        <v>47</v>
      </c>
      <c r="O45" s="106" t="s">
        <v>47</v>
      </c>
      <c r="P45" s="109"/>
      <c r="R45" s="53"/>
    </row>
    <row r="46" spans="1:18" s="41" customFormat="1" ht="12.75" hidden="1" thickTop="1" x14ac:dyDescent="0.25">
      <c r="A46" s="159">
        <v>21490</v>
      </c>
      <c r="B46" s="160" t="s">
        <v>65</v>
      </c>
      <c r="C46" s="156">
        <f>F46+I46+L46</f>
        <v>0</v>
      </c>
      <c r="D46" s="161">
        <f>D47</f>
        <v>0</v>
      </c>
      <c r="E46" s="672">
        <f>E47</f>
        <v>0</v>
      </c>
      <c r="F46" s="163">
        <f>D46+E46</f>
        <v>0</v>
      </c>
      <c r="G46" s="161">
        <f>G47</f>
        <v>0</v>
      </c>
      <c r="H46" s="164">
        <f t="shared" ref="H46:K46" si="3">H47</f>
        <v>0</v>
      </c>
      <c r="I46" s="165">
        <f>G46+H46</f>
        <v>0</v>
      </c>
      <c r="J46" s="161">
        <f>J47</f>
        <v>0</v>
      </c>
      <c r="K46" s="164">
        <f t="shared" si="3"/>
        <v>0</v>
      </c>
      <c r="L46" s="165">
        <f>J46+K46</f>
        <v>0</v>
      </c>
      <c r="M46" s="107" t="s">
        <v>47</v>
      </c>
      <c r="N46" s="108" t="s">
        <v>47</v>
      </c>
      <c r="O46" s="106" t="s">
        <v>47</v>
      </c>
      <c r="P46" s="109"/>
      <c r="R46" s="53"/>
    </row>
    <row r="47" spans="1:18" s="41" customFormat="1" ht="12.75" hidden="1" thickTop="1" x14ac:dyDescent="0.25">
      <c r="A47" s="76">
        <v>21499</v>
      </c>
      <c r="B47" s="127" t="s">
        <v>66</v>
      </c>
      <c r="C47" s="166">
        <f>F47+I47+L47</f>
        <v>0</v>
      </c>
      <c r="D47" s="68"/>
      <c r="E47" s="673"/>
      <c r="F47" s="70">
        <f>D47+E47</f>
        <v>0</v>
      </c>
      <c r="G47" s="167"/>
      <c r="H47" s="71"/>
      <c r="I47" s="72">
        <f>G47+H47</f>
        <v>0</v>
      </c>
      <c r="J47" s="68"/>
      <c r="K47" s="71"/>
      <c r="L47" s="72">
        <f>J47+K47</f>
        <v>0</v>
      </c>
      <c r="M47" s="152" t="s">
        <v>47</v>
      </c>
      <c r="N47" s="145" t="s">
        <v>47</v>
      </c>
      <c r="O47" s="148" t="s">
        <v>47</v>
      </c>
      <c r="P47" s="153"/>
      <c r="R47" s="53"/>
    </row>
    <row r="48" spans="1:18" ht="12.75" hidden="1" thickTop="1" x14ac:dyDescent="0.25">
      <c r="A48" s="168">
        <v>23000</v>
      </c>
      <c r="B48" s="169" t="s">
        <v>67</v>
      </c>
      <c r="C48" s="156">
        <f>O48</f>
        <v>0</v>
      </c>
      <c r="D48" s="170" t="s">
        <v>47</v>
      </c>
      <c r="E48" s="669" t="s">
        <v>47</v>
      </c>
      <c r="F48" s="172" t="s">
        <v>47</v>
      </c>
      <c r="G48" s="170" t="s">
        <v>47</v>
      </c>
      <c r="H48" s="173" t="s">
        <v>47</v>
      </c>
      <c r="I48" s="174" t="s">
        <v>47</v>
      </c>
      <c r="J48" s="170" t="s">
        <v>47</v>
      </c>
      <c r="K48" s="173" t="s">
        <v>47</v>
      </c>
      <c r="L48" s="174" t="s">
        <v>47</v>
      </c>
      <c r="M48" s="175">
        <f>SUM(M49:M50)</f>
        <v>0</v>
      </c>
      <c r="N48" s="176">
        <f>SUM(N49:N50)</f>
        <v>0</v>
      </c>
      <c r="O48" s="177">
        <f>M48+N48</f>
        <v>0</v>
      </c>
      <c r="P48" s="109"/>
      <c r="R48" s="53"/>
    </row>
    <row r="49" spans="1:18" ht="12.75" hidden="1" thickTop="1" x14ac:dyDescent="0.25">
      <c r="A49" s="178">
        <v>23410</v>
      </c>
      <c r="B49" s="179" t="s">
        <v>68</v>
      </c>
      <c r="C49" s="180">
        <f>O49</f>
        <v>0</v>
      </c>
      <c r="D49" s="181" t="s">
        <v>47</v>
      </c>
      <c r="E49" s="674" t="s">
        <v>47</v>
      </c>
      <c r="F49" s="183" t="s">
        <v>47</v>
      </c>
      <c r="G49" s="181" t="s">
        <v>47</v>
      </c>
      <c r="H49" s="184" t="s">
        <v>47</v>
      </c>
      <c r="I49" s="185" t="s">
        <v>47</v>
      </c>
      <c r="J49" s="181" t="s">
        <v>47</v>
      </c>
      <c r="K49" s="184" t="s">
        <v>47</v>
      </c>
      <c r="L49" s="185" t="s">
        <v>47</v>
      </c>
      <c r="M49" s="186"/>
      <c r="N49" s="187"/>
      <c r="O49" s="188">
        <f>M49+N49</f>
        <v>0</v>
      </c>
      <c r="P49" s="189"/>
      <c r="R49" s="53"/>
    </row>
    <row r="50" spans="1:18" ht="12.75" hidden="1" thickTop="1" x14ac:dyDescent="0.25">
      <c r="A50" s="178">
        <v>23510</v>
      </c>
      <c r="B50" s="179" t="s">
        <v>69</v>
      </c>
      <c r="C50" s="180">
        <f>O50</f>
        <v>0</v>
      </c>
      <c r="D50" s="181" t="s">
        <v>47</v>
      </c>
      <c r="E50" s="674" t="s">
        <v>47</v>
      </c>
      <c r="F50" s="183" t="s">
        <v>47</v>
      </c>
      <c r="G50" s="181" t="s">
        <v>47</v>
      </c>
      <c r="H50" s="184" t="s">
        <v>47</v>
      </c>
      <c r="I50" s="185" t="s">
        <v>47</v>
      </c>
      <c r="J50" s="181" t="s">
        <v>47</v>
      </c>
      <c r="K50" s="184" t="s">
        <v>47</v>
      </c>
      <c r="L50" s="185" t="s">
        <v>47</v>
      </c>
      <c r="M50" s="186"/>
      <c r="N50" s="187"/>
      <c r="O50" s="188">
        <f>M50+N50</f>
        <v>0</v>
      </c>
      <c r="P50" s="189"/>
      <c r="R50" s="53"/>
    </row>
    <row r="51" spans="1:18" ht="12.75" thickTop="1" x14ac:dyDescent="0.25">
      <c r="A51" s="190"/>
      <c r="B51" s="179"/>
      <c r="C51" s="191"/>
      <c r="D51" s="192"/>
      <c r="E51" s="675"/>
      <c r="F51" s="429"/>
      <c r="G51" s="192"/>
      <c r="H51" s="195"/>
      <c r="I51" s="185"/>
      <c r="J51" s="196"/>
      <c r="K51" s="197"/>
      <c r="L51" s="188"/>
      <c r="M51" s="186"/>
      <c r="N51" s="187"/>
      <c r="O51" s="188"/>
      <c r="P51" s="189"/>
      <c r="R51" s="53"/>
    </row>
    <row r="52" spans="1:18" s="41" customFormat="1" x14ac:dyDescent="0.25">
      <c r="A52" s="198"/>
      <c r="B52" s="199" t="s">
        <v>70</v>
      </c>
      <c r="C52" s="200"/>
      <c r="D52" s="201"/>
      <c r="E52" s="676"/>
      <c r="F52" s="677"/>
      <c r="G52" s="201"/>
      <c r="H52" s="204"/>
      <c r="I52" s="205"/>
      <c r="J52" s="201"/>
      <c r="K52" s="204"/>
      <c r="L52" s="205"/>
      <c r="M52" s="206"/>
      <c r="N52" s="207"/>
      <c r="O52" s="205"/>
      <c r="P52" s="208"/>
      <c r="R52" s="53"/>
    </row>
    <row r="53" spans="1:18" s="41" customFormat="1" ht="12.75" thickBot="1" x14ac:dyDescent="0.3">
      <c r="A53" s="209"/>
      <c r="B53" s="42" t="s">
        <v>71</v>
      </c>
      <c r="C53" s="210">
        <f t="shared" ref="C53:C116" si="4">F53+I53+L53+O53</f>
        <v>76369</v>
      </c>
      <c r="D53" s="211">
        <f>SUM(D54,D284)</f>
        <v>85275</v>
      </c>
      <c r="E53" s="212">
        <f>SUM(E54,E284)</f>
        <v>-8906</v>
      </c>
      <c r="F53" s="463">
        <f t="shared" ref="F53:F117" si="5">D53+E53</f>
        <v>76369</v>
      </c>
      <c r="G53" s="211">
        <f>SUM(G54,G284)</f>
        <v>0</v>
      </c>
      <c r="H53" s="214">
        <f>SUM(H54,H284)</f>
        <v>0</v>
      </c>
      <c r="I53" s="215">
        <f t="shared" ref="I53:I117" si="6">G53+H53</f>
        <v>0</v>
      </c>
      <c r="J53" s="211">
        <f>SUM(J54,J284)</f>
        <v>0</v>
      </c>
      <c r="K53" s="214">
        <f>SUM(K54,K284)</f>
        <v>0</v>
      </c>
      <c r="L53" s="215">
        <f t="shared" ref="L53:L117" si="7">J53+K53</f>
        <v>0</v>
      </c>
      <c r="M53" s="216">
        <f>SUM(M54,M284)</f>
        <v>0</v>
      </c>
      <c r="N53" s="217">
        <f>SUM(N54,N284)</f>
        <v>0</v>
      </c>
      <c r="O53" s="215">
        <f t="shared" ref="O53:O117" si="8">M53+N53</f>
        <v>0</v>
      </c>
      <c r="P53" s="52"/>
      <c r="R53" s="53"/>
    </row>
    <row r="54" spans="1:18" s="41" customFormat="1" ht="24.75" thickTop="1" x14ac:dyDescent="0.25">
      <c r="A54" s="218"/>
      <c r="B54" s="219" t="s">
        <v>72</v>
      </c>
      <c r="C54" s="220">
        <f>F54+I54+L54+O54</f>
        <v>76369</v>
      </c>
      <c r="D54" s="221">
        <f>SUM(D55,D197)</f>
        <v>85275</v>
      </c>
      <c r="E54" s="222">
        <f>SUM(E55,E197)</f>
        <v>-8906</v>
      </c>
      <c r="F54" s="464">
        <f t="shared" si="5"/>
        <v>76369</v>
      </c>
      <c r="G54" s="221">
        <f>SUM(G55,G197)</f>
        <v>0</v>
      </c>
      <c r="H54" s="224">
        <f>SUM(H55,H197)</f>
        <v>0</v>
      </c>
      <c r="I54" s="225">
        <f t="shared" si="6"/>
        <v>0</v>
      </c>
      <c r="J54" s="221">
        <f>SUM(J55,J197)</f>
        <v>0</v>
      </c>
      <c r="K54" s="224">
        <f>SUM(K55,K197)</f>
        <v>0</v>
      </c>
      <c r="L54" s="225">
        <f t="shared" si="7"/>
        <v>0</v>
      </c>
      <c r="M54" s="226">
        <f>SUM(M55,M197)</f>
        <v>0</v>
      </c>
      <c r="N54" s="227">
        <f>SUM(N55,N197)</f>
        <v>0</v>
      </c>
      <c r="O54" s="225">
        <f t="shared" si="8"/>
        <v>0</v>
      </c>
      <c r="P54" s="228"/>
      <c r="R54" s="53"/>
    </row>
    <row r="55" spans="1:18" s="41" customFormat="1" ht="24" x14ac:dyDescent="0.25">
      <c r="A55" s="35"/>
      <c r="B55" s="30" t="s">
        <v>73</v>
      </c>
      <c r="C55" s="229">
        <f t="shared" si="4"/>
        <v>76369</v>
      </c>
      <c r="D55" s="230">
        <f>SUM(D56,D78,D176,D190)</f>
        <v>85275</v>
      </c>
      <c r="E55" s="231">
        <f>SUM(E56,E78,E176,E190)</f>
        <v>-8906</v>
      </c>
      <c r="F55" s="459">
        <f t="shared" si="5"/>
        <v>76369</v>
      </c>
      <c r="G55" s="230">
        <f>SUM(G56,G78,G176,G190)</f>
        <v>0</v>
      </c>
      <c r="H55" s="233">
        <f>SUM(H56,H78,H176,H190)</f>
        <v>0</v>
      </c>
      <c r="I55" s="234">
        <f t="shared" si="6"/>
        <v>0</v>
      </c>
      <c r="J55" s="230">
        <f>SUM(J56,J78,J176,J190)</f>
        <v>0</v>
      </c>
      <c r="K55" s="233">
        <f>SUM(K56,K78,K176,K190)</f>
        <v>0</v>
      </c>
      <c r="L55" s="234">
        <f t="shared" si="7"/>
        <v>0</v>
      </c>
      <c r="M55" s="53">
        <f>SUM(M56,M78,M176,M190)</f>
        <v>0</v>
      </c>
      <c r="N55" s="235">
        <f>SUM(N56,N78,N176,N190)</f>
        <v>0</v>
      </c>
      <c r="O55" s="234">
        <f t="shared" si="8"/>
        <v>0</v>
      </c>
      <c r="P55" s="236"/>
      <c r="R55" s="53"/>
    </row>
    <row r="56" spans="1:18" s="41" customFormat="1" x14ac:dyDescent="0.25">
      <c r="A56" s="237">
        <v>1000</v>
      </c>
      <c r="B56" s="237" t="s">
        <v>74</v>
      </c>
      <c r="C56" s="238">
        <f t="shared" si="4"/>
        <v>940</v>
      </c>
      <c r="D56" s="239">
        <f>SUM(D57,D70)</f>
        <v>940</v>
      </c>
      <c r="E56" s="240">
        <f>SUM(E57,E70)</f>
        <v>0</v>
      </c>
      <c r="F56" s="320">
        <f t="shared" si="5"/>
        <v>940</v>
      </c>
      <c r="G56" s="239">
        <f>SUM(G57,G70)</f>
        <v>0</v>
      </c>
      <c r="H56" s="242">
        <f>SUM(H57,H70)</f>
        <v>0</v>
      </c>
      <c r="I56" s="243">
        <f t="shared" si="6"/>
        <v>0</v>
      </c>
      <c r="J56" s="239">
        <f>SUM(J57,J70)</f>
        <v>0</v>
      </c>
      <c r="K56" s="242">
        <f>SUM(K57,K70)</f>
        <v>0</v>
      </c>
      <c r="L56" s="243">
        <f t="shared" si="7"/>
        <v>0</v>
      </c>
      <c r="M56" s="244">
        <f>SUM(M57,M70)</f>
        <v>0</v>
      </c>
      <c r="N56" s="245">
        <f>SUM(N57,N70)</f>
        <v>0</v>
      </c>
      <c r="O56" s="243">
        <f t="shared" si="8"/>
        <v>0</v>
      </c>
      <c r="P56" s="246"/>
      <c r="R56" s="53"/>
    </row>
    <row r="57" spans="1:18" x14ac:dyDescent="0.25">
      <c r="A57" s="99">
        <v>1100</v>
      </c>
      <c r="B57" s="247" t="s">
        <v>75</v>
      </c>
      <c r="C57" s="100">
        <f t="shared" si="4"/>
        <v>940</v>
      </c>
      <c r="D57" s="112">
        <f>SUM(D58,D61,D69)</f>
        <v>940</v>
      </c>
      <c r="E57" s="248">
        <f>SUM(E58,E61,E69)</f>
        <v>0</v>
      </c>
      <c r="F57" s="313">
        <f t="shared" si="5"/>
        <v>940</v>
      </c>
      <c r="G57" s="112">
        <f>SUM(G58,G61,G69)</f>
        <v>0</v>
      </c>
      <c r="H57" s="113">
        <f>SUM(H58,H61,H69)</f>
        <v>0</v>
      </c>
      <c r="I57" s="114">
        <f t="shared" si="6"/>
        <v>0</v>
      </c>
      <c r="J57" s="112">
        <f>SUM(J58,J61,J69)</f>
        <v>0</v>
      </c>
      <c r="K57" s="113">
        <f>SUM(K58,K61,K69)</f>
        <v>0</v>
      </c>
      <c r="L57" s="114">
        <f t="shared" si="7"/>
        <v>0</v>
      </c>
      <c r="M57" s="250">
        <f>SUM(M58,M61,M69)</f>
        <v>0</v>
      </c>
      <c r="N57" s="251">
        <f>SUM(N58,N61,N69)</f>
        <v>0</v>
      </c>
      <c r="O57" s="252">
        <f t="shared" si="8"/>
        <v>0</v>
      </c>
      <c r="P57" s="253"/>
      <c r="R57" s="53"/>
    </row>
    <row r="58" spans="1:18" hidden="1" x14ac:dyDescent="0.25">
      <c r="A58" s="254">
        <v>1110</v>
      </c>
      <c r="B58" s="179" t="s">
        <v>76</v>
      </c>
      <c r="C58" s="191">
        <f t="shared" si="4"/>
        <v>0</v>
      </c>
      <c r="D58" s="308">
        <f>SUM(D59:D60)</f>
        <v>0</v>
      </c>
      <c r="E58" s="678">
        <f>SUM(E59:E60)</f>
        <v>0</v>
      </c>
      <c r="F58" s="364">
        <f t="shared" si="5"/>
        <v>0</v>
      </c>
      <c r="G58" s="255">
        <f>SUM(G59:G60)</f>
        <v>0</v>
      </c>
      <c r="H58" s="258">
        <f>SUM(H59:H60)</f>
        <v>0</v>
      </c>
      <c r="I58" s="259">
        <f t="shared" si="6"/>
        <v>0</v>
      </c>
      <c r="J58" s="255">
        <f>SUM(J59:J60)</f>
        <v>0</v>
      </c>
      <c r="K58" s="258">
        <f>SUM(K59:K60)</f>
        <v>0</v>
      </c>
      <c r="L58" s="259">
        <f t="shared" si="7"/>
        <v>0</v>
      </c>
      <c r="M58" s="260">
        <f>SUM(M59:M60)</f>
        <v>0</v>
      </c>
      <c r="N58" s="261">
        <f>SUM(N59:N60)</f>
        <v>0</v>
      </c>
      <c r="O58" s="259">
        <f t="shared" si="8"/>
        <v>0</v>
      </c>
      <c r="P58" s="189"/>
      <c r="R58" s="53"/>
    </row>
    <row r="59" spans="1:18" hidden="1" x14ac:dyDescent="0.25">
      <c r="A59" s="66">
        <v>1111</v>
      </c>
      <c r="B59" s="116" t="s">
        <v>77</v>
      </c>
      <c r="C59" s="117">
        <f t="shared" si="4"/>
        <v>0</v>
      </c>
      <c r="D59" s="134">
        <v>0</v>
      </c>
      <c r="E59" s="283"/>
      <c r="F59" s="263">
        <f t="shared" si="5"/>
        <v>0</v>
      </c>
      <c r="G59" s="123">
        <v>0</v>
      </c>
      <c r="H59" s="124"/>
      <c r="I59" s="125">
        <f t="shared" si="6"/>
        <v>0</v>
      </c>
      <c r="J59" s="123"/>
      <c r="K59" s="124"/>
      <c r="L59" s="125">
        <f t="shared" si="7"/>
        <v>0</v>
      </c>
      <c r="M59" s="264"/>
      <c r="N59" s="262"/>
      <c r="O59" s="125">
        <f t="shared" si="8"/>
        <v>0</v>
      </c>
      <c r="P59" s="74"/>
      <c r="R59" s="53"/>
    </row>
    <row r="60" spans="1:18" hidden="1" x14ac:dyDescent="0.25">
      <c r="A60" s="76">
        <v>1119</v>
      </c>
      <c r="B60" s="127" t="s">
        <v>78</v>
      </c>
      <c r="C60" s="128">
        <f t="shared" si="4"/>
        <v>0</v>
      </c>
      <c r="D60" s="134">
        <v>0</v>
      </c>
      <c r="E60" s="283"/>
      <c r="F60" s="286">
        <f t="shared" si="5"/>
        <v>0</v>
      </c>
      <c r="G60" s="134">
        <v>0</v>
      </c>
      <c r="H60" s="135"/>
      <c r="I60" s="136">
        <f t="shared" si="6"/>
        <v>0</v>
      </c>
      <c r="J60" s="134"/>
      <c r="K60" s="135"/>
      <c r="L60" s="136">
        <f t="shared" si="7"/>
        <v>0</v>
      </c>
      <c r="M60" s="284"/>
      <c r="N60" s="285"/>
      <c r="O60" s="136">
        <f t="shared" si="8"/>
        <v>0</v>
      </c>
      <c r="P60" s="85"/>
      <c r="R60" s="53"/>
    </row>
    <row r="61" spans="1:18" hidden="1" x14ac:dyDescent="0.25">
      <c r="A61" s="276">
        <v>1140</v>
      </c>
      <c r="B61" s="127" t="s">
        <v>79</v>
      </c>
      <c r="C61" s="128">
        <f t="shared" si="4"/>
        <v>0</v>
      </c>
      <c r="D61" s="277">
        <f>SUM(D62:D68)</f>
        <v>0</v>
      </c>
      <c r="E61" s="278">
        <f>SUM(E62:E68)</f>
        <v>0</v>
      </c>
      <c r="F61" s="286">
        <f>D61+E61</f>
        <v>0</v>
      </c>
      <c r="G61" s="277">
        <f>SUM(G62:G68)</f>
        <v>0</v>
      </c>
      <c r="H61" s="280">
        <f>SUM(H62:H68)</f>
        <v>0</v>
      </c>
      <c r="I61" s="136">
        <f t="shared" si="6"/>
        <v>0</v>
      </c>
      <c r="J61" s="277">
        <f>SUM(J62:J68)</f>
        <v>0</v>
      </c>
      <c r="K61" s="280">
        <f>SUM(K62:K68)</f>
        <v>0</v>
      </c>
      <c r="L61" s="136">
        <f t="shared" si="7"/>
        <v>0</v>
      </c>
      <c r="M61" s="281">
        <f>SUM(M62:M68)</f>
        <v>0</v>
      </c>
      <c r="N61" s="282">
        <f>SUM(N62:N68)</f>
        <v>0</v>
      </c>
      <c r="O61" s="136">
        <f t="shared" si="8"/>
        <v>0</v>
      </c>
      <c r="P61" s="85"/>
      <c r="R61" s="53"/>
    </row>
    <row r="62" spans="1:18" hidden="1" x14ac:dyDescent="0.25">
      <c r="A62" s="76">
        <v>1141</v>
      </c>
      <c r="B62" s="127" t="s">
        <v>80</v>
      </c>
      <c r="C62" s="128">
        <f t="shared" si="4"/>
        <v>0</v>
      </c>
      <c r="D62" s="134">
        <v>0</v>
      </c>
      <c r="E62" s="283"/>
      <c r="F62" s="286">
        <f t="shared" si="5"/>
        <v>0</v>
      </c>
      <c r="G62" s="134">
        <v>0</v>
      </c>
      <c r="H62" s="135"/>
      <c r="I62" s="136">
        <f t="shared" si="6"/>
        <v>0</v>
      </c>
      <c r="J62" s="134"/>
      <c r="K62" s="135"/>
      <c r="L62" s="136">
        <f t="shared" si="7"/>
        <v>0</v>
      </c>
      <c r="M62" s="284"/>
      <c r="N62" s="285"/>
      <c r="O62" s="136">
        <f t="shared" si="8"/>
        <v>0</v>
      </c>
      <c r="P62" s="85"/>
      <c r="R62" s="53"/>
    </row>
    <row r="63" spans="1:18" ht="24" hidden="1" x14ac:dyDescent="0.25">
      <c r="A63" s="76">
        <v>1142</v>
      </c>
      <c r="B63" s="127" t="s">
        <v>81</v>
      </c>
      <c r="C63" s="128">
        <f t="shared" si="4"/>
        <v>0</v>
      </c>
      <c r="D63" s="134">
        <v>0</v>
      </c>
      <c r="E63" s="283"/>
      <c r="F63" s="286">
        <f t="shared" si="5"/>
        <v>0</v>
      </c>
      <c r="G63" s="134">
        <v>0</v>
      </c>
      <c r="H63" s="135"/>
      <c r="I63" s="136">
        <f t="shared" si="6"/>
        <v>0</v>
      </c>
      <c r="J63" s="134"/>
      <c r="K63" s="135"/>
      <c r="L63" s="136">
        <f t="shared" si="7"/>
        <v>0</v>
      </c>
      <c r="M63" s="284"/>
      <c r="N63" s="285"/>
      <c r="O63" s="136">
        <f t="shared" si="8"/>
        <v>0</v>
      </c>
      <c r="P63" s="85"/>
      <c r="R63" s="53"/>
    </row>
    <row r="64" spans="1:18" ht="24" hidden="1" x14ac:dyDescent="0.25">
      <c r="A64" s="76">
        <v>1145</v>
      </c>
      <c r="B64" s="127" t="s">
        <v>82</v>
      </c>
      <c r="C64" s="128">
        <f t="shared" si="4"/>
        <v>0</v>
      </c>
      <c r="D64" s="134">
        <v>0</v>
      </c>
      <c r="E64" s="283"/>
      <c r="F64" s="286">
        <f t="shared" si="5"/>
        <v>0</v>
      </c>
      <c r="G64" s="134">
        <v>0</v>
      </c>
      <c r="H64" s="135"/>
      <c r="I64" s="136">
        <f t="shared" si="6"/>
        <v>0</v>
      </c>
      <c r="J64" s="134"/>
      <c r="K64" s="135"/>
      <c r="L64" s="136">
        <f t="shared" si="7"/>
        <v>0</v>
      </c>
      <c r="M64" s="284"/>
      <c r="N64" s="285"/>
      <c r="O64" s="136">
        <f t="shared" si="8"/>
        <v>0</v>
      </c>
      <c r="P64" s="85"/>
      <c r="R64" s="53"/>
    </row>
    <row r="65" spans="1:18" ht="24" hidden="1" x14ac:dyDescent="0.25">
      <c r="A65" s="76">
        <v>1146</v>
      </c>
      <c r="B65" s="127" t="s">
        <v>83</v>
      </c>
      <c r="C65" s="128">
        <f t="shared" si="4"/>
        <v>0</v>
      </c>
      <c r="D65" s="134">
        <v>0</v>
      </c>
      <c r="E65" s="283"/>
      <c r="F65" s="286">
        <f t="shared" si="5"/>
        <v>0</v>
      </c>
      <c r="G65" s="134">
        <v>0</v>
      </c>
      <c r="H65" s="135"/>
      <c r="I65" s="136">
        <f t="shared" si="6"/>
        <v>0</v>
      </c>
      <c r="J65" s="134"/>
      <c r="K65" s="135"/>
      <c r="L65" s="136">
        <f t="shared" si="7"/>
        <v>0</v>
      </c>
      <c r="M65" s="284"/>
      <c r="N65" s="285"/>
      <c r="O65" s="136">
        <f t="shared" si="8"/>
        <v>0</v>
      </c>
      <c r="P65" s="85"/>
      <c r="R65" s="53"/>
    </row>
    <row r="66" spans="1:18" hidden="1" x14ac:dyDescent="0.25">
      <c r="A66" s="76">
        <v>1147</v>
      </c>
      <c r="B66" s="127" t="s">
        <v>84</v>
      </c>
      <c r="C66" s="128">
        <f t="shared" si="4"/>
        <v>0</v>
      </c>
      <c r="D66" s="134">
        <v>0</v>
      </c>
      <c r="E66" s="283"/>
      <c r="F66" s="286">
        <f t="shared" si="5"/>
        <v>0</v>
      </c>
      <c r="G66" s="134">
        <v>0</v>
      </c>
      <c r="H66" s="135"/>
      <c r="I66" s="136">
        <f t="shared" si="6"/>
        <v>0</v>
      </c>
      <c r="J66" s="134"/>
      <c r="K66" s="135"/>
      <c r="L66" s="136">
        <f t="shared" si="7"/>
        <v>0</v>
      </c>
      <c r="M66" s="284"/>
      <c r="N66" s="285"/>
      <c r="O66" s="136">
        <f t="shared" si="8"/>
        <v>0</v>
      </c>
      <c r="P66" s="85"/>
      <c r="R66" s="53"/>
    </row>
    <row r="67" spans="1:18" hidden="1" x14ac:dyDescent="0.25">
      <c r="A67" s="76">
        <v>1148</v>
      </c>
      <c r="B67" s="127" t="s">
        <v>85</v>
      </c>
      <c r="C67" s="128">
        <f t="shared" si="4"/>
        <v>0</v>
      </c>
      <c r="D67" s="134">
        <v>0</v>
      </c>
      <c r="E67" s="283"/>
      <c r="F67" s="286">
        <f t="shared" si="5"/>
        <v>0</v>
      </c>
      <c r="G67" s="134">
        <v>0</v>
      </c>
      <c r="H67" s="135"/>
      <c r="I67" s="136">
        <f t="shared" si="6"/>
        <v>0</v>
      </c>
      <c r="J67" s="134"/>
      <c r="K67" s="135"/>
      <c r="L67" s="136">
        <f t="shared" si="7"/>
        <v>0</v>
      </c>
      <c r="M67" s="284"/>
      <c r="N67" s="285"/>
      <c r="O67" s="136">
        <f t="shared" si="8"/>
        <v>0</v>
      </c>
      <c r="P67" s="85"/>
      <c r="R67" s="53"/>
    </row>
    <row r="68" spans="1:18" ht="24" hidden="1" x14ac:dyDescent="0.25">
      <c r="A68" s="76">
        <v>1149</v>
      </c>
      <c r="B68" s="127" t="s">
        <v>86</v>
      </c>
      <c r="C68" s="128">
        <f t="shared" si="4"/>
        <v>0</v>
      </c>
      <c r="D68" s="134">
        <v>0</v>
      </c>
      <c r="E68" s="283"/>
      <c r="F68" s="286">
        <f t="shared" si="5"/>
        <v>0</v>
      </c>
      <c r="G68" s="134">
        <v>0</v>
      </c>
      <c r="H68" s="135"/>
      <c r="I68" s="136">
        <f t="shared" si="6"/>
        <v>0</v>
      </c>
      <c r="J68" s="134"/>
      <c r="K68" s="135"/>
      <c r="L68" s="136">
        <f t="shared" si="7"/>
        <v>0</v>
      </c>
      <c r="M68" s="284"/>
      <c r="N68" s="285"/>
      <c r="O68" s="136">
        <f t="shared" si="8"/>
        <v>0</v>
      </c>
      <c r="P68" s="85"/>
      <c r="R68" s="53"/>
    </row>
    <row r="69" spans="1:18" ht="24" x14ac:dyDescent="0.25">
      <c r="A69" s="254">
        <v>1150</v>
      </c>
      <c r="B69" s="179" t="s">
        <v>87</v>
      </c>
      <c r="C69" s="128">
        <f t="shared" si="4"/>
        <v>940</v>
      </c>
      <c r="D69" s="134">
        <v>940</v>
      </c>
      <c r="E69" s="283"/>
      <c r="F69" s="310">
        <f t="shared" si="5"/>
        <v>940</v>
      </c>
      <c r="G69" s="287">
        <v>0</v>
      </c>
      <c r="H69" s="289"/>
      <c r="I69" s="259">
        <f t="shared" si="6"/>
        <v>0</v>
      </c>
      <c r="J69" s="287"/>
      <c r="K69" s="289"/>
      <c r="L69" s="259">
        <f t="shared" si="7"/>
        <v>0</v>
      </c>
      <c r="M69" s="290"/>
      <c r="N69" s="291"/>
      <c r="O69" s="259">
        <f t="shared" si="8"/>
        <v>0</v>
      </c>
      <c r="P69" s="189"/>
      <c r="R69" s="53"/>
    </row>
    <row r="70" spans="1:18" ht="24" hidden="1" x14ac:dyDescent="0.25">
      <c r="A70" s="99">
        <v>1200</v>
      </c>
      <c r="B70" s="247" t="s">
        <v>88</v>
      </c>
      <c r="C70" s="100">
        <f t="shared" si="4"/>
        <v>0</v>
      </c>
      <c r="D70" s="360">
        <f>SUM(D71:D72)</f>
        <v>0</v>
      </c>
      <c r="E70" s="679">
        <f>SUM(E71:E72)</f>
        <v>0</v>
      </c>
      <c r="F70" s="313">
        <f>D70+E70</f>
        <v>0</v>
      </c>
      <c r="G70" s="112">
        <f>SUM(G71:G72)</f>
        <v>0</v>
      </c>
      <c r="H70" s="113">
        <f>SUM(H71:H72)</f>
        <v>0</v>
      </c>
      <c r="I70" s="114">
        <f t="shared" si="6"/>
        <v>0</v>
      </c>
      <c r="J70" s="112">
        <f>SUM(J71:J72)</f>
        <v>0</v>
      </c>
      <c r="K70" s="113">
        <f>SUM(K71:K72)</f>
        <v>0</v>
      </c>
      <c r="L70" s="114">
        <f t="shared" si="7"/>
        <v>0</v>
      </c>
      <c r="M70" s="292">
        <f>SUM(M71:M72)</f>
        <v>0</v>
      </c>
      <c r="N70" s="293">
        <f>SUM(N71:N72)</f>
        <v>0</v>
      </c>
      <c r="O70" s="114">
        <f t="shared" si="8"/>
        <v>0</v>
      </c>
      <c r="P70" s="109"/>
      <c r="R70" s="53"/>
    </row>
    <row r="71" spans="1:18" ht="24" hidden="1" x14ac:dyDescent="0.25">
      <c r="A71" s="656">
        <v>1210</v>
      </c>
      <c r="B71" s="116" t="s">
        <v>89</v>
      </c>
      <c r="C71" s="117">
        <f t="shared" si="4"/>
        <v>0</v>
      </c>
      <c r="D71" s="643">
        <v>0</v>
      </c>
      <c r="E71" s="680"/>
      <c r="F71" s="681">
        <f t="shared" si="5"/>
        <v>0</v>
      </c>
      <c r="G71" s="123">
        <v>0</v>
      </c>
      <c r="H71" s="124"/>
      <c r="I71" s="125">
        <f t="shared" si="6"/>
        <v>0</v>
      </c>
      <c r="J71" s="123"/>
      <c r="K71" s="124"/>
      <c r="L71" s="125">
        <f t="shared" si="7"/>
        <v>0</v>
      </c>
      <c r="M71" s="264"/>
      <c r="N71" s="262"/>
      <c r="O71" s="125">
        <f t="shared" si="8"/>
        <v>0</v>
      </c>
      <c r="P71" s="74"/>
      <c r="R71" s="53"/>
    </row>
    <row r="72" spans="1:18" ht="24" hidden="1" x14ac:dyDescent="0.25">
      <c r="A72" s="276">
        <v>1220</v>
      </c>
      <c r="B72" s="127" t="s">
        <v>90</v>
      </c>
      <c r="C72" s="128">
        <f t="shared" si="4"/>
        <v>0</v>
      </c>
      <c r="D72" s="277">
        <f>SUM(D73:D77)</f>
        <v>0</v>
      </c>
      <c r="E72" s="278">
        <f>SUM(E73:E77)</f>
        <v>0</v>
      </c>
      <c r="F72" s="286">
        <f t="shared" si="5"/>
        <v>0</v>
      </c>
      <c r="G72" s="277">
        <f>SUM(G73:G77)</f>
        <v>0</v>
      </c>
      <c r="H72" s="280">
        <f>SUM(H73:H77)</f>
        <v>0</v>
      </c>
      <c r="I72" s="136">
        <f t="shared" si="6"/>
        <v>0</v>
      </c>
      <c r="J72" s="277">
        <f>SUM(J73:J77)</f>
        <v>0</v>
      </c>
      <c r="K72" s="280">
        <f>SUM(K73:K77)</f>
        <v>0</v>
      </c>
      <c r="L72" s="136">
        <f t="shared" si="7"/>
        <v>0</v>
      </c>
      <c r="M72" s="281">
        <f>SUM(M73:M77)</f>
        <v>0</v>
      </c>
      <c r="N72" s="282">
        <f>SUM(N73:N77)</f>
        <v>0</v>
      </c>
      <c r="O72" s="136">
        <f t="shared" si="8"/>
        <v>0</v>
      </c>
      <c r="P72" s="85"/>
      <c r="R72" s="53"/>
    </row>
    <row r="73" spans="1:18" ht="36" hidden="1" x14ac:dyDescent="0.25">
      <c r="A73" s="76">
        <v>1221</v>
      </c>
      <c r="B73" s="127" t="s">
        <v>91</v>
      </c>
      <c r="C73" s="128">
        <f t="shared" si="4"/>
        <v>0</v>
      </c>
      <c r="D73" s="134">
        <v>0</v>
      </c>
      <c r="E73" s="283"/>
      <c r="F73" s="286">
        <f t="shared" si="5"/>
        <v>0</v>
      </c>
      <c r="G73" s="134">
        <v>0</v>
      </c>
      <c r="H73" s="135"/>
      <c r="I73" s="136">
        <f t="shared" si="6"/>
        <v>0</v>
      </c>
      <c r="J73" s="134"/>
      <c r="K73" s="135"/>
      <c r="L73" s="136">
        <f t="shared" si="7"/>
        <v>0</v>
      </c>
      <c r="M73" s="284"/>
      <c r="N73" s="285"/>
      <c r="O73" s="136">
        <f t="shared" si="8"/>
        <v>0</v>
      </c>
      <c r="P73" s="85"/>
      <c r="R73" s="53"/>
    </row>
    <row r="74" spans="1:18" hidden="1" x14ac:dyDescent="0.25">
      <c r="A74" s="76">
        <v>1223</v>
      </c>
      <c r="B74" s="127" t="s">
        <v>92</v>
      </c>
      <c r="C74" s="128">
        <f t="shared" si="4"/>
        <v>0</v>
      </c>
      <c r="D74" s="134">
        <v>0</v>
      </c>
      <c r="E74" s="283"/>
      <c r="F74" s="286">
        <f t="shared" si="5"/>
        <v>0</v>
      </c>
      <c r="G74" s="134">
        <v>0</v>
      </c>
      <c r="H74" s="135"/>
      <c r="I74" s="136">
        <f t="shared" si="6"/>
        <v>0</v>
      </c>
      <c r="J74" s="134"/>
      <c r="K74" s="135"/>
      <c r="L74" s="136">
        <f t="shared" si="7"/>
        <v>0</v>
      </c>
      <c r="M74" s="284"/>
      <c r="N74" s="285"/>
      <c r="O74" s="136">
        <f t="shared" si="8"/>
        <v>0</v>
      </c>
      <c r="P74" s="85"/>
      <c r="R74" s="53"/>
    </row>
    <row r="75" spans="1:18" hidden="1" x14ac:dyDescent="0.25">
      <c r="A75" s="76">
        <v>1225</v>
      </c>
      <c r="B75" s="127" t="s">
        <v>93</v>
      </c>
      <c r="C75" s="128">
        <f t="shared" si="4"/>
        <v>0</v>
      </c>
      <c r="D75" s="134">
        <v>0</v>
      </c>
      <c r="E75" s="283"/>
      <c r="F75" s="286">
        <f t="shared" si="5"/>
        <v>0</v>
      </c>
      <c r="G75" s="134">
        <v>0</v>
      </c>
      <c r="H75" s="135"/>
      <c r="I75" s="136">
        <f t="shared" si="6"/>
        <v>0</v>
      </c>
      <c r="J75" s="134"/>
      <c r="K75" s="135"/>
      <c r="L75" s="136">
        <f t="shared" si="7"/>
        <v>0</v>
      </c>
      <c r="M75" s="284"/>
      <c r="N75" s="285"/>
      <c r="O75" s="136">
        <f t="shared" si="8"/>
        <v>0</v>
      </c>
      <c r="P75" s="85"/>
      <c r="R75" s="53"/>
    </row>
    <row r="76" spans="1:18" ht="24" hidden="1" x14ac:dyDescent="0.25">
      <c r="A76" s="76">
        <v>1227</v>
      </c>
      <c r="B76" s="127" t="s">
        <v>94</v>
      </c>
      <c r="C76" s="128">
        <f t="shared" si="4"/>
        <v>0</v>
      </c>
      <c r="D76" s="134">
        <v>0</v>
      </c>
      <c r="E76" s="283"/>
      <c r="F76" s="286">
        <f t="shared" si="5"/>
        <v>0</v>
      </c>
      <c r="G76" s="134">
        <v>0</v>
      </c>
      <c r="H76" s="135"/>
      <c r="I76" s="136">
        <f t="shared" si="6"/>
        <v>0</v>
      </c>
      <c r="J76" s="134"/>
      <c r="K76" s="135"/>
      <c r="L76" s="136">
        <f t="shared" si="7"/>
        <v>0</v>
      </c>
      <c r="M76" s="284"/>
      <c r="N76" s="285"/>
      <c r="O76" s="136">
        <f t="shared" si="8"/>
        <v>0</v>
      </c>
      <c r="P76" s="85"/>
      <c r="R76" s="53"/>
    </row>
    <row r="77" spans="1:18" ht="36" hidden="1" x14ac:dyDescent="0.25">
      <c r="A77" s="76">
        <v>1228</v>
      </c>
      <c r="B77" s="127" t="s">
        <v>95</v>
      </c>
      <c r="C77" s="128">
        <f t="shared" si="4"/>
        <v>0</v>
      </c>
      <c r="D77" s="645">
        <v>0</v>
      </c>
      <c r="E77" s="682"/>
      <c r="F77" s="286">
        <f t="shared" si="5"/>
        <v>0</v>
      </c>
      <c r="G77" s="134">
        <v>0</v>
      </c>
      <c r="H77" s="135"/>
      <c r="I77" s="136">
        <f t="shared" si="6"/>
        <v>0</v>
      </c>
      <c r="J77" s="134"/>
      <c r="K77" s="135"/>
      <c r="L77" s="136">
        <f t="shared" si="7"/>
        <v>0</v>
      </c>
      <c r="M77" s="284"/>
      <c r="N77" s="285"/>
      <c r="O77" s="136">
        <f t="shared" si="8"/>
        <v>0</v>
      </c>
      <c r="P77" s="85"/>
      <c r="R77" s="53"/>
    </row>
    <row r="78" spans="1:18" x14ac:dyDescent="0.25">
      <c r="A78" s="237">
        <v>2000</v>
      </c>
      <c r="B78" s="237" t="s">
        <v>96</v>
      </c>
      <c r="C78" s="238">
        <f t="shared" si="4"/>
        <v>75429</v>
      </c>
      <c r="D78" s="239">
        <f>SUM(D79,D86,D133,D167,D168,D175)</f>
        <v>84335</v>
      </c>
      <c r="E78" s="240">
        <f>SUM(E79,E86,E133,E167,E168,E175)</f>
        <v>-8906</v>
      </c>
      <c r="F78" s="320">
        <f t="shared" si="5"/>
        <v>75429</v>
      </c>
      <c r="G78" s="239">
        <f>SUM(G79,G86,G133,G167,G168,G175)</f>
        <v>0</v>
      </c>
      <c r="H78" s="242">
        <f>SUM(H79,H86,H133,H167,H168,H175)</f>
        <v>0</v>
      </c>
      <c r="I78" s="243">
        <f t="shared" si="6"/>
        <v>0</v>
      </c>
      <c r="J78" s="239">
        <f>SUM(J79,J86,J133,J167,J168,J175)</f>
        <v>0</v>
      </c>
      <c r="K78" s="242">
        <f>SUM(K79,K86,K133,K167,K168,K175)</f>
        <v>0</v>
      </c>
      <c r="L78" s="243">
        <f t="shared" si="7"/>
        <v>0</v>
      </c>
      <c r="M78" s="244">
        <f>SUM(M79,M86,M133,M167,M168,M175)</f>
        <v>0</v>
      </c>
      <c r="N78" s="245">
        <f>SUM(N79,N86,N133,N167,N168,N175)</f>
        <v>0</v>
      </c>
      <c r="O78" s="243">
        <f t="shared" si="8"/>
        <v>0</v>
      </c>
      <c r="P78" s="246"/>
      <c r="R78" s="53"/>
    </row>
    <row r="79" spans="1:18" ht="24" x14ac:dyDescent="0.25">
      <c r="A79" s="99">
        <v>2100</v>
      </c>
      <c r="B79" s="247" t="s">
        <v>97</v>
      </c>
      <c r="C79" s="100">
        <f t="shared" si="4"/>
        <v>16094</v>
      </c>
      <c r="D79" s="112">
        <f>SUM(D80,D83)</f>
        <v>25000</v>
      </c>
      <c r="E79" s="248">
        <f>SUM(E80,E83)</f>
        <v>-8906</v>
      </c>
      <c r="F79" s="313">
        <f t="shared" si="5"/>
        <v>16094</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c r="R79" s="53"/>
    </row>
    <row r="80" spans="1:18" ht="24" hidden="1" x14ac:dyDescent="0.25">
      <c r="A80" s="656">
        <v>2110</v>
      </c>
      <c r="B80" s="116" t="s">
        <v>98</v>
      </c>
      <c r="C80" s="117">
        <f t="shared" si="4"/>
        <v>0</v>
      </c>
      <c r="D80" s="297">
        <f>SUM(D81:D82)</f>
        <v>0</v>
      </c>
      <c r="E80" s="298">
        <f>SUM(E81:E82)</f>
        <v>0</v>
      </c>
      <c r="F80" s="263">
        <f t="shared" si="5"/>
        <v>0</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c r="R80" s="53"/>
    </row>
    <row r="81" spans="1:18" hidden="1" x14ac:dyDescent="0.25">
      <c r="A81" s="76">
        <v>2111</v>
      </c>
      <c r="B81" s="127" t="s">
        <v>99</v>
      </c>
      <c r="C81" s="128">
        <f t="shared" si="4"/>
        <v>0</v>
      </c>
      <c r="D81" s="134">
        <v>0</v>
      </c>
      <c r="E81" s="283"/>
      <c r="F81" s="286">
        <f t="shared" si="5"/>
        <v>0</v>
      </c>
      <c r="G81" s="134">
        <v>0</v>
      </c>
      <c r="H81" s="135"/>
      <c r="I81" s="136">
        <f t="shared" si="6"/>
        <v>0</v>
      </c>
      <c r="J81" s="134"/>
      <c r="K81" s="135"/>
      <c r="L81" s="136">
        <f t="shared" si="7"/>
        <v>0</v>
      </c>
      <c r="M81" s="284"/>
      <c r="N81" s="285"/>
      <c r="O81" s="136">
        <f t="shared" si="8"/>
        <v>0</v>
      </c>
      <c r="P81" s="85"/>
      <c r="R81" s="53"/>
    </row>
    <row r="82" spans="1:18" hidden="1" x14ac:dyDescent="0.25">
      <c r="A82" s="76">
        <v>2112</v>
      </c>
      <c r="B82" s="127" t="s">
        <v>100</v>
      </c>
      <c r="C82" s="128">
        <f t="shared" si="4"/>
        <v>0</v>
      </c>
      <c r="D82" s="134">
        <v>0</v>
      </c>
      <c r="E82" s="283"/>
      <c r="F82" s="286">
        <f t="shared" si="5"/>
        <v>0</v>
      </c>
      <c r="G82" s="134">
        <v>0</v>
      </c>
      <c r="H82" s="135"/>
      <c r="I82" s="136">
        <f t="shared" si="6"/>
        <v>0</v>
      </c>
      <c r="J82" s="134"/>
      <c r="K82" s="135"/>
      <c r="L82" s="136">
        <f t="shared" si="7"/>
        <v>0</v>
      </c>
      <c r="M82" s="284"/>
      <c r="N82" s="285"/>
      <c r="O82" s="136">
        <f t="shared" si="8"/>
        <v>0</v>
      </c>
      <c r="P82" s="85"/>
      <c r="R82" s="53"/>
    </row>
    <row r="83" spans="1:18" ht="24" x14ac:dyDescent="0.25">
      <c r="A83" s="276">
        <v>2120</v>
      </c>
      <c r="B83" s="127" t="s">
        <v>101</v>
      </c>
      <c r="C83" s="128">
        <f t="shared" si="4"/>
        <v>16094</v>
      </c>
      <c r="D83" s="277">
        <f>SUM(D84:D85)</f>
        <v>25000</v>
      </c>
      <c r="E83" s="278">
        <f>SUM(E84:E85)</f>
        <v>-8906</v>
      </c>
      <c r="F83" s="286">
        <f t="shared" si="5"/>
        <v>16094</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c r="R83" s="53"/>
    </row>
    <row r="84" spans="1:18" x14ac:dyDescent="0.25">
      <c r="A84" s="76">
        <v>2121</v>
      </c>
      <c r="B84" s="127" t="s">
        <v>99</v>
      </c>
      <c r="C84" s="128">
        <f t="shared" si="4"/>
        <v>2000</v>
      </c>
      <c r="D84" s="134">
        <v>5000</v>
      </c>
      <c r="E84" s="283">
        <v>-3000</v>
      </c>
      <c r="F84" s="286">
        <f t="shared" si="5"/>
        <v>2000</v>
      </c>
      <c r="G84" s="134">
        <v>0</v>
      </c>
      <c r="H84" s="135"/>
      <c r="I84" s="136">
        <f t="shared" si="6"/>
        <v>0</v>
      </c>
      <c r="J84" s="134"/>
      <c r="K84" s="135"/>
      <c r="L84" s="136">
        <f t="shared" si="7"/>
        <v>0</v>
      </c>
      <c r="M84" s="284"/>
      <c r="N84" s="285"/>
      <c r="O84" s="136">
        <f t="shared" si="8"/>
        <v>0</v>
      </c>
      <c r="P84" s="85"/>
      <c r="R84" s="53"/>
    </row>
    <row r="85" spans="1:18" x14ac:dyDescent="0.25">
      <c r="A85" s="76">
        <v>2122</v>
      </c>
      <c r="B85" s="127" t="s">
        <v>100</v>
      </c>
      <c r="C85" s="128">
        <f t="shared" si="4"/>
        <v>14094</v>
      </c>
      <c r="D85" s="134">
        <v>20000</v>
      </c>
      <c r="E85" s="283">
        <f>-13600+7694</f>
        <v>-5906</v>
      </c>
      <c r="F85" s="286">
        <f t="shared" si="5"/>
        <v>14094</v>
      </c>
      <c r="G85" s="134">
        <v>0</v>
      </c>
      <c r="H85" s="135"/>
      <c r="I85" s="136">
        <f t="shared" si="6"/>
        <v>0</v>
      </c>
      <c r="J85" s="134"/>
      <c r="K85" s="135"/>
      <c r="L85" s="136">
        <f t="shared" si="7"/>
        <v>0</v>
      </c>
      <c r="M85" s="284"/>
      <c r="N85" s="285"/>
      <c r="O85" s="136">
        <f t="shared" si="8"/>
        <v>0</v>
      </c>
      <c r="P85" s="85"/>
      <c r="R85" s="53"/>
    </row>
    <row r="86" spans="1:18" x14ac:dyDescent="0.25">
      <c r="A86" s="99">
        <v>2200</v>
      </c>
      <c r="B86" s="247" t="s">
        <v>102</v>
      </c>
      <c r="C86" s="302">
        <f t="shared" si="4"/>
        <v>53275</v>
      </c>
      <c r="D86" s="112">
        <f>SUM(D87,D92,D98,D106,D115,D119,D125,D131)</f>
        <v>53275</v>
      </c>
      <c r="E86" s="248">
        <f>SUM(E87,E92,E98,E106,E115,E119,E125,E131)</f>
        <v>0</v>
      </c>
      <c r="F86" s="313">
        <f t="shared" si="5"/>
        <v>53275</v>
      </c>
      <c r="G86" s="112">
        <f>SUM(G87,G92,G98,G106,G115,G119,G125,G131)</f>
        <v>0</v>
      </c>
      <c r="H86" s="113">
        <f>SUM(H87,H92,H98,H106,H115,H119,H125,H131)</f>
        <v>0</v>
      </c>
      <c r="I86" s="114">
        <f t="shared" si="6"/>
        <v>0</v>
      </c>
      <c r="J86" s="112">
        <f>SUM(J87,J92,J98,J106,J115,J119,J125,J131)</f>
        <v>0</v>
      </c>
      <c r="K86" s="113">
        <f>SUM(K87,K92,K98,K106,K115,K119,K125,K131)</f>
        <v>0</v>
      </c>
      <c r="L86" s="114">
        <f t="shared" si="7"/>
        <v>0</v>
      </c>
      <c r="M86" s="303">
        <f>SUM(M87,M92,M98,M106,M115,M119,M125,M131)</f>
        <v>0</v>
      </c>
      <c r="N86" s="304">
        <f>SUM(N87,N92,N98,N106,N115,N119,N125,N131)</f>
        <v>0</v>
      </c>
      <c r="O86" s="305">
        <f t="shared" si="8"/>
        <v>0</v>
      </c>
      <c r="P86" s="306"/>
      <c r="R86" s="53"/>
    </row>
    <row r="87" spans="1:18" hidden="1" x14ac:dyDescent="0.25">
      <c r="A87" s="254">
        <v>2210</v>
      </c>
      <c r="B87" s="179" t="s">
        <v>103</v>
      </c>
      <c r="C87" s="191">
        <f t="shared" si="4"/>
        <v>0</v>
      </c>
      <c r="D87" s="308">
        <f>SUM(D88:D91)</f>
        <v>0</v>
      </c>
      <c r="E87" s="678">
        <f>SUM(E88:E91)</f>
        <v>0</v>
      </c>
      <c r="F87" s="310">
        <f t="shared" si="5"/>
        <v>0</v>
      </c>
      <c r="G87" s="255">
        <f>SUM(G88:G91)</f>
        <v>0</v>
      </c>
      <c r="H87" s="258">
        <f>SUM(H88:H91)</f>
        <v>0</v>
      </c>
      <c r="I87" s="259">
        <f t="shared" si="6"/>
        <v>0</v>
      </c>
      <c r="J87" s="255">
        <f>SUM(J88:J91)</f>
        <v>0</v>
      </c>
      <c r="K87" s="258">
        <f>SUM(K88:K91)</f>
        <v>0</v>
      </c>
      <c r="L87" s="259">
        <f t="shared" si="7"/>
        <v>0</v>
      </c>
      <c r="M87" s="260">
        <f>SUM(M88:M91)</f>
        <v>0</v>
      </c>
      <c r="N87" s="261">
        <f>SUM(N88:N91)</f>
        <v>0</v>
      </c>
      <c r="O87" s="259">
        <f t="shared" si="8"/>
        <v>0</v>
      </c>
      <c r="P87" s="189"/>
      <c r="R87" s="53"/>
    </row>
    <row r="88" spans="1:18" hidden="1" x14ac:dyDescent="0.25">
      <c r="A88" s="66">
        <v>2211</v>
      </c>
      <c r="B88" s="116" t="s">
        <v>104</v>
      </c>
      <c r="C88" s="128">
        <f t="shared" si="4"/>
        <v>0</v>
      </c>
      <c r="D88" s="134">
        <v>0</v>
      </c>
      <c r="E88" s="283"/>
      <c r="F88" s="263">
        <f t="shared" si="5"/>
        <v>0</v>
      </c>
      <c r="G88" s="123">
        <v>0</v>
      </c>
      <c r="H88" s="124"/>
      <c r="I88" s="125">
        <f t="shared" si="6"/>
        <v>0</v>
      </c>
      <c r="J88" s="123"/>
      <c r="K88" s="124"/>
      <c r="L88" s="125">
        <f t="shared" si="7"/>
        <v>0</v>
      </c>
      <c r="M88" s="264"/>
      <c r="N88" s="262"/>
      <c r="O88" s="125">
        <f t="shared" si="8"/>
        <v>0</v>
      </c>
      <c r="P88" s="74"/>
      <c r="R88" s="53"/>
    </row>
    <row r="89" spans="1:18" ht="24" hidden="1" x14ac:dyDescent="0.25">
      <c r="A89" s="76">
        <v>2212</v>
      </c>
      <c r="B89" s="127" t="s">
        <v>105</v>
      </c>
      <c r="C89" s="128">
        <f t="shared" si="4"/>
        <v>0</v>
      </c>
      <c r="D89" s="134">
        <v>0</v>
      </c>
      <c r="E89" s="283"/>
      <c r="F89" s="286">
        <f t="shared" si="5"/>
        <v>0</v>
      </c>
      <c r="G89" s="134">
        <v>0</v>
      </c>
      <c r="H89" s="135"/>
      <c r="I89" s="136">
        <f t="shared" si="6"/>
        <v>0</v>
      </c>
      <c r="J89" s="134"/>
      <c r="K89" s="135"/>
      <c r="L89" s="136">
        <f t="shared" si="7"/>
        <v>0</v>
      </c>
      <c r="M89" s="284"/>
      <c r="N89" s="285"/>
      <c r="O89" s="136">
        <f t="shared" si="8"/>
        <v>0</v>
      </c>
      <c r="P89" s="85"/>
      <c r="R89" s="53"/>
    </row>
    <row r="90" spans="1:18" ht="24" hidden="1" x14ac:dyDescent="0.25">
      <c r="A90" s="76">
        <v>2214</v>
      </c>
      <c r="B90" s="127" t="s">
        <v>106</v>
      </c>
      <c r="C90" s="128">
        <f t="shared" si="4"/>
        <v>0</v>
      </c>
      <c r="D90" s="134">
        <v>0</v>
      </c>
      <c r="E90" s="283"/>
      <c r="F90" s="286">
        <f t="shared" si="5"/>
        <v>0</v>
      </c>
      <c r="G90" s="134">
        <v>0</v>
      </c>
      <c r="H90" s="135"/>
      <c r="I90" s="136">
        <f t="shared" si="6"/>
        <v>0</v>
      </c>
      <c r="J90" s="134"/>
      <c r="K90" s="135"/>
      <c r="L90" s="136">
        <f t="shared" si="7"/>
        <v>0</v>
      </c>
      <c r="M90" s="284"/>
      <c r="N90" s="285"/>
      <c r="O90" s="136">
        <f t="shared" si="8"/>
        <v>0</v>
      </c>
      <c r="P90" s="85"/>
      <c r="R90" s="53"/>
    </row>
    <row r="91" spans="1:18" hidden="1" x14ac:dyDescent="0.25">
      <c r="A91" s="76">
        <v>2219</v>
      </c>
      <c r="B91" s="127" t="s">
        <v>107</v>
      </c>
      <c r="C91" s="128">
        <f t="shared" si="4"/>
        <v>0</v>
      </c>
      <c r="D91" s="134">
        <v>0</v>
      </c>
      <c r="E91" s="283"/>
      <c r="F91" s="286">
        <f t="shared" si="5"/>
        <v>0</v>
      </c>
      <c r="G91" s="134">
        <v>0</v>
      </c>
      <c r="H91" s="135"/>
      <c r="I91" s="136">
        <f t="shared" si="6"/>
        <v>0</v>
      </c>
      <c r="J91" s="134"/>
      <c r="K91" s="135"/>
      <c r="L91" s="136">
        <f t="shared" si="7"/>
        <v>0</v>
      </c>
      <c r="M91" s="284"/>
      <c r="N91" s="285"/>
      <c r="O91" s="136">
        <f t="shared" si="8"/>
        <v>0</v>
      </c>
      <c r="P91" s="85"/>
      <c r="R91" s="53"/>
    </row>
    <row r="92" spans="1:18" hidden="1" x14ac:dyDescent="0.25">
      <c r="A92" s="276">
        <v>2220</v>
      </c>
      <c r="B92" s="127" t="s">
        <v>108</v>
      </c>
      <c r="C92" s="128">
        <f t="shared" si="4"/>
        <v>0</v>
      </c>
      <c r="D92" s="277">
        <f>SUM(D93:D97)</f>
        <v>0</v>
      </c>
      <c r="E92" s="278">
        <f>SUM(E93:E97)</f>
        <v>0</v>
      </c>
      <c r="F92" s="286">
        <f t="shared" si="5"/>
        <v>0</v>
      </c>
      <c r="G92" s="277">
        <f>SUM(G93:G97)</f>
        <v>0</v>
      </c>
      <c r="H92" s="280">
        <f>SUM(H93:H97)</f>
        <v>0</v>
      </c>
      <c r="I92" s="136">
        <f t="shared" si="6"/>
        <v>0</v>
      </c>
      <c r="J92" s="277">
        <f>SUM(J93:J97)</f>
        <v>0</v>
      </c>
      <c r="K92" s="280">
        <f>SUM(K93:K97)</f>
        <v>0</v>
      </c>
      <c r="L92" s="136">
        <f t="shared" si="7"/>
        <v>0</v>
      </c>
      <c r="M92" s="281">
        <f>SUM(M93:M97)</f>
        <v>0</v>
      </c>
      <c r="N92" s="282">
        <f>SUM(N93:N97)</f>
        <v>0</v>
      </c>
      <c r="O92" s="136">
        <f t="shared" si="8"/>
        <v>0</v>
      </c>
      <c r="P92" s="85"/>
      <c r="R92" s="53"/>
    </row>
    <row r="93" spans="1:18" hidden="1" x14ac:dyDescent="0.25">
      <c r="A93" s="76">
        <v>2221</v>
      </c>
      <c r="B93" s="127" t="s">
        <v>109</v>
      </c>
      <c r="C93" s="128">
        <f t="shared" si="4"/>
        <v>0</v>
      </c>
      <c r="D93" s="134">
        <v>0</v>
      </c>
      <c r="E93" s="283"/>
      <c r="F93" s="286">
        <f t="shared" si="5"/>
        <v>0</v>
      </c>
      <c r="G93" s="134">
        <v>0</v>
      </c>
      <c r="H93" s="135"/>
      <c r="I93" s="136">
        <f t="shared" si="6"/>
        <v>0</v>
      </c>
      <c r="J93" s="134"/>
      <c r="K93" s="135"/>
      <c r="L93" s="136">
        <f t="shared" si="7"/>
        <v>0</v>
      </c>
      <c r="M93" s="284"/>
      <c r="N93" s="285"/>
      <c r="O93" s="136">
        <f t="shared" si="8"/>
        <v>0</v>
      </c>
      <c r="P93" s="85"/>
      <c r="R93" s="53"/>
    </row>
    <row r="94" spans="1:18" hidden="1" x14ac:dyDescent="0.25">
      <c r="A94" s="76">
        <v>2222</v>
      </c>
      <c r="B94" s="127" t="s">
        <v>110</v>
      </c>
      <c r="C94" s="128">
        <f t="shared" si="4"/>
        <v>0</v>
      </c>
      <c r="D94" s="134">
        <v>0</v>
      </c>
      <c r="E94" s="283"/>
      <c r="F94" s="286">
        <f t="shared" si="5"/>
        <v>0</v>
      </c>
      <c r="G94" s="134">
        <v>0</v>
      </c>
      <c r="H94" s="135"/>
      <c r="I94" s="136">
        <f t="shared" si="6"/>
        <v>0</v>
      </c>
      <c r="J94" s="134"/>
      <c r="K94" s="135"/>
      <c r="L94" s="136">
        <f t="shared" si="7"/>
        <v>0</v>
      </c>
      <c r="M94" s="284"/>
      <c r="N94" s="285"/>
      <c r="O94" s="136">
        <f t="shared" si="8"/>
        <v>0</v>
      </c>
      <c r="P94" s="85"/>
      <c r="R94" s="53"/>
    </row>
    <row r="95" spans="1:18" hidden="1" x14ac:dyDescent="0.25">
      <c r="A95" s="76">
        <v>2223</v>
      </c>
      <c r="B95" s="127" t="s">
        <v>111</v>
      </c>
      <c r="C95" s="128">
        <f t="shared" si="4"/>
        <v>0</v>
      </c>
      <c r="D95" s="134">
        <v>0</v>
      </c>
      <c r="E95" s="283"/>
      <c r="F95" s="286">
        <f t="shared" si="5"/>
        <v>0</v>
      </c>
      <c r="G95" s="134">
        <v>0</v>
      </c>
      <c r="H95" s="135"/>
      <c r="I95" s="136">
        <f t="shared" si="6"/>
        <v>0</v>
      </c>
      <c r="J95" s="134"/>
      <c r="K95" s="135"/>
      <c r="L95" s="136">
        <f t="shared" si="7"/>
        <v>0</v>
      </c>
      <c r="M95" s="284"/>
      <c r="N95" s="285"/>
      <c r="O95" s="136">
        <f t="shared" si="8"/>
        <v>0</v>
      </c>
      <c r="P95" s="85"/>
      <c r="R95" s="53"/>
    </row>
    <row r="96" spans="1:18" ht="36" hidden="1" x14ac:dyDescent="0.25">
      <c r="A96" s="76">
        <v>2224</v>
      </c>
      <c r="B96" s="127" t="s">
        <v>112</v>
      </c>
      <c r="C96" s="128">
        <f t="shared" si="4"/>
        <v>0</v>
      </c>
      <c r="D96" s="134">
        <v>0</v>
      </c>
      <c r="E96" s="283"/>
      <c r="F96" s="286">
        <f t="shared" si="5"/>
        <v>0</v>
      </c>
      <c r="G96" s="134">
        <v>0</v>
      </c>
      <c r="H96" s="135"/>
      <c r="I96" s="136">
        <f t="shared" si="6"/>
        <v>0</v>
      </c>
      <c r="J96" s="134"/>
      <c r="K96" s="135"/>
      <c r="L96" s="136">
        <f t="shared" si="7"/>
        <v>0</v>
      </c>
      <c r="M96" s="284"/>
      <c r="N96" s="285"/>
      <c r="O96" s="136">
        <f t="shared" si="8"/>
        <v>0</v>
      </c>
      <c r="P96" s="85"/>
      <c r="R96" s="53"/>
    </row>
    <row r="97" spans="1:18" ht="24" hidden="1" x14ac:dyDescent="0.25">
      <c r="A97" s="76">
        <v>2229</v>
      </c>
      <c r="B97" s="127" t="s">
        <v>113</v>
      </c>
      <c r="C97" s="128">
        <f t="shared" si="4"/>
        <v>0</v>
      </c>
      <c r="D97" s="134">
        <v>0</v>
      </c>
      <c r="E97" s="283"/>
      <c r="F97" s="286">
        <f t="shared" si="5"/>
        <v>0</v>
      </c>
      <c r="G97" s="134">
        <v>0</v>
      </c>
      <c r="H97" s="135"/>
      <c r="I97" s="136">
        <f t="shared" si="6"/>
        <v>0</v>
      </c>
      <c r="J97" s="134"/>
      <c r="K97" s="135"/>
      <c r="L97" s="136">
        <f t="shared" si="7"/>
        <v>0</v>
      </c>
      <c r="M97" s="284"/>
      <c r="N97" s="285"/>
      <c r="O97" s="136">
        <f t="shared" si="8"/>
        <v>0</v>
      </c>
      <c r="P97" s="85"/>
      <c r="R97" s="53"/>
    </row>
    <row r="98" spans="1:18" ht="24" x14ac:dyDescent="0.25">
      <c r="A98" s="276">
        <v>2230</v>
      </c>
      <c r="B98" s="127" t="s">
        <v>114</v>
      </c>
      <c r="C98" s="128">
        <f t="shared" si="4"/>
        <v>48000</v>
      </c>
      <c r="D98" s="277">
        <f>SUM(D99:D105)</f>
        <v>48000</v>
      </c>
      <c r="E98" s="278">
        <f>SUM(E99:E105)</f>
        <v>0</v>
      </c>
      <c r="F98" s="286">
        <f t="shared" si="5"/>
        <v>48000</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c r="R98" s="53"/>
    </row>
    <row r="99" spans="1:18" x14ac:dyDescent="0.25">
      <c r="A99" s="76">
        <v>2231</v>
      </c>
      <c r="B99" s="127" t="s">
        <v>115</v>
      </c>
      <c r="C99" s="128">
        <f t="shared" si="4"/>
        <v>45000</v>
      </c>
      <c r="D99" s="134">
        <v>45000</v>
      </c>
      <c r="E99" s="283"/>
      <c r="F99" s="286">
        <f t="shared" si="5"/>
        <v>45000</v>
      </c>
      <c r="G99" s="134">
        <v>0</v>
      </c>
      <c r="H99" s="135"/>
      <c r="I99" s="136">
        <f t="shared" si="6"/>
        <v>0</v>
      </c>
      <c r="J99" s="134"/>
      <c r="K99" s="135"/>
      <c r="L99" s="136">
        <f t="shared" si="7"/>
        <v>0</v>
      </c>
      <c r="M99" s="284"/>
      <c r="N99" s="285"/>
      <c r="O99" s="136">
        <f t="shared" si="8"/>
        <v>0</v>
      </c>
      <c r="P99" s="85"/>
      <c r="R99" s="53"/>
    </row>
    <row r="100" spans="1:18" ht="24" x14ac:dyDescent="0.25">
      <c r="A100" s="76">
        <v>2232</v>
      </c>
      <c r="B100" s="127" t="s">
        <v>116</v>
      </c>
      <c r="C100" s="128">
        <f t="shared" si="4"/>
        <v>3000</v>
      </c>
      <c r="D100" s="134">
        <v>3000</v>
      </c>
      <c r="E100" s="283"/>
      <c r="F100" s="286">
        <f t="shared" si="5"/>
        <v>3000</v>
      </c>
      <c r="G100" s="134">
        <v>0</v>
      </c>
      <c r="H100" s="135"/>
      <c r="I100" s="136">
        <f t="shared" si="6"/>
        <v>0</v>
      </c>
      <c r="J100" s="134"/>
      <c r="K100" s="135"/>
      <c r="L100" s="136">
        <f t="shared" si="7"/>
        <v>0</v>
      </c>
      <c r="M100" s="284"/>
      <c r="N100" s="285"/>
      <c r="O100" s="136">
        <f t="shared" si="8"/>
        <v>0</v>
      </c>
      <c r="P100" s="85"/>
      <c r="R100" s="53"/>
    </row>
    <row r="101" spans="1:18" hidden="1" x14ac:dyDescent="0.25">
      <c r="A101" s="66">
        <v>2233</v>
      </c>
      <c r="B101" s="116" t="s">
        <v>117</v>
      </c>
      <c r="C101" s="128">
        <f t="shared" si="4"/>
        <v>0</v>
      </c>
      <c r="D101" s="134">
        <v>0</v>
      </c>
      <c r="E101" s="283"/>
      <c r="F101" s="263">
        <f t="shared" si="5"/>
        <v>0</v>
      </c>
      <c r="G101" s="123">
        <v>0</v>
      </c>
      <c r="H101" s="124"/>
      <c r="I101" s="125">
        <f t="shared" si="6"/>
        <v>0</v>
      </c>
      <c r="J101" s="123"/>
      <c r="K101" s="124"/>
      <c r="L101" s="125">
        <f t="shared" si="7"/>
        <v>0</v>
      </c>
      <c r="M101" s="264"/>
      <c r="N101" s="262"/>
      <c r="O101" s="125">
        <f t="shared" si="8"/>
        <v>0</v>
      </c>
      <c r="P101" s="74"/>
      <c r="R101" s="53"/>
    </row>
    <row r="102" spans="1:18" ht="24" hidden="1" x14ac:dyDescent="0.25">
      <c r="A102" s="76">
        <v>2234</v>
      </c>
      <c r="B102" s="127" t="s">
        <v>118</v>
      </c>
      <c r="C102" s="128">
        <f t="shared" si="4"/>
        <v>0</v>
      </c>
      <c r="D102" s="134">
        <v>0</v>
      </c>
      <c r="E102" s="283"/>
      <c r="F102" s="286">
        <f t="shared" si="5"/>
        <v>0</v>
      </c>
      <c r="G102" s="134">
        <v>0</v>
      </c>
      <c r="H102" s="135"/>
      <c r="I102" s="136">
        <f t="shared" si="6"/>
        <v>0</v>
      </c>
      <c r="J102" s="134"/>
      <c r="K102" s="135"/>
      <c r="L102" s="136">
        <f t="shared" si="7"/>
        <v>0</v>
      </c>
      <c r="M102" s="284"/>
      <c r="N102" s="285"/>
      <c r="O102" s="136">
        <f t="shared" si="8"/>
        <v>0</v>
      </c>
      <c r="P102" s="85"/>
      <c r="R102" s="53"/>
    </row>
    <row r="103" spans="1:18" hidden="1" x14ac:dyDescent="0.25">
      <c r="A103" s="76">
        <v>2235</v>
      </c>
      <c r="B103" s="127" t="s">
        <v>119</v>
      </c>
      <c r="C103" s="128">
        <f t="shared" si="4"/>
        <v>0</v>
      </c>
      <c r="D103" s="134">
        <v>0</v>
      </c>
      <c r="E103" s="283"/>
      <c r="F103" s="286">
        <f t="shared" si="5"/>
        <v>0</v>
      </c>
      <c r="G103" s="134">
        <v>0</v>
      </c>
      <c r="H103" s="135"/>
      <c r="I103" s="136">
        <f t="shared" si="6"/>
        <v>0</v>
      </c>
      <c r="J103" s="134"/>
      <c r="K103" s="135"/>
      <c r="L103" s="136">
        <f t="shared" si="7"/>
        <v>0</v>
      </c>
      <c r="M103" s="284"/>
      <c r="N103" s="285"/>
      <c r="O103" s="136">
        <f t="shared" si="8"/>
        <v>0</v>
      </c>
      <c r="P103" s="85"/>
      <c r="R103" s="53"/>
    </row>
    <row r="104" spans="1:18" hidden="1" x14ac:dyDescent="0.25">
      <c r="A104" s="76">
        <v>2236</v>
      </c>
      <c r="B104" s="127" t="s">
        <v>120</v>
      </c>
      <c r="C104" s="128">
        <f t="shared" si="4"/>
        <v>0</v>
      </c>
      <c r="D104" s="134">
        <v>0</v>
      </c>
      <c r="E104" s="283"/>
      <c r="F104" s="286">
        <f t="shared" si="5"/>
        <v>0</v>
      </c>
      <c r="G104" s="134">
        <v>0</v>
      </c>
      <c r="H104" s="135"/>
      <c r="I104" s="136">
        <f t="shared" si="6"/>
        <v>0</v>
      </c>
      <c r="J104" s="134"/>
      <c r="K104" s="135"/>
      <c r="L104" s="136">
        <f t="shared" si="7"/>
        <v>0</v>
      </c>
      <c r="M104" s="284"/>
      <c r="N104" s="285"/>
      <c r="O104" s="136">
        <f t="shared" si="8"/>
        <v>0</v>
      </c>
      <c r="P104" s="85"/>
      <c r="R104" s="53"/>
    </row>
    <row r="105" spans="1:18" hidden="1" x14ac:dyDescent="0.25">
      <c r="A105" s="76">
        <v>2239</v>
      </c>
      <c r="B105" s="127" t="s">
        <v>121</v>
      </c>
      <c r="C105" s="128">
        <f t="shared" si="4"/>
        <v>0</v>
      </c>
      <c r="D105" s="134">
        <v>0</v>
      </c>
      <c r="E105" s="283"/>
      <c r="F105" s="286">
        <f t="shared" si="5"/>
        <v>0</v>
      </c>
      <c r="G105" s="134">
        <v>0</v>
      </c>
      <c r="H105" s="135"/>
      <c r="I105" s="136">
        <f t="shared" si="6"/>
        <v>0</v>
      </c>
      <c r="J105" s="134"/>
      <c r="K105" s="135"/>
      <c r="L105" s="136">
        <f t="shared" si="7"/>
        <v>0</v>
      </c>
      <c r="M105" s="284"/>
      <c r="N105" s="285"/>
      <c r="O105" s="136">
        <f t="shared" si="8"/>
        <v>0</v>
      </c>
      <c r="P105" s="85"/>
      <c r="R105" s="53"/>
    </row>
    <row r="106" spans="1:18" ht="24" hidden="1" x14ac:dyDescent="0.25">
      <c r="A106" s="276">
        <v>2240</v>
      </c>
      <c r="B106" s="127" t="s">
        <v>122</v>
      </c>
      <c r="C106" s="128">
        <f t="shared" si="4"/>
        <v>0</v>
      </c>
      <c r="D106" s="277">
        <f>SUM(D107:D114)</f>
        <v>0</v>
      </c>
      <c r="E106" s="278">
        <f>SUM(E107:E114)</f>
        <v>0</v>
      </c>
      <c r="F106" s="286">
        <f t="shared" si="5"/>
        <v>0</v>
      </c>
      <c r="G106" s="277">
        <f>SUM(G107:G114)</f>
        <v>0</v>
      </c>
      <c r="H106" s="280">
        <f>SUM(H107:H114)</f>
        <v>0</v>
      </c>
      <c r="I106" s="136">
        <f t="shared" si="6"/>
        <v>0</v>
      </c>
      <c r="J106" s="277">
        <f>SUM(J107:J114)</f>
        <v>0</v>
      </c>
      <c r="K106" s="280">
        <f>SUM(K107:K114)</f>
        <v>0</v>
      </c>
      <c r="L106" s="136">
        <f t="shared" si="7"/>
        <v>0</v>
      </c>
      <c r="M106" s="281">
        <f>SUM(M107:M114)</f>
        <v>0</v>
      </c>
      <c r="N106" s="282">
        <f>SUM(N107:N114)</f>
        <v>0</v>
      </c>
      <c r="O106" s="136">
        <f t="shared" si="8"/>
        <v>0</v>
      </c>
      <c r="P106" s="85"/>
      <c r="R106" s="53"/>
    </row>
    <row r="107" spans="1:18" hidden="1" x14ac:dyDescent="0.25">
      <c r="A107" s="76">
        <v>2241</v>
      </c>
      <c r="B107" s="127" t="s">
        <v>123</v>
      </c>
      <c r="C107" s="128">
        <f t="shared" si="4"/>
        <v>0</v>
      </c>
      <c r="D107" s="134">
        <v>0</v>
      </c>
      <c r="E107" s="283"/>
      <c r="F107" s="286">
        <f t="shared" si="5"/>
        <v>0</v>
      </c>
      <c r="G107" s="134">
        <v>0</v>
      </c>
      <c r="H107" s="135"/>
      <c r="I107" s="136">
        <f t="shared" si="6"/>
        <v>0</v>
      </c>
      <c r="J107" s="134"/>
      <c r="K107" s="135"/>
      <c r="L107" s="136">
        <f t="shared" si="7"/>
        <v>0</v>
      </c>
      <c r="M107" s="284"/>
      <c r="N107" s="285"/>
      <c r="O107" s="136">
        <f t="shared" si="8"/>
        <v>0</v>
      </c>
      <c r="P107" s="85"/>
      <c r="R107" s="53"/>
    </row>
    <row r="108" spans="1:18" hidden="1" x14ac:dyDescent="0.25">
      <c r="A108" s="76">
        <v>2242</v>
      </c>
      <c r="B108" s="127" t="s">
        <v>124</v>
      </c>
      <c r="C108" s="128">
        <f t="shared" si="4"/>
        <v>0</v>
      </c>
      <c r="D108" s="134">
        <v>0</v>
      </c>
      <c r="E108" s="283"/>
      <c r="F108" s="286">
        <f t="shared" si="5"/>
        <v>0</v>
      </c>
      <c r="G108" s="134">
        <v>0</v>
      </c>
      <c r="H108" s="135"/>
      <c r="I108" s="136">
        <f t="shared" si="6"/>
        <v>0</v>
      </c>
      <c r="J108" s="134"/>
      <c r="K108" s="135"/>
      <c r="L108" s="136">
        <f t="shared" si="7"/>
        <v>0</v>
      </c>
      <c r="M108" s="284"/>
      <c r="N108" s="285"/>
      <c r="O108" s="136">
        <f t="shared" si="8"/>
        <v>0</v>
      </c>
      <c r="P108" s="85"/>
      <c r="R108" s="53"/>
    </row>
    <row r="109" spans="1:18" ht="24" hidden="1" x14ac:dyDescent="0.25">
      <c r="A109" s="76">
        <v>2243</v>
      </c>
      <c r="B109" s="127" t="s">
        <v>125</v>
      </c>
      <c r="C109" s="128">
        <f t="shared" si="4"/>
        <v>0</v>
      </c>
      <c r="D109" s="134">
        <v>0</v>
      </c>
      <c r="E109" s="283"/>
      <c r="F109" s="286">
        <f t="shared" si="5"/>
        <v>0</v>
      </c>
      <c r="G109" s="134">
        <v>0</v>
      </c>
      <c r="H109" s="135"/>
      <c r="I109" s="136">
        <f t="shared" si="6"/>
        <v>0</v>
      </c>
      <c r="J109" s="134"/>
      <c r="K109" s="135"/>
      <c r="L109" s="136">
        <f t="shared" si="7"/>
        <v>0</v>
      </c>
      <c r="M109" s="284"/>
      <c r="N109" s="285"/>
      <c r="O109" s="136">
        <f t="shared" si="8"/>
        <v>0</v>
      </c>
      <c r="P109" s="85"/>
      <c r="R109" s="53"/>
    </row>
    <row r="110" spans="1:18" hidden="1" x14ac:dyDescent="0.25">
      <c r="A110" s="76">
        <v>2244</v>
      </c>
      <c r="B110" s="127" t="s">
        <v>126</v>
      </c>
      <c r="C110" s="128">
        <f t="shared" si="4"/>
        <v>0</v>
      </c>
      <c r="D110" s="134">
        <v>0</v>
      </c>
      <c r="E110" s="283"/>
      <c r="F110" s="286">
        <f t="shared" si="5"/>
        <v>0</v>
      </c>
      <c r="G110" s="134">
        <v>0</v>
      </c>
      <c r="H110" s="135"/>
      <c r="I110" s="136">
        <f t="shared" si="6"/>
        <v>0</v>
      </c>
      <c r="J110" s="134"/>
      <c r="K110" s="135"/>
      <c r="L110" s="136">
        <f t="shared" si="7"/>
        <v>0</v>
      </c>
      <c r="M110" s="284"/>
      <c r="N110" s="285"/>
      <c r="O110" s="136">
        <f t="shared" si="8"/>
        <v>0</v>
      </c>
      <c r="P110" s="85"/>
      <c r="R110" s="53"/>
    </row>
    <row r="111" spans="1:18" hidden="1" x14ac:dyDescent="0.25">
      <c r="A111" s="76">
        <v>2246</v>
      </c>
      <c r="B111" s="127" t="s">
        <v>127</v>
      </c>
      <c r="C111" s="128">
        <f t="shared" si="4"/>
        <v>0</v>
      </c>
      <c r="D111" s="134">
        <v>0</v>
      </c>
      <c r="E111" s="283"/>
      <c r="F111" s="286">
        <f t="shared" si="5"/>
        <v>0</v>
      </c>
      <c r="G111" s="134"/>
      <c r="H111" s="135"/>
      <c r="I111" s="136">
        <f t="shared" si="6"/>
        <v>0</v>
      </c>
      <c r="J111" s="134"/>
      <c r="K111" s="135"/>
      <c r="L111" s="136">
        <f t="shared" si="7"/>
        <v>0</v>
      </c>
      <c r="M111" s="284"/>
      <c r="N111" s="285"/>
      <c r="O111" s="136">
        <f t="shared" si="8"/>
        <v>0</v>
      </c>
      <c r="P111" s="85"/>
      <c r="R111" s="53"/>
    </row>
    <row r="112" spans="1:18" hidden="1" x14ac:dyDescent="0.25">
      <c r="A112" s="76">
        <v>2247</v>
      </c>
      <c r="B112" s="127" t="s">
        <v>128</v>
      </c>
      <c r="C112" s="128">
        <f t="shared" si="4"/>
        <v>0</v>
      </c>
      <c r="D112" s="134">
        <v>0</v>
      </c>
      <c r="E112" s="283"/>
      <c r="F112" s="286">
        <f t="shared" si="5"/>
        <v>0</v>
      </c>
      <c r="G112" s="134">
        <v>0</v>
      </c>
      <c r="H112" s="135"/>
      <c r="I112" s="136">
        <f t="shared" si="6"/>
        <v>0</v>
      </c>
      <c r="J112" s="134"/>
      <c r="K112" s="135"/>
      <c r="L112" s="136">
        <f t="shared" si="7"/>
        <v>0</v>
      </c>
      <c r="M112" s="284"/>
      <c r="N112" s="285"/>
      <c r="O112" s="136">
        <f t="shared" si="8"/>
        <v>0</v>
      </c>
      <c r="P112" s="85"/>
      <c r="R112" s="53"/>
    </row>
    <row r="113" spans="1:18" ht="24" hidden="1" x14ac:dyDescent="0.25">
      <c r="A113" s="76">
        <v>2248</v>
      </c>
      <c r="B113" s="127" t="s">
        <v>129</v>
      </c>
      <c r="C113" s="128">
        <f t="shared" si="4"/>
        <v>0</v>
      </c>
      <c r="D113" s="134">
        <v>0</v>
      </c>
      <c r="E113" s="283"/>
      <c r="F113" s="286">
        <f t="shared" si="5"/>
        <v>0</v>
      </c>
      <c r="G113" s="134">
        <v>0</v>
      </c>
      <c r="H113" s="135"/>
      <c r="I113" s="136">
        <f t="shared" si="6"/>
        <v>0</v>
      </c>
      <c r="J113" s="134"/>
      <c r="K113" s="135"/>
      <c r="L113" s="136">
        <f t="shared" si="7"/>
        <v>0</v>
      </c>
      <c r="M113" s="284"/>
      <c r="N113" s="285"/>
      <c r="O113" s="136">
        <f t="shared" si="8"/>
        <v>0</v>
      </c>
      <c r="P113" s="85"/>
      <c r="R113" s="53"/>
    </row>
    <row r="114" spans="1:18" ht="24" hidden="1" x14ac:dyDescent="0.25">
      <c r="A114" s="76">
        <v>2249</v>
      </c>
      <c r="B114" s="127" t="s">
        <v>130</v>
      </c>
      <c r="C114" s="128">
        <f t="shared" si="4"/>
        <v>0</v>
      </c>
      <c r="D114" s="134">
        <v>0</v>
      </c>
      <c r="E114" s="283"/>
      <c r="F114" s="286">
        <f t="shared" si="5"/>
        <v>0</v>
      </c>
      <c r="G114" s="134">
        <v>0</v>
      </c>
      <c r="H114" s="135"/>
      <c r="I114" s="136">
        <f t="shared" si="6"/>
        <v>0</v>
      </c>
      <c r="J114" s="134"/>
      <c r="K114" s="135"/>
      <c r="L114" s="136">
        <f t="shared" si="7"/>
        <v>0</v>
      </c>
      <c r="M114" s="284"/>
      <c r="N114" s="285"/>
      <c r="O114" s="136">
        <f t="shared" si="8"/>
        <v>0</v>
      </c>
      <c r="P114" s="85"/>
      <c r="R114" s="53"/>
    </row>
    <row r="115" spans="1:18" hidden="1" x14ac:dyDescent="0.25">
      <c r="A115" s="276">
        <v>2250</v>
      </c>
      <c r="B115" s="127" t="s">
        <v>131</v>
      </c>
      <c r="C115" s="128">
        <f t="shared" si="4"/>
        <v>0</v>
      </c>
      <c r="D115" s="277">
        <f>SUM(D116:D118)</f>
        <v>0</v>
      </c>
      <c r="E115" s="278">
        <f>SUM(E116:E118)</f>
        <v>0</v>
      </c>
      <c r="F115" s="286">
        <f t="shared" si="5"/>
        <v>0</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c r="R115" s="53"/>
    </row>
    <row r="116" spans="1:18" hidden="1" x14ac:dyDescent="0.25">
      <c r="A116" s="76">
        <v>2251</v>
      </c>
      <c r="B116" s="127" t="s">
        <v>132</v>
      </c>
      <c r="C116" s="128">
        <f t="shared" si="4"/>
        <v>0</v>
      </c>
      <c r="D116" s="134">
        <v>0</v>
      </c>
      <c r="E116" s="283"/>
      <c r="F116" s="286">
        <f t="shared" si="5"/>
        <v>0</v>
      </c>
      <c r="G116" s="134">
        <v>0</v>
      </c>
      <c r="H116" s="135"/>
      <c r="I116" s="136">
        <f t="shared" si="6"/>
        <v>0</v>
      </c>
      <c r="J116" s="134"/>
      <c r="K116" s="135"/>
      <c r="L116" s="136">
        <f t="shared" si="7"/>
        <v>0</v>
      </c>
      <c r="M116" s="284"/>
      <c r="N116" s="285"/>
      <c r="O116" s="136">
        <f t="shared" si="8"/>
        <v>0</v>
      </c>
      <c r="P116" s="85"/>
      <c r="R116" s="53"/>
    </row>
    <row r="117" spans="1:18" hidden="1" x14ac:dyDescent="0.25">
      <c r="A117" s="76">
        <v>2252</v>
      </c>
      <c r="B117" s="127" t="s">
        <v>133</v>
      </c>
      <c r="C117" s="128">
        <f t="shared" ref="C117:C181" si="9">F117+I117+L117+O117</f>
        <v>0</v>
      </c>
      <c r="D117" s="134">
        <v>0</v>
      </c>
      <c r="E117" s="283"/>
      <c r="F117" s="286">
        <f t="shared" si="5"/>
        <v>0</v>
      </c>
      <c r="G117" s="134">
        <v>0</v>
      </c>
      <c r="H117" s="135"/>
      <c r="I117" s="136">
        <f t="shared" si="6"/>
        <v>0</v>
      </c>
      <c r="J117" s="134"/>
      <c r="K117" s="135"/>
      <c r="L117" s="136">
        <f t="shared" si="7"/>
        <v>0</v>
      </c>
      <c r="M117" s="284"/>
      <c r="N117" s="285"/>
      <c r="O117" s="136">
        <f t="shared" si="8"/>
        <v>0</v>
      </c>
      <c r="P117" s="85"/>
      <c r="R117" s="53"/>
    </row>
    <row r="118" spans="1:18" hidden="1" x14ac:dyDescent="0.25">
      <c r="A118" s="76">
        <v>2259</v>
      </c>
      <c r="B118" s="127" t="s">
        <v>134</v>
      </c>
      <c r="C118" s="128">
        <f t="shared" si="9"/>
        <v>0</v>
      </c>
      <c r="D118" s="134">
        <v>0</v>
      </c>
      <c r="E118" s="283"/>
      <c r="F118" s="286">
        <f t="shared" ref="F118:F182" si="10">D118+E118</f>
        <v>0</v>
      </c>
      <c r="G118" s="134">
        <v>0</v>
      </c>
      <c r="H118" s="135"/>
      <c r="I118" s="136">
        <f t="shared" ref="I118:I182" si="11">G118+H118</f>
        <v>0</v>
      </c>
      <c r="J118" s="134"/>
      <c r="K118" s="135"/>
      <c r="L118" s="136">
        <f t="shared" ref="L118:L182" si="12">J118+K118</f>
        <v>0</v>
      </c>
      <c r="M118" s="284"/>
      <c r="N118" s="285"/>
      <c r="O118" s="136">
        <f t="shared" ref="O118:O182" si="13">M118+N118</f>
        <v>0</v>
      </c>
      <c r="P118" s="85"/>
      <c r="R118" s="53"/>
    </row>
    <row r="119" spans="1:18" x14ac:dyDescent="0.25">
      <c r="A119" s="276">
        <v>2260</v>
      </c>
      <c r="B119" s="127" t="s">
        <v>135</v>
      </c>
      <c r="C119" s="128">
        <f t="shared" si="9"/>
        <v>3000</v>
      </c>
      <c r="D119" s="277">
        <f>SUM(D120:D124)</f>
        <v>3000</v>
      </c>
      <c r="E119" s="278">
        <f>SUM(E120:E124)</f>
        <v>0</v>
      </c>
      <c r="F119" s="286">
        <f t="shared" si="10"/>
        <v>3000</v>
      </c>
      <c r="G119" s="277">
        <f>SUM(G120:G124)</f>
        <v>0</v>
      </c>
      <c r="H119" s="280">
        <f>SUM(H120:H124)</f>
        <v>0</v>
      </c>
      <c r="I119" s="136">
        <f t="shared" si="11"/>
        <v>0</v>
      </c>
      <c r="J119" s="277">
        <f>SUM(J120:J124)</f>
        <v>0</v>
      </c>
      <c r="K119" s="280">
        <f>SUM(K120:K124)</f>
        <v>0</v>
      </c>
      <c r="L119" s="136">
        <f t="shared" si="12"/>
        <v>0</v>
      </c>
      <c r="M119" s="281">
        <f>SUM(M120:M124)</f>
        <v>0</v>
      </c>
      <c r="N119" s="282">
        <f>SUM(N120:N124)</f>
        <v>0</v>
      </c>
      <c r="O119" s="136">
        <f t="shared" si="13"/>
        <v>0</v>
      </c>
      <c r="P119" s="85"/>
      <c r="R119" s="53"/>
    </row>
    <row r="120" spans="1:18" hidden="1" x14ac:dyDescent="0.25">
      <c r="A120" s="76">
        <v>2261</v>
      </c>
      <c r="B120" s="127" t="s">
        <v>136</v>
      </c>
      <c r="C120" s="128">
        <f t="shared" si="9"/>
        <v>0</v>
      </c>
      <c r="D120" s="134">
        <v>0</v>
      </c>
      <c r="E120" s="283"/>
      <c r="F120" s="286">
        <f t="shared" si="10"/>
        <v>0</v>
      </c>
      <c r="G120" s="134">
        <v>0</v>
      </c>
      <c r="H120" s="135"/>
      <c r="I120" s="136">
        <f t="shared" si="11"/>
        <v>0</v>
      </c>
      <c r="J120" s="134"/>
      <c r="K120" s="135"/>
      <c r="L120" s="136">
        <f t="shared" si="12"/>
        <v>0</v>
      </c>
      <c r="M120" s="284"/>
      <c r="N120" s="285"/>
      <c r="O120" s="136">
        <f t="shared" si="13"/>
        <v>0</v>
      </c>
      <c r="P120" s="85"/>
      <c r="R120" s="53"/>
    </row>
    <row r="121" spans="1:18" x14ac:dyDescent="0.25">
      <c r="A121" s="76">
        <v>2262</v>
      </c>
      <c r="B121" s="127" t="s">
        <v>137</v>
      </c>
      <c r="C121" s="128">
        <f t="shared" si="9"/>
        <v>3000</v>
      </c>
      <c r="D121" s="134">
        <v>3000</v>
      </c>
      <c r="E121" s="283"/>
      <c r="F121" s="286">
        <f t="shared" si="10"/>
        <v>3000</v>
      </c>
      <c r="G121" s="134">
        <v>0</v>
      </c>
      <c r="H121" s="135"/>
      <c r="I121" s="136">
        <f t="shared" si="11"/>
        <v>0</v>
      </c>
      <c r="J121" s="134"/>
      <c r="K121" s="135"/>
      <c r="L121" s="136">
        <f t="shared" si="12"/>
        <v>0</v>
      </c>
      <c r="M121" s="284"/>
      <c r="N121" s="285"/>
      <c r="O121" s="136">
        <f t="shared" si="13"/>
        <v>0</v>
      </c>
      <c r="P121" s="85"/>
      <c r="R121" s="53"/>
    </row>
    <row r="122" spans="1:18" hidden="1" x14ac:dyDescent="0.25">
      <c r="A122" s="76">
        <v>2263</v>
      </c>
      <c r="B122" s="127" t="s">
        <v>138</v>
      </c>
      <c r="C122" s="128">
        <f t="shared" si="9"/>
        <v>0</v>
      </c>
      <c r="D122" s="134">
        <v>0</v>
      </c>
      <c r="E122" s="283"/>
      <c r="F122" s="286">
        <f t="shared" si="10"/>
        <v>0</v>
      </c>
      <c r="G122" s="134">
        <v>0</v>
      </c>
      <c r="H122" s="135"/>
      <c r="I122" s="136">
        <f t="shared" si="11"/>
        <v>0</v>
      </c>
      <c r="J122" s="134"/>
      <c r="K122" s="135"/>
      <c r="L122" s="136">
        <f t="shared" si="12"/>
        <v>0</v>
      </c>
      <c r="M122" s="284"/>
      <c r="N122" s="285"/>
      <c r="O122" s="136">
        <f t="shared" si="13"/>
        <v>0</v>
      </c>
      <c r="P122" s="85"/>
      <c r="R122" s="53"/>
    </row>
    <row r="123" spans="1:18" hidden="1" x14ac:dyDescent="0.25">
      <c r="A123" s="76">
        <v>2264</v>
      </c>
      <c r="B123" s="127" t="s">
        <v>139</v>
      </c>
      <c r="C123" s="128">
        <f t="shared" si="9"/>
        <v>0</v>
      </c>
      <c r="D123" s="134">
        <v>0</v>
      </c>
      <c r="E123" s="283"/>
      <c r="F123" s="286">
        <f t="shared" si="10"/>
        <v>0</v>
      </c>
      <c r="G123" s="134">
        <v>0</v>
      </c>
      <c r="H123" s="135"/>
      <c r="I123" s="136">
        <f t="shared" si="11"/>
        <v>0</v>
      </c>
      <c r="J123" s="134"/>
      <c r="K123" s="135"/>
      <c r="L123" s="136">
        <f t="shared" si="12"/>
        <v>0</v>
      </c>
      <c r="M123" s="284"/>
      <c r="N123" s="285"/>
      <c r="O123" s="136">
        <f t="shared" si="13"/>
        <v>0</v>
      </c>
      <c r="P123" s="85"/>
      <c r="R123" s="53"/>
    </row>
    <row r="124" spans="1:18" hidden="1" x14ac:dyDescent="0.25">
      <c r="A124" s="76">
        <v>2269</v>
      </c>
      <c r="B124" s="127" t="s">
        <v>140</v>
      </c>
      <c r="C124" s="128">
        <f t="shared" si="9"/>
        <v>0</v>
      </c>
      <c r="D124" s="134">
        <v>0</v>
      </c>
      <c r="E124" s="283"/>
      <c r="F124" s="286">
        <f t="shared" si="10"/>
        <v>0</v>
      </c>
      <c r="G124" s="134">
        <v>0</v>
      </c>
      <c r="H124" s="135"/>
      <c r="I124" s="136">
        <f t="shared" si="11"/>
        <v>0</v>
      </c>
      <c r="J124" s="134"/>
      <c r="K124" s="135"/>
      <c r="L124" s="136">
        <f t="shared" si="12"/>
        <v>0</v>
      </c>
      <c r="M124" s="284"/>
      <c r="N124" s="285"/>
      <c r="O124" s="136">
        <f t="shared" si="13"/>
        <v>0</v>
      </c>
      <c r="P124" s="85"/>
      <c r="R124" s="53"/>
    </row>
    <row r="125" spans="1:18" x14ac:dyDescent="0.25">
      <c r="A125" s="276">
        <v>2270</v>
      </c>
      <c r="B125" s="127" t="s">
        <v>141</v>
      </c>
      <c r="C125" s="128">
        <f t="shared" si="9"/>
        <v>2275</v>
      </c>
      <c r="D125" s="277">
        <f>SUM(D126:D130)</f>
        <v>2275</v>
      </c>
      <c r="E125" s="278">
        <f>SUM(E126:E130)</f>
        <v>0</v>
      </c>
      <c r="F125" s="286">
        <f t="shared" si="10"/>
        <v>2275</v>
      </c>
      <c r="G125" s="277">
        <f>SUM(G126:G130)</f>
        <v>0</v>
      </c>
      <c r="H125" s="280">
        <f>SUM(H126:H130)</f>
        <v>0</v>
      </c>
      <c r="I125" s="136">
        <f t="shared" si="11"/>
        <v>0</v>
      </c>
      <c r="J125" s="277">
        <f>SUM(J126:J130)</f>
        <v>0</v>
      </c>
      <c r="K125" s="280">
        <f>SUM(K126:K130)</f>
        <v>0</v>
      </c>
      <c r="L125" s="136">
        <f t="shared" si="12"/>
        <v>0</v>
      </c>
      <c r="M125" s="281">
        <f>SUM(M126:M130)</f>
        <v>0</v>
      </c>
      <c r="N125" s="282">
        <f>SUM(N126:N130)</f>
        <v>0</v>
      </c>
      <c r="O125" s="136">
        <f t="shared" si="13"/>
        <v>0</v>
      </c>
      <c r="P125" s="85"/>
      <c r="R125" s="53"/>
    </row>
    <row r="126" spans="1:18" hidden="1" x14ac:dyDescent="0.25">
      <c r="A126" s="76">
        <v>2272</v>
      </c>
      <c r="B126" s="5" t="s">
        <v>142</v>
      </c>
      <c r="C126" s="128">
        <f t="shared" si="9"/>
        <v>0</v>
      </c>
      <c r="D126" s="134">
        <v>0</v>
      </c>
      <c r="E126" s="283"/>
      <c r="F126" s="286">
        <f t="shared" si="10"/>
        <v>0</v>
      </c>
      <c r="G126" s="134">
        <v>0</v>
      </c>
      <c r="H126" s="135"/>
      <c r="I126" s="136">
        <f t="shared" si="11"/>
        <v>0</v>
      </c>
      <c r="J126" s="134"/>
      <c r="K126" s="135"/>
      <c r="L126" s="136">
        <f t="shared" si="12"/>
        <v>0</v>
      </c>
      <c r="M126" s="284"/>
      <c r="N126" s="285"/>
      <c r="O126" s="136">
        <f t="shared" si="13"/>
        <v>0</v>
      </c>
      <c r="P126" s="85"/>
      <c r="R126" s="53"/>
    </row>
    <row r="127" spans="1:18" hidden="1" x14ac:dyDescent="0.25">
      <c r="A127" s="76">
        <v>2275</v>
      </c>
      <c r="B127" s="127" t="s">
        <v>143</v>
      </c>
      <c r="C127" s="128">
        <f t="shared" si="9"/>
        <v>0</v>
      </c>
      <c r="D127" s="134">
        <v>0</v>
      </c>
      <c r="E127" s="283"/>
      <c r="F127" s="286">
        <f t="shared" si="10"/>
        <v>0</v>
      </c>
      <c r="G127" s="134">
        <v>0</v>
      </c>
      <c r="H127" s="135"/>
      <c r="I127" s="136">
        <f t="shared" si="11"/>
        <v>0</v>
      </c>
      <c r="J127" s="134"/>
      <c r="K127" s="135"/>
      <c r="L127" s="136">
        <f t="shared" si="12"/>
        <v>0</v>
      </c>
      <c r="M127" s="284"/>
      <c r="N127" s="285"/>
      <c r="O127" s="136">
        <f t="shared" si="13"/>
        <v>0</v>
      </c>
      <c r="P127" s="85"/>
      <c r="R127" s="53"/>
    </row>
    <row r="128" spans="1:18" ht="24" hidden="1" x14ac:dyDescent="0.25">
      <c r="A128" s="76">
        <v>2276</v>
      </c>
      <c r="B128" s="127" t="s">
        <v>144</v>
      </c>
      <c r="C128" s="128">
        <f t="shared" si="9"/>
        <v>0</v>
      </c>
      <c r="D128" s="134">
        <v>0</v>
      </c>
      <c r="E128" s="283"/>
      <c r="F128" s="286">
        <f t="shared" si="10"/>
        <v>0</v>
      </c>
      <c r="G128" s="134">
        <v>0</v>
      </c>
      <c r="H128" s="135"/>
      <c r="I128" s="136">
        <f t="shared" si="11"/>
        <v>0</v>
      </c>
      <c r="J128" s="134"/>
      <c r="K128" s="135"/>
      <c r="L128" s="136">
        <f t="shared" si="12"/>
        <v>0</v>
      </c>
      <c r="M128" s="284"/>
      <c r="N128" s="285"/>
      <c r="O128" s="136">
        <f t="shared" si="13"/>
        <v>0</v>
      </c>
      <c r="P128" s="85"/>
      <c r="R128" s="53"/>
    </row>
    <row r="129" spans="1:18" ht="24" hidden="1" x14ac:dyDescent="0.25">
      <c r="A129" s="76">
        <v>2278</v>
      </c>
      <c r="B129" s="127" t="s">
        <v>145</v>
      </c>
      <c r="C129" s="128">
        <f t="shared" si="9"/>
        <v>0</v>
      </c>
      <c r="D129" s="134">
        <v>0</v>
      </c>
      <c r="E129" s="283"/>
      <c r="F129" s="286">
        <f t="shared" si="10"/>
        <v>0</v>
      </c>
      <c r="G129" s="134">
        <v>0</v>
      </c>
      <c r="H129" s="135"/>
      <c r="I129" s="136">
        <f t="shared" si="11"/>
        <v>0</v>
      </c>
      <c r="J129" s="134"/>
      <c r="K129" s="135"/>
      <c r="L129" s="136">
        <f t="shared" si="12"/>
        <v>0</v>
      </c>
      <c r="M129" s="284"/>
      <c r="N129" s="285"/>
      <c r="O129" s="136">
        <f t="shared" si="13"/>
        <v>0</v>
      </c>
      <c r="P129" s="85"/>
      <c r="R129" s="53"/>
    </row>
    <row r="130" spans="1:18" x14ac:dyDescent="0.25">
      <c r="A130" s="76">
        <v>2279</v>
      </c>
      <c r="B130" s="127" t="s">
        <v>146</v>
      </c>
      <c r="C130" s="128">
        <f t="shared" si="9"/>
        <v>2275</v>
      </c>
      <c r="D130" s="134">
        <v>2275</v>
      </c>
      <c r="E130" s="283"/>
      <c r="F130" s="286">
        <f t="shared" si="10"/>
        <v>2275</v>
      </c>
      <c r="G130" s="134">
        <v>0</v>
      </c>
      <c r="H130" s="135"/>
      <c r="I130" s="136">
        <f t="shared" si="11"/>
        <v>0</v>
      </c>
      <c r="J130" s="134"/>
      <c r="K130" s="135"/>
      <c r="L130" s="136">
        <f t="shared" si="12"/>
        <v>0</v>
      </c>
      <c r="M130" s="284"/>
      <c r="N130" s="285"/>
      <c r="O130" s="136">
        <f t="shared" si="13"/>
        <v>0</v>
      </c>
      <c r="P130" s="85"/>
      <c r="R130" s="53"/>
    </row>
    <row r="131" spans="1:18" hidden="1" x14ac:dyDescent="0.25">
      <c r="A131" s="656">
        <v>2280</v>
      </c>
      <c r="B131" s="116" t="s">
        <v>147</v>
      </c>
      <c r="C131" s="128">
        <f t="shared" si="9"/>
        <v>0</v>
      </c>
      <c r="D131" s="277">
        <f>SUM(D132)</f>
        <v>0</v>
      </c>
      <c r="E131" s="278">
        <f t="shared" ref="E131:N131" si="14">SUM(E132)</f>
        <v>0</v>
      </c>
      <c r="F131" s="263">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c r="R131" s="53"/>
    </row>
    <row r="132" spans="1:18" hidden="1" x14ac:dyDescent="0.25">
      <c r="A132" s="76">
        <v>2283</v>
      </c>
      <c r="B132" s="127" t="s">
        <v>148</v>
      </c>
      <c r="C132" s="128">
        <f t="shared" si="9"/>
        <v>0</v>
      </c>
      <c r="D132" s="134">
        <v>0</v>
      </c>
      <c r="E132" s="283"/>
      <c r="F132" s="286">
        <f t="shared" si="10"/>
        <v>0</v>
      </c>
      <c r="G132" s="134">
        <v>0</v>
      </c>
      <c r="H132" s="135"/>
      <c r="I132" s="136">
        <f t="shared" si="11"/>
        <v>0</v>
      </c>
      <c r="J132" s="134"/>
      <c r="K132" s="135"/>
      <c r="L132" s="136">
        <f t="shared" si="12"/>
        <v>0</v>
      </c>
      <c r="M132" s="284"/>
      <c r="N132" s="285"/>
      <c r="O132" s="136">
        <f t="shared" si="13"/>
        <v>0</v>
      </c>
      <c r="P132" s="85"/>
      <c r="R132" s="53"/>
    </row>
    <row r="133" spans="1:18" ht="24" x14ac:dyDescent="0.25">
      <c r="A133" s="99">
        <v>2300</v>
      </c>
      <c r="B133" s="247" t="s">
        <v>149</v>
      </c>
      <c r="C133" s="100">
        <f t="shared" si="9"/>
        <v>6060</v>
      </c>
      <c r="D133" s="360">
        <f>SUM(D134,D139,D143,D144,D147,D154,D162,D163,D166)</f>
        <v>6060</v>
      </c>
      <c r="E133" s="679">
        <f>SUM(E134,E139,E143,E144,E147,E154,E162,E163,E166)</f>
        <v>0</v>
      </c>
      <c r="F133" s="313">
        <f t="shared" si="10"/>
        <v>6060</v>
      </c>
      <c r="G133" s="112">
        <f>SUM(G134,G139,G143,G144,G147,G154,G162,G163,G166)</f>
        <v>0</v>
      </c>
      <c r="H133" s="113">
        <f>SUM(H134,H139,H143,H144,H147,H154,H162,H163,H166)</f>
        <v>0</v>
      </c>
      <c r="I133" s="114">
        <f t="shared" si="11"/>
        <v>0</v>
      </c>
      <c r="J133" s="112">
        <f>SUM(J134,J139,J143,J144,J147,J154,J162,J163,J166)</f>
        <v>0</v>
      </c>
      <c r="K133" s="113">
        <f>SUM(K134,K139,K143,K144,K147,K154,K162,K163,K166)</f>
        <v>0</v>
      </c>
      <c r="L133" s="114">
        <f t="shared" si="12"/>
        <v>0</v>
      </c>
      <c r="M133" s="292">
        <f>SUM(M134,M139,M143,M144,M147,M154,M162,M163,M166)</f>
        <v>0</v>
      </c>
      <c r="N133" s="293">
        <f>SUM(N134,N139,N143,N144,N147,N154,N162,N163,N166)</f>
        <v>0</v>
      </c>
      <c r="O133" s="114">
        <f t="shared" si="13"/>
        <v>0</v>
      </c>
      <c r="P133" s="109"/>
      <c r="R133" s="53"/>
    </row>
    <row r="134" spans="1:18" ht="24" x14ac:dyDescent="0.25">
      <c r="A134" s="656">
        <v>2310</v>
      </c>
      <c r="B134" s="116" t="s">
        <v>150</v>
      </c>
      <c r="C134" s="117">
        <f t="shared" si="9"/>
        <v>6060</v>
      </c>
      <c r="D134" s="308">
        <f>SUM(D135:D138)</f>
        <v>6060</v>
      </c>
      <c r="E134" s="678">
        <f>SUM(E135:E138)</f>
        <v>0</v>
      </c>
      <c r="F134" s="263">
        <f t="shared" si="10"/>
        <v>6060</v>
      </c>
      <c r="G134" s="297">
        <f>SUM(G135:G138)</f>
        <v>0</v>
      </c>
      <c r="H134" s="299">
        <f>SUM(H135:H138)</f>
        <v>0</v>
      </c>
      <c r="I134" s="125">
        <f t="shared" si="11"/>
        <v>0</v>
      </c>
      <c r="J134" s="297">
        <f>SUM(J135:J138)</f>
        <v>0</v>
      </c>
      <c r="K134" s="299">
        <f>SUM(K135:K138)</f>
        <v>0</v>
      </c>
      <c r="L134" s="125">
        <f t="shared" si="12"/>
        <v>0</v>
      </c>
      <c r="M134" s="300">
        <f>SUM(M135:M138)</f>
        <v>0</v>
      </c>
      <c r="N134" s="301">
        <f>SUM(N135:N138)</f>
        <v>0</v>
      </c>
      <c r="O134" s="125">
        <f t="shared" si="13"/>
        <v>0</v>
      </c>
      <c r="P134" s="74"/>
      <c r="R134" s="53"/>
    </row>
    <row r="135" spans="1:18" hidden="1" x14ac:dyDescent="0.25">
      <c r="A135" s="76">
        <v>2311</v>
      </c>
      <c r="B135" s="127" t="s">
        <v>151</v>
      </c>
      <c r="C135" s="128">
        <f t="shared" si="9"/>
        <v>0</v>
      </c>
      <c r="D135" s="134">
        <v>0</v>
      </c>
      <c r="E135" s="283"/>
      <c r="F135" s="286">
        <f t="shared" si="10"/>
        <v>0</v>
      </c>
      <c r="G135" s="134">
        <v>0</v>
      </c>
      <c r="H135" s="135"/>
      <c r="I135" s="136">
        <f t="shared" si="11"/>
        <v>0</v>
      </c>
      <c r="J135" s="134"/>
      <c r="K135" s="135"/>
      <c r="L135" s="136">
        <f t="shared" si="12"/>
        <v>0</v>
      </c>
      <c r="M135" s="284"/>
      <c r="N135" s="285"/>
      <c r="O135" s="136">
        <f t="shared" si="13"/>
        <v>0</v>
      </c>
      <c r="P135" s="85"/>
      <c r="R135" s="53"/>
    </row>
    <row r="136" spans="1:18" hidden="1" x14ac:dyDescent="0.25">
      <c r="A136" s="76">
        <v>2312</v>
      </c>
      <c r="B136" s="127" t="s">
        <v>152</v>
      </c>
      <c r="C136" s="128">
        <f t="shared" si="9"/>
        <v>0</v>
      </c>
      <c r="D136" s="134">
        <v>0</v>
      </c>
      <c r="E136" s="283"/>
      <c r="F136" s="286">
        <f t="shared" si="10"/>
        <v>0</v>
      </c>
      <c r="G136" s="134"/>
      <c r="H136" s="135"/>
      <c r="I136" s="136">
        <f t="shared" si="11"/>
        <v>0</v>
      </c>
      <c r="J136" s="134"/>
      <c r="K136" s="135"/>
      <c r="L136" s="136">
        <f t="shared" si="12"/>
        <v>0</v>
      </c>
      <c r="M136" s="284"/>
      <c r="N136" s="285"/>
      <c r="O136" s="136">
        <f t="shared" si="13"/>
        <v>0</v>
      </c>
      <c r="P136" s="85"/>
      <c r="R136" s="53"/>
    </row>
    <row r="137" spans="1:18" hidden="1" x14ac:dyDescent="0.25">
      <c r="A137" s="76">
        <v>2313</v>
      </c>
      <c r="B137" s="127" t="s">
        <v>153</v>
      </c>
      <c r="C137" s="128">
        <f t="shared" si="9"/>
        <v>0</v>
      </c>
      <c r="D137" s="134">
        <v>0</v>
      </c>
      <c r="E137" s="283"/>
      <c r="F137" s="286">
        <f t="shared" si="10"/>
        <v>0</v>
      </c>
      <c r="G137" s="134">
        <v>0</v>
      </c>
      <c r="H137" s="135"/>
      <c r="I137" s="136">
        <f t="shared" si="11"/>
        <v>0</v>
      </c>
      <c r="J137" s="134"/>
      <c r="K137" s="135"/>
      <c r="L137" s="136">
        <f t="shared" si="12"/>
        <v>0</v>
      </c>
      <c r="M137" s="284"/>
      <c r="N137" s="285"/>
      <c r="O137" s="136">
        <f t="shared" si="13"/>
        <v>0</v>
      </c>
      <c r="P137" s="85"/>
      <c r="R137" s="53"/>
    </row>
    <row r="138" spans="1:18" ht="24" x14ac:dyDescent="0.25">
      <c r="A138" s="76">
        <v>2314</v>
      </c>
      <c r="B138" s="127" t="s">
        <v>154</v>
      </c>
      <c r="C138" s="128">
        <f t="shared" si="9"/>
        <v>6060</v>
      </c>
      <c r="D138" s="134">
        <f>7000-940</f>
        <v>6060</v>
      </c>
      <c r="E138" s="283"/>
      <c r="F138" s="286">
        <f t="shared" si="10"/>
        <v>6060</v>
      </c>
      <c r="G138" s="134">
        <v>0</v>
      </c>
      <c r="H138" s="135"/>
      <c r="I138" s="136">
        <f t="shared" si="11"/>
        <v>0</v>
      </c>
      <c r="J138" s="134"/>
      <c r="K138" s="135"/>
      <c r="L138" s="136">
        <f t="shared" si="12"/>
        <v>0</v>
      </c>
      <c r="M138" s="284"/>
      <c r="N138" s="285"/>
      <c r="O138" s="136">
        <f t="shared" si="13"/>
        <v>0</v>
      </c>
      <c r="P138" s="85"/>
      <c r="R138" s="53"/>
    </row>
    <row r="139" spans="1:18" hidden="1" x14ac:dyDescent="0.25">
      <c r="A139" s="276">
        <v>2320</v>
      </c>
      <c r="B139" s="127" t="s">
        <v>155</v>
      </c>
      <c r="C139" s="128">
        <f t="shared" si="9"/>
        <v>0</v>
      </c>
      <c r="D139" s="277">
        <f>SUM(D140:D142)</f>
        <v>0</v>
      </c>
      <c r="E139" s="278">
        <f>SUM(E140:E142)</f>
        <v>0</v>
      </c>
      <c r="F139" s="286">
        <f t="shared" si="10"/>
        <v>0</v>
      </c>
      <c r="G139" s="277">
        <f>SUM(G140:G142)</f>
        <v>0</v>
      </c>
      <c r="H139" s="280">
        <f>SUM(H140:H142)</f>
        <v>0</v>
      </c>
      <c r="I139" s="136">
        <f t="shared" si="11"/>
        <v>0</v>
      </c>
      <c r="J139" s="277">
        <f>SUM(J140:J142)</f>
        <v>0</v>
      </c>
      <c r="K139" s="280">
        <f>SUM(K140:K142)</f>
        <v>0</v>
      </c>
      <c r="L139" s="136">
        <f t="shared" si="12"/>
        <v>0</v>
      </c>
      <c r="M139" s="281">
        <f>SUM(M140:M142)</f>
        <v>0</v>
      </c>
      <c r="N139" s="282">
        <f>SUM(N140:N142)</f>
        <v>0</v>
      </c>
      <c r="O139" s="136">
        <f t="shared" si="13"/>
        <v>0</v>
      </c>
      <c r="P139" s="85"/>
      <c r="R139" s="53"/>
    </row>
    <row r="140" spans="1:18" hidden="1" x14ac:dyDescent="0.25">
      <c r="A140" s="76">
        <v>2321</v>
      </c>
      <c r="B140" s="127" t="s">
        <v>156</v>
      </c>
      <c r="C140" s="128">
        <f t="shared" si="9"/>
        <v>0</v>
      </c>
      <c r="D140" s="134">
        <v>0</v>
      </c>
      <c r="E140" s="283"/>
      <c r="F140" s="286">
        <f t="shared" si="10"/>
        <v>0</v>
      </c>
      <c r="G140" s="134">
        <v>0</v>
      </c>
      <c r="H140" s="135"/>
      <c r="I140" s="136">
        <f t="shared" si="11"/>
        <v>0</v>
      </c>
      <c r="J140" s="134"/>
      <c r="K140" s="135"/>
      <c r="L140" s="136">
        <f t="shared" si="12"/>
        <v>0</v>
      </c>
      <c r="M140" s="284"/>
      <c r="N140" s="285"/>
      <c r="O140" s="136">
        <f t="shared" si="13"/>
        <v>0</v>
      </c>
      <c r="P140" s="85"/>
      <c r="R140" s="53"/>
    </row>
    <row r="141" spans="1:18" hidden="1" x14ac:dyDescent="0.25">
      <c r="A141" s="76">
        <v>2322</v>
      </c>
      <c r="B141" s="127" t="s">
        <v>157</v>
      </c>
      <c r="C141" s="128">
        <f t="shared" si="9"/>
        <v>0</v>
      </c>
      <c r="D141" s="134">
        <v>0</v>
      </c>
      <c r="E141" s="283"/>
      <c r="F141" s="286">
        <f t="shared" si="10"/>
        <v>0</v>
      </c>
      <c r="G141" s="134">
        <v>0</v>
      </c>
      <c r="H141" s="135"/>
      <c r="I141" s="136">
        <f t="shared" si="11"/>
        <v>0</v>
      </c>
      <c r="J141" s="134"/>
      <c r="K141" s="135"/>
      <c r="L141" s="136">
        <f t="shared" si="12"/>
        <v>0</v>
      </c>
      <c r="M141" s="284"/>
      <c r="N141" s="285"/>
      <c r="O141" s="136">
        <f t="shared" si="13"/>
        <v>0</v>
      </c>
      <c r="P141" s="85"/>
      <c r="R141" s="53"/>
    </row>
    <row r="142" spans="1:18" hidden="1" x14ac:dyDescent="0.25">
      <c r="A142" s="76">
        <v>2329</v>
      </c>
      <c r="B142" s="127" t="s">
        <v>158</v>
      </c>
      <c r="C142" s="128">
        <f t="shared" si="9"/>
        <v>0</v>
      </c>
      <c r="D142" s="134">
        <v>0</v>
      </c>
      <c r="E142" s="283"/>
      <c r="F142" s="286">
        <f t="shared" si="10"/>
        <v>0</v>
      </c>
      <c r="G142" s="134">
        <v>0</v>
      </c>
      <c r="H142" s="135"/>
      <c r="I142" s="136">
        <f t="shared" si="11"/>
        <v>0</v>
      </c>
      <c r="J142" s="134"/>
      <c r="K142" s="135"/>
      <c r="L142" s="136">
        <f t="shared" si="12"/>
        <v>0</v>
      </c>
      <c r="M142" s="284"/>
      <c r="N142" s="285"/>
      <c r="O142" s="136">
        <f t="shared" si="13"/>
        <v>0</v>
      </c>
      <c r="P142" s="85"/>
      <c r="R142" s="53"/>
    </row>
    <row r="143" spans="1:18" hidden="1" x14ac:dyDescent="0.25">
      <c r="A143" s="276">
        <v>2330</v>
      </c>
      <c r="B143" s="127" t="s">
        <v>159</v>
      </c>
      <c r="C143" s="128">
        <f t="shared" si="9"/>
        <v>0</v>
      </c>
      <c r="D143" s="134">
        <v>0</v>
      </c>
      <c r="E143" s="283"/>
      <c r="F143" s="286">
        <f t="shared" si="10"/>
        <v>0</v>
      </c>
      <c r="G143" s="134">
        <v>0</v>
      </c>
      <c r="H143" s="135"/>
      <c r="I143" s="136">
        <f t="shared" si="11"/>
        <v>0</v>
      </c>
      <c r="J143" s="134"/>
      <c r="K143" s="135"/>
      <c r="L143" s="136">
        <f t="shared" si="12"/>
        <v>0</v>
      </c>
      <c r="M143" s="284"/>
      <c r="N143" s="285"/>
      <c r="O143" s="136">
        <f t="shared" si="13"/>
        <v>0</v>
      </c>
      <c r="P143" s="85"/>
      <c r="R143" s="53"/>
    </row>
    <row r="144" spans="1:18" ht="36" hidden="1" x14ac:dyDescent="0.25">
      <c r="A144" s="276">
        <v>2340</v>
      </c>
      <c r="B144" s="127" t="s">
        <v>160</v>
      </c>
      <c r="C144" s="128">
        <f t="shared" si="9"/>
        <v>0</v>
      </c>
      <c r="D144" s="277">
        <f>SUM(D145:D146)</f>
        <v>0</v>
      </c>
      <c r="E144" s="278">
        <f>SUM(E145:E146)</f>
        <v>0</v>
      </c>
      <c r="F144" s="286">
        <f t="shared" si="10"/>
        <v>0</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c r="R144" s="53"/>
    </row>
    <row r="145" spans="1:18" hidden="1" x14ac:dyDescent="0.25">
      <c r="A145" s="76">
        <v>2341</v>
      </c>
      <c r="B145" s="127" t="s">
        <v>161</v>
      </c>
      <c r="C145" s="128">
        <f t="shared" si="9"/>
        <v>0</v>
      </c>
      <c r="D145" s="134">
        <v>0</v>
      </c>
      <c r="E145" s="283"/>
      <c r="F145" s="286">
        <f t="shared" si="10"/>
        <v>0</v>
      </c>
      <c r="G145" s="134">
        <v>0</v>
      </c>
      <c r="H145" s="135"/>
      <c r="I145" s="136">
        <f t="shared" si="11"/>
        <v>0</v>
      </c>
      <c r="J145" s="134"/>
      <c r="K145" s="135"/>
      <c r="L145" s="136">
        <f t="shared" si="12"/>
        <v>0</v>
      </c>
      <c r="M145" s="284"/>
      <c r="N145" s="285"/>
      <c r="O145" s="136">
        <f t="shared" si="13"/>
        <v>0</v>
      </c>
      <c r="P145" s="85"/>
      <c r="R145" s="53"/>
    </row>
    <row r="146" spans="1:18" ht="24" hidden="1" x14ac:dyDescent="0.25">
      <c r="A146" s="76">
        <v>2344</v>
      </c>
      <c r="B146" s="127" t="s">
        <v>162</v>
      </c>
      <c r="C146" s="128">
        <f t="shared" si="9"/>
        <v>0</v>
      </c>
      <c r="D146" s="134">
        <v>0</v>
      </c>
      <c r="E146" s="283"/>
      <c r="F146" s="286">
        <f t="shared" si="10"/>
        <v>0</v>
      </c>
      <c r="G146" s="134">
        <v>0</v>
      </c>
      <c r="H146" s="135"/>
      <c r="I146" s="136">
        <f t="shared" si="11"/>
        <v>0</v>
      </c>
      <c r="J146" s="134"/>
      <c r="K146" s="135"/>
      <c r="L146" s="136">
        <f t="shared" si="12"/>
        <v>0</v>
      </c>
      <c r="M146" s="284"/>
      <c r="N146" s="285"/>
      <c r="O146" s="136">
        <f t="shared" si="13"/>
        <v>0</v>
      </c>
      <c r="P146" s="85"/>
      <c r="R146" s="53"/>
    </row>
    <row r="147" spans="1:18" hidden="1" x14ac:dyDescent="0.25">
      <c r="A147" s="254">
        <v>2350</v>
      </c>
      <c r="B147" s="179" t="s">
        <v>163</v>
      </c>
      <c r="C147" s="128">
        <f t="shared" si="9"/>
        <v>0</v>
      </c>
      <c r="D147" s="277">
        <f>SUM(D148:D153)</f>
        <v>0</v>
      </c>
      <c r="E147" s="278">
        <f>SUM(E148:E153)</f>
        <v>0</v>
      </c>
      <c r="F147" s="310">
        <f t="shared" si="10"/>
        <v>0</v>
      </c>
      <c r="G147" s="255">
        <f>SUM(G148:G153)</f>
        <v>0</v>
      </c>
      <c r="H147" s="258">
        <f>SUM(H148:H153)</f>
        <v>0</v>
      </c>
      <c r="I147" s="259">
        <f t="shared" si="11"/>
        <v>0</v>
      </c>
      <c r="J147" s="255">
        <f>SUM(J148:J153)</f>
        <v>0</v>
      </c>
      <c r="K147" s="258">
        <f>SUM(K148:K153)</f>
        <v>0</v>
      </c>
      <c r="L147" s="259">
        <f t="shared" si="12"/>
        <v>0</v>
      </c>
      <c r="M147" s="260">
        <f>SUM(M148:M153)</f>
        <v>0</v>
      </c>
      <c r="N147" s="261">
        <f>SUM(N148:N153)</f>
        <v>0</v>
      </c>
      <c r="O147" s="259">
        <f t="shared" si="13"/>
        <v>0</v>
      </c>
      <c r="P147" s="189"/>
      <c r="R147" s="53"/>
    </row>
    <row r="148" spans="1:18" hidden="1" x14ac:dyDescent="0.25">
      <c r="A148" s="66">
        <v>2351</v>
      </c>
      <c r="B148" s="116" t="s">
        <v>164</v>
      </c>
      <c r="C148" s="128">
        <f t="shared" si="9"/>
        <v>0</v>
      </c>
      <c r="D148" s="134">
        <v>0</v>
      </c>
      <c r="E148" s="283"/>
      <c r="F148" s="263">
        <f t="shared" si="10"/>
        <v>0</v>
      </c>
      <c r="G148" s="123">
        <v>0</v>
      </c>
      <c r="H148" s="124"/>
      <c r="I148" s="125">
        <f t="shared" si="11"/>
        <v>0</v>
      </c>
      <c r="J148" s="123"/>
      <c r="K148" s="124"/>
      <c r="L148" s="125">
        <f t="shared" si="12"/>
        <v>0</v>
      </c>
      <c r="M148" s="264"/>
      <c r="N148" s="262"/>
      <c r="O148" s="125">
        <f t="shared" si="13"/>
        <v>0</v>
      </c>
      <c r="P148" s="74"/>
      <c r="R148" s="53"/>
    </row>
    <row r="149" spans="1:18" hidden="1" x14ac:dyDescent="0.25">
      <c r="A149" s="76">
        <v>2352</v>
      </c>
      <c r="B149" s="127" t="s">
        <v>165</v>
      </c>
      <c r="C149" s="128">
        <f t="shared" si="9"/>
        <v>0</v>
      </c>
      <c r="D149" s="134">
        <v>0</v>
      </c>
      <c r="E149" s="283"/>
      <c r="F149" s="286">
        <f t="shared" si="10"/>
        <v>0</v>
      </c>
      <c r="G149" s="134">
        <v>0</v>
      </c>
      <c r="H149" s="135"/>
      <c r="I149" s="136">
        <f t="shared" si="11"/>
        <v>0</v>
      </c>
      <c r="J149" s="134"/>
      <c r="K149" s="135"/>
      <c r="L149" s="136">
        <f t="shared" si="12"/>
        <v>0</v>
      </c>
      <c r="M149" s="284"/>
      <c r="N149" s="285"/>
      <c r="O149" s="136">
        <f t="shared" si="13"/>
        <v>0</v>
      </c>
      <c r="P149" s="85"/>
      <c r="R149" s="53"/>
    </row>
    <row r="150" spans="1:18" hidden="1" x14ac:dyDescent="0.25">
      <c r="A150" s="76">
        <v>2353</v>
      </c>
      <c r="B150" s="127" t="s">
        <v>166</v>
      </c>
      <c r="C150" s="128">
        <f t="shared" si="9"/>
        <v>0</v>
      </c>
      <c r="D150" s="134">
        <v>0</v>
      </c>
      <c r="E150" s="283"/>
      <c r="F150" s="286">
        <f t="shared" si="10"/>
        <v>0</v>
      </c>
      <c r="G150" s="134">
        <v>0</v>
      </c>
      <c r="H150" s="135"/>
      <c r="I150" s="136">
        <f t="shared" si="11"/>
        <v>0</v>
      </c>
      <c r="J150" s="134"/>
      <c r="K150" s="135"/>
      <c r="L150" s="136">
        <f t="shared" si="12"/>
        <v>0</v>
      </c>
      <c r="M150" s="284"/>
      <c r="N150" s="285"/>
      <c r="O150" s="136">
        <f t="shared" si="13"/>
        <v>0</v>
      </c>
      <c r="P150" s="85"/>
      <c r="R150" s="53"/>
    </row>
    <row r="151" spans="1:18" hidden="1" x14ac:dyDescent="0.25">
      <c r="A151" s="76">
        <v>2354</v>
      </c>
      <c r="B151" s="127" t="s">
        <v>167</v>
      </c>
      <c r="C151" s="128">
        <f t="shared" si="9"/>
        <v>0</v>
      </c>
      <c r="D151" s="134">
        <v>0</v>
      </c>
      <c r="E151" s="283"/>
      <c r="F151" s="286">
        <f t="shared" si="10"/>
        <v>0</v>
      </c>
      <c r="G151" s="134">
        <v>0</v>
      </c>
      <c r="H151" s="135"/>
      <c r="I151" s="136">
        <f t="shared" si="11"/>
        <v>0</v>
      </c>
      <c r="J151" s="134"/>
      <c r="K151" s="135"/>
      <c r="L151" s="136">
        <f t="shared" si="12"/>
        <v>0</v>
      </c>
      <c r="M151" s="284"/>
      <c r="N151" s="285"/>
      <c r="O151" s="136">
        <f t="shared" si="13"/>
        <v>0</v>
      </c>
      <c r="P151" s="85"/>
      <c r="R151" s="53"/>
    </row>
    <row r="152" spans="1:18" hidden="1" x14ac:dyDescent="0.25">
      <c r="A152" s="76">
        <v>2355</v>
      </c>
      <c r="B152" s="127" t="s">
        <v>168</v>
      </c>
      <c r="C152" s="128">
        <f t="shared" si="9"/>
        <v>0</v>
      </c>
      <c r="D152" s="134">
        <v>0</v>
      </c>
      <c r="E152" s="283"/>
      <c r="F152" s="286">
        <f t="shared" si="10"/>
        <v>0</v>
      </c>
      <c r="G152" s="134">
        <v>0</v>
      </c>
      <c r="H152" s="135"/>
      <c r="I152" s="136">
        <f t="shared" si="11"/>
        <v>0</v>
      </c>
      <c r="J152" s="134"/>
      <c r="K152" s="135"/>
      <c r="L152" s="136">
        <f t="shared" si="12"/>
        <v>0</v>
      </c>
      <c r="M152" s="284"/>
      <c r="N152" s="285"/>
      <c r="O152" s="136">
        <f t="shared" si="13"/>
        <v>0</v>
      </c>
      <c r="P152" s="85"/>
      <c r="R152" s="53"/>
    </row>
    <row r="153" spans="1:18" hidden="1" x14ac:dyDescent="0.25">
      <c r="A153" s="76">
        <v>2359</v>
      </c>
      <c r="B153" s="127" t="s">
        <v>169</v>
      </c>
      <c r="C153" s="128">
        <f t="shared" si="9"/>
        <v>0</v>
      </c>
      <c r="D153" s="134">
        <v>0</v>
      </c>
      <c r="E153" s="283"/>
      <c r="F153" s="286">
        <f t="shared" si="10"/>
        <v>0</v>
      </c>
      <c r="G153" s="134">
        <v>0</v>
      </c>
      <c r="H153" s="135"/>
      <c r="I153" s="136">
        <f t="shared" si="11"/>
        <v>0</v>
      </c>
      <c r="J153" s="134"/>
      <c r="K153" s="135"/>
      <c r="L153" s="136">
        <f t="shared" si="12"/>
        <v>0</v>
      </c>
      <c r="M153" s="284"/>
      <c r="N153" s="285"/>
      <c r="O153" s="136">
        <f t="shared" si="13"/>
        <v>0</v>
      </c>
      <c r="P153" s="85"/>
      <c r="R153" s="53"/>
    </row>
    <row r="154" spans="1:18" ht="24" hidden="1" x14ac:dyDescent="0.25">
      <c r="A154" s="276">
        <v>2360</v>
      </c>
      <c r="B154" s="127" t="s">
        <v>170</v>
      </c>
      <c r="C154" s="128">
        <f t="shared" si="9"/>
        <v>0</v>
      </c>
      <c r="D154" s="277">
        <f>SUM(D155:D161)</f>
        <v>0</v>
      </c>
      <c r="E154" s="278">
        <f>SUM(E155:E161)</f>
        <v>0</v>
      </c>
      <c r="F154" s="286">
        <f t="shared" si="10"/>
        <v>0</v>
      </c>
      <c r="G154" s="277">
        <f>SUM(G155:G161)</f>
        <v>0</v>
      </c>
      <c r="H154" s="280">
        <f>SUM(H155:H161)</f>
        <v>0</v>
      </c>
      <c r="I154" s="136">
        <f t="shared" si="11"/>
        <v>0</v>
      </c>
      <c r="J154" s="277">
        <f>SUM(J155:J161)</f>
        <v>0</v>
      </c>
      <c r="K154" s="280">
        <f>SUM(K155:K161)</f>
        <v>0</v>
      </c>
      <c r="L154" s="136">
        <f t="shared" si="12"/>
        <v>0</v>
      </c>
      <c r="M154" s="281">
        <f>SUM(M155:M161)</f>
        <v>0</v>
      </c>
      <c r="N154" s="282">
        <f>SUM(N155:N161)</f>
        <v>0</v>
      </c>
      <c r="O154" s="136">
        <f t="shared" si="13"/>
        <v>0</v>
      </c>
      <c r="P154" s="85"/>
      <c r="R154" s="53"/>
    </row>
    <row r="155" spans="1:18" hidden="1" x14ac:dyDescent="0.25">
      <c r="A155" s="75">
        <v>2361</v>
      </c>
      <c r="B155" s="127" t="s">
        <v>171</v>
      </c>
      <c r="C155" s="128">
        <f t="shared" si="9"/>
        <v>0</v>
      </c>
      <c r="D155" s="134">
        <v>0</v>
      </c>
      <c r="E155" s="283"/>
      <c r="F155" s="286">
        <f t="shared" si="10"/>
        <v>0</v>
      </c>
      <c r="G155" s="134">
        <v>0</v>
      </c>
      <c r="H155" s="135"/>
      <c r="I155" s="136">
        <f t="shared" si="11"/>
        <v>0</v>
      </c>
      <c r="J155" s="134"/>
      <c r="K155" s="135"/>
      <c r="L155" s="136">
        <f t="shared" si="12"/>
        <v>0</v>
      </c>
      <c r="M155" s="284"/>
      <c r="N155" s="285"/>
      <c r="O155" s="136">
        <f t="shared" si="13"/>
        <v>0</v>
      </c>
      <c r="P155" s="85"/>
      <c r="R155" s="53"/>
    </row>
    <row r="156" spans="1:18" hidden="1" x14ac:dyDescent="0.25">
      <c r="A156" s="75">
        <v>2362</v>
      </c>
      <c r="B156" s="127" t="s">
        <v>172</v>
      </c>
      <c r="C156" s="128">
        <f t="shared" si="9"/>
        <v>0</v>
      </c>
      <c r="D156" s="134">
        <v>0</v>
      </c>
      <c r="E156" s="283"/>
      <c r="F156" s="286">
        <f t="shared" si="10"/>
        <v>0</v>
      </c>
      <c r="G156" s="134">
        <v>0</v>
      </c>
      <c r="H156" s="135"/>
      <c r="I156" s="136">
        <f t="shared" si="11"/>
        <v>0</v>
      </c>
      <c r="J156" s="134"/>
      <c r="K156" s="135"/>
      <c r="L156" s="136">
        <f t="shared" si="12"/>
        <v>0</v>
      </c>
      <c r="M156" s="284"/>
      <c r="N156" s="285"/>
      <c r="O156" s="136">
        <f t="shared" si="13"/>
        <v>0</v>
      </c>
      <c r="P156" s="85"/>
      <c r="R156" s="53"/>
    </row>
    <row r="157" spans="1:18" hidden="1" x14ac:dyDescent="0.25">
      <c r="A157" s="75">
        <v>2363</v>
      </c>
      <c r="B157" s="127" t="s">
        <v>173</v>
      </c>
      <c r="C157" s="128">
        <f t="shared" si="9"/>
        <v>0</v>
      </c>
      <c r="D157" s="134">
        <v>0</v>
      </c>
      <c r="E157" s="283"/>
      <c r="F157" s="286">
        <f t="shared" si="10"/>
        <v>0</v>
      </c>
      <c r="G157" s="134">
        <v>0</v>
      </c>
      <c r="H157" s="135"/>
      <c r="I157" s="136">
        <f t="shared" si="11"/>
        <v>0</v>
      </c>
      <c r="J157" s="134"/>
      <c r="K157" s="135"/>
      <c r="L157" s="136">
        <f t="shared" si="12"/>
        <v>0</v>
      </c>
      <c r="M157" s="284"/>
      <c r="N157" s="285"/>
      <c r="O157" s="136">
        <f t="shared" si="13"/>
        <v>0</v>
      </c>
      <c r="P157" s="85"/>
      <c r="R157" s="53"/>
    </row>
    <row r="158" spans="1:18" hidden="1" x14ac:dyDescent="0.25">
      <c r="A158" s="75">
        <v>2364</v>
      </c>
      <c r="B158" s="127" t="s">
        <v>174</v>
      </c>
      <c r="C158" s="128">
        <f t="shared" si="9"/>
        <v>0</v>
      </c>
      <c r="D158" s="134">
        <v>0</v>
      </c>
      <c r="E158" s="283"/>
      <c r="F158" s="286">
        <f t="shared" si="10"/>
        <v>0</v>
      </c>
      <c r="G158" s="134">
        <v>0</v>
      </c>
      <c r="H158" s="135"/>
      <c r="I158" s="136">
        <f t="shared" si="11"/>
        <v>0</v>
      </c>
      <c r="J158" s="134"/>
      <c r="K158" s="135"/>
      <c r="L158" s="136">
        <f t="shared" si="12"/>
        <v>0</v>
      </c>
      <c r="M158" s="284"/>
      <c r="N158" s="285"/>
      <c r="O158" s="136">
        <f t="shared" si="13"/>
        <v>0</v>
      </c>
      <c r="P158" s="85"/>
      <c r="R158" s="53"/>
    </row>
    <row r="159" spans="1:18" hidden="1" x14ac:dyDescent="0.25">
      <c r="A159" s="75">
        <v>2365</v>
      </c>
      <c r="B159" s="127" t="s">
        <v>175</v>
      </c>
      <c r="C159" s="128">
        <f t="shared" si="9"/>
        <v>0</v>
      </c>
      <c r="D159" s="134">
        <v>0</v>
      </c>
      <c r="E159" s="283"/>
      <c r="F159" s="286">
        <f t="shared" si="10"/>
        <v>0</v>
      </c>
      <c r="G159" s="134">
        <v>0</v>
      </c>
      <c r="H159" s="135"/>
      <c r="I159" s="136">
        <f t="shared" si="11"/>
        <v>0</v>
      </c>
      <c r="J159" s="134"/>
      <c r="K159" s="135"/>
      <c r="L159" s="136">
        <f t="shared" si="12"/>
        <v>0</v>
      </c>
      <c r="M159" s="284"/>
      <c r="N159" s="285"/>
      <c r="O159" s="136">
        <f t="shared" si="13"/>
        <v>0</v>
      </c>
      <c r="P159" s="85"/>
      <c r="R159" s="53"/>
    </row>
    <row r="160" spans="1:18" ht="24" hidden="1" x14ac:dyDescent="0.25">
      <c r="A160" s="75">
        <v>2366</v>
      </c>
      <c r="B160" s="127" t="s">
        <v>176</v>
      </c>
      <c r="C160" s="128">
        <f t="shared" si="9"/>
        <v>0</v>
      </c>
      <c r="D160" s="134">
        <v>0</v>
      </c>
      <c r="E160" s="283"/>
      <c r="F160" s="286">
        <f t="shared" si="10"/>
        <v>0</v>
      </c>
      <c r="G160" s="134">
        <v>0</v>
      </c>
      <c r="H160" s="135"/>
      <c r="I160" s="136">
        <f t="shared" si="11"/>
        <v>0</v>
      </c>
      <c r="J160" s="134"/>
      <c r="K160" s="135"/>
      <c r="L160" s="136">
        <f t="shared" si="12"/>
        <v>0</v>
      </c>
      <c r="M160" s="284"/>
      <c r="N160" s="285"/>
      <c r="O160" s="136">
        <f t="shared" si="13"/>
        <v>0</v>
      </c>
      <c r="P160" s="85"/>
      <c r="R160" s="53"/>
    </row>
    <row r="161" spans="1:18" ht="36" hidden="1" x14ac:dyDescent="0.25">
      <c r="A161" s="75">
        <v>2369</v>
      </c>
      <c r="B161" s="127" t="s">
        <v>177</v>
      </c>
      <c r="C161" s="128">
        <f t="shared" si="9"/>
        <v>0</v>
      </c>
      <c r="D161" s="134">
        <v>0</v>
      </c>
      <c r="E161" s="283"/>
      <c r="F161" s="286">
        <f t="shared" si="10"/>
        <v>0</v>
      </c>
      <c r="G161" s="134">
        <v>0</v>
      </c>
      <c r="H161" s="135"/>
      <c r="I161" s="136">
        <f t="shared" si="11"/>
        <v>0</v>
      </c>
      <c r="J161" s="134"/>
      <c r="K161" s="135"/>
      <c r="L161" s="136">
        <f t="shared" si="12"/>
        <v>0</v>
      </c>
      <c r="M161" s="284"/>
      <c r="N161" s="285"/>
      <c r="O161" s="136">
        <f t="shared" si="13"/>
        <v>0</v>
      </c>
      <c r="P161" s="85"/>
      <c r="R161" s="53"/>
    </row>
    <row r="162" spans="1:18" hidden="1" x14ac:dyDescent="0.25">
      <c r="A162" s="254">
        <v>2370</v>
      </c>
      <c r="B162" s="179" t="s">
        <v>178</v>
      </c>
      <c r="C162" s="128">
        <f t="shared" si="9"/>
        <v>0</v>
      </c>
      <c r="D162" s="134">
        <v>0</v>
      </c>
      <c r="E162" s="283"/>
      <c r="F162" s="310">
        <f t="shared" si="10"/>
        <v>0</v>
      </c>
      <c r="G162" s="287">
        <v>0</v>
      </c>
      <c r="H162" s="289"/>
      <c r="I162" s="259">
        <f t="shared" si="11"/>
        <v>0</v>
      </c>
      <c r="J162" s="287"/>
      <c r="K162" s="289"/>
      <c r="L162" s="259">
        <f t="shared" si="12"/>
        <v>0</v>
      </c>
      <c r="M162" s="290"/>
      <c r="N162" s="291"/>
      <c r="O162" s="259">
        <f t="shared" si="13"/>
        <v>0</v>
      </c>
      <c r="P162" s="189"/>
      <c r="R162" s="53"/>
    </row>
    <row r="163" spans="1:18" hidden="1" x14ac:dyDescent="0.25">
      <c r="A163" s="254">
        <v>2380</v>
      </c>
      <c r="B163" s="179" t="s">
        <v>179</v>
      </c>
      <c r="C163" s="128">
        <f t="shared" si="9"/>
        <v>0</v>
      </c>
      <c r="D163" s="277">
        <f>SUM(D164:D165)</f>
        <v>0</v>
      </c>
      <c r="E163" s="278">
        <f>SUM(E164:E165)</f>
        <v>0</v>
      </c>
      <c r="F163" s="310">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c r="R163" s="53"/>
    </row>
    <row r="164" spans="1:18" hidden="1" x14ac:dyDescent="0.25">
      <c r="A164" s="65">
        <v>2381</v>
      </c>
      <c r="B164" s="116" t="s">
        <v>180</v>
      </c>
      <c r="C164" s="128">
        <f t="shared" si="9"/>
        <v>0</v>
      </c>
      <c r="D164" s="134">
        <v>0</v>
      </c>
      <c r="E164" s="283"/>
      <c r="F164" s="263">
        <f t="shared" si="10"/>
        <v>0</v>
      </c>
      <c r="G164" s="123">
        <v>0</v>
      </c>
      <c r="H164" s="124"/>
      <c r="I164" s="125">
        <f t="shared" si="11"/>
        <v>0</v>
      </c>
      <c r="J164" s="123"/>
      <c r="K164" s="124"/>
      <c r="L164" s="125">
        <f t="shared" si="12"/>
        <v>0</v>
      </c>
      <c r="M164" s="264"/>
      <c r="N164" s="262"/>
      <c r="O164" s="125">
        <f t="shared" si="13"/>
        <v>0</v>
      </c>
      <c r="P164" s="74"/>
      <c r="R164" s="53"/>
    </row>
    <row r="165" spans="1:18" hidden="1" x14ac:dyDescent="0.25">
      <c r="A165" s="75">
        <v>2389</v>
      </c>
      <c r="B165" s="127" t="s">
        <v>181</v>
      </c>
      <c r="C165" s="128">
        <f t="shared" si="9"/>
        <v>0</v>
      </c>
      <c r="D165" s="134">
        <v>0</v>
      </c>
      <c r="E165" s="283"/>
      <c r="F165" s="286">
        <f t="shared" si="10"/>
        <v>0</v>
      </c>
      <c r="G165" s="134">
        <v>0</v>
      </c>
      <c r="H165" s="135"/>
      <c r="I165" s="136">
        <f t="shared" si="11"/>
        <v>0</v>
      </c>
      <c r="J165" s="134"/>
      <c r="K165" s="135"/>
      <c r="L165" s="136">
        <f t="shared" si="12"/>
        <v>0</v>
      </c>
      <c r="M165" s="284"/>
      <c r="N165" s="285"/>
      <c r="O165" s="136">
        <f t="shared" si="13"/>
        <v>0</v>
      </c>
      <c r="P165" s="85"/>
      <c r="R165" s="53"/>
    </row>
    <row r="166" spans="1:18" hidden="1" x14ac:dyDescent="0.25">
      <c r="A166" s="254">
        <v>2390</v>
      </c>
      <c r="B166" s="179" t="s">
        <v>182</v>
      </c>
      <c r="C166" s="128">
        <f t="shared" si="9"/>
        <v>0</v>
      </c>
      <c r="D166" s="134">
        <v>0</v>
      </c>
      <c r="E166" s="283"/>
      <c r="F166" s="310">
        <f t="shared" si="10"/>
        <v>0</v>
      </c>
      <c r="G166" s="287">
        <v>0</v>
      </c>
      <c r="H166" s="289"/>
      <c r="I166" s="259">
        <f t="shared" si="11"/>
        <v>0</v>
      </c>
      <c r="J166" s="287"/>
      <c r="K166" s="289"/>
      <c r="L166" s="259">
        <f t="shared" si="12"/>
        <v>0</v>
      </c>
      <c r="M166" s="290"/>
      <c r="N166" s="291"/>
      <c r="O166" s="259">
        <f t="shared" si="13"/>
        <v>0</v>
      </c>
      <c r="P166" s="189"/>
      <c r="R166" s="53"/>
    </row>
    <row r="167" spans="1:18" hidden="1" x14ac:dyDescent="0.25">
      <c r="A167" s="99">
        <v>2400</v>
      </c>
      <c r="B167" s="247" t="s">
        <v>183</v>
      </c>
      <c r="C167" s="100">
        <f t="shared" si="9"/>
        <v>0</v>
      </c>
      <c r="D167" s="645">
        <v>0</v>
      </c>
      <c r="E167" s="682"/>
      <c r="F167" s="313">
        <f t="shared" si="10"/>
        <v>0</v>
      </c>
      <c r="G167" s="311">
        <v>0</v>
      </c>
      <c r="H167" s="314"/>
      <c r="I167" s="114">
        <f t="shared" si="11"/>
        <v>0</v>
      </c>
      <c r="J167" s="311"/>
      <c r="K167" s="314"/>
      <c r="L167" s="114">
        <f t="shared" si="12"/>
        <v>0</v>
      </c>
      <c r="M167" s="315"/>
      <c r="N167" s="312"/>
      <c r="O167" s="114">
        <f t="shared" si="13"/>
        <v>0</v>
      </c>
      <c r="P167" s="109"/>
      <c r="R167" s="53"/>
    </row>
    <row r="168" spans="1:18" ht="24" hidden="1" x14ac:dyDescent="0.25">
      <c r="A168" s="99">
        <v>2500</v>
      </c>
      <c r="B168" s="247" t="s">
        <v>184</v>
      </c>
      <c r="C168" s="100">
        <f t="shared" si="9"/>
        <v>0</v>
      </c>
      <c r="D168" s="112">
        <f>SUM(D169,D174)</f>
        <v>0</v>
      </c>
      <c r="E168" s="248">
        <f>SUM(E169,E174)</f>
        <v>0</v>
      </c>
      <c r="F168" s="313">
        <f t="shared" si="10"/>
        <v>0</v>
      </c>
      <c r="G168" s="112">
        <f>SUM(G169,G174)</f>
        <v>0</v>
      </c>
      <c r="H168" s="113">
        <f t="shared" ref="H168" si="17">SUM(H169,H174)</f>
        <v>0</v>
      </c>
      <c r="I168" s="114">
        <f t="shared" si="11"/>
        <v>0</v>
      </c>
      <c r="J168" s="112">
        <f>SUM(J169,J174)</f>
        <v>0</v>
      </c>
      <c r="K168" s="113">
        <f t="shared" ref="K168" si="18">SUM(K169,K174)</f>
        <v>0</v>
      </c>
      <c r="L168" s="114">
        <f t="shared" si="12"/>
        <v>0</v>
      </c>
      <c r="M168" s="250">
        <f t="shared" ref="M168:N168" si="19">SUM(M169,M174)</f>
        <v>0</v>
      </c>
      <c r="N168" s="251">
        <f t="shared" si="19"/>
        <v>0</v>
      </c>
      <c r="O168" s="252">
        <f t="shared" si="13"/>
        <v>0</v>
      </c>
      <c r="P168" s="253"/>
      <c r="R168" s="53"/>
    </row>
    <row r="169" spans="1:18" hidden="1" x14ac:dyDescent="0.25">
      <c r="A169" s="656">
        <v>2510</v>
      </c>
      <c r="B169" s="116" t="s">
        <v>185</v>
      </c>
      <c r="C169" s="117">
        <f t="shared" si="9"/>
        <v>0</v>
      </c>
      <c r="D169" s="297">
        <f>SUM(D170:D173)</f>
        <v>0</v>
      </c>
      <c r="E169" s="298">
        <f>SUM(E170:E173)</f>
        <v>0</v>
      </c>
      <c r="F169" s="263">
        <f t="shared" si="10"/>
        <v>0</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c r="R169" s="53"/>
    </row>
    <row r="170" spans="1:18" ht="24" hidden="1" x14ac:dyDescent="0.25">
      <c r="A170" s="76">
        <v>2512</v>
      </c>
      <c r="B170" s="127" t="s">
        <v>186</v>
      </c>
      <c r="C170" s="128">
        <f t="shared" si="9"/>
        <v>0</v>
      </c>
      <c r="D170" s="134">
        <v>0</v>
      </c>
      <c r="E170" s="283"/>
      <c r="F170" s="286">
        <f t="shared" si="10"/>
        <v>0</v>
      </c>
      <c r="G170" s="134">
        <v>0</v>
      </c>
      <c r="H170" s="135"/>
      <c r="I170" s="136">
        <f t="shared" si="11"/>
        <v>0</v>
      </c>
      <c r="J170" s="134"/>
      <c r="K170" s="135"/>
      <c r="L170" s="136">
        <f t="shared" si="12"/>
        <v>0</v>
      </c>
      <c r="M170" s="284"/>
      <c r="N170" s="285"/>
      <c r="O170" s="136">
        <f t="shared" si="13"/>
        <v>0</v>
      </c>
      <c r="P170" s="85"/>
      <c r="R170" s="53"/>
    </row>
    <row r="171" spans="1:18" ht="24" hidden="1" x14ac:dyDescent="0.25">
      <c r="A171" s="76">
        <v>2513</v>
      </c>
      <c r="B171" s="127" t="s">
        <v>187</v>
      </c>
      <c r="C171" s="128">
        <f t="shared" si="9"/>
        <v>0</v>
      </c>
      <c r="D171" s="134">
        <v>0</v>
      </c>
      <c r="E171" s="283"/>
      <c r="F171" s="286">
        <f t="shared" si="10"/>
        <v>0</v>
      </c>
      <c r="G171" s="134">
        <v>0</v>
      </c>
      <c r="H171" s="135"/>
      <c r="I171" s="136">
        <f t="shared" si="11"/>
        <v>0</v>
      </c>
      <c r="J171" s="134"/>
      <c r="K171" s="135"/>
      <c r="L171" s="136">
        <f t="shared" si="12"/>
        <v>0</v>
      </c>
      <c r="M171" s="284"/>
      <c r="N171" s="285"/>
      <c r="O171" s="136">
        <f t="shared" si="13"/>
        <v>0</v>
      </c>
      <c r="P171" s="85"/>
      <c r="R171" s="53"/>
    </row>
    <row r="172" spans="1:18" hidden="1" x14ac:dyDescent="0.25">
      <c r="A172" s="76">
        <v>2515</v>
      </c>
      <c r="B172" s="127" t="s">
        <v>188</v>
      </c>
      <c r="C172" s="128">
        <f t="shared" si="9"/>
        <v>0</v>
      </c>
      <c r="D172" s="134">
        <v>0</v>
      </c>
      <c r="E172" s="283"/>
      <c r="F172" s="286">
        <f t="shared" si="10"/>
        <v>0</v>
      </c>
      <c r="G172" s="134">
        <v>0</v>
      </c>
      <c r="H172" s="135"/>
      <c r="I172" s="136">
        <f t="shared" si="11"/>
        <v>0</v>
      </c>
      <c r="J172" s="134"/>
      <c r="K172" s="135"/>
      <c r="L172" s="136">
        <f t="shared" si="12"/>
        <v>0</v>
      </c>
      <c r="M172" s="284"/>
      <c r="N172" s="285"/>
      <c r="O172" s="136">
        <f t="shared" si="13"/>
        <v>0</v>
      </c>
      <c r="P172" s="85"/>
      <c r="R172" s="53"/>
    </row>
    <row r="173" spans="1:18" ht="24" hidden="1" x14ac:dyDescent="0.25">
      <c r="A173" s="76">
        <v>2519</v>
      </c>
      <c r="B173" s="127" t="s">
        <v>189</v>
      </c>
      <c r="C173" s="128">
        <f t="shared" si="9"/>
        <v>0</v>
      </c>
      <c r="D173" s="134">
        <v>0</v>
      </c>
      <c r="E173" s="283"/>
      <c r="F173" s="286">
        <f t="shared" si="10"/>
        <v>0</v>
      </c>
      <c r="G173" s="134">
        <v>0</v>
      </c>
      <c r="H173" s="135"/>
      <c r="I173" s="136">
        <f t="shared" si="11"/>
        <v>0</v>
      </c>
      <c r="J173" s="134"/>
      <c r="K173" s="135"/>
      <c r="L173" s="136">
        <f t="shared" si="12"/>
        <v>0</v>
      </c>
      <c r="M173" s="284"/>
      <c r="N173" s="285"/>
      <c r="O173" s="136">
        <f t="shared" si="13"/>
        <v>0</v>
      </c>
      <c r="P173" s="85"/>
      <c r="R173" s="53"/>
    </row>
    <row r="174" spans="1:18" hidden="1" x14ac:dyDescent="0.25">
      <c r="A174" s="276">
        <v>2520</v>
      </c>
      <c r="B174" s="127" t="s">
        <v>190</v>
      </c>
      <c r="C174" s="128">
        <f t="shared" si="9"/>
        <v>0</v>
      </c>
      <c r="D174" s="134">
        <v>0</v>
      </c>
      <c r="E174" s="283"/>
      <c r="F174" s="286">
        <f t="shared" si="10"/>
        <v>0</v>
      </c>
      <c r="G174" s="134">
        <v>0</v>
      </c>
      <c r="H174" s="135"/>
      <c r="I174" s="136">
        <f t="shared" si="11"/>
        <v>0</v>
      </c>
      <c r="J174" s="134"/>
      <c r="K174" s="135"/>
      <c r="L174" s="136">
        <f t="shared" si="12"/>
        <v>0</v>
      </c>
      <c r="M174" s="284"/>
      <c r="N174" s="285"/>
      <c r="O174" s="136">
        <f t="shared" si="13"/>
        <v>0</v>
      </c>
      <c r="P174" s="85"/>
      <c r="R174" s="53"/>
    </row>
    <row r="175" spans="1:18" s="319" customFormat="1" ht="36" hidden="1" x14ac:dyDescent="0.25">
      <c r="A175" s="31">
        <v>2800</v>
      </c>
      <c r="B175" s="116" t="s">
        <v>191</v>
      </c>
      <c r="C175" s="117">
        <f t="shared" si="9"/>
        <v>0</v>
      </c>
      <c r="D175" s="68">
        <v>0</v>
      </c>
      <c r="E175" s="673"/>
      <c r="F175" s="70">
        <f t="shared" si="10"/>
        <v>0</v>
      </c>
      <c r="G175" s="68">
        <v>0</v>
      </c>
      <c r="H175" s="71"/>
      <c r="I175" s="72">
        <f t="shared" si="11"/>
        <v>0</v>
      </c>
      <c r="J175" s="68"/>
      <c r="K175" s="71"/>
      <c r="L175" s="72">
        <f t="shared" si="12"/>
        <v>0</v>
      </c>
      <c r="M175" s="73"/>
      <c r="N175" s="69"/>
      <c r="O175" s="72">
        <f t="shared" si="13"/>
        <v>0</v>
      </c>
      <c r="P175" s="74"/>
      <c r="R175" s="53"/>
    </row>
    <row r="176" spans="1:18" hidden="1" x14ac:dyDescent="0.25">
      <c r="A176" s="237">
        <v>3000</v>
      </c>
      <c r="B176" s="237" t="s">
        <v>192</v>
      </c>
      <c r="C176" s="238">
        <f t="shared" si="9"/>
        <v>0</v>
      </c>
      <c r="D176" s="239">
        <f>SUM(D177,D187)</f>
        <v>0</v>
      </c>
      <c r="E176" s="240">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c r="R176" s="53"/>
    </row>
    <row r="177" spans="1:18" ht="24" hidden="1" x14ac:dyDescent="0.25">
      <c r="A177" s="99">
        <v>3200</v>
      </c>
      <c r="B177" s="321" t="s">
        <v>193</v>
      </c>
      <c r="C177" s="100">
        <f t="shared" si="9"/>
        <v>0</v>
      </c>
      <c r="D177" s="112">
        <f>SUM(D178,D182)</f>
        <v>0</v>
      </c>
      <c r="E177" s="248">
        <f>SUM(E178,E182)</f>
        <v>0</v>
      </c>
      <c r="F177" s="313">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c r="R177" s="53"/>
    </row>
    <row r="178" spans="1:18" ht="36" hidden="1" x14ac:dyDescent="0.25">
      <c r="A178" s="656">
        <v>3260</v>
      </c>
      <c r="B178" s="116" t="s">
        <v>194</v>
      </c>
      <c r="C178" s="117">
        <f t="shared" si="9"/>
        <v>0</v>
      </c>
      <c r="D178" s="297">
        <f>SUM(D179:D181)</f>
        <v>0</v>
      </c>
      <c r="E178" s="298">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c r="R178" s="53"/>
    </row>
    <row r="179" spans="1:18" ht="24" hidden="1" x14ac:dyDescent="0.25">
      <c r="A179" s="76">
        <v>3261</v>
      </c>
      <c r="B179" s="127" t="s">
        <v>195</v>
      </c>
      <c r="C179" s="128">
        <f t="shared" si="9"/>
        <v>0</v>
      </c>
      <c r="D179" s="134">
        <v>0</v>
      </c>
      <c r="E179" s="283"/>
      <c r="F179" s="286">
        <f t="shared" si="10"/>
        <v>0</v>
      </c>
      <c r="G179" s="134">
        <v>0</v>
      </c>
      <c r="H179" s="135"/>
      <c r="I179" s="136">
        <f t="shared" si="11"/>
        <v>0</v>
      </c>
      <c r="J179" s="134"/>
      <c r="K179" s="135"/>
      <c r="L179" s="136">
        <f t="shared" si="12"/>
        <v>0</v>
      </c>
      <c r="M179" s="284"/>
      <c r="N179" s="285"/>
      <c r="O179" s="136">
        <f t="shared" si="13"/>
        <v>0</v>
      </c>
      <c r="P179" s="85"/>
      <c r="R179" s="53"/>
    </row>
    <row r="180" spans="1:18" ht="36" hidden="1" x14ac:dyDescent="0.25">
      <c r="A180" s="76">
        <v>3262</v>
      </c>
      <c r="B180" s="127" t="s">
        <v>196</v>
      </c>
      <c r="C180" s="128">
        <f t="shared" si="9"/>
        <v>0</v>
      </c>
      <c r="D180" s="134">
        <v>0</v>
      </c>
      <c r="E180" s="283"/>
      <c r="F180" s="286">
        <f t="shared" si="10"/>
        <v>0</v>
      </c>
      <c r="G180" s="134">
        <v>0</v>
      </c>
      <c r="H180" s="135"/>
      <c r="I180" s="136">
        <f t="shared" si="11"/>
        <v>0</v>
      </c>
      <c r="J180" s="134"/>
      <c r="K180" s="135"/>
      <c r="L180" s="136">
        <f t="shared" si="12"/>
        <v>0</v>
      </c>
      <c r="M180" s="284"/>
      <c r="N180" s="285"/>
      <c r="O180" s="136">
        <f t="shared" si="13"/>
        <v>0</v>
      </c>
      <c r="P180" s="85"/>
      <c r="R180" s="53"/>
    </row>
    <row r="181" spans="1:18" ht="24" hidden="1" x14ac:dyDescent="0.25">
      <c r="A181" s="76">
        <v>3263</v>
      </c>
      <c r="B181" s="127" t="s">
        <v>197</v>
      </c>
      <c r="C181" s="128">
        <f t="shared" si="9"/>
        <v>0</v>
      </c>
      <c r="D181" s="134">
        <v>0</v>
      </c>
      <c r="E181" s="283"/>
      <c r="F181" s="286">
        <f t="shared" si="10"/>
        <v>0</v>
      </c>
      <c r="G181" s="134">
        <v>0</v>
      </c>
      <c r="H181" s="135"/>
      <c r="I181" s="136">
        <f t="shared" si="11"/>
        <v>0</v>
      </c>
      <c r="J181" s="134"/>
      <c r="K181" s="135"/>
      <c r="L181" s="136">
        <f t="shared" si="12"/>
        <v>0</v>
      </c>
      <c r="M181" s="284"/>
      <c r="N181" s="285"/>
      <c r="O181" s="136">
        <f t="shared" si="13"/>
        <v>0</v>
      </c>
      <c r="P181" s="85"/>
      <c r="R181" s="53"/>
    </row>
    <row r="182" spans="1:18" ht="60" hidden="1" x14ac:dyDescent="0.25">
      <c r="A182" s="656">
        <v>3290</v>
      </c>
      <c r="B182" s="116" t="s">
        <v>198</v>
      </c>
      <c r="C182" s="128">
        <f t="shared" ref="C182:C258" si="26">F182+I182+L182+O182</f>
        <v>0</v>
      </c>
      <c r="D182" s="297">
        <f>SUM(D183:D186)</f>
        <v>0</v>
      </c>
      <c r="E182" s="298">
        <f>SUM(E183:E186)</f>
        <v>0</v>
      </c>
      <c r="F182" s="263">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c r="R182" s="53"/>
    </row>
    <row r="183" spans="1:18" ht="48" hidden="1" x14ac:dyDescent="0.25">
      <c r="A183" s="76">
        <v>3291</v>
      </c>
      <c r="B183" s="127" t="s">
        <v>199</v>
      </c>
      <c r="C183" s="128">
        <f t="shared" si="26"/>
        <v>0</v>
      </c>
      <c r="D183" s="134">
        <v>0</v>
      </c>
      <c r="E183" s="283"/>
      <c r="F183" s="286">
        <f t="shared" ref="F183:F246" si="30">D183+E183</f>
        <v>0</v>
      </c>
      <c r="G183" s="134">
        <v>0</v>
      </c>
      <c r="H183" s="135"/>
      <c r="I183" s="136">
        <f t="shared" ref="I183:I246" si="31">G183+H183</f>
        <v>0</v>
      </c>
      <c r="J183" s="134"/>
      <c r="K183" s="135"/>
      <c r="L183" s="136">
        <f t="shared" ref="L183:L246" si="32">J183+K183</f>
        <v>0</v>
      </c>
      <c r="M183" s="284"/>
      <c r="N183" s="285"/>
      <c r="O183" s="136">
        <f t="shared" ref="O183:O246" si="33">M183+N183</f>
        <v>0</v>
      </c>
      <c r="P183" s="85"/>
      <c r="R183" s="53"/>
    </row>
    <row r="184" spans="1:18" ht="60" hidden="1" x14ac:dyDescent="0.25">
      <c r="A184" s="76">
        <v>3292</v>
      </c>
      <c r="B184" s="127" t="s">
        <v>200</v>
      </c>
      <c r="C184" s="128">
        <f t="shared" si="26"/>
        <v>0</v>
      </c>
      <c r="D184" s="134">
        <v>0</v>
      </c>
      <c r="E184" s="283"/>
      <c r="F184" s="286">
        <f t="shared" si="30"/>
        <v>0</v>
      </c>
      <c r="G184" s="134">
        <v>0</v>
      </c>
      <c r="H184" s="135"/>
      <c r="I184" s="136">
        <f t="shared" si="31"/>
        <v>0</v>
      </c>
      <c r="J184" s="134"/>
      <c r="K184" s="135"/>
      <c r="L184" s="136">
        <f t="shared" si="32"/>
        <v>0</v>
      </c>
      <c r="M184" s="284"/>
      <c r="N184" s="285"/>
      <c r="O184" s="136">
        <f t="shared" si="33"/>
        <v>0</v>
      </c>
      <c r="P184" s="85"/>
      <c r="R184" s="53"/>
    </row>
    <row r="185" spans="1:18" ht="48" hidden="1" x14ac:dyDescent="0.25">
      <c r="A185" s="76">
        <v>3293</v>
      </c>
      <c r="B185" s="127" t="s">
        <v>201</v>
      </c>
      <c r="C185" s="128">
        <f t="shared" si="26"/>
        <v>0</v>
      </c>
      <c r="D185" s="134">
        <v>0</v>
      </c>
      <c r="E185" s="283"/>
      <c r="F185" s="286">
        <f t="shared" si="30"/>
        <v>0</v>
      </c>
      <c r="G185" s="134">
        <v>0</v>
      </c>
      <c r="H185" s="135"/>
      <c r="I185" s="136">
        <f t="shared" si="31"/>
        <v>0</v>
      </c>
      <c r="J185" s="134"/>
      <c r="K185" s="135"/>
      <c r="L185" s="136">
        <f t="shared" si="32"/>
        <v>0</v>
      </c>
      <c r="M185" s="284"/>
      <c r="N185" s="285"/>
      <c r="O185" s="136">
        <f t="shared" si="33"/>
        <v>0</v>
      </c>
      <c r="P185" s="85"/>
      <c r="R185" s="53"/>
    </row>
    <row r="186" spans="1:18" ht="36" hidden="1" x14ac:dyDescent="0.25">
      <c r="A186" s="326">
        <v>3294</v>
      </c>
      <c r="B186" s="127" t="s">
        <v>202</v>
      </c>
      <c r="C186" s="327">
        <f t="shared" si="26"/>
        <v>0</v>
      </c>
      <c r="D186" s="328">
        <v>0</v>
      </c>
      <c r="E186" s="683"/>
      <c r="F186" s="330">
        <f t="shared" si="30"/>
        <v>0</v>
      </c>
      <c r="G186" s="328">
        <v>0</v>
      </c>
      <c r="H186" s="331"/>
      <c r="I186" s="324">
        <f t="shared" si="31"/>
        <v>0</v>
      </c>
      <c r="J186" s="328"/>
      <c r="K186" s="331"/>
      <c r="L186" s="324">
        <f t="shared" si="32"/>
        <v>0</v>
      </c>
      <c r="M186" s="332"/>
      <c r="N186" s="329"/>
      <c r="O186" s="324">
        <f t="shared" si="33"/>
        <v>0</v>
      </c>
      <c r="P186" s="325"/>
      <c r="R186" s="53"/>
    </row>
    <row r="187" spans="1:18" ht="36" hidden="1" x14ac:dyDescent="0.25">
      <c r="A187" s="160">
        <v>3300</v>
      </c>
      <c r="B187" s="321" t="s">
        <v>203</v>
      </c>
      <c r="C187" s="333">
        <f t="shared" si="26"/>
        <v>0</v>
      </c>
      <c r="D187" s="334">
        <f>SUM(D188:D189)</f>
        <v>0</v>
      </c>
      <c r="E187" s="684">
        <f>SUM(E188:E189)</f>
        <v>0</v>
      </c>
      <c r="F187" s="335">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c r="R187" s="53"/>
    </row>
    <row r="188" spans="1:18" ht="36" hidden="1" x14ac:dyDescent="0.25">
      <c r="A188" s="178">
        <v>3310</v>
      </c>
      <c r="B188" s="179" t="s">
        <v>204</v>
      </c>
      <c r="C188" s="191">
        <f t="shared" si="26"/>
        <v>0</v>
      </c>
      <c r="D188" s="287">
        <v>0</v>
      </c>
      <c r="E188" s="288"/>
      <c r="F188" s="310">
        <f t="shared" si="30"/>
        <v>0</v>
      </c>
      <c r="G188" s="287">
        <v>0</v>
      </c>
      <c r="H188" s="289"/>
      <c r="I188" s="259">
        <f t="shared" si="31"/>
        <v>0</v>
      </c>
      <c r="J188" s="287"/>
      <c r="K188" s="289"/>
      <c r="L188" s="259">
        <f t="shared" si="32"/>
        <v>0</v>
      </c>
      <c r="M188" s="290"/>
      <c r="N188" s="291"/>
      <c r="O188" s="259">
        <f t="shared" si="33"/>
        <v>0</v>
      </c>
      <c r="P188" s="189"/>
      <c r="R188" s="53"/>
    </row>
    <row r="189" spans="1:18" ht="36" hidden="1" x14ac:dyDescent="0.25">
      <c r="A189" s="66">
        <v>3320</v>
      </c>
      <c r="B189" s="116" t="s">
        <v>205</v>
      </c>
      <c r="C189" s="117">
        <f t="shared" si="26"/>
        <v>0</v>
      </c>
      <c r="D189" s="123">
        <v>0</v>
      </c>
      <c r="E189" s="295"/>
      <c r="F189" s="263">
        <f t="shared" si="30"/>
        <v>0</v>
      </c>
      <c r="G189" s="123">
        <v>0</v>
      </c>
      <c r="H189" s="124"/>
      <c r="I189" s="125">
        <f t="shared" si="31"/>
        <v>0</v>
      </c>
      <c r="J189" s="123"/>
      <c r="K189" s="124"/>
      <c r="L189" s="125">
        <f t="shared" si="32"/>
        <v>0</v>
      </c>
      <c r="M189" s="264"/>
      <c r="N189" s="262"/>
      <c r="O189" s="125">
        <f t="shared" si="33"/>
        <v>0</v>
      </c>
      <c r="P189" s="74"/>
      <c r="R189" s="53"/>
    </row>
    <row r="190" spans="1:18" hidden="1" x14ac:dyDescent="0.25">
      <c r="A190" s="337">
        <v>4000</v>
      </c>
      <c r="B190" s="237" t="s">
        <v>206</v>
      </c>
      <c r="C190" s="238">
        <f t="shared" si="26"/>
        <v>0</v>
      </c>
      <c r="D190" s="239">
        <f>SUM(D191,D194)</f>
        <v>0</v>
      </c>
      <c r="E190" s="240">
        <f>SUM(E191,E194)</f>
        <v>0</v>
      </c>
      <c r="F190" s="320">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c r="R190" s="53"/>
    </row>
    <row r="191" spans="1:18" hidden="1" x14ac:dyDescent="0.25">
      <c r="A191" s="338">
        <v>4200</v>
      </c>
      <c r="B191" s="247" t="s">
        <v>207</v>
      </c>
      <c r="C191" s="100">
        <f t="shared" si="26"/>
        <v>0</v>
      </c>
      <c r="D191" s="112">
        <f>SUM(D192,D193)</f>
        <v>0</v>
      </c>
      <c r="E191" s="248">
        <f>SUM(E192,E193)</f>
        <v>0</v>
      </c>
      <c r="F191" s="313">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c r="R191" s="53"/>
    </row>
    <row r="192" spans="1:18" ht="24" hidden="1" x14ac:dyDescent="0.25">
      <c r="A192" s="656">
        <v>4240</v>
      </c>
      <c r="B192" s="116" t="s">
        <v>208</v>
      </c>
      <c r="C192" s="117">
        <f t="shared" si="26"/>
        <v>0</v>
      </c>
      <c r="D192" s="123">
        <v>0</v>
      </c>
      <c r="E192" s="295"/>
      <c r="F192" s="263">
        <f t="shared" si="30"/>
        <v>0</v>
      </c>
      <c r="G192" s="123">
        <v>0</v>
      </c>
      <c r="H192" s="124"/>
      <c r="I192" s="125">
        <f t="shared" si="31"/>
        <v>0</v>
      </c>
      <c r="J192" s="123"/>
      <c r="K192" s="124"/>
      <c r="L192" s="125">
        <f t="shared" si="32"/>
        <v>0</v>
      </c>
      <c r="M192" s="264"/>
      <c r="N192" s="262"/>
      <c r="O192" s="125">
        <f t="shared" si="33"/>
        <v>0</v>
      </c>
      <c r="P192" s="74"/>
      <c r="R192" s="53"/>
    </row>
    <row r="193" spans="1:18" hidden="1" x14ac:dyDescent="0.25">
      <c r="A193" s="276">
        <v>4250</v>
      </c>
      <c r="B193" s="127" t="s">
        <v>209</v>
      </c>
      <c r="C193" s="128">
        <f t="shared" si="26"/>
        <v>0</v>
      </c>
      <c r="D193" s="134">
        <v>0</v>
      </c>
      <c r="E193" s="283"/>
      <c r="F193" s="286">
        <f t="shared" si="30"/>
        <v>0</v>
      </c>
      <c r="G193" s="134">
        <v>0</v>
      </c>
      <c r="H193" s="135"/>
      <c r="I193" s="136">
        <f t="shared" si="31"/>
        <v>0</v>
      </c>
      <c r="J193" s="134"/>
      <c r="K193" s="135"/>
      <c r="L193" s="136">
        <f t="shared" si="32"/>
        <v>0</v>
      </c>
      <c r="M193" s="284"/>
      <c r="N193" s="285"/>
      <c r="O193" s="136">
        <f t="shared" si="33"/>
        <v>0</v>
      </c>
      <c r="P193" s="85"/>
      <c r="R193" s="53"/>
    </row>
    <row r="194" spans="1:18" hidden="1" x14ac:dyDescent="0.25">
      <c r="A194" s="99">
        <v>4300</v>
      </c>
      <c r="B194" s="247" t="s">
        <v>210</v>
      </c>
      <c r="C194" s="100">
        <f t="shared" si="26"/>
        <v>0</v>
      </c>
      <c r="D194" s="112">
        <f>SUM(D195)</f>
        <v>0</v>
      </c>
      <c r="E194" s="248">
        <f>SUM(E195)</f>
        <v>0</v>
      </c>
      <c r="F194" s="313">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c r="R194" s="53"/>
    </row>
    <row r="195" spans="1:18" hidden="1" x14ac:dyDescent="0.25">
      <c r="A195" s="656">
        <v>4310</v>
      </c>
      <c r="B195" s="116" t="s">
        <v>211</v>
      </c>
      <c r="C195" s="117">
        <f t="shared" si="26"/>
        <v>0</v>
      </c>
      <c r="D195" s="297">
        <f>SUM(D196:D196)</f>
        <v>0</v>
      </c>
      <c r="E195" s="298">
        <f>SUM(E196:E196)</f>
        <v>0</v>
      </c>
      <c r="F195" s="263">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c r="R195" s="53"/>
    </row>
    <row r="196" spans="1:18" ht="36" hidden="1" x14ac:dyDescent="0.25">
      <c r="A196" s="76">
        <v>4311</v>
      </c>
      <c r="B196" s="127" t="s">
        <v>212</v>
      </c>
      <c r="C196" s="128">
        <f t="shared" si="26"/>
        <v>0</v>
      </c>
      <c r="D196" s="134">
        <v>0</v>
      </c>
      <c r="E196" s="283"/>
      <c r="F196" s="286">
        <f t="shared" si="30"/>
        <v>0</v>
      </c>
      <c r="G196" s="134">
        <v>0</v>
      </c>
      <c r="H196" s="135"/>
      <c r="I196" s="136">
        <f t="shared" si="31"/>
        <v>0</v>
      </c>
      <c r="J196" s="134"/>
      <c r="K196" s="135"/>
      <c r="L196" s="136">
        <f t="shared" si="32"/>
        <v>0</v>
      </c>
      <c r="M196" s="284"/>
      <c r="N196" s="285"/>
      <c r="O196" s="136">
        <f t="shared" si="33"/>
        <v>0</v>
      </c>
      <c r="P196" s="85"/>
      <c r="R196" s="53"/>
    </row>
    <row r="197" spans="1:18" s="41" customFormat="1" hidden="1" x14ac:dyDescent="0.25">
      <c r="A197" s="339"/>
      <c r="B197" s="31" t="s">
        <v>213</v>
      </c>
      <c r="C197" s="229">
        <f t="shared" si="26"/>
        <v>0</v>
      </c>
      <c r="D197" s="519">
        <f>SUM(D198,D233,D271)</f>
        <v>0</v>
      </c>
      <c r="E197" s="685">
        <f>SUM(E198,E233,E271)</f>
        <v>0</v>
      </c>
      <c r="F197" s="400">
        <f t="shared" si="30"/>
        <v>0</v>
      </c>
      <c r="G197" s="230">
        <f>SUM(G198,G233,G271)</f>
        <v>0</v>
      </c>
      <c r="H197" s="233">
        <f>SUM(H198,H233,H271)</f>
        <v>0</v>
      </c>
      <c r="I197" s="234">
        <f t="shared" si="31"/>
        <v>0</v>
      </c>
      <c r="J197" s="230">
        <f>SUM(J198,J233,J271)</f>
        <v>0</v>
      </c>
      <c r="K197" s="233">
        <f>SUM(K198,K233,K271)</f>
        <v>0</v>
      </c>
      <c r="L197" s="234">
        <f t="shared" si="32"/>
        <v>0</v>
      </c>
      <c r="M197" s="340">
        <f>SUM(M198,M233,M271)</f>
        <v>0</v>
      </c>
      <c r="N197" s="341">
        <f>SUM(N198,N233,N271)</f>
        <v>0</v>
      </c>
      <c r="O197" s="342">
        <f t="shared" si="33"/>
        <v>0</v>
      </c>
      <c r="P197" s="343"/>
      <c r="R197" s="53"/>
    </row>
    <row r="198" spans="1:18" hidden="1" x14ac:dyDescent="0.25">
      <c r="A198" s="237">
        <v>5000</v>
      </c>
      <c r="B198" s="237" t="s">
        <v>214</v>
      </c>
      <c r="C198" s="238">
        <f>F198+I198+L198+O198</f>
        <v>0</v>
      </c>
      <c r="D198" s="239">
        <f>D199+D207</f>
        <v>0</v>
      </c>
      <c r="E198" s="240">
        <f>E199+E207</f>
        <v>0</v>
      </c>
      <c r="F198" s="320">
        <f t="shared" si="30"/>
        <v>0</v>
      </c>
      <c r="G198" s="239">
        <f>G199+G207</f>
        <v>0</v>
      </c>
      <c r="H198" s="242">
        <f>H199+H207</f>
        <v>0</v>
      </c>
      <c r="I198" s="243">
        <f t="shared" si="31"/>
        <v>0</v>
      </c>
      <c r="J198" s="239">
        <f>J199+J207</f>
        <v>0</v>
      </c>
      <c r="K198" s="242">
        <f>K199+K207</f>
        <v>0</v>
      </c>
      <c r="L198" s="243">
        <f t="shared" si="32"/>
        <v>0</v>
      </c>
      <c r="M198" s="244">
        <f>M199+M207</f>
        <v>0</v>
      </c>
      <c r="N198" s="245">
        <f>N199+N207</f>
        <v>0</v>
      </c>
      <c r="O198" s="243">
        <f t="shared" si="33"/>
        <v>0</v>
      </c>
      <c r="P198" s="246"/>
      <c r="R198" s="53"/>
    </row>
    <row r="199" spans="1:18" hidden="1" x14ac:dyDescent="0.25">
      <c r="A199" s="99">
        <v>5100</v>
      </c>
      <c r="B199" s="247" t="s">
        <v>215</v>
      </c>
      <c r="C199" s="100">
        <f t="shared" si="26"/>
        <v>0</v>
      </c>
      <c r="D199" s="334">
        <f>D200+D201+D204+D205+D206</f>
        <v>0</v>
      </c>
      <c r="E199" s="684">
        <f>E200+E201+E204+E205+E206</f>
        <v>0</v>
      </c>
      <c r="F199" s="335">
        <f t="shared" si="30"/>
        <v>0</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c r="R199" s="53"/>
    </row>
    <row r="200" spans="1:18" hidden="1" x14ac:dyDescent="0.25">
      <c r="A200" s="656">
        <v>5110</v>
      </c>
      <c r="B200" s="116" t="s">
        <v>216</v>
      </c>
      <c r="C200" s="117">
        <f t="shared" si="26"/>
        <v>0</v>
      </c>
      <c r="D200" s="123">
        <v>0</v>
      </c>
      <c r="E200" s="295"/>
      <c r="F200" s="263">
        <f t="shared" si="30"/>
        <v>0</v>
      </c>
      <c r="G200" s="123">
        <v>0</v>
      </c>
      <c r="H200" s="124"/>
      <c r="I200" s="125">
        <f t="shared" si="31"/>
        <v>0</v>
      </c>
      <c r="J200" s="123"/>
      <c r="K200" s="124"/>
      <c r="L200" s="125">
        <f t="shared" si="32"/>
        <v>0</v>
      </c>
      <c r="M200" s="264"/>
      <c r="N200" s="262"/>
      <c r="O200" s="125">
        <f t="shared" si="33"/>
        <v>0</v>
      </c>
      <c r="P200" s="74"/>
      <c r="R200" s="53"/>
    </row>
    <row r="201" spans="1:18" ht="24" hidden="1" x14ac:dyDescent="0.25">
      <c r="A201" s="276">
        <v>5120</v>
      </c>
      <c r="B201" s="127" t="s">
        <v>217</v>
      </c>
      <c r="C201" s="128">
        <f t="shared" si="26"/>
        <v>0</v>
      </c>
      <c r="D201" s="277">
        <f>D202+D203</f>
        <v>0</v>
      </c>
      <c r="E201" s="278">
        <f>E202+E203</f>
        <v>0</v>
      </c>
      <c r="F201" s="286">
        <f t="shared" si="30"/>
        <v>0</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c r="R201" s="53"/>
    </row>
    <row r="202" spans="1:18" hidden="1" x14ac:dyDescent="0.25">
      <c r="A202" s="76">
        <v>5121</v>
      </c>
      <c r="B202" s="127" t="s">
        <v>218</v>
      </c>
      <c r="C202" s="128">
        <f t="shared" si="26"/>
        <v>0</v>
      </c>
      <c r="D202" s="134">
        <v>0</v>
      </c>
      <c r="E202" s="283"/>
      <c r="F202" s="286">
        <f t="shared" si="30"/>
        <v>0</v>
      </c>
      <c r="G202" s="134">
        <v>0</v>
      </c>
      <c r="H202" s="135"/>
      <c r="I202" s="136">
        <f t="shared" si="31"/>
        <v>0</v>
      </c>
      <c r="J202" s="134"/>
      <c r="K202" s="135"/>
      <c r="L202" s="136">
        <f t="shared" si="32"/>
        <v>0</v>
      </c>
      <c r="M202" s="284"/>
      <c r="N202" s="285"/>
      <c r="O202" s="136">
        <f t="shared" si="33"/>
        <v>0</v>
      </c>
      <c r="P202" s="85"/>
      <c r="R202" s="53"/>
    </row>
    <row r="203" spans="1:18" ht="24" hidden="1" x14ac:dyDescent="0.25">
      <c r="A203" s="76">
        <v>5129</v>
      </c>
      <c r="B203" s="127" t="s">
        <v>219</v>
      </c>
      <c r="C203" s="128">
        <f t="shared" si="26"/>
        <v>0</v>
      </c>
      <c r="D203" s="134">
        <v>0</v>
      </c>
      <c r="E203" s="283"/>
      <c r="F203" s="286">
        <f t="shared" si="30"/>
        <v>0</v>
      </c>
      <c r="G203" s="134">
        <v>0</v>
      </c>
      <c r="H203" s="135"/>
      <c r="I203" s="136">
        <f t="shared" si="31"/>
        <v>0</v>
      </c>
      <c r="J203" s="134"/>
      <c r="K203" s="135"/>
      <c r="L203" s="136">
        <f t="shared" si="32"/>
        <v>0</v>
      </c>
      <c r="M203" s="284"/>
      <c r="N203" s="285"/>
      <c r="O203" s="136">
        <f t="shared" si="33"/>
        <v>0</v>
      </c>
      <c r="P203" s="85"/>
      <c r="R203" s="53"/>
    </row>
    <row r="204" spans="1:18" hidden="1" x14ac:dyDescent="0.25">
      <c r="A204" s="276">
        <v>5130</v>
      </c>
      <c r="B204" s="127" t="s">
        <v>220</v>
      </c>
      <c r="C204" s="128">
        <f t="shared" si="26"/>
        <v>0</v>
      </c>
      <c r="D204" s="134">
        <v>0</v>
      </c>
      <c r="E204" s="283"/>
      <c r="F204" s="286">
        <f t="shared" si="30"/>
        <v>0</v>
      </c>
      <c r="G204" s="134">
        <v>0</v>
      </c>
      <c r="H204" s="135"/>
      <c r="I204" s="136">
        <f t="shared" si="31"/>
        <v>0</v>
      </c>
      <c r="J204" s="134"/>
      <c r="K204" s="135"/>
      <c r="L204" s="136">
        <f t="shared" si="32"/>
        <v>0</v>
      </c>
      <c r="M204" s="284"/>
      <c r="N204" s="285"/>
      <c r="O204" s="136">
        <f t="shared" si="33"/>
        <v>0</v>
      </c>
      <c r="P204" s="85"/>
      <c r="R204" s="53"/>
    </row>
    <row r="205" spans="1:18" hidden="1" x14ac:dyDescent="0.25">
      <c r="A205" s="276">
        <v>5140</v>
      </c>
      <c r="B205" s="127" t="s">
        <v>221</v>
      </c>
      <c r="C205" s="128">
        <f t="shared" si="26"/>
        <v>0</v>
      </c>
      <c r="D205" s="134">
        <v>0</v>
      </c>
      <c r="E205" s="283"/>
      <c r="F205" s="286">
        <f t="shared" si="30"/>
        <v>0</v>
      </c>
      <c r="G205" s="134">
        <v>0</v>
      </c>
      <c r="H205" s="135"/>
      <c r="I205" s="136">
        <f t="shared" si="31"/>
        <v>0</v>
      </c>
      <c r="J205" s="134"/>
      <c r="K205" s="135"/>
      <c r="L205" s="136">
        <f t="shared" si="32"/>
        <v>0</v>
      </c>
      <c r="M205" s="284"/>
      <c r="N205" s="285"/>
      <c r="O205" s="136">
        <f t="shared" si="33"/>
        <v>0</v>
      </c>
      <c r="P205" s="85"/>
      <c r="R205" s="53"/>
    </row>
    <row r="206" spans="1:18" ht="24" hidden="1" x14ac:dyDescent="0.25">
      <c r="A206" s="276">
        <v>5170</v>
      </c>
      <c r="B206" s="127" t="s">
        <v>222</v>
      </c>
      <c r="C206" s="128">
        <f t="shared" si="26"/>
        <v>0</v>
      </c>
      <c r="D206" s="134">
        <v>0</v>
      </c>
      <c r="E206" s="283"/>
      <c r="F206" s="286">
        <f t="shared" si="30"/>
        <v>0</v>
      </c>
      <c r="G206" s="134">
        <v>0</v>
      </c>
      <c r="H206" s="135"/>
      <c r="I206" s="136">
        <f t="shared" si="31"/>
        <v>0</v>
      </c>
      <c r="J206" s="134"/>
      <c r="K206" s="135"/>
      <c r="L206" s="136">
        <f t="shared" si="32"/>
        <v>0</v>
      </c>
      <c r="M206" s="284"/>
      <c r="N206" s="285"/>
      <c r="O206" s="136">
        <f t="shared" si="33"/>
        <v>0</v>
      </c>
      <c r="P206" s="85"/>
      <c r="R206" s="53"/>
    </row>
    <row r="207" spans="1:18" hidden="1" x14ac:dyDescent="0.25">
      <c r="A207" s="99">
        <v>5200</v>
      </c>
      <c r="B207" s="247" t="s">
        <v>223</v>
      </c>
      <c r="C207" s="100">
        <f t="shared" si="26"/>
        <v>0</v>
      </c>
      <c r="D207" s="112">
        <f>D208+D218+D219+D228+D229+D230+D232</f>
        <v>0</v>
      </c>
      <c r="E207" s="248">
        <f>E208+E218+E219+E228+E229+E230+E232</f>
        <v>0</v>
      </c>
      <c r="F207" s="313">
        <f t="shared" si="30"/>
        <v>0</v>
      </c>
      <c r="G207" s="112">
        <f>G208+G218+G219+G228+G229+G230+G232</f>
        <v>0</v>
      </c>
      <c r="H207" s="113">
        <f>H208+H218+H219+H228+H229+H230+H232</f>
        <v>0</v>
      </c>
      <c r="I207" s="114">
        <f t="shared" si="31"/>
        <v>0</v>
      </c>
      <c r="J207" s="112">
        <f>J208+J218+J219+J228+J229+J230+J232</f>
        <v>0</v>
      </c>
      <c r="K207" s="113">
        <f>K208+K218+K219+K228+K229+K230+K232</f>
        <v>0</v>
      </c>
      <c r="L207" s="114">
        <f t="shared" si="32"/>
        <v>0</v>
      </c>
      <c r="M207" s="292">
        <f>M208+M218+M219+M228+M229+M230+M232</f>
        <v>0</v>
      </c>
      <c r="N207" s="293">
        <f>N208+N218+N219+N228+N229+N230+N232</f>
        <v>0</v>
      </c>
      <c r="O207" s="114">
        <f t="shared" si="33"/>
        <v>0</v>
      </c>
      <c r="P207" s="109"/>
      <c r="R207" s="53"/>
    </row>
    <row r="208" spans="1:18" hidden="1" x14ac:dyDescent="0.25">
      <c r="A208" s="254">
        <v>5210</v>
      </c>
      <c r="B208" s="179" t="s">
        <v>224</v>
      </c>
      <c r="C208" s="191">
        <f t="shared" si="26"/>
        <v>0</v>
      </c>
      <c r="D208" s="255">
        <f>SUM(D209:D217)</f>
        <v>0</v>
      </c>
      <c r="E208" s="256">
        <f>SUM(E209:E217)</f>
        <v>0</v>
      </c>
      <c r="F208" s="310">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c r="R208" s="53"/>
    </row>
    <row r="209" spans="1:18" hidden="1" x14ac:dyDescent="0.25">
      <c r="A209" s="66">
        <v>5211</v>
      </c>
      <c r="B209" s="116" t="s">
        <v>225</v>
      </c>
      <c r="C209" s="279">
        <f t="shared" si="26"/>
        <v>0</v>
      </c>
      <c r="D209" s="123">
        <v>0</v>
      </c>
      <c r="E209" s="295"/>
      <c r="F209" s="263">
        <f t="shared" si="30"/>
        <v>0</v>
      </c>
      <c r="G209" s="123">
        <v>0</v>
      </c>
      <c r="H209" s="124"/>
      <c r="I209" s="125">
        <f t="shared" si="31"/>
        <v>0</v>
      </c>
      <c r="J209" s="123"/>
      <c r="K209" s="124"/>
      <c r="L209" s="125">
        <f t="shared" si="32"/>
        <v>0</v>
      </c>
      <c r="M209" s="264"/>
      <c r="N209" s="262"/>
      <c r="O209" s="125">
        <f t="shared" si="33"/>
        <v>0</v>
      </c>
      <c r="P209" s="74"/>
      <c r="R209" s="53"/>
    </row>
    <row r="210" spans="1:18" hidden="1" x14ac:dyDescent="0.25">
      <c r="A210" s="76">
        <v>5212</v>
      </c>
      <c r="B210" s="127" t="s">
        <v>226</v>
      </c>
      <c r="C210" s="279">
        <f t="shared" si="26"/>
        <v>0</v>
      </c>
      <c r="D210" s="134">
        <v>0</v>
      </c>
      <c r="E210" s="283"/>
      <c r="F210" s="286">
        <f t="shared" si="30"/>
        <v>0</v>
      </c>
      <c r="G210" s="134">
        <v>0</v>
      </c>
      <c r="H210" s="135"/>
      <c r="I210" s="136">
        <f t="shared" si="31"/>
        <v>0</v>
      </c>
      <c r="J210" s="134"/>
      <c r="K210" s="135"/>
      <c r="L210" s="136">
        <f t="shared" si="32"/>
        <v>0</v>
      </c>
      <c r="M210" s="284"/>
      <c r="N210" s="285"/>
      <c r="O210" s="136">
        <f t="shared" si="33"/>
        <v>0</v>
      </c>
      <c r="P210" s="85"/>
      <c r="R210" s="53"/>
    </row>
    <row r="211" spans="1:18" hidden="1" x14ac:dyDescent="0.25">
      <c r="A211" s="76">
        <v>5213</v>
      </c>
      <c r="B211" s="127" t="s">
        <v>227</v>
      </c>
      <c r="C211" s="279">
        <f t="shared" si="26"/>
        <v>0</v>
      </c>
      <c r="D211" s="134">
        <v>0</v>
      </c>
      <c r="E211" s="283"/>
      <c r="F211" s="286">
        <f t="shared" si="30"/>
        <v>0</v>
      </c>
      <c r="G211" s="134">
        <v>0</v>
      </c>
      <c r="H211" s="135"/>
      <c r="I211" s="136">
        <f t="shared" si="31"/>
        <v>0</v>
      </c>
      <c r="J211" s="134"/>
      <c r="K211" s="135"/>
      <c r="L211" s="136">
        <f t="shared" si="32"/>
        <v>0</v>
      </c>
      <c r="M211" s="284"/>
      <c r="N211" s="285"/>
      <c r="O211" s="136">
        <f t="shared" si="33"/>
        <v>0</v>
      </c>
      <c r="P211" s="85"/>
      <c r="R211" s="53"/>
    </row>
    <row r="212" spans="1:18" hidden="1" x14ac:dyDescent="0.25">
      <c r="A212" s="76">
        <v>5214</v>
      </c>
      <c r="B212" s="127" t="s">
        <v>228</v>
      </c>
      <c r="C212" s="279">
        <f t="shared" si="26"/>
        <v>0</v>
      </c>
      <c r="D212" s="134">
        <v>0</v>
      </c>
      <c r="E212" s="283"/>
      <c r="F212" s="286">
        <f t="shared" si="30"/>
        <v>0</v>
      </c>
      <c r="G212" s="134">
        <v>0</v>
      </c>
      <c r="H212" s="135"/>
      <c r="I212" s="136">
        <f t="shared" si="31"/>
        <v>0</v>
      </c>
      <c r="J212" s="134"/>
      <c r="K212" s="135"/>
      <c r="L212" s="136">
        <f t="shared" si="32"/>
        <v>0</v>
      </c>
      <c r="M212" s="284"/>
      <c r="N212" s="285"/>
      <c r="O212" s="136">
        <f t="shared" si="33"/>
        <v>0</v>
      </c>
      <c r="P212" s="85"/>
      <c r="R212" s="53"/>
    </row>
    <row r="213" spans="1:18" hidden="1" x14ac:dyDescent="0.25">
      <c r="A213" s="76">
        <v>5215</v>
      </c>
      <c r="B213" s="127" t="s">
        <v>229</v>
      </c>
      <c r="C213" s="279">
        <f t="shared" si="26"/>
        <v>0</v>
      </c>
      <c r="D213" s="134">
        <v>0</v>
      </c>
      <c r="E213" s="283"/>
      <c r="F213" s="286">
        <f t="shared" si="30"/>
        <v>0</v>
      </c>
      <c r="G213" s="134">
        <v>0</v>
      </c>
      <c r="H213" s="135"/>
      <c r="I213" s="136">
        <f t="shared" si="31"/>
        <v>0</v>
      </c>
      <c r="J213" s="134"/>
      <c r="K213" s="135"/>
      <c r="L213" s="136">
        <f t="shared" si="32"/>
        <v>0</v>
      </c>
      <c r="M213" s="284"/>
      <c r="N213" s="285"/>
      <c r="O213" s="136">
        <f t="shared" si="33"/>
        <v>0</v>
      </c>
      <c r="P213" s="85"/>
      <c r="R213" s="53"/>
    </row>
    <row r="214" spans="1:18" hidden="1" x14ac:dyDescent="0.25">
      <c r="A214" s="76">
        <v>5216</v>
      </c>
      <c r="B214" s="127" t="s">
        <v>230</v>
      </c>
      <c r="C214" s="279">
        <f t="shared" si="26"/>
        <v>0</v>
      </c>
      <c r="D214" s="134">
        <v>0</v>
      </c>
      <c r="E214" s="283"/>
      <c r="F214" s="286">
        <f t="shared" si="30"/>
        <v>0</v>
      </c>
      <c r="G214" s="134">
        <v>0</v>
      </c>
      <c r="H214" s="135"/>
      <c r="I214" s="136">
        <f t="shared" si="31"/>
        <v>0</v>
      </c>
      <c r="J214" s="134"/>
      <c r="K214" s="135"/>
      <c r="L214" s="136">
        <f t="shared" si="32"/>
        <v>0</v>
      </c>
      <c r="M214" s="284"/>
      <c r="N214" s="285"/>
      <c r="O214" s="136">
        <f t="shared" si="33"/>
        <v>0</v>
      </c>
      <c r="P214" s="85"/>
      <c r="R214" s="53"/>
    </row>
    <row r="215" spans="1:18" hidden="1" x14ac:dyDescent="0.25">
      <c r="A215" s="76">
        <v>5217</v>
      </c>
      <c r="B215" s="127" t="s">
        <v>231</v>
      </c>
      <c r="C215" s="279">
        <f t="shared" si="26"/>
        <v>0</v>
      </c>
      <c r="D215" s="134">
        <v>0</v>
      </c>
      <c r="E215" s="283"/>
      <c r="F215" s="286">
        <f t="shared" si="30"/>
        <v>0</v>
      </c>
      <c r="G215" s="134">
        <v>0</v>
      </c>
      <c r="H215" s="135"/>
      <c r="I215" s="136">
        <f t="shared" si="31"/>
        <v>0</v>
      </c>
      <c r="J215" s="134"/>
      <c r="K215" s="135"/>
      <c r="L215" s="136">
        <f t="shared" si="32"/>
        <v>0</v>
      </c>
      <c r="M215" s="284"/>
      <c r="N215" s="285"/>
      <c r="O215" s="136">
        <f t="shared" si="33"/>
        <v>0</v>
      </c>
      <c r="P215" s="85"/>
      <c r="R215" s="53"/>
    </row>
    <row r="216" spans="1:18" hidden="1" x14ac:dyDescent="0.25">
      <c r="A216" s="76">
        <v>5218</v>
      </c>
      <c r="B216" s="127" t="s">
        <v>232</v>
      </c>
      <c r="C216" s="279">
        <f t="shared" si="26"/>
        <v>0</v>
      </c>
      <c r="D216" s="134">
        <v>0</v>
      </c>
      <c r="E216" s="283"/>
      <c r="F216" s="286">
        <f t="shared" si="30"/>
        <v>0</v>
      </c>
      <c r="G216" s="134">
        <v>0</v>
      </c>
      <c r="H216" s="135"/>
      <c r="I216" s="136">
        <f t="shared" si="31"/>
        <v>0</v>
      </c>
      <c r="J216" s="134"/>
      <c r="K216" s="135"/>
      <c r="L216" s="136">
        <f t="shared" si="32"/>
        <v>0</v>
      </c>
      <c r="M216" s="284"/>
      <c r="N216" s="285"/>
      <c r="O216" s="136">
        <f t="shared" si="33"/>
        <v>0</v>
      </c>
      <c r="P216" s="85"/>
      <c r="R216" s="53"/>
    </row>
    <row r="217" spans="1:18" hidden="1" x14ac:dyDescent="0.25">
      <c r="A217" s="76">
        <v>5219</v>
      </c>
      <c r="B217" s="127" t="s">
        <v>233</v>
      </c>
      <c r="C217" s="279">
        <f t="shared" si="26"/>
        <v>0</v>
      </c>
      <c r="D217" s="134">
        <v>0</v>
      </c>
      <c r="E217" s="283"/>
      <c r="F217" s="286">
        <f t="shared" si="30"/>
        <v>0</v>
      </c>
      <c r="G217" s="134">
        <v>0</v>
      </c>
      <c r="H217" s="135"/>
      <c r="I217" s="136">
        <f t="shared" si="31"/>
        <v>0</v>
      </c>
      <c r="J217" s="134"/>
      <c r="K217" s="135"/>
      <c r="L217" s="136">
        <f t="shared" si="32"/>
        <v>0</v>
      </c>
      <c r="M217" s="284"/>
      <c r="N217" s="285"/>
      <c r="O217" s="136">
        <f t="shared" si="33"/>
        <v>0</v>
      </c>
      <c r="P217" s="85"/>
      <c r="R217" s="53"/>
    </row>
    <row r="218" spans="1:18" hidden="1" x14ac:dyDescent="0.25">
      <c r="A218" s="276">
        <v>5220</v>
      </c>
      <c r="B218" s="127" t="s">
        <v>234</v>
      </c>
      <c r="C218" s="279">
        <f t="shared" si="26"/>
        <v>0</v>
      </c>
      <c r="D218" s="134">
        <v>0</v>
      </c>
      <c r="E218" s="283"/>
      <c r="F218" s="286">
        <f t="shared" si="30"/>
        <v>0</v>
      </c>
      <c r="G218" s="134">
        <v>0</v>
      </c>
      <c r="H218" s="135"/>
      <c r="I218" s="136">
        <f t="shared" si="31"/>
        <v>0</v>
      </c>
      <c r="J218" s="134"/>
      <c r="K218" s="135"/>
      <c r="L218" s="136">
        <f t="shared" si="32"/>
        <v>0</v>
      </c>
      <c r="M218" s="284"/>
      <c r="N218" s="285"/>
      <c r="O218" s="136">
        <f t="shared" si="33"/>
        <v>0</v>
      </c>
      <c r="P218" s="85"/>
      <c r="R218" s="53"/>
    </row>
    <row r="219" spans="1:18" hidden="1" x14ac:dyDescent="0.25">
      <c r="A219" s="276">
        <v>5230</v>
      </c>
      <c r="B219" s="127" t="s">
        <v>235</v>
      </c>
      <c r="C219" s="279">
        <f t="shared" si="26"/>
        <v>0</v>
      </c>
      <c r="D219" s="277">
        <f>SUM(D220:D227)</f>
        <v>0</v>
      </c>
      <c r="E219" s="278">
        <f>SUM(E220:E227)</f>
        <v>0</v>
      </c>
      <c r="F219" s="286">
        <f t="shared" si="30"/>
        <v>0</v>
      </c>
      <c r="G219" s="277">
        <f>SUM(G220:G227)</f>
        <v>0</v>
      </c>
      <c r="H219" s="280">
        <f>SUM(H220:H227)</f>
        <v>0</v>
      </c>
      <c r="I219" s="136">
        <f t="shared" si="31"/>
        <v>0</v>
      </c>
      <c r="J219" s="277">
        <f>SUM(J220:J227)</f>
        <v>0</v>
      </c>
      <c r="K219" s="280">
        <f>SUM(K220:K227)</f>
        <v>0</v>
      </c>
      <c r="L219" s="136">
        <f t="shared" si="32"/>
        <v>0</v>
      </c>
      <c r="M219" s="281">
        <f>SUM(M220:M227)</f>
        <v>0</v>
      </c>
      <c r="N219" s="282">
        <f>SUM(N220:N227)</f>
        <v>0</v>
      </c>
      <c r="O219" s="136">
        <f t="shared" si="33"/>
        <v>0</v>
      </c>
      <c r="P219" s="85"/>
      <c r="R219" s="53"/>
    </row>
    <row r="220" spans="1:18" hidden="1" x14ac:dyDescent="0.25">
      <c r="A220" s="76">
        <v>5231</v>
      </c>
      <c r="B220" s="127" t="s">
        <v>236</v>
      </c>
      <c r="C220" s="279">
        <f t="shared" si="26"/>
        <v>0</v>
      </c>
      <c r="D220" s="134">
        <v>0</v>
      </c>
      <c r="E220" s="283"/>
      <c r="F220" s="286">
        <f t="shared" si="30"/>
        <v>0</v>
      </c>
      <c r="G220" s="134">
        <v>0</v>
      </c>
      <c r="H220" s="135"/>
      <c r="I220" s="136">
        <f t="shared" si="31"/>
        <v>0</v>
      </c>
      <c r="J220" s="134"/>
      <c r="K220" s="135"/>
      <c r="L220" s="136">
        <f t="shared" si="32"/>
        <v>0</v>
      </c>
      <c r="M220" s="284"/>
      <c r="N220" s="285"/>
      <c r="O220" s="136">
        <f t="shared" si="33"/>
        <v>0</v>
      </c>
      <c r="P220" s="85"/>
      <c r="R220" s="53"/>
    </row>
    <row r="221" spans="1:18" hidden="1" x14ac:dyDescent="0.25">
      <c r="A221" s="76">
        <v>5232</v>
      </c>
      <c r="B221" s="127" t="s">
        <v>237</v>
      </c>
      <c r="C221" s="279">
        <f t="shared" si="26"/>
        <v>0</v>
      </c>
      <c r="D221" s="134">
        <v>0</v>
      </c>
      <c r="E221" s="283"/>
      <c r="F221" s="286">
        <f t="shared" si="30"/>
        <v>0</v>
      </c>
      <c r="G221" s="134">
        <v>0</v>
      </c>
      <c r="H221" s="135"/>
      <c r="I221" s="136">
        <f t="shared" si="31"/>
        <v>0</v>
      </c>
      <c r="J221" s="134"/>
      <c r="K221" s="135"/>
      <c r="L221" s="136">
        <f t="shared" si="32"/>
        <v>0</v>
      </c>
      <c r="M221" s="284"/>
      <c r="N221" s="285"/>
      <c r="O221" s="136">
        <f t="shared" si="33"/>
        <v>0</v>
      </c>
      <c r="P221" s="85"/>
      <c r="R221" s="53"/>
    </row>
    <row r="222" spans="1:18" hidden="1" x14ac:dyDescent="0.25">
      <c r="A222" s="76">
        <v>5233</v>
      </c>
      <c r="B222" s="127" t="s">
        <v>238</v>
      </c>
      <c r="C222" s="279">
        <f t="shared" si="26"/>
        <v>0</v>
      </c>
      <c r="D222" s="134">
        <v>0</v>
      </c>
      <c r="E222" s="283"/>
      <c r="F222" s="286">
        <f t="shared" si="30"/>
        <v>0</v>
      </c>
      <c r="G222" s="134">
        <v>0</v>
      </c>
      <c r="H222" s="135"/>
      <c r="I222" s="136">
        <f t="shared" si="31"/>
        <v>0</v>
      </c>
      <c r="J222" s="134"/>
      <c r="K222" s="135"/>
      <c r="L222" s="136">
        <f t="shared" si="32"/>
        <v>0</v>
      </c>
      <c r="M222" s="284"/>
      <c r="N222" s="285"/>
      <c r="O222" s="136">
        <f t="shared" si="33"/>
        <v>0</v>
      </c>
      <c r="P222" s="85"/>
      <c r="R222" s="53"/>
    </row>
    <row r="223" spans="1:18" hidden="1" x14ac:dyDescent="0.25">
      <c r="A223" s="76">
        <v>5234</v>
      </c>
      <c r="B223" s="127" t="s">
        <v>239</v>
      </c>
      <c r="C223" s="279">
        <f t="shared" si="26"/>
        <v>0</v>
      </c>
      <c r="D223" s="134">
        <v>0</v>
      </c>
      <c r="E223" s="283"/>
      <c r="F223" s="286">
        <f t="shared" si="30"/>
        <v>0</v>
      </c>
      <c r="G223" s="134">
        <v>0</v>
      </c>
      <c r="H223" s="135"/>
      <c r="I223" s="136">
        <f t="shared" si="31"/>
        <v>0</v>
      </c>
      <c r="J223" s="134"/>
      <c r="K223" s="135"/>
      <c r="L223" s="136">
        <f t="shared" si="32"/>
        <v>0</v>
      </c>
      <c r="M223" s="284"/>
      <c r="N223" s="285"/>
      <c r="O223" s="136">
        <f t="shared" si="33"/>
        <v>0</v>
      </c>
      <c r="P223" s="85"/>
      <c r="R223" s="53"/>
    </row>
    <row r="224" spans="1:18" hidden="1" x14ac:dyDescent="0.25">
      <c r="A224" s="76">
        <v>5236</v>
      </c>
      <c r="B224" s="127" t="s">
        <v>240</v>
      </c>
      <c r="C224" s="279">
        <f t="shared" si="26"/>
        <v>0</v>
      </c>
      <c r="D224" s="134">
        <v>0</v>
      </c>
      <c r="E224" s="283"/>
      <c r="F224" s="286">
        <f t="shared" si="30"/>
        <v>0</v>
      </c>
      <c r="G224" s="134">
        <v>0</v>
      </c>
      <c r="H224" s="135"/>
      <c r="I224" s="136">
        <f t="shared" si="31"/>
        <v>0</v>
      </c>
      <c r="J224" s="134"/>
      <c r="K224" s="135"/>
      <c r="L224" s="136">
        <f t="shared" si="32"/>
        <v>0</v>
      </c>
      <c r="M224" s="284"/>
      <c r="N224" s="285"/>
      <c r="O224" s="136">
        <f t="shared" si="33"/>
        <v>0</v>
      </c>
      <c r="P224" s="85"/>
      <c r="R224" s="53"/>
    </row>
    <row r="225" spans="1:18" hidden="1" x14ac:dyDescent="0.25">
      <c r="A225" s="76">
        <v>5237</v>
      </c>
      <c r="B225" s="127" t="s">
        <v>241</v>
      </c>
      <c r="C225" s="279">
        <f t="shared" si="26"/>
        <v>0</v>
      </c>
      <c r="D225" s="134">
        <v>0</v>
      </c>
      <c r="E225" s="283"/>
      <c r="F225" s="286">
        <f t="shared" si="30"/>
        <v>0</v>
      </c>
      <c r="G225" s="134">
        <v>0</v>
      </c>
      <c r="H225" s="135"/>
      <c r="I225" s="136">
        <f t="shared" si="31"/>
        <v>0</v>
      </c>
      <c r="J225" s="134"/>
      <c r="K225" s="135"/>
      <c r="L225" s="136">
        <f t="shared" si="32"/>
        <v>0</v>
      </c>
      <c r="M225" s="284"/>
      <c r="N225" s="285"/>
      <c r="O225" s="136">
        <f t="shared" si="33"/>
        <v>0</v>
      </c>
      <c r="P225" s="85"/>
      <c r="R225" s="53"/>
    </row>
    <row r="226" spans="1:18" hidden="1" x14ac:dyDescent="0.25">
      <c r="A226" s="76">
        <v>5238</v>
      </c>
      <c r="B226" s="127" t="s">
        <v>242</v>
      </c>
      <c r="C226" s="279">
        <f t="shared" si="26"/>
        <v>0</v>
      </c>
      <c r="D226" s="134">
        <v>0</v>
      </c>
      <c r="E226" s="283"/>
      <c r="F226" s="286">
        <f t="shared" si="30"/>
        <v>0</v>
      </c>
      <c r="G226" s="134">
        <v>0</v>
      </c>
      <c r="H226" s="135"/>
      <c r="I226" s="136">
        <f t="shared" si="31"/>
        <v>0</v>
      </c>
      <c r="J226" s="134"/>
      <c r="K226" s="135"/>
      <c r="L226" s="136">
        <f t="shared" si="32"/>
        <v>0</v>
      </c>
      <c r="M226" s="284"/>
      <c r="N226" s="285"/>
      <c r="O226" s="136">
        <f t="shared" si="33"/>
        <v>0</v>
      </c>
      <c r="P226" s="85"/>
      <c r="R226" s="53"/>
    </row>
    <row r="227" spans="1:18" hidden="1" x14ac:dyDescent="0.25">
      <c r="A227" s="76">
        <v>5239</v>
      </c>
      <c r="B227" s="127" t="s">
        <v>243</v>
      </c>
      <c r="C227" s="279">
        <f t="shared" si="26"/>
        <v>0</v>
      </c>
      <c r="D227" s="134">
        <v>0</v>
      </c>
      <c r="E227" s="283"/>
      <c r="F227" s="286">
        <f t="shared" si="30"/>
        <v>0</v>
      </c>
      <c r="G227" s="134"/>
      <c r="H227" s="135"/>
      <c r="I227" s="136">
        <f t="shared" si="31"/>
        <v>0</v>
      </c>
      <c r="J227" s="134"/>
      <c r="K227" s="135"/>
      <c r="L227" s="136">
        <f t="shared" si="32"/>
        <v>0</v>
      </c>
      <c r="M227" s="284"/>
      <c r="N227" s="285"/>
      <c r="O227" s="136">
        <f t="shared" si="33"/>
        <v>0</v>
      </c>
      <c r="P227" s="85"/>
      <c r="R227" s="53"/>
    </row>
    <row r="228" spans="1:18" hidden="1" x14ac:dyDescent="0.25">
      <c r="A228" s="276">
        <v>5240</v>
      </c>
      <c r="B228" s="127" t="s">
        <v>244</v>
      </c>
      <c r="C228" s="279">
        <f t="shared" si="26"/>
        <v>0</v>
      </c>
      <c r="D228" s="134">
        <v>0</v>
      </c>
      <c r="E228" s="283"/>
      <c r="F228" s="286">
        <f t="shared" si="30"/>
        <v>0</v>
      </c>
      <c r="G228" s="134"/>
      <c r="H228" s="135"/>
      <c r="I228" s="136">
        <f t="shared" si="31"/>
        <v>0</v>
      </c>
      <c r="J228" s="134"/>
      <c r="K228" s="135"/>
      <c r="L228" s="136">
        <f t="shared" si="32"/>
        <v>0</v>
      </c>
      <c r="M228" s="284"/>
      <c r="N228" s="285"/>
      <c r="O228" s="136">
        <f t="shared" si="33"/>
        <v>0</v>
      </c>
      <c r="P228" s="85"/>
      <c r="R228" s="53"/>
    </row>
    <row r="229" spans="1:18" hidden="1" x14ac:dyDescent="0.25">
      <c r="A229" s="276">
        <v>5250</v>
      </c>
      <c r="B229" s="127" t="s">
        <v>245</v>
      </c>
      <c r="C229" s="279">
        <f t="shared" si="26"/>
        <v>0</v>
      </c>
      <c r="D229" s="134">
        <v>0</v>
      </c>
      <c r="E229" s="283"/>
      <c r="F229" s="286">
        <f t="shared" si="30"/>
        <v>0</v>
      </c>
      <c r="G229" s="134"/>
      <c r="H229" s="135"/>
      <c r="I229" s="136">
        <f t="shared" si="31"/>
        <v>0</v>
      </c>
      <c r="J229" s="134"/>
      <c r="K229" s="135"/>
      <c r="L229" s="136">
        <f t="shared" si="32"/>
        <v>0</v>
      </c>
      <c r="M229" s="284"/>
      <c r="N229" s="285"/>
      <c r="O229" s="136">
        <f t="shared" si="33"/>
        <v>0</v>
      </c>
      <c r="P229" s="85"/>
      <c r="R229" s="53"/>
    </row>
    <row r="230" spans="1:18" hidden="1" x14ac:dyDescent="0.25">
      <c r="A230" s="276">
        <v>5260</v>
      </c>
      <c r="B230" s="127" t="s">
        <v>246</v>
      </c>
      <c r="C230" s="279">
        <f t="shared" si="26"/>
        <v>0</v>
      </c>
      <c r="D230" s="277">
        <f>SUM(D231)</f>
        <v>0</v>
      </c>
      <c r="E230" s="278">
        <f>SUM(E231)</f>
        <v>0</v>
      </c>
      <c r="F230" s="286">
        <f t="shared" si="30"/>
        <v>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c r="R230" s="53"/>
    </row>
    <row r="231" spans="1:18" hidden="1" x14ac:dyDescent="0.25">
      <c r="A231" s="76">
        <v>5269</v>
      </c>
      <c r="B231" s="127" t="s">
        <v>247</v>
      </c>
      <c r="C231" s="279">
        <f t="shared" si="26"/>
        <v>0</v>
      </c>
      <c r="D231" s="134">
        <v>0</v>
      </c>
      <c r="E231" s="283"/>
      <c r="F231" s="286">
        <f t="shared" si="30"/>
        <v>0</v>
      </c>
      <c r="G231" s="134">
        <v>0</v>
      </c>
      <c r="H231" s="135"/>
      <c r="I231" s="136">
        <f t="shared" si="31"/>
        <v>0</v>
      </c>
      <c r="J231" s="134"/>
      <c r="K231" s="135"/>
      <c r="L231" s="136">
        <f t="shared" si="32"/>
        <v>0</v>
      </c>
      <c r="M231" s="284"/>
      <c r="N231" s="285"/>
      <c r="O231" s="136">
        <f t="shared" si="33"/>
        <v>0</v>
      </c>
      <c r="P231" s="85"/>
      <c r="R231" s="53"/>
    </row>
    <row r="232" spans="1:18" hidden="1" x14ac:dyDescent="0.25">
      <c r="A232" s="254">
        <v>5270</v>
      </c>
      <c r="B232" s="179" t="s">
        <v>248</v>
      </c>
      <c r="C232" s="302">
        <f t="shared" si="26"/>
        <v>0</v>
      </c>
      <c r="D232" s="287">
        <v>0</v>
      </c>
      <c r="E232" s="288"/>
      <c r="F232" s="310">
        <f t="shared" si="30"/>
        <v>0</v>
      </c>
      <c r="G232" s="287">
        <v>0</v>
      </c>
      <c r="H232" s="289"/>
      <c r="I232" s="259">
        <f t="shared" si="31"/>
        <v>0</v>
      </c>
      <c r="J232" s="287"/>
      <c r="K232" s="289"/>
      <c r="L232" s="259">
        <f t="shared" si="32"/>
        <v>0</v>
      </c>
      <c r="M232" s="290"/>
      <c r="N232" s="291"/>
      <c r="O232" s="259">
        <f t="shared" si="33"/>
        <v>0</v>
      </c>
      <c r="P232" s="189"/>
      <c r="R232" s="53"/>
    </row>
    <row r="233" spans="1:18" hidden="1" x14ac:dyDescent="0.25">
      <c r="A233" s="237">
        <v>6000</v>
      </c>
      <c r="B233" s="237" t="s">
        <v>249</v>
      </c>
      <c r="C233" s="238">
        <f t="shared" si="26"/>
        <v>0</v>
      </c>
      <c r="D233" s="239">
        <f>D234+D254+D261</f>
        <v>0</v>
      </c>
      <c r="E233" s="240">
        <f>E234+E254+E261</f>
        <v>0</v>
      </c>
      <c r="F233" s="320">
        <f t="shared" si="30"/>
        <v>0</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c r="R233" s="53"/>
    </row>
    <row r="234" spans="1:18" hidden="1" x14ac:dyDescent="0.25">
      <c r="A234" s="160">
        <v>6200</v>
      </c>
      <c r="B234" s="321" t="s">
        <v>250</v>
      </c>
      <c r="C234" s="333">
        <f>F234+I234+L234+O234</f>
        <v>0</v>
      </c>
      <c r="D234" s="334">
        <f>SUM(D235,D236,D238,D241,D247,D248,D249)</f>
        <v>0</v>
      </c>
      <c r="E234" s="684">
        <f>SUM(E235,E236,E238,E241,E247,E248,E249)</f>
        <v>0</v>
      </c>
      <c r="F234" s="335">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c r="R234" s="53"/>
    </row>
    <row r="235" spans="1:18" hidden="1" x14ac:dyDescent="0.25">
      <c r="A235" s="656">
        <v>6220</v>
      </c>
      <c r="B235" s="116" t="s">
        <v>251</v>
      </c>
      <c r="C235" s="298">
        <f t="shared" si="26"/>
        <v>0</v>
      </c>
      <c r="D235" s="123">
        <v>0</v>
      </c>
      <c r="E235" s="295"/>
      <c r="F235" s="263">
        <f t="shared" si="30"/>
        <v>0</v>
      </c>
      <c r="G235" s="123">
        <v>0</v>
      </c>
      <c r="H235" s="124"/>
      <c r="I235" s="125">
        <f t="shared" si="31"/>
        <v>0</v>
      </c>
      <c r="J235" s="123"/>
      <c r="K235" s="124"/>
      <c r="L235" s="125">
        <f t="shared" si="32"/>
        <v>0</v>
      </c>
      <c r="M235" s="264"/>
      <c r="N235" s="262"/>
      <c r="O235" s="125">
        <f t="shared" si="33"/>
        <v>0</v>
      </c>
      <c r="P235" s="74"/>
      <c r="R235" s="53"/>
    </row>
    <row r="236" spans="1:18" hidden="1" x14ac:dyDescent="0.25">
      <c r="A236" s="276">
        <v>6230</v>
      </c>
      <c r="B236" s="127" t="s">
        <v>252</v>
      </c>
      <c r="C236" s="278">
        <f t="shared" si="26"/>
        <v>0</v>
      </c>
      <c r="D236" s="277">
        <f>SUM(D237)</f>
        <v>0</v>
      </c>
      <c r="E236" s="281">
        <f>SUM(E237)</f>
        <v>0</v>
      </c>
      <c r="F236" s="28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c r="R236" s="53"/>
    </row>
    <row r="237" spans="1:18" hidden="1" x14ac:dyDescent="0.25">
      <c r="A237" s="76">
        <v>6239</v>
      </c>
      <c r="B237" s="116" t="s">
        <v>253</v>
      </c>
      <c r="C237" s="278">
        <f t="shared" si="26"/>
        <v>0</v>
      </c>
      <c r="D237" s="134">
        <v>0</v>
      </c>
      <c r="E237" s="283"/>
      <c r="F237" s="286">
        <f t="shared" si="30"/>
        <v>0</v>
      </c>
      <c r="G237" s="134">
        <v>0</v>
      </c>
      <c r="H237" s="135"/>
      <c r="I237" s="136">
        <f t="shared" si="31"/>
        <v>0</v>
      </c>
      <c r="J237" s="134"/>
      <c r="K237" s="135"/>
      <c r="L237" s="136">
        <f t="shared" si="32"/>
        <v>0</v>
      </c>
      <c r="M237" s="284"/>
      <c r="N237" s="285"/>
      <c r="O237" s="136">
        <f t="shared" si="33"/>
        <v>0</v>
      </c>
      <c r="P237" s="85"/>
      <c r="R237" s="53"/>
    </row>
    <row r="238" spans="1:18" hidden="1" x14ac:dyDescent="0.25">
      <c r="A238" s="276">
        <v>6240</v>
      </c>
      <c r="B238" s="127" t="s">
        <v>254</v>
      </c>
      <c r="C238" s="278">
        <f t="shared" si="26"/>
        <v>0</v>
      </c>
      <c r="D238" s="277">
        <f>SUM(D239:D240)</f>
        <v>0</v>
      </c>
      <c r="E238" s="278">
        <f>SUM(E239:E240)</f>
        <v>0</v>
      </c>
      <c r="F238" s="28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c r="R238" s="53"/>
    </row>
    <row r="239" spans="1:18" hidden="1" x14ac:dyDescent="0.25">
      <c r="A239" s="76">
        <v>6241</v>
      </c>
      <c r="B239" s="127" t="s">
        <v>255</v>
      </c>
      <c r="C239" s="278">
        <f t="shared" si="26"/>
        <v>0</v>
      </c>
      <c r="D239" s="134">
        <v>0</v>
      </c>
      <c r="E239" s="283"/>
      <c r="F239" s="286">
        <f t="shared" si="30"/>
        <v>0</v>
      </c>
      <c r="G239" s="134">
        <v>0</v>
      </c>
      <c r="H239" s="135"/>
      <c r="I239" s="136">
        <f t="shared" si="31"/>
        <v>0</v>
      </c>
      <c r="J239" s="134"/>
      <c r="K239" s="135"/>
      <c r="L239" s="136">
        <f t="shared" si="32"/>
        <v>0</v>
      </c>
      <c r="M239" s="284"/>
      <c r="N239" s="285"/>
      <c r="O239" s="136">
        <f t="shared" si="33"/>
        <v>0</v>
      </c>
      <c r="P239" s="85"/>
      <c r="R239" s="53"/>
    </row>
    <row r="240" spans="1:18" hidden="1" x14ac:dyDescent="0.25">
      <c r="A240" s="76">
        <v>6242</v>
      </c>
      <c r="B240" s="127" t="s">
        <v>256</v>
      </c>
      <c r="C240" s="278">
        <f t="shared" si="26"/>
        <v>0</v>
      </c>
      <c r="D240" s="134">
        <v>0</v>
      </c>
      <c r="E240" s="283"/>
      <c r="F240" s="286">
        <f t="shared" si="30"/>
        <v>0</v>
      </c>
      <c r="G240" s="134">
        <v>0</v>
      </c>
      <c r="H240" s="135"/>
      <c r="I240" s="136">
        <f t="shared" si="31"/>
        <v>0</v>
      </c>
      <c r="J240" s="134"/>
      <c r="K240" s="135"/>
      <c r="L240" s="136">
        <f t="shared" si="32"/>
        <v>0</v>
      </c>
      <c r="M240" s="284"/>
      <c r="N240" s="285"/>
      <c r="O240" s="136">
        <f t="shared" si="33"/>
        <v>0</v>
      </c>
      <c r="P240" s="85"/>
      <c r="R240" s="53"/>
    </row>
    <row r="241" spans="1:18" hidden="1" x14ac:dyDescent="0.25">
      <c r="A241" s="276">
        <v>6250</v>
      </c>
      <c r="B241" s="127" t="s">
        <v>257</v>
      </c>
      <c r="C241" s="278">
        <f t="shared" si="26"/>
        <v>0</v>
      </c>
      <c r="D241" s="277">
        <f>SUM(D242:D246)</f>
        <v>0</v>
      </c>
      <c r="E241" s="278">
        <f>SUM(E242:E246)</f>
        <v>0</v>
      </c>
      <c r="F241" s="28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c r="R241" s="53"/>
    </row>
    <row r="242" spans="1:18" hidden="1" x14ac:dyDescent="0.25">
      <c r="A242" s="76">
        <v>6252</v>
      </c>
      <c r="B242" s="127" t="s">
        <v>258</v>
      </c>
      <c r="C242" s="278">
        <f t="shared" si="26"/>
        <v>0</v>
      </c>
      <c r="D242" s="134">
        <v>0</v>
      </c>
      <c r="E242" s="283"/>
      <c r="F242" s="286">
        <f t="shared" si="30"/>
        <v>0</v>
      </c>
      <c r="G242" s="134">
        <v>0</v>
      </c>
      <c r="H242" s="135"/>
      <c r="I242" s="136">
        <f t="shared" si="31"/>
        <v>0</v>
      </c>
      <c r="J242" s="134"/>
      <c r="K242" s="135"/>
      <c r="L242" s="136">
        <f t="shared" si="32"/>
        <v>0</v>
      </c>
      <c r="M242" s="284"/>
      <c r="N242" s="285"/>
      <c r="O242" s="136">
        <f t="shared" si="33"/>
        <v>0</v>
      </c>
      <c r="P242" s="85"/>
      <c r="R242" s="53"/>
    </row>
    <row r="243" spans="1:18" hidden="1" x14ac:dyDescent="0.25">
      <c r="A243" s="76">
        <v>6253</v>
      </c>
      <c r="B243" s="127" t="s">
        <v>259</v>
      </c>
      <c r="C243" s="278">
        <f t="shared" si="26"/>
        <v>0</v>
      </c>
      <c r="D243" s="134">
        <v>0</v>
      </c>
      <c r="E243" s="283"/>
      <c r="F243" s="286">
        <f t="shared" si="30"/>
        <v>0</v>
      </c>
      <c r="G243" s="134">
        <v>0</v>
      </c>
      <c r="H243" s="135"/>
      <c r="I243" s="136">
        <f t="shared" si="31"/>
        <v>0</v>
      </c>
      <c r="J243" s="134"/>
      <c r="K243" s="135"/>
      <c r="L243" s="136">
        <f t="shared" si="32"/>
        <v>0</v>
      </c>
      <c r="M243" s="284"/>
      <c r="N243" s="285"/>
      <c r="O243" s="136">
        <f t="shared" si="33"/>
        <v>0</v>
      </c>
      <c r="P243" s="85"/>
      <c r="R243" s="53"/>
    </row>
    <row r="244" spans="1:18" ht="24" hidden="1" x14ac:dyDescent="0.25">
      <c r="A244" s="76">
        <v>6254</v>
      </c>
      <c r="B244" s="127" t="s">
        <v>260</v>
      </c>
      <c r="C244" s="278">
        <f t="shared" si="26"/>
        <v>0</v>
      </c>
      <c r="D244" s="134">
        <v>0</v>
      </c>
      <c r="E244" s="283"/>
      <c r="F244" s="286">
        <f t="shared" si="30"/>
        <v>0</v>
      </c>
      <c r="G244" s="134">
        <v>0</v>
      </c>
      <c r="H244" s="135"/>
      <c r="I244" s="136">
        <f t="shared" si="31"/>
        <v>0</v>
      </c>
      <c r="J244" s="134"/>
      <c r="K244" s="135"/>
      <c r="L244" s="136">
        <f t="shared" si="32"/>
        <v>0</v>
      </c>
      <c r="M244" s="284"/>
      <c r="N244" s="285"/>
      <c r="O244" s="136">
        <f t="shared" si="33"/>
        <v>0</v>
      </c>
      <c r="P244" s="85"/>
      <c r="R244" s="53"/>
    </row>
    <row r="245" spans="1:18" hidden="1" x14ac:dyDescent="0.25">
      <c r="A245" s="76">
        <v>6255</v>
      </c>
      <c r="B245" s="127" t="s">
        <v>261</v>
      </c>
      <c r="C245" s="278">
        <f t="shared" si="26"/>
        <v>0</v>
      </c>
      <c r="D245" s="134">
        <v>0</v>
      </c>
      <c r="E245" s="283"/>
      <c r="F245" s="286">
        <f t="shared" si="30"/>
        <v>0</v>
      </c>
      <c r="G245" s="134">
        <v>0</v>
      </c>
      <c r="H245" s="135"/>
      <c r="I245" s="136">
        <f t="shared" si="31"/>
        <v>0</v>
      </c>
      <c r="J245" s="134"/>
      <c r="K245" s="135"/>
      <c r="L245" s="136">
        <f t="shared" si="32"/>
        <v>0</v>
      </c>
      <c r="M245" s="284"/>
      <c r="N245" s="285"/>
      <c r="O245" s="136">
        <f t="shared" si="33"/>
        <v>0</v>
      </c>
      <c r="P245" s="85"/>
      <c r="R245" s="53"/>
    </row>
    <row r="246" spans="1:18" hidden="1" x14ac:dyDescent="0.25">
      <c r="A246" s="76">
        <v>6259</v>
      </c>
      <c r="B246" s="127" t="s">
        <v>262</v>
      </c>
      <c r="C246" s="278">
        <f t="shared" si="26"/>
        <v>0</v>
      </c>
      <c r="D246" s="134">
        <v>0</v>
      </c>
      <c r="E246" s="283"/>
      <c r="F246" s="286">
        <f t="shared" si="30"/>
        <v>0</v>
      </c>
      <c r="G246" s="134">
        <v>0</v>
      </c>
      <c r="H246" s="135"/>
      <c r="I246" s="136">
        <f t="shared" si="31"/>
        <v>0</v>
      </c>
      <c r="J246" s="134"/>
      <c r="K246" s="135"/>
      <c r="L246" s="136">
        <f t="shared" si="32"/>
        <v>0</v>
      </c>
      <c r="M246" s="284"/>
      <c r="N246" s="285"/>
      <c r="O246" s="136">
        <f t="shared" si="33"/>
        <v>0</v>
      </c>
      <c r="P246" s="85"/>
      <c r="R246" s="53"/>
    </row>
    <row r="247" spans="1:18" ht="24" hidden="1" x14ac:dyDescent="0.25">
      <c r="A247" s="276">
        <v>6260</v>
      </c>
      <c r="B247" s="127" t="s">
        <v>263</v>
      </c>
      <c r="C247" s="278">
        <f t="shared" si="26"/>
        <v>0</v>
      </c>
      <c r="D247" s="134">
        <v>0</v>
      </c>
      <c r="E247" s="283"/>
      <c r="F247" s="286">
        <f t="shared" ref="F247:F299" si="37">D247+E247</f>
        <v>0</v>
      </c>
      <c r="G247" s="134">
        <v>0</v>
      </c>
      <c r="H247" s="135"/>
      <c r="I247" s="136">
        <f t="shared" ref="I247:I299" si="38">G247+H247</f>
        <v>0</v>
      </c>
      <c r="J247" s="134"/>
      <c r="K247" s="135"/>
      <c r="L247" s="136">
        <f t="shared" ref="L247:L299" si="39">J247+K247</f>
        <v>0</v>
      </c>
      <c r="M247" s="284"/>
      <c r="N247" s="285"/>
      <c r="O247" s="136">
        <f t="shared" ref="O247:O276" si="40">M247+N247</f>
        <v>0</v>
      </c>
      <c r="P247" s="85"/>
      <c r="R247" s="53"/>
    </row>
    <row r="248" spans="1:18" hidden="1" x14ac:dyDescent="0.25">
      <c r="A248" s="276">
        <v>6270</v>
      </c>
      <c r="B248" s="127" t="s">
        <v>264</v>
      </c>
      <c r="C248" s="278">
        <f t="shared" si="26"/>
        <v>0</v>
      </c>
      <c r="D248" s="134">
        <v>0</v>
      </c>
      <c r="E248" s="283"/>
      <c r="F248" s="286">
        <f t="shared" si="37"/>
        <v>0</v>
      </c>
      <c r="G248" s="134">
        <v>0</v>
      </c>
      <c r="H248" s="135"/>
      <c r="I248" s="136">
        <f t="shared" si="38"/>
        <v>0</v>
      </c>
      <c r="J248" s="134"/>
      <c r="K248" s="135"/>
      <c r="L248" s="136">
        <f t="shared" si="39"/>
        <v>0</v>
      </c>
      <c r="M248" s="284"/>
      <c r="N248" s="285"/>
      <c r="O248" s="136">
        <f t="shared" si="40"/>
        <v>0</v>
      </c>
      <c r="P248" s="85"/>
      <c r="R248" s="53"/>
    </row>
    <row r="249" spans="1:18" hidden="1" x14ac:dyDescent="0.25">
      <c r="A249" s="656">
        <v>6290</v>
      </c>
      <c r="B249" s="116" t="s">
        <v>265</v>
      </c>
      <c r="C249" s="278">
        <f t="shared" si="26"/>
        <v>0</v>
      </c>
      <c r="D249" s="297">
        <f>SUM(D250:D253)</f>
        <v>0</v>
      </c>
      <c r="E249" s="298">
        <f>SUM(E250:E253)</f>
        <v>0</v>
      </c>
      <c r="F249" s="263">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c r="R249" s="53"/>
    </row>
    <row r="250" spans="1:18" hidden="1" x14ac:dyDescent="0.25">
      <c r="A250" s="76">
        <v>6291</v>
      </c>
      <c r="B250" s="127" t="s">
        <v>266</v>
      </c>
      <c r="C250" s="278">
        <f t="shared" si="26"/>
        <v>0</v>
      </c>
      <c r="D250" s="134">
        <v>0</v>
      </c>
      <c r="E250" s="283"/>
      <c r="F250" s="286">
        <f t="shared" si="37"/>
        <v>0</v>
      </c>
      <c r="G250" s="134">
        <v>0</v>
      </c>
      <c r="H250" s="135"/>
      <c r="I250" s="136">
        <f t="shared" si="38"/>
        <v>0</v>
      </c>
      <c r="J250" s="134"/>
      <c r="K250" s="135"/>
      <c r="L250" s="136">
        <f t="shared" si="39"/>
        <v>0</v>
      </c>
      <c r="M250" s="284"/>
      <c r="N250" s="285"/>
      <c r="O250" s="136">
        <f t="shared" si="40"/>
        <v>0</v>
      </c>
      <c r="P250" s="85"/>
      <c r="R250" s="53"/>
    </row>
    <row r="251" spans="1:18" hidden="1" x14ac:dyDescent="0.25">
      <c r="A251" s="76">
        <v>6292</v>
      </c>
      <c r="B251" s="127" t="s">
        <v>267</v>
      </c>
      <c r="C251" s="278">
        <f t="shared" si="26"/>
        <v>0</v>
      </c>
      <c r="D251" s="134">
        <v>0</v>
      </c>
      <c r="E251" s="283"/>
      <c r="F251" s="286">
        <f t="shared" si="37"/>
        <v>0</v>
      </c>
      <c r="G251" s="134">
        <v>0</v>
      </c>
      <c r="H251" s="135"/>
      <c r="I251" s="136">
        <f t="shared" si="38"/>
        <v>0</v>
      </c>
      <c r="J251" s="134"/>
      <c r="K251" s="135"/>
      <c r="L251" s="136">
        <f t="shared" si="39"/>
        <v>0</v>
      </c>
      <c r="M251" s="284"/>
      <c r="N251" s="285"/>
      <c r="O251" s="136">
        <f t="shared" si="40"/>
        <v>0</v>
      </c>
      <c r="P251" s="85"/>
      <c r="R251" s="53"/>
    </row>
    <row r="252" spans="1:18" ht="60" hidden="1" x14ac:dyDescent="0.25">
      <c r="A252" s="76">
        <v>6296</v>
      </c>
      <c r="B252" s="127" t="s">
        <v>268</v>
      </c>
      <c r="C252" s="278">
        <f t="shared" si="26"/>
        <v>0</v>
      </c>
      <c r="D252" s="134">
        <v>0</v>
      </c>
      <c r="E252" s="283"/>
      <c r="F252" s="286">
        <f t="shared" si="37"/>
        <v>0</v>
      </c>
      <c r="G252" s="134">
        <v>0</v>
      </c>
      <c r="H252" s="135"/>
      <c r="I252" s="136">
        <f t="shared" si="38"/>
        <v>0</v>
      </c>
      <c r="J252" s="134"/>
      <c r="K252" s="135"/>
      <c r="L252" s="136">
        <f t="shared" si="39"/>
        <v>0</v>
      </c>
      <c r="M252" s="284"/>
      <c r="N252" s="285"/>
      <c r="O252" s="136">
        <f t="shared" si="40"/>
        <v>0</v>
      </c>
      <c r="P252" s="85"/>
      <c r="R252" s="53"/>
    </row>
    <row r="253" spans="1:18" ht="36" hidden="1" x14ac:dyDescent="0.25">
      <c r="A253" s="76">
        <v>6299</v>
      </c>
      <c r="B253" s="127" t="s">
        <v>269</v>
      </c>
      <c r="C253" s="278">
        <f t="shared" si="26"/>
        <v>0</v>
      </c>
      <c r="D253" s="134">
        <v>0</v>
      </c>
      <c r="E253" s="283"/>
      <c r="F253" s="286">
        <f t="shared" si="37"/>
        <v>0</v>
      </c>
      <c r="G253" s="134">
        <v>0</v>
      </c>
      <c r="H253" s="135"/>
      <c r="I253" s="136">
        <f t="shared" si="38"/>
        <v>0</v>
      </c>
      <c r="J253" s="134"/>
      <c r="K253" s="135"/>
      <c r="L253" s="136">
        <f t="shared" si="39"/>
        <v>0</v>
      </c>
      <c r="M253" s="284"/>
      <c r="N253" s="285"/>
      <c r="O253" s="136">
        <f t="shared" si="40"/>
        <v>0</v>
      </c>
      <c r="P253" s="85"/>
      <c r="R253" s="53"/>
    </row>
    <row r="254" spans="1:18" hidden="1" x14ac:dyDescent="0.25">
      <c r="A254" s="99">
        <v>6300</v>
      </c>
      <c r="B254" s="247" t="s">
        <v>270</v>
      </c>
      <c r="C254" s="100">
        <f t="shared" si="26"/>
        <v>0</v>
      </c>
      <c r="D254" s="112">
        <f>SUM(D255,D259,D260)</f>
        <v>0</v>
      </c>
      <c r="E254" s="248">
        <f>SUM(E255,E259,E260)</f>
        <v>0</v>
      </c>
      <c r="F254" s="313">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c r="R254" s="53"/>
    </row>
    <row r="255" spans="1:18" hidden="1" x14ac:dyDescent="0.25">
      <c r="A255" s="656">
        <v>6320</v>
      </c>
      <c r="B255" s="116" t="s">
        <v>271</v>
      </c>
      <c r="C255" s="322">
        <f t="shared" si="26"/>
        <v>0</v>
      </c>
      <c r="D255" s="297">
        <f>SUM(D256:D258)</f>
        <v>0</v>
      </c>
      <c r="E255" s="298">
        <f>SUM(E256:E258)</f>
        <v>0</v>
      </c>
      <c r="F255" s="263">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c r="R255" s="53"/>
    </row>
    <row r="256" spans="1:18" hidden="1" x14ac:dyDescent="0.25">
      <c r="A256" s="76">
        <v>6322</v>
      </c>
      <c r="B256" s="127" t="s">
        <v>272</v>
      </c>
      <c r="C256" s="281">
        <f t="shared" si="26"/>
        <v>0</v>
      </c>
      <c r="D256" s="134">
        <v>0</v>
      </c>
      <c r="E256" s="283"/>
      <c r="F256" s="286">
        <f t="shared" si="37"/>
        <v>0</v>
      </c>
      <c r="G256" s="134">
        <v>0</v>
      </c>
      <c r="H256" s="135"/>
      <c r="I256" s="136">
        <f t="shared" si="38"/>
        <v>0</v>
      </c>
      <c r="J256" s="134"/>
      <c r="K256" s="135"/>
      <c r="L256" s="136">
        <f t="shared" si="39"/>
        <v>0</v>
      </c>
      <c r="M256" s="284"/>
      <c r="N256" s="285"/>
      <c r="O256" s="136">
        <f t="shared" si="40"/>
        <v>0</v>
      </c>
      <c r="P256" s="85"/>
      <c r="R256" s="53"/>
    </row>
    <row r="257" spans="1:18" ht="24" hidden="1" x14ac:dyDescent="0.25">
      <c r="A257" s="76">
        <v>6323</v>
      </c>
      <c r="B257" s="127" t="s">
        <v>273</v>
      </c>
      <c r="C257" s="281">
        <f t="shared" si="26"/>
        <v>0</v>
      </c>
      <c r="D257" s="134">
        <v>0</v>
      </c>
      <c r="E257" s="283"/>
      <c r="F257" s="286">
        <f t="shared" si="37"/>
        <v>0</v>
      </c>
      <c r="G257" s="134">
        <v>0</v>
      </c>
      <c r="H257" s="135"/>
      <c r="I257" s="136">
        <f t="shared" si="38"/>
        <v>0</v>
      </c>
      <c r="J257" s="134"/>
      <c r="K257" s="135"/>
      <c r="L257" s="136">
        <f t="shared" si="39"/>
        <v>0</v>
      </c>
      <c r="M257" s="284"/>
      <c r="N257" s="285"/>
      <c r="O257" s="136">
        <f t="shared" si="40"/>
        <v>0</v>
      </c>
      <c r="P257" s="85"/>
      <c r="R257" s="53"/>
    </row>
    <row r="258" spans="1:18" ht="24" hidden="1" x14ac:dyDescent="0.25">
      <c r="A258" s="66">
        <v>6324</v>
      </c>
      <c r="B258" s="116" t="s">
        <v>274</v>
      </c>
      <c r="C258" s="281">
        <f t="shared" si="26"/>
        <v>0</v>
      </c>
      <c r="D258" s="123">
        <v>0</v>
      </c>
      <c r="E258" s="295"/>
      <c r="F258" s="263">
        <f t="shared" si="37"/>
        <v>0</v>
      </c>
      <c r="G258" s="123">
        <v>0</v>
      </c>
      <c r="H258" s="124"/>
      <c r="I258" s="125">
        <f t="shared" si="38"/>
        <v>0</v>
      </c>
      <c r="J258" s="123"/>
      <c r="K258" s="124"/>
      <c r="L258" s="125">
        <f t="shared" si="39"/>
        <v>0</v>
      </c>
      <c r="M258" s="264"/>
      <c r="N258" s="262"/>
      <c r="O258" s="125">
        <f t="shared" si="40"/>
        <v>0</v>
      </c>
      <c r="P258" s="74"/>
      <c r="R258" s="53"/>
    </row>
    <row r="259" spans="1:18" hidden="1" x14ac:dyDescent="0.25">
      <c r="A259" s="344">
        <v>6330</v>
      </c>
      <c r="B259" s="345" t="s">
        <v>275</v>
      </c>
      <c r="C259" s="281">
        <f t="shared" ref="C259:C286" si="50">F259+I259+L259+O259</f>
        <v>0</v>
      </c>
      <c r="D259" s="328">
        <v>0</v>
      </c>
      <c r="E259" s="683"/>
      <c r="F259" s="330">
        <f t="shared" si="37"/>
        <v>0</v>
      </c>
      <c r="G259" s="328">
        <v>0</v>
      </c>
      <c r="H259" s="331"/>
      <c r="I259" s="324">
        <f t="shared" si="38"/>
        <v>0</v>
      </c>
      <c r="J259" s="328"/>
      <c r="K259" s="331"/>
      <c r="L259" s="324">
        <f t="shared" si="39"/>
        <v>0</v>
      </c>
      <c r="M259" s="332"/>
      <c r="N259" s="329"/>
      <c r="O259" s="324">
        <f t="shared" si="40"/>
        <v>0</v>
      </c>
      <c r="P259" s="325"/>
      <c r="R259" s="53"/>
    </row>
    <row r="260" spans="1:18" hidden="1" x14ac:dyDescent="0.25">
      <c r="A260" s="276">
        <v>6360</v>
      </c>
      <c r="B260" s="127" t="s">
        <v>276</v>
      </c>
      <c r="C260" s="281">
        <f t="shared" si="50"/>
        <v>0</v>
      </c>
      <c r="D260" s="134">
        <v>0</v>
      </c>
      <c r="E260" s="283"/>
      <c r="F260" s="286">
        <f t="shared" si="37"/>
        <v>0</v>
      </c>
      <c r="G260" s="134">
        <v>0</v>
      </c>
      <c r="H260" s="135"/>
      <c r="I260" s="136">
        <f t="shared" si="38"/>
        <v>0</v>
      </c>
      <c r="J260" s="134"/>
      <c r="K260" s="135"/>
      <c r="L260" s="136">
        <f t="shared" si="39"/>
        <v>0</v>
      </c>
      <c r="M260" s="284"/>
      <c r="N260" s="285"/>
      <c r="O260" s="136">
        <f t="shared" si="40"/>
        <v>0</v>
      </c>
      <c r="P260" s="85"/>
      <c r="R260" s="53"/>
    </row>
    <row r="261" spans="1:18" ht="24" hidden="1" x14ac:dyDescent="0.25">
      <c r="A261" s="99">
        <v>6400</v>
      </c>
      <c r="B261" s="247" t="s">
        <v>277</v>
      </c>
      <c r="C261" s="100">
        <f t="shared" si="50"/>
        <v>0</v>
      </c>
      <c r="D261" s="360">
        <f>SUM(D262,D266)</f>
        <v>0</v>
      </c>
      <c r="E261" s="679">
        <f>SUM(E262,E266)</f>
        <v>0</v>
      </c>
      <c r="F261" s="316">
        <f t="shared" si="37"/>
        <v>0</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c r="R261" s="53"/>
    </row>
    <row r="262" spans="1:18" ht="24" hidden="1" x14ac:dyDescent="0.25">
      <c r="A262" s="656">
        <v>6410</v>
      </c>
      <c r="B262" s="116" t="s">
        <v>278</v>
      </c>
      <c r="C262" s="300">
        <f t="shared" si="50"/>
        <v>0</v>
      </c>
      <c r="D262" s="297">
        <f>SUM(D263:D265)</f>
        <v>0</v>
      </c>
      <c r="E262" s="298">
        <f>SUM(E263:E265)</f>
        <v>0</v>
      </c>
      <c r="F262" s="263">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c r="R262" s="53"/>
    </row>
    <row r="263" spans="1:18" hidden="1" x14ac:dyDescent="0.25">
      <c r="A263" s="76">
        <v>6411</v>
      </c>
      <c r="B263" s="346" t="s">
        <v>279</v>
      </c>
      <c r="C263" s="278">
        <f t="shared" si="50"/>
        <v>0</v>
      </c>
      <c r="D263" s="134">
        <v>0</v>
      </c>
      <c r="E263" s="283"/>
      <c r="F263" s="286">
        <f t="shared" si="37"/>
        <v>0</v>
      </c>
      <c r="G263" s="134">
        <v>0</v>
      </c>
      <c r="H263" s="135"/>
      <c r="I263" s="136">
        <f t="shared" si="38"/>
        <v>0</v>
      </c>
      <c r="J263" s="134"/>
      <c r="K263" s="135"/>
      <c r="L263" s="136">
        <f t="shared" si="39"/>
        <v>0</v>
      </c>
      <c r="M263" s="284"/>
      <c r="N263" s="285"/>
      <c r="O263" s="136">
        <f t="shared" si="40"/>
        <v>0</v>
      </c>
      <c r="P263" s="85"/>
      <c r="R263" s="53"/>
    </row>
    <row r="264" spans="1:18" ht="24" hidden="1" x14ac:dyDescent="0.25">
      <c r="A264" s="76">
        <v>6412</v>
      </c>
      <c r="B264" s="127" t="s">
        <v>280</v>
      </c>
      <c r="C264" s="278">
        <f t="shared" si="50"/>
        <v>0</v>
      </c>
      <c r="D264" s="134">
        <v>0</v>
      </c>
      <c r="E264" s="283"/>
      <c r="F264" s="286">
        <f t="shared" si="37"/>
        <v>0</v>
      </c>
      <c r="G264" s="134">
        <v>0</v>
      </c>
      <c r="H264" s="135"/>
      <c r="I264" s="136">
        <f t="shared" si="38"/>
        <v>0</v>
      </c>
      <c r="J264" s="134"/>
      <c r="K264" s="135"/>
      <c r="L264" s="136">
        <f t="shared" si="39"/>
        <v>0</v>
      </c>
      <c r="M264" s="284"/>
      <c r="N264" s="285"/>
      <c r="O264" s="136">
        <f t="shared" si="40"/>
        <v>0</v>
      </c>
      <c r="P264" s="85"/>
      <c r="R264" s="53"/>
    </row>
    <row r="265" spans="1:18" ht="24" hidden="1" x14ac:dyDescent="0.25">
      <c r="A265" s="76">
        <v>6419</v>
      </c>
      <c r="B265" s="127" t="s">
        <v>281</v>
      </c>
      <c r="C265" s="278">
        <f t="shared" si="50"/>
        <v>0</v>
      </c>
      <c r="D265" s="134">
        <v>0</v>
      </c>
      <c r="E265" s="283"/>
      <c r="F265" s="286">
        <f t="shared" si="37"/>
        <v>0</v>
      </c>
      <c r="G265" s="134">
        <v>0</v>
      </c>
      <c r="H265" s="135"/>
      <c r="I265" s="136">
        <f t="shared" si="38"/>
        <v>0</v>
      </c>
      <c r="J265" s="134"/>
      <c r="K265" s="135"/>
      <c r="L265" s="136">
        <f t="shared" si="39"/>
        <v>0</v>
      </c>
      <c r="M265" s="284"/>
      <c r="N265" s="285"/>
      <c r="O265" s="136">
        <f t="shared" si="40"/>
        <v>0</v>
      </c>
      <c r="P265" s="85"/>
      <c r="R265" s="53"/>
    </row>
    <row r="266" spans="1:18" ht="24" hidden="1" x14ac:dyDescent="0.25">
      <c r="A266" s="276">
        <v>6420</v>
      </c>
      <c r="B266" s="127" t="s">
        <v>282</v>
      </c>
      <c r="C266" s="278">
        <f t="shared" si="50"/>
        <v>0</v>
      </c>
      <c r="D266" s="277">
        <f>SUM(D267:D270)</f>
        <v>0</v>
      </c>
      <c r="E266" s="278">
        <f>SUM(E267:E270)</f>
        <v>0</v>
      </c>
      <c r="F266" s="286">
        <f t="shared" si="37"/>
        <v>0</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c r="R266" s="53"/>
    </row>
    <row r="267" spans="1:18" hidden="1" x14ac:dyDescent="0.25">
      <c r="A267" s="76">
        <v>6421</v>
      </c>
      <c r="B267" s="127" t="s">
        <v>283</v>
      </c>
      <c r="C267" s="278">
        <f t="shared" si="50"/>
        <v>0</v>
      </c>
      <c r="D267" s="134">
        <v>0</v>
      </c>
      <c r="E267" s="283"/>
      <c r="F267" s="286">
        <f t="shared" si="37"/>
        <v>0</v>
      </c>
      <c r="G267" s="134">
        <v>0</v>
      </c>
      <c r="H267" s="135"/>
      <c r="I267" s="136">
        <f t="shared" si="38"/>
        <v>0</v>
      </c>
      <c r="J267" s="134"/>
      <c r="K267" s="135"/>
      <c r="L267" s="136">
        <f t="shared" si="39"/>
        <v>0</v>
      </c>
      <c r="M267" s="284"/>
      <c r="N267" s="285"/>
      <c r="O267" s="136">
        <f t="shared" si="40"/>
        <v>0</v>
      </c>
      <c r="P267" s="85"/>
      <c r="R267" s="53"/>
    </row>
    <row r="268" spans="1:18" hidden="1" x14ac:dyDescent="0.25">
      <c r="A268" s="76">
        <v>6422</v>
      </c>
      <c r="B268" s="127" t="s">
        <v>284</v>
      </c>
      <c r="C268" s="278">
        <f t="shared" si="50"/>
        <v>0</v>
      </c>
      <c r="D268" s="134">
        <v>0</v>
      </c>
      <c r="E268" s="283"/>
      <c r="F268" s="286">
        <f t="shared" si="37"/>
        <v>0</v>
      </c>
      <c r="G268" s="134">
        <v>0</v>
      </c>
      <c r="H268" s="135"/>
      <c r="I268" s="136">
        <f t="shared" si="38"/>
        <v>0</v>
      </c>
      <c r="J268" s="134"/>
      <c r="K268" s="135"/>
      <c r="L268" s="136">
        <f t="shared" si="39"/>
        <v>0</v>
      </c>
      <c r="M268" s="284"/>
      <c r="N268" s="285"/>
      <c r="O268" s="136">
        <f t="shared" si="40"/>
        <v>0</v>
      </c>
      <c r="P268" s="85"/>
      <c r="R268" s="53"/>
    </row>
    <row r="269" spans="1:18" hidden="1" x14ac:dyDescent="0.25">
      <c r="A269" s="76">
        <v>6423</v>
      </c>
      <c r="B269" s="127" t="s">
        <v>285</v>
      </c>
      <c r="C269" s="278">
        <f t="shared" si="50"/>
        <v>0</v>
      </c>
      <c r="D269" s="134">
        <v>0</v>
      </c>
      <c r="E269" s="283"/>
      <c r="F269" s="286">
        <f t="shared" si="37"/>
        <v>0</v>
      </c>
      <c r="G269" s="134">
        <v>0</v>
      </c>
      <c r="H269" s="135"/>
      <c r="I269" s="136">
        <f t="shared" si="38"/>
        <v>0</v>
      </c>
      <c r="J269" s="134"/>
      <c r="K269" s="135"/>
      <c r="L269" s="136">
        <f t="shared" si="39"/>
        <v>0</v>
      </c>
      <c r="M269" s="284"/>
      <c r="N269" s="285"/>
      <c r="O269" s="136">
        <f t="shared" si="40"/>
        <v>0</v>
      </c>
      <c r="P269" s="85"/>
      <c r="R269" s="53"/>
    </row>
    <row r="270" spans="1:18" ht="24" hidden="1" x14ac:dyDescent="0.25">
      <c r="A270" s="76">
        <v>6424</v>
      </c>
      <c r="B270" s="127" t="s">
        <v>286</v>
      </c>
      <c r="C270" s="278">
        <f t="shared" si="50"/>
        <v>0</v>
      </c>
      <c r="D270" s="134">
        <v>0</v>
      </c>
      <c r="E270" s="283"/>
      <c r="F270" s="286">
        <f t="shared" si="37"/>
        <v>0</v>
      </c>
      <c r="G270" s="134">
        <v>0</v>
      </c>
      <c r="H270" s="135"/>
      <c r="I270" s="136">
        <f t="shared" si="38"/>
        <v>0</v>
      </c>
      <c r="J270" s="134"/>
      <c r="K270" s="135"/>
      <c r="L270" s="136">
        <f t="shared" si="39"/>
        <v>0</v>
      </c>
      <c r="M270" s="284"/>
      <c r="N270" s="285"/>
      <c r="O270" s="136">
        <f t="shared" si="40"/>
        <v>0</v>
      </c>
      <c r="P270" s="85"/>
      <c r="R270" s="53"/>
    </row>
    <row r="271" spans="1:18" ht="24" hidden="1" x14ac:dyDescent="0.25">
      <c r="A271" s="347">
        <v>7000</v>
      </c>
      <c r="B271" s="347" t="s">
        <v>287</v>
      </c>
      <c r="C271" s="348">
        <f t="shared" si="50"/>
        <v>0</v>
      </c>
      <c r="D271" s="349">
        <f>SUM(D272,D282)</f>
        <v>0</v>
      </c>
      <c r="E271" s="350">
        <f>SUM(E272,E282)</f>
        <v>0</v>
      </c>
      <c r="F271" s="408">
        <f t="shared" si="37"/>
        <v>0</v>
      </c>
      <c r="G271" s="349">
        <f>SUM(G272,G282)</f>
        <v>0</v>
      </c>
      <c r="H271" s="352">
        <f>SUM(H272,H282)</f>
        <v>0</v>
      </c>
      <c r="I271" s="353">
        <f t="shared" si="38"/>
        <v>0</v>
      </c>
      <c r="J271" s="349">
        <f>SUM(J272,J282)</f>
        <v>0</v>
      </c>
      <c r="K271" s="352">
        <f>SUM(K272,K282)</f>
        <v>0</v>
      </c>
      <c r="L271" s="353">
        <f t="shared" si="39"/>
        <v>0</v>
      </c>
      <c r="M271" s="354">
        <f>SUM(M272,M282)</f>
        <v>0</v>
      </c>
      <c r="N271" s="355">
        <f>SUM(N272,N282)</f>
        <v>0</v>
      </c>
      <c r="O271" s="356">
        <f t="shared" si="40"/>
        <v>0</v>
      </c>
      <c r="P271" s="357"/>
      <c r="R271" s="53"/>
    </row>
    <row r="272" spans="1:18" hidden="1" x14ac:dyDescent="0.25">
      <c r="A272" s="99">
        <v>7200</v>
      </c>
      <c r="B272" s="247" t="s">
        <v>288</v>
      </c>
      <c r="C272" s="100">
        <f t="shared" si="50"/>
        <v>0</v>
      </c>
      <c r="D272" s="112">
        <f>SUM(D273,D274,D277,D278,D281)</f>
        <v>0</v>
      </c>
      <c r="E272" s="248">
        <f>SUM(E273,E274,E277,E278,E281)</f>
        <v>0</v>
      </c>
      <c r="F272" s="313">
        <f t="shared" si="37"/>
        <v>0</v>
      </c>
      <c r="G272" s="112">
        <f>SUM(G273,G274,G277,G278,G281)</f>
        <v>0</v>
      </c>
      <c r="H272" s="113">
        <f>SUM(H273,H274,H277,H278,H281)</f>
        <v>0</v>
      </c>
      <c r="I272" s="114">
        <f t="shared" si="38"/>
        <v>0</v>
      </c>
      <c r="J272" s="112">
        <f>SUM(J273,J274,J277,J278,J281)</f>
        <v>0</v>
      </c>
      <c r="K272" s="113">
        <f>SUM(K273,K274,K277,K278,K281)</f>
        <v>0</v>
      </c>
      <c r="L272" s="114">
        <f t="shared" si="39"/>
        <v>0</v>
      </c>
      <c r="M272" s="250">
        <f>SUM(M273,M274,M277,M278,M281)</f>
        <v>0</v>
      </c>
      <c r="N272" s="251">
        <f>SUM(N273,N274,N277,N278,N281)</f>
        <v>0</v>
      </c>
      <c r="O272" s="252">
        <f t="shared" si="40"/>
        <v>0</v>
      </c>
      <c r="P272" s="253"/>
      <c r="R272" s="53"/>
    </row>
    <row r="273" spans="1:18" ht="24" hidden="1" x14ac:dyDescent="0.25">
      <c r="A273" s="656">
        <v>7210</v>
      </c>
      <c r="B273" s="116" t="s">
        <v>289</v>
      </c>
      <c r="C273" s="117">
        <f t="shared" si="50"/>
        <v>0</v>
      </c>
      <c r="D273" s="123">
        <v>0</v>
      </c>
      <c r="E273" s="295"/>
      <c r="F273" s="263">
        <f t="shared" si="37"/>
        <v>0</v>
      </c>
      <c r="G273" s="123">
        <v>0</v>
      </c>
      <c r="H273" s="124"/>
      <c r="I273" s="125">
        <f t="shared" si="38"/>
        <v>0</v>
      </c>
      <c r="J273" s="123"/>
      <c r="K273" s="124"/>
      <c r="L273" s="125">
        <f t="shared" si="39"/>
        <v>0</v>
      </c>
      <c r="M273" s="264"/>
      <c r="N273" s="262"/>
      <c r="O273" s="125">
        <f t="shared" si="40"/>
        <v>0</v>
      </c>
      <c r="P273" s="74"/>
      <c r="R273" s="53"/>
    </row>
    <row r="274" spans="1:18" s="358" customFormat="1" ht="24" hidden="1" x14ac:dyDescent="0.25">
      <c r="A274" s="276">
        <v>7220</v>
      </c>
      <c r="B274" s="127" t="s">
        <v>290</v>
      </c>
      <c r="C274" s="128">
        <f t="shared" si="50"/>
        <v>0</v>
      </c>
      <c r="D274" s="277">
        <f>SUM(D275:D276)</f>
        <v>0</v>
      </c>
      <c r="E274" s="278">
        <f>SUM(E275:E276)</f>
        <v>0</v>
      </c>
      <c r="F274" s="28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c r="R274" s="53"/>
    </row>
    <row r="275" spans="1:18" s="358" customFormat="1" ht="24" hidden="1" x14ac:dyDescent="0.25">
      <c r="A275" s="76">
        <v>7221</v>
      </c>
      <c r="B275" s="127" t="s">
        <v>291</v>
      </c>
      <c r="C275" s="128">
        <f t="shared" si="50"/>
        <v>0</v>
      </c>
      <c r="D275" s="134">
        <v>0</v>
      </c>
      <c r="E275" s="283"/>
      <c r="F275" s="286">
        <f t="shared" si="37"/>
        <v>0</v>
      </c>
      <c r="G275" s="134">
        <v>0</v>
      </c>
      <c r="H275" s="135"/>
      <c r="I275" s="136">
        <f t="shared" si="38"/>
        <v>0</v>
      </c>
      <c r="J275" s="134"/>
      <c r="K275" s="135"/>
      <c r="L275" s="136">
        <f t="shared" si="39"/>
        <v>0</v>
      </c>
      <c r="M275" s="284"/>
      <c r="N275" s="285"/>
      <c r="O275" s="136">
        <f t="shared" si="40"/>
        <v>0</v>
      </c>
      <c r="P275" s="85"/>
      <c r="R275" s="53"/>
    </row>
    <row r="276" spans="1:18" s="358" customFormat="1" ht="24" hidden="1" x14ac:dyDescent="0.25">
      <c r="A276" s="76">
        <v>7222</v>
      </c>
      <c r="B276" s="127" t="s">
        <v>292</v>
      </c>
      <c r="C276" s="128">
        <f t="shared" si="50"/>
        <v>0</v>
      </c>
      <c r="D276" s="134">
        <v>0</v>
      </c>
      <c r="E276" s="283"/>
      <c r="F276" s="286">
        <f t="shared" si="37"/>
        <v>0</v>
      </c>
      <c r="G276" s="134">
        <v>0</v>
      </c>
      <c r="H276" s="135"/>
      <c r="I276" s="136">
        <f t="shared" si="38"/>
        <v>0</v>
      </c>
      <c r="J276" s="134"/>
      <c r="K276" s="135"/>
      <c r="L276" s="136">
        <f t="shared" si="39"/>
        <v>0</v>
      </c>
      <c r="M276" s="284"/>
      <c r="N276" s="285"/>
      <c r="O276" s="136">
        <f t="shared" si="40"/>
        <v>0</v>
      </c>
      <c r="P276" s="85"/>
      <c r="R276" s="53"/>
    </row>
    <row r="277" spans="1:18" s="358" customFormat="1" ht="24" hidden="1" x14ac:dyDescent="0.25">
      <c r="A277" s="276">
        <v>7230</v>
      </c>
      <c r="B277" s="127" t="s">
        <v>293</v>
      </c>
      <c r="C277" s="128">
        <f t="shared" si="50"/>
        <v>0</v>
      </c>
      <c r="D277" s="134">
        <v>0</v>
      </c>
      <c r="E277" s="283"/>
      <c r="F277" s="286">
        <f t="shared" si="37"/>
        <v>0</v>
      </c>
      <c r="G277" s="134">
        <v>0</v>
      </c>
      <c r="H277" s="135"/>
      <c r="I277" s="136">
        <f t="shared" si="38"/>
        <v>0</v>
      </c>
      <c r="J277" s="134"/>
      <c r="K277" s="135"/>
      <c r="L277" s="136">
        <f t="shared" si="39"/>
        <v>0</v>
      </c>
      <c r="M277" s="284"/>
      <c r="N277" s="285"/>
      <c r="O277" s="136">
        <f>M277+N277</f>
        <v>0</v>
      </c>
      <c r="P277" s="85"/>
      <c r="R277" s="53"/>
    </row>
    <row r="278" spans="1:18" ht="24" hidden="1" x14ac:dyDescent="0.25">
      <c r="A278" s="276">
        <v>7240</v>
      </c>
      <c r="B278" s="127" t="s">
        <v>294</v>
      </c>
      <c r="C278" s="128">
        <f t="shared" si="50"/>
        <v>0</v>
      </c>
      <c r="D278" s="277">
        <f>SUM(D279:D280)</f>
        <v>0</v>
      </c>
      <c r="E278" s="278">
        <f>SUM(E279:E280)</f>
        <v>0</v>
      </c>
      <c r="F278" s="28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c r="R278" s="53"/>
    </row>
    <row r="279" spans="1:18" ht="36" hidden="1" x14ac:dyDescent="0.25">
      <c r="A279" s="76">
        <v>7245</v>
      </c>
      <c r="B279" s="127" t="s">
        <v>295</v>
      </c>
      <c r="C279" s="128">
        <f t="shared" si="50"/>
        <v>0</v>
      </c>
      <c r="D279" s="134">
        <v>0</v>
      </c>
      <c r="E279" s="283"/>
      <c r="F279" s="286">
        <f t="shared" si="37"/>
        <v>0</v>
      </c>
      <c r="G279" s="134">
        <v>0</v>
      </c>
      <c r="H279" s="135"/>
      <c r="I279" s="136">
        <f t="shared" si="38"/>
        <v>0</v>
      </c>
      <c r="J279" s="134"/>
      <c r="K279" s="135"/>
      <c r="L279" s="136">
        <f t="shared" si="39"/>
        <v>0</v>
      </c>
      <c r="M279" s="284"/>
      <c r="N279" s="285"/>
      <c r="O279" s="136">
        <f t="shared" ref="O279:O282" si="57">M279+N279</f>
        <v>0</v>
      </c>
      <c r="P279" s="85"/>
      <c r="R279" s="53"/>
    </row>
    <row r="280" spans="1:18" ht="72" hidden="1" x14ac:dyDescent="0.25">
      <c r="A280" s="76">
        <v>7246</v>
      </c>
      <c r="B280" s="127" t="s">
        <v>296</v>
      </c>
      <c r="C280" s="128">
        <f t="shared" si="50"/>
        <v>0</v>
      </c>
      <c r="D280" s="134">
        <v>0</v>
      </c>
      <c r="E280" s="283"/>
      <c r="F280" s="286">
        <f t="shared" si="37"/>
        <v>0</v>
      </c>
      <c r="G280" s="134">
        <v>0</v>
      </c>
      <c r="H280" s="135"/>
      <c r="I280" s="136">
        <f t="shared" si="38"/>
        <v>0</v>
      </c>
      <c r="J280" s="134"/>
      <c r="K280" s="135"/>
      <c r="L280" s="136">
        <f t="shared" si="39"/>
        <v>0</v>
      </c>
      <c r="M280" s="284"/>
      <c r="N280" s="285"/>
      <c r="O280" s="136">
        <f t="shared" si="57"/>
        <v>0</v>
      </c>
      <c r="P280" s="85"/>
      <c r="R280" s="53"/>
    </row>
    <row r="281" spans="1:18" ht="24" hidden="1" x14ac:dyDescent="0.25">
      <c r="A281" s="276">
        <v>7260</v>
      </c>
      <c r="B281" s="127" t="s">
        <v>297</v>
      </c>
      <c r="C281" s="128">
        <f t="shared" si="50"/>
        <v>0</v>
      </c>
      <c r="D281" s="123">
        <v>0</v>
      </c>
      <c r="E281" s="295"/>
      <c r="F281" s="263">
        <f t="shared" si="37"/>
        <v>0</v>
      </c>
      <c r="G281" s="123">
        <v>0</v>
      </c>
      <c r="H281" s="124"/>
      <c r="I281" s="125">
        <f t="shared" si="38"/>
        <v>0</v>
      </c>
      <c r="J281" s="123"/>
      <c r="K281" s="124"/>
      <c r="L281" s="125">
        <f t="shared" si="39"/>
        <v>0</v>
      </c>
      <c r="M281" s="264"/>
      <c r="N281" s="262"/>
      <c r="O281" s="125">
        <f t="shared" si="57"/>
        <v>0</v>
      </c>
      <c r="P281" s="74"/>
      <c r="R281" s="53"/>
    </row>
    <row r="282" spans="1:18" hidden="1" x14ac:dyDescent="0.25">
      <c r="A282" s="99">
        <v>7700</v>
      </c>
      <c r="B282" s="247" t="s">
        <v>298</v>
      </c>
      <c r="C282" s="359">
        <f t="shared" si="50"/>
        <v>0</v>
      </c>
      <c r="D282" s="360">
        <f>D283</f>
        <v>0</v>
      </c>
      <c r="E282" s="679">
        <f>SUM(E283)</f>
        <v>0</v>
      </c>
      <c r="F282" s="316">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c r="R282" s="53"/>
    </row>
    <row r="283" spans="1:18" hidden="1" x14ac:dyDescent="0.25">
      <c r="A283" s="141">
        <v>7720</v>
      </c>
      <c r="B283" s="142" t="s">
        <v>299</v>
      </c>
      <c r="C283" s="362">
        <f t="shared" si="50"/>
        <v>0</v>
      </c>
      <c r="D283" s="149">
        <v>0</v>
      </c>
      <c r="E283" s="686"/>
      <c r="F283" s="364">
        <f t="shared" si="37"/>
        <v>0</v>
      </c>
      <c r="G283" s="149">
        <v>0</v>
      </c>
      <c r="H283" s="150"/>
      <c r="I283" s="151">
        <f t="shared" si="38"/>
        <v>0</v>
      </c>
      <c r="J283" s="149"/>
      <c r="K283" s="150"/>
      <c r="L283" s="151">
        <f t="shared" si="39"/>
        <v>0</v>
      </c>
      <c r="M283" s="365"/>
      <c r="N283" s="363"/>
      <c r="O283" s="151">
        <f>M283+N283</f>
        <v>0</v>
      </c>
      <c r="P283" s="153"/>
      <c r="R283" s="53"/>
    </row>
    <row r="284" spans="1:18" hidden="1" x14ac:dyDescent="0.25">
      <c r="A284" s="366"/>
      <c r="B284" s="179" t="s">
        <v>300</v>
      </c>
      <c r="C284" s="117">
        <f t="shared" si="50"/>
        <v>0</v>
      </c>
      <c r="D284" s="255">
        <f>SUM(D285:D286)</f>
        <v>0</v>
      </c>
      <c r="E284" s="256">
        <f>SUM(E285:E286)</f>
        <v>0</v>
      </c>
      <c r="F284" s="310">
        <f t="shared" si="37"/>
        <v>0</v>
      </c>
      <c r="G284" s="255">
        <f>SUM(G285:G286)</f>
        <v>0</v>
      </c>
      <c r="H284" s="258">
        <f>SUM(H285:H286)</f>
        <v>0</v>
      </c>
      <c r="I284" s="259">
        <f t="shared" si="38"/>
        <v>0</v>
      </c>
      <c r="J284" s="255">
        <f>SUM(J285:J286)</f>
        <v>0</v>
      </c>
      <c r="K284" s="258">
        <f>SUM(K285:K286)</f>
        <v>0</v>
      </c>
      <c r="L284" s="259">
        <f t="shared" si="39"/>
        <v>0</v>
      </c>
      <c r="M284" s="260">
        <f>SUM(M285:M286)</f>
        <v>0</v>
      </c>
      <c r="N284" s="261">
        <f>SUM(N285:N286)</f>
        <v>0</v>
      </c>
      <c r="O284" s="259">
        <f t="shared" ref="O284:O299" si="58">M284+N284</f>
        <v>0</v>
      </c>
      <c r="P284" s="189"/>
      <c r="R284" s="53"/>
    </row>
    <row r="285" spans="1:18" hidden="1" x14ac:dyDescent="0.25">
      <c r="A285" s="346" t="s">
        <v>301</v>
      </c>
      <c r="B285" s="76" t="s">
        <v>302</v>
      </c>
      <c r="C285" s="279">
        <f t="shared" si="50"/>
        <v>0</v>
      </c>
      <c r="D285" s="134"/>
      <c r="E285" s="283"/>
      <c r="F285" s="286">
        <f t="shared" si="37"/>
        <v>0</v>
      </c>
      <c r="G285" s="134"/>
      <c r="H285" s="135"/>
      <c r="I285" s="136">
        <f t="shared" si="38"/>
        <v>0</v>
      </c>
      <c r="J285" s="134"/>
      <c r="K285" s="135"/>
      <c r="L285" s="136">
        <f t="shared" si="39"/>
        <v>0</v>
      </c>
      <c r="M285" s="284"/>
      <c r="N285" s="285"/>
      <c r="O285" s="136">
        <f t="shared" si="58"/>
        <v>0</v>
      </c>
      <c r="P285" s="85"/>
      <c r="R285" s="53"/>
    </row>
    <row r="286" spans="1:18" hidden="1" x14ac:dyDescent="0.25">
      <c r="A286" s="346" t="s">
        <v>303</v>
      </c>
      <c r="B286" s="367" t="s">
        <v>304</v>
      </c>
      <c r="C286" s="117">
        <f t="shared" si="50"/>
        <v>0</v>
      </c>
      <c r="D286" s="123"/>
      <c r="E286" s="295"/>
      <c r="F286" s="263">
        <f t="shared" si="37"/>
        <v>0</v>
      </c>
      <c r="G286" s="123"/>
      <c r="H286" s="124"/>
      <c r="I286" s="125">
        <f t="shared" si="38"/>
        <v>0</v>
      </c>
      <c r="J286" s="123"/>
      <c r="K286" s="124"/>
      <c r="L286" s="125">
        <f t="shared" si="39"/>
        <v>0</v>
      </c>
      <c r="M286" s="264"/>
      <c r="N286" s="262"/>
      <c r="O286" s="125">
        <f t="shared" si="58"/>
        <v>0</v>
      </c>
      <c r="P286" s="74"/>
      <c r="R286" s="53"/>
    </row>
    <row r="287" spans="1:18" x14ac:dyDescent="0.25">
      <c r="A287" s="368"/>
      <c r="B287" s="368" t="s">
        <v>305</v>
      </c>
      <c r="C287" s="252">
        <f>SUM(C284,C271,C233,C198,C190,C176,C78,C56)</f>
        <v>76369</v>
      </c>
      <c r="D287" s="334">
        <f>SUM(D284,D271,D233,D198,D190,D176,D78,D56)</f>
        <v>85275</v>
      </c>
      <c r="E287" s="684">
        <f>SUM(E284,E271,E233,E198,E190,E176,E78,E56)</f>
        <v>-8906</v>
      </c>
      <c r="F287" s="335">
        <f t="shared" si="37"/>
        <v>76369</v>
      </c>
      <c r="G287" s="334">
        <f t="shared" ref="G287" si="59">SUM(G284,G271,G233,G198,G190,G176,G78,G56)</f>
        <v>0</v>
      </c>
      <c r="H287" s="336">
        <f>SUM(H284,H271,H233,H198,H190,H176,H78,H56)</f>
        <v>0</v>
      </c>
      <c r="I287" s="252">
        <f t="shared" si="38"/>
        <v>0</v>
      </c>
      <c r="J287" s="334">
        <f>SUM(J284,J271,J233,J198,J190,J176,J78,J56)</f>
        <v>0</v>
      </c>
      <c r="K287" s="336">
        <f>SUM(K284,K271,K233,K198,K190,K176,K78,K56)</f>
        <v>0</v>
      </c>
      <c r="L287" s="252">
        <f t="shared" si="39"/>
        <v>0</v>
      </c>
      <c r="M287" s="250">
        <f>SUM(M284,M271,M233,M198,M190,M176,M78,M56)</f>
        <v>0</v>
      </c>
      <c r="N287" s="251">
        <f>SUM(N284,N271,N233,N198,N190,N176,N78,N56)</f>
        <v>0</v>
      </c>
      <c r="O287" s="252">
        <f t="shared" si="58"/>
        <v>0</v>
      </c>
      <c r="P287" s="253"/>
      <c r="R287" s="53"/>
    </row>
    <row r="288" spans="1:18" hidden="1" x14ac:dyDescent="0.25">
      <c r="A288" s="376" t="s">
        <v>306</v>
      </c>
      <c r="B288" s="377"/>
      <c r="C288" s="378">
        <f t="shared" ref="C288" si="60">F288+I288+L288+O288</f>
        <v>0</v>
      </c>
      <c r="D288" s="379">
        <f>SUM(D28,D29,D45)-D54</f>
        <v>0</v>
      </c>
      <c r="E288" s="380">
        <f>SUM(E28,E29,E45)-E54</f>
        <v>0</v>
      </c>
      <c r="F288" s="388">
        <f t="shared" si="37"/>
        <v>0</v>
      </c>
      <c r="G288" s="379">
        <f>SUM(G28,G29,G45)-G54</f>
        <v>0</v>
      </c>
      <c r="H288" s="382">
        <f>SUM(H28,H29,H45)-H54</f>
        <v>0</v>
      </c>
      <c r="I288" s="383">
        <f t="shared" si="38"/>
        <v>0</v>
      </c>
      <c r="J288" s="379">
        <f>(J30+J46)-J54</f>
        <v>0</v>
      </c>
      <c r="K288" s="382">
        <f>(K30+K46)-K54</f>
        <v>0</v>
      </c>
      <c r="L288" s="383">
        <f t="shared" si="39"/>
        <v>0</v>
      </c>
      <c r="M288" s="378">
        <f>M48-M54</f>
        <v>0</v>
      </c>
      <c r="N288" s="384">
        <f>N48-N54</f>
        <v>0</v>
      </c>
      <c r="O288" s="383">
        <f t="shared" si="58"/>
        <v>0</v>
      </c>
      <c r="P288" s="385"/>
      <c r="R288" s="53"/>
    </row>
    <row r="289" spans="1:18" s="41" customFormat="1" hidden="1" x14ac:dyDescent="0.25">
      <c r="A289" s="376" t="s">
        <v>307</v>
      </c>
      <c r="B289" s="377"/>
      <c r="C289" s="380">
        <f>SUM(C290,C291)-C298+C299</f>
        <v>0</v>
      </c>
      <c r="D289" s="379">
        <f>SUM(D290,D291)-D298+D299</f>
        <v>0</v>
      </c>
      <c r="E289" s="380">
        <f>SUM(E290,E291)-E298+E299</f>
        <v>0</v>
      </c>
      <c r="F289" s="388">
        <f t="shared" si="37"/>
        <v>0</v>
      </c>
      <c r="G289" s="379">
        <f t="shared" ref="G289" si="61">SUM(G290,G291)-G298+G299</f>
        <v>0</v>
      </c>
      <c r="H289" s="382">
        <f>SUM(H290,H291)-H298+H299</f>
        <v>0</v>
      </c>
      <c r="I289" s="383">
        <f t="shared" si="38"/>
        <v>0</v>
      </c>
      <c r="J289" s="379">
        <f>SUM(J290,J291)-J298+J299</f>
        <v>0</v>
      </c>
      <c r="K289" s="382">
        <f>SUM(K290,K291)-K298+K299</f>
        <v>0</v>
      </c>
      <c r="L289" s="383">
        <f t="shared" si="39"/>
        <v>0</v>
      </c>
      <c r="M289" s="378">
        <f>SUM(M290,M291)-M298+M299</f>
        <v>0</v>
      </c>
      <c r="N289" s="384">
        <f>SUM(N290,N291)-N298+N299</f>
        <v>0</v>
      </c>
      <c r="O289" s="383">
        <f t="shared" si="58"/>
        <v>0</v>
      </c>
      <c r="P289" s="385"/>
      <c r="R289" s="53"/>
    </row>
    <row r="290" spans="1:18" s="41" customFormat="1" hidden="1" x14ac:dyDescent="0.25">
      <c r="A290" s="386" t="s">
        <v>308</v>
      </c>
      <c r="B290" s="386" t="s">
        <v>309</v>
      </c>
      <c r="C290" s="380">
        <f>C25-C284</f>
        <v>0</v>
      </c>
      <c r="D290" s="379">
        <f>D25-D284</f>
        <v>0</v>
      </c>
      <c r="E290" s="380">
        <f>E25-E284</f>
        <v>0</v>
      </c>
      <c r="F290" s="388">
        <f t="shared" si="37"/>
        <v>0</v>
      </c>
      <c r="G290" s="379">
        <f t="shared" ref="G290" si="62">G25-G284</f>
        <v>0</v>
      </c>
      <c r="H290" s="382">
        <f>H25-H284</f>
        <v>0</v>
      </c>
      <c r="I290" s="383">
        <f t="shared" si="38"/>
        <v>0</v>
      </c>
      <c r="J290" s="379">
        <f>J25-J284</f>
        <v>0</v>
      </c>
      <c r="K290" s="382">
        <f>K25-K284</f>
        <v>0</v>
      </c>
      <c r="L290" s="383">
        <f t="shared" si="39"/>
        <v>0</v>
      </c>
      <c r="M290" s="378">
        <f>M25-M284</f>
        <v>0</v>
      </c>
      <c r="N290" s="384">
        <f>N25-N284</f>
        <v>0</v>
      </c>
      <c r="O290" s="383">
        <f t="shared" si="58"/>
        <v>0</v>
      </c>
      <c r="P290" s="385"/>
      <c r="R290" s="53"/>
    </row>
    <row r="291" spans="1:18" s="41" customFormat="1" hidden="1" x14ac:dyDescent="0.25">
      <c r="A291" s="387" t="s">
        <v>310</v>
      </c>
      <c r="B291" s="387" t="s">
        <v>311</v>
      </c>
      <c r="C291" s="380">
        <f>SUM(C292,C294,C296)-SUM(C293,C295,C297)</f>
        <v>0</v>
      </c>
      <c r="D291" s="379">
        <f>SUM(D292,D294,D296)-SUM(D293,D295,D297)</f>
        <v>0</v>
      </c>
      <c r="E291" s="380">
        <f t="shared" ref="E291" si="63">SUM(E292,E294,E296)-SUM(E293,E295,E297)</f>
        <v>0</v>
      </c>
      <c r="F291" s="388">
        <f t="shared" si="37"/>
        <v>0</v>
      </c>
      <c r="G291" s="379">
        <f t="shared" ref="G291:H291" si="64">SUM(G292,G294,G296)-SUM(G293,G295,G297)</f>
        <v>0</v>
      </c>
      <c r="H291" s="382">
        <f t="shared" si="64"/>
        <v>0</v>
      </c>
      <c r="I291" s="383">
        <f t="shared" si="38"/>
        <v>0</v>
      </c>
      <c r="J291" s="379">
        <f t="shared" ref="J291:K291" si="65">SUM(J292,J294,J296)-SUM(J293,J295,J297)</f>
        <v>0</v>
      </c>
      <c r="K291" s="382">
        <f t="shared" si="65"/>
        <v>0</v>
      </c>
      <c r="L291" s="383">
        <f t="shared" si="39"/>
        <v>0</v>
      </c>
      <c r="M291" s="378">
        <f t="shared" ref="M291:N291" si="66">SUM(M292,M294,M296)-SUM(M293,M295,M297)</f>
        <v>0</v>
      </c>
      <c r="N291" s="384">
        <f t="shared" si="66"/>
        <v>0</v>
      </c>
      <c r="O291" s="383">
        <f t="shared" si="58"/>
        <v>0</v>
      </c>
      <c r="P291" s="385"/>
      <c r="R291" s="53"/>
    </row>
    <row r="292" spans="1:18" s="41" customFormat="1" hidden="1" x14ac:dyDescent="0.25">
      <c r="A292" s="366" t="s">
        <v>312</v>
      </c>
      <c r="B292" s="190" t="s">
        <v>313</v>
      </c>
      <c r="C292" s="143">
        <f t="shared" ref="C292:C299" si="67">F292+I292+L292+O292</f>
        <v>0</v>
      </c>
      <c r="D292" s="149"/>
      <c r="E292" s="686"/>
      <c r="F292" s="364">
        <f t="shared" si="37"/>
        <v>0</v>
      </c>
      <c r="G292" s="149"/>
      <c r="H292" s="150"/>
      <c r="I292" s="151">
        <f t="shared" si="38"/>
        <v>0</v>
      </c>
      <c r="J292" s="149"/>
      <c r="K292" s="150"/>
      <c r="L292" s="151">
        <f t="shared" si="39"/>
        <v>0</v>
      </c>
      <c r="M292" s="365"/>
      <c r="N292" s="363"/>
      <c r="O292" s="151">
        <f t="shared" si="58"/>
        <v>0</v>
      </c>
      <c r="P292" s="153"/>
      <c r="R292" s="53"/>
    </row>
    <row r="293" spans="1:18" hidden="1" x14ac:dyDescent="0.25">
      <c r="A293" s="346" t="s">
        <v>314</v>
      </c>
      <c r="B293" s="75" t="s">
        <v>315</v>
      </c>
      <c r="C293" s="128">
        <f t="shared" si="67"/>
        <v>0</v>
      </c>
      <c r="D293" s="134"/>
      <c r="E293" s="283"/>
      <c r="F293" s="286">
        <f t="shared" si="37"/>
        <v>0</v>
      </c>
      <c r="G293" s="134"/>
      <c r="H293" s="135"/>
      <c r="I293" s="136">
        <f t="shared" si="38"/>
        <v>0</v>
      </c>
      <c r="J293" s="134"/>
      <c r="K293" s="135"/>
      <c r="L293" s="136">
        <f t="shared" si="39"/>
        <v>0</v>
      </c>
      <c r="M293" s="284"/>
      <c r="N293" s="285"/>
      <c r="O293" s="136">
        <f t="shared" si="58"/>
        <v>0</v>
      </c>
      <c r="P293" s="85"/>
      <c r="R293" s="53"/>
    </row>
    <row r="294" spans="1:18" hidden="1" x14ac:dyDescent="0.25">
      <c r="A294" s="346" t="s">
        <v>316</v>
      </c>
      <c r="B294" s="75" t="s">
        <v>317</v>
      </c>
      <c r="C294" s="128">
        <f t="shared" si="67"/>
        <v>0</v>
      </c>
      <c r="D294" s="134"/>
      <c r="E294" s="283"/>
      <c r="F294" s="286">
        <f t="shared" si="37"/>
        <v>0</v>
      </c>
      <c r="G294" s="134"/>
      <c r="H294" s="135"/>
      <c r="I294" s="136">
        <f t="shared" si="38"/>
        <v>0</v>
      </c>
      <c r="J294" s="134"/>
      <c r="K294" s="135"/>
      <c r="L294" s="136">
        <f t="shared" si="39"/>
        <v>0</v>
      </c>
      <c r="M294" s="284"/>
      <c r="N294" s="285"/>
      <c r="O294" s="136">
        <f t="shared" si="58"/>
        <v>0</v>
      </c>
      <c r="P294" s="85"/>
      <c r="R294" s="53"/>
    </row>
    <row r="295" spans="1:18" hidden="1" x14ac:dyDescent="0.25">
      <c r="A295" s="346" t="s">
        <v>318</v>
      </c>
      <c r="B295" s="75" t="s">
        <v>319</v>
      </c>
      <c r="C295" s="128">
        <f t="shared" si="67"/>
        <v>0</v>
      </c>
      <c r="D295" s="134"/>
      <c r="E295" s="283"/>
      <c r="F295" s="286">
        <f t="shared" si="37"/>
        <v>0</v>
      </c>
      <c r="G295" s="134"/>
      <c r="H295" s="135"/>
      <c r="I295" s="136">
        <f t="shared" si="38"/>
        <v>0</v>
      </c>
      <c r="J295" s="134"/>
      <c r="K295" s="135"/>
      <c r="L295" s="136">
        <f t="shared" si="39"/>
        <v>0</v>
      </c>
      <c r="M295" s="284"/>
      <c r="N295" s="285"/>
      <c r="O295" s="136">
        <f t="shared" si="58"/>
        <v>0</v>
      </c>
      <c r="P295" s="85"/>
      <c r="R295" s="53"/>
    </row>
    <row r="296" spans="1:18" hidden="1" x14ac:dyDescent="0.25">
      <c r="A296" s="346" t="s">
        <v>320</v>
      </c>
      <c r="B296" s="75" t="s">
        <v>321</v>
      </c>
      <c r="C296" s="128">
        <f t="shared" si="67"/>
        <v>0</v>
      </c>
      <c r="D296" s="134"/>
      <c r="E296" s="283"/>
      <c r="F296" s="286">
        <f t="shared" si="37"/>
        <v>0</v>
      </c>
      <c r="G296" s="134"/>
      <c r="H296" s="135"/>
      <c r="I296" s="136">
        <f t="shared" si="38"/>
        <v>0</v>
      </c>
      <c r="J296" s="134"/>
      <c r="K296" s="135"/>
      <c r="L296" s="136">
        <f t="shared" si="39"/>
        <v>0</v>
      </c>
      <c r="M296" s="284"/>
      <c r="N296" s="285"/>
      <c r="O296" s="136">
        <f t="shared" si="58"/>
        <v>0</v>
      </c>
      <c r="P296" s="85"/>
      <c r="R296" s="53"/>
    </row>
    <row r="297" spans="1:18" hidden="1" x14ac:dyDescent="0.25">
      <c r="A297" s="389" t="s">
        <v>322</v>
      </c>
      <c r="B297" s="390" t="s">
        <v>323</v>
      </c>
      <c r="C297" s="327">
        <f t="shared" si="67"/>
        <v>0</v>
      </c>
      <c r="D297" s="328"/>
      <c r="E297" s="683"/>
      <c r="F297" s="330">
        <f t="shared" si="37"/>
        <v>0</v>
      </c>
      <c r="G297" s="328"/>
      <c r="H297" s="331"/>
      <c r="I297" s="324">
        <f t="shared" si="38"/>
        <v>0</v>
      </c>
      <c r="J297" s="328"/>
      <c r="K297" s="331"/>
      <c r="L297" s="324">
        <f t="shared" si="39"/>
        <v>0</v>
      </c>
      <c r="M297" s="332"/>
      <c r="N297" s="329"/>
      <c r="O297" s="324">
        <f t="shared" si="58"/>
        <v>0</v>
      </c>
      <c r="P297" s="325"/>
      <c r="R297" s="53"/>
    </row>
    <row r="298" spans="1:18" hidden="1" x14ac:dyDescent="0.25">
      <c r="A298" s="387" t="s">
        <v>324</v>
      </c>
      <c r="B298" s="387" t="s">
        <v>325</v>
      </c>
      <c r="C298" s="391">
        <f t="shared" si="67"/>
        <v>0</v>
      </c>
      <c r="D298" s="392"/>
      <c r="E298" s="687"/>
      <c r="F298" s="388">
        <f t="shared" si="37"/>
        <v>0</v>
      </c>
      <c r="G298" s="392"/>
      <c r="H298" s="394"/>
      <c r="I298" s="383">
        <f t="shared" si="38"/>
        <v>0</v>
      </c>
      <c r="J298" s="392"/>
      <c r="K298" s="394"/>
      <c r="L298" s="383">
        <f t="shared" si="39"/>
        <v>0</v>
      </c>
      <c r="M298" s="395"/>
      <c r="N298" s="393"/>
      <c r="O298" s="383">
        <f t="shared" si="58"/>
        <v>0</v>
      </c>
      <c r="P298" s="385"/>
      <c r="R298" s="53"/>
    </row>
    <row r="299" spans="1:18" s="41" customFormat="1" ht="36" hidden="1" x14ac:dyDescent="0.25">
      <c r="A299" s="387" t="s">
        <v>326</v>
      </c>
      <c r="B299" s="396" t="s">
        <v>327</v>
      </c>
      <c r="C299" s="397">
        <f t="shared" si="67"/>
        <v>0</v>
      </c>
      <c r="D299" s="398"/>
      <c r="E299" s="688"/>
      <c r="F299" s="400">
        <f t="shared" si="37"/>
        <v>0</v>
      </c>
      <c r="G299" s="392"/>
      <c r="H299" s="394"/>
      <c r="I299" s="383">
        <f t="shared" si="38"/>
        <v>0</v>
      </c>
      <c r="J299" s="392"/>
      <c r="K299" s="394"/>
      <c r="L299" s="383">
        <f t="shared" si="39"/>
        <v>0</v>
      </c>
      <c r="M299" s="395"/>
      <c r="N299" s="393"/>
      <c r="O299" s="383">
        <f t="shared" si="58"/>
        <v>0</v>
      </c>
      <c r="P299" s="385"/>
      <c r="R299" s="53"/>
    </row>
    <row r="300" spans="1:18" s="41" customFormat="1" x14ac:dyDescent="0.25">
      <c r="A300" s="401" t="s">
        <v>328</v>
      </c>
      <c r="B300" s="402"/>
      <c r="C300" s="402"/>
      <c r="D300" s="402"/>
      <c r="E300" s="402"/>
      <c r="F300" s="402"/>
      <c r="G300" s="402"/>
      <c r="H300" s="402"/>
      <c r="I300" s="402"/>
      <c r="J300" s="402"/>
      <c r="K300" s="402"/>
      <c r="L300" s="402"/>
      <c r="M300" s="402"/>
      <c r="N300" s="402"/>
      <c r="O300" s="402"/>
      <c r="P300" s="403"/>
      <c r="Q300" s="32"/>
    </row>
    <row r="301" spans="1:18" ht="12.75" thickBot="1" x14ac:dyDescent="0.3">
      <c r="A301" s="404"/>
      <c r="B301" s="405"/>
      <c r="C301" s="405"/>
      <c r="D301" s="405"/>
      <c r="E301" s="405"/>
      <c r="F301" s="405"/>
      <c r="G301" s="405"/>
      <c r="H301" s="405"/>
      <c r="I301" s="405"/>
      <c r="J301" s="405"/>
      <c r="K301" s="405"/>
      <c r="L301" s="405"/>
      <c r="M301" s="405"/>
      <c r="N301" s="405"/>
      <c r="O301" s="405"/>
      <c r="P301" s="406"/>
      <c r="Q301" s="7"/>
    </row>
    <row r="302" spans="1:18" x14ac:dyDescent="0.25">
      <c r="A302" s="5"/>
      <c r="B302" s="5"/>
      <c r="C302" s="5"/>
      <c r="D302" s="5"/>
      <c r="E302" s="5"/>
      <c r="F302" s="5"/>
      <c r="G302" s="5"/>
      <c r="H302" s="5"/>
      <c r="I302" s="5"/>
      <c r="J302" s="5"/>
      <c r="K302" s="5"/>
      <c r="L302" s="5"/>
      <c r="M302" s="5"/>
      <c r="N302" s="5"/>
      <c r="O302" s="5"/>
    </row>
    <row r="303" spans="1:18" x14ac:dyDescent="0.25">
      <c r="A303" s="5"/>
      <c r="B303" s="5"/>
      <c r="C303" s="5"/>
      <c r="D303" s="5"/>
      <c r="E303" s="5"/>
      <c r="F303" s="5"/>
      <c r="G303" s="5"/>
      <c r="H303" s="5"/>
      <c r="I303" s="5"/>
      <c r="J303" s="5"/>
      <c r="K303" s="5"/>
      <c r="L303" s="5"/>
      <c r="M303" s="5"/>
      <c r="N303" s="5"/>
      <c r="O303" s="5"/>
    </row>
    <row r="304" spans="1:18" x14ac:dyDescent="0.25">
      <c r="A304" s="5"/>
      <c r="B304" s="5"/>
      <c r="C304" s="5"/>
      <c r="D304" s="5"/>
      <c r="E304" s="5"/>
      <c r="F304" s="5"/>
      <c r="G304" s="5"/>
      <c r="H304" s="5"/>
      <c r="I304" s="5"/>
      <c r="J304" s="5"/>
      <c r="K304" s="5"/>
      <c r="L304" s="5"/>
      <c r="M304" s="5"/>
      <c r="N304" s="5"/>
      <c r="O304" s="5"/>
    </row>
    <row r="305" spans="1:15" x14ac:dyDescent="0.25">
      <c r="A305" s="5"/>
      <c r="B305" s="5"/>
      <c r="C305" s="5"/>
      <c r="D305" s="5"/>
      <c r="E305" s="5"/>
      <c r="F305" s="5"/>
      <c r="G305" s="5"/>
      <c r="H305" s="5"/>
      <c r="I305" s="5"/>
      <c r="J305" s="5"/>
      <c r="K305" s="5"/>
      <c r="L305" s="5"/>
      <c r="M305" s="5"/>
      <c r="N305" s="5"/>
      <c r="O305" s="5"/>
    </row>
    <row r="306" spans="1:15" x14ac:dyDescent="0.25">
      <c r="A306" s="5"/>
      <c r="B306" s="5"/>
      <c r="C306" s="5"/>
      <c r="D306" s="5"/>
      <c r="E306" s="5"/>
      <c r="F306" s="5"/>
      <c r="G306" s="5"/>
      <c r="H306" s="5"/>
      <c r="I306" s="5"/>
      <c r="J306" s="5"/>
      <c r="K306" s="5"/>
      <c r="L306" s="5"/>
      <c r="M306" s="5"/>
      <c r="N306" s="5"/>
      <c r="O306" s="5"/>
    </row>
    <row r="307" spans="1:15" x14ac:dyDescent="0.25">
      <c r="A307" s="5"/>
      <c r="B307" s="5"/>
      <c r="C307" s="5"/>
      <c r="D307" s="5"/>
      <c r="E307" s="5"/>
      <c r="F307" s="5"/>
      <c r="G307" s="5"/>
      <c r="H307" s="5"/>
      <c r="I307" s="5"/>
      <c r="J307" s="5"/>
      <c r="K307" s="5"/>
      <c r="L307" s="5"/>
      <c r="M307" s="5"/>
      <c r="N307" s="5"/>
      <c r="O307" s="5"/>
    </row>
    <row r="308" spans="1:15" x14ac:dyDescent="0.25">
      <c r="A308" s="5"/>
      <c r="B308" s="5"/>
      <c r="C308" s="5"/>
      <c r="D308" s="5"/>
      <c r="E308" s="5"/>
      <c r="F308" s="5"/>
      <c r="G308" s="5"/>
      <c r="H308" s="5"/>
      <c r="I308" s="5"/>
      <c r="J308" s="5"/>
      <c r="K308" s="5"/>
      <c r="L308" s="5"/>
      <c r="M308" s="5"/>
      <c r="N308" s="5"/>
      <c r="O308" s="5"/>
    </row>
    <row r="309" spans="1:15" x14ac:dyDescent="0.25">
      <c r="A309" s="5"/>
      <c r="B309" s="5"/>
      <c r="C309" s="5"/>
      <c r="D309" s="5"/>
      <c r="E309" s="5"/>
      <c r="F309" s="5"/>
      <c r="G309" s="5"/>
      <c r="H309" s="5"/>
      <c r="I309" s="5"/>
      <c r="J309" s="5"/>
      <c r="K309" s="5"/>
      <c r="L309" s="5"/>
      <c r="M309" s="5"/>
      <c r="N309" s="5"/>
      <c r="O309" s="5"/>
    </row>
    <row r="310" spans="1:15" x14ac:dyDescent="0.25">
      <c r="A310" s="5"/>
      <c r="B310" s="5"/>
      <c r="C310" s="5"/>
      <c r="D310" s="5"/>
      <c r="E310" s="5"/>
      <c r="F310" s="5"/>
      <c r="G310" s="5"/>
      <c r="H310" s="5"/>
      <c r="I310" s="5"/>
      <c r="J310" s="5"/>
      <c r="K310" s="5"/>
      <c r="L310" s="5"/>
      <c r="M310" s="5"/>
      <c r="N310" s="5"/>
      <c r="O310" s="5"/>
    </row>
    <row r="311" spans="1:15" x14ac:dyDescent="0.25">
      <c r="A311" s="5"/>
      <c r="B311" s="5"/>
      <c r="C311" s="5"/>
      <c r="D311" s="5"/>
      <c r="E311" s="5"/>
      <c r="F311" s="5"/>
      <c r="G311" s="5"/>
      <c r="H311" s="5"/>
      <c r="I311" s="5"/>
      <c r="J311" s="5"/>
      <c r="K311" s="5"/>
      <c r="L311" s="5"/>
      <c r="M311" s="5"/>
      <c r="N311" s="5"/>
      <c r="O311" s="5"/>
    </row>
    <row r="312" spans="1:15" x14ac:dyDescent="0.25">
      <c r="A312" s="5"/>
      <c r="B312" s="5"/>
      <c r="C312" s="5"/>
      <c r="D312" s="5"/>
      <c r="E312" s="5"/>
      <c r="F312" s="5"/>
      <c r="G312" s="5"/>
      <c r="H312" s="5"/>
      <c r="I312" s="5"/>
      <c r="J312" s="5"/>
      <c r="K312" s="5"/>
      <c r="L312" s="5"/>
      <c r="M312" s="5"/>
      <c r="N312" s="5"/>
      <c r="O312" s="5"/>
    </row>
    <row r="313" spans="1:15" x14ac:dyDescent="0.25">
      <c r="A313" s="5"/>
      <c r="B313" s="5"/>
      <c r="C313" s="5"/>
      <c r="D313" s="5"/>
      <c r="E313" s="5"/>
      <c r="F313" s="5"/>
      <c r="G313" s="5"/>
      <c r="H313" s="5"/>
      <c r="I313" s="5"/>
      <c r="J313" s="5"/>
      <c r="K313" s="5"/>
      <c r="L313" s="5"/>
      <c r="M313" s="5"/>
      <c r="N313" s="5"/>
      <c r="O313" s="5"/>
    </row>
    <row r="314" spans="1:15" x14ac:dyDescent="0.25">
      <c r="A314" s="5"/>
      <c r="B314" s="5"/>
      <c r="C314" s="5"/>
      <c r="D314" s="5"/>
      <c r="E314" s="5"/>
      <c r="F314" s="5"/>
      <c r="G314" s="5"/>
      <c r="H314" s="5"/>
      <c r="I314" s="5"/>
      <c r="J314" s="5"/>
      <c r="K314" s="5"/>
      <c r="L314" s="5"/>
      <c r="M314" s="5"/>
      <c r="N314" s="5"/>
      <c r="O314" s="5"/>
    </row>
    <row r="315" spans="1:15" x14ac:dyDescent="0.25">
      <c r="A315" s="5"/>
      <c r="B315" s="5"/>
      <c r="C315" s="5"/>
      <c r="D315" s="5"/>
      <c r="E315" s="5"/>
      <c r="F315" s="5"/>
      <c r="G315" s="5"/>
      <c r="H315" s="5"/>
      <c r="I315" s="5"/>
      <c r="J315" s="5"/>
      <c r="K315" s="5"/>
      <c r="L315" s="5"/>
      <c r="M315" s="5"/>
      <c r="N315" s="5"/>
      <c r="O315" s="5"/>
    </row>
    <row r="316" spans="1:15" x14ac:dyDescent="0.25">
      <c r="A316" s="5"/>
      <c r="B316" s="5"/>
      <c r="C316" s="5"/>
      <c r="D316" s="5"/>
      <c r="E316" s="5"/>
      <c r="F316" s="5"/>
      <c r="G316" s="5"/>
      <c r="H316" s="5"/>
      <c r="I316" s="5"/>
      <c r="J316" s="5"/>
      <c r="K316" s="5"/>
      <c r="L316" s="5"/>
      <c r="M316" s="5"/>
      <c r="N316" s="5"/>
      <c r="O316" s="5"/>
    </row>
    <row r="317" spans="1:15" x14ac:dyDescent="0.25">
      <c r="A317" s="5"/>
      <c r="B317" s="5"/>
      <c r="C317" s="5"/>
      <c r="D317" s="5"/>
      <c r="E317" s="5"/>
      <c r="F317" s="5"/>
      <c r="G317" s="5"/>
      <c r="H317" s="5"/>
      <c r="I317" s="5"/>
      <c r="J317" s="5"/>
      <c r="K317" s="5"/>
      <c r="L317" s="5"/>
      <c r="M317" s="5"/>
      <c r="N317" s="5"/>
      <c r="O317" s="5"/>
    </row>
    <row r="318" spans="1:15" x14ac:dyDescent="0.25">
      <c r="A318" s="5"/>
      <c r="B318" s="5"/>
      <c r="C318" s="5"/>
      <c r="D318" s="5"/>
      <c r="E318" s="5"/>
      <c r="F318" s="5"/>
      <c r="G318" s="5"/>
      <c r="H318" s="5"/>
      <c r="I318" s="5"/>
      <c r="J318" s="5"/>
      <c r="K318" s="5"/>
      <c r="L318" s="5"/>
      <c r="M318" s="5"/>
      <c r="N318" s="5"/>
      <c r="O318" s="5"/>
    </row>
    <row r="319" spans="1:15" x14ac:dyDescent="0.25">
      <c r="A319" s="5"/>
      <c r="B319" s="5"/>
      <c r="C319" s="5"/>
      <c r="D319" s="5"/>
      <c r="E319" s="5"/>
      <c r="F319" s="5"/>
      <c r="G319" s="5"/>
      <c r="H319" s="5"/>
      <c r="I319" s="5"/>
      <c r="J319" s="5"/>
      <c r="K319" s="5"/>
      <c r="L319" s="5"/>
      <c r="M319" s="5"/>
      <c r="N319" s="5"/>
      <c r="O319" s="5"/>
    </row>
    <row r="320" spans="1:15"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bIRBV+Uv2XqparUyRj3Xu4tR1N0fBJr/oXzGA7s1qe/f23mYDObrXhgvPN4AcvQSfraylOO4NLFhzkAtaWx8sg==" saltValue="RB0KutxmrZuydXvINX8Ixw==" spinCount="100000" sheet="1" objects="1" scenarios="1" formatCells="0" formatColumns="0" formatRows="0"/>
  <autoFilter ref="A22:P300">
    <filterColumn colId="2">
      <filters blank="1">
        <filter val="14 094"/>
        <filter val="16 094"/>
        <filter val="2 000"/>
        <filter val="2 275"/>
        <filter val="3 000"/>
        <filter val="45 000"/>
        <filter val="48 000"/>
        <filter val="53 275"/>
        <filter val="6 060"/>
        <filter val="75 429"/>
        <filter val="76 369"/>
        <filter val="940"/>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70.pielikums Jūrmalas pilsētas domes
2017.gada 30.janvāra saistošajiem noteikumiem Nr.10
(Protokols Nr.4, 1.punkts)
 </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R6" sqref="R6"/>
    </sheetView>
  </sheetViews>
  <sheetFormatPr defaultRowHeight="15" outlineLevelCol="1" x14ac:dyDescent="0.25"/>
  <cols>
    <col min="1" max="1" width="10.85546875" style="1" customWidth="1"/>
    <col min="2" max="2" width="28" style="1" customWidth="1"/>
    <col min="3" max="3" width="9.85546875" style="1" customWidth="1"/>
    <col min="4" max="4" width="8.7109375" style="1" hidden="1" customWidth="1" outlineLevel="1"/>
    <col min="5" max="5" width="9.85546875" style="1" hidden="1" customWidth="1" outlineLevel="1"/>
    <col min="6" max="6" width="10"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5" hidden="1" customWidth="1" outlineLevel="1"/>
    <col min="17" max="17" width="9.140625" collapsed="1"/>
    <col min="18" max="16384" width="9.140625" style="5"/>
  </cols>
  <sheetData>
    <row r="1" spans="1:17" x14ac:dyDescent="0.25">
      <c r="B1" s="2"/>
      <c r="C1" s="2"/>
      <c r="D1" s="2"/>
      <c r="E1" s="2"/>
      <c r="F1" s="2"/>
      <c r="G1" s="2"/>
      <c r="H1" s="2"/>
      <c r="I1" s="2"/>
      <c r="J1" s="2"/>
      <c r="K1" s="2"/>
      <c r="L1" s="2"/>
      <c r="M1" s="3"/>
      <c r="N1" s="3"/>
      <c r="O1" s="4" t="s">
        <v>500</v>
      </c>
    </row>
    <row r="2" spans="1:17" x14ac:dyDescent="0.25">
      <c r="A2" s="6"/>
      <c r="B2" s="6"/>
      <c r="C2" s="6"/>
      <c r="D2" s="6"/>
      <c r="E2" s="6"/>
      <c r="F2" s="6"/>
      <c r="G2" s="6"/>
      <c r="H2" s="6"/>
      <c r="I2" s="6"/>
      <c r="J2" s="6"/>
      <c r="K2" s="6"/>
      <c r="L2" s="6"/>
      <c r="M2" s="6"/>
      <c r="N2" s="6"/>
      <c r="O2" s="6"/>
      <c r="P2" s="6"/>
    </row>
    <row r="3" spans="1:17" x14ac:dyDescent="0.25">
      <c r="A3" s="1557"/>
      <c r="B3" s="1558"/>
      <c r="C3" s="1558"/>
      <c r="D3" s="1558"/>
      <c r="E3" s="1558"/>
      <c r="F3" s="1558"/>
      <c r="G3" s="1558"/>
      <c r="H3" s="1558"/>
      <c r="I3" s="1558"/>
      <c r="J3" s="1558"/>
      <c r="K3" s="1558"/>
      <c r="L3" s="1558"/>
      <c r="M3" s="1558"/>
      <c r="N3" s="1558"/>
      <c r="O3" s="1558"/>
      <c r="P3" s="1559"/>
      <c r="Q3" s="610"/>
    </row>
    <row r="4" spans="1:17" ht="15.75" x14ac:dyDescent="0.25">
      <c r="A4" s="1560" t="s">
        <v>1</v>
      </c>
      <c r="B4" s="1561"/>
      <c r="C4" s="1561"/>
      <c r="D4" s="1561"/>
      <c r="E4" s="1561"/>
      <c r="F4" s="1561"/>
      <c r="G4" s="1561"/>
      <c r="H4" s="1561"/>
      <c r="I4" s="1561"/>
      <c r="J4" s="1561"/>
      <c r="K4" s="1561"/>
      <c r="L4" s="1561"/>
      <c r="M4" s="1561"/>
      <c r="N4" s="1561"/>
      <c r="O4" s="1561"/>
      <c r="P4" s="1562"/>
      <c r="Q4" s="610"/>
    </row>
    <row r="5" spans="1:17" x14ac:dyDescent="0.25">
      <c r="A5" s="8"/>
      <c r="B5" s="9"/>
      <c r="C5" s="10"/>
      <c r="D5" s="9"/>
      <c r="E5" s="9"/>
      <c r="F5" s="9"/>
      <c r="G5" s="9"/>
      <c r="H5" s="9"/>
      <c r="I5" s="9"/>
      <c r="J5" s="9"/>
      <c r="K5" s="9"/>
      <c r="L5" s="9"/>
      <c r="M5" s="9"/>
      <c r="N5" s="9"/>
      <c r="O5" s="11"/>
      <c r="P5" s="12"/>
      <c r="Q5" s="610"/>
    </row>
    <row r="6" spans="1:17" x14ac:dyDescent="0.25">
      <c r="A6" s="13" t="s">
        <v>2</v>
      </c>
      <c r="B6" s="14"/>
      <c r="C6" s="1555" t="s">
        <v>501</v>
      </c>
      <c r="D6" s="1555"/>
      <c r="E6" s="1555"/>
      <c r="F6" s="1555"/>
      <c r="G6" s="1555"/>
      <c r="H6" s="1555"/>
      <c r="I6" s="1555"/>
      <c r="J6" s="1555"/>
      <c r="K6" s="1555"/>
      <c r="L6" s="1555"/>
      <c r="M6" s="1555"/>
      <c r="N6" s="1555"/>
      <c r="O6" s="1555"/>
      <c r="P6" s="1556"/>
      <c r="Q6" s="610"/>
    </row>
    <row r="7" spans="1:17" x14ac:dyDescent="0.25">
      <c r="A7" s="13" t="s">
        <v>4</v>
      </c>
      <c r="B7" s="14"/>
      <c r="C7" s="1555" t="s">
        <v>502</v>
      </c>
      <c r="D7" s="1555"/>
      <c r="E7" s="1555"/>
      <c r="F7" s="1555"/>
      <c r="G7" s="1555"/>
      <c r="H7" s="1555"/>
      <c r="I7" s="1555"/>
      <c r="J7" s="1555"/>
      <c r="K7" s="1555"/>
      <c r="L7" s="1555"/>
      <c r="M7" s="1555"/>
      <c r="N7" s="1555"/>
      <c r="O7" s="1555"/>
      <c r="P7" s="1556"/>
      <c r="Q7" s="610"/>
    </row>
    <row r="8" spans="1:17" x14ac:dyDescent="0.25">
      <c r="A8" s="8" t="s">
        <v>6</v>
      </c>
      <c r="B8" s="9"/>
      <c r="C8" s="1553" t="s">
        <v>503</v>
      </c>
      <c r="D8" s="1553"/>
      <c r="E8" s="1553"/>
      <c r="F8" s="1553"/>
      <c r="G8" s="1553"/>
      <c r="H8" s="1553"/>
      <c r="I8" s="1553"/>
      <c r="J8" s="1553"/>
      <c r="K8" s="1553"/>
      <c r="L8" s="1553"/>
      <c r="M8" s="1553"/>
      <c r="N8" s="1553"/>
      <c r="O8" s="1553"/>
      <c r="P8" s="1554"/>
      <c r="Q8" s="610"/>
    </row>
    <row r="9" spans="1:17" x14ac:dyDescent="0.25">
      <c r="A9" s="8" t="s">
        <v>8</v>
      </c>
      <c r="B9" s="9"/>
      <c r="C9" s="1553" t="s">
        <v>504</v>
      </c>
      <c r="D9" s="1553"/>
      <c r="E9" s="1553"/>
      <c r="F9" s="1553"/>
      <c r="G9" s="1553"/>
      <c r="H9" s="1553"/>
      <c r="I9" s="1553"/>
      <c r="J9" s="1553"/>
      <c r="K9" s="1553"/>
      <c r="L9" s="1553"/>
      <c r="M9" s="1553"/>
      <c r="N9" s="1553"/>
      <c r="O9" s="1553"/>
      <c r="P9" s="1554"/>
      <c r="Q9" s="610"/>
    </row>
    <row r="10" spans="1:17" ht="25.5" customHeight="1" x14ac:dyDescent="0.25">
      <c r="A10" s="8" t="s">
        <v>10</v>
      </c>
      <c r="B10" s="9"/>
      <c r="C10" s="1555" t="s">
        <v>505</v>
      </c>
      <c r="D10" s="1555"/>
      <c r="E10" s="1555"/>
      <c r="F10" s="1555"/>
      <c r="G10" s="1555"/>
      <c r="H10" s="1555"/>
      <c r="I10" s="1555"/>
      <c r="J10" s="1555"/>
      <c r="K10" s="1555"/>
      <c r="L10" s="1555"/>
      <c r="M10" s="1555"/>
      <c r="N10" s="1555"/>
      <c r="O10" s="1555"/>
      <c r="P10" s="1556"/>
      <c r="Q10" s="610"/>
    </row>
    <row r="11" spans="1:17" x14ac:dyDescent="0.25">
      <c r="A11" s="8" t="s">
        <v>12</v>
      </c>
      <c r="B11" s="9"/>
      <c r="C11" s="1555"/>
      <c r="D11" s="1555"/>
      <c r="E11" s="1555"/>
      <c r="F11" s="1555"/>
      <c r="G11" s="1555"/>
      <c r="H11" s="1555"/>
      <c r="I11" s="1555"/>
      <c r="J11" s="1555"/>
      <c r="K11" s="1555"/>
      <c r="L11" s="1555"/>
      <c r="M11" s="1555"/>
      <c r="N11" s="1555"/>
      <c r="O11" s="1555"/>
      <c r="P11" s="1556"/>
      <c r="Q11" s="610"/>
    </row>
    <row r="12" spans="1:17" x14ac:dyDescent="0.25">
      <c r="A12" s="15" t="s">
        <v>14</v>
      </c>
      <c r="B12" s="9"/>
      <c r="C12" s="16"/>
      <c r="D12" s="16"/>
      <c r="E12" s="16"/>
      <c r="F12" s="16"/>
      <c r="G12" s="16"/>
      <c r="H12" s="16"/>
      <c r="I12" s="16"/>
      <c r="J12" s="16"/>
      <c r="K12" s="16"/>
      <c r="L12" s="16"/>
      <c r="M12" s="16"/>
      <c r="N12" s="16"/>
      <c r="O12" s="16"/>
      <c r="P12" s="17"/>
      <c r="Q12" s="610"/>
    </row>
    <row r="13" spans="1:17" x14ac:dyDescent="0.25">
      <c r="A13" s="8"/>
      <c r="B13" s="9" t="s">
        <v>15</v>
      </c>
      <c r="C13" s="1553"/>
      <c r="D13" s="1553"/>
      <c r="E13" s="1553"/>
      <c r="F13" s="1553"/>
      <c r="G13" s="1553"/>
      <c r="H13" s="1553"/>
      <c r="I13" s="1553"/>
      <c r="J13" s="1553"/>
      <c r="K13" s="1553"/>
      <c r="L13" s="1553"/>
      <c r="M13" s="1553"/>
      <c r="N13" s="1553"/>
      <c r="O13" s="1553"/>
      <c r="P13" s="1554"/>
      <c r="Q13" s="610"/>
    </row>
    <row r="14" spans="1:17" x14ac:dyDescent="0.25">
      <c r="A14" s="8"/>
      <c r="B14" s="9" t="s">
        <v>17</v>
      </c>
      <c r="C14" s="1553" t="s">
        <v>506</v>
      </c>
      <c r="D14" s="1553"/>
      <c r="E14" s="1553"/>
      <c r="F14" s="1553"/>
      <c r="G14" s="1553"/>
      <c r="H14" s="1553"/>
      <c r="I14" s="1553"/>
      <c r="J14" s="1553"/>
      <c r="K14" s="1553"/>
      <c r="L14" s="1553"/>
      <c r="M14" s="1553"/>
      <c r="N14" s="1553"/>
      <c r="O14" s="1553"/>
      <c r="P14" s="1554"/>
      <c r="Q14" s="610"/>
    </row>
    <row r="15" spans="1:17" x14ac:dyDescent="0.25">
      <c r="A15" s="8"/>
      <c r="B15" s="9" t="s">
        <v>19</v>
      </c>
      <c r="C15" s="1553"/>
      <c r="D15" s="1553"/>
      <c r="E15" s="1553"/>
      <c r="F15" s="1553"/>
      <c r="G15" s="1553"/>
      <c r="H15" s="1553"/>
      <c r="I15" s="1553"/>
      <c r="J15" s="1553"/>
      <c r="K15" s="1553"/>
      <c r="L15" s="1553"/>
      <c r="M15" s="1553"/>
      <c r="N15" s="1553"/>
      <c r="O15" s="1553"/>
      <c r="P15" s="1554"/>
      <c r="Q15" s="610"/>
    </row>
    <row r="16" spans="1:17" x14ac:dyDescent="0.25">
      <c r="A16" s="8"/>
      <c r="B16" s="9" t="s">
        <v>20</v>
      </c>
      <c r="C16" s="1553"/>
      <c r="D16" s="1553"/>
      <c r="E16" s="1553"/>
      <c r="F16" s="1553"/>
      <c r="G16" s="1553"/>
      <c r="H16" s="1553"/>
      <c r="I16" s="1553"/>
      <c r="J16" s="1553"/>
      <c r="K16" s="1553"/>
      <c r="L16" s="1553"/>
      <c r="M16" s="1553"/>
      <c r="N16" s="1553"/>
      <c r="O16" s="1553"/>
      <c r="P16" s="1554"/>
      <c r="Q16" s="610"/>
    </row>
    <row r="17" spans="1:17" x14ac:dyDescent="0.25">
      <c r="A17" s="8"/>
      <c r="B17" s="9" t="s">
        <v>22</v>
      </c>
      <c r="C17" s="1553"/>
      <c r="D17" s="1553"/>
      <c r="E17" s="1553"/>
      <c r="F17" s="1553"/>
      <c r="G17" s="1553"/>
      <c r="H17" s="1553"/>
      <c r="I17" s="1553"/>
      <c r="J17" s="1553"/>
      <c r="K17" s="1553"/>
      <c r="L17" s="1553"/>
      <c r="M17" s="1553"/>
      <c r="N17" s="1553"/>
      <c r="O17" s="1553"/>
      <c r="P17" s="1554"/>
      <c r="Q17" s="610"/>
    </row>
    <row r="18" spans="1:17" x14ac:dyDescent="0.25">
      <c r="A18" s="18"/>
      <c r="B18" s="19"/>
      <c r="C18" s="1569"/>
      <c r="D18" s="1569"/>
      <c r="E18" s="1569"/>
      <c r="F18" s="1569"/>
      <c r="G18" s="1569"/>
      <c r="H18" s="1569"/>
      <c r="I18" s="1569"/>
      <c r="J18" s="1569"/>
      <c r="K18" s="1569"/>
      <c r="L18" s="1569"/>
      <c r="M18" s="1569"/>
      <c r="N18" s="1569"/>
      <c r="O18" s="1569"/>
      <c r="P18" s="1570"/>
      <c r="Q18" s="610"/>
    </row>
    <row r="19" spans="1:17" s="20" customFormat="1" ht="12" x14ac:dyDescent="0.25">
      <c r="A19" s="1571" t="s">
        <v>23</v>
      </c>
      <c r="B19" s="1574" t="s">
        <v>24</v>
      </c>
      <c r="C19" s="1577" t="s">
        <v>25</v>
      </c>
      <c r="D19" s="1578"/>
      <c r="E19" s="1578"/>
      <c r="F19" s="1578"/>
      <c r="G19" s="1578"/>
      <c r="H19" s="1578"/>
      <c r="I19" s="1578"/>
      <c r="J19" s="1578"/>
      <c r="K19" s="1578"/>
      <c r="L19" s="1578"/>
      <c r="M19" s="1578"/>
      <c r="N19" s="1578"/>
      <c r="O19" s="1579"/>
      <c r="P19" s="1574" t="s">
        <v>26</v>
      </c>
    </row>
    <row r="20" spans="1:17" s="20" customFormat="1" ht="12" x14ac:dyDescent="0.25">
      <c r="A20" s="1572"/>
      <c r="B20" s="1575"/>
      <c r="C20" s="1580" t="s">
        <v>27</v>
      </c>
      <c r="D20" s="1565" t="s">
        <v>28</v>
      </c>
      <c r="E20" s="1595" t="s">
        <v>29</v>
      </c>
      <c r="F20" s="1563" t="s">
        <v>30</v>
      </c>
      <c r="G20" s="1565" t="s">
        <v>31</v>
      </c>
      <c r="H20" s="1567" t="s">
        <v>32</v>
      </c>
      <c r="I20" s="1563" t="s">
        <v>33</v>
      </c>
      <c r="J20" s="1565" t="s">
        <v>34</v>
      </c>
      <c r="K20" s="1567" t="s">
        <v>35</v>
      </c>
      <c r="L20" s="1563" t="s">
        <v>36</v>
      </c>
      <c r="M20" s="1565" t="s">
        <v>37</v>
      </c>
      <c r="N20" s="1567" t="s">
        <v>38</v>
      </c>
      <c r="O20" s="1563" t="s">
        <v>39</v>
      </c>
      <c r="P20" s="1575"/>
    </row>
    <row r="21" spans="1:17" s="21" customFormat="1" ht="70.5" customHeight="1" thickBot="1" x14ac:dyDescent="0.3">
      <c r="A21" s="1573"/>
      <c r="B21" s="1576"/>
      <c r="C21" s="1581"/>
      <c r="D21" s="1566"/>
      <c r="E21" s="1596"/>
      <c r="F21" s="1564"/>
      <c r="G21" s="1566"/>
      <c r="H21" s="1568"/>
      <c r="I21" s="1564"/>
      <c r="J21" s="1566"/>
      <c r="K21" s="1568"/>
      <c r="L21" s="1564"/>
      <c r="M21" s="1566"/>
      <c r="N21" s="1568"/>
      <c r="O21" s="1564"/>
      <c r="P21" s="1576"/>
    </row>
    <row r="22" spans="1:17" s="21" customFormat="1" ht="9" thickTop="1" x14ac:dyDescent="0.25">
      <c r="A22" s="22" t="s">
        <v>40</v>
      </c>
      <c r="B22" s="22">
        <v>2</v>
      </c>
      <c r="C22" s="23">
        <v>3</v>
      </c>
      <c r="D22" s="24">
        <v>4</v>
      </c>
      <c r="E22" s="611">
        <v>5</v>
      </c>
      <c r="F22" s="22">
        <v>6</v>
      </c>
      <c r="G22" s="24">
        <v>7</v>
      </c>
      <c r="H22" s="26">
        <v>8</v>
      </c>
      <c r="I22" s="27">
        <v>9</v>
      </c>
      <c r="J22" s="24">
        <v>10</v>
      </c>
      <c r="K22" s="28">
        <v>11</v>
      </c>
      <c r="L22" s="27">
        <v>12</v>
      </c>
      <c r="M22" s="28">
        <v>13</v>
      </c>
      <c r="N22" s="29">
        <v>14</v>
      </c>
      <c r="O22" s="27">
        <v>15</v>
      </c>
      <c r="P22" s="27">
        <v>16</v>
      </c>
    </row>
    <row r="23" spans="1:17" s="41" customFormat="1" ht="12" hidden="1" x14ac:dyDescent="0.25">
      <c r="A23" s="30"/>
      <c r="B23" s="31" t="s">
        <v>41</v>
      </c>
      <c r="C23" s="32"/>
      <c r="D23" s="33"/>
      <c r="E23" s="612"/>
      <c r="F23" s="35"/>
      <c r="G23" s="33"/>
      <c r="H23" s="36"/>
      <c r="I23" s="37"/>
      <c r="J23" s="33"/>
      <c r="K23" s="38"/>
      <c r="L23" s="37"/>
      <c r="M23" s="38"/>
      <c r="N23" s="39"/>
      <c r="O23" s="37"/>
      <c r="P23" s="40"/>
    </row>
    <row r="24" spans="1:17" s="41" customFormat="1" ht="12.75" thickBot="1" x14ac:dyDescent="0.3">
      <c r="A24" s="42"/>
      <c r="B24" s="43" t="s">
        <v>42</v>
      </c>
      <c r="C24" s="44">
        <f>F24+I24+L24+O24</f>
        <v>1212160</v>
      </c>
      <c r="D24" s="45">
        <f>SUM(D25,D28,D29,D45,D46)</f>
        <v>3210000</v>
      </c>
      <c r="E24" s="613">
        <f>SUM(E25,E28,E29,E45,E46)</f>
        <v>-1997840</v>
      </c>
      <c r="F24" s="47">
        <f t="shared" ref="F24:F29" si="0">D24+E24</f>
        <v>1212160</v>
      </c>
      <c r="G24" s="45">
        <f>SUM(G25,G28,G46)</f>
        <v>0</v>
      </c>
      <c r="H24" s="48">
        <f>SUM(H25,H28,H46)</f>
        <v>0</v>
      </c>
      <c r="I24" s="49">
        <f>G24+H24</f>
        <v>0</v>
      </c>
      <c r="J24" s="45">
        <f>SUM(J25,J30,J46)</f>
        <v>0</v>
      </c>
      <c r="K24" s="48">
        <f>SUM(K25,K30,K46)</f>
        <v>0</v>
      </c>
      <c r="L24" s="49">
        <f>J24+K24</f>
        <v>0</v>
      </c>
      <c r="M24" s="50">
        <f>SUM(M25,M48)</f>
        <v>0</v>
      </c>
      <c r="N24" s="51">
        <f>SUM(N25,N48)</f>
        <v>0</v>
      </c>
      <c r="O24" s="49">
        <f>M24+N24</f>
        <v>0</v>
      </c>
      <c r="P24" s="52"/>
    </row>
    <row r="25" spans="1:17" ht="15.75" hidden="1" thickTop="1" x14ac:dyDescent="0.25">
      <c r="A25" s="54"/>
      <c r="B25" s="55" t="s">
        <v>43</v>
      </c>
      <c r="C25" s="56">
        <f>F25+I25+L25+O25</f>
        <v>0</v>
      </c>
      <c r="D25" s="57">
        <f>SUM(D26:D27)</f>
        <v>0</v>
      </c>
      <c r="E25" s="63">
        <f>SUM(E26:E27)</f>
        <v>0</v>
      </c>
      <c r="F25" s="426">
        <f t="shared" si="0"/>
        <v>0</v>
      </c>
      <c r="G25" s="57">
        <f>SUM(G26:G27)</f>
        <v>0</v>
      </c>
      <c r="H25" s="60">
        <f>SUM(H26:H27)</f>
        <v>0</v>
      </c>
      <c r="I25" s="61">
        <f>G25+H25</f>
        <v>0</v>
      </c>
      <c r="J25" s="57">
        <f>SUM(J26:J27)</f>
        <v>0</v>
      </c>
      <c r="K25" s="60">
        <f>SUM(K26:K27)</f>
        <v>0</v>
      </c>
      <c r="L25" s="61">
        <f>J25+K25</f>
        <v>0</v>
      </c>
      <c r="M25" s="62">
        <f>SUM(M26:M27)</f>
        <v>0</v>
      </c>
      <c r="N25" s="63">
        <f>SUM(N26:N27)</f>
        <v>0</v>
      </c>
      <c r="O25" s="61">
        <f>M25+N25</f>
        <v>0</v>
      </c>
      <c r="P25" s="64"/>
    </row>
    <row r="26" spans="1:17" ht="15.75" hidden="1" thickTop="1" x14ac:dyDescent="0.25">
      <c r="A26" s="65"/>
      <c r="B26" s="66" t="s">
        <v>44</v>
      </c>
      <c r="C26" s="67">
        <f>F26+I26+L26+O26</f>
        <v>0</v>
      </c>
      <c r="D26" s="68"/>
      <c r="E26" s="69"/>
      <c r="F26" s="70">
        <f t="shared" si="0"/>
        <v>0</v>
      </c>
      <c r="G26" s="68"/>
      <c r="H26" s="71"/>
      <c r="I26" s="72">
        <f>G26+H26</f>
        <v>0</v>
      </c>
      <c r="J26" s="68"/>
      <c r="K26" s="71"/>
      <c r="L26" s="72">
        <f>J26+K26</f>
        <v>0</v>
      </c>
      <c r="M26" s="73"/>
      <c r="N26" s="69"/>
      <c r="O26" s="72">
        <f>M26+N26</f>
        <v>0</v>
      </c>
      <c r="P26" s="74"/>
    </row>
    <row r="27" spans="1:17" ht="15.75" hidden="1" thickTop="1" x14ac:dyDescent="0.25">
      <c r="A27" s="75"/>
      <c r="B27" s="76" t="s">
        <v>45</v>
      </c>
      <c r="C27" s="77">
        <f>F27+I27+L27+O27</f>
        <v>0</v>
      </c>
      <c r="D27" s="78"/>
      <c r="E27" s="84"/>
      <c r="F27" s="429">
        <f t="shared" si="0"/>
        <v>0</v>
      </c>
      <c r="G27" s="78"/>
      <c r="H27" s="81"/>
      <c r="I27" s="82">
        <f>G27+H27</f>
        <v>0</v>
      </c>
      <c r="J27" s="78"/>
      <c r="K27" s="81"/>
      <c r="L27" s="82">
        <f>J27+K27</f>
        <v>0</v>
      </c>
      <c r="M27" s="83"/>
      <c r="N27" s="84"/>
      <c r="O27" s="82">
        <f>M27+N27</f>
        <v>0</v>
      </c>
      <c r="P27" s="85"/>
    </row>
    <row r="28" spans="1:17" s="41" customFormat="1" ht="25.5" thickTop="1" thickBot="1" x14ac:dyDescent="0.3">
      <c r="A28" s="86">
        <v>19300</v>
      </c>
      <c r="B28" s="86" t="s">
        <v>46</v>
      </c>
      <c r="C28" s="87">
        <f>SUM(F28,I28)</f>
        <v>1212160</v>
      </c>
      <c r="D28" s="88">
        <v>3210000</v>
      </c>
      <c r="E28" s="614">
        <v>-1997840</v>
      </c>
      <c r="F28" s="90">
        <f t="shared" si="0"/>
        <v>1212160</v>
      </c>
      <c r="G28" s="88"/>
      <c r="H28" s="91"/>
      <c r="I28" s="92">
        <f>G28+H28</f>
        <v>0</v>
      </c>
      <c r="J28" s="93" t="s">
        <v>47</v>
      </c>
      <c r="K28" s="94" t="s">
        <v>47</v>
      </c>
      <c r="L28" s="95" t="s">
        <v>47</v>
      </c>
      <c r="M28" s="96" t="s">
        <v>47</v>
      </c>
      <c r="N28" s="97" t="s">
        <v>47</v>
      </c>
      <c r="O28" s="95" t="s">
        <v>47</v>
      </c>
      <c r="P28" s="98"/>
    </row>
    <row r="29" spans="1:17" s="41" customFormat="1" ht="36.75" hidden="1" customHeight="1" thickTop="1" x14ac:dyDescent="0.25">
      <c r="A29" s="99"/>
      <c r="B29" s="99" t="s">
        <v>48</v>
      </c>
      <c r="C29" s="100">
        <f>F29</f>
        <v>0</v>
      </c>
      <c r="D29" s="101"/>
      <c r="E29" s="102"/>
      <c r="F29" s="103">
        <f t="shared" si="0"/>
        <v>0</v>
      </c>
      <c r="G29" s="104" t="s">
        <v>47</v>
      </c>
      <c r="H29" s="105" t="s">
        <v>47</v>
      </c>
      <c r="I29" s="106" t="s">
        <v>47</v>
      </c>
      <c r="J29" s="104" t="s">
        <v>47</v>
      </c>
      <c r="K29" s="105" t="s">
        <v>47</v>
      </c>
      <c r="L29" s="106" t="s">
        <v>47</v>
      </c>
      <c r="M29" s="107" t="s">
        <v>47</v>
      </c>
      <c r="N29" s="108" t="s">
        <v>47</v>
      </c>
      <c r="O29" s="106" t="s">
        <v>47</v>
      </c>
      <c r="P29" s="109"/>
    </row>
    <row r="30" spans="1:17" s="41" customFormat="1" ht="36.75" hidden="1" thickTop="1" x14ac:dyDescent="0.25">
      <c r="A30" s="99">
        <v>21300</v>
      </c>
      <c r="B30" s="99" t="s">
        <v>49</v>
      </c>
      <c r="C30" s="100">
        <f t="shared" ref="C30:C44" si="1">L30</f>
        <v>0</v>
      </c>
      <c r="D30" s="104" t="s">
        <v>47</v>
      </c>
      <c r="E30" s="108" t="s">
        <v>47</v>
      </c>
      <c r="F30" s="140" t="s">
        <v>47</v>
      </c>
      <c r="G30" s="104" t="s">
        <v>47</v>
      </c>
      <c r="H30" s="105" t="s">
        <v>47</v>
      </c>
      <c r="I30" s="106" t="s">
        <v>47</v>
      </c>
      <c r="J30" s="112">
        <f>SUM(J31,J35,J37,J40)</f>
        <v>0</v>
      </c>
      <c r="K30" s="113">
        <f>SUM(K31,K35,K37,K40)</f>
        <v>0</v>
      </c>
      <c r="L30" s="114">
        <f t="shared" ref="L30:L44" si="2">J30+K30</f>
        <v>0</v>
      </c>
      <c r="M30" s="107" t="s">
        <v>47</v>
      </c>
      <c r="N30" s="108" t="s">
        <v>47</v>
      </c>
      <c r="O30" s="106" t="s">
        <v>47</v>
      </c>
      <c r="P30" s="109"/>
    </row>
    <row r="31" spans="1:17" s="41" customFormat="1" ht="24.75" hidden="1" thickTop="1" x14ac:dyDescent="0.25">
      <c r="A31" s="115">
        <v>21350</v>
      </c>
      <c r="B31" s="99" t="s">
        <v>50</v>
      </c>
      <c r="C31" s="100">
        <f t="shared" si="1"/>
        <v>0</v>
      </c>
      <c r="D31" s="104" t="s">
        <v>47</v>
      </c>
      <c r="E31" s="108" t="s">
        <v>47</v>
      </c>
      <c r="F31" s="140" t="s">
        <v>47</v>
      </c>
      <c r="G31" s="104" t="s">
        <v>47</v>
      </c>
      <c r="H31" s="105" t="s">
        <v>47</v>
      </c>
      <c r="I31" s="106" t="s">
        <v>47</v>
      </c>
      <c r="J31" s="112">
        <f>SUM(J32:J34)</f>
        <v>0</v>
      </c>
      <c r="K31" s="113">
        <f>SUM(K32:K34)</f>
        <v>0</v>
      </c>
      <c r="L31" s="114">
        <f t="shared" si="2"/>
        <v>0</v>
      </c>
      <c r="M31" s="107" t="s">
        <v>47</v>
      </c>
      <c r="N31" s="108" t="s">
        <v>47</v>
      </c>
      <c r="O31" s="106" t="s">
        <v>47</v>
      </c>
      <c r="P31" s="109"/>
    </row>
    <row r="32" spans="1:17" ht="15.75" hidden="1" thickTop="1" x14ac:dyDescent="0.25">
      <c r="A32" s="65">
        <v>21351</v>
      </c>
      <c r="B32" s="116" t="s">
        <v>51</v>
      </c>
      <c r="C32" s="117">
        <f t="shared" si="1"/>
        <v>0</v>
      </c>
      <c r="D32" s="118" t="s">
        <v>47</v>
      </c>
      <c r="E32" s="119" t="s">
        <v>47</v>
      </c>
      <c r="F32" s="120" t="s">
        <v>47</v>
      </c>
      <c r="G32" s="118" t="s">
        <v>47</v>
      </c>
      <c r="H32" s="121" t="s">
        <v>47</v>
      </c>
      <c r="I32" s="122" t="s">
        <v>47</v>
      </c>
      <c r="J32" s="123"/>
      <c r="K32" s="124"/>
      <c r="L32" s="125">
        <f t="shared" si="2"/>
        <v>0</v>
      </c>
      <c r="M32" s="126" t="s">
        <v>47</v>
      </c>
      <c r="N32" s="119" t="s">
        <v>47</v>
      </c>
      <c r="O32" s="122" t="s">
        <v>47</v>
      </c>
      <c r="P32" s="74"/>
    </row>
    <row r="33" spans="1:16" ht="15.75" hidden="1" thickTop="1" x14ac:dyDescent="0.25">
      <c r="A33" s="75">
        <v>21352</v>
      </c>
      <c r="B33" s="127" t="s">
        <v>52</v>
      </c>
      <c r="C33" s="128">
        <f t="shared" si="1"/>
        <v>0</v>
      </c>
      <c r="D33" s="129" t="s">
        <v>47</v>
      </c>
      <c r="E33" s="138" t="s">
        <v>47</v>
      </c>
      <c r="F33" s="139" t="s">
        <v>47</v>
      </c>
      <c r="G33" s="129" t="s">
        <v>47</v>
      </c>
      <c r="H33" s="132" t="s">
        <v>47</v>
      </c>
      <c r="I33" s="133" t="s">
        <v>47</v>
      </c>
      <c r="J33" s="134"/>
      <c r="K33" s="135"/>
      <c r="L33" s="136">
        <f t="shared" si="2"/>
        <v>0</v>
      </c>
      <c r="M33" s="137" t="s">
        <v>47</v>
      </c>
      <c r="N33" s="138" t="s">
        <v>47</v>
      </c>
      <c r="O33" s="133" t="s">
        <v>47</v>
      </c>
      <c r="P33" s="85"/>
    </row>
    <row r="34" spans="1:16" ht="24.75" hidden="1" thickTop="1" x14ac:dyDescent="0.25">
      <c r="A34" s="75">
        <v>21359</v>
      </c>
      <c r="B34" s="127" t="s">
        <v>53</v>
      </c>
      <c r="C34" s="128">
        <f t="shared" si="1"/>
        <v>0</v>
      </c>
      <c r="D34" s="129" t="s">
        <v>47</v>
      </c>
      <c r="E34" s="138" t="s">
        <v>47</v>
      </c>
      <c r="F34" s="139" t="s">
        <v>47</v>
      </c>
      <c r="G34" s="129" t="s">
        <v>47</v>
      </c>
      <c r="H34" s="132" t="s">
        <v>47</v>
      </c>
      <c r="I34" s="133" t="s">
        <v>47</v>
      </c>
      <c r="J34" s="134"/>
      <c r="K34" s="135"/>
      <c r="L34" s="136">
        <f t="shared" si="2"/>
        <v>0</v>
      </c>
      <c r="M34" s="137" t="s">
        <v>47</v>
      </c>
      <c r="N34" s="138" t="s">
        <v>47</v>
      </c>
      <c r="O34" s="133" t="s">
        <v>47</v>
      </c>
      <c r="P34" s="85"/>
    </row>
    <row r="35" spans="1:16" s="41" customFormat="1" ht="36.75" hidden="1" thickTop="1" x14ac:dyDescent="0.25">
      <c r="A35" s="115">
        <v>21370</v>
      </c>
      <c r="B35" s="99" t="s">
        <v>54</v>
      </c>
      <c r="C35" s="100">
        <f t="shared" si="1"/>
        <v>0</v>
      </c>
      <c r="D35" s="104" t="s">
        <v>47</v>
      </c>
      <c r="E35" s="108" t="s">
        <v>47</v>
      </c>
      <c r="F35" s="140" t="s">
        <v>47</v>
      </c>
      <c r="G35" s="104" t="s">
        <v>47</v>
      </c>
      <c r="H35" s="105" t="s">
        <v>47</v>
      </c>
      <c r="I35" s="106" t="s">
        <v>47</v>
      </c>
      <c r="J35" s="112">
        <f>SUM(J36)</f>
        <v>0</v>
      </c>
      <c r="K35" s="113">
        <f>SUM(K36)</f>
        <v>0</v>
      </c>
      <c r="L35" s="114">
        <f t="shared" si="2"/>
        <v>0</v>
      </c>
      <c r="M35" s="107" t="s">
        <v>47</v>
      </c>
      <c r="N35" s="108" t="s">
        <v>47</v>
      </c>
      <c r="O35" s="106" t="s">
        <v>47</v>
      </c>
      <c r="P35" s="109"/>
    </row>
    <row r="36" spans="1:16" ht="36.75" hidden="1" thickTop="1" x14ac:dyDescent="0.25">
      <c r="A36" s="141">
        <v>21379</v>
      </c>
      <c r="B36" s="142" t="s">
        <v>55</v>
      </c>
      <c r="C36" s="143">
        <f t="shared" si="1"/>
        <v>0</v>
      </c>
      <c r="D36" s="144" t="s">
        <v>47</v>
      </c>
      <c r="E36" s="145" t="s">
        <v>47</v>
      </c>
      <c r="F36" s="146" t="s">
        <v>47</v>
      </c>
      <c r="G36" s="144" t="s">
        <v>47</v>
      </c>
      <c r="H36" s="147" t="s">
        <v>47</v>
      </c>
      <c r="I36" s="148" t="s">
        <v>47</v>
      </c>
      <c r="J36" s="149"/>
      <c r="K36" s="150"/>
      <c r="L36" s="151">
        <f t="shared" si="2"/>
        <v>0</v>
      </c>
      <c r="M36" s="152" t="s">
        <v>47</v>
      </c>
      <c r="N36" s="145" t="s">
        <v>47</v>
      </c>
      <c r="O36" s="148" t="s">
        <v>47</v>
      </c>
      <c r="P36" s="153"/>
    </row>
    <row r="37" spans="1:16" s="41" customFormat="1" ht="12.75" hidden="1" thickTop="1" x14ac:dyDescent="0.25">
      <c r="A37" s="115">
        <v>21380</v>
      </c>
      <c r="B37" s="99" t="s">
        <v>56</v>
      </c>
      <c r="C37" s="100">
        <f t="shared" si="1"/>
        <v>0</v>
      </c>
      <c r="D37" s="104" t="s">
        <v>47</v>
      </c>
      <c r="E37" s="108" t="s">
        <v>47</v>
      </c>
      <c r="F37" s="140" t="s">
        <v>47</v>
      </c>
      <c r="G37" s="104" t="s">
        <v>47</v>
      </c>
      <c r="H37" s="105" t="s">
        <v>47</v>
      </c>
      <c r="I37" s="106" t="s">
        <v>47</v>
      </c>
      <c r="J37" s="112">
        <f>SUM(J38:J39)</f>
        <v>0</v>
      </c>
      <c r="K37" s="113">
        <f>SUM(K38:K39)</f>
        <v>0</v>
      </c>
      <c r="L37" s="114">
        <f t="shared" si="2"/>
        <v>0</v>
      </c>
      <c r="M37" s="107" t="s">
        <v>47</v>
      </c>
      <c r="N37" s="108" t="s">
        <v>47</v>
      </c>
      <c r="O37" s="106" t="s">
        <v>47</v>
      </c>
      <c r="P37" s="109"/>
    </row>
    <row r="38" spans="1:16" ht="15.75" hidden="1" thickTop="1" x14ac:dyDescent="0.25">
      <c r="A38" s="66">
        <v>21381</v>
      </c>
      <c r="B38" s="116" t="s">
        <v>57</v>
      </c>
      <c r="C38" s="117">
        <f t="shared" si="1"/>
        <v>0</v>
      </c>
      <c r="D38" s="118" t="s">
        <v>47</v>
      </c>
      <c r="E38" s="119" t="s">
        <v>47</v>
      </c>
      <c r="F38" s="120" t="s">
        <v>47</v>
      </c>
      <c r="G38" s="118" t="s">
        <v>47</v>
      </c>
      <c r="H38" s="121" t="s">
        <v>47</v>
      </c>
      <c r="I38" s="122" t="s">
        <v>47</v>
      </c>
      <c r="J38" s="123"/>
      <c r="K38" s="124"/>
      <c r="L38" s="125">
        <f t="shared" si="2"/>
        <v>0</v>
      </c>
      <c r="M38" s="126" t="s">
        <v>47</v>
      </c>
      <c r="N38" s="119" t="s">
        <v>47</v>
      </c>
      <c r="O38" s="122" t="s">
        <v>47</v>
      </c>
      <c r="P38" s="74"/>
    </row>
    <row r="39" spans="1:16" ht="24.75" hidden="1" thickTop="1" x14ac:dyDescent="0.25">
      <c r="A39" s="76">
        <v>21383</v>
      </c>
      <c r="B39" s="127" t="s">
        <v>58</v>
      </c>
      <c r="C39" s="128">
        <f t="shared" si="1"/>
        <v>0</v>
      </c>
      <c r="D39" s="129" t="s">
        <v>47</v>
      </c>
      <c r="E39" s="138" t="s">
        <v>47</v>
      </c>
      <c r="F39" s="139" t="s">
        <v>47</v>
      </c>
      <c r="G39" s="129" t="s">
        <v>47</v>
      </c>
      <c r="H39" s="132" t="s">
        <v>47</v>
      </c>
      <c r="I39" s="133" t="s">
        <v>47</v>
      </c>
      <c r="J39" s="134"/>
      <c r="K39" s="135"/>
      <c r="L39" s="136">
        <f t="shared" si="2"/>
        <v>0</v>
      </c>
      <c r="M39" s="137" t="s">
        <v>47</v>
      </c>
      <c r="N39" s="138" t="s">
        <v>47</v>
      </c>
      <c r="O39" s="133" t="s">
        <v>47</v>
      </c>
      <c r="P39" s="85"/>
    </row>
    <row r="40" spans="1:16" s="41" customFormat="1" ht="24.75" hidden="1" thickTop="1" x14ac:dyDescent="0.25">
      <c r="A40" s="115">
        <v>21390</v>
      </c>
      <c r="B40" s="99" t="s">
        <v>59</v>
      </c>
      <c r="C40" s="100">
        <f t="shared" si="1"/>
        <v>0</v>
      </c>
      <c r="D40" s="104" t="s">
        <v>47</v>
      </c>
      <c r="E40" s="108" t="s">
        <v>47</v>
      </c>
      <c r="F40" s="140" t="s">
        <v>47</v>
      </c>
      <c r="G40" s="104" t="s">
        <v>47</v>
      </c>
      <c r="H40" s="105" t="s">
        <v>47</v>
      </c>
      <c r="I40" s="106" t="s">
        <v>47</v>
      </c>
      <c r="J40" s="112">
        <f>SUM(J41:J44)</f>
        <v>0</v>
      </c>
      <c r="K40" s="113">
        <f>SUM(K41:K44)</f>
        <v>0</v>
      </c>
      <c r="L40" s="114">
        <f t="shared" si="2"/>
        <v>0</v>
      </c>
      <c r="M40" s="107" t="s">
        <v>47</v>
      </c>
      <c r="N40" s="108" t="s">
        <v>47</v>
      </c>
      <c r="O40" s="106" t="s">
        <v>47</v>
      </c>
      <c r="P40" s="109"/>
    </row>
    <row r="41" spans="1:16" ht="24.75" hidden="1" thickTop="1" x14ac:dyDescent="0.25">
      <c r="A41" s="66">
        <v>21391</v>
      </c>
      <c r="B41" s="116" t="s">
        <v>60</v>
      </c>
      <c r="C41" s="117">
        <f t="shared" si="1"/>
        <v>0</v>
      </c>
      <c r="D41" s="118" t="s">
        <v>47</v>
      </c>
      <c r="E41" s="119" t="s">
        <v>47</v>
      </c>
      <c r="F41" s="120" t="s">
        <v>47</v>
      </c>
      <c r="G41" s="118" t="s">
        <v>47</v>
      </c>
      <c r="H41" s="121" t="s">
        <v>47</v>
      </c>
      <c r="I41" s="122" t="s">
        <v>47</v>
      </c>
      <c r="J41" s="123"/>
      <c r="K41" s="124"/>
      <c r="L41" s="125">
        <f t="shared" si="2"/>
        <v>0</v>
      </c>
      <c r="M41" s="126" t="s">
        <v>47</v>
      </c>
      <c r="N41" s="119" t="s">
        <v>47</v>
      </c>
      <c r="O41" s="122" t="s">
        <v>47</v>
      </c>
      <c r="P41" s="74"/>
    </row>
    <row r="42" spans="1:16" ht="15.75" hidden="1" thickTop="1" x14ac:dyDescent="0.25">
      <c r="A42" s="76">
        <v>21393</v>
      </c>
      <c r="B42" s="127" t="s">
        <v>61</v>
      </c>
      <c r="C42" s="128">
        <f t="shared" si="1"/>
        <v>0</v>
      </c>
      <c r="D42" s="129" t="s">
        <v>47</v>
      </c>
      <c r="E42" s="138" t="s">
        <v>47</v>
      </c>
      <c r="F42" s="139" t="s">
        <v>47</v>
      </c>
      <c r="G42" s="129" t="s">
        <v>47</v>
      </c>
      <c r="H42" s="132" t="s">
        <v>47</v>
      </c>
      <c r="I42" s="133" t="s">
        <v>47</v>
      </c>
      <c r="J42" s="134"/>
      <c r="K42" s="135"/>
      <c r="L42" s="136">
        <f t="shared" si="2"/>
        <v>0</v>
      </c>
      <c r="M42" s="137" t="s">
        <v>47</v>
      </c>
      <c r="N42" s="138" t="s">
        <v>47</v>
      </c>
      <c r="O42" s="133" t="s">
        <v>47</v>
      </c>
      <c r="P42" s="85"/>
    </row>
    <row r="43" spans="1:16" ht="15.75" hidden="1" thickTop="1" x14ac:dyDescent="0.25">
      <c r="A43" s="76">
        <v>21395</v>
      </c>
      <c r="B43" s="127" t="s">
        <v>62</v>
      </c>
      <c r="C43" s="128">
        <f t="shared" si="1"/>
        <v>0</v>
      </c>
      <c r="D43" s="129" t="s">
        <v>47</v>
      </c>
      <c r="E43" s="138" t="s">
        <v>47</v>
      </c>
      <c r="F43" s="139" t="s">
        <v>47</v>
      </c>
      <c r="G43" s="129" t="s">
        <v>47</v>
      </c>
      <c r="H43" s="132" t="s">
        <v>47</v>
      </c>
      <c r="I43" s="133" t="s">
        <v>47</v>
      </c>
      <c r="J43" s="134"/>
      <c r="K43" s="135"/>
      <c r="L43" s="136">
        <f t="shared" si="2"/>
        <v>0</v>
      </c>
      <c r="M43" s="137" t="s">
        <v>47</v>
      </c>
      <c r="N43" s="138" t="s">
        <v>47</v>
      </c>
      <c r="O43" s="133" t="s">
        <v>47</v>
      </c>
      <c r="P43" s="85"/>
    </row>
    <row r="44" spans="1:16" ht="24.75" hidden="1" thickTop="1" x14ac:dyDescent="0.25">
      <c r="A44" s="76">
        <v>21399</v>
      </c>
      <c r="B44" s="127" t="s">
        <v>63</v>
      </c>
      <c r="C44" s="128">
        <f t="shared" si="1"/>
        <v>0</v>
      </c>
      <c r="D44" s="129" t="s">
        <v>47</v>
      </c>
      <c r="E44" s="138" t="s">
        <v>47</v>
      </c>
      <c r="F44" s="139" t="s">
        <v>47</v>
      </c>
      <c r="G44" s="129" t="s">
        <v>47</v>
      </c>
      <c r="H44" s="132" t="s">
        <v>47</v>
      </c>
      <c r="I44" s="133" t="s">
        <v>47</v>
      </c>
      <c r="J44" s="134"/>
      <c r="K44" s="135"/>
      <c r="L44" s="136">
        <f t="shared" si="2"/>
        <v>0</v>
      </c>
      <c r="M44" s="137" t="s">
        <v>47</v>
      </c>
      <c r="N44" s="138" t="s">
        <v>47</v>
      </c>
      <c r="O44" s="133" t="s">
        <v>47</v>
      </c>
      <c r="P44" s="85"/>
    </row>
    <row r="45" spans="1:16" s="41" customFormat="1" ht="24.75" hidden="1" thickTop="1" x14ac:dyDescent="0.25">
      <c r="A45" s="115">
        <v>21420</v>
      </c>
      <c r="B45" s="99" t="s">
        <v>64</v>
      </c>
      <c r="C45" s="156">
        <f>F45</f>
        <v>0</v>
      </c>
      <c r="D45" s="157"/>
      <c r="E45" s="158"/>
      <c r="F45" s="103">
        <f>D45+E45</f>
        <v>0</v>
      </c>
      <c r="G45" s="104" t="s">
        <v>47</v>
      </c>
      <c r="H45" s="105" t="s">
        <v>47</v>
      </c>
      <c r="I45" s="106" t="s">
        <v>47</v>
      </c>
      <c r="J45" s="104" t="s">
        <v>47</v>
      </c>
      <c r="K45" s="105" t="s">
        <v>47</v>
      </c>
      <c r="L45" s="106" t="s">
        <v>47</v>
      </c>
      <c r="M45" s="107" t="s">
        <v>47</v>
      </c>
      <c r="N45" s="108" t="s">
        <v>47</v>
      </c>
      <c r="O45" s="106" t="s">
        <v>47</v>
      </c>
      <c r="P45" s="109"/>
    </row>
    <row r="46" spans="1:16" s="41" customFormat="1" ht="24.75" hidden="1" thickTop="1" x14ac:dyDescent="0.25">
      <c r="A46" s="159">
        <v>21490</v>
      </c>
      <c r="B46" s="160" t="s">
        <v>65</v>
      </c>
      <c r="C46" s="156">
        <f>F46+I46+L46</f>
        <v>0</v>
      </c>
      <c r="D46" s="161">
        <f>D47</f>
        <v>0</v>
      </c>
      <c r="E46" s="162">
        <f>E47</f>
        <v>0</v>
      </c>
      <c r="F46" s="163">
        <f>D46+E46</f>
        <v>0</v>
      </c>
      <c r="G46" s="161">
        <f>G47</f>
        <v>0</v>
      </c>
      <c r="H46" s="164">
        <f t="shared" ref="H46:K46" si="3">H47</f>
        <v>0</v>
      </c>
      <c r="I46" s="165">
        <f>G46+H46</f>
        <v>0</v>
      </c>
      <c r="J46" s="161">
        <f>J47</f>
        <v>0</v>
      </c>
      <c r="K46" s="164">
        <f t="shared" si="3"/>
        <v>0</v>
      </c>
      <c r="L46" s="165">
        <f>J46+K46</f>
        <v>0</v>
      </c>
      <c r="M46" s="107" t="s">
        <v>47</v>
      </c>
      <c r="N46" s="108" t="s">
        <v>47</v>
      </c>
      <c r="O46" s="106" t="s">
        <v>47</v>
      </c>
      <c r="P46" s="109"/>
    </row>
    <row r="47" spans="1:16" s="41" customFormat="1" ht="24.75" hidden="1" thickTop="1" x14ac:dyDescent="0.25">
      <c r="A47" s="76">
        <v>21499</v>
      </c>
      <c r="B47" s="127" t="s">
        <v>66</v>
      </c>
      <c r="C47" s="166">
        <f>F47+I47+L47</f>
        <v>0</v>
      </c>
      <c r="D47" s="68"/>
      <c r="E47" s="69"/>
      <c r="F47" s="70">
        <f>D47+E47</f>
        <v>0</v>
      </c>
      <c r="G47" s="167"/>
      <c r="H47" s="71"/>
      <c r="I47" s="72">
        <f>G47+H47</f>
        <v>0</v>
      </c>
      <c r="J47" s="68"/>
      <c r="K47" s="71"/>
      <c r="L47" s="72">
        <f>J47+K47</f>
        <v>0</v>
      </c>
      <c r="M47" s="152" t="s">
        <v>47</v>
      </c>
      <c r="N47" s="145" t="s">
        <v>47</v>
      </c>
      <c r="O47" s="148" t="s">
        <v>47</v>
      </c>
      <c r="P47" s="153"/>
    </row>
    <row r="48" spans="1:16" ht="24.75" hidden="1" thickTop="1" x14ac:dyDescent="0.25">
      <c r="A48" s="168">
        <v>23000</v>
      </c>
      <c r="B48" s="169" t="s">
        <v>67</v>
      </c>
      <c r="C48" s="156">
        <f>O48</f>
        <v>0</v>
      </c>
      <c r="D48" s="170" t="s">
        <v>47</v>
      </c>
      <c r="E48" s="171" t="s">
        <v>47</v>
      </c>
      <c r="F48" s="172" t="s">
        <v>47</v>
      </c>
      <c r="G48" s="170" t="s">
        <v>47</v>
      </c>
      <c r="H48" s="173" t="s">
        <v>47</v>
      </c>
      <c r="I48" s="174" t="s">
        <v>47</v>
      </c>
      <c r="J48" s="170" t="s">
        <v>47</v>
      </c>
      <c r="K48" s="173" t="s">
        <v>47</v>
      </c>
      <c r="L48" s="174" t="s">
        <v>47</v>
      </c>
      <c r="M48" s="175">
        <f>SUM(M49:M50)</f>
        <v>0</v>
      </c>
      <c r="N48" s="176">
        <f>SUM(N49:N50)</f>
        <v>0</v>
      </c>
      <c r="O48" s="177">
        <f>M48+N48</f>
        <v>0</v>
      </c>
      <c r="P48" s="109"/>
    </row>
    <row r="49" spans="1:16" ht="24.75" hidden="1" thickTop="1" x14ac:dyDescent="0.25">
      <c r="A49" s="178">
        <v>23410</v>
      </c>
      <c r="B49" s="179" t="s">
        <v>68</v>
      </c>
      <c r="C49" s="180">
        <f>O49</f>
        <v>0</v>
      </c>
      <c r="D49" s="181" t="s">
        <v>47</v>
      </c>
      <c r="E49" s="182" t="s">
        <v>47</v>
      </c>
      <c r="F49" s="183" t="s">
        <v>47</v>
      </c>
      <c r="G49" s="181" t="s">
        <v>47</v>
      </c>
      <c r="H49" s="184" t="s">
        <v>47</v>
      </c>
      <c r="I49" s="185" t="s">
        <v>47</v>
      </c>
      <c r="J49" s="181" t="s">
        <v>47</v>
      </c>
      <c r="K49" s="184" t="s">
        <v>47</v>
      </c>
      <c r="L49" s="185" t="s">
        <v>47</v>
      </c>
      <c r="M49" s="186"/>
      <c r="N49" s="187"/>
      <c r="O49" s="188">
        <f>M49+N49</f>
        <v>0</v>
      </c>
      <c r="P49" s="189"/>
    </row>
    <row r="50" spans="1:16" ht="24.75" hidden="1" thickTop="1" x14ac:dyDescent="0.25">
      <c r="A50" s="178">
        <v>23510</v>
      </c>
      <c r="B50" s="179" t="s">
        <v>69</v>
      </c>
      <c r="C50" s="180">
        <f>O50</f>
        <v>0</v>
      </c>
      <c r="D50" s="181" t="s">
        <v>47</v>
      </c>
      <c r="E50" s="182" t="s">
        <v>47</v>
      </c>
      <c r="F50" s="183" t="s">
        <v>47</v>
      </c>
      <c r="G50" s="181" t="s">
        <v>47</v>
      </c>
      <c r="H50" s="184" t="s">
        <v>47</v>
      </c>
      <c r="I50" s="185" t="s">
        <v>47</v>
      </c>
      <c r="J50" s="181" t="s">
        <v>47</v>
      </c>
      <c r="K50" s="184" t="s">
        <v>47</v>
      </c>
      <c r="L50" s="185" t="s">
        <v>47</v>
      </c>
      <c r="M50" s="186"/>
      <c r="N50" s="187"/>
      <c r="O50" s="188">
        <f>M50+N50</f>
        <v>0</v>
      </c>
      <c r="P50" s="189"/>
    </row>
    <row r="51" spans="1:16" ht="15.75" hidden="1" thickTop="1" x14ac:dyDescent="0.25">
      <c r="A51" s="190"/>
      <c r="B51" s="179"/>
      <c r="C51" s="191"/>
      <c r="D51" s="192"/>
      <c r="E51" s="615"/>
      <c r="F51" s="194"/>
      <c r="G51" s="192"/>
      <c r="H51" s="195"/>
      <c r="I51" s="185"/>
      <c r="J51" s="196"/>
      <c r="K51" s="197"/>
      <c r="L51" s="188"/>
      <c r="M51" s="186"/>
      <c r="N51" s="187"/>
      <c r="O51" s="188"/>
      <c r="P51" s="189"/>
    </row>
    <row r="52" spans="1:16" s="41" customFormat="1" ht="12.75" hidden="1" thickTop="1" x14ac:dyDescent="0.25">
      <c r="A52" s="198"/>
      <c r="B52" s="199" t="s">
        <v>70</v>
      </c>
      <c r="C52" s="200"/>
      <c r="D52" s="201"/>
      <c r="E52" s="616"/>
      <c r="F52" s="203"/>
      <c r="G52" s="201"/>
      <c r="H52" s="204"/>
      <c r="I52" s="205"/>
      <c r="J52" s="201"/>
      <c r="K52" s="204"/>
      <c r="L52" s="205"/>
      <c r="M52" s="206"/>
      <c r="N52" s="207"/>
      <c r="O52" s="205"/>
      <c r="P52" s="208"/>
    </row>
    <row r="53" spans="1:16" s="41" customFormat="1" ht="13.5" thickTop="1" thickBot="1" x14ac:dyDescent="0.3">
      <c r="A53" s="209"/>
      <c r="B53" s="42" t="s">
        <v>71</v>
      </c>
      <c r="C53" s="210">
        <f t="shared" ref="C53:C116" si="4">F53+I53+L53+O53</f>
        <v>1212160</v>
      </c>
      <c r="D53" s="211">
        <f>SUM(D54,D284)</f>
        <v>3210000</v>
      </c>
      <c r="E53" s="617">
        <f>SUM(E54,E284)</f>
        <v>-1997840</v>
      </c>
      <c r="F53" s="213">
        <f t="shared" ref="F53:F117" si="5">D53+E53</f>
        <v>1212160</v>
      </c>
      <c r="G53" s="211">
        <f>SUM(G54,G284)</f>
        <v>0</v>
      </c>
      <c r="H53" s="214">
        <f>SUM(H54,H284)</f>
        <v>0</v>
      </c>
      <c r="I53" s="215">
        <f t="shared" ref="I53:I117" si="6">G53+H53</f>
        <v>0</v>
      </c>
      <c r="J53" s="211">
        <f>SUM(J54,J284)</f>
        <v>0</v>
      </c>
      <c r="K53" s="214">
        <f>SUM(K54,K284)</f>
        <v>0</v>
      </c>
      <c r="L53" s="215">
        <f t="shared" ref="L53:L117" si="7">J53+K53</f>
        <v>0</v>
      </c>
      <c r="M53" s="216">
        <f>SUM(M54,M284)</f>
        <v>0</v>
      </c>
      <c r="N53" s="217">
        <f>SUM(N54,N284)</f>
        <v>0</v>
      </c>
      <c r="O53" s="215">
        <f t="shared" ref="O53:O117" si="8">M53+N53</f>
        <v>0</v>
      </c>
      <c r="P53" s="52"/>
    </row>
    <row r="54" spans="1:16" s="41" customFormat="1" ht="36.75" thickTop="1" x14ac:dyDescent="0.25">
      <c r="A54" s="218"/>
      <c r="B54" s="219" t="s">
        <v>72</v>
      </c>
      <c r="C54" s="220">
        <f t="shared" si="4"/>
        <v>1212160</v>
      </c>
      <c r="D54" s="221">
        <f>SUM(D55,D197)</f>
        <v>3210000</v>
      </c>
      <c r="E54" s="618">
        <f>SUM(E55,E197)</f>
        <v>-1997840</v>
      </c>
      <c r="F54" s="223">
        <f t="shared" si="5"/>
        <v>1212160</v>
      </c>
      <c r="G54" s="221">
        <f>SUM(G55,G197)</f>
        <v>0</v>
      </c>
      <c r="H54" s="224">
        <f>SUM(H55,H197)</f>
        <v>0</v>
      </c>
      <c r="I54" s="225">
        <f t="shared" si="6"/>
        <v>0</v>
      </c>
      <c r="J54" s="221">
        <f>SUM(J55,J197)</f>
        <v>0</v>
      </c>
      <c r="K54" s="224">
        <f>SUM(K55,K197)</f>
        <v>0</v>
      </c>
      <c r="L54" s="225">
        <f t="shared" si="7"/>
        <v>0</v>
      </c>
      <c r="M54" s="226">
        <f>SUM(M55,M197)</f>
        <v>0</v>
      </c>
      <c r="N54" s="227">
        <f>SUM(N55,N197)</f>
        <v>0</v>
      </c>
      <c r="O54" s="225">
        <f t="shared" si="8"/>
        <v>0</v>
      </c>
      <c r="P54" s="228"/>
    </row>
    <row r="55" spans="1:16" s="41" customFormat="1" ht="24" hidden="1" x14ac:dyDescent="0.25">
      <c r="A55" s="35"/>
      <c r="B55" s="30" t="s">
        <v>73</v>
      </c>
      <c r="C55" s="229">
        <f t="shared" si="4"/>
        <v>0</v>
      </c>
      <c r="D55" s="230">
        <f>SUM(D56,D78,D176,D190)</f>
        <v>0</v>
      </c>
      <c r="E55" s="235">
        <f>SUM(E56,E78,E176,E190)</f>
        <v>0</v>
      </c>
      <c r="F55" s="459">
        <f t="shared" si="5"/>
        <v>0</v>
      </c>
      <c r="G55" s="230">
        <f>SUM(G56,G78,G176,G190)</f>
        <v>0</v>
      </c>
      <c r="H55" s="233">
        <f>SUM(H56,H78,H176,H190)</f>
        <v>0</v>
      </c>
      <c r="I55" s="234">
        <f t="shared" si="6"/>
        <v>0</v>
      </c>
      <c r="J55" s="230">
        <f>SUM(J56,J78,J176,J190)</f>
        <v>0</v>
      </c>
      <c r="K55" s="233">
        <f>SUM(K56,K78,K176,K190)</f>
        <v>0</v>
      </c>
      <c r="L55" s="234">
        <f t="shared" si="7"/>
        <v>0</v>
      </c>
      <c r="M55" s="53">
        <f>SUM(M56,M78,M176,M190)</f>
        <v>0</v>
      </c>
      <c r="N55" s="235">
        <f>SUM(N56,N78,N176,N190)</f>
        <v>0</v>
      </c>
      <c r="O55" s="234">
        <f t="shared" si="8"/>
        <v>0</v>
      </c>
      <c r="P55" s="236"/>
    </row>
    <row r="56" spans="1:16" s="41" customFormat="1" ht="12" hidden="1" x14ac:dyDescent="0.25">
      <c r="A56" s="237">
        <v>1000</v>
      </c>
      <c r="B56" s="237" t="s">
        <v>74</v>
      </c>
      <c r="C56" s="238">
        <f t="shared" si="4"/>
        <v>0</v>
      </c>
      <c r="D56" s="239">
        <f>SUM(D57,D70)</f>
        <v>0</v>
      </c>
      <c r="E56" s="245">
        <f>SUM(E57,E70)</f>
        <v>0</v>
      </c>
      <c r="F56" s="320">
        <f t="shared" si="5"/>
        <v>0</v>
      </c>
      <c r="G56" s="239">
        <f>SUM(G57,G70)</f>
        <v>0</v>
      </c>
      <c r="H56" s="242">
        <f>SUM(H57,H70)</f>
        <v>0</v>
      </c>
      <c r="I56" s="243">
        <f t="shared" si="6"/>
        <v>0</v>
      </c>
      <c r="J56" s="239">
        <f>SUM(J57,J70)</f>
        <v>0</v>
      </c>
      <c r="K56" s="242">
        <f>SUM(K57,K70)</f>
        <v>0</v>
      </c>
      <c r="L56" s="243">
        <f t="shared" si="7"/>
        <v>0</v>
      </c>
      <c r="M56" s="244">
        <f>SUM(M57,M70)</f>
        <v>0</v>
      </c>
      <c r="N56" s="245">
        <f>SUM(N57,N70)</f>
        <v>0</v>
      </c>
      <c r="O56" s="243">
        <f t="shared" si="8"/>
        <v>0</v>
      </c>
      <c r="P56" s="246"/>
    </row>
    <row r="57" spans="1:16" hidden="1" x14ac:dyDescent="0.25">
      <c r="A57" s="99">
        <v>1100</v>
      </c>
      <c r="B57" s="247" t="s">
        <v>75</v>
      </c>
      <c r="C57" s="100">
        <f t="shared" si="4"/>
        <v>0</v>
      </c>
      <c r="D57" s="112">
        <f>SUM(D58,D61,D69)</f>
        <v>0</v>
      </c>
      <c r="E57" s="293">
        <f>SUM(E58,E61,E69)</f>
        <v>0</v>
      </c>
      <c r="F57" s="313">
        <f t="shared" si="5"/>
        <v>0</v>
      </c>
      <c r="G57" s="112">
        <f>SUM(G58,G61,G69)</f>
        <v>0</v>
      </c>
      <c r="H57" s="113">
        <f>SUM(H58,H61,H69)</f>
        <v>0</v>
      </c>
      <c r="I57" s="114">
        <f t="shared" si="6"/>
        <v>0</v>
      </c>
      <c r="J57" s="112">
        <f>SUM(J58,J61,J69)</f>
        <v>0</v>
      </c>
      <c r="K57" s="113">
        <f>SUM(K58,K61,K69)</f>
        <v>0</v>
      </c>
      <c r="L57" s="114">
        <f t="shared" si="7"/>
        <v>0</v>
      </c>
      <c r="M57" s="250">
        <f>SUM(M58,M61,M69)</f>
        <v>0</v>
      </c>
      <c r="N57" s="251">
        <f>SUM(N58,N61,N69)</f>
        <v>0</v>
      </c>
      <c r="O57" s="252">
        <f t="shared" si="8"/>
        <v>0</v>
      </c>
      <c r="P57" s="253"/>
    </row>
    <row r="58" spans="1:16" hidden="1" x14ac:dyDescent="0.25">
      <c r="A58" s="254">
        <v>1110</v>
      </c>
      <c r="B58" s="179" t="s">
        <v>76</v>
      </c>
      <c r="C58" s="191">
        <f t="shared" si="4"/>
        <v>0</v>
      </c>
      <c r="D58" s="255">
        <f>SUM(D59:D60)</f>
        <v>0</v>
      </c>
      <c r="E58" s="261">
        <f>SUM(E59:E60)</f>
        <v>0</v>
      </c>
      <c r="F58" s="310">
        <f t="shared" si="5"/>
        <v>0</v>
      </c>
      <c r="G58" s="255">
        <f>SUM(G59:G60)</f>
        <v>0</v>
      </c>
      <c r="H58" s="258">
        <f>SUM(H59:H60)</f>
        <v>0</v>
      </c>
      <c r="I58" s="259">
        <f t="shared" si="6"/>
        <v>0</v>
      </c>
      <c r="J58" s="255">
        <f>SUM(J59:J60)</f>
        <v>0</v>
      </c>
      <c r="K58" s="258">
        <f>SUM(K59:K60)</f>
        <v>0</v>
      </c>
      <c r="L58" s="259">
        <f t="shared" si="7"/>
        <v>0</v>
      </c>
      <c r="M58" s="260">
        <f>SUM(M59:M60)</f>
        <v>0</v>
      </c>
      <c r="N58" s="261">
        <f>SUM(N59:N60)</f>
        <v>0</v>
      </c>
      <c r="O58" s="259">
        <f t="shared" si="8"/>
        <v>0</v>
      </c>
      <c r="P58" s="189"/>
    </row>
    <row r="59" spans="1:16" hidden="1" x14ac:dyDescent="0.25">
      <c r="A59" s="66">
        <v>1111</v>
      </c>
      <c r="B59" s="116" t="s">
        <v>77</v>
      </c>
      <c r="C59" s="117">
        <f t="shared" si="4"/>
        <v>0</v>
      </c>
      <c r="D59" s="123"/>
      <c r="E59" s="262"/>
      <c r="F59" s="263">
        <f t="shared" si="5"/>
        <v>0</v>
      </c>
      <c r="G59" s="123"/>
      <c r="H59" s="124"/>
      <c r="I59" s="125">
        <f t="shared" si="6"/>
        <v>0</v>
      </c>
      <c r="J59" s="123"/>
      <c r="K59" s="124"/>
      <c r="L59" s="125">
        <f t="shared" si="7"/>
        <v>0</v>
      </c>
      <c r="M59" s="264"/>
      <c r="N59" s="262"/>
      <c r="O59" s="125">
        <f t="shared" si="8"/>
        <v>0</v>
      </c>
      <c r="P59" s="74"/>
    </row>
    <row r="60" spans="1:16" ht="24" hidden="1" x14ac:dyDescent="0.25">
      <c r="A60" s="76">
        <v>1119</v>
      </c>
      <c r="B60" s="127" t="s">
        <v>78</v>
      </c>
      <c r="C60" s="128">
        <f t="shared" si="4"/>
        <v>0</v>
      </c>
      <c r="D60" s="134"/>
      <c r="E60" s="285"/>
      <c r="F60" s="286">
        <f t="shared" si="5"/>
        <v>0</v>
      </c>
      <c r="G60" s="134"/>
      <c r="H60" s="135"/>
      <c r="I60" s="136">
        <f t="shared" si="6"/>
        <v>0</v>
      </c>
      <c r="J60" s="134"/>
      <c r="K60" s="135"/>
      <c r="L60" s="136">
        <f t="shared" si="7"/>
        <v>0</v>
      </c>
      <c r="M60" s="284"/>
      <c r="N60" s="285"/>
      <c r="O60" s="136">
        <f t="shared" si="8"/>
        <v>0</v>
      </c>
      <c r="P60" s="85"/>
    </row>
    <row r="61" spans="1:16" ht="24" hidden="1" x14ac:dyDescent="0.25">
      <c r="A61" s="276">
        <v>1140</v>
      </c>
      <c r="B61" s="127" t="s">
        <v>79</v>
      </c>
      <c r="C61" s="128">
        <f t="shared" si="4"/>
        <v>0</v>
      </c>
      <c r="D61" s="277">
        <f>SUM(D62:D68)</f>
        <v>0</v>
      </c>
      <c r="E61" s="282">
        <f>SUM(E62:E68)</f>
        <v>0</v>
      </c>
      <c r="F61" s="286">
        <f>D61+E61</f>
        <v>0</v>
      </c>
      <c r="G61" s="277">
        <f>SUM(G62:G68)</f>
        <v>0</v>
      </c>
      <c r="H61" s="280">
        <f>SUM(H62:H68)</f>
        <v>0</v>
      </c>
      <c r="I61" s="136">
        <f t="shared" si="6"/>
        <v>0</v>
      </c>
      <c r="J61" s="277">
        <f>SUM(J62:J68)</f>
        <v>0</v>
      </c>
      <c r="K61" s="280">
        <f>SUM(K62:K68)</f>
        <v>0</v>
      </c>
      <c r="L61" s="136">
        <f t="shared" si="7"/>
        <v>0</v>
      </c>
      <c r="M61" s="281">
        <f>SUM(M62:M68)</f>
        <v>0</v>
      </c>
      <c r="N61" s="282">
        <f>SUM(N62:N68)</f>
        <v>0</v>
      </c>
      <c r="O61" s="136">
        <f t="shared" si="8"/>
        <v>0</v>
      </c>
      <c r="P61" s="85"/>
    </row>
    <row r="62" spans="1:16" hidden="1" x14ac:dyDescent="0.25">
      <c r="A62" s="76">
        <v>1141</v>
      </c>
      <c r="B62" s="127" t="s">
        <v>80</v>
      </c>
      <c r="C62" s="128">
        <f t="shared" si="4"/>
        <v>0</v>
      </c>
      <c r="D62" s="134"/>
      <c r="E62" s="285"/>
      <c r="F62" s="286">
        <f t="shared" si="5"/>
        <v>0</v>
      </c>
      <c r="G62" s="134"/>
      <c r="H62" s="135"/>
      <c r="I62" s="136">
        <f t="shared" si="6"/>
        <v>0</v>
      </c>
      <c r="J62" s="134"/>
      <c r="K62" s="135"/>
      <c r="L62" s="136">
        <f t="shared" si="7"/>
        <v>0</v>
      </c>
      <c r="M62" s="284"/>
      <c r="N62" s="285"/>
      <c r="O62" s="136">
        <f t="shared" si="8"/>
        <v>0</v>
      </c>
      <c r="P62" s="85"/>
    </row>
    <row r="63" spans="1:16" ht="24" hidden="1" x14ac:dyDescent="0.25">
      <c r="A63" s="76">
        <v>1142</v>
      </c>
      <c r="B63" s="127" t="s">
        <v>81</v>
      </c>
      <c r="C63" s="128">
        <f t="shared" si="4"/>
        <v>0</v>
      </c>
      <c r="D63" s="134"/>
      <c r="E63" s="285"/>
      <c r="F63" s="286">
        <f t="shared" si="5"/>
        <v>0</v>
      </c>
      <c r="G63" s="134"/>
      <c r="H63" s="135"/>
      <c r="I63" s="136">
        <f t="shared" si="6"/>
        <v>0</v>
      </c>
      <c r="J63" s="134"/>
      <c r="K63" s="135"/>
      <c r="L63" s="136">
        <f t="shared" si="7"/>
        <v>0</v>
      </c>
      <c r="M63" s="284"/>
      <c r="N63" s="285"/>
      <c r="O63" s="136">
        <f t="shared" si="8"/>
        <v>0</v>
      </c>
      <c r="P63" s="85"/>
    </row>
    <row r="64" spans="1:16" ht="24" hidden="1" x14ac:dyDescent="0.25">
      <c r="A64" s="76">
        <v>1145</v>
      </c>
      <c r="B64" s="127" t="s">
        <v>82</v>
      </c>
      <c r="C64" s="128">
        <f t="shared" si="4"/>
        <v>0</v>
      </c>
      <c r="D64" s="134"/>
      <c r="E64" s="285"/>
      <c r="F64" s="286">
        <f t="shared" si="5"/>
        <v>0</v>
      </c>
      <c r="G64" s="134"/>
      <c r="H64" s="135"/>
      <c r="I64" s="136">
        <f t="shared" si="6"/>
        <v>0</v>
      </c>
      <c r="J64" s="134"/>
      <c r="K64" s="135"/>
      <c r="L64" s="136">
        <f t="shared" si="7"/>
        <v>0</v>
      </c>
      <c r="M64" s="284"/>
      <c r="N64" s="285"/>
      <c r="O64" s="136">
        <f t="shared" si="8"/>
        <v>0</v>
      </c>
      <c r="P64" s="85"/>
    </row>
    <row r="65" spans="1:16" ht="24" hidden="1" x14ac:dyDescent="0.25">
      <c r="A65" s="76">
        <v>1146</v>
      </c>
      <c r="B65" s="127" t="s">
        <v>83</v>
      </c>
      <c r="C65" s="128">
        <f t="shared" si="4"/>
        <v>0</v>
      </c>
      <c r="D65" s="134"/>
      <c r="E65" s="285"/>
      <c r="F65" s="286">
        <f t="shared" si="5"/>
        <v>0</v>
      </c>
      <c r="G65" s="134"/>
      <c r="H65" s="135"/>
      <c r="I65" s="136">
        <f t="shared" si="6"/>
        <v>0</v>
      </c>
      <c r="J65" s="134"/>
      <c r="K65" s="135"/>
      <c r="L65" s="136">
        <f t="shared" si="7"/>
        <v>0</v>
      </c>
      <c r="M65" s="284"/>
      <c r="N65" s="285"/>
      <c r="O65" s="136">
        <f t="shared" si="8"/>
        <v>0</v>
      </c>
      <c r="P65" s="85"/>
    </row>
    <row r="66" spans="1:16" hidden="1" x14ac:dyDescent="0.25">
      <c r="A66" s="76">
        <v>1147</v>
      </c>
      <c r="B66" s="127" t="s">
        <v>84</v>
      </c>
      <c r="C66" s="128">
        <f t="shared" si="4"/>
        <v>0</v>
      </c>
      <c r="D66" s="134"/>
      <c r="E66" s="285"/>
      <c r="F66" s="286">
        <f t="shared" si="5"/>
        <v>0</v>
      </c>
      <c r="G66" s="134"/>
      <c r="H66" s="135"/>
      <c r="I66" s="136">
        <f t="shared" si="6"/>
        <v>0</v>
      </c>
      <c r="J66" s="134"/>
      <c r="K66" s="135"/>
      <c r="L66" s="136">
        <f t="shared" si="7"/>
        <v>0</v>
      </c>
      <c r="M66" s="284"/>
      <c r="N66" s="285"/>
      <c r="O66" s="136">
        <f t="shared" si="8"/>
        <v>0</v>
      </c>
      <c r="P66" s="85"/>
    </row>
    <row r="67" spans="1:16" hidden="1" x14ac:dyDescent="0.25">
      <c r="A67" s="76">
        <v>1148</v>
      </c>
      <c r="B67" s="127" t="s">
        <v>85</v>
      </c>
      <c r="C67" s="128">
        <f t="shared" si="4"/>
        <v>0</v>
      </c>
      <c r="D67" s="134"/>
      <c r="E67" s="285"/>
      <c r="F67" s="286">
        <f t="shared" si="5"/>
        <v>0</v>
      </c>
      <c r="G67" s="134"/>
      <c r="H67" s="135"/>
      <c r="I67" s="136">
        <f t="shared" si="6"/>
        <v>0</v>
      </c>
      <c r="J67" s="134"/>
      <c r="K67" s="135"/>
      <c r="L67" s="136">
        <f t="shared" si="7"/>
        <v>0</v>
      </c>
      <c r="M67" s="284"/>
      <c r="N67" s="285"/>
      <c r="O67" s="136">
        <f t="shared" si="8"/>
        <v>0</v>
      </c>
      <c r="P67" s="85"/>
    </row>
    <row r="68" spans="1:16" ht="36" hidden="1" x14ac:dyDescent="0.25">
      <c r="A68" s="76">
        <v>1149</v>
      </c>
      <c r="B68" s="127" t="s">
        <v>86</v>
      </c>
      <c r="C68" s="128">
        <f t="shared" si="4"/>
        <v>0</v>
      </c>
      <c r="D68" s="134"/>
      <c r="E68" s="285"/>
      <c r="F68" s="286">
        <f t="shared" si="5"/>
        <v>0</v>
      </c>
      <c r="G68" s="134"/>
      <c r="H68" s="135"/>
      <c r="I68" s="136">
        <f t="shared" si="6"/>
        <v>0</v>
      </c>
      <c r="J68" s="134"/>
      <c r="K68" s="135"/>
      <c r="L68" s="136">
        <f t="shared" si="7"/>
        <v>0</v>
      </c>
      <c r="M68" s="284"/>
      <c r="N68" s="285"/>
      <c r="O68" s="136">
        <f t="shared" si="8"/>
        <v>0</v>
      </c>
      <c r="P68" s="85"/>
    </row>
    <row r="69" spans="1:16" ht="36" hidden="1" x14ac:dyDescent="0.25">
      <c r="A69" s="254">
        <v>1150</v>
      </c>
      <c r="B69" s="179" t="s">
        <v>87</v>
      </c>
      <c r="C69" s="128">
        <f t="shared" si="4"/>
        <v>0</v>
      </c>
      <c r="D69" s="287"/>
      <c r="E69" s="291"/>
      <c r="F69" s="310">
        <f t="shared" si="5"/>
        <v>0</v>
      </c>
      <c r="G69" s="287"/>
      <c r="H69" s="289"/>
      <c r="I69" s="259">
        <f t="shared" si="6"/>
        <v>0</v>
      </c>
      <c r="J69" s="287"/>
      <c r="K69" s="289"/>
      <c r="L69" s="259">
        <f t="shared" si="7"/>
        <v>0</v>
      </c>
      <c r="M69" s="290"/>
      <c r="N69" s="291"/>
      <c r="O69" s="259">
        <f t="shared" si="8"/>
        <v>0</v>
      </c>
      <c r="P69" s="189"/>
    </row>
    <row r="70" spans="1:16" ht="36" hidden="1" x14ac:dyDescent="0.25">
      <c r="A70" s="99">
        <v>1200</v>
      </c>
      <c r="B70" s="247" t="s">
        <v>88</v>
      </c>
      <c r="C70" s="100">
        <f t="shared" si="4"/>
        <v>0</v>
      </c>
      <c r="D70" s="112">
        <f>SUM(D71:D72)</f>
        <v>0</v>
      </c>
      <c r="E70" s="293">
        <f>SUM(E71:E72)</f>
        <v>0</v>
      </c>
      <c r="F70" s="313">
        <f>D70+E70</f>
        <v>0</v>
      </c>
      <c r="G70" s="112">
        <f>SUM(G71:G72)</f>
        <v>0</v>
      </c>
      <c r="H70" s="113">
        <f>SUM(H71:H72)</f>
        <v>0</v>
      </c>
      <c r="I70" s="114">
        <f t="shared" si="6"/>
        <v>0</v>
      </c>
      <c r="J70" s="112">
        <f>SUM(J71:J72)</f>
        <v>0</v>
      </c>
      <c r="K70" s="113">
        <f>SUM(K71:K72)</f>
        <v>0</v>
      </c>
      <c r="L70" s="114">
        <f t="shared" si="7"/>
        <v>0</v>
      </c>
      <c r="M70" s="292">
        <f>SUM(M71:M72)</f>
        <v>0</v>
      </c>
      <c r="N70" s="293">
        <f>SUM(N71:N72)</f>
        <v>0</v>
      </c>
      <c r="O70" s="114">
        <f t="shared" si="8"/>
        <v>0</v>
      </c>
      <c r="P70" s="109"/>
    </row>
    <row r="71" spans="1:16" ht="24" hidden="1" x14ac:dyDescent="0.25">
      <c r="A71" s="609">
        <v>1210</v>
      </c>
      <c r="B71" s="116" t="s">
        <v>89</v>
      </c>
      <c r="C71" s="117">
        <f t="shared" si="4"/>
        <v>0</v>
      </c>
      <c r="D71" s="123"/>
      <c r="E71" s="262"/>
      <c r="F71" s="263">
        <f t="shared" si="5"/>
        <v>0</v>
      </c>
      <c r="G71" s="123"/>
      <c r="H71" s="124"/>
      <c r="I71" s="125">
        <f t="shared" si="6"/>
        <v>0</v>
      </c>
      <c r="J71" s="123"/>
      <c r="K71" s="124"/>
      <c r="L71" s="125">
        <f t="shared" si="7"/>
        <v>0</v>
      </c>
      <c r="M71" s="264"/>
      <c r="N71" s="262"/>
      <c r="O71" s="125">
        <f t="shared" si="8"/>
        <v>0</v>
      </c>
      <c r="P71" s="74"/>
    </row>
    <row r="72" spans="1:16" ht="24" hidden="1" x14ac:dyDescent="0.25">
      <c r="A72" s="276">
        <v>1220</v>
      </c>
      <c r="B72" s="127" t="s">
        <v>90</v>
      </c>
      <c r="C72" s="128">
        <f t="shared" si="4"/>
        <v>0</v>
      </c>
      <c r="D72" s="277">
        <f>SUM(D73:D77)</f>
        <v>0</v>
      </c>
      <c r="E72" s="282">
        <f>SUM(E73:E77)</f>
        <v>0</v>
      </c>
      <c r="F72" s="286">
        <f t="shared" si="5"/>
        <v>0</v>
      </c>
      <c r="G72" s="277">
        <f>SUM(G73:G77)</f>
        <v>0</v>
      </c>
      <c r="H72" s="280">
        <f>SUM(H73:H77)</f>
        <v>0</v>
      </c>
      <c r="I72" s="136">
        <f t="shared" si="6"/>
        <v>0</v>
      </c>
      <c r="J72" s="277">
        <f>SUM(J73:J77)</f>
        <v>0</v>
      </c>
      <c r="K72" s="280">
        <f>SUM(K73:K77)</f>
        <v>0</v>
      </c>
      <c r="L72" s="136">
        <f t="shared" si="7"/>
        <v>0</v>
      </c>
      <c r="M72" s="281">
        <f>SUM(M73:M77)</f>
        <v>0</v>
      </c>
      <c r="N72" s="282">
        <f>SUM(N73:N77)</f>
        <v>0</v>
      </c>
      <c r="O72" s="136">
        <f t="shared" si="8"/>
        <v>0</v>
      </c>
      <c r="P72" s="85"/>
    </row>
    <row r="73" spans="1:16" ht="60" hidden="1" x14ac:dyDescent="0.25">
      <c r="A73" s="76">
        <v>1221</v>
      </c>
      <c r="B73" s="127" t="s">
        <v>91</v>
      </c>
      <c r="C73" s="128">
        <f t="shared" si="4"/>
        <v>0</v>
      </c>
      <c r="D73" s="134"/>
      <c r="E73" s="285"/>
      <c r="F73" s="286">
        <f t="shared" si="5"/>
        <v>0</v>
      </c>
      <c r="G73" s="134"/>
      <c r="H73" s="135"/>
      <c r="I73" s="136">
        <f t="shared" si="6"/>
        <v>0</v>
      </c>
      <c r="J73" s="134"/>
      <c r="K73" s="135"/>
      <c r="L73" s="136">
        <f t="shared" si="7"/>
        <v>0</v>
      </c>
      <c r="M73" s="284"/>
      <c r="N73" s="285"/>
      <c r="O73" s="136">
        <f t="shared" si="8"/>
        <v>0</v>
      </c>
      <c r="P73" s="85"/>
    </row>
    <row r="74" spans="1:16" hidden="1" x14ac:dyDescent="0.25">
      <c r="A74" s="76">
        <v>1223</v>
      </c>
      <c r="B74" s="127" t="s">
        <v>92</v>
      </c>
      <c r="C74" s="128">
        <f t="shared" si="4"/>
        <v>0</v>
      </c>
      <c r="D74" s="134"/>
      <c r="E74" s="285"/>
      <c r="F74" s="286">
        <f t="shared" si="5"/>
        <v>0</v>
      </c>
      <c r="G74" s="134"/>
      <c r="H74" s="135"/>
      <c r="I74" s="136">
        <f t="shared" si="6"/>
        <v>0</v>
      </c>
      <c r="J74" s="134"/>
      <c r="K74" s="135"/>
      <c r="L74" s="136">
        <f t="shared" si="7"/>
        <v>0</v>
      </c>
      <c r="M74" s="284"/>
      <c r="N74" s="285"/>
      <c r="O74" s="136">
        <f t="shared" si="8"/>
        <v>0</v>
      </c>
      <c r="P74" s="85"/>
    </row>
    <row r="75" spans="1:16" hidden="1" x14ac:dyDescent="0.25">
      <c r="A75" s="76">
        <v>1225</v>
      </c>
      <c r="B75" s="127" t="s">
        <v>93</v>
      </c>
      <c r="C75" s="128">
        <f t="shared" si="4"/>
        <v>0</v>
      </c>
      <c r="D75" s="134"/>
      <c r="E75" s="285"/>
      <c r="F75" s="286">
        <f t="shared" si="5"/>
        <v>0</v>
      </c>
      <c r="G75" s="134"/>
      <c r="H75" s="135"/>
      <c r="I75" s="136">
        <f t="shared" si="6"/>
        <v>0</v>
      </c>
      <c r="J75" s="134"/>
      <c r="K75" s="135"/>
      <c r="L75" s="136">
        <f t="shared" si="7"/>
        <v>0</v>
      </c>
      <c r="M75" s="284"/>
      <c r="N75" s="285"/>
      <c r="O75" s="136">
        <f t="shared" si="8"/>
        <v>0</v>
      </c>
      <c r="P75" s="85"/>
    </row>
    <row r="76" spans="1:16" ht="36" hidden="1" x14ac:dyDescent="0.25">
      <c r="A76" s="76">
        <v>1227</v>
      </c>
      <c r="B76" s="127" t="s">
        <v>94</v>
      </c>
      <c r="C76" s="128">
        <f t="shared" si="4"/>
        <v>0</v>
      </c>
      <c r="D76" s="134"/>
      <c r="E76" s="285"/>
      <c r="F76" s="286">
        <f t="shared" si="5"/>
        <v>0</v>
      </c>
      <c r="G76" s="134"/>
      <c r="H76" s="135"/>
      <c r="I76" s="136">
        <f t="shared" si="6"/>
        <v>0</v>
      </c>
      <c r="J76" s="134"/>
      <c r="K76" s="135"/>
      <c r="L76" s="136">
        <f t="shared" si="7"/>
        <v>0</v>
      </c>
      <c r="M76" s="284"/>
      <c r="N76" s="285"/>
      <c r="O76" s="136">
        <f t="shared" si="8"/>
        <v>0</v>
      </c>
      <c r="P76" s="85"/>
    </row>
    <row r="77" spans="1:16" ht="60" hidden="1" x14ac:dyDescent="0.25">
      <c r="A77" s="76">
        <v>1228</v>
      </c>
      <c r="B77" s="127" t="s">
        <v>95</v>
      </c>
      <c r="C77" s="128">
        <f t="shared" si="4"/>
        <v>0</v>
      </c>
      <c r="D77" s="134"/>
      <c r="E77" s="285"/>
      <c r="F77" s="286">
        <f t="shared" si="5"/>
        <v>0</v>
      </c>
      <c r="G77" s="134"/>
      <c r="H77" s="135"/>
      <c r="I77" s="136">
        <f t="shared" si="6"/>
        <v>0</v>
      </c>
      <c r="J77" s="134"/>
      <c r="K77" s="135"/>
      <c r="L77" s="136">
        <f t="shared" si="7"/>
        <v>0</v>
      </c>
      <c r="M77" s="284"/>
      <c r="N77" s="285"/>
      <c r="O77" s="136">
        <f t="shared" si="8"/>
        <v>0</v>
      </c>
      <c r="P77" s="85"/>
    </row>
    <row r="78" spans="1:16" hidden="1" x14ac:dyDescent="0.25">
      <c r="A78" s="237">
        <v>2000</v>
      </c>
      <c r="B78" s="237" t="s">
        <v>96</v>
      </c>
      <c r="C78" s="238">
        <f t="shared" si="4"/>
        <v>0</v>
      </c>
      <c r="D78" s="239">
        <f>SUM(D79,D86,D133,D167,D168,D175)</f>
        <v>0</v>
      </c>
      <c r="E78" s="245">
        <f>SUM(E79,E86,E133,E167,E168,E175)</f>
        <v>0</v>
      </c>
      <c r="F78" s="320">
        <f t="shared" si="5"/>
        <v>0</v>
      </c>
      <c r="G78" s="239">
        <f>SUM(G79,G86,G133,G167,G168,G175)</f>
        <v>0</v>
      </c>
      <c r="H78" s="242">
        <f>SUM(H79,H86,H133,H167,H168,H175)</f>
        <v>0</v>
      </c>
      <c r="I78" s="243">
        <f t="shared" si="6"/>
        <v>0</v>
      </c>
      <c r="J78" s="239">
        <f>SUM(J79,J86,J133,J167,J168,J175)</f>
        <v>0</v>
      </c>
      <c r="K78" s="242">
        <f>SUM(K79,K86,K133,K167,K168,K175)</f>
        <v>0</v>
      </c>
      <c r="L78" s="243">
        <f t="shared" si="7"/>
        <v>0</v>
      </c>
      <c r="M78" s="244">
        <f>SUM(M79,M86,M133,M167,M168,M175)</f>
        <v>0</v>
      </c>
      <c r="N78" s="245">
        <f>SUM(N79,N86,N133,N167,N168,N175)</f>
        <v>0</v>
      </c>
      <c r="O78" s="243">
        <f t="shared" si="8"/>
        <v>0</v>
      </c>
      <c r="P78" s="246"/>
    </row>
    <row r="79" spans="1:16" ht="24" hidden="1" x14ac:dyDescent="0.25">
      <c r="A79" s="99">
        <v>2100</v>
      </c>
      <c r="B79" s="247" t="s">
        <v>97</v>
      </c>
      <c r="C79" s="100">
        <f t="shared" si="4"/>
        <v>0</v>
      </c>
      <c r="D79" s="112">
        <f>SUM(D80,D83)</f>
        <v>0</v>
      </c>
      <c r="E79" s="293">
        <f>SUM(E80,E83)</f>
        <v>0</v>
      </c>
      <c r="F79" s="313">
        <f t="shared" si="5"/>
        <v>0</v>
      </c>
      <c r="G79" s="112">
        <f>SUM(G80,G83)</f>
        <v>0</v>
      </c>
      <c r="H79" s="113">
        <f>SUM(H80,H83)</f>
        <v>0</v>
      </c>
      <c r="I79" s="114">
        <f t="shared" si="6"/>
        <v>0</v>
      </c>
      <c r="J79" s="112">
        <f>SUM(J80,J83)</f>
        <v>0</v>
      </c>
      <c r="K79" s="113">
        <f>SUM(K80,K83)</f>
        <v>0</v>
      </c>
      <c r="L79" s="114">
        <f t="shared" si="7"/>
        <v>0</v>
      </c>
      <c r="M79" s="292">
        <f>SUM(M80,M83)</f>
        <v>0</v>
      </c>
      <c r="N79" s="293">
        <f>SUM(N80,N83)</f>
        <v>0</v>
      </c>
      <c r="O79" s="114">
        <f t="shared" si="8"/>
        <v>0</v>
      </c>
      <c r="P79" s="109"/>
    </row>
    <row r="80" spans="1:16" ht="24" hidden="1" x14ac:dyDescent="0.25">
      <c r="A80" s="609">
        <v>2110</v>
      </c>
      <c r="B80" s="116" t="s">
        <v>98</v>
      </c>
      <c r="C80" s="117">
        <f t="shared" si="4"/>
        <v>0</v>
      </c>
      <c r="D80" s="297">
        <f>SUM(D81:D82)</f>
        <v>0</v>
      </c>
      <c r="E80" s="301">
        <f>SUM(E81:E82)</f>
        <v>0</v>
      </c>
      <c r="F80" s="263">
        <f t="shared" si="5"/>
        <v>0</v>
      </c>
      <c r="G80" s="297">
        <f>SUM(G81:G82)</f>
        <v>0</v>
      </c>
      <c r="H80" s="299">
        <f>SUM(H81:H82)</f>
        <v>0</v>
      </c>
      <c r="I80" s="125">
        <f t="shared" si="6"/>
        <v>0</v>
      </c>
      <c r="J80" s="297">
        <f>SUM(J81:J82)</f>
        <v>0</v>
      </c>
      <c r="K80" s="299">
        <f>SUM(K81:K82)</f>
        <v>0</v>
      </c>
      <c r="L80" s="125">
        <f t="shared" si="7"/>
        <v>0</v>
      </c>
      <c r="M80" s="300">
        <f>SUM(M81:M82)</f>
        <v>0</v>
      </c>
      <c r="N80" s="301">
        <f>SUM(N81:N82)</f>
        <v>0</v>
      </c>
      <c r="O80" s="125">
        <f t="shared" si="8"/>
        <v>0</v>
      </c>
      <c r="P80" s="74"/>
    </row>
    <row r="81" spans="1:16" hidden="1" x14ac:dyDescent="0.25">
      <c r="A81" s="76">
        <v>2111</v>
      </c>
      <c r="B81" s="127" t="s">
        <v>99</v>
      </c>
      <c r="C81" s="128">
        <f t="shared" si="4"/>
        <v>0</v>
      </c>
      <c r="D81" s="134"/>
      <c r="E81" s="285"/>
      <c r="F81" s="286">
        <f t="shared" si="5"/>
        <v>0</v>
      </c>
      <c r="G81" s="134"/>
      <c r="H81" s="135"/>
      <c r="I81" s="136">
        <f t="shared" si="6"/>
        <v>0</v>
      </c>
      <c r="J81" s="134"/>
      <c r="K81" s="135"/>
      <c r="L81" s="136">
        <f t="shared" si="7"/>
        <v>0</v>
      </c>
      <c r="M81" s="284"/>
      <c r="N81" s="285"/>
      <c r="O81" s="136">
        <f t="shared" si="8"/>
        <v>0</v>
      </c>
      <c r="P81" s="85"/>
    </row>
    <row r="82" spans="1:16" ht="24" hidden="1" x14ac:dyDescent="0.25">
      <c r="A82" s="76">
        <v>2112</v>
      </c>
      <c r="B82" s="127" t="s">
        <v>100</v>
      </c>
      <c r="C82" s="128">
        <f t="shared" si="4"/>
        <v>0</v>
      </c>
      <c r="D82" s="134"/>
      <c r="E82" s="285"/>
      <c r="F82" s="286">
        <f t="shared" si="5"/>
        <v>0</v>
      </c>
      <c r="G82" s="134"/>
      <c r="H82" s="135"/>
      <c r="I82" s="136">
        <f t="shared" si="6"/>
        <v>0</v>
      </c>
      <c r="J82" s="134"/>
      <c r="K82" s="135"/>
      <c r="L82" s="136">
        <f t="shared" si="7"/>
        <v>0</v>
      </c>
      <c r="M82" s="284"/>
      <c r="N82" s="285"/>
      <c r="O82" s="136">
        <f t="shared" si="8"/>
        <v>0</v>
      </c>
      <c r="P82" s="85"/>
    </row>
    <row r="83" spans="1:16" ht="24" hidden="1" x14ac:dyDescent="0.25">
      <c r="A83" s="276">
        <v>2120</v>
      </c>
      <c r="B83" s="127" t="s">
        <v>101</v>
      </c>
      <c r="C83" s="128">
        <f t="shared" si="4"/>
        <v>0</v>
      </c>
      <c r="D83" s="277">
        <f>SUM(D84:D85)</f>
        <v>0</v>
      </c>
      <c r="E83" s="282">
        <f>SUM(E84:E85)</f>
        <v>0</v>
      </c>
      <c r="F83" s="286">
        <f t="shared" si="5"/>
        <v>0</v>
      </c>
      <c r="G83" s="277">
        <f>SUM(G84:G85)</f>
        <v>0</v>
      </c>
      <c r="H83" s="280">
        <f>SUM(H84:H85)</f>
        <v>0</v>
      </c>
      <c r="I83" s="136">
        <f t="shared" si="6"/>
        <v>0</v>
      </c>
      <c r="J83" s="277">
        <f>SUM(J84:J85)</f>
        <v>0</v>
      </c>
      <c r="K83" s="280">
        <f>SUM(K84:K85)</f>
        <v>0</v>
      </c>
      <c r="L83" s="136">
        <f t="shared" si="7"/>
        <v>0</v>
      </c>
      <c r="M83" s="281">
        <f>SUM(M84:M85)</f>
        <v>0</v>
      </c>
      <c r="N83" s="282">
        <f>SUM(N84:N85)</f>
        <v>0</v>
      </c>
      <c r="O83" s="136">
        <f t="shared" si="8"/>
        <v>0</v>
      </c>
      <c r="P83" s="85"/>
    </row>
    <row r="84" spans="1:16" hidden="1" x14ac:dyDescent="0.25">
      <c r="A84" s="76">
        <v>2121</v>
      </c>
      <c r="B84" s="127" t="s">
        <v>99</v>
      </c>
      <c r="C84" s="128">
        <f t="shared" si="4"/>
        <v>0</v>
      </c>
      <c r="D84" s="134"/>
      <c r="E84" s="285"/>
      <c r="F84" s="286">
        <f t="shared" si="5"/>
        <v>0</v>
      </c>
      <c r="G84" s="134"/>
      <c r="H84" s="135"/>
      <c r="I84" s="136">
        <f t="shared" si="6"/>
        <v>0</v>
      </c>
      <c r="J84" s="134"/>
      <c r="K84" s="135"/>
      <c r="L84" s="136">
        <f t="shared" si="7"/>
        <v>0</v>
      </c>
      <c r="M84" s="284"/>
      <c r="N84" s="285"/>
      <c r="O84" s="136">
        <f t="shared" si="8"/>
        <v>0</v>
      </c>
      <c r="P84" s="85"/>
    </row>
    <row r="85" spans="1:16" ht="24" hidden="1" x14ac:dyDescent="0.25">
      <c r="A85" s="76">
        <v>2122</v>
      </c>
      <c r="B85" s="127" t="s">
        <v>100</v>
      </c>
      <c r="C85" s="128">
        <f t="shared" si="4"/>
        <v>0</v>
      </c>
      <c r="D85" s="134"/>
      <c r="E85" s="285"/>
      <c r="F85" s="286">
        <f t="shared" si="5"/>
        <v>0</v>
      </c>
      <c r="G85" s="134"/>
      <c r="H85" s="135"/>
      <c r="I85" s="136">
        <f t="shared" si="6"/>
        <v>0</v>
      </c>
      <c r="J85" s="134"/>
      <c r="K85" s="135"/>
      <c r="L85" s="136">
        <f t="shared" si="7"/>
        <v>0</v>
      </c>
      <c r="M85" s="284"/>
      <c r="N85" s="285"/>
      <c r="O85" s="136">
        <f t="shared" si="8"/>
        <v>0</v>
      </c>
      <c r="P85" s="85"/>
    </row>
    <row r="86" spans="1:16" hidden="1" x14ac:dyDescent="0.25">
      <c r="A86" s="99">
        <v>2200</v>
      </c>
      <c r="B86" s="247" t="s">
        <v>102</v>
      </c>
      <c r="C86" s="302">
        <f t="shared" si="4"/>
        <v>0</v>
      </c>
      <c r="D86" s="112">
        <f>SUM(D87,D92,D98,D106,D115,D119,D125,D131)</f>
        <v>0</v>
      </c>
      <c r="E86" s="293">
        <f>SUM(E87,E92,E98,E106,E115,E119,E125,E131)</f>
        <v>0</v>
      </c>
      <c r="F86" s="313">
        <f t="shared" si="5"/>
        <v>0</v>
      </c>
      <c r="G86" s="112">
        <f>SUM(G87,G92,G98,G106,G115,G119,G125,G131)</f>
        <v>0</v>
      </c>
      <c r="H86" s="113">
        <f>SUM(H87,H92,H98,H106,H115,H119,H125,H131)</f>
        <v>0</v>
      </c>
      <c r="I86" s="114">
        <f t="shared" si="6"/>
        <v>0</v>
      </c>
      <c r="J86" s="112">
        <f>SUM(J87,J92,J98,J106,J115,J119,J125,J131)</f>
        <v>0</v>
      </c>
      <c r="K86" s="113">
        <f>SUM(K87,K92,K98,K106,K115,K119,K125,K131)</f>
        <v>0</v>
      </c>
      <c r="L86" s="114">
        <f t="shared" si="7"/>
        <v>0</v>
      </c>
      <c r="M86" s="303">
        <f>SUM(M87,M92,M98,M106,M115,M119,M125,M131)</f>
        <v>0</v>
      </c>
      <c r="N86" s="304">
        <f>SUM(N87,N92,N98,N106,N115,N119,N125,N131)</f>
        <v>0</v>
      </c>
      <c r="O86" s="305">
        <f t="shared" si="8"/>
        <v>0</v>
      </c>
      <c r="P86" s="306"/>
    </row>
    <row r="87" spans="1:16" ht="24" hidden="1" x14ac:dyDescent="0.25">
      <c r="A87" s="254">
        <v>2210</v>
      </c>
      <c r="B87" s="179" t="s">
        <v>103</v>
      </c>
      <c r="C87" s="191">
        <f t="shared" si="4"/>
        <v>0</v>
      </c>
      <c r="D87" s="255">
        <f>SUM(D88:D91)</f>
        <v>0</v>
      </c>
      <c r="E87" s="261">
        <f>SUM(E88:E91)</f>
        <v>0</v>
      </c>
      <c r="F87" s="310">
        <f t="shared" si="5"/>
        <v>0</v>
      </c>
      <c r="G87" s="255">
        <f>SUM(G88:G91)</f>
        <v>0</v>
      </c>
      <c r="H87" s="258">
        <f>SUM(H88:H91)</f>
        <v>0</v>
      </c>
      <c r="I87" s="259">
        <f t="shared" si="6"/>
        <v>0</v>
      </c>
      <c r="J87" s="255">
        <f>SUM(J88:J91)</f>
        <v>0</v>
      </c>
      <c r="K87" s="258">
        <f>SUM(K88:K91)</f>
        <v>0</v>
      </c>
      <c r="L87" s="259">
        <f t="shared" si="7"/>
        <v>0</v>
      </c>
      <c r="M87" s="260">
        <f>SUM(M88:M91)</f>
        <v>0</v>
      </c>
      <c r="N87" s="261">
        <f>SUM(N88:N91)</f>
        <v>0</v>
      </c>
      <c r="O87" s="259">
        <f t="shared" si="8"/>
        <v>0</v>
      </c>
      <c r="P87" s="189"/>
    </row>
    <row r="88" spans="1:16" ht="24" hidden="1" x14ac:dyDescent="0.25">
      <c r="A88" s="66">
        <v>2211</v>
      </c>
      <c r="B88" s="116" t="s">
        <v>104</v>
      </c>
      <c r="C88" s="128">
        <f t="shared" si="4"/>
        <v>0</v>
      </c>
      <c r="D88" s="123"/>
      <c r="E88" s="262"/>
      <c r="F88" s="263">
        <f t="shared" si="5"/>
        <v>0</v>
      </c>
      <c r="G88" s="123"/>
      <c r="H88" s="124"/>
      <c r="I88" s="125">
        <f t="shared" si="6"/>
        <v>0</v>
      </c>
      <c r="J88" s="123"/>
      <c r="K88" s="124"/>
      <c r="L88" s="125">
        <f t="shared" si="7"/>
        <v>0</v>
      </c>
      <c r="M88" s="264"/>
      <c r="N88" s="262"/>
      <c r="O88" s="125">
        <f t="shared" si="8"/>
        <v>0</v>
      </c>
      <c r="P88" s="74"/>
    </row>
    <row r="89" spans="1:16" ht="36" hidden="1" x14ac:dyDescent="0.25">
      <c r="A89" s="76">
        <v>2212</v>
      </c>
      <c r="B89" s="127" t="s">
        <v>105</v>
      </c>
      <c r="C89" s="128">
        <f t="shared" si="4"/>
        <v>0</v>
      </c>
      <c r="D89" s="134"/>
      <c r="E89" s="285"/>
      <c r="F89" s="286">
        <f t="shared" si="5"/>
        <v>0</v>
      </c>
      <c r="G89" s="134"/>
      <c r="H89" s="135"/>
      <c r="I89" s="136">
        <f t="shared" si="6"/>
        <v>0</v>
      </c>
      <c r="J89" s="134"/>
      <c r="K89" s="135"/>
      <c r="L89" s="136">
        <f t="shared" si="7"/>
        <v>0</v>
      </c>
      <c r="M89" s="284"/>
      <c r="N89" s="285"/>
      <c r="O89" s="136">
        <f t="shared" si="8"/>
        <v>0</v>
      </c>
      <c r="P89" s="85"/>
    </row>
    <row r="90" spans="1:16" ht="24" hidden="1" x14ac:dyDescent="0.25">
      <c r="A90" s="76">
        <v>2214</v>
      </c>
      <c r="B90" s="127" t="s">
        <v>106</v>
      </c>
      <c r="C90" s="128">
        <f t="shared" si="4"/>
        <v>0</v>
      </c>
      <c r="D90" s="134"/>
      <c r="E90" s="285"/>
      <c r="F90" s="286">
        <f t="shared" si="5"/>
        <v>0</v>
      </c>
      <c r="G90" s="134"/>
      <c r="H90" s="135"/>
      <c r="I90" s="136">
        <f t="shared" si="6"/>
        <v>0</v>
      </c>
      <c r="J90" s="134"/>
      <c r="K90" s="135"/>
      <c r="L90" s="136">
        <f t="shared" si="7"/>
        <v>0</v>
      </c>
      <c r="M90" s="284"/>
      <c r="N90" s="285"/>
      <c r="O90" s="136">
        <f t="shared" si="8"/>
        <v>0</v>
      </c>
      <c r="P90" s="85"/>
    </row>
    <row r="91" spans="1:16" hidden="1" x14ac:dyDescent="0.25">
      <c r="A91" s="76">
        <v>2219</v>
      </c>
      <c r="B91" s="127" t="s">
        <v>107</v>
      </c>
      <c r="C91" s="128">
        <f t="shared" si="4"/>
        <v>0</v>
      </c>
      <c r="D91" s="134"/>
      <c r="E91" s="285"/>
      <c r="F91" s="286">
        <f t="shared" si="5"/>
        <v>0</v>
      </c>
      <c r="G91" s="134"/>
      <c r="H91" s="135"/>
      <c r="I91" s="136">
        <f t="shared" si="6"/>
        <v>0</v>
      </c>
      <c r="J91" s="134"/>
      <c r="K91" s="135"/>
      <c r="L91" s="136">
        <f t="shared" si="7"/>
        <v>0</v>
      </c>
      <c r="M91" s="284"/>
      <c r="N91" s="285"/>
      <c r="O91" s="136">
        <f t="shared" si="8"/>
        <v>0</v>
      </c>
      <c r="P91" s="85"/>
    </row>
    <row r="92" spans="1:16" ht="24" hidden="1" x14ac:dyDescent="0.25">
      <c r="A92" s="276">
        <v>2220</v>
      </c>
      <c r="B92" s="127" t="s">
        <v>108</v>
      </c>
      <c r="C92" s="128">
        <f t="shared" si="4"/>
        <v>0</v>
      </c>
      <c r="D92" s="277">
        <f>SUM(D93:D97)</f>
        <v>0</v>
      </c>
      <c r="E92" s="282">
        <f>SUM(E93:E97)</f>
        <v>0</v>
      </c>
      <c r="F92" s="286">
        <f t="shared" si="5"/>
        <v>0</v>
      </c>
      <c r="G92" s="277">
        <f>SUM(G93:G97)</f>
        <v>0</v>
      </c>
      <c r="H92" s="280">
        <f>SUM(H93:H97)</f>
        <v>0</v>
      </c>
      <c r="I92" s="136">
        <f t="shared" si="6"/>
        <v>0</v>
      </c>
      <c r="J92" s="277">
        <f>SUM(J93:J97)</f>
        <v>0</v>
      </c>
      <c r="K92" s="280">
        <f>SUM(K93:K97)</f>
        <v>0</v>
      </c>
      <c r="L92" s="136">
        <f t="shared" si="7"/>
        <v>0</v>
      </c>
      <c r="M92" s="281">
        <f>SUM(M93:M97)</f>
        <v>0</v>
      </c>
      <c r="N92" s="282">
        <f>SUM(N93:N97)</f>
        <v>0</v>
      </c>
      <c r="O92" s="136">
        <f t="shared" si="8"/>
        <v>0</v>
      </c>
      <c r="P92" s="85"/>
    </row>
    <row r="93" spans="1:16" hidden="1" x14ac:dyDescent="0.25">
      <c r="A93" s="76">
        <v>2221</v>
      </c>
      <c r="B93" s="127" t="s">
        <v>109</v>
      </c>
      <c r="C93" s="128">
        <f t="shared" si="4"/>
        <v>0</v>
      </c>
      <c r="D93" s="134"/>
      <c r="E93" s="285"/>
      <c r="F93" s="286">
        <f t="shared" si="5"/>
        <v>0</v>
      </c>
      <c r="G93" s="134"/>
      <c r="H93" s="135"/>
      <c r="I93" s="136">
        <f t="shared" si="6"/>
        <v>0</v>
      </c>
      <c r="J93" s="134"/>
      <c r="K93" s="135"/>
      <c r="L93" s="136">
        <f t="shared" si="7"/>
        <v>0</v>
      </c>
      <c r="M93" s="284"/>
      <c r="N93" s="285"/>
      <c r="O93" s="136">
        <f t="shared" si="8"/>
        <v>0</v>
      </c>
      <c r="P93" s="85"/>
    </row>
    <row r="94" spans="1:16" hidden="1" x14ac:dyDescent="0.25">
      <c r="A94" s="76">
        <v>2222</v>
      </c>
      <c r="B94" s="127" t="s">
        <v>110</v>
      </c>
      <c r="C94" s="128">
        <f t="shared" si="4"/>
        <v>0</v>
      </c>
      <c r="D94" s="134"/>
      <c r="E94" s="285"/>
      <c r="F94" s="286">
        <f t="shared" si="5"/>
        <v>0</v>
      </c>
      <c r="G94" s="134"/>
      <c r="H94" s="135"/>
      <c r="I94" s="136">
        <f t="shared" si="6"/>
        <v>0</v>
      </c>
      <c r="J94" s="134"/>
      <c r="K94" s="135"/>
      <c r="L94" s="136">
        <f t="shared" si="7"/>
        <v>0</v>
      </c>
      <c r="M94" s="284"/>
      <c r="N94" s="285"/>
      <c r="O94" s="136">
        <f t="shared" si="8"/>
        <v>0</v>
      </c>
      <c r="P94" s="85"/>
    </row>
    <row r="95" spans="1:16" hidden="1" x14ac:dyDescent="0.25">
      <c r="A95" s="76">
        <v>2223</v>
      </c>
      <c r="B95" s="127" t="s">
        <v>111</v>
      </c>
      <c r="C95" s="128">
        <f t="shared" si="4"/>
        <v>0</v>
      </c>
      <c r="D95" s="134"/>
      <c r="E95" s="285"/>
      <c r="F95" s="286">
        <f t="shared" si="5"/>
        <v>0</v>
      </c>
      <c r="G95" s="134"/>
      <c r="H95" s="135"/>
      <c r="I95" s="136">
        <f t="shared" si="6"/>
        <v>0</v>
      </c>
      <c r="J95" s="134"/>
      <c r="K95" s="135"/>
      <c r="L95" s="136">
        <f t="shared" si="7"/>
        <v>0</v>
      </c>
      <c r="M95" s="284"/>
      <c r="N95" s="285"/>
      <c r="O95" s="136">
        <f t="shared" si="8"/>
        <v>0</v>
      </c>
      <c r="P95" s="85"/>
    </row>
    <row r="96" spans="1:16" ht="48" hidden="1" x14ac:dyDescent="0.25">
      <c r="A96" s="76">
        <v>2224</v>
      </c>
      <c r="B96" s="127" t="s">
        <v>112</v>
      </c>
      <c r="C96" s="128">
        <f t="shared" si="4"/>
        <v>0</v>
      </c>
      <c r="D96" s="134"/>
      <c r="E96" s="285"/>
      <c r="F96" s="286">
        <f t="shared" si="5"/>
        <v>0</v>
      </c>
      <c r="G96" s="134"/>
      <c r="H96" s="135"/>
      <c r="I96" s="136">
        <f t="shared" si="6"/>
        <v>0</v>
      </c>
      <c r="J96" s="134"/>
      <c r="K96" s="135"/>
      <c r="L96" s="136">
        <f t="shared" si="7"/>
        <v>0</v>
      </c>
      <c r="M96" s="284"/>
      <c r="N96" s="285"/>
      <c r="O96" s="136">
        <f t="shared" si="8"/>
        <v>0</v>
      </c>
      <c r="P96" s="85"/>
    </row>
    <row r="97" spans="1:16" ht="24" hidden="1" x14ac:dyDescent="0.25">
      <c r="A97" s="76">
        <v>2229</v>
      </c>
      <c r="B97" s="127" t="s">
        <v>113</v>
      </c>
      <c r="C97" s="128">
        <f t="shared" si="4"/>
        <v>0</v>
      </c>
      <c r="D97" s="134"/>
      <c r="E97" s="285"/>
      <c r="F97" s="286">
        <f t="shared" si="5"/>
        <v>0</v>
      </c>
      <c r="G97" s="134"/>
      <c r="H97" s="135"/>
      <c r="I97" s="136">
        <f t="shared" si="6"/>
        <v>0</v>
      </c>
      <c r="J97" s="134"/>
      <c r="K97" s="135"/>
      <c r="L97" s="136">
        <f t="shared" si="7"/>
        <v>0</v>
      </c>
      <c r="M97" s="284"/>
      <c r="N97" s="285"/>
      <c r="O97" s="136">
        <f t="shared" si="8"/>
        <v>0</v>
      </c>
      <c r="P97" s="85"/>
    </row>
    <row r="98" spans="1:16" ht="36" hidden="1" x14ac:dyDescent="0.25">
      <c r="A98" s="276">
        <v>2230</v>
      </c>
      <c r="B98" s="127" t="s">
        <v>114</v>
      </c>
      <c r="C98" s="128">
        <f t="shared" si="4"/>
        <v>0</v>
      </c>
      <c r="D98" s="277">
        <f>SUM(D99:D105)</f>
        <v>0</v>
      </c>
      <c r="E98" s="282">
        <f>SUM(E99:E105)</f>
        <v>0</v>
      </c>
      <c r="F98" s="286">
        <f t="shared" si="5"/>
        <v>0</v>
      </c>
      <c r="G98" s="277">
        <f>SUM(G99:G105)</f>
        <v>0</v>
      </c>
      <c r="H98" s="280">
        <f>SUM(H99:H105)</f>
        <v>0</v>
      </c>
      <c r="I98" s="136">
        <f t="shared" si="6"/>
        <v>0</v>
      </c>
      <c r="J98" s="277">
        <f>SUM(J99:J105)</f>
        <v>0</v>
      </c>
      <c r="K98" s="280">
        <f>SUM(K99:K105)</f>
        <v>0</v>
      </c>
      <c r="L98" s="136">
        <f t="shared" si="7"/>
        <v>0</v>
      </c>
      <c r="M98" s="281">
        <f>SUM(M99:M105)</f>
        <v>0</v>
      </c>
      <c r="N98" s="282">
        <f>SUM(N99:N105)</f>
        <v>0</v>
      </c>
      <c r="O98" s="136">
        <f t="shared" si="8"/>
        <v>0</v>
      </c>
      <c r="P98" s="85"/>
    </row>
    <row r="99" spans="1:16" ht="24" hidden="1" x14ac:dyDescent="0.25">
      <c r="A99" s="76">
        <v>2231</v>
      </c>
      <c r="B99" s="127" t="s">
        <v>115</v>
      </c>
      <c r="C99" s="128">
        <f t="shared" si="4"/>
        <v>0</v>
      </c>
      <c r="D99" s="134"/>
      <c r="E99" s="285"/>
      <c r="F99" s="286">
        <f t="shared" si="5"/>
        <v>0</v>
      </c>
      <c r="G99" s="134"/>
      <c r="H99" s="135"/>
      <c r="I99" s="136">
        <f t="shared" si="6"/>
        <v>0</v>
      </c>
      <c r="J99" s="134"/>
      <c r="K99" s="135"/>
      <c r="L99" s="136">
        <f t="shared" si="7"/>
        <v>0</v>
      </c>
      <c r="M99" s="284"/>
      <c r="N99" s="285"/>
      <c r="O99" s="136">
        <f t="shared" si="8"/>
        <v>0</v>
      </c>
      <c r="P99" s="85"/>
    </row>
    <row r="100" spans="1:16" ht="36" hidden="1" x14ac:dyDescent="0.25">
      <c r="A100" s="76">
        <v>2232</v>
      </c>
      <c r="B100" s="127" t="s">
        <v>116</v>
      </c>
      <c r="C100" s="128">
        <f t="shared" si="4"/>
        <v>0</v>
      </c>
      <c r="D100" s="134"/>
      <c r="E100" s="285"/>
      <c r="F100" s="286">
        <f t="shared" si="5"/>
        <v>0</v>
      </c>
      <c r="G100" s="134"/>
      <c r="H100" s="135"/>
      <c r="I100" s="136">
        <f t="shared" si="6"/>
        <v>0</v>
      </c>
      <c r="J100" s="134"/>
      <c r="K100" s="135"/>
      <c r="L100" s="136">
        <f t="shared" si="7"/>
        <v>0</v>
      </c>
      <c r="M100" s="284"/>
      <c r="N100" s="285"/>
      <c r="O100" s="136">
        <f t="shared" si="8"/>
        <v>0</v>
      </c>
      <c r="P100" s="85"/>
    </row>
    <row r="101" spans="1:16" ht="24" hidden="1" x14ac:dyDescent="0.25">
      <c r="A101" s="66">
        <v>2233</v>
      </c>
      <c r="B101" s="116" t="s">
        <v>117</v>
      </c>
      <c r="C101" s="128">
        <f t="shared" si="4"/>
        <v>0</v>
      </c>
      <c r="D101" s="123"/>
      <c r="E101" s="262"/>
      <c r="F101" s="263">
        <f t="shared" si="5"/>
        <v>0</v>
      </c>
      <c r="G101" s="123"/>
      <c r="H101" s="124"/>
      <c r="I101" s="125">
        <f t="shared" si="6"/>
        <v>0</v>
      </c>
      <c r="J101" s="123"/>
      <c r="K101" s="124"/>
      <c r="L101" s="125">
        <f t="shared" si="7"/>
        <v>0</v>
      </c>
      <c r="M101" s="264"/>
      <c r="N101" s="262"/>
      <c r="O101" s="125">
        <f t="shared" si="8"/>
        <v>0</v>
      </c>
      <c r="P101" s="74"/>
    </row>
    <row r="102" spans="1:16" ht="36" hidden="1" x14ac:dyDescent="0.25">
      <c r="A102" s="76">
        <v>2234</v>
      </c>
      <c r="B102" s="127" t="s">
        <v>118</v>
      </c>
      <c r="C102" s="128">
        <f t="shared" si="4"/>
        <v>0</v>
      </c>
      <c r="D102" s="134"/>
      <c r="E102" s="285"/>
      <c r="F102" s="286">
        <f t="shared" si="5"/>
        <v>0</v>
      </c>
      <c r="G102" s="134"/>
      <c r="H102" s="135"/>
      <c r="I102" s="136">
        <f t="shared" si="6"/>
        <v>0</v>
      </c>
      <c r="J102" s="134"/>
      <c r="K102" s="135"/>
      <c r="L102" s="136">
        <f t="shared" si="7"/>
        <v>0</v>
      </c>
      <c r="M102" s="284"/>
      <c r="N102" s="285"/>
      <c r="O102" s="136">
        <f t="shared" si="8"/>
        <v>0</v>
      </c>
      <c r="P102" s="85"/>
    </row>
    <row r="103" spans="1:16" ht="24" hidden="1" x14ac:dyDescent="0.25">
      <c r="A103" s="76">
        <v>2235</v>
      </c>
      <c r="B103" s="127" t="s">
        <v>119</v>
      </c>
      <c r="C103" s="128">
        <f t="shared" si="4"/>
        <v>0</v>
      </c>
      <c r="D103" s="134"/>
      <c r="E103" s="285"/>
      <c r="F103" s="286">
        <f t="shared" si="5"/>
        <v>0</v>
      </c>
      <c r="G103" s="134"/>
      <c r="H103" s="135"/>
      <c r="I103" s="136">
        <f t="shared" si="6"/>
        <v>0</v>
      </c>
      <c r="J103" s="134"/>
      <c r="K103" s="135"/>
      <c r="L103" s="136">
        <f t="shared" si="7"/>
        <v>0</v>
      </c>
      <c r="M103" s="284"/>
      <c r="N103" s="285"/>
      <c r="O103" s="136">
        <f t="shared" si="8"/>
        <v>0</v>
      </c>
      <c r="P103" s="85"/>
    </row>
    <row r="104" spans="1:16" hidden="1" x14ac:dyDescent="0.25">
      <c r="A104" s="76">
        <v>2236</v>
      </c>
      <c r="B104" s="127" t="s">
        <v>120</v>
      </c>
      <c r="C104" s="128">
        <f t="shared" si="4"/>
        <v>0</v>
      </c>
      <c r="D104" s="134"/>
      <c r="E104" s="285"/>
      <c r="F104" s="286">
        <f t="shared" si="5"/>
        <v>0</v>
      </c>
      <c r="G104" s="134"/>
      <c r="H104" s="135"/>
      <c r="I104" s="136">
        <f t="shared" si="6"/>
        <v>0</v>
      </c>
      <c r="J104" s="134"/>
      <c r="K104" s="135"/>
      <c r="L104" s="136">
        <f t="shared" si="7"/>
        <v>0</v>
      </c>
      <c r="M104" s="284"/>
      <c r="N104" s="285"/>
      <c r="O104" s="136">
        <f t="shared" si="8"/>
        <v>0</v>
      </c>
      <c r="P104" s="85"/>
    </row>
    <row r="105" spans="1:16" ht="24" hidden="1" x14ac:dyDescent="0.25">
      <c r="A105" s="76">
        <v>2239</v>
      </c>
      <c r="B105" s="127" t="s">
        <v>121</v>
      </c>
      <c r="C105" s="128">
        <f t="shared" si="4"/>
        <v>0</v>
      </c>
      <c r="D105" s="134"/>
      <c r="E105" s="285"/>
      <c r="F105" s="286">
        <f t="shared" si="5"/>
        <v>0</v>
      </c>
      <c r="G105" s="134"/>
      <c r="H105" s="135"/>
      <c r="I105" s="136">
        <f t="shared" si="6"/>
        <v>0</v>
      </c>
      <c r="J105" s="134"/>
      <c r="K105" s="135"/>
      <c r="L105" s="136">
        <f t="shared" si="7"/>
        <v>0</v>
      </c>
      <c r="M105" s="284"/>
      <c r="N105" s="285"/>
      <c r="O105" s="136">
        <f t="shared" si="8"/>
        <v>0</v>
      </c>
      <c r="P105" s="85"/>
    </row>
    <row r="106" spans="1:16" ht="36" hidden="1" x14ac:dyDescent="0.25">
      <c r="A106" s="276">
        <v>2240</v>
      </c>
      <c r="B106" s="127" t="s">
        <v>122</v>
      </c>
      <c r="C106" s="128">
        <f t="shared" si="4"/>
        <v>0</v>
      </c>
      <c r="D106" s="277">
        <f>SUM(D107:D114)</f>
        <v>0</v>
      </c>
      <c r="E106" s="282">
        <f>SUM(E107:E114)</f>
        <v>0</v>
      </c>
      <c r="F106" s="286">
        <f t="shared" si="5"/>
        <v>0</v>
      </c>
      <c r="G106" s="277">
        <f>SUM(G107:G114)</f>
        <v>0</v>
      </c>
      <c r="H106" s="280">
        <f>SUM(H107:H114)</f>
        <v>0</v>
      </c>
      <c r="I106" s="136">
        <f t="shared" si="6"/>
        <v>0</v>
      </c>
      <c r="J106" s="277">
        <f>SUM(J107:J114)</f>
        <v>0</v>
      </c>
      <c r="K106" s="280">
        <f>SUM(K107:K114)</f>
        <v>0</v>
      </c>
      <c r="L106" s="136">
        <f t="shared" si="7"/>
        <v>0</v>
      </c>
      <c r="M106" s="281">
        <f>SUM(M107:M114)</f>
        <v>0</v>
      </c>
      <c r="N106" s="282">
        <f>SUM(N107:N114)</f>
        <v>0</v>
      </c>
      <c r="O106" s="136">
        <f t="shared" si="8"/>
        <v>0</v>
      </c>
      <c r="P106" s="85"/>
    </row>
    <row r="107" spans="1:16" hidden="1" x14ac:dyDescent="0.25">
      <c r="A107" s="76">
        <v>2241</v>
      </c>
      <c r="B107" s="127" t="s">
        <v>123</v>
      </c>
      <c r="C107" s="128">
        <f t="shared" si="4"/>
        <v>0</v>
      </c>
      <c r="D107" s="134"/>
      <c r="E107" s="285"/>
      <c r="F107" s="286">
        <f t="shared" si="5"/>
        <v>0</v>
      </c>
      <c r="G107" s="134"/>
      <c r="H107" s="135"/>
      <c r="I107" s="136">
        <f t="shared" si="6"/>
        <v>0</v>
      </c>
      <c r="J107" s="134"/>
      <c r="K107" s="135"/>
      <c r="L107" s="136">
        <f t="shared" si="7"/>
        <v>0</v>
      </c>
      <c r="M107" s="284"/>
      <c r="N107" s="285"/>
      <c r="O107" s="136">
        <f t="shared" si="8"/>
        <v>0</v>
      </c>
      <c r="P107" s="85"/>
    </row>
    <row r="108" spans="1:16" ht="24" hidden="1" x14ac:dyDescent="0.25">
      <c r="A108" s="76">
        <v>2242</v>
      </c>
      <c r="B108" s="127" t="s">
        <v>124</v>
      </c>
      <c r="C108" s="128">
        <f t="shared" si="4"/>
        <v>0</v>
      </c>
      <c r="D108" s="134"/>
      <c r="E108" s="285"/>
      <c r="F108" s="286">
        <f t="shared" si="5"/>
        <v>0</v>
      </c>
      <c r="G108" s="134"/>
      <c r="H108" s="135"/>
      <c r="I108" s="136">
        <f t="shared" si="6"/>
        <v>0</v>
      </c>
      <c r="J108" s="134"/>
      <c r="K108" s="135"/>
      <c r="L108" s="136">
        <f t="shared" si="7"/>
        <v>0</v>
      </c>
      <c r="M108" s="284"/>
      <c r="N108" s="285"/>
      <c r="O108" s="136">
        <f t="shared" si="8"/>
        <v>0</v>
      </c>
      <c r="P108" s="85"/>
    </row>
    <row r="109" spans="1:16" ht="24" hidden="1" x14ac:dyDescent="0.25">
      <c r="A109" s="76">
        <v>2243</v>
      </c>
      <c r="B109" s="127" t="s">
        <v>125</v>
      </c>
      <c r="C109" s="128">
        <f t="shared" si="4"/>
        <v>0</v>
      </c>
      <c r="D109" s="134"/>
      <c r="E109" s="285"/>
      <c r="F109" s="286">
        <f t="shared" si="5"/>
        <v>0</v>
      </c>
      <c r="G109" s="134"/>
      <c r="H109" s="135"/>
      <c r="I109" s="136">
        <f t="shared" si="6"/>
        <v>0</v>
      </c>
      <c r="J109" s="134"/>
      <c r="K109" s="135"/>
      <c r="L109" s="136">
        <f t="shared" si="7"/>
        <v>0</v>
      </c>
      <c r="M109" s="284"/>
      <c r="N109" s="285"/>
      <c r="O109" s="136">
        <f t="shared" si="8"/>
        <v>0</v>
      </c>
      <c r="P109" s="85"/>
    </row>
    <row r="110" spans="1:16" hidden="1" x14ac:dyDescent="0.25">
      <c r="A110" s="76">
        <v>2244</v>
      </c>
      <c r="B110" s="127" t="s">
        <v>126</v>
      </c>
      <c r="C110" s="128">
        <f t="shared" si="4"/>
        <v>0</v>
      </c>
      <c r="D110" s="134"/>
      <c r="E110" s="285"/>
      <c r="F110" s="286">
        <f t="shared" si="5"/>
        <v>0</v>
      </c>
      <c r="G110" s="134"/>
      <c r="H110" s="135"/>
      <c r="I110" s="136">
        <f t="shared" si="6"/>
        <v>0</v>
      </c>
      <c r="J110" s="134"/>
      <c r="K110" s="135"/>
      <c r="L110" s="136">
        <f t="shared" si="7"/>
        <v>0</v>
      </c>
      <c r="M110" s="284"/>
      <c r="N110" s="285"/>
      <c r="O110" s="136">
        <f t="shared" si="8"/>
        <v>0</v>
      </c>
      <c r="P110" s="85"/>
    </row>
    <row r="111" spans="1:16" ht="24" hidden="1" x14ac:dyDescent="0.25">
      <c r="A111" s="76">
        <v>2246</v>
      </c>
      <c r="B111" s="127" t="s">
        <v>127</v>
      </c>
      <c r="C111" s="128">
        <f t="shared" si="4"/>
        <v>0</v>
      </c>
      <c r="D111" s="134"/>
      <c r="E111" s="285"/>
      <c r="F111" s="286">
        <f t="shared" si="5"/>
        <v>0</v>
      </c>
      <c r="G111" s="134"/>
      <c r="H111" s="135"/>
      <c r="I111" s="136">
        <f t="shared" si="6"/>
        <v>0</v>
      </c>
      <c r="J111" s="134"/>
      <c r="K111" s="135"/>
      <c r="L111" s="136">
        <f t="shared" si="7"/>
        <v>0</v>
      </c>
      <c r="M111" s="284"/>
      <c r="N111" s="285"/>
      <c r="O111" s="136">
        <f t="shared" si="8"/>
        <v>0</v>
      </c>
      <c r="P111" s="85"/>
    </row>
    <row r="112" spans="1:16" hidden="1" x14ac:dyDescent="0.25">
      <c r="A112" s="76">
        <v>2247</v>
      </c>
      <c r="B112" s="127" t="s">
        <v>128</v>
      </c>
      <c r="C112" s="128">
        <f t="shared" si="4"/>
        <v>0</v>
      </c>
      <c r="D112" s="134"/>
      <c r="E112" s="285"/>
      <c r="F112" s="286">
        <f t="shared" si="5"/>
        <v>0</v>
      </c>
      <c r="G112" s="134"/>
      <c r="H112" s="135"/>
      <c r="I112" s="136">
        <f t="shared" si="6"/>
        <v>0</v>
      </c>
      <c r="J112" s="134"/>
      <c r="K112" s="135"/>
      <c r="L112" s="136">
        <f t="shared" si="7"/>
        <v>0</v>
      </c>
      <c r="M112" s="284"/>
      <c r="N112" s="285"/>
      <c r="O112" s="136">
        <f t="shared" si="8"/>
        <v>0</v>
      </c>
      <c r="P112" s="85"/>
    </row>
    <row r="113" spans="1:16" ht="24" hidden="1" x14ac:dyDescent="0.25">
      <c r="A113" s="76">
        <v>2248</v>
      </c>
      <c r="B113" s="127" t="s">
        <v>129</v>
      </c>
      <c r="C113" s="128">
        <f t="shared" si="4"/>
        <v>0</v>
      </c>
      <c r="D113" s="134"/>
      <c r="E113" s="285"/>
      <c r="F113" s="286">
        <f t="shared" si="5"/>
        <v>0</v>
      </c>
      <c r="G113" s="134"/>
      <c r="H113" s="135"/>
      <c r="I113" s="136">
        <f t="shared" si="6"/>
        <v>0</v>
      </c>
      <c r="J113" s="134"/>
      <c r="K113" s="135"/>
      <c r="L113" s="136">
        <f t="shared" si="7"/>
        <v>0</v>
      </c>
      <c r="M113" s="284"/>
      <c r="N113" s="285"/>
      <c r="O113" s="136">
        <f t="shared" si="8"/>
        <v>0</v>
      </c>
      <c r="P113" s="85"/>
    </row>
    <row r="114" spans="1:16" ht="24" hidden="1" x14ac:dyDescent="0.25">
      <c r="A114" s="76">
        <v>2249</v>
      </c>
      <c r="B114" s="127" t="s">
        <v>130</v>
      </c>
      <c r="C114" s="128">
        <f t="shared" si="4"/>
        <v>0</v>
      </c>
      <c r="D114" s="134"/>
      <c r="E114" s="285"/>
      <c r="F114" s="286">
        <f t="shared" si="5"/>
        <v>0</v>
      </c>
      <c r="G114" s="134"/>
      <c r="H114" s="135"/>
      <c r="I114" s="136">
        <f t="shared" si="6"/>
        <v>0</v>
      </c>
      <c r="J114" s="134"/>
      <c r="K114" s="135"/>
      <c r="L114" s="136">
        <f t="shared" si="7"/>
        <v>0</v>
      </c>
      <c r="M114" s="284"/>
      <c r="N114" s="285"/>
      <c r="O114" s="136">
        <f t="shared" si="8"/>
        <v>0</v>
      </c>
      <c r="P114" s="85"/>
    </row>
    <row r="115" spans="1:16" hidden="1" x14ac:dyDescent="0.25">
      <c r="A115" s="276">
        <v>2250</v>
      </c>
      <c r="B115" s="127" t="s">
        <v>131</v>
      </c>
      <c r="C115" s="128">
        <f t="shared" si="4"/>
        <v>0</v>
      </c>
      <c r="D115" s="277">
        <f>SUM(D116:D118)</f>
        <v>0</v>
      </c>
      <c r="E115" s="282">
        <f>SUM(E116:E118)</f>
        <v>0</v>
      </c>
      <c r="F115" s="286">
        <f t="shared" si="5"/>
        <v>0</v>
      </c>
      <c r="G115" s="277">
        <f>SUM(G116:G118)</f>
        <v>0</v>
      </c>
      <c r="H115" s="280">
        <f>SUM(H116:H118)</f>
        <v>0</v>
      </c>
      <c r="I115" s="136">
        <f t="shared" si="6"/>
        <v>0</v>
      </c>
      <c r="J115" s="277">
        <f>SUM(J116:J118)</f>
        <v>0</v>
      </c>
      <c r="K115" s="280">
        <f>SUM(K116:K118)</f>
        <v>0</v>
      </c>
      <c r="L115" s="136">
        <f t="shared" si="7"/>
        <v>0</v>
      </c>
      <c r="M115" s="281">
        <f>SUM(M116:M118)</f>
        <v>0</v>
      </c>
      <c r="N115" s="282">
        <f>SUM(N116:N118)</f>
        <v>0</v>
      </c>
      <c r="O115" s="136">
        <f t="shared" si="8"/>
        <v>0</v>
      </c>
      <c r="P115" s="85"/>
    </row>
    <row r="116" spans="1:16" hidden="1" x14ac:dyDescent="0.25">
      <c r="A116" s="76">
        <v>2251</v>
      </c>
      <c r="B116" s="127" t="s">
        <v>132</v>
      </c>
      <c r="C116" s="128">
        <f t="shared" si="4"/>
        <v>0</v>
      </c>
      <c r="D116" s="134"/>
      <c r="E116" s="285"/>
      <c r="F116" s="286">
        <f t="shared" si="5"/>
        <v>0</v>
      </c>
      <c r="G116" s="134"/>
      <c r="H116" s="135"/>
      <c r="I116" s="136">
        <f t="shared" si="6"/>
        <v>0</v>
      </c>
      <c r="J116" s="134"/>
      <c r="K116" s="135"/>
      <c r="L116" s="136">
        <f t="shared" si="7"/>
        <v>0</v>
      </c>
      <c r="M116" s="284"/>
      <c r="N116" s="285"/>
      <c r="O116" s="136">
        <f t="shared" si="8"/>
        <v>0</v>
      </c>
      <c r="P116" s="85"/>
    </row>
    <row r="117" spans="1:16" ht="24" hidden="1" x14ac:dyDescent="0.25">
      <c r="A117" s="76">
        <v>2252</v>
      </c>
      <c r="B117" s="127" t="s">
        <v>133</v>
      </c>
      <c r="C117" s="128">
        <f t="shared" ref="C117:C181" si="9">F117+I117+L117+O117</f>
        <v>0</v>
      </c>
      <c r="D117" s="134"/>
      <c r="E117" s="285"/>
      <c r="F117" s="286">
        <f t="shared" si="5"/>
        <v>0</v>
      </c>
      <c r="G117" s="134"/>
      <c r="H117" s="135"/>
      <c r="I117" s="136">
        <f t="shared" si="6"/>
        <v>0</v>
      </c>
      <c r="J117" s="134"/>
      <c r="K117" s="135"/>
      <c r="L117" s="136">
        <f t="shared" si="7"/>
        <v>0</v>
      </c>
      <c r="M117" s="284"/>
      <c r="N117" s="285"/>
      <c r="O117" s="136">
        <f t="shared" si="8"/>
        <v>0</v>
      </c>
      <c r="P117" s="85"/>
    </row>
    <row r="118" spans="1:16" ht="24" hidden="1" x14ac:dyDescent="0.25">
      <c r="A118" s="76">
        <v>2259</v>
      </c>
      <c r="B118" s="127" t="s">
        <v>134</v>
      </c>
      <c r="C118" s="128">
        <f t="shared" si="9"/>
        <v>0</v>
      </c>
      <c r="D118" s="134"/>
      <c r="E118" s="285"/>
      <c r="F118" s="286">
        <f t="shared" ref="F118:F182" si="10">D118+E118</f>
        <v>0</v>
      </c>
      <c r="G118" s="134"/>
      <c r="H118" s="135"/>
      <c r="I118" s="136">
        <f t="shared" ref="I118:I182" si="11">G118+H118</f>
        <v>0</v>
      </c>
      <c r="J118" s="134"/>
      <c r="K118" s="135"/>
      <c r="L118" s="136">
        <f t="shared" ref="L118:L182" si="12">J118+K118</f>
        <v>0</v>
      </c>
      <c r="M118" s="284"/>
      <c r="N118" s="285"/>
      <c r="O118" s="136">
        <f t="shared" ref="O118:O182" si="13">M118+N118</f>
        <v>0</v>
      </c>
      <c r="P118" s="85"/>
    </row>
    <row r="119" spans="1:16" hidden="1" x14ac:dyDescent="0.25">
      <c r="A119" s="276">
        <v>2260</v>
      </c>
      <c r="B119" s="127" t="s">
        <v>135</v>
      </c>
      <c r="C119" s="128">
        <f t="shared" si="9"/>
        <v>0</v>
      </c>
      <c r="D119" s="277">
        <f>SUM(D120:D124)</f>
        <v>0</v>
      </c>
      <c r="E119" s="282">
        <f>SUM(E120:E124)</f>
        <v>0</v>
      </c>
      <c r="F119" s="286">
        <f t="shared" si="10"/>
        <v>0</v>
      </c>
      <c r="G119" s="277">
        <f>SUM(G120:G124)</f>
        <v>0</v>
      </c>
      <c r="H119" s="280">
        <f>SUM(H120:H124)</f>
        <v>0</v>
      </c>
      <c r="I119" s="136">
        <f t="shared" si="11"/>
        <v>0</v>
      </c>
      <c r="J119" s="277">
        <f>SUM(J120:J124)</f>
        <v>0</v>
      </c>
      <c r="K119" s="280">
        <f>SUM(K120:K124)</f>
        <v>0</v>
      </c>
      <c r="L119" s="136">
        <f t="shared" si="12"/>
        <v>0</v>
      </c>
      <c r="M119" s="281">
        <f>SUM(M120:M124)</f>
        <v>0</v>
      </c>
      <c r="N119" s="282">
        <f>SUM(N120:N124)</f>
        <v>0</v>
      </c>
      <c r="O119" s="136">
        <f t="shared" si="13"/>
        <v>0</v>
      </c>
      <c r="P119" s="85"/>
    </row>
    <row r="120" spans="1:16" hidden="1" x14ac:dyDescent="0.25">
      <c r="A120" s="76">
        <v>2261</v>
      </c>
      <c r="B120" s="127" t="s">
        <v>136</v>
      </c>
      <c r="C120" s="128">
        <f t="shared" si="9"/>
        <v>0</v>
      </c>
      <c r="D120" s="134"/>
      <c r="E120" s="285"/>
      <c r="F120" s="286">
        <f t="shared" si="10"/>
        <v>0</v>
      </c>
      <c r="G120" s="134"/>
      <c r="H120" s="135"/>
      <c r="I120" s="136">
        <f t="shared" si="11"/>
        <v>0</v>
      </c>
      <c r="J120" s="134"/>
      <c r="K120" s="135"/>
      <c r="L120" s="136">
        <f t="shared" si="12"/>
        <v>0</v>
      </c>
      <c r="M120" s="284"/>
      <c r="N120" s="285"/>
      <c r="O120" s="136">
        <f t="shared" si="13"/>
        <v>0</v>
      </c>
      <c r="P120" s="85"/>
    </row>
    <row r="121" spans="1:16" hidden="1" x14ac:dyDescent="0.25">
      <c r="A121" s="76">
        <v>2262</v>
      </c>
      <c r="B121" s="127" t="s">
        <v>137</v>
      </c>
      <c r="C121" s="128">
        <f t="shared" si="9"/>
        <v>0</v>
      </c>
      <c r="D121" s="134"/>
      <c r="E121" s="285"/>
      <c r="F121" s="286">
        <f t="shared" si="10"/>
        <v>0</v>
      </c>
      <c r="G121" s="134"/>
      <c r="H121" s="135"/>
      <c r="I121" s="136">
        <f t="shared" si="11"/>
        <v>0</v>
      </c>
      <c r="J121" s="134"/>
      <c r="K121" s="135"/>
      <c r="L121" s="136">
        <f t="shared" si="12"/>
        <v>0</v>
      </c>
      <c r="M121" s="284"/>
      <c r="N121" s="285"/>
      <c r="O121" s="136">
        <f t="shared" si="13"/>
        <v>0</v>
      </c>
      <c r="P121" s="85"/>
    </row>
    <row r="122" spans="1:16" hidden="1" x14ac:dyDescent="0.25">
      <c r="A122" s="76">
        <v>2263</v>
      </c>
      <c r="B122" s="127" t="s">
        <v>138</v>
      </c>
      <c r="C122" s="128">
        <f t="shared" si="9"/>
        <v>0</v>
      </c>
      <c r="D122" s="134"/>
      <c r="E122" s="285"/>
      <c r="F122" s="286">
        <f t="shared" si="10"/>
        <v>0</v>
      </c>
      <c r="G122" s="134"/>
      <c r="H122" s="135"/>
      <c r="I122" s="136">
        <f t="shared" si="11"/>
        <v>0</v>
      </c>
      <c r="J122" s="134"/>
      <c r="K122" s="135"/>
      <c r="L122" s="136">
        <f t="shared" si="12"/>
        <v>0</v>
      </c>
      <c r="M122" s="284"/>
      <c r="N122" s="285"/>
      <c r="O122" s="136">
        <f t="shared" si="13"/>
        <v>0</v>
      </c>
      <c r="P122" s="85"/>
    </row>
    <row r="123" spans="1:16" ht="24" hidden="1" x14ac:dyDescent="0.25">
      <c r="A123" s="76">
        <v>2264</v>
      </c>
      <c r="B123" s="127" t="s">
        <v>139</v>
      </c>
      <c r="C123" s="128">
        <f t="shared" si="9"/>
        <v>0</v>
      </c>
      <c r="D123" s="134"/>
      <c r="E123" s="285"/>
      <c r="F123" s="286">
        <f t="shared" si="10"/>
        <v>0</v>
      </c>
      <c r="G123" s="134"/>
      <c r="H123" s="135"/>
      <c r="I123" s="136">
        <f t="shared" si="11"/>
        <v>0</v>
      </c>
      <c r="J123" s="134"/>
      <c r="K123" s="135"/>
      <c r="L123" s="136">
        <f t="shared" si="12"/>
        <v>0</v>
      </c>
      <c r="M123" s="284"/>
      <c r="N123" s="285"/>
      <c r="O123" s="136">
        <f t="shared" si="13"/>
        <v>0</v>
      </c>
      <c r="P123" s="85"/>
    </row>
    <row r="124" spans="1:16" hidden="1" x14ac:dyDescent="0.25">
      <c r="A124" s="76">
        <v>2269</v>
      </c>
      <c r="B124" s="127" t="s">
        <v>140</v>
      </c>
      <c r="C124" s="128">
        <f t="shared" si="9"/>
        <v>0</v>
      </c>
      <c r="D124" s="134"/>
      <c r="E124" s="285"/>
      <c r="F124" s="286">
        <f t="shared" si="10"/>
        <v>0</v>
      </c>
      <c r="G124" s="134"/>
      <c r="H124" s="135"/>
      <c r="I124" s="136">
        <f t="shared" si="11"/>
        <v>0</v>
      </c>
      <c r="J124" s="134"/>
      <c r="K124" s="135"/>
      <c r="L124" s="136">
        <f t="shared" si="12"/>
        <v>0</v>
      </c>
      <c r="M124" s="284"/>
      <c r="N124" s="285"/>
      <c r="O124" s="136">
        <f t="shared" si="13"/>
        <v>0</v>
      </c>
      <c r="P124" s="85"/>
    </row>
    <row r="125" spans="1:16" hidden="1" x14ac:dyDescent="0.25">
      <c r="A125" s="276">
        <v>2270</v>
      </c>
      <c r="B125" s="127" t="s">
        <v>141</v>
      </c>
      <c r="C125" s="128">
        <f t="shared" si="9"/>
        <v>0</v>
      </c>
      <c r="D125" s="277">
        <f>SUM(D126:D130)</f>
        <v>0</v>
      </c>
      <c r="E125" s="282">
        <f>SUM(E126:E130)</f>
        <v>0</v>
      </c>
      <c r="F125" s="286">
        <f t="shared" si="10"/>
        <v>0</v>
      </c>
      <c r="G125" s="277">
        <f>SUM(G126:G130)</f>
        <v>0</v>
      </c>
      <c r="H125" s="280">
        <f>SUM(H126:H130)</f>
        <v>0</v>
      </c>
      <c r="I125" s="136">
        <f t="shared" si="11"/>
        <v>0</v>
      </c>
      <c r="J125" s="277">
        <f>SUM(J126:J130)</f>
        <v>0</v>
      </c>
      <c r="K125" s="280">
        <f>SUM(K126:K130)</f>
        <v>0</v>
      </c>
      <c r="L125" s="136">
        <f t="shared" si="12"/>
        <v>0</v>
      </c>
      <c r="M125" s="281">
        <f>SUM(M126:M130)</f>
        <v>0</v>
      </c>
      <c r="N125" s="282">
        <f>SUM(N126:N130)</f>
        <v>0</v>
      </c>
      <c r="O125" s="136">
        <f t="shared" si="13"/>
        <v>0</v>
      </c>
      <c r="P125" s="85"/>
    </row>
    <row r="126" spans="1:16" hidden="1" x14ac:dyDescent="0.25">
      <c r="A126" s="76">
        <v>2272</v>
      </c>
      <c r="B126" s="5" t="s">
        <v>142</v>
      </c>
      <c r="C126" s="128">
        <f t="shared" si="9"/>
        <v>0</v>
      </c>
      <c r="D126" s="134"/>
      <c r="E126" s="285"/>
      <c r="F126" s="286">
        <f t="shared" si="10"/>
        <v>0</v>
      </c>
      <c r="G126" s="134"/>
      <c r="H126" s="135"/>
      <c r="I126" s="136">
        <f t="shared" si="11"/>
        <v>0</v>
      </c>
      <c r="J126" s="134"/>
      <c r="K126" s="135"/>
      <c r="L126" s="136">
        <f t="shared" si="12"/>
        <v>0</v>
      </c>
      <c r="M126" s="284"/>
      <c r="N126" s="285"/>
      <c r="O126" s="136">
        <f t="shared" si="13"/>
        <v>0</v>
      </c>
      <c r="P126" s="85"/>
    </row>
    <row r="127" spans="1:16" ht="24" hidden="1" x14ac:dyDescent="0.25">
      <c r="A127" s="76">
        <v>2275</v>
      </c>
      <c r="B127" s="127" t="s">
        <v>143</v>
      </c>
      <c r="C127" s="128">
        <f t="shared" si="9"/>
        <v>0</v>
      </c>
      <c r="D127" s="134"/>
      <c r="E127" s="285"/>
      <c r="F127" s="286">
        <f t="shared" si="10"/>
        <v>0</v>
      </c>
      <c r="G127" s="134"/>
      <c r="H127" s="135"/>
      <c r="I127" s="136">
        <f t="shared" si="11"/>
        <v>0</v>
      </c>
      <c r="J127" s="134"/>
      <c r="K127" s="135"/>
      <c r="L127" s="136">
        <f t="shared" si="12"/>
        <v>0</v>
      </c>
      <c r="M127" s="284"/>
      <c r="N127" s="285"/>
      <c r="O127" s="136">
        <f t="shared" si="13"/>
        <v>0</v>
      </c>
      <c r="P127" s="85"/>
    </row>
    <row r="128" spans="1:16" ht="36" hidden="1" x14ac:dyDescent="0.25">
      <c r="A128" s="76">
        <v>2276</v>
      </c>
      <c r="B128" s="127" t="s">
        <v>144</v>
      </c>
      <c r="C128" s="128">
        <f t="shared" si="9"/>
        <v>0</v>
      </c>
      <c r="D128" s="134"/>
      <c r="E128" s="285"/>
      <c r="F128" s="286">
        <f t="shared" si="10"/>
        <v>0</v>
      </c>
      <c r="G128" s="134"/>
      <c r="H128" s="135"/>
      <c r="I128" s="136">
        <f t="shared" si="11"/>
        <v>0</v>
      </c>
      <c r="J128" s="134"/>
      <c r="K128" s="135"/>
      <c r="L128" s="136">
        <f t="shared" si="12"/>
        <v>0</v>
      </c>
      <c r="M128" s="284"/>
      <c r="N128" s="285"/>
      <c r="O128" s="136">
        <f t="shared" si="13"/>
        <v>0</v>
      </c>
      <c r="P128" s="85"/>
    </row>
    <row r="129" spans="1:16" ht="24" hidden="1" x14ac:dyDescent="0.25">
      <c r="A129" s="76">
        <v>2278</v>
      </c>
      <c r="B129" s="127" t="s">
        <v>145</v>
      </c>
      <c r="C129" s="128">
        <f t="shared" si="9"/>
        <v>0</v>
      </c>
      <c r="D129" s="134"/>
      <c r="E129" s="285"/>
      <c r="F129" s="286">
        <f t="shared" si="10"/>
        <v>0</v>
      </c>
      <c r="G129" s="134"/>
      <c r="H129" s="135"/>
      <c r="I129" s="136">
        <f t="shared" si="11"/>
        <v>0</v>
      </c>
      <c r="J129" s="134"/>
      <c r="K129" s="135"/>
      <c r="L129" s="136">
        <f t="shared" si="12"/>
        <v>0</v>
      </c>
      <c r="M129" s="284"/>
      <c r="N129" s="285"/>
      <c r="O129" s="136">
        <f t="shared" si="13"/>
        <v>0</v>
      </c>
      <c r="P129" s="85"/>
    </row>
    <row r="130" spans="1:16" ht="24" hidden="1" x14ac:dyDescent="0.25">
      <c r="A130" s="76">
        <v>2279</v>
      </c>
      <c r="B130" s="127" t="s">
        <v>146</v>
      </c>
      <c r="C130" s="128">
        <f t="shared" si="9"/>
        <v>0</v>
      </c>
      <c r="D130" s="134"/>
      <c r="E130" s="285"/>
      <c r="F130" s="286">
        <f t="shared" si="10"/>
        <v>0</v>
      </c>
      <c r="G130" s="134"/>
      <c r="H130" s="135"/>
      <c r="I130" s="136">
        <f t="shared" si="11"/>
        <v>0</v>
      </c>
      <c r="J130" s="134"/>
      <c r="K130" s="135"/>
      <c r="L130" s="136">
        <f t="shared" si="12"/>
        <v>0</v>
      </c>
      <c r="M130" s="284"/>
      <c r="N130" s="285"/>
      <c r="O130" s="136">
        <f t="shared" si="13"/>
        <v>0</v>
      </c>
      <c r="P130" s="85"/>
    </row>
    <row r="131" spans="1:16" ht="24" hidden="1" x14ac:dyDescent="0.25">
      <c r="A131" s="609">
        <v>2280</v>
      </c>
      <c r="B131" s="116" t="s">
        <v>147</v>
      </c>
      <c r="C131" s="128">
        <f t="shared" si="9"/>
        <v>0</v>
      </c>
      <c r="D131" s="297">
        <f t="shared" ref="D131:N131" si="14">SUM(D132)</f>
        <v>0</v>
      </c>
      <c r="E131" s="301">
        <f t="shared" si="14"/>
        <v>0</v>
      </c>
      <c r="F131" s="263">
        <f t="shared" si="10"/>
        <v>0</v>
      </c>
      <c r="G131" s="297">
        <f t="shared" ref="G131" si="15">SUM(G132)</f>
        <v>0</v>
      </c>
      <c r="H131" s="299">
        <f t="shared" si="14"/>
        <v>0</v>
      </c>
      <c r="I131" s="125">
        <f t="shared" si="11"/>
        <v>0</v>
      </c>
      <c r="J131" s="297">
        <f t="shared" ref="J131" si="16">SUM(J132)</f>
        <v>0</v>
      </c>
      <c r="K131" s="299">
        <f t="shared" si="14"/>
        <v>0</v>
      </c>
      <c r="L131" s="125">
        <f t="shared" si="12"/>
        <v>0</v>
      </c>
      <c r="M131" s="281">
        <f t="shared" si="14"/>
        <v>0</v>
      </c>
      <c r="N131" s="282">
        <f t="shared" si="14"/>
        <v>0</v>
      </c>
      <c r="O131" s="136">
        <f t="shared" si="13"/>
        <v>0</v>
      </c>
      <c r="P131" s="85"/>
    </row>
    <row r="132" spans="1:16" ht="24" hidden="1" x14ac:dyDescent="0.25">
      <c r="A132" s="76">
        <v>2283</v>
      </c>
      <c r="B132" s="127" t="s">
        <v>148</v>
      </c>
      <c r="C132" s="128">
        <f t="shared" si="9"/>
        <v>0</v>
      </c>
      <c r="D132" s="134"/>
      <c r="E132" s="285"/>
      <c r="F132" s="286">
        <f t="shared" si="10"/>
        <v>0</v>
      </c>
      <c r="G132" s="134"/>
      <c r="H132" s="135"/>
      <c r="I132" s="136">
        <f t="shared" si="11"/>
        <v>0</v>
      </c>
      <c r="J132" s="134"/>
      <c r="K132" s="135"/>
      <c r="L132" s="136">
        <f t="shared" si="12"/>
        <v>0</v>
      </c>
      <c r="M132" s="284"/>
      <c r="N132" s="285"/>
      <c r="O132" s="136">
        <f t="shared" si="13"/>
        <v>0</v>
      </c>
      <c r="P132" s="85"/>
    </row>
    <row r="133" spans="1:16" ht="36" hidden="1" x14ac:dyDescent="0.25">
      <c r="A133" s="99">
        <v>2300</v>
      </c>
      <c r="B133" s="247" t="s">
        <v>149</v>
      </c>
      <c r="C133" s="100">
        <f t="shared" si="9"/>
        <v>0</v>
      </c>
      <c r="D133" s="112">
        <f>SUM(D134,D139,D143,D144,D147,D154,D162,D163,D166)</f>
        <v>0</v>
      </c>
      <c r="E133" s="293">
        <f>SUM(E134,E139,E143,E144,E147,E154,E162,E163,E166)</f>
        <v>0</v>
      </c>
      <c r="F133" s="313">
        <f t="shared" si="10"/>
        <v>0</v>
      </c>
      <c r="G133" s="112">
        <f>SUM(G134,G139,G143,G144,G147,G154,G162,G163,G166)</f>
        <v>0</v>
      </c>
      <c r="H133" s="113">
        <f>SUM(H134,H139,H143,H144,H147,H154,H162,H163,H166)</f>
        <v>0</v>
      </c>
      <c r="I133" s="114">
        <f t="shared" si="11"/>
        <v>0</v>
      </c>
      <c r="J133" s="112">
        <f>SUM(J134,J139,J143,J144,J147,J154,J162,J163,J166)</f>
        <v>0</v>
      </c>
      <c r="K133" s="113">
        <f>SUM(K134,K139,K143,K144,K147,K154,K162,K163,K166)</f>
        <v>0</v>
      </c>
      <c r="L133" s="114">
        <f t="shared" si="12"/>
        <v>0</v>
      </c>
      <c r="M133" s="292">
        <f>SUM(M134,M139,M143,M144,M147,M154,M162,M163,M166)</f>
        <v>0</v>
      </c>
      <c r="N133" s="293">
        <f>SUM(N134,N139,N143,N144,N147,N154,N162,N163,N166)</f>
        <v>0</v>
      </c>
      <c r="O133" s="114">
        <f t="shared" si="13"/>
        <v>0</v>
      </c>
      <c r="P133" s="109"/>
    </row>
    <row r="134" spans="1:16" ht="24" hidden="1" x14ac:dyDescent="0.25">
      <c r="A134" s="609">
        <v>2310</v>
      </c>
      <c r="B134" s="116" t="s">
        <v>150</v>
      </c>
      <c r="C134" s="117">
        <f t="shared" si="9"/>
        <v>0</v>
      </c>
      <c r="D134" s="308">
        <f>SUM(D135:D138)</f>
        <v>0</v>
      </c>
      <c r="E134" s="299">
        <f>SUM(E135:E138)</f>
        <v>0</v>
      </c>
      <c r="F134" s="263">
        <f t="shared" si="10"/>
        <v>0</v>
      </c>
      <c r="G134" s="297">
        <f>SUM(G135:G138)</f>
        <v>0</v>
      </c>
      <c r="H134" s="299">
        <f>SUM(H135:H138)</f>
        <v>0</v>
      </c>
      <c r="I134" s="125">
        <f t="shared" si="11"/>
        <v>0</v>
      </c>
      <c r="J134" s="297">
        <f>SUM(J135:J138)</f>
        <v>0</v>
      </c>
      <c r="K134" s="299">
        <f>SUM(K135:K138)</f>
        <v>0</v>
      </c>
      <c r="L134" s="125">
        <f t="shared" si="12"/>
        <v>0</v>
      </c>
      <c r="M134" s="300">
        <f>SUM(M135:M138)</f>
        <v>0</v>
      </c>
      <c r="N134" s="301">
        <f>SUM(N135:N138)</f>
        <v>0</v>
      </c>
      <c r="O134" s="125">
        <f t="shared" si="13"/>
        <v>0</v>
      </c>
      <c r="P134" s="74"/>
    </row>
    <row r="135" spans="1:16" hidden="1" x14ac:dyDescent="0.25">
      <c r="A135" s="76">
        <v>2311</v>
      </c>
      <c r="B135" s="127" t="s">
        <v>151</v>
      </c>
      <c r="C135" s="128">
        <f t="shared" si="9"/>
        <v>0</v>
      </c>
      <c r="D135" s="134"/>
      <c r="E135" s="285"/>
      <c r="F135" s="286">
        <f t="shared" si="10"/>
        <v>0</v>
      </c>
      <c r="G135" s="134"/>
      <c r="H135" s="135"/>
      <c r="I135" s="136">
        <f t="shared" si="11"/>
        <v>0</v>
      </c>
      <c r="J135" s="134"/>
      <c r="K135" s="135"/>
      <c r="L135" s="136">
        <f t="shared" si="12"/>
        <v>0</v>
      </c>
      <c r="M135" s="284"/>
      <c r="N135" s="285"/>
      <c r="O135" s="136">
        <f t="shared" si="13"/>
        <v>0</v>
      </c>
      <c r="P135" s="85"/>
    </row>
    <row r="136" spans="1:16" hidden="1" x14ac:dyDescent="0.25">
      <c r="A136" s="76">
        <v>2312</v>
      </c>
      <c r="B136" s="127" t="s">
        <v>152</v>
      </c>
      <c r="C136" s="128">
        <f t="shared" si="9"/>
        <v>0</v>
      </c>
      <c r="D136" s="134"/>
      <c r="E136" s="285"/>
      <c r="F136" s="286">
        <f t="shared" si="10"/>
        <v>0</v>
      </c>
      <c r="G136" s="134"/>
      <c r="H136" s="135"/>
      <c r="I136" s="136">
        <f t="shared" si="11"/>
        <v>0</v>
      </c>
      <c r="J136" s="134"/>
      <c r="K136" s="135"/>
      <c r="L136" s="136">
        <f t="shared" si="12"/>
        <v>0</v>
      </c>
      <c r="M136" s="284"/>
      <c r="N136" s="285"/>
      <c r="O136" s="136">
        <f t="shared" si="13"/>
        <v>0</v>
      </c>
      <c r="P136" s="85"/>
    </row>
    <row r="137" spans="1:16" hidden="1" x14ac:dyDescent="0.25">
      <c r="A137" s="76">
        <v>2313</v>
      </c>
      <c r="B137" s="127" t="s">
        <v>153</v>
      </c>
      <c r="C137" s="128">
        <f t="shared" si="9"/>
        <v>0</v>
      </c>
      <c r="D137" s="134"/>
      <c r="E137" s="285"/>
      <c r="F137" s="286">
        <f t="shared" si="10"/>
        <v>0</v>
      </c>
      <c r="G137" s="134"/>
      <c r="H137" s="135"/>
      <c r="I137" s="136">
        <f t="shared" si="11"/>
        <v>0</v>
      </c>
      <c r="J137" s="134"/>
      <c r="K137" s="135"/>
      <c r="L137" s="136">
        <f t="shared" si="12"/>
        <v>0</v>
      </c>
      <c r="M137" s="284"/>
      <c r="N137" s="285"/>
      <c r="O137" s="136">
        <f t="shared" si="13"/>
        <v>0</v>
      </c>
      <c r="P137" s="85"/>
    </row>
    <row r="138" spans="1:16" ht="36" hidden="1" x14ac:dyDescent="0.25">
      <c r="A138" s="76">
        <v>2314</v>
      </c>
      <c r="B138" s="127" t="s">
        <v>154</v>
      </c>
      <c r="C138" s="128">
        <f t="shared" si="9"/>
        <v>0</v>
      </c>
      <c r="D138" s="134"/>
      <c r="E138" s="285"/>
      <c r="F138" s="286">
        <f t="shared" si="10"/>
        <v>0</v>
      </c>
      <c r="G138" s="134"/>
      <c r="H138" s="135"/>
      <c r="I138" s="136">
        <f t="shared" si="11"/>
        <v>0</v>
      </c>
      <c r="J138" s="134"/>
      <c r="K138" s="135"/>
      <c r="L138" s="136">
        <f t="shared" si="12"/>
        <v>0</v>
      </c>
      <c r="M138" s="284"/>
      <c r="N138" s="285"/>
      <c r="O138" s="136">
        <f t="shared" si="13"/>
        <v>0</v>
      </c>
      <c r="P138" s="85"/>
    </row>
    <row r="139" spans="1:16" hidden="1" x14ac:dyDescent="0.25">
      <c r="A139" s="276">
        <v>2320</v>
      </c>
      <c r="B139" s="127" t="s">
        <v>155</v>
      </c>
      <c r="C139" s="128">
        <f t="shared" si="9"/>
        <v>0</v>
      </c>
      <c r="D139" s="277">
        <f>SUM(D140:D142)</f>
        <v>0</v>
      </c>
      <c r="E139" s="282">
        <f>SUM(E140:E142)</f>
        <v>0</v>
      </c>
      <c r="F139" s="286">
        <f t="shared" si="10"/>
        <v>0</v>
      </c>
      <c r="G139" s="277">
        <f>SUM(G140:G142)</f>
        <v>0</v>
      </c>
      <c r="H139" s="280">
        <f>SUM(H140:H142)</f>
        <v>0</v>
      </c>
      <c r="I139" s="136">
        <f t="shared" si="11"/>
        <v>0</v>
      </c>
      <c r="J139" s="277">
        <f>SUM(J140:J142)</f>
        <v>0</v>
      </c>
      <c r="K139" s="280">
        <f>SUM(K140:K142)</f>
        <v>0</v>
      </c>
      <c r="L139" s="136">
        <f t="shared" si="12"/>
        <v>0</v>
      </c>
      <c r="M139" s="281">
        <f>SUM(M140:M142)</f>
        <v>0</v>
      </c>
      <c r="N139" s="282">
        <f>SUM(N140:N142)</f>
        <v>0</v>
      </c>
      <c r="O139" s="136">
        <f t="shared" si="13"/>
        <v>0</v>
      </c>
      <c r="P139" s="85"/>
    </row>
    <row r="140" spans="1:16" hidden="1" x14ac:dyDescent="0.25">
      <c r="A140" s="76">
        <v>2321</v>
      </c>
      <c r="B140" s="127" t="s">
        <v>156</v>
      </c>
      <c r="C140" s="128">
        <f t="shared" si="9"/>
        <v>0</v>
      </c>
      <c r="D140" s="134"/>
      <c r="E140" s="285"/>
      <c r="F140" s="286">
        <f t="shared" si="10"/>
        <v>0</v>
      </c>
      <c r="G140" s="134"/>
      <c r="H140" s="135"/>
      <c r="I140" s="136">
        <f t="shared" si="11"/>
        <v>0</v>
      </c>
      <c r="J140" s="134"/>
      <c r="K140" s="135"/>
      <c r="L140" s="136">
        <f t="shared" si="12"/>
        <v>0</v>
      </c>
      <c r="M140" s="284"/>
      <c r="N140" s="285"/>
      <c r="O140" s="136">
        <f t="shared" si="13"/>
        <v>0</v>
      </c>
      <c r="P140" s="85"/>
    </row>
    <row r="141" spans="1:16" hidden="1" x14ac:dyDescent="0.25">
      <c r="A141" s="76">
        <v>2322</v>
      </c>
      <c r="B141" s="127" t="s">
        <v>157</v>
      </c>
      <c r="C141" s="128">
        <f t="shared" si="9"/>
        <v>0</v>
      </c>
      <c r="D141" s="134"/>
      <c r="E141" s="285"/>
      <c r="F141" s="286">
        <f t="shared" si="10"/>
        <v>0</v>
      </c>
      <c r="G141" s="134"/>
      <c r="H141" s="135"/>
      <c r="I141" s="136">
        <f t="shared" si="11"/>
        <v>0</v>
      </c>
      <c r="J141" s="134"/>
      <c r="K141" s="135"/>
      <c r="L141" s="136">
        <f t="shared" si="12"/>
        <v>0</v>
      </c>
      <c r="M141" s="284"/>
      <c r="N141" s="285"/>
      <c r="O141" s="136">
        <f t="shared" si="13"/>
        <v>0</v>
      </c>
      <c r="P141" s="85"/>
    </row>
    <row r="142" spans="1:16" hidden="1" x14ac:dyDescent="0.25">
      <c r="A142" s="76">
        <v>2329</v>
      </c>
      <c r="B142" s="127" t="s">
        <v>158</v>
      </c>
      <c r="C142" s="128">
        <f t="shared" si="9"/>
        <v>0</v>
      </c>
      <c r="D142" s="134"/>
      <c r="E142" s="285"/>
      <c r="F142" s="286">
        <f t="shared" si="10"/>
        <v>0</v>
      </c>
      <c r="G142" s="134"/>
      <c r="H142" s="135"/>
      <c r="I142" s="136">
        <f t="shared" si="11"/>
        <v>0</v>
      </c>
      <c r="J142" s="134"/>
      <c r="K142" s="135"/>
      <c r="L142" s="136">
        <f t="shared" si="12"/>
        <v>0</v>
      </c>
      <c r="M142" s="284"/>
      <c r="N142" s="285"/>
      <c r="O142" s="136">
        <f t="shared" si="13"/>
        <v>0</v>
      </c>
      <c r="P142" s="85"/>
    </row>
    <row r="143" spans="1:16" hidden="1" x14ac:dyDescent="0.25">
      <c r="A143" s="276">
        <v>2330</v>
      </c>
      <c r="B143" s="127" t="s">
        <v>159</v>
      </c>
      <c r="C143" s="128">
        <f t="shared" si="9"/>
        <v>0</v>
      </c>
      <c r="D143" s="134"/>
      <c r="E143" s="285"/>
      <c r="F143" s="286">
        <f t="shared" si="10"/>
        <v>0</v>
      </c>
      <c r="G143" s="134"/>
      <c r="H143" s="135"/>
      <c r="I143" s="136">
        <f t="shared" si="11"/>
        <v>0</v>
      </c>
      <c r="J143" s="134"/>
      <c r="K143" s="135"/>
      <c r="L143" s="136">
        <f t="shared" si="12"/>
        <v>0</v>
      </c>
      <c r="M143" s="284"/>
      <c r="N143" s="285"/>
      <c r="O143" s="136">
        <f t="shared" si="13"/>
        <v>0</v>
      </c>
      <c r="P143" s="85"/>
    </row>
    <row r="144" spans="1:16" ht="48" hidden="1" x14ac:dyDescent="0.25">
      <c r="A144" s="276">
        <v>2340</v>
      </c>
      <c r="B144" s="127" t="s">
        <v>160</v>
      </c>
      <c r="C144" s="128">
        <f t="shared" si="9"/>
        <v>0</v>
      </c>
      <c r="D144" s="277">
        <f>SUM(D145:D146)</f>
        <v>0</v>
      </c>
      <c r="E144" s="282">
        <f>SUM(E145:E146)</f>
        <v>0</v>
      </c>
      <c r="F144" s="286">
        <f t="shared" si="10"/>
        <v>0</v>
      </c>
      <c r="G144" s="277">
        <f>SUM(G145:G146)</f>
        <v>0</v>
      </c>
      <c r="H144" s="280">
        <f>SUM(H145:H146)</f>
        <v>0</v>
      </c>
      <c r="I144" s="136">
        <f t="shared" si="11"/>
        <v>0</v>
      </c>
      <c r="J144" s="277">
        <f>SUM(J145:J146)</f>
        <v>0</v>
      </c>
      <c r="K144" s="280">
        <f>SUM(K145:K146)</f>
        <v>0</v>
      </c>
      <c r="L144" s="136">
        <f t="shared" si="12"/>
        <v>0</v>
      </c>
      <c r="M144" s="281">
        <f>SUM(M145:M146)</f>
        <v>0</v>
      </c>
      <c r="N144" s="282">
        <f>SUM(N145:N146)</f>
        <v>0</v>
      </c>
      <c r="O144" s="136">
        <f t="shared" si="13"/>
        <v>0</v>
      </c>
      <c r="P144" s="85"/>
    </row>
    <row r="145" spans="1:16" hidden="1" x14ac:dyDescent="0.25">
      <c r="A145" s="76">
        <v>2341</v>
      </c>
      <c r="B145" s="127" t="s">
        <v>161</v>
      </c>
      <c r="C145" s="128">
        <f t="shared" si="9"/>
        <v>0</v>
      </c>
      <c r="D145" s="134"/>
      <c r="E145" s="285"/>
      <c r="F145" s="286">
        <f t="shared" si="10"/>
        <v>0</v>
      </c>
      <c r="G145" s="134"/>
      <c r="H145" s="135"/>
      <c r="I145" s="136">
        <f t="shared" si="11"/>
        <v>0</v>
      </c>
      <c r="J145" s="134"/>
      <c r="K145" s="135"/>
      <c r="L145" s="136">
        <f t="shared" si="12"/>
        <v>0</v>
      </c>
      <c r="M145" s="284"/>
      <c r="N145" s="285"/>
      <c r="O145" s="136">
        <f t="shared" si="13"/>
        <v>0</v>
      </c>
      <c r="P145" s="85"/>
    </row>
    <row r="146" spans="1:16" ht="24" hidden="1" x14ac:dyDescent="0.25">
      <c r="A146" s="76">
        <v>2344</v>
      </c>
      <c r="B146" s="127" t="s">
        <v>162</v>
      </c>
      <c r="C146" s="128">
        <f t="shared" si="9"/>
        <v>0</v>
      </c>
      <c r="D146" s="134"/>
      <c r="E146" s="285"/>
      <c r="F146" s="286">
        <f t="shared" si="10"/>
        <v>0</v>
      </c>
      <c r="G146" s="134"/>
      <c r="H146" s="135"/>
      <c r="I146" s="136">
        <f t="shared" si="11"/>
        <v>0</v>
      </c>
      <c r="J146" s="134"/>
      <c r="K146" s="135"/>
      <c r="L146" s="136">
        <f t="shared" si="12"/>
        <v>0</v>
      </c>
      <c r="M146" s="284"/>
      <c r="N146" s="285"/>
      <c r="O146" s="136">
        <f t="shared" si="13"/>
        <v>0</v>
      </c>
      <c r="P146" s="85"/>
    </row>
    <row r="147" spans="1:16" ht="24" hidden="1" x14ac:dyDescent="0.25">
      <c r="A147" s="254">
        <v>2350</v>
      </c>
      <c r="B147" s="179" t="s">
        <v>163</v>
      </c>
      <c r="C147" s="128">
        <f t="shared" si="9"/>
        <v>0</v>
      </c>
      <c r="D147" s="255">
        <f>SUM(D148:D153)</f>
        <v>0</v>
      </c>
      <c r="E147" s="261">
        <f>SUM(E148:E153)</f>
        <v>0</v>
      </c>
      <c r="F147" s="310">
        <f t="shared" si="10"/>
        <v>0</v>
      </c>
      <c r="G147" s="255">
        <f>SUM(G148:G153)</f>
        <v>0</v>
      </c>
      <c r="H147" s="258">
        <f>SUM(H148:H153)</f>
        <v>0</v>
      </c>
      <c r="I147" s="259">
        <f t="shared" si="11"/>
        <v>0</v>
      </c>
      <c r="J147" s="255">
        <f>SUM(J148:J153)</f>
        <v>0</v>
      </c>
      <c r="K147" s="258">
        <f>SUM(K148:K153)</f>
        <v>0</v>
      </c>
      <c r="L147" s="259">
        <f t="shared" si="12"/>
        <v>0</v>
      </c>
      <c r="M147" s="260">
        <f>SUM(M148:M153)</f>
        <v>0</v>
      </c>
      <c r="N147" s="261">
        <f>SUM(N148:N153)</f>
        <v>0</v>
      </c>
      <c r="O147" s="259">
        <f t="shared" si="13"/>
        <v>0</v>
      </c>
      <c r="P147" s="189"/>
    </row>
    <row r="148" spans="1:16" hidden="1" x14ac:dyDescent="0.25">
      <c r="A148" s="66">
        <v>2351</v>
      </c>
      <c r="B148" s="116" t="s">
        <v>164</v>
      </c>
      <c r="C148" s="128">
        <f t="shared" si="9"/>
        <v>0</v>
      </c>
      <c r="D148" s="123"/>
      <c r="E148" s="262"/>
      <c r="F148" s="263">
        <f t="shared" si="10"/>
        <v>0</v>
      </c>
      <c r="G148" s="123"/>
      <c r="H148" s="124"/>
      <c r="I148" s="125">
        <f t="shared" si="11"/>
        <v>0</v>
      </c>
      <c r="J148" s="123"/>
      <c r="K148" s="124"/>
      <c r="L148" s="125">
        <f t="shared" si="12"/>
        <v>0</v>
      </c>
      <c r="M148" s="264"/>
      <c r="N148" s="262"/>
      <c r="O148" s="125">
        <f t="shared" si="13"/>
        <v>0</v>
      </c>
      <c r="P148" s="74"/>
    </row>
    <row r="149" spans="1:16" hidden="1" x14ac:dyDescent="0.25">
      <c r="A149" s="76">
        <v>2352</v>
      </c>
      <c r="B149" s="127" t="s">
        <v>165</v>
      </c>
      <c r="C149" s="128">
        <f t="shared" si="9"/>
        <v>0</v>
      </c>
      <c r="D149" s="134"/>
      <c r="E149" s="285"/>
      <c r="F149" s="286">
        <f t="shared" si="10"/>
        <v>0</v>
      </c>
      <c r="G149" s="134"/>
      <c r="H149" s="135"/>
      <c r="I149" s="136">
        <f t="shared" si="11"/>
        <v>0</v>
      </c>
      <c r="J149" s="134"/>
      <c r="K149" s="135"/>
      <c r="L149" s="136">
        <f t="shared" si="12"/>
        <v>0</v>
      </c>
      <c r="M149" s="284"/>
      <c r="N149" s="285"/>
      <c r="O149" s="136">
        <f t="shared" si="13"/>
        <v>0</v>
      </c>
      <c r="P149" s="85"/>
    </row>
    <row r="150" spans="1:16" ht="24" hidden="1" x14ac:dyDescent="0.25">
      <c r="A150" s="76">
        <v>2353</v>
      </c>
      <c r="B150" s="127" t="s">
        <v>166</v>
      </c>
      <c r="C150" s="128">
        <f t="shared" si="9"/>
        <v>0</v>
      </c>
      <c r="D150" s="134"/>
      <c r="E150" s="285"/>
      <c r="F150" s="286">
        <f t="shared" si="10"/>
        <v>0</v>
      </c>
      <c r="G150" s="134"/>
      <c r="H150" s="135"/>
      <c r="I150" s="136">
        <f t="shared" si="11"/>
        <v>0</v>
      </c>
      <c r="J150" s="134"/>
      <c r="K150" s="135"/>
      <c r="L150" s="136">
        <f t="shared" si="12"/>
        <v>0</v>
      </c>
      <c r="M150" s="284"/>
      <c r="N150" s="285"/>
      <c r="O150" s="136">
        <f t="shared" si="13"/>
        <v>0</v>
      </c>
      <c r="P150" s="85"/>
    </row>
    <row r="151" spans="1:16" ht="24" hidden="1" x14ac:dyDescent="0.25">
      <c r="A151" s="76">
        <v>2354</v>
      </c>
      <c r="B151" s="127" t="s">
        <v>167</v>
      </c>
      <c r="C151" s="128">
        <f t="shared" si="9"/>
        <v>0</v>
      </c>
      <c r="D151" s="134"/>
      <c r="E151" s="285"/>
      <c r="F151" s="286">
        <f t="shared" si="10"/>
        <v>0</v>
      </c>
      <c r="G151" s="134"/>
      <c r="H151" s="135"/>
      <c r="I151" s="136">
        <f t="shared" si="11"/>
        <v>0</v>
      </c>
      <c r="J151" s="134"/>
      <c r="K151" s="135"/>
      <c r="L151" s="136">
        <f t="shared" si="12"/>
        <v>0</v>
      </c>
      <c r="M151" s="284"/>
      <c r="N151" s="285"/>
      <c r="O151" s="136">
        <f t="shared" si="13"/>
        <v>0</v>
      </c>
      <c r="P151" s="85"/>
    </row>
    <row r="152" spans="1:16" ht="24" hidden="1" x14ac:dyDescent="0.25">
      <c r="A152" s="76">
        <v>2355</v>
      </c>
      <c r="B152" s="127" t="s">
        <v>168</v>
      </c>
      <c r="C152" s="128">
        <f t="shared" si="9"/>
        <v>0</v>
      </c>
      <c r="D152" s="134"/>
      <c r="E152" s="285"/>
      <c r="F152" s="286">
        <f t="shared" si="10"/>
        <v>0</v>
      </c>
      <c r="G152" s="134"/>
      <c r="H152" s="135"/>
      <c r="I152" s="136">
        <f t="shared" si="11"/>
        <v>0</v>
      </c>
      <c r="J152" s="134"/>
      <c r="K152" s="135"/>
      <c r="L152" s="136">
        <f t="shared" si="12"/>
        <v>0</v>
      </c>
      <c r="M152" s="284"/>
      <c r="N152" s="285"/>
      <c r="O152" s="136">
        <f t="shared" si="13"/>
        <v>0</v>
      </c>
      <c r="P152" s="85"/>
    </row>
    <row r="153" spans="1:16" ht="24" hidden="1" x14ac:dyDescent="0.25">
      <c r="A153" s="76">
        <v>2359</v>
      </c>
      <c r="B153" s="127" t="s">
        <v>169</v>
      </c>
      <c r="C153" s="128">
        <f t="shared" si="9"/>
        <v>0</v>
      </c>
      <c r="D153" s="134"/>
      <c r="E153" s="285"/>
      <c r="F153" s="286">
        <f t="shared" si="10"/>
        <v>0</v>
      </c>
      <c r="G153" s="134"/>
      <c r="H153" s="135"/>
      <c r="I153" s="136">
        <f t="shared" si="11"/>
        <v>0</v>
      </c>
      <c r="J153" s="134"/>
      <c r="K153" s="135"/>
      <c r="L153" s="136">
        <f t="shared" si="12"/>
        <v>0</v>
      </c>
      <c r="M153" s="284"/>
      <c r="N153" s="285"/>
      <c r="O153" s="136">
        <f t="shared" si="13"/>
        <v>0</v>
      </c>
      <c r="P153" s="85"/>
    </row>
    <row r="154" spans="1:16" ht="24" hidden="1" x14ac:dyDescent="0.25">
      <c r="A154" s="276">
        <v>2360</v>
      </c>
      <c r="B154" s="127" t="s">
        <v>170</v>
      </c>
      <c r="C154" s="128">
        <f t="shared" si="9"/>
        <v>0</v>
      </c>
      <c r="D154" s="277">
        <f>SUM(D155:D161)</f>
        <v>0</v>
      </c>
      <c r="E154" s="282">
        <f>SUM(E155:E161)</f>
        <v>0</v>
      </c>
      <c r="F154" s="286">
        <f t="shared" si="10"/>
        <v>0</v>
      </c>
      <c r="G154" s="277">
        <f>SUM(G155:G161)</f>
        <v>0</v>
      </c>
      <c r="H154" s="280">
        <f>SUM(H155:H161)</f>
        <v>0</v>
      </c>
      <c r="I154" s="136">
        <f t="shared" si="11"/>
        <v>0</v>
      </c>
      <c r="J154" s="277">
        <f>SUM(J155:J161)</f>
        <v>0</v>
      </c>
      <c r="K154" s="280">
        <f>SUM(K155:K161)</f>
        <v>0</v>
      </c>
      <c r="L154" s="136">
        <f t="shared" si="12"/>
        <v>0</v>
      </c>
      <c r="M154" s="281">
        <f>SUM(M155:M161)</f>
        <v>0</v>
      </c>
      <c r="N154" s="282">
        <f>SUM(N155:N161)</f>
        <v>0</v>
      </c>
      <c r="O154" s="136">
        <f t="shared" si="13"/>
        <v>0</v>
      </c>
      <c r="P154" s="85"/>
    </row>
    <row r="155" spans="1:16" hidden="1" x14ac:dyDescent="0.25">
      <c r="A155" s="75">
        <v>2361</v>
      </c>
      <c r="B155" s="127" t="s">
        <v>171</v>
      </c>
      <c r="C155" s="128">
        <f t="shared" si="9"/>
        <v>0</v>
      </c>
      <c r="D155" s="134"/>
      <c r="E155" s="285"/>
      <c r="F155" s="286">
        <f t="shared" si="10"/>
        <v>0</v>
      </c>
      <c r="G155" s="134"/>
      <c r="H155" s="135"/>
      <c r="I155" s="136">
        <f t="shared" si="11"/>
        <v>0</v>
      </c>
      <c r="J155" s="134"/>
      <c r="K155" s="135"/>
      <c r="L155" s="136">
        <f t="shared" si="12"/>
        <v>0</v>
      </c>
      <c r="M155" s="284"/>
      <c r="N155" s="285"/>
      <c r="O155" s="136">
        <f t="shared" si="13"/>
        <v>0</v>
      </c>
      <c r="P155" s="85"/>
    </row>
    <row r="156" spans="1:16" ht="24" hidden="1" x14ac:dyDescent="0.25">
      <c r="A156" s="75">
        <v>2362</v>
      </c>
      <c r="B156" s="127" t="s">
        <v>172</v>
      </c>
      <c r="C156" s="128">
        <f t="shared" si="9"/>
        <v>0</v>
      </c>
      <c r="D156" s="134"/>
      <c r="E156" s="285"/>
      <c r="F156" s="286">
        <f t="shared" si="10"/>
        <v>0</v>
      </c>
      <c r="G156" s="134"/>
      <c r="H156" s="135"/>
      <c r="I156" s="136">
        <f t="shared" si="11"/>
        <v>0</v>
      </c>
      <c r="J156" s="134"/>
      <c r="K156" s="135"/>
      <c r="L156" s="136">
        <f t="shared" si="12"/>
        <v>0</v>
      </c>
      <c r="M156" s="284"/>
      <c r="N156" s="285"/>
      <c r="O156" s="136">
        <f t="shared" si="13"/>
        <v>0</v>
      </c>
      <c r="P156" s="85"/>
    </row>
    <row r="157" spans="1:16" hidden="1" x14ac:dyDescent="0.25">
      <c r="A157" s="75">
        <v>2363</v>
      </c>
      <c r="B157" s="127" t="s">
        <v>173</v>
      </c>
      <c r="C157" s="128">
        <f t="shared" si="9"/>
        <v>0</v>
      </c>
      <c r="D157" s="134"/>
      <c r="E157" s="285"/>
      <c r="F157" s="286">
        <f t="shared" si="10"/>
        <v>0</v>
      </c>
      <c r="G157" s="134"/>
      <c r="H157" s="135"/>
      <c r="I157" s="136">
        <f t="shared" si="11"/>
        <v>0</v>
      </c>
      <c r="J157" s="134"/>
      <c r="K157" s="135"/>
      <c r="L157" s="136">
        <f t="shared" si="12"/>
        <v>0</v>
      </c>
      <c r="M157" s="284"/>
      <c r="N157" s="285"/>
      <c r="O157" s="136">
        <f t="shared" si="13"/>
        <v>0</v>
      </c>
      <c r="P157" s="85"/>
    </row>
    <row r="158" spans="1:16" hidden="1" x14ac:dyDescent="0.25">
      <c r="A158" s="75">
        <v>2364</v>
      </c>
      <c r="B158" s="127" t="s">
        <v>174</v>
      </c>
      <c r="C158" s="128">
        <f t="shared" si="9"/>
        <v>0</v>
      </c>
      <c r="D158" s="134"/>
      <c r="E158" s="285"/>
      <c r="F158" s="286">
        <f t="shared" si="10"/>
        <v>0</v>
      </c>
      <c r="G158" s="134"/>
      <c r="H158" s="135"/>
      <c r="I158" s="136">
        <f t="shared" si="11"/>
        <v>0</v>
      </c>
      <c r="J158" s="134"/>
      <c r="K158" s="135"/>
      <c r="L158" s="136">
        <f t="shared" si="12"/>
        <v>0</v>
      </c>
      <c r="M158" s="284"/>
      <c r="N158" s="285"/>
      <c r="O158" s="136">
        <f t="shared" si="13"/>
        <v>0</v>
      </c>
      <c r="P158" s="85"/>
    </row>
    <row r="159" spans="1:16" hidden="1" x14ac:dyDescent="0.25">
      <c r="A159" s="75">
        <v>2365</v>
      </c>
      <c r="B159" s="127" t="s">
        <v>175</v>
      </c>
      <c r="C159" s="128">
        <f t="shared" si="9"/>
        <v>0</v>
      </c>
      <c r="D159" s="134"/>
      <c r="E159" s="285"/>
      <c r="F159" s="286">
        <f t="shared" si="10"/>
        <v>0</v>
      </c>
      <c r="G159" s="134"/>
      <c r="H159" s="135"/>
      <c r="I159" s="136">
        <f t="shared" si="11"/>
        <v>0</v>
      </c>
      <c r="J159" s="134"/>
      <c r="K159" s="135"/>
      <c r="L159" s="136">
        <f t="shared" si="12"/>
        <v>0</v>
      </c>
      <c r="M159" s="284"/>
      <c r="N159" s="285"/>
      <c r="O159" s="136">
        <f t="shared" si="13"/>
        <v>0</v>
      </c>
      <c r="P159" s="85"/>
    </row>
    <row r="160" spans="1:16" ht="36" hidden="1" x14ac:dyDescent="0.25">
      <c r="A160" s="75">
        <v>2366</v>
      </c>
      <c r="B160" s="127" t="s">
        <v>176</v>
      </c>
      <c r="C160" s="128">
        <f t="shared" si="9"/>
        <v>0</v>
      </c>
      <c r="D160" s="134"/>
      <c r="E160" s="285"/>
      <c r="F160" s="286">
        <f t="shared" si="10"/>
        <v>0</v>
      </c>
      <c r="G160" s="134"/>
      <c r="H160" s="135"/>
      <c r="I160" s="136">
        <f t="shared" si="11"/>
        <v>0</v>
      </c>
      <c r="J160" s="134"/>
      <c r="K160" s="135"/>
      <c r="L160" s="136">
        <f t="shared" si="12"/>
        <v>0</v>
      </c>
      <c r="M160" s="284"/>
      <c r="N160" s="285"/>
      <c r="O160" s="136">
        <f t="shared" si="13"/>
        <v>0</v>
      </c>
      <c r="P160" s="85"/>
    </row>
    <row r="161" spans="1:16" ht="48" hidden="1" x14ac:dyDescent="0.25">
      <c r="A161" s="75">
        <v>2369</v>
      </c>
      <c r="B161" s="127" t="s">
        <v>177</v>
      </c>
      <c r="C161" s="128">
        <f t="shared" si="9"/>
        <v>0</v>
      </c>
      <c r="D161" s="134"/>
      <c r="E161" s="285"/>
      <c r="F161" s="286">
        <f t="shared" si="10"/>
        <v>0</v>
      </c>
      <c r="G161" s="134"/>
      <c r="H161" s="135"/>
      <c r="I161" s="136">
        <f t="shared" si="11"/>
        <v>0</v>
      </c>
      <c r="J161" s="134"/>
      <c r="K161" s="135"/>
      <c r="L161" s="136">
        <f t="shared" si="12"/>
        <v>0</v>
      </c>
      <c r="M161" s="284"/>
      <c r="N161" s="285"/>
      <c r="O161" s="136">
        <f t="shared" si="13"/>
        <v>0</v>
      </c>
      <c r="P161" s="85"/>
    </row>
    <row r="162" spans="1:16" hidden="1" x14ac:dyDescent="0.25">
      <c r="A162" s="254">
        <v>2370</v>
      </c>
      <c r="B162" s="179" t="s">
        <v>178</v>
      </c>
      <c r="C162" s="128">
        <f t="shared" si="9"/>
        <v>0</v>
      </c>
      <c r="D162" s="287"/>
      <c r="E162" s="291"/>
      <c r="F162" s="310">
        <f t="shared" si="10"/>
        <v>0</v>
      </c>
      <c r="G162" s="287"/>
      <c r="H162" s="289"/>
      <c r="I162" s="259">
        <f t="shared" si="11"/>
        <v>0</v>
      </c>
      <c r="J162" s="287"/>
      <c r="K162" s="289"/>
      <c r="L162" s="259">
        <f t="shared" si="12"/>
        <v>0</v>
      </c>
      <c r="M162" s="290"/>
      <c r="N162" s="291"/>
      <c r="O162" s="259">
        <f t="shared" si="13"/>
        <v>0</v>
      </c>
      <c r="P162" s="189"/>
    </row>
    <row r="163" spans="1:16" hidden="1" x14ac:dyDescent="0.25">
      <c r="A163" s="254">
        <v>2380</v>
      </c>
      <c r="B163" s="179" t="s">
        <v>179</v>
      </c>
      <c r="C163" s="128">
        <f t="shared" si="9"/>
        <v>0</v>
      </c>
      <c r="D163" s="255">
        <f>SUM(D164:D165)</f>
        <v>0</v>
      </c>
      <c r="E163" s="261">
        <f>SUM(E164:E165)</f>
        <v>0</v>
      </c>
      <c r="F163" s="310">
        <f t="shared" si="10"/>
        <v>0</v>
      </c>
      <c r="G163" s="255">
        <f>SUM(G164:G165)</f>
        <v>0</v>
      </c>
      <c r="H163" s="258">
        <f>SUM(H164:H165)</f>
        <v>0</v>
      </c>
      <c r="I163" s="259">
        <f t="shared" si="11"/>
        <v>0</v>
      </c>
      <c r="J163" s="255">
        <f>SUM(J164:J165)</f>
        <v>0</v>
      </c>
      <c r="K163" s="258">
        <f>SUM(K164:K165)</f>
        <v>0</v>
      </c>
      <c r="L163" s="259">
        <f t="shared" si="12"/>
        <v>0</v>
      </c>
      <c r="M163" s="260">
        <f>SUM(M164:M165)</f>
        <v>0</v>
      </c>
      <c r="N163" s="261">
        <f>SUM(N164:N165)</f>
        <v>0</v>
      </c>
      <c r="O163" s="259">
        <f t="shared" si="13"/>
        <v>0</v>
      </c>
      <c r="P163" s="189"/>
    </row>
    <row r="164" spans="1:16" hidden="1" x14ac:dyDescent="0.25">
      <c r="A164" s="65">
        <v>2381</v>
      </c>
      <c r="B164" s="116" t="s">
        <v>180</v>
      </c>
      <c r="C164" s="128">
        <f t="shared" si="9"/>
        <v>0</v>
      </c>
      <c r="D164" s="123"/>
      <c r="E164" s="262"/>
      <c r="F164" s="263">
        <f t="shared" si="10"/>
        <v>0</v>
      </c>
      <c r="G164" s="123"/>
      <c r="H164" s="124"/>
      <c r="I164" s="125">
        <f t="shared" si="11"/>
        <v>0</v>
      </c>
      <c r="J164" s="123"/>
      <c r="K164" s="124"/>
      <c r="L164" s="125">
        <f t="shared" si="12"/>
        <v>0</v>
      </c>
      <c r="M164" s="264"/>
      <c r="N164" s="262"/>
      <c r="O164" s="125">
        <f t="shared" si="13"/>
        <v>0</v>
      </c>
      <c r="P164" s="74"/>
    </row>
    <row r="165" spans="1:16" ht="24" hidden="1" x14ac:dyDescent="0.25">
      <c r="A165" s="75">
        <v>2389</v>
      </c>
      <c r="B165" s="127" t="s">
        <v>181</v>
      </c>
      <c r="C165" s="128">
        <f t="shared" si="9"/>
        <v>0</v>
      </c>
      <c r="D165" s="134"/>
      <c r="E165" s="285"/>
      <c r="F165" s="286">
        <f t="shared" si="10"/>
        <v>0</v>
      </c>
      <c r="G165" s="134"/>
      <c r="H165" s="135"/>
      <c r="I165" s="136">
        <f t="shared" si="11"/>
        <v>0</v>
      </c>
      <c r="J165" s="134"/>
      <c r="K165" s="135"/>
      <c r="L165" s="136">
        <f t="shared" si="12"/>
        <v>0</v>
      </c>
      <c r="M165" s="284"/>
      <c r="N165" s="285"/>
      <c r="O165" s="136">
        <f t="shared" si="13"/>
        <v>0</v>
      </c>
      <c r="P165" s="85"/>
    </row>
    <row r="166" spans="1:16" hidden="1" x14ac:dyDescent="0.25">
      <c r="A166" s="254">
        <v>2390</v>
      </c>
      <c r="B166" s="179" t="s">
        <v>182</v>
      </c>
      <c r="C166" s="128">
        <f t="shared" si="9"/>
        <v>0</v>
      </c>
      <c r="D166" s="287"/>
      <c r="E166" s="291"/>
      <c r="F166" s="310">
        <f t="shared" si="10"/>
        <v>0</v>
      </c>
      <c r="G166" s="287"/>
      <c r="H166" s="289"/>
      <c r="I166" s="259">
        <f t="shared" si="11"/>
        <v>0</v>
      </c>
      <c r="J166" s="287"/>
      <c r="K166" s="289"/>
      <c r="L166" s="259">
        <f t="shared" si="12"/>
        <v>0</v>
      </c>
      <c r="M166" s="290"/>
      <c r="N166" s="291"/>
      <c r="O166" s="259">
        <f t="shared" si="13"/>
        <v>0</v>
      </c>
      <c r="P166" s="189"/>
    </row>
    <row r="167" spans="1:16" hidden="1" x14ac:dyDescent="0.25">
      <c r="A167" s="99">
        <v>2400</v>
      </c>
      <c r="B167" s="247" t="s">
        <v>183</v>
      </c>
      <c r="C167" s="100">
        <f t="shared" si="9"/>
        <v>0</v>
      </c>
      <c r="D167" s="311"/>
      <c r="E167" s="312"/>
      <c r="F167" s="313">
        <f t="shared" si="10"/>
        <v>0</v>
      </c>
      <c r="G167" s="311"/>
      <c r="H167" s="314"/>
      <c r="I167" s="114">
        <f t="shared" si="11"/>
        <v>0</v>
      </c>
      <c r="J167" s="311"/>
      <c r="K167" s="314"/>
      <c r="L167" s="114">
        <f t="shared" si="12"/>
        <v>0</v>
      </c>
      <c r="M167" s="315"/>
      <c r="N167" s="312"/>
      <c r="O167" s="114">
        <f t="shared" si="13"/>
        <v>0</v>
      </c>
      <c r="P167" s="109"/>
    </row>
    <row r="168" spans="1:16" ht="24" hidden="1" x14ac:dyDescent="0.25">
      <c r="A168" s="99">
        <v>2500</v>
      </c>
      <c r="B168" s="247" t="s">
        <v>184</v>
      </c>
      <c r="C168" s="100">
        <f t="shared" si="9"/>
        <v>0</v>
      </c>
      <c r="D168" s="112">
        <f>SUM(D169,D174)</f>
        <v>0</v>
      </c>
      <c r="E168" s="293">
        <f>SUM(E169,E174)</f>
        <v>0</v>
      </c>
      <c r="F168" s="313">
        <f t="shared" si="10"/>
        <v>0</v>
      </c>
      <c r="G168" s="112">
        <f>SUM(G169,G174)</f>
        <v>0</v>
      </c>
      <c r="H168" s="113">
        <f t="shared" ref="H168" si="17">SUM(H169,H174)</f>
        <v>0</v>
      </c>
      <c r="I168" s="114">
        <f t="shared" si="11"/>
        <v>0</v>
      </c>
      <c r="J168" s="112">
        <f>SUM(J169,J174)</f>
        <v>0</v>
      </c>
      <c r="K168" s="113">
        <f t="shared" ref="K168" si="18">SUM(K169,K174)</f>
        <v>0</v>
      </c>
      <c r="L168" s="114">
        <f t="shared" si="12"/>
        <v>0</v>
      </c>
      <c r="M168" s="250">
        <f t="shared" ref="M168:N168" si="19">SUM(M169,M174)</f>
        <v>0</v>
      </c>
      <c r="N168" s="251">
        <f t="shared" si="19"/>
        <v>0</v>
      </c>
      <c r="O168" s="252">
        <f t="shared" si="13"/>
        <v>0</v>
      </c>
      <c r="P168" s="253"/>
    </row>
    <row r="169" spans="1:16" hidden="1" x14ac:dyDescent="0.25">
      <c r="A169" s="609">
        <v>2510</v>
      </c>
      <c r="B169" s="116" t="s">
        <v>185</v>
      </c>
      <c r="C169" s="117">
        <f t="shared" si="9"/>
        <v>0</v>
      </c>
      <c r="D169" s="297">
        <f>SUM(D170:D173)</f>
        <v>0</v>
      </c>
      <c r="E169" s="301">
        <f>SUM(E170:E173)</f>
        <v>0</v>
      </c>
      <c r="F169" s="263">
        <f t="shared" si="10"/>
        <v>0</v>
      </c>
      <c r="G169" s="297">
        <f>SUM(G170:G173)</f>
        <v>0</v>
      </c>
      <c r="H169" s="299">
        <f t="shared" ref="H169" si="20">SUM(H170:H173)</f>
        <v>0</v>
      </c>
      <c r="I169" s="125">
        <f t="shared" si="11"/>
        <v>0</v>
      </c>
      <c r="J169" s="297">
        <f>SUM(J170:J173)</f>
        <v>0</v>
      </c>
      <c r="K169" s="299">
        <f t="shared" ref="K169" si="21">SUM(K170:K173)</f>
        <v>0</v>
      </c>
      <c r="L169" s="125">
        <f t="shared" si="12"/>
        <v>0</v>
      </c>
      <c r="M169" s="317">
        <f t="shared" ref="M169:N169" si="22">SUM(M170:M173)</f>
        <v>0</v>
      </c>
      <c r="N169" s="318">
        <f t="shared" si="22"/>
        <v>0</v>
      </c>
      <c r="O169" s="151">
        <f t="shared" si="13"/>
        <v>0</v>
      </c>
      <c r="P169" s="153"/>
    </row>
    <row r="170" spans="1:16" ht="24" hidden="1" x14ac:dyDescent="0.25">
      <c r="A170" s="76">
        <v>2512</v>
      </c>
      <c r="B170" s="127" t="s">
        <v>186</v>
      </c>
      <c r="C170" s="128">
        <f t="shared" si="9"/>
        <v>0</v>
      </c>
      <c r="D170" s="134"/>
      <c r="E170" s="285"/>
      <c r="F170" s="286">
        <f t="shared" si="10"/>
        <v>0</v>
      </c>
      <c r="G170" s="134"/>
      <c r="H170" s="135"/>
      <c r="I170" s="136">
        <f t="shared" si="11"/>
        <v>0</v>
      </c>
      <c r="J170" s="134"/>
      <c r="K170" s="135"/>
      <c r="L170" s="136">
        <f t="shared" si="12"/>
        <v>0</v>
      </c>
      <c r="M170" s="284"/>
      <c r="N170" s="285"/>
      <c r="O170" s="136">
        <f t="shared" si="13"/>
        <v>0</v>
      </c>
      <c r="P170" s="85"/>
    </row>
    <row r="171" spans="1:16" ht="36" hidden="1" x14ac:dyDescent="0.25">
      <c r="A171" s="76">
        <v>2513</v>
      </c>
      <c r="B171" s="127" t="s">
        <v>187</v>
      </c>
      <c r="C171" s="128">
        <f t="shared" si="9"/>
        <v>0</v>
      </c>
      <c r="D171" s="134"/>
      <c r="E171" s="285"/>
      <c r="F171" s="286">
        <f t="shared" si="10"/>
        <v>0</v>
      </c>
      <c r="G171" s="134"/>
      <c r="H171" s="135"/>
      <c r="I171" s="136">
        <f t="shared" si="11"/>
        <v>0</v>
      </c>
      <c r="J171" s="134"/>
      <c r="K171" s="135"/>
      <c r="L171" s="136">
        <f t="shared" si="12"/>
        <v>0</v>
      </c>
      <c r="M171" s="284"/>
      <c r="N171" s="285"/>
      <c r="O171" s="136">
        <f t="shared" si="13"/>
        <v>0</v>
      </c>
      <c r="P171" s="85"/>
    </row>
    <row r="172" spans="1:16" ht="24" hidden="1" x14ac:dyDescent="0.25">
      <c r="A172" s="76">
        <v>2515</v>
      </c>
      <c r="B172" s="127" t="s">
        <v>188</v>
      </c>
      <c r="C172" s="128">
        <f t="shared" si="9"/>
        <v>0</v>
      </c>
      <c r="D172" s="134"/>
      <c r="E172" s="285"/>
      <c r="F172" s="286">
        <f t="shared" si="10"/>
        <v>0</v>
      </c>
      <c r="G172" s="134"/>
      <c r="H172" s="135"/>
      <c r="I172" s="136">
        <f t="shared" si="11"/>
        <v>0</v>
      </c>
      <c r="J172" s="134"/>
      <c r="K172" s="135"/>
      <c r="L172" s="136">
        <f t="shared" si="12"/>
        <v>0</v>
      </c>
      <c r="M172" s="284"/>
      <c r="N172" s="285"/>
      <c r="O172" s="136">
        <f t="shared" si="13"/>
        <v>0</v>
      </c>
      <c r="P172" s="85"/>
    </row>
    <row r="173" spans="1:16" ht="24" hidden="1" x14ac:dyDescent="0.25">
      <c r="A173" s="76">
        <v>2519</v>
      </c>
      <c r="B173" s="127" t="s">
        <v>189</v>
      </c>
      <c r="C173" s="128">
        <f t="shared" si="9"/>
        <v>0</v>
      </c>
      <c r="D173" s="134"/>
      <c r="E173" s="285"/>
      <c r="F173" s="286">
        <f t="shared" si="10"/>
        <v>0</v>
      </c>
      <c r="G173" s="134"/>
      <c r="H173" s="135"/>
      <c r="I173" s="136">
        <f t="shared" si="11"/>
        <v>0</v>
      </c>
      <c r="J173" s="134"/>
      <c r="K173" s="135"/>
      <c r="L173" s="136">
        <f t="shared" si="12"/>
        <v>0</v>
      </c>
      <c r="M173" s="284"/>
      <c r="N173" s="285"/>
      <c r="O173" s="136">
        <f t="shared" si="13"/>
        <v>0</v>
      </c>
      <c r="P173" s="85"/>
    </row>
    <row r="174" spans="1:16" ht="24" hidden="1" x14ac:dyDescent="0.25">
      <c r="A174" s="276">
        <v>2520</v>
      </c>
      <c r="B174" s="127" t="s">
        <v>190</v>
      </c>
      <c r="C174" s="128">
        <f t="shared" si="9"/>
        <v>0</v>
      </c>
      <c r="D174" s="134"/>
      <c r="E174" s="285"/>
      <c r="F174" s="286">
        <f t="shared" si="10"/>
        <v>0</v>
      </c>
      <c r="G174" s="134"/>
      <c r="H174" s="135"/>
      <c r="I174" s="136">
        <f t="shared" si="11"/>
        <v>0</v>
      </c>
      <c r="J174" s="134"/>
      <c r="K174" s="135"/>
      <c r="L174" s="136">
        <f t="shared" si="12"/>
        <v>0</v>
      </c>
      <c r="M174" s="284"/>
      <c r="N174" s="285"/>
      <c r="O174" s="136">
        <f t="shared" si="13"/>
        <v>0</v>
      </c>
      <c r="P174" s="85"/>
    </row>
    <row r="175" spans="1:16" s="319" customFormat="1" ht="48" hidden="1" x14ac:dyDescent="0.25">
      <c r="A175" s="31">
        <v>2800</v>
      </c>
      <c r="B175" s="116" t="s">
        <v>191</v>
      </c>
      <c r="C175" s="117">
        <f t="shared" si="9"/>
        <v>0</v>
      </c>
      <c r="D175" s="68"/>
      <c r="E175" s="69"/>
      <c r="F175" s="70">
        <f t="shared" si="10"/>
        <v>0</v>
      </c>
      <c r="G175" s="68"/>
      <c r="H175" s="71"/>
      <c r="I175" s="72">
        <f t="shared" si="11"/>
        <v>0</v>
      </c>
      <c r="J175" s="68"/>
      <c r="K175" s="71"/>
      <c r="L175" s="72">
        <f t="shared" si="12"/>
        <v>0</v>
      </c>
      <c r="M175" s="73"/>
      <c r="N175" s="69"/>
      <c r="O175" s="72">
        <f t="shared" si="13"/>
        <v>0</v>
      </c>
      <c r="P175" s="74"/>
    </row>
    <row r="176" spans="1:16" hidden="1" x14ac:dyDescent="0.25">
      <c r="A176" s="237">
        <v>3000</v>
      </c>
      <c r="B176" s="237" t="s">
        <v>192</v>
      </c>
      <c r="C176" s="238">
        <f t="shared" si="9"/>
        <v>0</v>
      </c>
      <c r="D176" s="239">
        <f>SUM(D177,D187)</f>
        <v>0</v>
      </c>
      <c r="E176" s="245">
        <f>SUM(E177,E187)</f>
        <v>0</v>
      </c>
      <c r="F176" s="320">
        <f t="shared" si="10"/>
        <v>0</v>
      </c>
      <c r="G176" s="239">
        <f>SUM(G177,G187)</f>
        <v>0</v>
      </c>
      <c r="H176" s="242">
        <f>SUM(H177,H187)</f>
        <v>0</v>
      </c>
      <c r="I176" s="243">
        <f t="shared" si="11"/>
        <v>0</v>
      </c>
      <c r="J176" s="239">
        <f>SUM(J177,J187)</f>
        <v>0</v>
      </c>
      <c r="K176" s="242">
        <f>SUM(K177,K187)</f>
        <v>0</v>
      </c>
      <c r="L176" s="243">
        <f t="shared" si="12"/>
        <v>0</v>
      </c>
      <c r="M176" s="244">
        <f>SUM(M177,M187)</f>
        <v>0</v>
      </c>
      <c r="N176" s="245">
        <f>SUM(N177,N187)</f>
        <v>0</v>
      </c>
      <c r="O176" s="243">
        <f t="shared" si="13"/>
        <v>0</v>
      </c>
      <c r="P176" s="246"/>
    </row>
    <row r="177" spans="1:16" ht="24" hidden="1" x14ac:dyDescent="0.25">
      <c r="A177" s="99">
        <v>3200</v>
      </c>
      <c r="B177" s="321" t="s">
        <v>193</v>
      </c>
      <c r="C177" s="100">
        <f t="shared" si="9"/>
        <v>0</v>
      </c>
      <c r="D177" s="112">
        <f>SUM(D178,D182)</f>
        <v>0</v>
      </c>
      <c r="E177" s="293">
        <f>SUM(E178,E182)</f>
        <v>0</v>
      </c>
      <c r="F177" s="313">
        <f t="shared" si="10"/>
        <v>0</v>
      </c>
      <c r="G177" s="112">
        <f>SUM(G178,G182)</f>
        <v>0</v>
      </c>
      <c r="H177" s="113">
        <f t="shared" ref="H177" si="23">SUM(H178,H182)</f>
        <v>0</v>
      </c>
      <c r="I177" s="114">
        <f t="shared" si="11"/>
        <v>0</v>
      </c>
      <c r="J177" s="112">
        <f>SUM(J178,J182)</f>
        <v>0</v>
      </c>
      <c r="K177" s="113">
        <f t="shared" ref="K177" si="24">SUM(K178,K182)</f>
        <v>0</v>
      </c>
      <c r="L177" s="114">
        <f t="shared" si="12"/>
        <v>0</v>
      </c>
      <c r="M177" s="250">
        <f t="shared" ref="M177:N177" si="25">SUM(M178,M182)</f>
        <v>0</v>
      </c>
      <c r="N177" s="251">
        <f t="shared" si="25"/>
        <v>0</v>
      </c>
      <c r="O177" s="252">
        <f t="shared" si="13"/>
        <v>0</v>
      </c>
      <c r="P177" s="253"/>
    </row>
    <row r="178" spans="1:16" ht="36" hidden="1" x14ac:dyDescent="0.25">
      <c r="A178" s="609">
        <v>3260</v>
      </c>
      <c r="B178" s="116" t="s">
        <v>194</v>
      </c>
      <c r="C178" s="117">
        <f t="shared" si="9"/>
        <v>0</v>
      </c>
      <c r="D178" s="297">
        <f>SUM(D179:D181)</f>
        <v>0</v>
      </c>
      <c r="E178" s="301">
        <f>SUM(E179:E181)</f>
        <v>0</v>
      </c>
      <c r="F178" s="263">
        <f t="shared" si="10"/>
        <v>0</v>
      </c>
      <c r="G178" s="297">
        <f>SUM(G179:G181)</f>
        <v>0</v>
      </c>
      <c r="H178" s="299">
        <f>SUM(H179:H181)</f>
        <v>0</v>
      </c>
      <c r="I178" s="125">
        <f t="shared" si="11"/>
        <v>0</v>
      </c>
      <c r="J178" s="297">
        <f>SUM(J179:J181)</f>
        <v>0</v>
      </c>
      <c r="K178" s="299">
        <f>SUM(K179:K181)</f>
        <v>0</v>
      </c>
      <c r="L178" s="125">
        <f t="shared" si="12"/>
        <v>0</v>
      </c>
      <c r="M178" s="300">
        <f>SUM(M179:M181)</f>
        <v>0</v>
      </c>
      <c r="N178" s="301">
        <f>SUM(N179:N181)</f>
        <v>0</v>
      </c>
      <c r="O178" s="125">
        <f t="shared" si="13"/>
        <v>0</v>
      </c>
      <c r="P178" s="74"/>
    </row>
    <row r="179" spans="1:16" ht="24" hidden="1" x14ac:dyDescent="0.25">
      <c r="A179" s="76">
        <v>3261</v>
      </c>
      <c r="B179" s="127" t="s">
        <v>195</v>
      </c>
      <c r="C179" s="128">
        <f t="shared" si="9"/>
        <v>0</v>
      </c>
      <c r="D179" s="134"/>
      <c r="E179" s="285"/>
      <c r="F179" s="286">
        <f t="shared" si="10"/>
        <v>0</v>
      </c>
      <c r="G179" s="134"/>
      <c r="H179" s="135"/>
      <c r="I179" s="136">
        <f t="shared" si="11"/>
        <v>0</v>
      </c>
      <c r="J179" s="134"/>
      <c r="K179" s="135"/>
      <c r="L179" s="136">
        <f t="shared" si="12"/>
        <v>0</v>
      </c>
      <c r="M179" s="284"/>
      <c r="N179" s="285"/>
      <c r="O179" s="136">
        <f t="shared" si="13"/>
        <v>0</v>
      </c>
      <c r="P179" s="85"/>
    </row>
    <row r="180" spans="1:16" ht="36" hidden="1" x14ac:dyDescent="0.25">
      <c r="A180" s="76">
        <v>3262</v>
      </c>
      <c r="B180" s="127" t="s">
        <v>196</v>
      </c>
      <c r="C180" s="128">
        <f t="shared" si="9"/>
        <v>0</v>
      </c>
      <c r="D180" s="134"/>
      <c r="E180" s="285"/>
      <c r="F180" s="286">
        <f t="shared" si="10"/>
        <v>0</v>
      </c>
      <c r="G180" s="134"/>
      <c r="H180" s="135"/>
      <c r="I180" s="136">
        <f t="shared" si="11"/>
        <v>0</v>
      </c>
      <c r="J180" s="134"/>
      <c r="K180" s="135"/>
      <c r="L180" s="136">
        <f t="shared" si="12"/>
        <v>0</v>
      </c>
      <c r="M180" s="284"/>
      <c r="N180" s="285"/>
      <c r="O180" s="136">
        <f t="shared" si="13"/>
        <v>0</v>
      </c>
      <c r="P180" s="85"/>
    </row>
    <row r="181" spans="1:16" ht="24" hidden="1" x14ac:dyDescent="0.25">
      <c r="A181" s="76">
        <v>3263</v>
      </c>
      <c r="B181" s="127" t="s">
        <v>197</v>
      </c>
      <c r="C181" s="128">
        <f t="shared" si="9"/>
        <v>0</v>
      </c>
      <c r="D181" s="134"/>
      <c r="E181" s="285"/>
      <c r="F181" s="286">
        <f t="shared" si="10"/>
        <v>0</v>
      </c>
      <c r="G181" s="134"/>
      <c r="H181" s="135"/>
      <c r="I181" s="136">
        <f t="shared" si="11"/>
        <v>0</v>
      </c>
      <c r="J181" s="134"/>
      <c r="K181" s="135"/>
      <c r="L181" s="136">
        <f t="shared" si="12"/>
        <v>0</v>
      </c>
      <c r="M181" s="284"/>
      <c r="N181" s="285"/>
      <c r="O181" s="136">
        <f t="shared" si="13"/>
        <v>0</v>
      </c>
      <c r="P181" s="85"/>
    </row>
    <row r="182" spans="1:16" ht="84" hidden="1" x14ac:dyDescent="0.25">
      <c r="A182" s="609">
        <v>3290</v>
      </c>
      <c r="B182" s="116" t="s">
        <v>198</v>
      </c>
      <c r="C182" s="128">
        <f t="shared" ref="C182:C258" si="26">F182+I182+L182+O182</f>
        <v>0</v>
      </c>
      <c r="D182" s="297">
        <f>SUM(D183:D186)</f>
        <v>0</v>
      </c>
      <c r="E182" s="301">
        <f>SUM(E183:E186)</f>
        <v>0</v>
      </c>
      <c r="F182" s="263">
        <f t="shared" si="10"/>
        <v>0</v>
      </c>
      <c r="G182" s="297">
        <f>SUM(G183:G186)</f>
        <v>0</v>
      </c>
      <c r="H182" s="299">
        <f t="shared" ref="H182" si="27">SUM(H183:H186)</f>
        <v>0</v>
      </c>
      <c r="I182" s="125">
        <f t="shared" si="11"/>
        <v>0</v>
      </c>
      <c r="J182" s="297">
        <f>SUM(J183:J186)</f>
        <v>0</v>
      </c>
      <c r="K182" s="299">
        <f t="shared" ref="K182" si="28">SUM(K183:K186)</f>
        <v>0</v>
      </c>
      <c r="L182" s="125">
        <f t="shared" si="12"/>
        <v>0</v>
      </c>
      <c r="M182" s="322">
        <f t="shared" ref="M182:N182" si="29">SUM(M183:M186)</f>
        <v>0</v>
      </c>
      <c r="N182" s="323">
        <f t="shared" si="29"/>
        <v>0</v>
      </c>
      <c r="O182" s="324">
        <f t="shared" si="13"/>
        <v>0</v>
      </c>
      <c r="P182" s="325"/>
    </row>
    <row r="183" spans="1:16" ht="72" hidden="1" x14ac:dyDescent="0.25">
      <c r="A183" s="76">
        <v>3291</v>
      </c>
      <c r="B183" s="127" t="s">
        <v>199</v>
      </c>
      <c r="C183" s="128">
        <f t="shared" si="26"/>
        <v>0</v>
      </c>
      <c r="D183" s="134"/>
      <c r="E183" s="285"/>
      <c r="F183" s="286">
        <f t="shared" ref="F183:F246" si="30">D183+E183</f>
        <v>0</v>
      </c>
      <c r="G183" s="134"/>
      <c r="H183" s="135"/>
      <c r="I183" s="136">
        <f t="shared" ref="I183:I246" si="31">G183+H183</f>
        <v>0</v>
      </c>
      <c r="J183" s="134"/>
      <c r="K183" s="135"/>
      <c r="L183" s="136">
        <f t="shared" ref="L183:L246" si="32">J183+K183</f>
        <v>0</v>
      </c>
      <c r="M183" s="284"/>
      <c r="N183" s="285"/>
      <c r="O183" s="136">
        <f t="shared" ref="O183:O246" si="33">M183+N183</f>
        <v>0</v>
      </c>
      <c r="P183" s="85"/>
    </row>
    <row r="184" spans="1:16" ht="72" hidden="1" x14ac:dyDescent="0.25">
      <c r="A184" s="76">
        <v>3292</v>
      </c>
      <c r="B184" s="127" t="s">
        <v>200</v>
      </c>
      <c r="C184" s="128">
        <f t="shared" si="26"/>
        <v>0</v>
      </c>
      <c r="D184" s="134"/>
      <c r="E184" s="285"/>
      <c r="F184" s="286">
        <f t="shared" si="30"/>
        <v>0</v>
      </c>
      <c r="G184" s="134"/>
      <c r="H184" s="135"/>
      <c r="I184" s="136">
        <f t="shared" si="31"/>
        <v>0</v>
      </c>
      <c r="J184" s="134"/>
      <c r="K184" s="135"/>
      <c r="L184" s="136">
        <f t="shared" si="32"/>
        <v>0</v>
      </c>
      <c r="M184" s="284"/>
      <c r="N184" s="285"/>
      <c r="O184" s="136">
        <f t="shared" si="33"/>
        <v>0</v>
      </c>
      <c r="P184" s="85"/>
    </row>
    <row r="185" spans="1:16" ht="72" hidden="1" x14ac:dyDescent="0.25">
      <c r="A185" s="76">
        <v>3293</v>
      </c>
      <c r="B185" s="127" t="s">
        <v>201</v>
      </c>
      <c r="C185" s="128">
        <f t="shared" si="26"/>
        <v>0</v>
      </c>
      <c r="D185" s="134"/>
      <c r="E185" s="285"/>
      <c r="F185" s="286">
        <f t="shared" si="30"/>
        <v>0</v>
      </c>
      <c r="G185" s="134"/>
      <c r="H185" s="135"/>
      <c r="I185" s="136">
        <f t="shared" si="31"/>
        <v>0</v>
      </c>
      <c r="J185" s="134"/>
      <c r="K185" s="135"/>
      <c r="L185" s="136">
        <f t="shared" si="32"/>
        <v>0</v>
      </c>
      <c r="M185" s="284"/>
      <c r="N185" s="285"/>
      <c r="O185" s="136">
        <f t="shared" si="33"/>
        <v>0</v>
      </c>
      <c r="P185" s="85"/>
    </row>
    <row r="186" spans="1:16" ht="60" hidden="1" x14ac:dyDescent="0.25">
      <c r="A186" s="326">
        <v>3294</v>
      </c>
      <c r="B186" s="127" t="s">
        <v>202</v>
      </c>
      <c r="C186" s="327">
        <f t="shared" si="26"/>
        <v>0</v>
      </c>
      <c r="D186" s="328"/>
      <c r="E186" s="329"/>
      <c r="F186" s="330">
        <f t="shared" si="30"/>
        <v>0</v>
      </c>
      <c r="G186" s="328"/>
      <c r="H186" s="331"/>
      <c r="I186" s="324">
        <f t="shared" si="31"/>
        <v>0</v>
      </c>
      <c r="J186" s="328"/>
      <c r="K186" s="331"/>
      <c r="L186" s="324">
        <f t="shared" si="32"/>
        <v>0</v>
      </c>
      <c r="M186" s="332"/>
      <c r="N186" s="329"/>
      <c r="O186" s="324">
        <f t="shared" si="33"/>
        <v>0</v>
      </c>
      <c r="P186" s="325"/>
    </row>
    <row r="187" spans="1:16" ht="48" hidden="1" x14ac:dyDescent="0.25">
      <c r="A187" s="160">
        <v>3300</v>
      </c>
      <c r="B187" s="321" t="s">
        <v>203</v>
      </c>
      <c r="C187" s="333">
        <f t="shared" si="26"/>
        <v>0</v>
      </c>
      <c r="D187" s="334">
        <f>SUM(D188:D189)</f>
        <v>0</v>
      </c>
      <c r="E187" s="251">
        <f>SUM(E188:E189)</f>
        <v>0</v>
      </c>
      <c r="F187" s="335">
        <f t="shared" si="30"/>
        <v>0</v>
      </c>
      <c r="G187" s="334">
        <f>SUM(G188:G189)</f>
        <v>0</v>
      </c>
      <c r="H187" s="336">
        <f t="shared" ref="H187" si="34">SUM(H188:H189)</f>
        <v>0</v>
      </c>
      <c r="I187" s="252">
        <f t="shared" si="31"/>
        <v>0</v>
      </c>
      <c r="J187" s="334">
        <f>SUM(J188:J189)</f>
        <v>0</v>
      </c>
      <c r="K187" s="336">
        <f t="shared" ref="K187" si="35">SUM(K188:K189)</f>
        <v>0</v>
      </c>
      <c r="L187" s="252">
        <f t="shared" si="32"/>
        <v>0</v>
      </c>
      <c r="M187" s="250">
        <f t="shared" ref="M187:N187" si="36">SUM(M188:M189)</f>
        <v>0</v>
      </c>
      <c r="N187" s="251">
        <f t="shared" si="36"/>
        <v>0</v>
      </c>
      <c r="O187" s="252">
        <f t="shared" si="33"/>
        <v>0</v>
      </c>
      <c r="P187" s="253"/>
    </row>
    <row r="188" spans="1:16" ht="48" hidden="1" x14ac:dyDescent="0.25">
      <c r="A188" s="178">
        <v>3310</v>
      </c>
      <c r="B188" s="179" t="s">
        <v>204</v>
      </c>
      <c r="C188" s="191">
        <f t="shared" si="26"/>
        <v>0</v>
      </c>
      <c r="D188" s="287"/>
      <c r="E188" s="291"/>
      <c r="F188" s="310">
        <f t="shared" si="30"/>
        <v>0</v>
      </c>
      <c r="G188" s="287"/>
      <c r="H188" s="289"/>
      <c r="I188" s="259">
        <f t="shared" si="31"/>
        <v>0</v>
      </c>
      <c r="J188" s="287"/>
      <c r="K188" s="289"/>
      <c r="L188" s="259">
        <f t="shared" si="32"/>
        <v>0</v>
      </c>
      <c r="M188" s="290"/>
      <c r="N188" s="291"/>
      <c r="O188" s="259">
        <f t="shared" si="33"/>
        <v>0</v>
      </c>
      <c r="P188" s="189"/>
    </row>
    <row r="189" spans="1:16" ht="60" hidden="1" x14ac:dyDescent="0.25">
      <c r="A189" s="66">
        <v>3320</v>
      </c>
      <c r="B189" s="116" t="s">
        <v>205</v>
      </c>
      <c r="C189" s="117">
        <f t="shared" si="26"/>
        <v>0</v>
      </c>
      <c r="D189" s="123"/>
      <c r="E189" s="262"/>
      <c r="F189" s="263">
        <f t="shared" si="30"/>
        <v>0</v>
      </c>
      <c r="G189" s="123"/>
      <c r="H189" s="124"/>
      <c r="I189" s="125">
        <f t="shared" si="31"/>
        <v>0</v>
      </c>
      <c r="J189" s="123"/>
      <c r="K189" s="124"/>
      <c r="L189" s="125">
        <f t="shared" si="32"/>
        <v>0</v>
      </c>
      <c r="M189" s="264"/>
      <c r="N189" s="262"/>
      <c r="O189" s="125">
        <f t="shared" si="33"/>
        <v>0</v>
      </c>
      <c r="P189" s="74"/>
    </row>
    <row r="190" spans="1:16" hidden="1" x14ac:dyDescent="0.25">
      <c r="A190" s="337">
        <v>4000</v>
      </c>
      <c r="B190" s="237" t="s">
        <v>206</v>
      </c>
      <c r="C190" s="238">
        <f t="shared" si="26"/>
        <v>0</v>
      </c>
      <c r="D190" s="239">
        <f>SUM(D191,D194)</f>
        <v>0</v>
      </c>
      <c r="E190" s="245">
        <f>SUM(E191,E194)</f>
        <v>0</v>
      </c>
      <c r="F190" s="320">
        <f t="shared" si="30"/>
        <v>0</v>
      </c>
      <c r="G190" s="239">
        <f>SUM(G191,G194)</f>
        <v>0</v>
      </c>
      <c r="H190" s="242">
        <f>SUM(H191,H194)</f>
        <v>0</v>
      </c>
      <c r="I190" s="243">
        <f t="shared" si="31"/>
        <v>0</v>
      </c>
      <c r="J190" s="239">
        <f>SUM(J191,J194)</f>
        <v>0</v>
      </c>
      <c r="K190" s="242">
        <f>SUM(K191,K194)</f>
        <v>0</v>
      </c>
      <c r="L190" s="243">
        <f t="shared" si="32"/>
        <v>0</v>
      </c>
      <c r="M190" s="244">
        <f>SUM(M191,M194)</f>
        <v>0</v>
      </c>
      <c r="N190" s="245">
        <f>SUM(N191,N194)</f>
        <v>0</v>
      </c>
      <c r="O190" s="243">
        <f t="shared" si="33"/>
        <v>0</v>
      </c>
      <c r="P190" s="246"/>
    </row>
    <row r="191" spans="1:16" ht="24" hidden="1" x14ac:dyDescent="0.25">
      <c r="A191" s="338">
        <v>4200</v>
      </c>
      <c r="B191" s="247" t="s">
        <v>207</v>
      </c>
      <c r="C191" s="100">
        <f t="shared" si="26"/>
        <v>0</v>
      </c>
      <c r="D191" s="112">
        <f>SUM(D192,D193)</f>
        <v>0</v>
      </c>
      <c r="E191" s="293">
        <f>SUM(E192,E193)</f>
        <v>0</v>
      </c>
      <c r="F191" s="313">
        <f t="shared" si="30"/>
        <v>0</v>
      </c>
      <c r="G191" s="112">
        <f>SUM(G192,G193)</f>
        <v>0</v>
      </c>
      <c r="H191" s="113">
        <f>SUM(H192,H193)</f>
        <v>0</v>
      </c>
      <c r="I191" s="114">
        <f t="shared" si="31"/>
        <v>0</v>
      </c>
      <c r="J191" s="112">
        <f>SUM(J192,J193)</f>
        <v>0</v>
      </c>
      <c r="K191" s="113">
        <f>SUM(K192,K193)</f>
        <v>0</v>
      </c>
      <c r="L191" s="114">
        <f t="shared" si="32"/>
        <v>0</v>
      </c>
      <c r="M191" s="292">
        <f>SUM(M192,M193)</f>
        <v>0</v>
      </c>
      <c r="N191" s="293">
        <f>SUM(N192,N193)</f>
        <v>0</v>
      </c>
      <c r="O191" s="114">
        <f t="shared" si="33"/>
        <v>0</v>
      </c>
      <c r="P191" s="109"/>
    </row>
    <row r="192" spans="1:16" ht="36" hidden="1" x14ac:dyDescent="0.25">
      <c r="A192" s="609">
        <v>4240</v>
      </c>
      <c r="B192" s="116" t="s">
        <v>208</v>
      </c>
      <c r="C192" s="117">
        <f t="shared" si="26"/>
        <v>0</v>
      </c>
      <c r="D192" s="123"/>
      <c r="E192" s="262"/>
      <c r="F192" s="263">
        <f t="shared" si="30"/>
        <v>0</v>
      </c>
      <c r="G192" s="123"/>
      <c r="H192" s="124"/>
      <c r="I192" s="125">
        <f t="shared" si="31"/>
        <v>0</v>
      </c>
      <c r="J192" s="123"/>
      <c r="K192" s="124"/>
      <c r="L192" s="125">
        <f t="shared" si="32"/>
        <v>0</v>
      </c>
      <c r="M192" s="264"/>
      <c r="N192" s="262"/>
      <c r="O192" s="125">
        <f t="shared" si="33"/>
        <v>0</v>
      </c>
      <c r="P192" s="74"/>
    </row>
    <row r="193" spans="1:16" ht="24" hidden="1" x14ac:dyDescent="0.25">
      <c r="A193" s="276">
        <v>4250</v>
      </c>
      <c r="B193" s="127" t="s">
        <v>209</v>
      </c>
      <c r="C193" s="128">
        <f t="shared" si="26"/>
        <v>0</v>
      </c>
      <c r="D193" s="134"/>
      <c r="E193" s="285"/>
      <c r="F193" s="286">
        <f t="shared" si="30"/>
        <v>0</v>
      </c>
      <c r="G193" s="134"/>
      <c r="H193" s="135"/>
      <c r="I193" s="136">
        <f t="shared" si="31"/>
        <v>0</v>
      </c>
      <c r="J193" s="134"/>
      <c r="K193" s="135"/>
      <c r="L193" s="136">
        <f t="shared" si="32"/>
        <v>0</v>
      </c>
      <c r="M193" s="284"/>
      <c r="N193" s="285"/>
      <c r="O193" s="136">
        <f t="shared" si="33"/>
        <v>0</v>
      </c>
      <c r="P193" s="85"/>
    </row>
    <row r="194" spans="1:16" hidden="1" x14ac:dyDescent="0.25">
      <c r="A194" s="99">
        <v>4300</v>
      </c>
      <c r="B194" s="247" t="s">
        <v>210</v>
      </c>
      <c r="C194" s="100">
        <f t="shared" si="26"/>
        <v>0</v>
      </c>
      <c r="D194" s="112">
        <f>SUM(D195)</f>
        <v>0</v>
      </c>
      <c r="E194" s="293">
        <f>SUM(E195)</f>
        <v>0</v>
      </c>
      <c r="F194" s="313">
        <f t="shared" si="30"/>
        <v>0</v>
      </c>
      <c r="G194" s="112">
        <f>SUM(G195)</f>
        <v>0</v>
      </c>
      <c r="H194" s="113">
        <f>SUM(H195)</f>
        <v>0</v>
      </c>
      <c r="I194" s="114">
        <f t="shared" si="31"/>
        <v>0</v>
      </c>
      <c r="J194" s="112">
        <f>SUM(J195)</f>
        <v>0</v>
      </c>
      <c r="K194" s="113">
        <f>SUM(K195)</f>
        <v>0</v>
      </c>
      <c r="L194" s="114">
        <f t="shared" si="32"/>
        <v>0</v>
      </c>
      <c r="M194" s="292">
        <f>SUM(M195)</f>
        <v>0</v>
      </c>
      <c r="N194" s="293">
        <f>SUM(N195)</f>
        <v>0</v>
      </c>
      <c r="O194" s="114">
        <f t="shared" si="33"/>
        <v>0</v>
      </c>
      <c r="P194" s="109"/>
    </row>
    <row r="195" spans="1:16" ht="24" hidden="1" x14ac:dyDescent="0.25">
      <c r="A195" s="609">
        <v>4310</v>
      </c>
      <c r="B195" s="116" t="s">
        <v>211</v>
      </c>
      <c r="C195" s="117">
        <f t="shared" si="26"/>
        <v>0</v>
      </c>
      <c r="D195" s="297">
        <f>SUM(D196:D196)</f>
        <v>0</v>
      </c>
      <c r="E195" s="301">
        <f>SUM(E196:E196)</f>
        <v>0</v>
      </c>
      <c r="F195" s="263">
        <f t="shared" si="30"/>
        <v>0</v>
      </c>
      <c r="G195" s="297">
        <f>SUM(G196:G196)</f>
        <v>0</v>
      </c>
      <c r="H195" s="299">
        <f>SUM(H196:H196)</f>
        <v>0</v>
      </c>
      <c r="I195" s="125">
        <f t="shared" si="31"/>
        <v>0</v>
      </c>
      <c r="J195" s="297">
        <f>SUM(J196:J196)</f>
        <v>0</v>
      </c>
      <c r="K195" s="299">
        <f>SUM(K196:K196)</f>
        <v>0</v>
      </c>
      <c r="L195" s="125">
        <f t="shared" si="32"/>
        <v>0</v>
      </c>
      <c r="M195" s="300">
        <f>SUM(M196:M196)</f>
        <v>0</v>
      </c>
      <c r="N195" s="301">
        <f>SUM(N196:N196)</f>
        <v>0</v>
      </c>
      <c r="O195" s="125">
        <f t="shared" si="33"/>
        <v>0</v>
      </c>
      <c r="P195" s="74"/>
    </row>
    <row r="196" spans="1:16" ht="36" hidden="1" x14ac:dyDescent="0.25">
      <c r="A196" s="76">
        <v>4311</v>
      </c>
      <c r="B196" s="127" t="s">
        <v>212</v>
      </c>
      <c r="C196" s="128">
        <f t="shared" si="26"/>
        <v>0</v>
      </c>
      <c r="D196" s="134"/>
      <c r="E196" s="285"/>
      <c r="F196" s="286">
        <f t="shared" si="30"/>
        <v>0</v>
      </c>
      <c r="G196" s="134"/>
      <c r="H196" s="135"/>
      <c r="I196" s="136">
        <f t="shared" si="31"/>
        <v>0</v>
      </c>
      <c r="J196" s="134"/>
      <c r="K196" s="135"/>
      <c r="L196" s="136">
        <f t="shared" si="32"/>
        <v>0</v>
      </c>
      <c r="M196" s="284"/>
      <c r="N196" s="285"/>
      <c r="O196" s="136">
        <f t="shared" si="33"/>
        <v>0</v>
      </c>
      <c r="P196" s="85"/>
    </row>
    <row r="197" spans="1:16" s="41" customFormat="1" ht="24" x14ac:dyDescent="0.25">
      <c r="A197" s="339"/>
      <c r="B197" s="31" t="s">
        <v>213</v>
      </c>
      <c r="C197" s="229">
        <f t="shared" si="26"/>
        <v>1212160</v>
      </c>
      <c r="D197" s="230">
        <f>SUM(D198,D233,D271)</f>
        <v>3210000</v>
      </c>
      <c r="E197" s="619">
        <f>SUM(E198,E233,E271)</f>
        <v>-1997840</v>
      </c>
      <c r="F197" s="232">
        <f t="shared" si="30"/>
        <v>1212160</v>
      </c>
      <c r="G197" s="230">
        <f>SUM(G198,G233,G271)</f>
        <v>0</v>
      </c>
      <c r="H197" s="233">
        <f>SUM(H198,H233,H271)</f>
        <v>0</v>
      </c>
      <c r="I197" s="234">
        <f t="shared" si="31"/>
        <v>0</v>
      </c>
      <c r="J197" s="230">
        <f>SUM(J198,J233,J271)</f>
        <v>0</v>
      </c>
      <c r="K197" s="233">
        <f>SUM(K198,K233,K271)</f>
        <v>0</v>
      </c>
      <c r="L197" s="234">
        <f t="shared" si="32"/>
        <v>0</v>
      </c>
      <c r="M197" s="340">
        <f>SUM(M198,M233,M271)</f>
        <v>0</v>
      </c>
      <c r="N197" s="341">
        <f>SUM(N198,N233,N271)</f>
        <v>0</v>
      </c>
      <c r="O197" s="342">
        <f t="shared" si="33"/>
        <v>0</v>
      </c>
      <c r="P197" s="343"/>
    </row>
    <row r="198" spans="1:16" x14ac:dyDescent="0.25">
      <c r="A198" s="237">
        <v>5000</v>
      </c>
      <c r="B198" s="237" t="s">
        <v>214</v>
      </c>
      <c r="C198" s="238">
        <f>F198+I198+L198+O198</f>
        <v>1212160</v>
      </c>
      <c r="D198" s="239">
        <f>D199+D207</f>
        <v>3210000</v>
      </c>
      <c r="E198" s="620">
        <f>E199+E207</f>
        <v>-1997840</v>
      </c>
      <c r="F198" s="241">
        <f t="shared" si="30"/>
        <v>1212160</v>
      </c>
      <c r="G198" s="239">
        <f>G199+G207</f>
        <v>0</v>
      </c>
      <c r="H198" s="242">
        <f>H199+H207</f>
        <v>0</v>
      </c>
      <c r="I198" s="243">
        <f t="shared" si="31"/>
        <v>0</v>
      </c>
      <c r="J198" s="239">
        <f>J199+J207</f>
        <v>0</v>
      </c>
      <c r="K198" s="242">
        <f>K199+K207</f>
        <v>0</v>
      </c>
      <c r="L198" s="243">
        <f t="shared" si="32"/>
        <v>0</v>
      </c>
      <c r="M198" s="244">
        <f>M199+M207</f>
        <v>0</v>
      </c>
      <c r="N198" s="245">
        <f>N199+N207</f>
        <v>0</v>
      </c>
      <c r="O198" s="243">
        <f t="shared" si="33"/>
        <v>0</v>
      </c>
      <c r="P198" s="246"/>
    </row>
    <row r="199" spans="1:16" hidden="1" x14ac:dyDescent="0.25">
      <c r="A199" s="99">
        <v>5100</v>
      </c>
      <c r="B199" s="247" t="s">
        <v>215</v>
      </c>
      <c r="C199" s="100">
        <f t="shared" si="26"/>
        <v>0</v>
      </c>
      <c r="D199" s="112">
        <f>D200+D201+D204+D205+D206</f>
        <v>0</v>
      </c>
      <c r="E199" s="293">
        <f>E200+E201+E204+E205+E206</f>
        <v>0</v>
      </c>
      <c r="F199" s="313">
        <f t="shared" si="30"/>
        <v>0</v>
      </c>
      <c r="G199" s="112">
        <f>G200+G201+G204+G205+G206</f>
        <v>0</v>
      </c>
      <c r="H199" s="113">
        <f>H200+H201+H204+H205+H206</f>
        <v>0</v>
      </c>
      <c r="I199" s="114">
        <f t="shared" si="31"/>
        <v>0</v>
      </c>
      <c r="J199" s="112">
        <f>J200+J201+J204+J205+J206</f>
        <v>0</v>
      </c>
      <c r="K199" s="113">
        <f>K200+K201+K204+K205+K206</f>
        <v>0</v>
      </c>
      <c r="L199" s="114">
        <f t="shared" si="32"/>
        <v>0</v>
      </c>
      <c r="M199" s="292">
        <f>M200+M201+M204+M205+M206</f>
        <v>0</v>
      </c>
      <c r="N199" s="293">
        <f>N200+N201+N204+N205+N206</f>
        <v>0</v>
      </c>
      <c r="O199" s="114">
        <f t="shared" si="33"/>
        <v>0</v>
      </c>
      <c r="P199" s="109"/>
    </row>
    <row r="200" spans="1:16" hidden="1" x14ac:dyDescent="0.25">
      <c r="A200" s="609">
        <v>5110</v>
      </c>
      <c r="B200" s="116" t="s">
        <v>216</v>
      </c>
      <c r="C200" s="117">
        <f t="shared" si="26"/>
        <v>0</v>
      </c>
      <c r="D200" s="123"/>
      <c r="E200" s="262"/>
      <c r="F200" s="263">
        <f t="shared" si="30"/>
        <v>0</v>
      </c>
      <c r="G200" s="123"/>
      <c r="H200" s="124"/>
      <c r="I200" s="125">
        <f t="shared" si="31"/>
        <v>0</v>
      </c>
      <c r="J200" s="123"/>
      <c r="K200" s="124"/>
      <c r="L200" s="125">
        <f t="shared" si="32"/>
        <v>0</v>
      </c>
      <c r="M200" s="264"/>
      <c r="N200" s="262"/>
      <c r="O200" s="125">
        <f t="shared" si="33"/>
        <v>0</v>
      </c>
      <c r="P200" s="74"/>
    </row>
    <row r="201" spans="1:16" ht="24" hidden="1" x14ac:dyDescent="0.25">
      <c r="A201" s="276">
        <v>5120</v>
      </c>
      <c r="B201" s="127" t="s">
        <v>217</v>
      </c>
      <c r="C201" s="128">
        <f t="shared" si="26"/>
        <v>0</v>
      </c>
      <c r="D201" s="277">
        <f>D202+D203</f>
        <v>0</v>
      </c>
      <c r="E201" s="282">
        <f>E202+E203</f>
        <v>0</v>
      </c>
      <c r="F201" s="286">
        <f t="shared" si="30"/>
        <v>0</v>
      </c>
      <c r="G201" s="277">
        <f>G202+G203</f>
        <v>0</v>
      </c>
      <c r="H201" s="280">
        <f>H202+H203</f>
        <v>0</v>
      </c>
      <c r="I201" s="136">
        <f t="shared" si="31"/>
        <v>0</v>
      </c>
      <c r="J201" s="277">
        <f>J202+J203</f>
        <v>0</v>
      </c>
      <c r="K201" s="280">
        <f>K202+K203</f>
        <v>0</v>
      </c>
      <c r="L201" s="136">
        <f t="shared" si="32"/>
        <v>0</v>
      </c>
      <c r="M201" s="281">
        <f>M202+M203</f>
        <v>0</v>
      </c>
      <c r="N201" s="282">
        <f>N202+N203</f>
        <v>0</v>
      </c>
      <c r="O201" s="136">
        <f t="shared" si="33"/>
        <v>0</v>
      </c>
      <c r="P201" s="85"/>
    </row>
    <row r="202" spans="1:16" hidden="1" x14ac:dyDescent="0.25">
      <c r="A202" s="76">
        <v>5121</v>
      </c>
      <c r="B202" s="127" t="s">
        <v>218</v>
      </c>
      <c r="C202" s="128">
        <f t="shared" si="26"/>
        <v>0</v>
      </c>
      <c r="D202" s="134"/>
      <c r="E202" s="285"/>
      <c r="F202" s="286">
        <f t="shared" si="30"/>
        <v>0</v>
      </c>
      <c r="G202" s="134"/>
      <c r="H202" s="135"/>
      <c r="I202" s="136">
        <f t="shared" si="31"/>
        <v>0</v>
      </c>
      <c r="J202" s="134"/>
      <c r="K202" s="135"/>
      <c r="L202" s="136">
        <f t="shared" si="32"/>
        <v>0</v>
      </c>
      <c r="M202" s="284"/>
      <c r="N202" s="285"/>
      <c r="O202" s="136">
        <f t="shared" si="33"/>
        <v>0</v>
      </c>
      <c r="P202" s="85"/>
    </row>
    <row r="203" spans="1:16" ht="24" hidden="1" x14ac:dyDescent="0.25">
      <c r="A203" s="76">
        <v>5129</v>
      </c>
      <c r="B203" s="127" t="s">
        <v>219</v>
      </c>
      <c r="C203" s="128">
        <f t="shared" si="26"/>
        <v>0</v>
      </c>
      <c r="D203" s="134"/>
      <c r="E203" s="285"/>
      <c r="F203" s="286">
        <f t="shared" si="30"/>
        <v>0</v>
      </c>
      <c r="G203" s="134"/>
      <c r="H203" s="135"/>
      <c r="I203" s="136">
        <f t="shared" si="31"/>
        <v>0</v>
      </c>
      <c r="J203" s="134"/>
      <c r="K203" s="135"/>
      <c r="L203" s="136">
        <f t="shared" si="32"/>
        <v>0</v>
      </c>
      <c r="M203" s="284"/>
      <c r="N203" s="285"/>
      <c r="O203" s="136">
        <f t="shared" si="33"/>
        <v>0</v>
      </c>
      <c r="P203" s="85"/>
    </row>
    <row r="204" spans="1:16" hidden="1" x14ac:dyDescent="0.25">
      <c r="A204" s="276">
        <v>5130</v>
      </c>
      <c r="B204" s="127" t="s">
        <v>220</v>
      </c>
      <c r="C204" s="128">
        <f t="shared" si="26"/>
        <v>0</v>
      </c>
      <c r="D204" s="134"/>
      <c r="E204" s="285"/>
      <c r="F204" s="286">
        <f t="shared" si="30"/>
        <v>0</v>
      </c>
      <c r="G204" s="134"/>
      <c r="H204" s="135"/>
      <c r="I204" s="136">
        <f t="shared" si="31"/>
        <v>0</v>
      </c>
      <c r="J204" s="134"/>
      <c r="K204" s="135"/>
      <c r="L204" s="136">
        <f t="shared" si="32"/>
        <v>0</v>
      </c>
      <c r="M204" s="284"/>
      <c r="N204" s="285"/>
      <c r="O204" s="136">
        <f t="shared" si="33"/>
        <v>0</v>
      </c>
      <c r="P204" s="85"/>
    </row>
    <row r="205" spans="1:16" hidden="1" x14ac:dyDescent="0.25">
      <c r="A205" s="276">
        <v>5140</v>
      </c>
      <c r="B205" s="127" t="s">
        <v>221</v>
      </c>
      <c r="C205" s="128">
        <f t="shared" si="26"/>
        <v>0</v>
      </c>
      <c r="D205" s="134"/>
      <c r="E205" s="285"/>
      <c r="F205" s="286">
        <f t="shared" si="30"/>
        <v>0</v>
      </c>
      <c r="G205" s="134"/>
      <c r="H205" s="135"/>
      <c r="I205" s="136">
        <f t="shared" si="31"/>
        <v>0</v>
      </c>
      <c r="J205" s="134"/>
      <c r="K205" s="135"/>
      <c r="L205" s="136">
        <f t="shared" si="32"/>
        <v>0</v>
      </c>
      <c r="M205" s="284"/>
      <c r="N205" s="285"/>
      <c r="O205" s="136">
        <f t="shared" si="33"/>
        <v>0</v>
      </c>
      <c r="P205" s="85"/>
    </row>
    <row r="206" spans="1:16" ht="24" hidden="1" x14ac:dyDescent="0.25">
      <c r="A206" s="276">
        <v>5170</v>
      </c>
      <c r="B206" s="127" t="s">
        <v>222</v>
      </c>
      <c r="C206" s="128">
        <f t="shared" si="26"/>
        <v>0</v>
      </c>
      <c r="D206" s="134"/>
      <c r="E206" s="285"/>
      <c r="F206" s="286">
        <f t="shared" si="30"/>
        <v>0</v>
      </c>
      <c r="G206" s="134"/>
      <c r="H206" s="135"/>
      <c r="I206" s="136">
        <f t="shared" si="31"/>
        <v>0</v>
      </c>
      <c r="J206" s="134"/>
      <c r="K206" s="135"/>
      <c r="L206" s="136">
        <f t="shared" si="32"/>
        <v>0</v>
      </c>
      <c r="M206" s="284"/>
      <c r="N206" s="285"/>
      <c r="O206" s="136">
        <f t="shared" si="33"/>
        <v>0</v>
      </c>
      <c r="P206" s="85"/>
    </row>
    <row r="207" spans="1:16" x14ac:dyDescent="0.25">
      <c r="A207" s="99">
        <v>5200</v>
      </c>
      <c r="B207" s="247" t="s">
        <v>223</v>
      </c>
      <c r="C207" s="100">
        <f t="shared" si="26"/>
        <v>1212160</v>
      </c>
      <c r="D207" s="112">
        <f>D208+D218+D219+D228+D229+D230+D232</f>
        <v>3210000</v>
      </c>
      <c r="E207" s="621">
        <f>E208+E218+E219+E228+E229+E230+E232</f>
        <v>-1997840</v>
      </c>
      <c r="F207" s="249">
        <f t="shared" si="30"/>
        <v>1212160</v>
      </c>
      <c r="G207" s="112">
        <f>G208+G218+G219+G228+G229+G230+G232</f>
        <v>0</v>
      </c>
      <c r="H207" s="113">
        <f>H208+H218+H219+H228+H229+H230+H232</f>
        <v>0</v>
      </c>
      <c r="I207" s="114">
        <f t="shared" si="31"/>
        <v>0</v>
      </c>
      <c r="J207" s="112">
        <f>J208+J218+J219+J228+J229+J230+J232</f>
        <v>0</v>
      </c>
      <c r="K207" s="113">
        <f>K208+K218+K219+K228+K229+K230+K232</f>
        <v>0</v>
      </c>
      <c r="L207" s="114">
        <f t="shared" si="32"/>
        <v>0</v>
      </c>
      <c r="M207" s="292">
        <f>M208+M218+M219+M228+M229+M230+M232</f>
        <v>0</v>
      </c>
      <c r="N207" s="293">
        <f>N208+N218+N219+N228+N229+N230+N232</f>
        <v>0</v>
      </c>
      <c r="O207" s="114">
        <f t="shared" si="33"/>
        <v>0</v>
      </c>
      <c r="P207" s="109"/>
    </row>
    <row r="208" spans="1:16" hidden="1" x14ac:dyDescent="0.25">
      <c r="A208" s="254">
        <v>5210</v>
      </c>
      <c r="B208" s="179" t="s">
        <v>224</v>
      </c>
      <c r="C208" s="191">
        <f t="shared" si="26"/>
        <v>0</v>
      </c>
      <c r="D208" s="255">
        <f>SUM(D209:D217)</f>
        <v>0</v>
      </c>
      <c r="E208" s="261">
        <f>SUM(E209:E217)</f>
        <v>0</v>
      </c>
      <c r="F208" s="310">
        <f t="shared" si="30"/>
        <v>0</v>
      </c>
      <c r="G208" s="255">
        <f>SUM(G209:G217)</f>
        <v>0</v>
      </c>
      <c r="H208" s="258">
        <f>SUM(H209:H217)</f>
        <v>0</v>
      </c>
      <c r="I208" s="259">
        <f t="shared" si="31"/>
        <v>0</v>
      </c>
      <c r="J208" s="255">
        <f>SUM(J209:J217)</f>
        <v>0</v>
      </c>
      <c r="K208" s="258">
        <f>SUM(K209:K217)</f>
        <v>0</v>
      </c>
      <c r="L208" s="259">
        <f t="shared" si="32"/>
        <v>0</v>
      </c>
      <c r="M208" s="260">
        <f>SUM(M209:M217)</f>
        <v>0</v>
      </c>
      <c r="N208" s="261">
        <f>SUM(N209:N217)</f>
        <v>0</v>
      </c>
      <c r="O208" s="259">
        <f t="shared" si="33"/>
        <v>0</v>
      </c>
      <c r="P208" s="189"/>
    </row>
    <row r="209" spans="1:16" hidden="1" x14ac:dyDescent="0.25">
      <c r="A209" s="66">
        <v>5211</v>
      </c>
      <c r="B209" s="116" t="s">
        <v>225</v>
      </c>
      <c r="C209" s="279">
        <f t="shared" si="26"/>
        <v>0</v>
      </c>
      <c r="D209" s="123"/>
      <c r="E209" s="262"/>
      <c r="F209" s="263">
        <f t="shared" si="30"/>
        <v>0</v>
      </c>
      <c r="G209" s="123"/>
      <c r="H209" s="124"/>
      <c r="I209" s="125">
        <f t="shared" si="31"/>
        <v>0</v>
      </c>
      <c r="J209" s="123"/>
      <c r="K209" s="124"/>
      <c r="L209" s="125">
        <f t="shared" si="32"/>
        <v>0</v>
      </c>
      <c r="M209" s="264"/>
      <c r="N209" s="262"/>
      <c r="O209" s="125">
        <f t="shared" si="33"/>
        <v>0</v>
      </c>
      <c r="P209" s="74"/>
    </row>
    <row r="210" spans="1:16" hidden="1" x14ac:dyDescent="0.25">
      <c r="A210" s="76">
        <v>5212</v>
      </c>
      <c r="B210" s="127" t="s">
        <v>226</v>
      </c>
      <c r="C210" s="279">
        <f t="shared" si="26"/>
        <v>0</v>
      </c>
      <c r="D210" s="134"/>
      <c r="E210" s="285"/>
      <c r="F210" s="286">
        <f t="shared" si="30"/>
        <v>0</v>
      </c>
      <c r="G210" s="134"/>
      <c r="H210" s="135"/>
      <c r="I210" s="136">
        <f t="shared" si="31"/>
        <v>0</v>
      </c>
      <c r="J210" s="134"/>
      <c r="K210" s="135"/>
      <c r="L210" s="136">
        <f t="shared" si="32"/>
        <v>0</v>
      </c>
      <c r="M210" s="284"/>
      <c r="N210" s="285"/>
      <c r="O210" s="136">
        <f t="shared" si="33"/>
        <v>0</v>
      </c>
      <c r="P210" s="85"/>
    </row>
    <row r="211" spans="1:16" hidden="1" x14ac:dyDescent="0.25">
      <c r="A211" s="76">
        <v>5213</v>
      </c>
      <c r="B211" s="127" t="s">
        <v>227</v>
      </c>
      <c r="C211" s="279">
        <f t="shared" si="26"/>
        <v>0</v>
      </c>
      <c r="D211" s="134"/>
      <c r="E211" s="285"/>
      <c r="F211" s="286">
        <f t="shared" si="30"/>
        <v>0</v>
      </c>
      <c r="G211" s="134"/>
      <c r="H211" s="135"/>
      <c r="I211" s="136">
        <f t="shared" si="31"/>
        <v>0</v>
      </c>
      <c r="J211" s="134"/>
      <c r="K211" s="135"/>
      <c r="L211" s="136">
        <f t="shared" si="32"/>
        <v>0</v>
      </c>
      <c r="M211" s="284"/>
      <c r="N211" s="285"/>
      <c r="O211" s="136">
        <f t="shared" si="33"/>
        <v>0</v>
      </c>
      <c r="P211" s="85"/>
    </row>
    <row r="212" spans="1:16" hidden="1" x14ac:dyDescent="0.25">
      <c r="A212" s="76">
        <v>5214</v>
      </c>
      <c r="B212" s="127" t="s">
        <v>228</v>
      </c>
      <c r="C212" s="279">
        <f t="shared" si="26"/>
        <v>0</v>
      </c>
      <c r="D212" s="134"/>
      <c r="E212" s="285"/>
      <c r="F212" s="286">
        <f t="shared" si="30"/>
        <v>0</v>
      </c>
      <c r="G212" s="134"/>
      <c r="H212" s="135"/>
      <c r="I212" s="136">
        <f t="shared" si="31"/>
        <v>0</v>
      </c>
      <c r="J212" s="134"/>
      <c r="K212" s="135"/>
      <c r="L212" s="136">
        <f t="shared" si="32"/>
        <v>0</v>
      </c>
      <c r="M212" s="284"/>
      <c r="N212" s="285"/>
      <c r="O212" s="136">
        <f t="shared" si="33"/>
        <v>0</v>
      </c>
      <c r="P212" s="85"/>
    </row>
    <row r="213" spans="1:16" hidden="1" x14ac:dyDescent="0.25">
      <c r="A213" s="76">
        <v>5215</v>
      </c>
      <c r="B213" s="127" t="s">
        <v>229</v>
      </c>
      <c r="C213" s="279">
        <f t="shared" si="26"/>
        <v>0</v>
      </c>
      <c r="D213" s="134"/>
      <c r="E213" s="285"/>
      <c r="F213" s="286">
        <f t="shared" si="30"/>
        <v>0</v>
      </c>
      <c r="G213" s="134"/>
      <c r="H213" s="135"/>
      <c r="I213" s="136">
        <f t="shared" si="31"/>
        <v>0</v>
      </c>
      <c r="J213" s="134"/>
      <c r="K213" s="135"/>
      <c r="L213" s="136">
        <f t="shared" si="32"/>
        <v>0</v>
      </c>
      <c r="M213" s="284"/>
      <c r="N213" s="285"/>
      <c r="O213" s="136">
        <f t="shared" si="33"/>
        <v>0</v>
      </c>
      <c r="P213" s="85"/>
    </row>
    <row r="214" spans="1:16" ht="24" hidden="1" x14ac:dyDescent="0.25">
      <c r="A214" s="76">
        <v>5216</v>
      </c>
      <c r="B214" s="127" t="s">
        <v>230</v>
      </c>
      <c r="C214" s="279">
        <f t="shared" si="26"/>
        <v>0</v>
      </c>
      <c r="D214" s="134"/>
      <c r="E214" s="285"/>
      <c r="F214" s="286">
        <f t="shared" si="30"/>
        <v>0</v>
      </c>
      <c r="G214" s="134"/>
      <c r="H214" s="135"/>
      <c r="I214" s="136">
        <f t="shared" si="31"/>
        <v>0</v>
      </c>
      <c r="J214" s="134"/>
      <c r="K214" s="135"/>
      <c r="L214" s="136">
        <f t="shared" si="32"/>
        <v>0</v>
      </c>
      <c r="M214" s="284"/>
      <c r="N214" s="285"/>
      <c r="O214" s="136">
        <f t="shared" si="33"/>
        <v>0</v>
      </c>
      <c r="P214" s="85"/>
    </row>
    <row r="215" spans="1:16" hidden="1" x14ac:dyDescent="0.25">
      <c r="A215" s="76">
        <v>5217</v>
      </c>
      <c r="B215" s="127" t="s">
        <v>231</v>
      </c>
      <c r="C215" s="279">
        <f t="shared" si="26"/>
        <v>0</v>
      </c>
      <c r="D215" s="134"/>
      <c r="E215" s="285"/>
      <c r="F215" s="286">
        <f t="shared" si="30"/>
        <v>0</v>
      </c>
      <c r="G215" s="134"/>
      <c r="H215" s="135"/>
      <c r="I215" s="136">
        <f t="shared" si="31"/>
        <v>0</v>
      </c>
      <c r="J215" s="134"/>
      <c r="K215" s="135"/>
      <c r="L215" s="136">
        <f t="shared" si="32"/>
        <v>0</v>
      </c>
      <c r="M215" s="284"/>
      <c r="N215" s="285"/>
      <c r="O215" s="136">
        <f t="shared" si="33"/>
        <v>0</v>
      </c>
      <c r="P215" s="85"/>
    </row>
    <row r="216" spans="1:16" hidden="1" x14ac:dyDescent="0.25">
      <c r="A216" s="76">
        <v>5218</v>
      </c>
      <c r="B216" s="127" t="s">
        <v>232</v>
      </c>
      <c r="C216" s="279">
        <f t="shared" si="26"/>
        <v>0</v>
      </c>
      <c r="D216" s="134"/>
      <c r="E216" s="285"/>
      <c r="F216" s="286">
        <f t="shared" si="30"/>
        <v>0</v>
      </c>
      <c r="G216" s="134"/>
      <c r="H216" s="135"/>
      <c r="I216" s="136">
        <f t="shared" si="31"/>
        <v>0</v>
      </c>
      <c r="J216" s="134"/>
      <c r="K216" s="135"/>
      <c r="L216" s="136">
        <f t="shared" si="32"/>
        <v>0</v>
      </c>
      <c r="M216" s="284"/>
      <c r="N216" s="285"/>
      <c r="O216" s="136">
        <f t="shared" si="33"/>
        <v>0</v>
      </c>
      <c r="P216" s="85"/>
    </row>
    <row r="217" spans="1:16" hidden="1" x14ac:dyDescent="0.25">
      <c r="A217" s="76">
        <v>5219</v>
      </c>
      <c r="B217" s="127" t="s">
        <v>233</v>
      </c>
      <c r="C217" s="279">
        <f t="shared" si="26"/>
        <v>0</v>
      </c>
      <c r="D217" s="134"/>
      <c r="E217" s="285"/>
      <c r="F217" s="286">
        <f t="shared" si="30"/>
        <v>0</v>
      </c>
      <c r="G217" s="134"/>
      <c r="H217" s="135"/>
      <c r="I217" s="136">
        <f t="shared" si="31"/>
        <v>0</v>
      </c>
      <c r="J217" s="134"/>
      <c r="K217" s="135"/>
      <c r="L217" s="136">
        <f t="shared" si="32"/>
        <v>0</v>
      </c>
      <c r="M217" s="284"/>
      <c r="N217" s="285"/>
      <c r="O217" s="136">
        <f t="shared" si="33"/>
        <v>0</v>
      </c>
      <c r="P217" s="85"/>
    </row>
    <row r="218" spans="1:16" hidden="1" x14ac:dyDescent="0.25">
      <c r="A218" s="276">
        <v>5220</v>
      </c>
      <c r="B218" s="127" t="s">
        <v>234</v>
      </c>
      <c r="C218" s="279">
        <f t="shared" si="26"/>
        <v>0</v>
      </c>
      <c r="D218" s="134"/>
      <c r="E218" s="285"/>
      <c r="F218" s="286">
        <f t="shared" si="30"/>
        <v>0</v>
      </c>
      <c r="G218" s="134"/>
      <c r="H218" s="135"/>
      <c r="I218" s="136">
        <f t="shared" si="31"/>
        <v>0</v>
      </c>
      <c r="J218" s="134"/>
      <c r="K218" s="135"/>
      <c r="L218" s="136">
        <f t="shared" si="32"/>
        <v>0</v>
      </c>
      <c r="M218" s="284"/>
      <c r="N218" s="285"/>
      <c r="O218" s="136">
        <f t="shared" si="33"/>
        <v>0</v>
      </c>
      <c r="P218" s="85"/>
    </row>
    <row r="219" spans="1:16" hidden="1" x14ac:dyDescent="0.25">
      <c r="A219" s="276">
        <v>5230</v>
      </c>
      <c r="B219" s="127" t="s">
        <v>235</v>
      </c>
      <c r="C219" s="279">
        <f t="shared" si="26"/>
        <v>0</v>
      </c>
      <c r="D219" s="277">
        <f>SUM(D220:D227)</f>
        <v>0</v>
      </c>
      <c r="E219" s="282">
        <f>SUM(E220:E227)</f>
        <v>0</v>
      </c>
      <c r="F219" s="286">
        <f t="shared" si="30"/>
        <v>0</v>
      </c>
      <c r="G219" s="277">
        <f>SUM(G220:G227)</f>
        <v>0</v>
      </c>
      <c r="H219" s="280">
        <f>SUM(H220:H227)</f>
        <v>0</v>
      </c>
      <c r="I219" s="136">
        <f t="shared" si="31"/>
        <v>0</v>
      </c>
      <c r="J219" s="277">
        <f>SUM(J220:J227)</f>
        <v>0</v>
      </c>
      <c r="K219" s="280">
        <f>SUM(K220:K227)</f>
        <v>0</v>
      </c>
      <c r="L219" s="136">
        <f t="shared" si="32"/>
        <v>0</v>
      </c>
      <c r="M219" s="281">
        <f>SUM(M220:M227)</f>
        <v>0</v>
      </c>
      <c r="N219" s="282">
        <f>SUM(N220:N227)</f>
        <v>0</v>
      </c>
      <c r="O219" s="136">
        <f t="shared" si="33"/>
        <v>0</v>
      </c>
      <c r="P219" s="85"/>
    </row>
    <row r="220" spans="1:16" hidden="1" x14ac:dyDescent="0.25">
      <c r="A220" s="76">
        <v>5231</v>
      </c>
      <c r="B220" s="127" t="s">
        <v>236</v>
      </c>
      <c r="C220" s="279">
        <f t="shared" si="26"/>
        <v>0</v>
      </c>
      <c r="D220" s="134"/>
      <c r="E220" s="285"/>
      <c r="F220" s="286">
        <f t="shared" si="30"/>
        <v>0</v>
      </c>
      <c r="G220" s="134"/>
      <c r="H220" s="135"/>
      <c r="I220" s="136">
        <f t="shared" si="31"/>
        <v>0</v>
      </c>
      <c r="J220" s="134"/>
      <c r="K220" s="135"/>
      <c r="L220" s="136">
        <f t="shared" si="32"/>
        <v>0</v>
      </c>
      <c r="M220" s="284"/>
      <c r="N220" s="285"/>
      <c r="O220" s="136">
        <f t="shared" si="33"/>
        <v>0</v>
      </c>
      <c r="P220" s="85"/>
    </row>
    <row r="221" spans="1:16" hidden="1" x14ac:dyDescent="0.25">
      <c r="A221" s="76">
        <v>5232</v>
      </c>
      <c r="B221" s="127" t="s">
        <v>237</v>
      </c>
      <c r="C221" s="279">
        <f t="shared" si="26"/>
        <v>0</v>
      </c>
      <c r="D221" s="134"/>
      <c r="E221" s="285"/>
      <c r="F221" s="286">
        <f t="shared" si="30"/>
        <v>0</v>
      </c>
      <c r="G221" s="134"/>
      <c r="H221" s="135"/>
      <c r="I221" s="136">
        <f t="shared" si="31"/>
        <v>0</v>
      </c>
      <c r="J221" s="134"/>
      <c r="K221" s="135"/>
      <c r="L221" s="136">
        <f t="shared" si="32"/>
        <v>0</v>
      </c>
      <c r="M221" s="284"/>
      <c r="N221" s="285"/>
      <c r="O221" s="136">
        <f t="shared" si="33"/>
        <v>0</v>
      </c>
      <c r="P221" s="85"/>
    </row>
    <row r="222" spans="1:16" hidden="1" x14ac:dyDescent="0.25">
      <c r="A222" s="76">
        <v>5233</v>
      </c>
      <c r="B222" s="127" t="s">
        <v>238</v>
      </c>
      <c r="C222" s="279">
        <f t="shared" si="26"/>
        <v>0</v>
      </c>
      <c r="D222" s="134"/>
      <c r="E222" s="285"/>
      <c r="F222" s="286">
        <f t="shared" si="30"/>
        <v>0</v>
      </c>
      <c r="G222" s="134"/>
      <c r="H222" s="135"/>
      <c r="I222" s="136">
        <f t="shared" si="31"/>
        <v>0</v>
      </c>
      <c r="J222" s="134"/>
      <c r="K222" s="135"/>
      <c r="L222" s="136">
        <f t="shared" si="32"/>
        <v>0</v>
      </c>
      <c r="M222" s="284"/>
      <c r="N222" s="285"/>
      <c r="O222" s="136">
        <f t="shared" si="33"/>
        <v>0</v>
      </c>
      <c r="P222" s="85"/>
    </row>
    <row r="223" spans="1:16" ht="24" hidden="1" x14ac:dyDescent="0.25">
      <c r="A223" s="76">
        <v>5234</v>
      </c>
      <c r="B223" s="127" t="s">
        <v>239</v>
      </c>
      <c r="C223" s="279">
        <f t="shared" si="26"/>
        <v>0</v>
      </c>
      <c r="D223" s="134"/>
      <c r="E223" s="285"/>
      <c r="F223" s="286">
        <f t="shared" si="30"/>
        <v>0</v>
      </c>
      <c r="G223" s="134"/>
      <c r="H223" s="135"/>
      <c r="I223" s="136">
        <f t="shared" si="31"/>
        <v>0</v>
      </c>
      <c r="J223" s="134"/>
      <c r="K223" s="135"/>
      <c r="L223" s="136">
        <f t="shared" si="32"/>
        <v>0</v>
      </c>
      <c r="M223" s="284"/>
      <c r="N223" s="285"/>
      <c r="O223" s="136">
        <f t="shared" si="33"/>
        <v>0</v>
      </c>
      <c r="P223" s="85"/>
    </row>
    <row r="224" spans="1:16" hidden="1" x14ac:dyDescent="0.25">
      <c r="A224" s="76">
        <v>5236</v>
      </c>
      <c r="B224" s="127" t="s">
        <v>240</v>
      </c>
      <c r="C224" s="279">
        <f t="shared" si="26"/>
        <v>0</v>
      </c>
      <c r="D224" s="134"/>
      <c r="E224" s="285"/>
      <c r="F224" s="286">
        <f t="shared" si="30"/>
        <v>0</v>
      </c>
      <c r="G224" s="134"/>
      <c r="H224" s="135"/>
      <c r="I224" s="136">
        <f t="shared" si="31"/>
        <v>0</v>
      </c>
      <c r="J224" s="134"/>
      <c r="K224" s="135"/>
      <c r="L224" s="136">
        <f t="shared" si="32"/>
        <v>0</v>
      </c>
      <c r="M224" s="284"/>
      <c r="N224" s="285"/>
      <c r="O224" s="136">
        <f t="shared" si="33"/>
        <v>0</v>
      </c>
      <c r="P224" s="85"/>
    </row>
    <row r="225" spans="1:16" hidden="1" x14ac:dyDescent="0.25">
      <c r="A225" s="76">
        <v>5237</v>
      </c>
      <c r="B225" s="127" t="s">
        <v>241</v>
      </c>
      <c r="C225" s="279">
        <f t="shared" si="26"/>
        <v>0</v>
      </c>
      <c r="D225" s="134"/>
      <c r="E225" s="285"/>
      <c r="F225" s="286">
        <f t="shared" si="30"/>
        <v>0</v>
      </c>
      <c r="G225" s="134"/>
      <c r="H225" s="135"/>
      <c r="I225" s="136">
        <f t="shared" si="31"/>
        <v>0</v>
      </c>
      <c r="J225" s="134"/>
      <c r="K225" s="135"/>
      <c r="L225" s="136">
        <f t="shared" si="32"/>
        <v>0</v>
      </c>
      <c r="M225" s="284"/>
      <c r="N225" s="285"/>
      <c r="O225" s="136">
        <f t="shared" si="33"/>
        <v>0</v>
      </c>
      <c r="P225" s="85"/>
    </row>
    <row r="226" spans="1:16" ht="24" hidden="1" x14ac:dyDescent="0.25">
      <c r="A226" s="76">
        <v>5238</v>
      </c>
      <c r="B226" s="127" t="s">
        <v>242</v>
      </c>
      <c r="C226" s="279">
        <f t="shared" si="26"/>
        <v>0</v>
      </c>
      <c r="D226" s="134"/>
      <c r="E226" s="285"/>
      <c r="F226" s="286">
        <f t="shared" si="30"/>
        <v>0</v>
      </c>
      <c r="G226" s="134"/>
      <c r="H226" s="135"/>
      <c r="I226" s="136">
        <f t="shared" si="31"/>
        <v>0</v>
      </c>
      <c r="J226" s="134"/>
      <c r="K226" s="135"/>
      <c r="L226" s="136">
        <f t="shared" si="32"/>
        <v>0</v>
      </c>
      <c r="M226" s="284"/>
      <c r="N226" s="285"/>
      <c r="O226" s="136">
        <f t="shared" si="33"/>
        <v>0</v>
      </c>
      <c r="P226" s="85"/>
    </row>
    <row r="227" spans="1:16" ht="24" hidden="1" x14ac:dyDescent="0.25">
      <c r="A227" s="76">
        <v>5239</v>
      </c>
      <c r="B227" s="127" t="s">
        <v>243</v>
      </c>
      <c r="C227" s="279">
        <f t="shared" si="26"/>
        <v>0</v>
      </c>
      <c r="D227" s="134"/>
      <c r="E227" s="285"/>
      <c r="F227" s="286">
        <f t="shared" si="30"/>
        <v>0</v>
      </c>
      <c r="G227" s="134"/>
      <c r="H227" s="135"/>
      <c r="I227" s="136">
        <f t="shared" si="31"/>
        <v>0</v>
      </c>
      <c r="J227" s="134"/>
      <c r="K227" s="135"/>
      <c r="L227" s="136">
        <f t="shared" si="32"/>
        <v>0</v>
      </c>
      <c r="M227" s="284"/>
      <c r="N227" s="285"/>
      <c r="O227" s="136">
        <f t="shared" si="33"/>
        <v>0</v>
      </c>
      <c r="P227" s="85"/>
    </row>
    <row r="228" spans="1:16" ht="24" hidden="1" x14ac:dyDescent="0.25">
      <c r="A228" s="276">
        <v>5240</v>
      </c>
      <c r="B228" s="127" t="s">
        <v>244</v>
      </c>
      <c r="C228" s="279">
        <f t="shared" si="26"/>
        <v>0</v>
      </c>
      <c r="D228" s="134"/>
      <c r="E228" s="283"/>
      <c r="F228" s="279">
        <f t="shared" si="30"/>
        <v>0</v>
      </c>
      <c r="G228" s="134"/>
      <c r="H228" s="135"/>
      <c r="I228" s="136">
        <f t="shared" si="31"/>
        <v>0</v>
      </c>
      <c r="J228" s="134"/>
      <c r="K228" s="135"/>
      <c r="L228" s="136">
        <f t="shared" si="32"/>
        <v>0</v>
      </c>
      <c r="M228" s="284"/>
      <c r="N228" s="285"/>
      <c r="O228" s="136">
        <f t="shared" si="33"/>
        <v>0</v>
      </c>
      <c r="P228" s="85" t="s">
        <v>507</v>
      </c>
    </row>
    <row r="229" spans="1:16" x14ac:dyDescent="0.25">
      <c r="A229" s="276">
        <v>5250</v>
      </c>
      <c r="B229" s="127" t="s">
        <v>245</v>
      </c>
      <c r="C229" s="279">
        <f t="shared" si="26"/>
        <v>1212160</v>
      </c>
      <c r="D229" s="134">
        <v>3210000</v>
      </c>
      <c r="E229" s="622">
        <v>-1997840</v>
      </c>
      <c r="F229" s="286">
        <f t="shared" si="30"/>
        <v>1212160</v>
      </c>
      <c r="G229" s="134"/>
      <c r="H229" s="135"/>
      <c r="I229" s="136">
        <f t="shared" si="31"/>
        <v>0</v>
      </c>
      <c r="J229" s="134"/>
      <c r="K229" s="135"/>
      <c r="L229" s="136">
        <f t="shared" si="32"/>
        <v>0</v>
      </c>
      <c r="M229" s="284"/>
      <c r="N229" s="285"/>
      <c r="O229" s="136">
        <f t="shared" si="33"/>
        <v>0</v>
      </c>
      <c r="P229" s="85"/>
    </row>
    <row r="230" spans="1:16" hidden="1" x14ac:dyDescent="0.25">
      <c r="A230" s="276">
        <v>5260</v>
      </c>
      <c r="B230" s="127" t="s">
        <v>246</v>
      </c>
      <c r="C230" s="279">
        <f t="shared" si="26"/>
        <v>0</v>
      </c>
      <c r="D230" s="277">
        <f>SUM(D231)</f>
        <v>0</v>
      </c>
      <c r="E230" s="282">
        <f>SUM(E231)</f>
        <v>0</v>
      </c>
      <c r="F230" s="286">
        <f t="shared" si="30"/>
        <v>0</v>
      </c>
      <c r="G230" s="277">
        <f>SUM(G231)</f>
        <v>0</v>
      </c>
      <c r="H230" s="280">
        <f>SUM(H231)</f>
        <v>0</v>
      </c>
      <c r="I230" s="136">
        <f t="shared" si="31"/>
        <v>0</v>
      </c>
      <c r="J230" s="277">
        <f>SUM(J231)</f>
        <v>0</v>
      </c>
      <c r="K230" s="280">
        <f>SUM(K231)</f>
        <v>0</v>
      </c>
      <c r="L230" s="136">
        <f t="shared" si="32"/>
        <v>0</v>
      </c>
      <c r="M230" s="281">
        <f>SUM(M231)</f>
        <v>0</v>
      </c>
      <c r="N230" s="282">
        <f>SUM(N231)</f>
        <v>0</v>
      </c>
      <c r="O230" s="136">
        <f t="shared" si="33"/>
        <v>0</v>
      </c>
      <c r="P230" s="85"/>
    </row>
    <row r="231" spans="1:16" ht="24" hidden="1" x14ac:dyDescent="0.25">
      <c r="A231" s="76">
        <v>5269</v>
      </c>
      <c r="B231" s="127" t="s">
        <v>247</v>
      </c>
      <c r="C231" s="279">
        <f t="shared" si="26"/>
        <v>0</v>
      </c>
      <c r="D231" s="134"/>
      <c r="E231" s="285"/>
      <c r="F231" s="286">
        <f t="shared" si="30"/>
        <v>0</v>
      </c>
      <c r="G231" s="134"/>
      <c r="H231" s="135"/>
      <c r="I231" s="136">
        <f t="shared" si="31"/>
        <v>0</v>
      </c>
      <c r="J231" s="134"/>
      <c r="K231" s="135"/>
      <c r="L231" s="136">
        <f t="shared" si="32"/>
        <v>0</v>
      </c>
      <c r="M231" s="284"/>
      <c r="N231" s="285"/>
      <c r="O231" s="136">
        <f t="shared" si="33"/>
        <v>0</v>
      </c>
      <c r="P231" s="85"/>
    </row>
    <row r="232" spans="1:16" ht="24" hidden="1" x14ac:dyDescent="0.25">
      <c r="A232" s="254">
        <v>5270</v>
      </c>
      <c r="B232" s="179" t="s">
        <v>248</v>
      </c>
      <c r="C232" s="302">
        <f t="shared" si="26"/>
        <v>0</v>
      </c>
      <c r="D232" s="287"/>
      <c r="E232" s="291"/>
      <c r="F232" s="310">
        <f t="shared" si="30"/>
        <v>0</v>
      </c>
      <c r="G232" s="287"/>
      <c r="H232" s="289"/>
      <c r="I232" s="259">
        <f t="shared" si="31"/>
        <v>0</v>
      </c>
      <c r="J232" s="287"/>
      <c r="K232" s="289"/>
      <c r="L232" s="259">
        <f t="shared" si="32"/>
        <v>0</v>
      </c>
      <c r="M232" s="290"/>
      <c r="N232" s="291"/>
      <c r="O232" s="259">
        <f t="shared" si="33"/>
        <v>0</v>
      </c>
      <c r="P232" s="189"/>
    </row>
    <row r="233" spans="1:16" hidden="1" x14ac:dyDescent="0.25">
      <c r="A233" s="237">
        <v>6000</v>
      </c>
      <c r="B233" s="237" t="s">
        <v>249</v>
      </c>
      <c r="C233" s="238">
        <f t="shared" si="26"/>
        <v>0</v>
      </c>
      <c r="D233" s="239">
        <f>D234+D254+D261</f>
        <v>0</v>
      </c>
      <c r="E233" s="245">
        <f>E234+E254+E261</f>
        <v>0</v>
      </c>
      <c r="F233" s="320">
        <f t="shared" si="30"/>
        <v>0</v>
      </c>
      <c r="G233" s="239">
        <f>G234+G254+G261</f>
        <v>0</v>
      </c>
      <c r="H233" s="242">
        <f>H234+H254+H261</f>
        <v>0</v>
      </c>
      <c r="I233" s="243">
        <f t="shared" si="31"/>
        <v>0</v>
      </c>
      <c r="J233" s="239">
        <f>J234+J254+J261</f>
        <v>0</v>
      </c>
      <c r="K233" s="242">
        <f>K234+K254+K261</f>
        <v>0</v>
      </c>
      <c r="L233" s="243">
        <f t="shared" si="32"/>
        <v>0</v>
      </c>
      <c r="M233" s="244">
        <f>M234+M254+M261</f>
        <v>0</v>
      </c>
      <c r="N233" s="245">
        <f>N234+N254+N261</f>
        <v>0</v>
      </c>
      <c r="O233" s="243">
        <f t="shared" si="33"/>
        <v>0</v>
      </c>
      <c r="P233" s="246"/>
    </row>
    <row r="234" spans="1:16" hidden="1" x14ac:dyDescent="0.25">
      <c r="A234" s="160">
        <v>6200</v>
      </c>
      <c r="B234" s="321" t="s">
        <v>250</v>
      </c>
      <c r="C234" s="333">
        <f>F234+I234+L234+O234</f>
        <v>0</v>
      </c>
      <c r="D234" s="334">
        <f>SUM(D235,D236,D238,D241,D247,D248,D249)</f>
        <v>0</v>
      </c>
      <c r="E234" s="251">
        <f>SUM(E235,E236,E238,E241,E247,E248,E249)</f>
        <v>0</v>
      </c>
      <c r="F234" s="335">
        <f>D234+E234</f>
        <v>0</v>
      </c>
      <c r="G234" s="334">
        <f>SUM(G235,G236,G238,G241,G247,G248,G249)</f>
        <v>0</v>
      </c>
      <c r="H234" s="336">
        <f>SUM(H235,H236,H238,H241,H247,H248,H249)</f>
        <v>0</v>
      </c>
      <c r="I234" s="252">
        <f t="shared" si="31"/>
        <v>0</v>
      </c>
      <c r="J234" s="334">
        <f>SUM(J235,J236,J238,J241,J247,J248,J249)</f>
        <v>0</v>
      </c>
      <c r="K234" s="336">
        <f>SUM(K235,K236,K238,K241,K247,K248,K249)</f>
        <v>0</v>
      </c>
      <c r="L234" s="252">
        <f t="shared" si="32"/>
        <v>0</v>
      </c>
      <c r="M234" s="250">
        <f>SUM(M235,M236,M238,M241,M247,M248,M249)</f>
        <v>0</v>
      </c>
      <c r="N234" s="251">
        <f>SUM(N235,N236,N238,N241,N247,N248,N249)</f>
        <v>0</v>
      </c>
      <c r="O234" s="252">
        <f t="shared" si="33"/>
        <v>0</v>
      </c>
      <c r="P234" s="253"/>
    </row>
    <row r="235" spans="1:16" ht="24" hidden="1" x14ac:dyDescent="0.25">
      <c r="A235" s="609">
        <v>6220</v>
      </c>
      <c r="B235" s="116" t="s">
        <v>251</v>
      </c>
      <c r="C235" s="298">
        <f t="shared" si="26"/>
        <v>0</v>
      </c>
      <c r="D235" s="123"/>
      <c r="E235" s="262"/>
      <c r="F235" s="263">
        <f t="shared" si="30"/>
        <v>0</v>
      </c>
      <c r="G235" s="123"/>
      <c r="H235" s="124"/>
      <c r="I235" s="125">
        <f t="shared" si="31"/>
        <v>0</v>
      </c>
      <c r="J235" s="123"/>
      <c r="K235" s="124"/>
      <c r="L235" s="125">
        <f t="shared" si="32"/>
        <v>0</v>
      </c>
      <c r="M235" s="264"/>
      <c r="N235" s="262"/>
      <c r="O235" s="125">
        <f t="shared" si="33"/>
        <v>0</v>
      </c>
      <c r="P235" s="74"/>
    </row>
    <row r="236" spans="1:16" hidden="1" x14ac:dyDescent="0.25">
      <c r="A236" s="276">
        <v>6230</v>
      </c>
      <c r="B236" s="127" t="s">
        <v>252</v>
      </c>
      <c r="C236" s="278">
        <f t="shared" si="26"/>
        <v>0</v>
      </c>
      <c r="D236" s="277">
        <f>SUM(D237)</f>
        <v>0</v>
      </c>
      <c r="E236" s="280">
        <f>SUM(E237)</f>
        <v>0</v>
      </c>
      <c r="F236" s="286">
        <f t="shared" si="30"/>
        <v>0</v>
      </c>
      <c r="G236" s="277">
        <f>SUM(G237)</f>
        <v>0</v>
      </c>
      <c r="H236" s="280">
        <f>SUM(H237)</f>
        <v>0</v>
      </c>
      <c r="I236" s="136">
        <f t="shared" si="31"/>
        <v>0</v>
      </c>
      <c r="J236" s="277">
        <f>SUM(J237)</f>
        <v>0</v>
      </c>
      <c r="K236" s="280">
        <f>SUM(K237)</f>
        <v>0</v>
      </c>
      <c r="L236" s="136">
        <f t="shared" si="32"/>
        <v>0</v>
      </c>
      <c r="M236" s="277">
        <f>SUM(M237)</f>
        <v>0</v>
      </c>
      <c r="N236" s="280">
        <f>SUM(N237)</f>
        <v>0</v>
      </c>
      <c r="O236" s="136">
        <f t="shared" si="33"/>
        <v>0</v>
      </c>
      <c r="P236" s="85"/>
    </row>
    <row r="237" spans="1:16" ht="24" hidden="1" x14ac:dyDescent="0.25">
      <c r="A237" s="76">
        <v>6239</v>
      </c>
      <c r="B237" s="116" t="s">
        <v>253</v>
      </c>
      <c r="C237" s="278">
        <f t="shared" si="26"/>
        <v>0</v>
      </c>
      <c r="D237" s="134"/>
      <c r="E237" s="285"/>
      <c r="F237" s="286">
        <f t="shared" si="30"/>
        <v>0</v>
      </c>
      <c r="G237" s="134"/>
      <c r="H237" s="135"/>
      <c r="I237" s="136">
        <f t="shared" si="31"/>
        <v>0</v>
      </c>
      <c r="J237" s="134"/>
      <c r="K237" s="135"/>
      <c r="L237" s="136">
        <f t="shared" si="32"/>
        <v>0</v>
      </c>
      <c r="M237" s="284"/>
      <c r="N237" s="285"/>
      <c r="O237" s="136">
        <f t="shared" si="33"/>
        <v>0</v>
      </c>
      <c r="P237" s="85"/>
    </row>
    <row r="238" spans="1:16" ht="24" hidden="1" x14ac:dyDescent="0.25">
      <c r="A238" s="276">
        <v>6240</v>
      </c>
      <c r="B238" s="127" t="s">
        <v>254</v>
      </c>
      <c r="C238" s="278">
        <f t="shared" si="26"/>
        <v>0</v>
      </c>
      <c r="D238" s="277">
        <f>SUM(D239:D240)</f>
        <v>0</v>
      </c>
      <c r="E238" s="282">
        <f>SUM(E239:E240)</f>
        <v>0</v>
      </c>
      <c r="F238" s="286">
        <f t="shared" si="30"/>
        <v>0</v>
      </c>
      <c r="G238" s="277">
        <f>SUM(G239:G240)</f>
        <v>0</v>
      </c>
      <c r="H238" s="280">
        <f>SUM(H239:H240)</f>
        <v>0</v>
      </c>
      <c r="I238" s="136">
        <f t="shared" si="31"/>
        <v>0</v>
      </c>
      <c r="J238" s="277">
        <f>SUM(J239:J240)</f>
        <v>0</v>
      </c>
      <c r="K238" s="280">
        <f>SUM(K239:K240)</f>
        <v>0</v>
      </c>
      <c r="L238" s="136">
        <f t="shared" si="32"/>
        <v>0</v>
      </c>
      <c r="M238" s="281">
        <f>SUM(M239:M240)</f>
        <v>0</v>
      </c>
      <c r="N238" s="282">
        <f>SUM(N239:N240)</f>
        <v>0</v>
      </c>
      <c r="O238" s="136">
        <f t="shared" si="33"/>
        <v>0</v>
      </c>
      <c r="P238" s="85"/>
    </row>
    <row r="239" spans="1:16" hidden="1" x14ac:dyDescent="0.25">
      <c r="A239" s="76">
        <v>6241</v>
      </c>
      <c r="B239" s="127" t="s">
        <v>255</v>
      </c>
      <c r="C239" s="278">
        <f t="shared" si="26"/>
        <v>0</v>
      </c>
      <c r="D239" s="134"/>
      <c r="E239" s="285"/>
      <c r="F239" s="286">
        <f t="shared" si="30"/>
        <v>0</v>
      </c>
      <c r="G239" s="134"/>
      <c r="H239" s="135"/>
      <c r="I239" s="136">
        <f t="shared" si="31"/>
        <v>0</v>
      </c>
      <c r="J239" s="134"/>
      <c r="K239" s="135"/>
      <c r="L239" s="136">
        <f t="shared" si="32"/>
        <v>0</v>
      </c>
      <c r="M239" s="284"/>
      <c r="N239" s="285"/>
      <c r="O239" s="136">
        <f t="shared" si="33"/>
        <v>0</v>
      </c>
      <c r="P239" s="85"/>
    </row>
    <row r="240" spans="1:16" hidden="1" x14ac:dyDescent="0.25">
      <c r="A240" s="76">
        <v>6242</v>
      </c>
      <c r="B240" s="127" t="s">
        <v>256</v>
      </c>
      <c r="C240" s="278">
        <f t="shared" si="26"/>
        <v>0</v>
      </c>
      <c r="D240" s="134"/>
      <c r="E240" s="285"/>
      <c r="F240" s="286">
        <f t="shared" si="30"/>
        <v>0</v>
      </c>
      <c r="G240" s="134"/>
      <c r="H240" s="135"/>
      <c r="I240" s="136">
        <f t="shared" si="31"/>
        <v>0</v>
      </c>
      <c r="J240" s="134"/>
      <c r="K240" s="135"/>
      <c r="L240" s="136">
        <f t="shared" si="32"/>
        <v>0</v>
      </c>
      <c r="M240" s="284"/>
      <c r="N240" s="285"/>
      <c r="O240" s="136">
        <f t="shared" si="33"/>
        <v>0</v>
      </c>
      <c r="P240" s="85"/>
    </row>
    <row r="241" spans="1:16" ht="24" hidden="1" x14ac:dyDescent="0.25">
      <c r="A241" s="276">
        <v>6250</v>
      </c>
      <c r="B241" s="127" t="s">
        <v>257</v>
      </c>
      <c r="C241" s="278">
        <f t="shared" si="26"/>
        <v>0</v>
      </c>
      <c r="D241" s="277">
        <f>SUM(D242:D246)</f>
        <v>0</v>
      </c>
      <c r="E241" s="282">
        <f>SUM(E242:E246)</f>
        <v>0</v>
      </c>
      <c r="F241" s="286">
        <f t="shared" si="30"/>
        <v>0</v>
      </c>
      <c r="G241" s="277">
        <f>SUM(G242:G246)</f>
        <v>0</v>
      </c>
      <c r="H241" s="280">
        <f>SUM(H242:H246)</f>
        <v>0</v>
      </c>
      <c r="I241" s="136">
        <f t="shared" si="31"/>
        <v>0</v>
      </c>
      <c r="J241" s="277">
        <f>SUM(J242:J246)</f>
        <v>0</v>
      </c>
      <c r="K241" s="280">
        <f>SUM(K242:K246)</f>
        <v>0</v>
      </c>
      <c r="L241" s="136">
        <f t="shared" si="32"/>
        <v>0</v>
      </c>
      <c r="M241" s="281">
        <f>SUM(M242:M246)</f>
        <v>0</v>
      </c>
      <c r="N241" s="282">
        <f>SUM(N242:N246)</f>
        <v>0</v>
      </c>
      <c r="O241" s="136">
        <f t="shared" si="33"/>
        <v>0</v>
      </c>
      <c r="P241" s="85"/>
    </row>
    <row r="242" spans="1:16" hidden="1" x14ac:dyDescent="0.25">
      <c r="A242" s="76">
        <v>6252</v>
      </c>
      <c r="B242" s="127" t="s">
        <v>258</v>
      </c>
      <c r="C242" s="278">
        <f t="shared" si="26"/>
        <v>0</v>
      </c>
      <c r="D242" s="134"/>
      <c r="E242" s="285"/>
      <c r="F242" s="286">
        <f t="shared" si="30"/>
        <v>0</v>
      </c>
      <c r="G242" s="134"/>
      <c r="H242" s="135"/>
      <c r="I242" s="136">
        <f t="shared" si="31"/>
        <v>0</v>
      </c>
      <c r="J242" s="134"/>
      <c r="K242" s="135"/>
      <c r="L242" s="136">
        <f t="shared" si="32"/>
        <v>0</v>
      </c>
      <c r="M242" s="284"/>
      <c r="N242" s="285"/>
      <c r="O242" s="136">
        <f t="shared" si="33"/>
        <v>0</v>
      </c>
      <c r="P242" s="85"/>
    </row>
    <row r="243" spans="1:16" hidden="1" x14ac:dyDescent="0.25">
      <c r="A243" s="76">
        <v>6253</v>
      </c>
      <c r="B243" s="127" t="s">
        <v>259</v>
      </c>
      <c r="C243" s="278">
        <f t="shared" si="26"/>
        <v>0</v>
      </c>
      <c r="D243" s="134"/>
      <c r="E243" s="285"/>
      <c r="F243" s="286">
        <f t="shared" si="30"/>
        <v>0</v>
      </c>
      <c r="G243" s="134"/>
      <c r="H243" s="135"/>
      <c r="I243" s="136">
        <f t="shared" si="31"/>
        <v>0</v>
      </c>
      <c r="J243" s="134"/>
      <c r="K243" s="135"/>
      <c r="L243" s="136">
        <f t="shared" si="32"/>
        <v>0</v>
      </c>
      <c r="M243" s="284"/>
      <c r="N243" s="285"/>
      <c r="O243" s="136">
        <f t="shared" si="33"/>
        <v>0</v>
      </c>
      <c r="P243" s="85"/>
    </row>
    <row r="244" spans="1:16" ht="24" hidden="1" x14ac:dyDescent="0.25">
      <c r="A244" s="76">
        <v>6254</v>
      </c>
      <c r="B244" s="127" t="s">
        <v>260</v>
      </c>
      <c r="C244" s="278">
        <f t="shared" si="26"/>
        <v>0</v>
      </c>
      <c r="D244" s="134"/>
      <c r="E244" s="285"/>
      <c r="F244" s="286">
        <f t="shared" si="30"/>
        <v>0</v>
      </c>
      <c r="G244" s="134"/>
      <c r="H244" s="135"/>
      <c r="I244" s="136">
        <f t="shared" si="31"/>
        <v>0</v>
      </c>
      <c r="J244" s="134"/>
      <c r="K244" s="135"/>
      <c r="L244" s="136">
        <f t="shared" si="32"/>
        <v>0</v>
      </c>
      <c r="M244" s="284"/>
      <c r="N244" s="285"/>
      <c r="O244" s="136">
        <f t="shared" si="33"/>
        <v>0</v>
      </c>
      <c r="P244" s="85"/>
    </row>
    <row r="245" spans="1:16" ht="24" hidden="1" x14ac:dyDescent="0.25">
      <c r="A245" s="76">
        <v>6255</v>
      </c>
      <c r="B245" s="127" t="s">
        <v>261</v>
      </c>
      <c r="C245" s="278">
        <f t="shared" si="26"/>
        <v>0</v>
      </c>
      <c r="D245" s="134"/>
      <c r="E245" s="285"/>
      <c r="F245" s="286">
        <f t="shared" si="30"/>
        <v>0</v>
      </c>
      <c r="G245" s="134"/>
      <c r="H245" s="135"/>
      <c r="I245" s="136">
        <f t="shared" si="31"/>
        <v>0</v>
      </c>
      <c r="J245" s="134"/>
      <c r="K245" s="135"/>
      <c r="L245" s="136">
        <f t="shared" si="32"/>
        <v>0</v>
      </c>
      <c r="M245" s="284"/>
      <c r="N245" s="285"/>
      <c r="O245" s="136">
        <f t="shared" si="33"/>
        <v>0</v>
      </c>
      <c r="P245" s="85"/>
    </row>
    <row r="246" spans="1:16" hidden="1" x14ac:dyDescent="0.25">
      <c r="A246" s="76">
        <v>6259</v>
      </c>
      <c r="B246" s="127" t="s">
        <v>262</v>
      </c>
      <c r="C246" s="278">
        <f t="shared" si="26"/>
        <v>0</v>
      </c>
      <c r="D246" s="134"/>
      <c r="E246" s="285"/>
      <c r="F246" s="286">
        <f t="shared" si="30"/>
        <v>0</v>
      </c>
      <c r="G246" s="134"/>
      <c r="H246" s="135"/>
      <c r="I246" s="136">
        <f t="shared" si="31"/>
        <v>0</v>
      </c>
      <c r="J246" s="134"/>
      <c r="K246" s="135"/>
      <c r="L246" s="136">
        <f t="shared" si="32"/>
        <v>0</v>
      </c>
      <c r="M246" s="284"/>
      <c r="N246" s="285"/>
      <c r="O246" s="136">
        <f t="shared" si="33"/>
        <v>0</v>
      </c>
      <c r="P246" s="85"/>
    </row>
    <row r="247" spans="1:16" ht="24" hidden="1" x14ac:dyDescent="0.25">
      <c r="A247" s="276">
        <v>6260</v>
      </c>
      <c r="B247" s="127" t="s">
        <v>263</v>
      </c>
      <c r="C247" s="278">
        <f t="shared" si="26"/>
        <v>0</v>
      </c>
      <c r="D247" s="134"/>
      <c r="E247" s="285"/>
      <c r="F247" s="286">
        <f t="shared" ref="F247:F299" si="37">D247+E247</f>
        <v>0</v>
      </c>
      <c r="G247" s="134"/>
      <c r="H247" s="135"/>
      <c r="I247" s="136">
        <f t="shared" ref="I247:I299" si="38">G247+H247</f>
        <v>0</v>
      </c>
      <c r="J247" s="134"/>
      <c r="K247" s="135"/>
      <c r="L247" s="136">
        <f t="shared" ref="L247:L299" si="39">J247+K247</f>
        <v>0</v>
      </c>
      <c r="M247" s="284"/>
      <c r="N247" s="285"/>
      <c r="O247" s="136">
        <f t="shared" ref="O247:O276" si="40">M247+N247</f>
        <v>0</v>
      </c>
      <c r="P247" s="85"/>
    </row>
    <row r="248" spans="1:16" hidden="1" x14ac:dyDescent="0.25">
      <c r="A248" s="276">
        <v>6270</v>
      </c>
      <c r="B248" s="127" t="s">
        <v>264</v>
      </c>
      <c r="C248" s="278">
        <f t="shared" si="26"/>
        <v>0</v>
      </c>
      <c r="D248" s="134"/>
      <c r="E248" s="285"/>
      <c r="F248" s="286">
        <f t="shared" si="37"/>
        <v>0</v>
      </c>
      <c r="G248" s="134"/>
      <c r="H248" s="135"/>
      <c r="I248" s="136">
        <f t="shared" si="38"/>
        <v>0</v>
      </c>
      <c r="J248" s="134"/>
      <c r="K248" s="135"/>
      <c r="L248" s="136">
        <f t="shared" si="39"/>
        <v>0</v>
      </c>
      <c r="M248" s="284"/>
      <c r="N248" s="285"/>
      <c r="O248" s="136">
        <f t="shared" si="40"/>
        <v>0</v>
      </c>
      <c r="P248" s="85"/>
    </row>
    <row r="249" spans="1:16" ht="24" hidden="1" x14ac:dyDescent="0.25">
      <c r="A249" s="609">
        <v>6290</v>
      </c>
      <c r="B249" s="116" t="s">
        <v>265</v>
      </c>
      <c r="C249" s="278">
        <f t="shared" si="26"/>
        <v>0</v>
      </c>
      <c r="D249" s="297">
        <f>SUM(D250:D253)</f>
        <v>0</v>
      </c>
      <c r="E249" s="301">
        <f>SUM(E250:E253)</f>
        <v>0</v>
      </c>
      <c r="F249" s="263">
        <f t="shared" si="37"/>
        <v>0</v>
      </c>
      <c r="G249" s="297">
        <f>SUM(G250:G253)</f>
        <v>0</v>
      </c>
      <c r="H249" s="299">
        <f t="shared" ref="H249" si="41">SUM(H250:H253)</f>
        <v>0</v>
      </c>
      <c r="I249" s="125">
        <f t="shared" si="38"/>
        <v>0</v>
      </c>
      <c r="J249" s="297">
        <f>SUM(J250:J253)</f>
        <v>0</v>
      </c>
      <c r="K249" s="299">
        <f t="shared" ref="K249" si="42">SUM(K250:K253)</f>
        <v>0</v>
      </c>
      <c r="L249" s="125">
        <f t="shared" si="39"/>
        <v>0</v>
      </c>
      <c r="M249" s="322">
        <f t="shared" ref="M249:N249" si="43">SUM(M250:M253)</f>
        <v>0</v>
      </c>
      <c r="N249" s="323">
        <f t="shared" si="43"/>
        <v>0</v>
      </c>
      <c r="O249" s="324">
        <f t="shared" si="40"/>
        <v>0</v>
      </c>
      <c r="P249" s="325"/>
    </row>
    <row r="250" spans="1:16" hidden="1" x14ac:dyDescent="0.25">
      <c r="A250" s="76">
        <v>6291</v>
      </c>
      <c r="B250" s="127" t="s">
        <v>266</v>
      </c>
      <c r="C250" s="278">
        <f t="shared" si="26"/>
        <v>0</v>
      </c>
      <c r="D250" s="134"/>
      <c r="E250" s="285"/>
      <c r="F250" s="286">
        <f t="shared" si="37"/>
        <v>0</v>
      </c>
      <c r="G250" s="134"/>
      <c r="H250" s="135"/>
      <c r="I250" s="136">
        <f t="shared" si="38"/>
        <v>0</v>
      </c>
      <c r="J250" s="134"/>
      <c r="K250" s="135"/>
      <c r="L250" s="136">
        <f t="shared" si="39"/>
        <v>0</v>
      </c>
      <c r="M250" s="284"/>
      <c r="N250" s="285"/>
      <c r="O250" s="136">
        <f t="shared" si="40"/>
        <v>0</v>
      </c>
      <c r="P250" s="85"/>
    </row>
    <row r="251" spans="1:16" hidden="1" x14ac:dyDescent="0.25">
      <c r="A251" s="76">
        <v>6292</v>
      </c>
      <c r="B251" s="127" t="s">
        <v>267</v>
      </c>
      <c r="C251" s="278">
        <f t="shared" si="26"/>
        <v>0</v>
      </c>
      <c r="D251" s="134"/>
      <c r="E251" s="285"/>
      <c r="F251" s="286">
        <f t="shared" si="37"/>
        <v>0</v>
      </c>
      <c r="G251" s="134"/>
      <c r="H251" s="135"/>
      <c r="I251" s="136">
        <f t="shared" si="38"/>
        <v>0</v>
      </c>
      <c r="J251" s="134"/>
      <c r="K251" s="135"/>
      <c r="L251" s="136">
        <f t="shared" si="39"/>
        <v>0</v>
      </c>
      <c r="M251" s="284"/>
      <c r="N251" s="285"/>
      <c r="O251" s="136">
        <f t="shared" si="40"/>
        <v>0</v>
      </c>
      <c r="P251" s="85"/>
    </row>
    <row r="252" spans="1:16" ht="72" hidden="1" x14ac:dyDescent="0.25">
      <c r="A252" s="76">
        <v>6296</v>
      </c>
      <c r="B252" s="127" t="s">
        <v>268</v>
      </c>
      <c r="C252" s="278">
        <f t="shared" si="26"/>
        <v>0</v>
      </c>
      <c r="D252" s="134"/>
      <c r="E252" s="285"/>
      <c r="F252" s="286">
        <f t="shared" si="37"/>
        <v>0</v>
      </c>
      <c r="G252" s="134"/>
      <c r="H252" s="135"/>
      <c r="I252" s="136">
        <f t="shared" si="38"/>
        <v>0</v>
      </c>
      <c r="J252" s="134"/>
      <c r="K252" s="135"/>
      <c r="L252" s="136">
        <f t="shared" si="39"/>
        <v>0</v>
      </c>
      <c r="M252" s="284"/>
      <c r="N252" s="285"/>
      <c r="O252" s="136">
        <f t="shared" si="40"/>
        <v>0</v>
      </c>
      <c r="P252" s="85"/>
    </row>
    <row r="253" spans="1:16" ht="36" hidden="1" x14ac:dyDescent="0.25">
      <c r="A253" s="76">
        <v>6299</v>
      </c>
      <c r="B253" s="127" t="s">
        <v>269</v>
      </c>
      <c r="C253" s="278">
        <f t="shared" si="26"/>
        <v>0</v>
      </c>
      <c r="D253" s="134"/>
      <c r="E253" s="285"/>
      <c r="F253" s="286">
        <f t="shared" si="37"/>
        <v>0</v>
      </c>
      <c r="G253" s="134"/>
      <c r="H253" s="135"/>
      <c r="I253" s="136">
        <f t="shared" si="38"/>
        <v>0</v>
      </c>
      <c r="J253" s="134"/>
      <c r="K253" s="135"/>
      <c r="L253" s="136">
        <f t="shared" si="39"/>
        <v>0</v>
      </c>
      <c r="M253" s="284"/>
      <c r="N253" s="285"/>
      <c r="O253" s="136">
        <f t="shared" si="40"/>
        <v>0</v>
      </c>
      <c r="P253" s="85"/>
    </row>
    <row r="254" spans="1:16" hidden="1" x14ac:dyDescent="0.25">
      <c r="A254" s="99">
        <v>6300</v>
      </c>
      <c r="B254" s="247" t="s">
        <v>270</v>
      </c>
      <c r="C254" s="100">
        <f t="shared" si="26"/>
        <v>0</v>
      </c>
      <c r="D254" s="112">
        <f>SUM(D255,D259,D260)</f>
        <v>0</v>
      </c>
      <c r="E254" s="293">
        <f>SUM(E255,E259,E260)</f>
        <v>0</v>
      </c>
      <c r="F254" s="313">
        <f t="shared" si="37"/>
        <v>0</v>
      </c>
      <c r="G254" s="112">
        <f>SUM(G255,G259,G260)</f>
        <v>0</v>
      </c>
      <c r="H254" s="113">
        <f t="shared" ref="H254" si="44">SUM(H255,H259,H260)</f>
        <v>0</v>
      </c>
      <c r="I254" s="114">
        <f t="shared" si="38"/>
        <v>0</v>
      </c>
      <c r="J254" s="112">
        <f>SUM(J255,J259,J260)</f>
        <v>0</v>
      </c>
      <c r="K254" s="113">
        <f t="shared" ref="K254" si="45">SUM(K255,K259,K260)</f>
        <v>0</v>
      </c>
      <c r="L254" s="114">
        <f t="shared" si="39"/>
        <v>0</v>
      </c>
      <c r="M254" s="303">
        <f t="shared" ref="M254:N254" si="46">SUM(M255,M259,M260)</f>
        <v>0</v>
      </c>
      <c r="N254" s="304">
        <f t="shared" si="46"/>
        <v>0</v>
      </c>
      <c r="O254" s="305">
        <f t="shared" si="40"/>
        <v>0</v>
      </c>
      <c r="P254" s="306"/>
    </row>
    <row r="255" spans="1:16" ht="24" hidden="1" x14ac:dyDescent="0.25">
      <c r="A255" s="609">
        <v>6320</v>
      </c>
      <c r="B255" s="116" t="s">
        <v>271</v>
      </c>
      <c r="C255" s="322">
        <f t="shared" si="26"/>
        <v>0</v>
      </c>
      <c r="D255" s="297">
        <f>SUM(D256:D258)</f>
        <v>0</v>
      </c>
      <c r="E255" s="301">
        <f>SUM(E256:E258)</f>
        <v>0</v>
      </c>
      <c r="F255" s="263">
        <f t="shared" si="37"/>
        <v>0</v>
      </c>
      <c r="G255" s="297">
        <f>SUM(G256:G258)</f>
        <v>0</v>
      </c>
      <c r="H255" s="299">
        <f t="shared" ref="H255" si="47">SUM(H256:H258)</f>
        <v>0</v>
      </c>
      <c r="I255" s="125">
        <f t="shared" si="38"/>
        <v>0</v>
      </c>
      <c r="J255" s="297">
        <f>SUM(J256:J258)</f>
        <v>0</v>
      </c>
      <c r="K255" s="299">
        <f t="shared" ref="K255" si="48">SUM(K256:K258)</f>
        <v>0</v>
      </c>
      <c r="L255" s="125">
        <f t="shared" si="39"/>
        <v>0</v>
      </c>
      <c r="M255" s="300">
        <f t="shared" ref="M255:N255" si="49">SUM(M256:M258)</f>
        <v>0</v>
      </c>
      <c r="N255" s="301">
        <f t="shared" si="49"/>
        <v>0</v>
      </c>
      <c r="O255" s="125">
        <f t="shared" si="40"/>
        <v>0</v>
      </c>
      <c r="P255" s="74"/>
    </row>
    <row r="256" spans="1:16" hidden="1" x14ac:dyDescent="0.25">
      <c r="A256" s="76">
        <v>6322</v>
      </c>
      <c r="B256" s="127" t="s">
        <v>272</v>
      </c>
      <c r="C256" s="281">
        <f t="shared" si="26"/>
        <v>0</v>
      </c>
      <c r="D256" s="134"/>
      <c r="E256" s="285"/>
      <c r="F256" s="286">
        <f t="shared" si="37"/>
        <v>0</v>
      </c>
      <c r="G256" s="134"/>
      <c r="H256" s="135"/>
      <c r="I256" s="136">
        <f t="shared" si="38"/>
        <v>0</v>
      </c>
      <c r="J256" s="134"/>
      <c r="K256" s="135"/>
      <c r="L256" s="136">
        <f t="shared" si="39"/>
        <v>0</v>
      </c>
      <c r="M256" s="284"/>
      <c r="N256" s="285"/>
      <c r="O256" s="136">
        <f t="shared" si="40"/>
        <v>0</v>
      </c>
      <c r="P256" s="85"/>
    </row>
    <row r="257" spans="1:16" ht="24" hidden="1" x14ac:dyDescent="0.25">
      <c r="A257" s="76">
        <v>6323</v>
      </c>
      <c r="B257" s="127" t="s">
        <v>273</v>
      </c>
      <c r="C257" s="281">
        <f t="shared" si="26"/>
        <v>0</v>
      </c>
      <c r="D257" s="134"/>
      <c r="E257" s="285"/>
      <c r="F257" s="286">
        <f t="shared" si="37"/>
        <v>0</v>
      </c>
      <c r="G257" s="134"/>
      <c r="H257" s="135"/>
      <c r="I257" s="136">
        <f t="shared" si="38"/>
        <v>0</v>
      </c>
      <c r="J257" s="134"/>
      <c r="K257" s="135"/>
      <c r="L257" s="136">
        <f t="shared" si="39"/>
        <v>0</v>
      </c>
      <c r="M257" s="284"/>
      <c r="N257" s="285"/>
      <c r="O257" s="136">
        <f t="shared" si="40"/>
        <v>0</v>
      </c>
      <c r="P257" s="85"/>
    </row>
    <row r="258" spans="1:16" ht="24" hidden="1" x14ac:dyDescent="0.25">
      <c r="A258" s="66">
        <v>6324</v>
      </c>
      <c r="B258" s="116" t="s">
        <v>274</v>
      </c>
      <c r="C258" s="281">
        <f t="shared" si="26"/>
        <v>0</v>
      </c>
      <c r="D258" s="123"/>
      <c r="E258" s="262"/>
      <c r="F258" s="263">
        <f t="shared" si="37"/>
        <v>0</v>
      </c>
      <c r="G258" s="123"/>
      <c r="H258" s="124"/>
      <c r="I258" s="125">
        <f t="shared" si="38"/>
        <v>0</v>
      </c>
      <c r="J258" s="123"/>
      <c r="K258" s="124"/>
      <c r="L258" s="125">
        <f t="shared" si="39"/>
        <v>0</v>
      </c>
      <c r="M258" s="264"/>
      <c r="N258" s="262"/>
      <c r="O258" s="125">
        <f t="shared" si="40"/>
        <v>0</v>
      </c>
      <c r="P258" s="74"/>
    </row>
    <row r="259" spans="1:16" ht="24" hidden="1" x14ac:dyDescent="0.25">
      <c r="A259" s="344">
        <v>6330</v>
      </c>
      <c r="B259" s="345" t="s">
        <v>275</v>
      </c>
      <c r="C259" s="281">
        <f t="shared" ref="C259:C286" si="50">F259+I259+L259+O259</f>
        <v>0</v>
      </c>
      <c r="D259" s="328"/>
      <c r="E259" s="329"/>
      <c r="F259" s="330">
        <f t="shared" si="37"/>
        <v>0</v>
      </c>
      <c r="G259" s="328"/>
      <c r="H259" s="331"/>
      <c r="I259" s="324">
        <f t="shared" si="38"/>
        <v>0</v>
      </c>
      <c r="J259" s="328"/>
      <c r="K259" s="331"/>
      <c r="L259" s="324">
        <f t="shared" si="39"/>
        <v>0</v>
      </c>
      <c r="M259" s="332"/>
      <c r="N259" s="329"/>
      <c r="O259" s="324">
        <f t="shared" si="40"/>
        <v>0</v>
      </c>
      <c r="P259" s="325"/>
    </row>
    <row r="260" spans="1:16" hidden="1" x14ac:dyDescent="0.25">
      <c r="A260" s="276">
        <v>6360</v>
      </c>
      <c r="B260" s="127" t="s">
        <v>276</v>
      </c>
      <c r="C260" s="281">
        <f t="shared" si="50"/>
        <v>0</v>
      </c>
      <c r="D260" s="134"/>
      <c r="E260" s="285"/>
      <c r="F260" s="286">
        <f t="shared" si="37"/>
        <v>0</v>
      </c>
      <c r="G260" s="134"/>
      <c r="H260" s="135"/>
      <c r="I260" s="136">
        <f t="shared" si="38"/>
        <v>0</v>
      </c>
      <c r="J260" s="134"/>
      <c r="K260" s="135"/>
      <c r="L260" s="136">
        <f t="shared" si="39"/>
        <v>0</v>
      </c>
      <c r="M260" s="284"/>
      <c r="N260" s="285"/>
      <c r="O260" s="136">
        <f t="shared" si="40"/>
        <v>0</v>
      </c>
      <c r="P260" s="85"/>
    </row>
    <row r="261" spans="1:16" ht="36" hidden="1" x14ac:dyDescent="0.25">
      <c r="A261" s="99">
        <v>6400</v>
      </c>
      <c r="B261" s="247" t="s">
        <v>277</v>
      </c>
      <c r="C261" s="100">
        <f t="shared" si="50"/>
        <v>0</v>
      </c>
      <c r="D261" s="112">
        <f>SUM(D262,D266)</f>
        <v>0</v>
      </c>
      <c r="E261" s="293">
        <f>SUM(E262,E266)</f>
        <v>0</v>
      </c>
      <c r="F261" s="313">
        <f t="shared" si="37"/>
        <v>0</v>
      </c>
      <c r="G261" s="112">
        <f>SUM(G262,G266)</f>
        <v>0</v>
      </c>
      <c r="H261" s="113">
        <f t="shared" ref="H261" si="51">SUM(H262,H266)</f>
        <v>0</v>
      </c>
      <c r="I261" s="114">
        <f t="shared" si="38"/>
        <v>0</v>
      </c>
      <c r="J261" s="112">
        <f>SUM(J262,J266)</f>
        <v>0</v>
      </c>
      <c r="K261" s="113">
        <f t="shared" ref="K261" si="52">SUM(K262,K266)</f>
        <v>0</v>
      </c>
      <c r="L261" s="114">
        <f t="shared" si="39"/>
        <v>0</v>
      </c>
      <c r="M261" s="303">
        <f t="shared" ref="M261:N261" si="53">SUM(M262,M266)</f>
        <v>0</v>
      </c>
      <c r="N261" s="304">
        <f t="shared" si="53"/>
        <v>0</v>
      </c>
      <c r="O261" s="305">
        <f t="shared" si="40"/>
        <v>0</v>
      </c>
      <c r="P261" s="306"/>
    </row>
    <row r="262" spans="1:16" ht="24" hidden="1" x14ac:dyDescent="0.25">
      <c r="A262" s="609">
        <v>6410</v>
      </c>
      <c r="B262" s="116" t="s">
        <v>278</v>
      </c>
      <c r="C262" s="300">
        <f t="shared" si="50"/>
        <v>0</v>
      </c>
      <c r="D262" s="297">
        <f>SUM(D263:D265)</f>
        <v>0</v>
      </c>
      <c r="E262" s="301">
        <f>SUM(E263:E265)</f>
        <v>0</v>
      </c>
      <c r="F262" s="263">
        <f t="shared" si="37"/>
        <v>0</v>
      </c>
      <c r="G262" s="297">
        <f>SUM(G263:G265)</f>
        <v>0</v>
      </c>
      <c r="H262" s="299">
        <f t="shared" ref="H262" si="54">SUM(H263:H265)</f>
        <v>0</v>
      </c>
      <c r="I262" s="125">
        <f t="shared" si="38"/>
        <v>0</v>
      </c>
      <c r="J262" s="297">
        <f>SUM(J263:J265)</f>
        <v>0</v>
      </c>
      <c r="K262" s="299">
        <f t="shared" ref="K262" si="55">SUM(K263:K265)</f>
        <v>0</v>
      </c>
      <c r="L262" s="125">
        <f t="shared" si="39"/>
        <v>0</v>
      </c>
      <c r="M262" s="317">
        <f t="shared" ref="M262:N262" si="56">SUM(M263:M265)</f>
        <v>0</v>
      </c>
      <c r="N262" s="318">
        <f t="shared" si="56"/>
        <v>0</v>
      </c>
      <c r="O262" s="151">
        <f t="shared" si="40"/>
        <v>0</v>
      </c>
      <c r="P262" s="153"/>
    </row>
    <row r="263" spans="1:16" hidden="1" x14ac:dyDescent="0.25">
      <c r="A263" s="76">
        <v>6411</v>
      </c>
      <c r="B263" s="346" t="s">
        <v>279</v>
      </c>
      <c r="C263" s="278">
        <f t="shared" si="50"/>
        <v>0</v>
      </c>
      <c r="D263" s="134"/>
      <c r="E263" s="285"/>
      <c r="F263" s="286">
        <f t="shared" si="37"/>
        <v>0</v>
      </c>
      <c r="G263" s="134"/>
      <c r="H263" s="135"/>
      <c r="I263" s="136">
        <f t="shared" si="38"/>
        <v>0</v>
      </c>
      <c r="J263" s="134"/>
      <c r="K263" s="135"/>
      <c r="L263" s="136">
        <f t="shared" si="39"/>
        <v>0</v>
      </c>
      <c r="M263" s="284"/>
      <c r="N263" s="285"/>
      <c r="O263" s="136">
        <f t="shared" si="40"/>
        <v>0</v>
      </c>
      <c r="P263" s="85"/>
    </row>
    <row r="264" spans="1:16" ht="36" hidden="1" x14ac:dyDescent="0.25">
      <c r="A264" s="76">
        <v>6412</v>
      </c>
      <c r="B264" s="127" t="s">
        <v>280</v>
      </c>
      <c r="C264" s="278">
        <f t="shared" si="50"/>
        <v>0</v>
      </c>
      <c r="D264" s="134"/>
      <c r="E264" s="285"/>
      <c r="F264" s="286">
        <f t="shared" si="37"/>
        <v>0</v>
      </c>
      <c r="G264" s="134"/>
      <c r="H264" s="135"/>
      <c r="I264" s="136">
        <f t="shared" si="38"/>
        <v>0</v>
      </c>
      <c r="J264" s="134"/>
      <c r="K264" s="135"/>
      <c r="L264" s="136">
        <f t="shared" si="39"/>
        <v>0</v>
      </c>
      <c r="M264" s="284"/>
      <c r="N264" s="285"/>
      <c r="O264" s="136">
        <f t="shared" si="40"/>
        <v>0</v>
      </c>
      <c r="P264" s="85"/>
    </row>
    <row r="265" spans="1:16" ht="36" hidden="1" x14ac:dyDescent="0.25">
      <c r="A265" s="76">
        <v>6419</v>
      </c>
      <c r="B265" s="127" t="s">
        <v>281</v>
      </c>
      <c r="C265" s="278">
        <f t="shared" si="50"/>
        <v>0</v>
      </c>
      <c r="D265" s="134"/>
      <c r="E265" s="285"/>
      <c r="F265" s="286">
        <f t="shared" si="37"/>
        <v>0</v>
      </c>
      <c r="G265" s="134"/>
      <c r="H265" s="135"/>
      <c r="I265" s="136">
        <f t="shared" si="38"/>
        <v>0</v>
      </c>
      <c r="J265" s="134"/>
      <c r="K265" s="135"/>
      <c r="L265" s="136">
        <f t="shared" si="39"/>
        <v>0</v>
      </c>
      <c r="M265" s="284"/>
      <c r="N265" s="285"/>
      <c r="O265" s="136">
        <f t="shared" si="40"/>
        <v>0</v>
      </c>
      <c r="P265" s="85"/>
    </row>
    <row r="266" spans="1:16" ht="36" hidden="1" x14ac:dyDescent="0.25">
      <c r="A266" s="276">
        <v>6420</v>
      </c>
      <c r="B266" s="127" t="s">
        <v>282</v>
      </c>
      <c r="C266" s="278">
        <f t="shared" si="50"/>
        <v>0</v>
      </c>
      <c r="D266" s="277">
        <f>SUM(D267:D270)</f>
        <v>0</v>
      </c>
      <c r="E266" s="282">
        <f>SUM(E267:E270)</f>
        <v>0</v>
      </c>
      <c r="F266" s="286">
        <f t="shared" si="37"/>
        <v>0</v>
      </c>
      <c r="G266" s="277">
        <f>SUM(G267:G270)</f>
        <v>0</v>
      </c>
      <c r="H266" s="280">
        <f>SUM(H267:H270)</f>
        <v>0</v>
      </c>
      <c r="I266" s="136">
        <f t="shared" si="38"/>
        <v>0</v>
      </c>
      <c r="J266" s="277">
        <f>SUM(J267:J270)</f>
        <v>0</v>
      </c>
      <c r="K266" s="280">
        <f>SUM(K267:K270)</f>
        <v>0</v>
      </c>
      <c r="L266" s="136">
        <f t="shared" si="39"/>
        <v>0</v>
      </c>
      <c r="M266" s="281">
        <f>SUM(M267:M270)</f>
        <v>0</v>
      </c>
      <c r="N266" s="282">
        <f>SUM(N267:N270)</f>
        <v>0</v>
      </c>
      <c r="O266" s="136">
        <f t="shared" si="40"/>
        <v>0</v>
      </c>
      <c r="P266" s="85"/>
    </row>
    <row r="267" spans="1:16" hidden="1" x14ac:dyDescent="0.25">
      <c r="A267" s="76">
        <v>6421</v>
      </c>
      <c r="B267" s="127" t="s">
        <v>283</v>
      </c>
      <c r="C267" s="278">
        <f t="shared" si="50"/>
        <v>0</v>
      </c>
      <c r="D267" s="134"/>
      <c r="E267" s="285"/>
      <c r="F267" s="286">
        <f t="shared" si="37"/>
        <v>0</v>
      </c>
      <c r="G267" s="134"/>
      <c r="H267" s="135"/>
      <c r="I267" s="136">
        <f t="shared" si="38"/>
        <v>0</v>
      </c>
      <c r="J267" s="134"/>
      <c r="K267" s="135"/>
      <c r="L267" s="136">
        <f t="shared" si="39"/>
        <v>0</v>
      </c>
      <c r="M267" s="284"/>
      <c r="N267" s="285"/>
      <c r="O267" s="136">
        <f t="shared" si="40"/>
        <v>0</v>
      </c>
      <c r="P267" s="85"/>
    </row>
    <row r="268" spans="1:16" hidden="1" x14ac:dyDescent="0.25">
      <c r="A268" s="76">
        <v>6422</v>
      </c>
      <c r="B268" s="127" t="s">
        <v>284</v>
      </c>
      <c r="C268" s="278">
        <f t="shared" si="50"/>
        <v>0</v>
      </c>
      <c r="D268" s="134"/>
      <c r="E268" s="285"/>
      <c r="F268" s="286">
        <f t="shared" si="37"/>
        <v>0</v>
      </c>
      <c r="G268" s="134"/>
      <c r="H268" s="135"/>
      <c r="I268" s="136">
        <f t="shared" si="38"/>
        <v>0</v>
      </c>
      <c r="J268" s="134"/>
      <c r="K268" s="135"/>
      <c r="L268" s="136">
        <f t="shared" si="39"/>
        <v>0</v>
      </c>
      <c r="M268" s="284"/>
      <c r="N268" s="285"/>
      <c r="O268" s="136">
        <f t="shared" si="40"/>
        <v>0</v>
      </c>
      <c r="P268" s="85"/>
    </row>
    <row r="269" spans="1:16" ht="24" hidden="1" x14ac:dyDescent="0.25">
      <c r="A269" s="76">
        <v>6423</v>
      </c>
      <c r="B269" s="127" t="s">
        <v>285</v>
      </c>
      <c r="C269" s="278">
        <f t="shared" si="50"/>
        <v>0</v>
      </c>
      <c r="D269" s="134"/>
      <c r="E269" s="285"/>
      <c r="F269" s="286">
        <f t="shared" si="37"/>
        <v>0</v>
      </c>
      <c r="G269" s="134"/>
      <c r="H269" s="135"/>
      <c r="I269" s="136">
        <f t="shared" si="38"/>
        <v>0</v>
      </c>
      <c r="J269" s="134"/>
      <c r="K269" s="135"/>
      <c r="L269" s="136">
        <f t="shared" si="39"/>
        <v>0</v>
      </c>
      <c r="M269" s="284"/>
      <c r="N269" s="285"/>
      <c r="O269" s="136">
        <f t="shared" si="40"/>
        <v>0</v>
      </c>
      <c r="P269" s="85"/>
    </row>
    <row r="270" spans="1:16" ht="36" hidden="1" x14ac:dyDescent="0.25">
      <c r="A270" s="76">
        <v>6424</v>
      </c>
      <c r="B270" s="127" t="s">
        <v>286</v>
      </c>
      <c r="C270" s="278">
        <f t="shared" si="50"/>
        <v>0</v>
      </c>
      <c r="D270" s="134"/>
      <c r="E270" s="285"/>
      <c r="F270" s="286">
        <f t="shared" si="37"/>
        <v>0</v>
      </c>
      <c r="G270" s="134"/>
      <c r="H270" s="135"/>
      <c r="I270" s="136">
        <f t="shared" si="38"/>
        <v>0</v>
      </c>
      <c r="J270" s="134"/>
      <c r="K270" s="135"/>
      <c r="L270" s="136">
        <f t="shared" si="39"/>
        <v>0</v>
      </c>
      <c r="M270" s="284"/>
      <c r="N270" s="285"/>
      <c r="O270" s="136">
        <f t="shared" si="40"/>
        <v>0</v>
      </c>
      <c r="P270" s="85"/>
    </row>
    <row r="271" spans="1:16" ht="36" hidden="1" x14ac:dyDescent="0.25">
      <c r="A271" s="347">
        <v>7000</v>
      </c>
      <c r="B271" s="347" t="s">
        <v>287</v>
      </c>
      <c r="C271" s="348">
        <f t="shared" si="50"/>
        <v>0</v>
      </c>
      <c r="D271" s="349">
        <f>SUM(D272,D282)</f>
        <v>0</v>
      </c>
      <c r="E271" s="407">
        <f>SUM(E272,E282)</f>
        <v>0</v>
      </c>
      <c r="F271" s="408">
        <f t="shared" si="37"/>
        <v>0</v>
      </c>
      <c r="G271" s="349">
        <f>SUM(G272,G282)</f>
        <v>0</v>
      </c>
      <c r="H271" s="352">
        <f>SUM(H272,H282)</f>
        <v>0</v>
      </c>
      <c r="I271" s="353">
        <f t="shared" si="38"/>
        <v>0</v>
      </c>
      <c r="J271" s="349">
        <f>SUM(J272,J282)</f>
        <v>0</v>
      </c>
      <c r="K271" s="352">
        <f>SUM(K272,K282)</f>
        <v>0</v>
      </c>
      <c r="L271" s="353">
        <f t="shared" si="39"/>
        <v>0</v>
      </c>
      <c r="M271" s="354">
        <f>SUM(M272,M282)</f>
        <v>0</v>
      </c>
      <c r="N271" s="355">
        <f>SUM(N272,N282)</f>
        <v>0</v>
      </c>
      <c r="O271" s="356">
        <f t="shared" si="40"/>
        <v>0</v>
      </c>
      <c r="P271" s="357"/>
    </row>
    <row r="272" spans="1:16" ht="24" hidden="1" x14ac:dyDescent="0.25">
      <c r="A272" s="99">
        <v>7200</v>
      </c>
      <c r="B272" s="247" t="s">
        <v>288</v>
      </c>
      <c r="C272" s="100">
        <f t="shared" si="50"/>
        <v>0</v>
      </c>
      <c r="D272" s="112">
        <f>SUM(D273,D274,D277,D278,D281)</f>
        <v>0</v>
      </c>
      <c r="E272" s="293">
        <f>SUM(E273,E274,E277,E278,E281)</f>
        <v>0</v>
      </c>
      <c r="F272" s="313">
        <f t="shared" si="37"/>
        <v>0</v>
      </c>
      <c r="G272" s="112">
        <f>SUM(G273,G274,G277,G278,G281)</f>
        <v>0</v>
      </c>
      <c r="H272" s="113">
        <f>SUM(H273,H274,H277,H278,H281)</f>
        <v>0</v>
      </c>
      <c r="I272" s="114">
        <f t="shared" si="38"/>
        <v>0</v>
      </c>
      <c r="J272" s="112">
        <f>SUM(J273,J274,J277,J278,J281)</f>
        <v>0</v>
      </c>
      <c r="K272" s="113">
        <f>SUM(K273,K274,K277,K278,K281)</f>
        <v>0</v>
      </c>
      <c r="L272" s="114">
        <f t="shared" si="39"/>
        <v>0</v>
      </c>
      <c r="M272" s="250">
        <f>SUM(M273,M274,M277,M278,M281)</f>
        <v>0</v>
      </c>
      <c r="N272" s="251">
        <f>SUM(N273,N274,N277,N278,N281)</f>
        <v>0</v>
      </c>
      <c r="O272" s="252">
        <f t="shared" si="40"/>
        <v>0</v>
      </c>
      <c r="P272" s="253"/>
    </row>
    <row r="273" spans="1:16" ht="24" hidden="1" x14ac:dyDescent="0.25">
      <c r="A273" s="609">
        <v>7210</v>
      </c>
      <c r="B273" s="116" t="s">
        <v>289</v>
      </c>
      <c r="C273" s="117">
        <f t="shared" si="50"/>
        <v>0</v>
      </c>
      <c r="D273" s="123"/>
      <c r="E273" s="262"/>
      <c r="F273" s="263">
        <f t="shared" si="37"/>
        <v>0</v>
      </c>
      <c r="G273" s="123"/>
      <c r="H273" s="124"/>
      <c r="I273" s="125">
        <f t="shared" si="38"/>
        <v>0</v>
      </c>
      <c r="J273" s="123"/>
      <c r="K273" s="124"/>
      <c r="L273" s="125">
        <f t="shared" si="39"/>
        <v>0</v>
      </c>
      <c r="M273" s="264"/>
      <c r="N273" s="262"/>
      <c r="O273" s="125">
        <f t="shared" si="40"/>
        <v>0</v>
      </c>
      <c r="P273" s="74"/>
    </row>
    <row r="274" spans="1:16" s="358" customFormat="1" ht="36" hidden="1" x14ac:dyDescent="0.25">
      <c r="A274" s="276">
        <v>7220</v>
      </c>
      <c r="B274" s="127" t="s">
        <v>290</v>
      </c>
      <c r="C274" s="128">
        <f t="shared" si="50"/>
        <v>0</v>
      </c>
      <c r="D274" s="277">
        <f>SUM(D275:D276)</f>
        <v>0</v>
      </c>
      <c r="E274" s="282">
        <f>SUM(E275:E276)</f>
        <v>0</v>
      </c>
      <c r="F274" s="286">
        <f t="shared" si="37"/>
        <v>0</v>
      </c>
      <c r="G274" s="277">
        <f>SUM(G275:G276)</f>
        <v>0</v>
      </c>
      <c r="H274" s="280">
        <f>SUM(H275:H276)</f>
        <v>0</v>
      </c>
      <c r="I274" s="136">
        <f t="shared" si="38"/>
        <v>0</v>
      </c>
      <c r="J274" s="277">
        <f>SUM(J275:J276)</f>
        <v>0</v>
      </c>
      <c r="K274" s="280">
        <f>SUM(K275:K276)</f>
        <v>0</v>
      </c>
      <c r="L274" s="136">
        <f t="shared" si="39"/>
        <v>0</v>
      </c>
      <c r="M274" s="281">
        <f>SUM(M275:M276)</f>
        <v>0</v>
      </c>
      <c r="N274" s="282">
        <f>SUM(N275:N276)</f>
        <v>0</v>
      </c>
      <c r="O274" s="136">
        <f t="shared" si="40"/>
        <v>0</v>
      </c>
      <c r="P274" s="85"/>
    </row>
    <row r="275" spans="1:16" s="358" customFormat="1" ht="36" hidden="1" x14ac:dyDescent="0.25">
      <c r="A275" s="76">
        <v>7221</v>
      </c>
      <c r="B275" s="127" t="s">
        <v>291</v>
      </c>
      <c r="C275" s="128">
        <f t="shared" si="50"/>
        <v>0</v>
      </c>
      <c r="D275" s="134"/>
      <c r="E275" s="285"/>
      <c r="F275" s="286">
        <f t="shared" si="37"/>
        <v>0</v>
      </c>
      <c r="G275" s="134"/>
      <c r="H275" s="135"/>
      <c r="I275" s="136">
        <f t="shared" si="38"/>
        <v>0</v>
      </c>
      <c r="J275" s="134"/>
      <c r="K275" s="135"/>
      <c r="L275" s="136">
        <f t="shared" si="39"/>
        <v>0</v>
      </c>
      <c r="M275" s="284"/>
      <c r="N275" s="285"/>
      <c r="O275" s="136">
        <f t="shared" si="40"/>
        <v>0</v>
      </c>
      <c r="P275" s="85"/>
    </row>
    <row r="276" spans="1:16" s="358" customFormat="1" ht="36" hidden="1" x14ac:dyDescent="0.25">
      <c r="A276" s="76">
        <v>7222</v>
      </c>
      <c r="B276" s="127" t="s">
        <v>292</v>
      </c>
      <c r="C276" s="128">
        <f t="shared" si="50"/>
        <v>0</v>
      </c>
      <c r="D276" s="134"/>
      <c r="E276" s="285"/>
      <c r="F276" s="286">
        <f t="shared" si="37"/>
        <v>0</v>
      </c>
      <c r="G276" s="134"/>
      <c r="H276" s="135"/>
      <c r="I276" s="136">
        <f t="shared" si="38"/>
        <v>0</v>
      </c>
      <c r="J276" s="134"/>
      <c r="K276" s="135"/>
      <c r="L276" s="136">
        <f t="shared" si="39"/>
        <v>0</v>
      </c>
      <c r="M276" s="284"/>
      <c r="N276" s="285"/>
      <c r="O276" s="136">
        <f t="shared" si="40"/>
        <v>0</v>
      </c>
      <c r="P276" s="85"/>
    </row>
    <row r="277" spans="1:16" s="358" customFormat="1" ht="24" hidden="1" x14ac:dyDescent="0.25">
      <c r="A277" s="276">
        <v>7230</v>
      </c>
      <c r="B277" s="127" t="s">
        <v>293</v>
      </c>
      <c r="C277" s="128">
        <f t="shared" si="50"/>
        <v>0</v>
      </c>
      <c r="D277" s="134"/>
      <c r="E277" s="285"/>
      <c r="F277" s="286">
        <f t="shared" si="37"/>
        <v>0</v>
      </c>
      <c r="G277" s="134"/>
      <c r="H277" s="135"/>
      <c r="I277" s="136">
        <f t="shared" si="38"/>
        <v>0</v>
      </c>
      <c r="J277" s="134"/>
      <c r="K277" s="135"/>
      <c r="L277" s="136">
        <f t="shared" si="39"/>
        <v>0</v>
      </c>
      <c r="M277" s="284"/>
      <c r="N277" s="285"/>
      <c r="O277" s="136">
        <f>M277+N277</f>
        <v>0</v>
      </c>
      <c r="P277" s="85"/>
    </row>
    <row r="278" spans="1:16" ht="24" hidden="1" x14ac:dyDescent="0.25">
      <c r="A278" s="276">
        <v>7240</v>
      </c>
      <c r="B278" s="127" t="s">
        <v>294</v>
      </c>
      <c r="C278" s="128">
        <f t="shared" si="50"/>
        <v>0</v>
      </c>
      <c r="D278" s="277">
        <f>SUM(D279:D280)</f>
        <v>0</v>
      </c>
      <c r="E278" s="282">
        <f>SUM(E279:E280)</f>
        <v>0</v>
      </c>
      <c r="F278" s="286">
        <f t="shared" si="37"/>
        <v>0</v>
      </c>
      <c r="G278" s="277">
        <f>SUM(G279:G280)</f>
        <v>0</v>
      </c>
      <c r="H278" s="280">
        <f>SUM(H279:H280)</f>
        <v>0</v>
      </c>
      <c r="I278" s="136">
        <f t="shared" si="38"/>
        <v>0</v>
      </c>
      <c r="J278" s="277">
        <f>SUM(J279:J280)</f>
        <v>0</v>
      </c>
      <c r="K278" s="280">
        <f>SUM(K279:K280)</f>
        <v>0</v>
      </c>
      <c r="L278" s="136">
        <f t="shared" si="39"/>
        <v>0</v>
      </c>
      <c r="M278" s="281">
        <f>SUM(M279:M280)</f>
        <v>0</v>
      </c>
      <c r="N278" s="282">
        <f>SUM(N279:N280)</f>
        <v>0</v>
      </c>
      <c r="O278" s="136">
        <f>SUM(O279:O280)</f>
        <v>0</v>
      </c>
      <c r="P278" s="85"/>
    </row>
    <row r="279" spans="1:16" ht="48" hidden="1" x14ac:dyDescent="0.25">
      <c r="A279" s="76">
        <v>7245</v>
      </c>
      <c r="B279" s="127" t="s">
        <v>295</v>
      </c>
      <c r="C279" s="128">
        <f t="shared" si="50"/>
        <v>0</v>
      </c>
      <c r="D279" s="134"/>
      <c r="E279" s="285"/>
      <c r="F279" s="286">
        <f t="shared" si="37"/>
        <v>0</v>
      </c>
      <c r="G279" s="134"/>
      <c r="H279" s="135"/>
      <c r="I279" s="136">
        <f t="shared" si="38"/>
        <v>0</v>
      </c>
      <c r="J279" s="134"/>
      <c r="K279" s="135"/>
      <c r="L279" s="136">
        <f t="shared" si="39"/>
        <v>0</v>
      </c>
      <c r="M279" s="284"/>
      <c r="N279" s="285"/>
      <c r="O279" s="136">
        <f t="shared" ref="O279:O282" si="57">M279+N279</f>
        <v>0</v>
      </c>
      <c r="P279" s="85"/>
    </row>
    <row r="280" spans="1:16" ht="96" hidden="1" x14ac:dyDescent="0.25">
      <c r="A280" s="76">
        <v>7246</v>
      </c>
      <c r="B280" s="127" t="s">
        <v>296</v>
      </c>
      <c r="C280" s="128">
        <f t="shared" si="50"/>
        <v>0</v>
      </c>
      <c r="D280" s="134"/>
      <c r="E280" s="285"/>
      <c r="F280" s="286">
        <f t="shared" si="37"/>
        <v>0</v>
      </c>
      <c r="G280" s="134"/>
      <c r="H280" s="135"/>
      <c r="I280" s="136">
        <f t="shared" si="38"/>
        <v>0</v>
      </c>
      <c r="J280" s="134"/>
      <c r="K280" s="135"/>
      <c r="L280" s="136">
        <f t="shared" si="39"/>
        <v>0</v>
      </c>
      <c r="M280" s="284"/>
      <c r="N280" s="285"/>
      <c r="O280" s="136">
        <f t="shared" si="57"/>
        <v>0</v>
      </c>
      <c r="P280" s="85"/>
    </row>
    <row r="281" spans="1:16" ht="24" hidden="1" x14ac:dyDescent="0.25">
      <c r="A281" s="276">
        <v>7260</v>
      </c>
      <c r="B281" s="127" t="s">
        <v>297</v>
      </c>
      <c r="C281" s="128">
        <f t="shared" si="50"/>
        <v>0</v>
      </c>
      <c r="D281" s="123"/>
      <c r="E281" s="262"/>
      <c r="F281" s="263">
        <f t="shared" si="37"/>
        <v>0</v>
      </c>
      <c r="G281" s="123"/>
      <c r="H281" s="124"/>
      <c r="I281" s="125">
        <f t="shared" si="38"/>
        <v>0</v>
      </c>
      <c r="J281" s="123"/>
      <c r="K281" s="124"/>
      <c r="L281" s="125">
        <f t="shared" si="39"/>
        <v>0</v>
      </c>
      <c r="M281" s="264"/>
      <c r="N281" s="262"/>
      <c r="O281" s="125">
        <f t="shared" si="57"/>
        <v>0</v>
      </c>
      <c r="P281" s="74"/>
    </row>
    <row r="282" spans="1:16" hidden="1" x14ac:dyDescent="0.25">
      <c r="A282" s="99">
        <v>7700</v>
      </c>
      <c r="B282" s="247" t="s">
        <v>298</v>
      </c>
      <c r="C282" s="359">
        <f t="shared" si="50"/>
        <v>0</v>
      </c>
      <c r="D282" s="360">
        <f>D283</f>
        <v>0</v>
      </c>
      <c r="E282" s="304">
        <f>SUM(E283)</f>
        <v>0</v>
      </c>
      <c r="F282" s="316">
        <f t="shared" si="37"/>
        <v>0</v>
      </c>
      <c r="G282" s="360">
        <f>G283</f>
        <v>0</v>
      </c>
      <c r="H282" s="361">
        <f>SUM(H283)</f>
        <v>0</v>
      </c>
      <c r="I282" s="305">
        <f t="shared" si="38"/>
        <v>0</v>
      </c>
      <c r="J282" s="360">
        <f>J283</f>
        <v>0</v>
      </c>
      <c r="K282" s="361">
        <f>SUM(K283)</f>
        <v>0</v>
      </c>
      <c r="L282" s="305">
        <f t="shared" si="39"/>
        <v>0</v>
      </c>
      <c r="M282" s="303">
        <f>SUM(M283)</f>
        <v>0</v>
      </c>
      <c r="N282" s="304">
        <f>SUM(N283)</f>
        <v>0</v>
      </c>
      <c r="O282" s="305">
        <f t="shared" si="57"/>
        <v>0</v>
      </c>
      <c r="P282" s="306"/>
    </row>
    <row r="283" spans="1:16" hidden="1" x14ac:dyDescent="0.25">
      <c r="A283" s="141">
        <v>7720</v>
      </c>
      <c r="B283" s="142" t="s">
        <v>299</v>
      </c>
      <c r="C283" s="362">
        <f t="shared" si="50"/>
        <v>0</v>
      </c>
      <c r="D283" s="149"/>
      <c r="E283" s="363"/>
      <c r="F283" s="364">
        <f t="shared" si="37"/>
        <v>0</v>
      </c>
      <c r="G283" s="149"/>
      <c r="H283" s="150"/>
      <c r="I283" s="151">
        <f t="shared" si="38"/>
        <v>0</v>
      </c>
      <c r="J283" s="149"/>
      <c r="K283" s="150"/>
      <c r="L283" s="151">
        <f t="shared" si="39"/>
        <v>0</v>
      </c>
      <c r="M283" s="365"/>
      <c r="N283" s="363"/>
      <c r="O283" s="151">
        <f>M283+N283</f>
        <v>0</v>
      </c>
      <c r="P283" s="153"/>
    </row>
    <row r="284" spans="1:16" hidden="1" x14ac:dyDescent="0.25">
      <c r="A284" s="366"/>
      <c r="B284" s="179" t="s">
        <v>300</v>
      </c>
      <c r="C284" s="117">
        <f t="shared" si="50"/>
        <v>0</v>
      </c>
      <c r="D284" s="255">
        <f>SUM(D285:D286)</f>
        <v>0</v>
      </c>
      <c r="E284" s="261">
        <f>SUM(E285:E286)</f>
        <v>0</v>
      </c>
      <c r="F284" s="310">
        <f t="shared" si="37"/>
        <v>0</v>
      </c>
      <c r="G284" s="255">
        <f>SUM(G285:G286)</f>
        <v>0</v>
      </c>
      <c r="H284" s="258">
        <f>SUM(H285:H286)</f>
        <v>0</v>
      </c>
      <c r="I284" s="259">
        <f t="shared" si="38"/>
        <v>0</v>
      </c>
      <c r="J284" s="255">
        <f>SUM(J285:J286)</f>
        <v>0</v>
      </c>
      <c r="K284" s="258">
        <f>SUM(K285:K286)</f>
        <v>0</v>
      </c>
      <c r="L284" s="259">
        <f t="shared" si="39"/>
        <v>0</v>
      </c>
      <c r="M284" s="260">
        <f>SUM(M285:M286)</f>
        <v>0</v>
      </c>
      <c r="N284" s="261">
        <f>SUM(N285:N286)</f>
        <v>0</v>
      </c>
      <c r="O284" s="259">
        <f t="shared" ref="O284:O299" si="58">M284+N284</f>
        <v>0</v>
      </c>
      <c r="P284" s="189"/>
    </row>
    <row r="285" spans="1:16" hidden="1" x14ac:dyDescent="0.25">
      <c r="A285" s="346" t="s">
        <v>301</v>
      </c>
      <c r="B285" s="76" t="s">
        <v>302</v>
      </c>
      <c r="C285" s="279">
        <f t="shared" si="50"/>
        <v>0</v>
      </c>
      <c r="D285" s="134"/>
      <c r="E285" s="285"/>
      <c r="F285" s="286">
        <f t="shared" si="37"/>
        <v>0</v>
      </c>
      <c r="G285" s="134"/>
      <c r="H285" s="135"/>
      <c r="I285" s="136">
        <f t="shared" si="38"/>
        <v>0</v>
      </c>
      <c r="J285" s="134"/>
      <c r="K285" s="135"/>
      <c r="L285" s="136">
        <f t="shared" si="39"/>
        <v>0</v>
      </c>
      <c r="M285" s="284"/>
      <c r="N285" s="285"/>
      <c r="O285" s="136">
        <f t="shared" si="58"/>
        <v>0</v>
      </c>
      <c r="P285" s="85"/>
    </row>
    <row r="286" spans="1:16" ht="24" hidden="1" x14ac:dyDescent="0.25">
      <c r="A286" s="346" t="s">
        <v>303</v>
      </c>
      <c r="B286" s="367" t="s">
        <v>304</v>
      </c>
      <c r="C286" s="117">
        <f t="shared" si="50"/>
        <v>0</v>
      </c>
      <c r="D286" s="123"/>
      <c r="E286" s="262"/>
      <c r="F286" s="263">
        <f t="shared" si="37"/>
        <v>0</v>
      </c>
      <c r="G286" s="123"/>
      <c r="H286" s="124"/>
      <c r="I286" s="125">
        <f t="shared" si="38"/>
        <v>0</v>
      </c>
      <c r="J286" s="123"/>
      <c r="K286" s="124"/>
      <c r="L286" s="125">
        <f t="shared" si="39"/>
        <v>0</v>
      </c>
      <c r="M286" s="264"/>
      <c r="N286" s="262"/>
      <c r="O286" s="125">
        <f t="shared" si="58"/>
        <v>0</v>
      </c>
      <c r="P286" s="74"/>
    </row>
    <row r="287" spans="1:16" x14ac:dyDescent="0.25">
      <c r="A287" s="368"/>
      <c r="B287" s="369" t="s">
        <v>305</v>
      </c>
      <c r="C287" s="370">
        <f>SUM(C284,C271,C233,C198,C190,C176,C78,C56)</f>
        <v>1212160</v>
      </c>
      <c r="D287" s="371">
        <f>SUM(D284,D271,D233,D198,D190,D176,D78,D56)</f>
        <v>3210000</v>
      </c>
      <c r="E287" s="623">
        <f>SUM(E284,E271,E233,E198,E190,E176,E78,E56)</f>
        <v>-1997840</v>
      </c>
      <c r="F287" s="373">
        <f t="shared" si="37"/>
        <v>1212160</v>
      </c>
      <c r="G287" s="371">
        <f>SUM(G284,G271,G233,G198,G190,G176,G78,G56)</f>
        <v>0</v>
      </c>
      <c r="H287" s="374">
        <f>SUM(H284,H271,H233,H198,H190,H176,H78,H56)</f>
        <v>0</v>
      </c>
      <c r="I287" s="375">
        <f t="shared" si="38"/>
        <v>0</v>
      </c>
      <c r="J287" s="371">
        <f>SUM(J284,J271,J233,J198,J190,J176,J78,J56)</f>
        <v>0</v>
      </c>
      <c r="K287" s="374">
        <f>SUM(K284,K271,K233,K198,K190,K176,K78,K56)</f>
        <v>0</v>
      </c>
      <c r="L287" s="375">
        <f t="shared" si="39"/>
        <v>0</v>
      </c>
      <c r="M287" s="250">
        <f>SUM(M284,M271,M233,M198,M190,M176,M78,M56)</f>
        <v>0</v>
      </c>
      <c r="N287" s="251">
        <f>SUM(N284,N271,N233,N198,N190,N176,N78,N56)</f>
        <v>0</v>
      </c>
      <c r="O287" s="252">
        <f t="shared" si="58"/>
        <v>0</v>
      </c>
      <c r="P287" s="253"/>
    </row>
    <row r="288" spans="1:16" hidden="1" x14ac:dyDescent="0.25">
      <c r="A288" s="376" t="s">
        <v>306</v>
      </c>
      <c r="B288" s="377"/>
      <c r="C288" s="378">
        <f t="shared" ref="C288" si="59">F288+I288+L288+O288</f>
        <v>0</v>
      </c>
      <c r="D288" s="379">
        <f>SUM(D28,D29,D45)-D54</f>
        <v>0</v>
      </c>
      <c r="E288" s="384">
        <f>SUM(E28,E29,E45)-E54</f>
        <v>0</v>
      </c>
      <c r="F288" s="388">
        <f t="shared" si="37"/>
        <v>0</v>
      </c>
      <c r="G288" s="379">
        <f>SUM(G28,G29,G45)-G54</f>
        <v>0</v>
      </c>
      <c r="H288" s="382">
        <f>SUM(H28,H29,H45)-H54</f>
        <v>0</v>
      </c>
      <c r="I288" s="383">
        <f t="shared" si="38"/>
        <v>0</v>
      </c>
      <c r="J288" s="379">
        <f>(J30+J46)-J54</f>
        <v>0</v>
      </c>
      <c r="K288" s="382">
        <f>(K30+K46)-K54</f>
        <v>0</v>
      </c>
      <c r="L288" s="383">
        <f t="shared" si="39"/>
        <v>0</v>
      </c>
      <c r="M288" s="378">
        <f>M48-M54</f>
        <v>0</v>
      </c>
      <c r="N288" s="384">
        <f>N48-N54</f>
        <v>0</v>
      </c>
      <c r="O288" s="383">
        <f t="shared" si="58"/>
        <v>0</v>
      </c>
      <c r="P288" s="385"/>
    </row>
    <row r="289" spans="1:17" s="41" customFormat="1" ht="12" hidden="1" x14ac:dyDescent="0.25">
      <c r="A289" s="376" t="s">
        <v>307</v>
      </c>
      <c r="B289" s="377"/>
      <c r="C289" s="380">
        <f>SUM(C290,C291)-C298+C299</f>
        <v>0</v>
      </c>
      <c r="D289" s="379">
        <f>SUM(D290,D291)-D298+D299</f>
        <v>0</v>
      </c>
      <c r="E289" s="384">
        <f>SUM(E290,E291)-E298+E299</f>
        <v>0</v>
      </c>
      <c r="F289" s="388">
        <f t="shared" si="37"/>
        <v>0</v>
      </c>
      <c r="G289" s="379">
        <f>SUM(G290,G291)-G298+G299</f>
        <v>0</v>
      </c>
      <c r="H289" s="382">
        <f>SUM(H290,H291)-H298+H299</f>
        <v>0</v>
      </c>
      <c r="I289" s="383">
        <f t="shared" si="38"/>
        <v>0</v>
      </c>
      <c r="J289" s="379">
        <f>SUM(J290,J291)-J298+J299</f>
        <v>0</v>
      </c>
      <c r="K289" s="382">
        <f>SUM(K290,K291)-K298+K299</f>
        <v>0</v>
      </c>
      <c r="L289" s="383">
        <f t="shared" si="39"/>
        <v>0</v>
      </c>
      <c r="M289" s="378">
        <f>SUM(M290,M291)-M298+M299</f>
        <v>0</v>
      </c>
      <c r="N289" s="384">
        <f>SUM(N290,N291)-N298+N299</f>
        <v>0</v>
      </c>
      <c r="O289" s="383">
        <f t="shared" si="58"/>
        <v>0</v>
      </c>
      <c r="P289" s="385"/>
    </row>
    <row r="290" spans="1:17" s="41" customFormat="1" ht="12" hidden="1" x14ac:dyDescent="0.25">
      <c r="A290" s="386" t="s">
        <v>308</v>
      </c>
      <c r="B290" s="386" t="s">
        <v>309</v>
      </c>
      <c r="C290" s="380">
        <f>C25-C284</f>
        <v>0</v>
      </c>
      <c r="D290" s="379">
        <f>D25-D284</f>
        <v>0</v>
      </c>
      <c r="E290" s="384">
        <f>E25-E284</f>
        <v>0</v>
      </c>
      <c r="F290" s="388">
        <f t="shared" si="37"/>
        <v>0</v>
      </c>
      <c r="G290" s="379">
        <f>G25-G284</f>
        <v>0</v>
      </c>
      <c r="H290" s="382">
        <f>H25-H284</f>
        <v>0</v>
      </c>
      <c r="I290" s="383">
        <f t="shared" si="38"/>
        <v>0</v>
      </c>
      <c r="J290" s="379">
        <f>J25-J284</f>
        <v>0</v>
      </c>
      <c r="K290" s="382">
        <f>K25-K284</f>
        <v>0</v>
      </c>
      <c r="L290" s="383">
        <f t="shared" si="39"/>
        <v>0</v>
      </c>
      <c r="M290" s="378">
        <f>M25-M284</f>
        <v>0</v>
      </c>
      <c r="N290" s="384">
        <f>N25-N284</f>
        <v>0</v>
      </c>
      <c r="O290" s="383">
        <f t="shared" si="58"/>
        <v>0</v>
      </c>
      <c r="P290" s="385"/>
    </row>
    <row r="291" spans="1:17" s="41" customFormat="1" ht="12" hidden="1" x14ac:dyDescent="0.25">
      <c r="A291" s="387" t="s">
        <v>310</v>
      </c>
      <c r="B291" s="387" t="s">
        <v>311</v>
      </c>
      <c r="C291" s="380">
        <f>SUM(C292,C294,C296)-SUM(C293,C295,C297)</f>
        <v>0</v>
      </c>
      <c r="D291" s="379">
        <f t="shared" ref="D291:E291" si="60">SUM(D292,D294,D296)-SUM(D293,D295,D297)</f>
        <v>0</v>
      </c>
      <c r="E291" s="384">
        <f t="shared" si="60"/>
        <v>0</v>
      </c>
      <c r="F291" s="388">
        <f t="shared" si="37"/>
        <v>0</v>
      </c>
      <c r="G291" s="379">
        <f t="shared" ref="G291:H291" si="61">SUM(G292,G294,G296)-SUM(G293,G295,G297)</f>
        <v>0</v>
      </c>
      <c r="H291" s="382">
        <f t="shared" si="61"/>
        <v>0</v>
      </c>
      <c r="I291" s="383">
        <f t="shared" si="38"/>
        <v>0</v>
      </c>
      <c r="J291" s="379">
        <f t="shared" ref="J291:K291" si="62">SUM(J292,J294,J296)-SUM(J293,J295,J297)</f>
        <v>0</v>
      </c>
      <c r="K291" s="382">
        <f t="shared" si="62"/>
        <v>0</v>
      </c>
      <c r="L291" s="383">
        <f t="shared" si="39"/>
        <v>0</v>
      </c>
      <c r="M291" s="378">
        <f t="shared" ref="M291:N291" si="63">SUM(M292,M294,M296)-SUM(M293,M295,M297)</f>
        <v>0</v>
      </c>
      <c r="N291" s="384">
        <f t="shared" si="63"/>
        <v>0</v>
      </c>
      <c r="O291" s="383">
        <f t="shared" si="58"/>
        <v>0</v>
      </c>
      <c r="P291" s="385"/>
    </row>
    <row r="292" spans="1:17" s="41" customFormat="1" ht="12" hidden="1" x14ac:dyDescent="0.25">
      <c r="A292" s="366" t="s">
        <v>312</v>
      </c>
      <c r="B292" s="190" t="s">
        <v>313</v>
      </c>
      <c r="C292" s="143">
        <f t="shared" ref="C292:C299" si="64">F292+I292+L292+O292</f>
        <v>0</v>
      </c>
      <c r="D292" s="149"/>
      <c r="E292" s="363"/>
      <c r="F292" s="364">
        <f t="shared" si="37"/>
        <v>0</v>
      </c>
      <c r="G292" s="149"/>
      <c r="H292" s="150"/>
      <c r="I292" s="151">
        <f t="shared" si="38"/>
        <v>0</v>
      </c>
      <c r="J292" s="149"/>
      <c r="K292" s="150"/>
      <c r="L292" s="151">
        <f t="shared" si="39"/>
        <v>0</v>
      </c>
      <c r="M292" s="365"/>
      <c r="N292" s="363"/>
      <c r="O292" s="151">
        <f t="shared" si="58"/>
        <v>0</v>
      </c>
      <c r="P292" s="153"/>
    </row>
    <row r="293" spans="1:17" ht="24" hidden="1" x14ac:dyDescent="0.25">
      <c r="A293" s="346" t="s">
        <v>314</v>
      </c>
      <c r="B293" s="75" t="s">
        <v>315</v>
      </c>
      <c r="C293" s="128">
        <f t="shared" si="64"/>
        <v>0</v>
      </c>
      <c r="D293" s="134"/>
      <c r="E293" s="285"/>
      <c r="F293" s="286">
        <f t="shared" si="37"/>
        <v>0</v>
      </c>
      <c r="G293" s="134"/>
      <c r="H293" s="135"/>
      <c r="I293" s="136">
        <f t="shared" si="38"/>
        <v>0</v>
      </c>
      <c r="J293" s="134"/>
      <c r="K293" s="135"/>
      <c r="L293" s="136">
        <f t="shared" si="39"/>
        <v>0</v>
      </c>
      <c r="M293" s="284"/>
      <c r="N293" s="285"/>
      <c r="O293" s="136">
        <f t="shared" si="58"/>
        <v>0</v>
      </c>
      <c r="P293" s="85"/>
    </row>
    <row r="294" spans="1:17" hidden="1" x14ac:dyDescent="0.25">
      <c r="A294" s="346" t="s">
        <v>316</v>
      </c>
      <c r="B294" s="75" t="s">
        <v>317</v>
      </c>
      <c r="C294" s="128">
        <f t="shared" si="64"/>
        <v>0</v>
      </c>
      <c r="D294" s="134"/>
      <c r="E294" s="285"/>
      <c r="F294" s="286">
        <f t="shared" si="37"/>
        <v>0</v>
      </c>
      <c r="G294" s="134"/>
      <c r="H294" s="135"/>
      <c r="I294" s="136">
        <f t="shared" si="38"/>
        <v>0</v>
      </c>
      <c r="J294" s="134"/>
      <c r="K294" s="135"/>
      <c r="L294" s="136">
        <f t="shared" si="39"/>
        <v>0</v>
      </c>
      <c r="M294" s="284"/>
      <c r="N294" s="285"/>
      <c r="O294" s="136">
        <f t="shared" si="58"/>
        <v>0</v>
      </c>
      <c r="P294" s="85"/>
    </row>
    <row r="295" spans="1:17" ht="24" hidden="1" x14ac:dyDescent="0.25">
      <c r="A295" s="346" t="s">
        <v>318</v>
      </c>
      <c r="B295" s="75" t="s">
        <v>319</v>
      </c>
      <c r="C295" s="128">
        <f t="shared" si="64"/>
        <v>0</v>
      </c>
      <c r="D295" s="134"/>
      <c r="E295" s="285"/>
      <c r="F295" s="286">
        <f t="shared" si="37"/>
        <v>0</v>
      </c>
      <c r="G295" s="134"/>
      <c r="H295" s="135"/>
      <c r="I295" s="136">
        <f t="shared" si="38"/>
        <v>0</v>
      </c>
      <c r="J295" s="134"/>
      <c r="K295" s="135"/>
      <c r="L295" s="136">
        <f t="shared" si="39"/>
        <v>0</v>
      </c>
      <c r="M295" s="284"/>
      <c r="N295" s="285"/>
      <c r="O295" s="136">
        <f t="shared" si="58"/>
        <v>0</v>
      </c>
      <c r="P295" s="85"/>
    </row>
    <row r="296" spans="1:17" hidden="1" x14ac:dyDescent="0.25">
      <c r="A296" s="346" t="s">
        <v>320</v>
      </c>
      <c r="B296" s="75" t="s">
        <v>321</v>
      </c>
      <c r="C296" s="128">
        <f t="shared" si="64"/>
        <v>0</v>
      </c>
      <c r="D296" s="134"/>
      <c r="E296" s="285"/>
      <c r="F296" s="286">
        <f t="shared" si="37"/>
        <v>0</v>
      </c>
      <c r="G296" s="134"/>
      <c r="H296" s="135"/>
      <c r="I296" s="136">
        <f t="shared" si="38"/>
        <v>0</v>
      </c>
      <c r="J296" s="134"/>
      <c r="K296" s="135"/>
      <c r="L296" s="136">
        <f t="shared" si="39"/>
        <v>0</v>
      </c>
      <c r="M296" s="284"/>
      <c r="N296" s="285"/>
      <c r="O296" s="136">
        <f t="shared" si="58"/>
        <v>0</v>
      </c>
      <c r="P296" s="85"/>
    </row>
    <row r="297" spans="1:17" ht="24" hidden="1" x14ac:dyDescent="0.25">
      <c r="A297" s="389" t="s">
        <v>322</v>
      </c>
      <c r="B297" s="390" t="s">
        <v>323</v>
      </c>
      <c r="C297" s="327">
        <f t="shared" si="64"/>
        <v>0</v>
      </c>
      <c r="D297" s="328"/>
      <c r="E297" s="329"/>
      <c r="F297" s="330">
        <f t="shared" si="37"/>
        <v>0</v>
      </c>
      <c r="G297" s="328"/>
      <c r="H297" s="331"/>
      <c r="I297" s="324">
        <f t="shared" si="38"/>
        <v>0</v>
      </c>
      <c r="J297" s="328"/>
      <c r="K297" s="331"/>
      <c r="L297" s="324">
        <f t="shared" si="39"/>
        <v>0</v>
      </c>
      <c r="M297" s="332"/>
      <c r="N297" s="329"/>
      <c r="O297" s="324">
        <f t="shared" si="58"/>
        <v>0</v>
      </c>
      <c r="P297" s="325"/>
    </row>
    <row r="298" spans="1:17" hidden="1" x14ac:dyDescent="0.25">
      <c r="A298" s="387" t="s">
        <v>324</v>
      </c>
      <c r="B298" s="387" t="s">
        <v>325</v>
      </c>
      <c r="C298" s="391">
        <f t="shared" si="64"/>
        <v>0</v>
      </c>
      <c r="D298" s="392"/>
      <c r="E298" s="393"/>
      <c r="F298" s="388">
        <f t="shared" si="37"/>
        <v>0</v>
      </c>
      <c r="G298" s="392"/>
      <c r="H298" s="394"/>
      <c r="I298" s="383">
        <f t="shared" si="38"/>
        <v>0</v>
      </c>
      <c r="J298" s="392"/>
      <c r="K298" s="394"/>
      <c r="L298" s="383">
        <f t="shared" si="39"/>
        <v>0</v>
      </c>
      <c r="M298" s="395"/>
      <c r="N298" s="393"/>
      <c r="O298" s="383">
        <f t="shared" si="58"/>
        <v>0</v>
      </c>
      <c r="P298" s="385"/>
    </row>
    <row r="299" spans="1:17" s="41" customFormat="1" ht="48" hidden="1" x14ac:dyDescent="0.25">
      <c r="A299" s="387" t="s">
        <v>326</v>
      </c>
      <c r="B299" s="396" t="s">
        <v>327</v>
      </c>
      <c r="C299" s="397">
        <f t="shared" si="64"/>
        <v>0</v>
      </c>
      <c r="D299" s="398"/>
      <c r="E299" s="399"/>
      <c r="F299" s="400">
        <f t="shared" si="37"/>
        <v>0</v>
      </c>
      <c r="G299" s="392"/>
      <c r="H299" s="394"/>
      <c r="I299" s="383">
        <f t="shared" si="38"/>
        <v>0</v>
      </c>
      <c r="J299" s="392"/>
      <c r="K299" s="394"/>
      <c r="L299" s="383">
        <f t="shared" si="39"/>
        <v>0</v>
      </c>
      <c r="M299" s="395"/>
      <c r="N299" s="393"/>
      <c r="O299" s="383">
        <f t="shared" si="58"/>
        <v>0</v>
      </c>
      <c r="P299" s="385"/>
    </row>
    <row r="300" spans="1:17" s="41" customFormat="1" ht="12" hidden="1" x14ac:dyDescent="0.25">
      <c r="A300" s="401" t="s">
        <v>328</v>
      </c>
      <c r="B300" s="402"/>
      <c r="C300" s="402"/>
      <c r="D300" s="402"/>
      <c r="E300" s="402"/>
      <c r="F300" s="402"/>
      <c r="G300" s="402"/>
      <c r="H300" s="402"/>
      <c r="I300" s="402"/>
      <c r="J300" s="402"/>
      <c r="K300" s="402"/>
      <c r="L300" s="402"/>
      <c r="M300" s="402"/>
      <c r="N300" s="402"/>
      <c r="O300" s="402"/>
      <c r="P300" s="403"/>
      <c r="Q300" s="32"/>
    </row>
    <row r="301" spans="1:17" customFormat="1" ht="15.75" thickBot="1" x14ac:dyDescent="0.3">
      <c r="A301" s="404"/>
      <c r="B301" s="405"/>
      <c r="C301" s="405"/>
      <c r="D301" s="405"/>
      <c r="E301" s="405"/>
      <c r="F301" s="405"/>
      <c r="G301" s="405"/>
      <c r="H301" s="405"/>
      <c r="I301" s="405"/>
      <c r="J301" s="405"/>
      <c r="K301" s="405"/>
      <c r="L301" s="405"/>
      <c r="M301" s="405"/>
      <c r="N301" s="405"/>
      <c r="O301" s="405"/>
      <c r="P301" s="406"/>
      <c r="Q301" s="610"/>
    </row>
    <row r="302" spans="1:17" customFormat="1" x14ac:dyDescent="0.25">
      <c r="A302" s="5"/>
      <c r="B302" s="5"/>
      <c r="C302" s="5"/>
      <c r="D302" s="5"/>
      <c r="E302" s="5"/>
      <c r="F302" s="5"/>
      <c r="G302" s="5"/>
      <c r="H302" s="5"/>
      <c r="I302" s="5"/>
      <c r="J302" s="5"/>
      <c r="K302" s="5"/>
      <c r="L302" s="5"/>
      <c r="M302" s="5"/>
      <c r="N302" s="5"/>
      <c r="O302" s="5"/>
      <c r="P302" s="5"/>
    </row>
    <row r="303" spans="1:17" customFormat="1" x14ac:dyDescent="0.25">
      <c r="A303" s="5"/>
      <c r="B303" s="5"/>
      <c r="C303" s="5"/>
      <c r="D303" s="5"/>
      <c r="E303" s="5"/>
      <c r="F303" s="5"/>
      <c r="G303" s="5"/>
      <c r="H303" s="5"/>
      <c r="I303" s="5"/>
      <c r="J303" s="5"/>
      <c r="K303" s="5"/>
      <c r="L303" s="5"/>
      <c r="M303" s="5"/>
      <c r="N303" s="5"/>
      <c r="O303" s="5"/>
      <c r="P303" s="5"/>
    </row>
    <row r="304" spans="1:17" customFormat="1" x14ac:dyDescent="0.25">
      <c r="A304" s="5"/>
      <c r="B304" s="5"/>
      <c r="C304" s="5"/>
      <c r="D304" s="5"/>
      <c r="E304" s="5"/>
      <c r="F304" s="5"/>
      <c r="G304" s="5"/>
      <c r="H304" s="5"/>
      <c r="I304" s="5"/>
      <c r="J304" s="5"/>
      <c r="K304" s="5"/>
      <c r="L304" s="5"/>
      <c r="M304" s="5"/>
      <c r="N304" s="5"/>
      <c r="O304" s="5"/>
      <c r="P304" s="5"/>
    </row>
    <row r="305" spans="1:16" customFormat="1" x14ac:dyDescent="0.25">
      <c r="A305" s="5"/>
      <c r="B305" s="5"/>
      <c r="C305" s="5"/>
      <c r="D305" s="5"/>
      <c r="E305" s="5"/>
      <c r="F305" s="5"/>
      <c r="G305" s="5"/>
      <c r="H305" s="5"/>
      <c r="I305" s="5"/>
      <c r="J305" s="5"/>
      <c r="K305" s="5"/>
      <c r="L305" s="5"/>
      <c r="M305" s="5"/>
      <c r="N305" s="5"/>
      <c r="O305" s="5"/>
      <c r="P305" s="5"/>
    </row>
    <row r="306" spans="1:16" customFormat="1" x14ac:dyDescent="0.25">
      <c r="A306" s="5"/>
      <c r="B306" s="5"/>
      <c r="C306" s="5"/>
      <c r="D306" s="5"/>
      <c r="E306" s="5"/>
      <c r="F306" s="5"/>
      <c r="G306" s="5"/>
      <c r="H306" s="5"/>
      <c r="I306" s="5"/>
      <c r="J306" s="5"/>
      <c r="K306" s="5"/>
      <c r="L306" s="5"/>
      <c r="M306" s="5"/>
      <c r="N306" s="5"/>
      <c r="O306" s="5"/>
      <c r="P306" s="5"/>
    </row>
    <row r="307" spans="1:16" customFormat="1" x14ac:dyDescent="0.25">
      <c r="A307" s="5"/>
      <c r="B307" s="5"/>
      <c r="C307" s="5"/>
      <c r="D307" s="5"/>
      <c r="E307" s="5"/>
      <c r="F307" s="5"/>
      <c r="G307" s="5"/>
      <c r="H307" s="5"/>
      <c r="I307" s="5"/>
      <c r="J307" s="5"/>
      <c r="K307" s="5"/>
      <c r="L307" s="5"/>
      <c r="M307" s="5"/>
      <c r="N307" s="5"/>
      <c r="O307" s="5"/>
      <c r="P307" s="5"/>
    </row>
    <row r="308" spans="1:16" customFormat="1" x14ac:dyDescent="0.25">
      <c r="A308" s="5"/>
      <c r="B308" s="5"/>
      <c r="C308" s="5"/>
      <c r="D308" s="5"/>
      <c r="E308" s="5"/>
      <c r="F308" s="5"/>
      <c r="G308" s="5"/>
      <c r="H308" s="5"/>
      <c r="I308" s="5"/>
      <c r="J308" s="5"/>
      <c r="K308" s="5"/>
      <c r="L308" s="5"/>
      <c r="M308" s="5"/>
      <c r="N308" s="5"/>
      <c r="O308" s="5"/>
      <c r="P308" s="5"/>
    </row>
    <row r="309" spans="1:16" customFormat="1" x14ac:dyDescent="0.25">
      <c r="A309" s="5"/>
      <c r="B309" s="5"/>
      <c r="C309" s="5"/>
      <c r="D309" s="5"/>
      <c r="E309" s="5"/>
      <c r="F309" s="5"/>
      <c r="G309" s="5"/>
      <c r="H309" s="5"/>
      <c r="I309" s="5"/>
      <c r="J309" s="5"/>
      <c r="K309" s="5"/>
      <c r="L309" s="5"/>
      <c r="M309" s="5"/>
      <c r="N309" s="5"/>
      <c r="O309" s="5"/>
      <c r="P309" s="5"/>
    </row>
    <row r="310" spans="1:16" customFormat="1" x14ac:dyDescent="0.25">
      <c r="A310" s="5"/>
      <c r="B310" s="5"/>
      <c r="C310" s="5"/>
      <c r="D310" s="5"/>
      <c r="E310" s="5"/>
      <c r="F310" s="5"/>
      <c r="G310" s="5"/>
      <c r="H310" s="5"/>
      <c r="I310" s="5"/>
      <c r="J310" s="5"/>
      <c r="K310" s="5"/>
      <c r="L310" s="5"/>
      <c r="M310" s="5"/>
      <c r="N310" s="5"/>
      <c r="O310" s="5"/>
      <c r="P310" s="5"/>
    </row>
    <row r="311" spans="1:16" customFormat="1" x14ac:dyDescent="0.25">
      <c r="A311" s="5"/>
      <c r="B311" s="5"/>
      <c r="C311" s="5"/>
      <c r="D311" s="5"/>
      <c r="E311" s="5"/>
      <c r="F311" s="5"/>
      <c r="G311" s="5"/>
      <c r="H311" s="5"/>
      <c r="I311" s="5"/>
      <c r="J311" s="5"/>
      <c r="K311" s="5"/>
      <c r="L311" s="5"/>
      <c r="M311" s="5"/>
      <c r="N311" s="5"/>
      <c r="O311" s="5"/>
      <c r="P311" s="5"/>
    </row>
    <row r="312" spans="1:16" customFormat="1" x14ac:dyDescent="0.25">
      <c r="A312" s="5"/>
      <c r="B312" s="5"/>
      <c r="C312" s="5"/>
      <c r="D312" s="5"/>
      <c r="E312" s="5"/>
      <c r="F312" s="5"/>
      <c r="G312" s="5"/>
      <c r="H312" s="5"/>
      <c r="I312" s="5"/>
      <c r="J312" s="5"/>
      <c r="K312" s="5"/>
      <c r="L312" s="5"/>
      <c r="M312" s="5"/>
      <c r="N312" s="5"/>
      <c r="O312" s="5"/>
      <c r="P312" s="5"/>
    </row>
    <row r="313" spans="1:16" x14ac:dyDescent="0.25">
      <c r="A313" s="5"/>
      <c r="B313" s="5"/>
      <c r="C313" s="5"/>
      <c r="D313" s="5"/>
      <c r="E313" s="5"/>
      <c r="F313" s="5"/>
      <c r="G313" s="5"/>
      <c r="H313" s="5"/>
      <c r="I313" s="5"/>
      <c r="J313" s="5"/>
      <c r="K313" s="5"/>
      <c r="L313" s="5"/>
      <c r="M313" s="5"/>
      <c r="N313" s="5"/>
      <c r="O313" s="5"/>
    </row>
    <row r="314" spans="1:16" x14ac:dyDescent="0.25">
      <c r="A314" s="5"/>
      <c r="B314" s="5"/>
      <c r="C314" s="5"/>
      <c r="D314" s="5"/>
      <c r="E314" s="5"/>
      <c r="F314" s="5"/>
      <c r="G314" s="5"/>
      <c r="H314" s="5"/>
      <c r="I314" s="5"/>
      <c r="J314" s="5"/>
      <c r="K314" s="5"/>
      <c r="L314" s="5"/>
      <c r="M314" s="5"/>
      <c r="N314" s="5"/>
      <c r="O314" s="5"/>
    </row>
    <row r="315" spans="1:16" x14ac:dyDescent="0.25">
      <c r="A315" s="5"/>
      <c r="B315" s="5"/>
      <c r="C315" s="5"/>
      <c r="D315" s="5"/>
      <c r="E315" s="5"/>
      <c r="F315" s="5"/>
      <c r="G315" s="5"/>
      <c r="H315" s="5"/>
      <c r="I315" s="5"/>
      <c r="J315" s="5"/>
      <c r="K315" s="5"/>
      <c r="L315" s="5"/>
      <c r="M315" s="5"/>
      <c r="N315" s="5"/>
      <c r="O315" s="5"/>
    </row>
    <row r="316" spans="1:16" x14ac:dyDescent="0.25">
      <c r="A316" s="5"/>
      <c r="B316" s="5"/>
      <c r="C316" s="5"/>
      <c r="D316" s="5"/>
      <c r="E316" s="5"/>
      <c r="F316" s="5"/>
      <c r="G316" s="5"/>
      <c r="H316" s="5"/>
      <c r="I316" s="5"/>
      <c r="J316" s="5"/>
      <c r="K316" s="5"/>
      <c r="L316" s="5"/>
      <c r="M316" s="5"/>
      <c r="N316" s="5"/>
      <c r="O316" s="5"/>
    </row>
    <row r="317" spans="1:16" x14ac:dyDescent="0.25">
      <c r="A317" s="5"/>
      <c r="B317" s="5"/>
      <c r="C317" s="5"/>
      <c r="D317" s="5"/>
      <c r="E317" s="5"/>
      <c r="F317" s="5"/>
      <c r="G317" s="5"/>
      <c r="H317" s="5"/>
      <c r="I317" s="5"/>
      <c r="J317" s="5"/>
      <c r="K317" s="5"/>
      <c r="L317" s="5"/>
      <c r="M317" s="5"/>
      <c r="N317" s="5"/>
      <c r="O317" s="5"/>
    </row>
    <row r="318" spans="1:16" x14ac:dyDescent="0.25">
      <c r="A318" s="5"/>
      <c r="B318" s="5"/>
      <c r="C318" s="5"/>
      <c r="D318" s="5"/>
      <c r="E318" s="5"/>
      <c r="F318" s="5"/>
      <c r="G318" s="5"/>
      <c r="H318" s="5"/>
      <c r="I318" s="5"/>
      <c r="J318" s="5"/>
      <c r="K318" s="5"/>
      <c r="L318" s="5"/>
      <c r="M318" s="5"/>
      <c r="N318" s="5"/>
      <c r="O318" s="5"/>
    </row>
    <row r="319" spans="1:16" x14ac:dyDescent="0.25">
      <c r="A319" s="5"/>
      <c r="B319" s="5"/>
      <c r="C319" s="5"/>
      <c r="D319" s="5"/>
      <c r="E319" s="5"/>
      <c r="F319" s="5"/>
      <c r="G319" s="5"/>
      <c r="H319" s="5"/>
      <c r="I319" s="5"/>
      <c r="J319" s="5"/>
      <c r="K319" s="5"/>
      <c r="L319" s="5"/>
      <c r="M319" s="5"/>
      <c r="N319" s="5"/>
      <c r="O319" s="5"/>
    </row>
    <row r="320" spans="1:16" x14ac:dyDescent="0.25">
      <c r="A320" s="5"/>
      <c r="B320" s="5"/>
      <c r="C320" s="5"/>
      <c r="D320" s="5"/>
      <c r="E320" s="5"/>
      <c r="F320" s="5"/>
      <c r="G320" s="5"/>
      <c r="H320" s="5"/>
      <c r="I320" s="5"/>
      <c r="J320" s="5"/>
      <c r="K320" s="5"/>
      <c r="L320" s="5"/>
      <c r="M320" s="5"/>
      <c r="N320" s="5"/>
      <c r="O320" s="5"/>
    </row>
    <row r="321" spans="1:15" x14ac:dyDescent="0.25">
      <c r="A321" s="5"/>
      <c r="B321" s="5"/>
      <c r="C321" s="5"/>
      <c r="D321" s="5"/>
      <c r="E321" s="5"/>
      <c r="F321" s="5"/>
      <c r="G321" s="5"/>
      <c r="H321" s="5"/>
      <c r="I321" s="5"/>
      <c r="J321" s="5"/>
      <c r="K321" s="5"/>
      <c r="L321" s="5"/>
      <c r="M321" s="5"/>
      <c r="N321" s="5"/>
      <c r="O321" s="5"/>
    </row>
  </sheetData>
  <sheetProtection algorithmName="SHA-512" hashValue="ufqZtNNgWGKR/iUqt9Usjfb4On7m263tOhxLQz4ZzLq/suqBMLBa8n2lPGC6wsmivJuNe+frrMcQoXOJbtLEbw==" saltValue="AtHbKJP0mXFHf7vx5Q2DHA==" spinCount="100000" sheet="1" objects="1" scenarios="1" formatCells="0" formatColumns="0" formatRows="0"/>
  <autoFilter ref="A22:P300">
    <filterColumn colId="2">
      <filters>
        <filter val="1 212 160"/>
      </filters>
    </filterColumn>
  </autoFilter>
  <mergeCells count="3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71.pielikums Jūrmalas pilsētas domes
2017.gada 30.janvāra saistošajiem noteikumiem Nr.10
(Protokols Nr.4, 1.punkts)
 </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38</vt:i4>
      </vt:variant>
    </vt:vector>
  </HeadingPairs>
  <TitlesOfParts>
    <vt:vector size="94" baseType="lpstr">
      <vt:lpstr>Ienemumi</vt:lpstr>
      <vt:lpstr>Izdevumi</vt:lpstr>
      <vt:lpstr>05.2.1.</vt:lpstr>
      <vt:lpstr>05.2.2.</vt:lpstr>
      <vt:lpstr>01.1.1</vt:lpstr>
      <vt:lpstr>01.2.3.</vt:lpstr>
      <vt:lpstr>04.1.2.</vt:lpstr>
      <vt:lpstr>04.1.10.</vt:lpstr>
      <vt:lpstr>04.1.18.KR</vt:lpstr>
      <vt:lpstr>06.1.1</vt:lpstr>
      <vt:lpstr>06.1.6</vt:lpstr>
      <vt:lpstr>06.3.1.</vt:lpstr>
      <vt:lpstr>08.1.4.</vt:lpstr>
      <vt:lpstr>08.1.4. (2)</vt:lpstr>
      <vt:lpstr>08.4.2.</vt:lpstr>
      <vt:lpstr>08.5.1.</vt:lpstr>
      <vt:lpstr>08.5.3.</vt:lpstr>
      <vt:lpstr>08.7.3.</vt:lpstr>
      <vt:lpstr>09.1.6.</vt:lpstr>
      <vt:lpstr>09.1.7</vt:lpstr>
      <vt:lpstr>09.2.1.</vt:lpstr>
      <vt:lpstr>09.3.1.</vt:lpstr>
      <vt:lpstr>09.5.1.</vt:lpstr>
      <vt:lpstr>09.6.1.</vt:lpstr>
      <vt:lpstr>09.8.1.</vt:lpstr>
      <vt:lpstr>09.9.1.</vt:lpstr>
      <vt:lpstr>09.9.1. (2)</vt:lpstr>
      <vt:lpstr>09.11.1.</vt:lpstr>
      <vt:lpstr>09.13.1.</vt:lpstr>
      <vt:lpstr>09.14.1.</vt:lpstr>
      <vt:lpstr>09.15.1.</vt:lpstr>
      <vt:lpstr>09.15.1. (2)</vt:lpstr>
      <vt:lpstr>09.16.1.</vt:lpstr>
      <vt:lpstr>09.16.1. (2)</vt:lpstr>
      <vt:lpstr>09.17.1.</vt:lpstr>
      <vt:lpstr>09.17.1. (2)</vt:lpstr>
      <vt:lpstr>09.18.1.</vt:lpstr>
      <vt:lpstr>09.19.1.</vt:lpstr>
      <vt:lpstr>09.20.1.</vt:lpstr>
      <vt:lpstr>09.21.1.</vt:lpstr>
      <vt:lpstr>09.22.1.</vt:lpstr>
      <vt:lpstr>09.22.1. (2)</vt:lpstr>
      <vt:lpstr>09.23.1.</vt:lpstr>
      <vt:lpstr>09.25.1.</vt:lpstr>
      <vt:lpstr>09.26.1.</vt:lpstr>
      <vt:lpstr>09.26.1. (2)</vt:lpstr>
      <vt:lpstr>09.28.1.</vt:lpstr>
      <vt:lpstr>09.31.1.</vt:lpstr>
      <vt:lpstr>4.piel.</vt:lpstr>
      <vt:lpstr>9.piel.</vt:lpstr>
      <vt:lpstr>9.piel. (2)</vt:lpstr>
      <vt:lpstr>9.piel. (3)</vt:lpstr>
      <vt:lpstr>9.piel. (4)</vt:lpstr>
      <vt:lpstr>21.piel.</vt:lpstr>
      <vt:lpstr>22.piel.</vt:lpstr>
      <vt:lpstr>24.piel.</vt:lpstr>
      <vt:lpstr>'01.1.1'!Print_Titles</vt:lpstr>
      <vt:lpstr>'01.2.3.'!Print_Titles</vt:lpstr>
      <vt:lpstr>'04.1.10.'!Print_Titles</vt:lpstr>
      <vt:lpstr>'04.1.18.KR'!Print_Titles</vt:lpstr>
      <vt:lpstr>'04.1.2.'!Print_Titles</vt:lpstr>
      <vt:lpstr>'05.2.1.'!Print_Titles</vt:lpstr>
      <vt:lpstr>'05.2.2.'!Print_Titles</vt:lpstr>
      <vt:lpstr>'06.1.1'!Print_Titles</vt:lpstr>
      <vt:lpstr>'06.1.6'!Print_Titles</vt:lpstr>
      <vt:lpstr>'08.1.4.'!Print_Titles</vt:lpstr>
      <vt:lpstr>'08.1.4. (2)'!Print_Titles</vt:lpstr>
      <vt:lpstr>'08.4.2.'!Print_Titles</vt:lpstr>
      <vt:lpstr>'08.5.1.'!Print_Titles</vt:lpstr>
      <vt:lpstr>'08.5.3.'!Print_Titles</vt:lpstr>
      <vt:lpstr>'08.7.3.'!Print_Titles</vt:lpstr>
      <vt:lpstr>'09.1.6.'!Print_Titles</vt:lpstr>
      <vt:lpstr>'09.1.7'!Print_Titles</vt:lpstr>
      <vt:lpstr>'09.11.1.'!Print_Titles</vt:lpstr>
      <vt:lpstr>'09.13.1.'!Print_Titles</vt:lpstr>
      <vt:lpstr>'09.16.1.'!Print_Titles</vt:lpstr>
      <vt:lpstr>'09.16.1. (2)'!Print_Titles</vt:lpstr>
      <vt:lpstr>'09.17.1.'!Print_Titles</vt:lpstr>
      <vt:lpstr>'09.17.1. (2)'!Print_Titles</vt:lpstr>
      <vt:lpstr>'09.19.1.'!Print_Titles</vt:lpstr>
      <vt:lpstr>'09.2.1.'!Print_Titles</vt:lpstr>
      <vt:lpstr>'09.23.1.'!Print_Titles</vt:lpstr>
      <vt:lpstr>'09.26.1.'!Print_Titles</vt:lpstr>
      <vt:lpstr>'09.26.1. (2)'!Print_Titles</vt:lpstr>
      <vt:lpstr>'09.28.1.'!Print_Titles</vt:lpstr>
      <vt:lpstr>'09.3.1.'!Print_Titles</vt:lpstr>
      <vt:lpstr>'09.31.1.'!Print_Titles</vt:lpstr>
      <vt:lpstr>'09.5.1.'!Print_Titles</vt:lpstr>
      <vt:lpstr>'09.6.1.'!Print_Titles</vt:lpstr>
      <vt:lpstr>'09.8.1.'!Print_Titles</vt:lpstr>
      <vt:lpstr>'09.9.1.'!Print_Titles</vt:lpstr>
      <vt:lpstr>'09.9.1. (2)'!Print_Titles</vt:lpstr>
      <vt:lpstr>Ienemumi!Print_Titles</vt:lpstr>
      <vt:lpstr>Izdevumi!Print_Titles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Elina Markaine</dc:creator>
  <cp:lastModifiedBy>Liene Zalkovska</cp:lastModifiedBy>
  <cp:lastPrinted>2017-01-31T08:45:41Z</cp:lastPrinted>
  <dcterms:created xsi:type="dcterms:W3CDTF">2016-12-02T07:06:51Z</dcterms:created>
  <dcterms:modified xsi:type="dcterms:W3CDTF">2017-01-31T08:46:09Z</dcterms:modified>
</cp:coreProperties>
</file>